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62.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64.xml" ContentType="application/vnd.openxmlformats-officedocument.spreadsheetml.worksheet+xml"/>
  <Override PartName="/xl/worksheets/sheet2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5.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sharedStrings.xml" ContentType="application/vnd.openxmlformats-officedocument.spreadsheetml.sharedStrings+xml"/>
  <Override PartName="/xl/worksheets/sheet21.xml" ContentType="application/vnd.openxmlformats-officedocument.spreadsheetml.worksheet+xml"/>
  <Override PartName="/xl/worksheets/sheet11.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docProps/core.xml" ContentType="application/vnd.openxmlformats-package.core-propertie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externalLinks/externalLink15.xml" ContentType="application/vnd.openxmlformats-officedocument.spreadsheetml.externalLink+xml"/>
  <Override PartName="/xl/comments12.xml" ContentType="application/vnd.openxmlformats-officedocument.spreadsheetml.comments+xml"/>
  <Override PartName="/xl/comments7.xml" ContentType="application/vnd.openxmlformats-officedocument.spreadsheetml.comments+xml"/>
  <Override PartName="/xl/comments3.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externalLinks/externalLink14.xml" ContentType="application/vnd.openxmlformats-officedocument.spreadsheetml.externalLink+xml"/>
  <Override PartName="/xl/comments14.xml" ContentType="application/vnd.openxmlformats-officedocument.spreadsheetml.comment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comments15.xml" ContentType="application/vnd.openxmlformats-officedocument.spreadsheetml.comments+xml"/>
  <Override PartName="/xl/externalLinks/externalLink13.xml" ContentType="application/vnd.openxmlformats-officedocument.spreadsheetml.externalLink+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Password="E6B6" lockStructure="1"/>
  <bookViews>
    <workbookView xWindow="16815" yWindow="135" windowWidth="12015" windowHeight="14325" tabRatio="722" firstSheet="1" activeTab="2"/>
  </bookViews>
  <sheets>
    <sheet name="Index" sheetId="42668" state="hidden" r:id="rId1"/>
    <sheet name="Exhibit No._(CTM-4), Pg. 1" sheetId="42773" r:id="rId2"/>
    <sheet name="Exhibit No._(CTM-4), Pg. 2" sheetId="42667" r:id="rId3"/>
    <sheet name="Exhibit No._(CTM-4), Pg. 3" sheetId="364" r:id="rId4"/>
    <sheet name="Exhibit No._(CTM-4), Pg. 4" sheetId="16" r:id="rId5"/>
    <sheet name="Exhibit No._(CTM-4), Pg. 5" sheetId="5" r:id="rId6"/>
    <sheet name="Exhibit No._(CTM-4), Pg. 6" sheetId="4128" r:id="rId7"/>
    <sheet name="JKP-3.1c - Data" sheetId="42682" state="hidden" r:id="rId8"/>
    <sheet name="JKP-3.1c - Therms Data" sheetId="42683" state="hidden" r:id="rId9"/>
    <sheet name="JKP-3.1c - New Cust" sheetId="42684" state="hidden" r:id="rId10"/>
    <sheet name="JKP-3.1c - RentalActualRates" sheetId="42685" state="hidden" r:id="rId11"/>
    <sheet name="JKP-3.1c - Rentals Rates GRC09" sheetId="42686" state="hidden" r:id="rId12"/>
    <sheet name="JKP-3.1c - Rentals Rates GTI10" sheetId="42687" state="hidden" r:id="rId13"/>
    <sheet name="JKP-3.1c - Customer Data" sheetId="42688" state="hidden" r:id="rId14"/>
    <sheet name="JKP-3.1c - Rev Actual Rates" sheetId="42689" state="hidden" r:id="rId15"/>
    <sheet name="JKP-3.1c - Rev Rates GRC09" sheetId="42690" state="hidden" r:id="rId16"/>
    <sheet name="JKP-3.1c - Rev Rates PGA Nov10" sheetId="42691" state="hidden" r:id="rId17"/>
    <sheet name="JKP-3.1c - Rev Rates GTI10" sheetId="42692" state="hidden" r:id="rId18"/>
    <sheet name="JKP-3.1c - 85&amp;T Min Charge Adj " sheetId="42693" state="hidden" r:id="rId19"/>
    <sheet name="JKP-3.1c - 41 Min Migration Adj" sheetId="42694" state="hidden" r:id="rId20"/>
    <sheet name="JKP-3.1c - 41T 86T Migrat Adj" sheetId="42695" state="hidden" r:id="rId21"/>
    <sheet name="JKP-3.1c - Weather Adj" sheetId="42696" state="hidden" r:id="rId22"/>
    <sheet name="JKP-3.1c - Norm Rev Rates GTI10" sheetId="42697" state="hidden" r:id="rId23"/>
    <sheet name="JKP-3.1c - PF RevRAF GRC11" sheetId="42698" state="hidden" r:id="rId24"/>
    <sheet name="JKP-3.1c - Revenue" sheetId="42699" state="hidden" r:id="rId25"/>
    <sheet name="JKP-3.1c - Volume Exhibit " sheetId="42700" state="hidden" r:id="rId26"/>
    <sheet name="JKP-3.1c - Revenue Exhibit" sheetId="42701" state="hidden" r:id="rId27"/>
    <sheet name="JKP-3.1c - Summary" sheetId="42702" state="hidden" r:id="rId28"/>
    <sheet name="JKP-7.4 - RAF" sheetId="42720" state="hidden" r:id="rId29"/>
    <sheet name="JKP-7.5 - Inc Statement Gas" sheetId="42721" state="hidden" r:id="rId30"/>
    <sheet name="JKP-7.5 - RB Plant Adj Gas" sheetId="42722" state="hidden" r:id="rId31"/>
    <sheet name="JKP-7.6c - Gas Costs" sheetId="42670" state="hidden" r:id="rId32"/>
    <sheet name="JKP-7.6c - PGA-2.1" sheetId="42671" state="hidden" r:id="rId33"/>
    <sheet name="JKP-7.6c - Vol PGA-3" sheetId="42672" state="hidden" r:id="rId34"/>
    <sheet name="JKP-7.6c - Data GRC11" sheetId="42673" state="hidden" r:id="rId35"/>
    <sheet name="JKP-7.7 - Data" sheetId="42723" state="hidden" r:id="rId36"/>
    <sheet name="JKP-7.7 - Allocated" sheetId="42724" state="hidden" r:id="rId37"/>
    <sheet name="JKP-7.7 - For COS" sheetId="42725" state="hidden" r:id="rId38"/>
    <sheet name="JKP-7.8 - DEPN Gas" sheetId="42726" state="hidden" r:id="rId39"/>
    <sheet name="JKP-8.1 - Cust Data" sheetId="42728" state="hidden" r:id="rId40"/>
    <sheet name="JKP-8.1 - Cust Count Net of Mig" sheetId="42729" state="hidden" r:id="rId41"/>
    <sheet name="JKP-8.1 - Cust &amp; DIR 252" sheetId="42730" state="hidden" r:id="rId42"/>
    <sheet name="JKP-8.3 - Summary 2006-2010" sheetId="42755" state="hidden" r:id="rId43"/>
    <sheet name="JKP-8.4 - Summary 2006-2010" sheetId="42727" state="hidden" r:id="rId44"/>
    <sheet name="JKP-8.4c - G380 123110 (Final)" sheetId="42676" state="hidden" r:id="rId45"/>
    <sheet name="JKP-8.4c - Total Costs" sheetId="42677" state="hidden" r:id="rId46"/>
    <sheet name="JKP-8.4c - Customer List" sheetId="42678" state="hidden" r:id="rId47"/>
    <sheet name="JKP-8.4c - Schedule 85" sheetId="42679" state="hidden" r:id="rId48"/>
    <sheet name="JKP-8.4c - Direct 380" sheetId="42680" state="hidden" r:id="rId49"/>
    <sheet name="JKP-8.4c - WtCust" sheetId="42681" state="hidden" r:id="rId50"/>
    <sheet name="JKP-8.5 - CNSMREQP_GASMTRCTR" sheetId="42756" state="hidden" r:id="rId51"/>
    <sheet name="JKP-8.5 - Migrated From" sheetId="42757" state="hidden" r:id="rId52"/>
    <sheet name="JKP-8.5 - Migrated To" sheetId="42758" state="hidden" r:id="rId53"/>
    <sheet name="JKP-8.5 - Cost Data" sheetId="42759" state="hidden" r:id="rId54"/>
    <sheet name="JKP-8.5 - Unit Costs" sheetId="42760" state="hidden" r:id="rId55"/>
    <sheet name="JKP-8.5 - Total Costs" sheetId="42761" state="hidden" r:id="rId56"/>
    <sheet name="JKP-8.5 - Summary" sheetId="42762" state="hidden" r:id="rId57"/>
    <sheet name="JKP-8.6 - Costs" sheetId="42763" state="hidden" r:id="rId58"/>
    <sheet name="JKP-8.6 - Allocator" sheetId="42764" state="hidden" r:id="rId59"/>
    <sheet name="JKP-8.7c - By Size" sheetId="42674" state="hidden" r:id="rId60"/>
    <sheet name="JKP-8.7c - G376 123110 Final" sheetId="42675" state="hidden" r:id="rId61"/>
    <sheet name="JKP-8.8 - Peak Day Calculation" sheetId="42765" state="hidden" r:id="rId62"/>
    <sheet name="JKP-8.8 - Class Calc" sheetId="42766" state="hidden" r:id="rId63"/>
    <sheet name="JKP-8.8 - Est Firm Sys Peak Day" sheetId="42767" state="hidden" r:id="rId64"/>
    <sheet name="JKP-8.8 - SalesVols" sheetId="42768" state="hidden" r:id="rId65"/>
    <sheet name="JKP-8.8 - Peak Day Allocators" sheetId="42769" state="hidden" r:id="rId66"/>
    <sheet name="JKP-8.8 - System Load Factor" sheetId="42770" state="hidden" r:id="rId67"/>
    <sheet name="JKP-8.9 - Gas One Time Charge" sheetId="42772" state="hidden" r:id="rId68"/>
    <sheet name="JKP-8.10 - Summary" sheetId="42771" state="hidden"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_123Graph_ECURRENT" hidden="1">#N/A</definedName>
    <definedName name="__Apr04">[1]BS!$U$7:$U$3582</definedName>
    <definedName name="__Aug04">[1]BS!$Y$7:$Y$3582</definedName>
    <definedName name="__Dec03">[2]BS!$T$7:$T$3582</definedName>
    <definedName name="__Dec04">[1]BS!$AC$7:$AC$3580</definedName>
    <definedName name="__Feb04">[1]BS!$S$7:$S$3582</definedName>
    <definedName name="__Jan04">[1]BS!$R$7:$R$3582</definedName>
    <definedName name="__Jul04">[1]BS!$X$7:$X$3582</definedName>
    <definedName name="__Jun04">[1]BS!$W$7:$W$3582</definedName>
    <definedName name="__Mar04">[1]BS!$T$7:$T$3582</definedName>
    <definedName name="__May04">[1]BS!$V$7:$V$3582</definedName>
    <definedName name="__Nov03">[2]BS!$S$7:$S$3582</definedName>
    <definedName name="__Nov04">[1]BS!$AB$7:$AB$3582</definedName>
    <definedName name="__Oct03">[2]BS!$R$7:$R$3582</definedName>
    <definedName name="__Oct04">[1]BS!$AA$7:$AA$3582</definedName>
    <definedName name="__Sep03">[2]BS!$Q$7:$Q$3582</definedName>
    <definedName name="__Sep04">[1]BS!$Z$7:$Z$3582</definedName>
    <definedName name="_Apr04">[1]BS!$U$7:$U$3582</definedName>
    <definedName name="_Aug04">[1]BS!$Y$7:$Y$3582</definedName>
    <definedName name="_Dec03">[2]BS!$T$7:$T$3582</definedName>
    <definedName name="_Dec04">[1]BS!$AC$7:$AC$3580</definedName>
    <definedName name="_Feb04">[1]BS!$S$7:$S$3582</definedName>
    <definedName name="_FEDERAL_INCOME_TAX">'[3]MJS-7'!$N$21</definedName>
    <definedName name="_Fill" localSheetId="28" hidden="1">#REF!</definedName>
    <definedName name="_xlnm._FilterDatabase" localSheetId="48" hidden="1">'JKP-8.4c - Direct 380'!$J$34:$J$218</definedName>
    <definedName name="_xlnm._FilterDatabase" localSheetId="45" hidden="1">'JKP-8.4c - Total Costs'!$I$59:$I$1046</definedName>
    <definedName name="_xlnm._FilterDatabase" localSheetId="60" hidden="1">'JKP-8.7c - G376 123110 Final'!$F$1:$L$54</definedName>
    <definedName name="_Jan04">[1]BS!$R$7:$R$3582</definedName>
    <definedName name="_Jul04">[1]BS!$X$7:$X$3582</definedName>
    <definedName name="_Jun04">[1]BS!$W$7:$W$3582</definedName>
    <definedName name="_Mar04">[1]BS!$T$7:$T$3582</definedName>
    <definedName name="_May04">[1]BS!$V$7:$V$3582</definedName>
    <definedName name="_Nov03">[2]BS!$S$7:$S$3582</definedName>
    <definedName name="_Nov04">[1]BS!$AB$7:$AB$3582</definedName>
    <definedName name="_Oct03">[2]BS!$R$7:$R$3582</definedName>
    <definedName name="_Oct04">[1]BS!$AA$7:$AA$3582</definedName>
    <definedName name="_Order1" localSheetId="28" hidden="1">255</definedName>
    <definedName name="_Order1" hidden="1">0</definedName>
    <definedName name="_Order2" localSheetId="28" hidden="1">255</definedName>
    <definedName name="_Order2" hidden="1">0</definedName>
    <definedName name="_REV1">#REF!</definedName>
    <definedName name="_REV2">#REF!</definedName>
    <definedName name="_REV3">#REF!</definedName>
    <definedName name="_Sep03">[2]BS!$Q$7:$Q$3582</definedName>
    <definedName name="_Sep04">[1]BS!$Z$7:$Z$3582</definedName>
    <definedName name="_six6" hidden="1">{#N/A,#N/A,FALSE,"CRPT";#N/A,#N/A,FALSE,"TREND";#N/A,#N/A,FALSE,"%Curve"}</definedName>
    <definedName name="a" hidden="1">{#N/A,#N/A,FALSE,"Coversheet";#N/A,#N/A,FALSE,"QA"}</definedName>
    <definedName name="A1R">'[4]Cost Factors'!$A$71</definedName>
    <definedName name="AccessDatabase" hidden="1">"I:\COMTREL\FINICLE\TradeSummary.mdb"</definedName>
    <definedName name="Acq1Plant">'[5]Acquisition Inputs'!$C$8</definedName>
    <definedName name="Acq2Plant">'[5]Acquisition Inputs'!$C$70</definedName>
    <definedName name="ADAPTER">'[4]Cost Factors'!$A$84</definedName>
    <definedName name="ANCUS">#REF!</definedName>
    <definedName name="apeek">#REF!</definedName>
    <definedName name="Apr04AMA">[1]BS!$AG$7:$AG$3582</definedName>
    <definedName name="Aug04AMA">[1]BS!$AK$7:$AK$3582</definedName>
    <definedName name="Aurora_Prices">"Monthly Price Summary'!$C$4:$H$63"</definedName>
    <definedName name="b" hidden="1">{#N/A,#N/A,FALSE,"Coversheet";#N/A,#N/A,FALSE,"QA"}</definedName>
    <definedName name="BASE">#REF!</definedName>
    <definedName name="BD">#REF!</definedName>
    <definedName name="BEP">#REF!</definedName>
    <definedName name="BLOAD">#REF!</definedName>
    <definedName name="Capacity">#REF!</definedName>
    <definedName name="CASE">[6]INPUTS!$C$11</definedName>
    <definedName name="CaseDescription">'[5]Dispatch Cases'!$C$11</definedName>
    <definedName name="CBWorkbookPriority" hidden="1">-2060790043</definedName>
    <definedName name="CCGT_HeatRate">[5]Assumptions!$H$23</definedName>
    <definedName name="CCGTPrice">[5]Assumptions!$H$22</definedName>
    <definedName name="COLHOUSE">#REF!</definedName>
    <definedName name="COM">#REF!</definedName>
    <definedName name="COM1_376">#REF!</definedName>
    <definedName name="COM1XT">#REF!</definedName>
    <definedName name="COMMON_ADMIN_ALLOCATED">#REF!</definedName>
    <definedName name="COMPINSR">#REF!</definedName>
    <definedName name="COMPPLNT">#REF!</definedName>
    <definedName name="CONSERV">#REF!</definedName>
    <definedName name="ConversionFactor">[5]Assumptions!$I$65</definedName>
    <definedName name="CONVFACT">#REF!</definedName>
    <definedName name="CSI">#REF!</definedName>
    <definedName name="CUS">#REF!</definedName>
    <definedName name="CUST">#REF!</definedName>
    <definedName name="CUST879">#REF!</definedName>
    <definedName name="CUSTACCTXUA">#REF!</definedName>
    <definedName name="CUSTDEP">#REF!</definedName>
    <definedName name="D_108">#REF!</definedName>
    <definedName name="D_252">#REF!</definedName>
    <definedName name="D_376C">#REF!</definedName>
    <definedName name="D_376D">#REF!</definedName>
    <definedName name="D_380">#REF!</definedName>
    <definedName name="D_382">#REF!</definedName>
    <definedName name="D_385">#REF!</definedName>
    <definedName name="D_403">#REF!</definedName>
    <definedName name="D_408">#REF!</definedName>
    <definedName name="D_870">#REF!</definedName>
    <definedName name="D_871">#REF!</definedName>
    <definedName name="D_875">#REF!</definedName>
    <definedName name="D_878">#REF!</definedName>
    <definedName name="D_879">#REF!</definedName>
    <definedName name="D_887C">#REF!</definedName>
    <definedName name="D_887D">#REF!</definedName>
    <definedName name="D_893">#REF!</definedName>
    <definedName name="D_894">#REF!</definedName>
    <definedName name="D_902">#REF!</definedName>
    <definedName name="D_903">#REF!</definedName>
    <definedName name="D_904">#REF!</definedName>
    <definedName name="D_908">#REF!</definedName>
    <definedName name="D_912">#REF!</definedName>
    <definedName name="D_920">#REF!</definedName>
    <definedName name="D_923">#REF!</definedName>
    <definedName name="D_924">#REF!</definedName>
    <definedName name="D_926">#REF!</definedName>
    <definedName name="D_932">#REF!</definedName>
    <definedName name="D_COM1">#REF!</definedName>
    <definedName name="D_COM1XT">#REF!</definedName>
    <definedName name="D_MAINS">#REF!</definedName>
    <definedName name="D_PDAY">#REF!</definedName>
    <definedName name="D_PDAYT">#REF!</definedName>
    <definedName name="D_SEAS_2">#REF!</definedName>
    <definedName name="D_SEAS_3">#REF!</definedName>
    <definedName name="D_STRUCT">#REF!</definedName>
    <definedName name="DATA" localSheetId="65">#REF!</definedName>
    <definedName name="DATA" localSheetId="61">#REF!</definedName>
    <definedName name="Data">#REF!</definedName>
    <definedName name="DebtPerc">[5]Assumptions!$I$58</definedName>
    <definedName name="Dec03AMA">[2]BS!$AJ$7:$AJ$3582</definedName>
    <definedName name="Dec04AMA">[1]BS!$AO$7:$AO$3582</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M">#REF!</definedName>
    <definedName name="DEPRECIATION">#REF!</definedName>
    <definedName name="DF_HeatRate">[5]Assumptions!$L$23</definedName>
    <definedName name="DFIT" hidden="1">{#N/A,#N/A,FALSE,"Coversheet";#N/A,#N/A,FALSE,"QA"}</definedName>
    <definedName name="DIST_OM">#REF!</definedName>
    <definedName name="DIST_OML">#REF!</definedName>
    <definedName name="DISTPT">#REF!</definedName>
    <definedName name="DMAINS_SERV">#REF!</definedName>
    <definedName name="DOCKET" localSheetId="28">'[3]MJS-6'!$A$9</definedName>
    <definedName name="DOCKET">#REF!</definedName>
    <definedName name="ee" localSheetId="2" hidden="1">{#N/A,#N/A,FALSE,"Month ";#N/A,#N/A,FALSE,"YTD";#N/A,#N/A,FALSE,"12 mo ended"}</definedName>
    <definedName name="ee" localSheetId="7" hidden="1">{#N/A,#N/A,FALSE,"Month ";#N/A,#N/A,FALSE,"YTD";#N/A,#N/A,FALSE,"12 mo ended"}</definedName>
    <definedName name="ee" localSheetId="9" hidden="1">{#N/A,#N/A,FALSE,"Month ";#N/A,#N/A,FALSE,"YTD";#N/A,#N/A,FALSE,"12 mo ended"}</definedName>
    <definedName name="ee" localSheetId="22" hidden="1">{#N/A,#N/A,FALSE,"Month ";#N/A,#N/A,FALSE,"YTD";#N/A,#N/A,FALSE,"12 mo ended"}</definedName>
    <definedName name="ee" localSheetId="23" hidden="1">{#N/A,#N/A,FALSE,"Month ";#N/A,#N/A,FALSE,"YTD";#N/A,#N/A,FALSE,"12 mo ended"}</definedName>
    <definedName name="ee" localSheetId="10" hidden="1">{#N/A,#N/A,FALSE,"Month ";#N/A,#N/A,FALSE,"YTD";#N/A,#N/A,FALSE,"12 mo ended"}</definedName>
    <definedName name="ee" localSheetId="11" hidden="1">{#N/A,#N/A,FALSE,"Month ";#N/A,#N/A,FALSE,"YTD";#N/A,#N/A,FALSE,"12 mo ended"}</definedName>
    <definedName name="ee" localSheetId="12" hidden="1">{#N/A,#N/A,FALSE,"Month ";#N/A,#N/A,FALSE,"YTD";#N/A,#N/A,FALSE,"12 mo ended"}</definedName>
    <definedName name="ee" localSheetId="14" hidden="1">{#N/A,#N/A,FALSE,"Month ";#N/A,#N/A,FALSE,"YTD";#N/A,#N/A,FALSE,"12 mo ended"}</definedName>
    <definedName name="ee" localSheetId="15" hidden="1">{#N/A,#N/A,FALSE,"Month ";#N/A,#N/A,FALSE,"YTD";#N/A,#N/A,FALSE,"12 mo ended"}</definedName>
    <definedName name="ee" localSheetId="17" hidden="1">{#N/A,#N/A,FALSE,"Month ";#N/A,#N/A,FALSE,"YTD";#N/A,#N/A,FALSE,"12 mo ended"}</definedName>
    <definedName name="ee" localSheetId="16" hidden="1">{#N/A,#N/A,FALSE,"Month ";#N/A,#N/A,FALSE,"YTD";#N/A,#N/A,FALSE,"12 mo ended"}</definedName>
    <definedName name="ee" localSheetId="24" hidden="1">{#N/A,#N/A,FALSE,"Month ";#N/A,#N/A,FALSE,"YTD";#N/A,#N/A,FALSE,"12 mo ended"}</definedName>
    <definedName name="ee" localSheetId="26" hidden="1">{#N/A,#N/A,FALSE,"Month ";#N/A,#N/A,FALSE,"YTD";#N/A,#N/A,FALSE,"12 mo ended"}</definedName>
    <definedName name="ee" localSheetId="27" hidden="1">{#N/A,#N/A,FALSE,"Month ";#N/A,#N/A,FALSE,"YTD";#N/A,#N/A,FALSE,"12 mo ended"}</definedName>
    <definedName name="ee" localSheetId="8" hidden="1">{#N/A,#N/A,FALSE,"Month ";#N/A,#N/A,FALSE,"YTD";#N/A,#N/A,FALSE,"12 mo ended"}</definedName>
    <definedName name="ee" localSheetId="25" hidden="1">{#N/A,#N/A,FALSE,"Month ";#N/A,#N/A,FALSE,"YTD";#N/A,#N/A,FALSE,"12 mo ended"}</definedName>
    <definedName name="ee" localSheetId="28" hidden="1">{#N/A,#N/A,FALSE,"Month ";#N/A,#N/A,FALSE,"YTD";#N/A,#N/A,FALSE,"12 mo ended"}</definedName>
    <definedName name="ee" localSheetId="33" hidden="1">{#N/A,#N/A,FALSE,"Month ";#N/A,#N/A,FALSE,"YTD";#N/A,#N/A,FALSE,"12 mo ended"}</definedName>
    <definedName name="ee" localSheetId="62" hidden="1">{#N/A,#N/A,FALSE,"Month ";#N/A,#N/A,FALSE,"YTD";#N/A,#N/A,FALSE,"12 mo ended"}</definedName>
    <definedName name="ee" localSheetId="64" hidden="1">{#N/A,#N/A,FALSE,"Month ";#N/A,#N/A,FALSE,"YTD";#N/A,#N/A,FALSE,"12 mo ended"}</definedName>
    <definedName name="ee" hidden="1">{#N/A,#N/A,FALSE,"Month ";#N/A,#N/A,FALSE,"YTD";#N/A,#N/A,FALSE,"12 mo ended"}</definedName>
    <definedName name="EffTax">#REF!</definedName>
    <definedName name="Electp1">#REF!</definedName>
    <definedName name="Electp2">#REF!</definedName>
    <definedName name="Electric_Prices">'[7]Monthly Price Summary'!$B$4:$E$27</definedName>
    <definedName name="ElRBLine">[1]BS!$AQ$7:$AQ$3303</definedName>
    <definedName name="EMPLBENE">#REF!</definedName>
    <definedName name="EndDate">[5]Assumptions!$C$11</definedName>
    <definedName name="Estimate" hidden="1">{#N/A,#N/A,FALSE,"Summ";#N/A,#N/A,FALSE,"General"}</definedName>
    <definedName name="ex" hidden="1">{#N/A,#N/A,FALSE,"Summ";#N/A,#N/A,FALSE,"General"}</definedName>
    <definedName name="Exhibit_No.______MJS_4">'[3]MJS-4'!$O$3</definedName>
    <definedName name="Exhibit_No.______MJS_5">'[3]MJS-5'!$E$3</definedName>
    <definedName name="Exhibit_No.______MJS_6">'[3]MJS-6'!$F$3</definedName>
    <definedName name="_xlnm.Extract" localSheetId="48">'JKP-8.4c - Direct 380'!$H$9</definedName>
    <definedName name="FACTORS">#REF!</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localSheetId="22" hidden="1">{#N/A,#N/A,FALSE,"Month ";#N/A,#N/A,FALSE,"YTD";#N/A,#N/A,FALSE,"12 mo ended"}</definedName>
    <definedName name="fdsafdasfdsa" localSheetId="23" hidden="1">{#N/A,#N/A,FALSE,"Month ";#N/A,#N/A,FALSE,"YTD";#N/A,#N/A,FALSE,"12 mo ended"}</definedName>
    <definedName name="fdsafdasfdsa" localSheetId="10" hidden="1">{#N/A,#N/A,FALSE,"Month ";#N/A,#N/A,FALSE,"YTD";#N/A,#N/A,FALSE,"12 mo ended"}</definedName>
    <definedName name="fdsafdasfdsa" localSheetId="11" hidden="1">{#N/A,#N/A,FALSE,"Month ";#N/A,#N/A,FALSE,"YTD";#N/A,#N/A,FALSE,"12 mo ended"}</definedName>
    <definedName name="fdsafdasfdsa" localSheetId="12" hidden="1">{#N/A,#N/A,FALSE,"Month ";#N/A,#N/A,FALSE,"YTD";#N/A,#N/A,FALSE,"12 mo ended"}</definedName>
    <definedName name="fdsafdasfdsa" localSheetId="14" hidden="1">{#N/A,#N/A,FALSE,"Month ";#N/A,#N/A,FALSE,"YTD";#N/A,#N/A,FALSE,"12 mo ended"}</definedName>
    <definedName name="fdsafdasfdsa" localSheetId="15" hidden="1">{#N/A,#N/A,FALSE,"Month ";#N/A,#N/A,FALSE,"YTD";#N/A,#N/A,FALSE,"12 mo ended"}</definedName>
    <definedName name="fdsafdasfdsa" localSheetId="17" hidden="1">{#N/A,#N/A,FALSE,"Month ";#N/A,#N/A,FALSE,"YTD";#N/A,#N/A,FALSE,"12 mo ended"}</definedName>
    <definedName name="fdsafdasfdsa" localSheetId="16" hidden="1">{#N/A,#N/A,FALSE,"Month ";#N/A,#N/A,FALSE,"YTD";#N/A,#N/A,FALSE,"12 mo ended"}</definedName>
    <definedName name="fdsafdasfdsa" localSheetId="24" hidden="1">{#N/A,#N/A,FALSE,"Month ";#N/A,#N/A,FALSE,"YTD";#N/A,#N/A,FALSE,"12 mo ended"}</definedName>
    <definedName name="fdsafdasfdsa" localSheetId="26" hidden="1">{#N/A,#N/A,FALSE,"Month ";#N/A,#N/A,FALSE,"YTD";#N/A,#N/A,FALSE,"12 mo ended"}</definedName>
    <definedName name="fdsafdasfdsa" localSheetId="27" hidden="1">{#N/A,#N/A,FALSE,"Month ";#N/A,#N/A,FALSE,"YTD";#N/A,#N/A,FALSE,"12 mo ended"}</definedName>
    <definedName name="fdsafdasfdsa" localSheetId="8" hidden="1">{#N/A,#N/A,FALSE,"Month ";#N/A,#N/A,FALSE,"YTD";#N/A,#N/A,FALSE,"12 mo ended"}</definedName>
    <definedName name="fdsafdasfdsa" localSheetId="25" hidden="1">{#N/A,#N/A,FALSE,"Month ";#N/A,#N/A,FALSE,"YTD";#N/A,#N/A,FALSE,"12 mo ended"}</definedName>
    <definedName name="fdsafdasfdsa" localSheetId="28" hidden="1">{#N/A,#N/A,FALSE,"Month ";#N/A,#N/A,FALSE,"YTD";#N/A,#N/A,FALSE,"12 mo ended"}</definedName>
    <definedName name="fdsafdasfdsa" localSheetId="33" hidden="1">{#N/A,#N/A,FALSE,"Month ";#N/A,#N/A,FALSE,"YTD";#N/A,#N/A,FALSE,"12 mo ended"}</definedName>
    <definedName name="fdsafdasfdsa" hidden="1">{#N/A,#N/A,FALSE,"Month ";#N/A,#N/A,FALSE,"YTD";#N/A,#N/A,FALSE,"12 mo ended"}</definedName>
    <definedName name="Feb04AMA">[1]BS!$AE$7:$AE$3582</definedName>
    <definedName name="Fed_Cap_Tax">[8]Inputs!$E$112</definedName>
    <definedName name="FedTaxRate">[5]Assumptions!$C$33</definedName>
    <definedName name="FF">#REF!</definedName>
    <definedName name="FIT" localSheetId="28">'[9]2007 GRC Elec CF'!$GB$20</definedName>
    <definedName name="GAS">#REF!</definedName>
    <definedName name="GasRBLine">[1]BS!$AS$7:$AS$3631</definedName>
    <definedName name="GasWC_LineItem">[1]BS!$AR$7:$AR$3631</definedName>
    <definedName name="HydroCap">#REF!</definedName>
    <definedName name="INCSTMNT">#REF!</definedName>
    <definedName name="INCSTMT">#REF!</definedName>
    <definedName name="INTRESEXCH">#REF!</definedName>
    <definedName name="INVPLAN">#REF!</definedName>
    <definedName name="Jan04AMA">[1]BS!$AD$7:$AD$3582</definedName>
    <definedName name="JPSTOR">#REF!</definedName>
    <definedName name="Jul04AMA">[1]BS!$AJ$7:$AJ$3582</definedName>
    <definedName name="Jun04AMA">[1]BS!$AI$7:$AI$3582</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#REF!</definedName>
    <definedName name="LoadArray">'[10]Load Source Data'!$C$78:$X$89</definedName>
    <definedName name="LoadGrowthAdder">#REF!</definedName>
    <definedName name="LP">#REF!</definedName>
    <definedName name="MAINS">#REF!</definedName>
    <definedName name="Mar04AMA">[1]BS!$AF$7:$AF$3582</definedName>
    <definedName name="May04AMA">[1]BS!$AH$7:$AH$3582</definedName>
    <definedName name="MERGER_COST">[11]Sheet1!$AF$3:$AJ$28</definedName>
    <definedName name="MET_REGPT">#REF!</definedName>
    <definedName name="MISCELLANEOUS">#REF!</definedName>
    <definedName name="MR_GENPT">#REF!</definedName>
    <definedName name="MR_INDPT">#REF!</definedName>
    <definedName name="MT">#REF!</definedName>
    <definedName name="MTD_Format">[12]Mthly!$B$11:$D$11,[12]Mthly!$B$32:$D$32</definedName>
    <definedName name="MTRS_CUS">#REF!</definedName>
    <definedName name="MTRS_INT">#REF!</definedName>
    <definedName name="MTRS_REG">#REF!</definedName>
    <definedName name="new" hidden="1">{#N/A,#N/A,FALSE,"Summ";#N/A,#N/A,FALSE,"General"}</definedName>
    <definedName name="Nov03AMA">[2]BS!$AI$7:$AI$3582</definedName>
    <definedName name="Nov04AMA">[1]BS!$AN$7:$AN$3582</definedName>
    <definedName name="OBCLEASE">#REF!</definedName>
    <definedName name="Oct03AMA">[2]BS!$AH$7:$AH$3582</definedName>
    <definedName name="Oct04AMA">[1]BS!$AM$7:$AM$3582</definedName>
    <definedName name="OML">#REF!</definedName>
    <definedName name="OPEXPRS">#REF!</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#REF!</definedName>
    <definedName name="Page1">#REF!</definedName>
    <definedName name="Page2">#REF!</definedName>
    <definedName name="PDAY">#REF!</definedName>
    <definedName name="PDAY_376">#REF!</definedName>
    <definedName name="PDAYT">#REF!</definedName>
    <definedName name="Percent_debt">[8]Inputs!$E$129</definedName>
    <definedName name="PERCENTAGES_CALCULATED">#REF!</definedName>
    <definedName name="PLT">#REF!</definedName>
    <definedName name="PreTaxDebtCost">[5]Assumptions!$I$56</definedName>
    <definedName name="PreTaxWACC">[5]Assumptions!$I$62</definedName>
    <definedName name="Prices_Aurora">'[7]Monthly Price Summary'!$C$4:$H$63</definedName>
    <definedName name="_xlnm.Print_Area" localSheetId="1">'Exhibit No._(CTM-4), Pg. 1'!$A$2:$K$63</definedName>
    <definedName name="_xlnm.Print_Area" localSheetId="2">'Exhibit No._(CTM-4), Pg. 2'!$A$2:$Q$38</definedName>
    <definedName name="_xlnm.Print_Area" localSheetId="3">'Exhibit No._(CTM-4), Pg. 3'!$B$2:$M$48</definedName>
    <definedName name="_xlnm.Print_Area" localSheetId="4">'Exhibit No._(CTM-4), Pg. 4'!$B$2:$M$127</definedName>
    <definedName name="_xlnm.Print_Area" localSheetId="5">'Exhibit No._(CTM-4), Pg. 5'!$B$2:$M$219</definedName>
    <definedName name="_xlnm.Print_Area" localSheetId="6">'Exhibit No._(CTM-4), Pg. 6'!$B$2:$K$30</definedName>
    <definedName name="_xlnm.Print_Area" localSheetId="19">'JKP-3.1c - 41 Min Migration Adj'!$A$1:$N$48</definedName>
    <definedName name="_xlnm.Print_Area" localSheetId="20">'JKP-3.1c - 41T 86T Migrat Adj'!$A$1:$N$70</definedName>
    <definedName name="_xlnm.Print_Area" localSheetId="18">'JKP-3.1c - 85&amp;T Min Charge Adj '!$A$13:$M$60</definedName>
    <definedName name="_xlnm.Print_Area" localSheetId="13">'JKP-3.1c - Customer Data'!$A$1:$O$51</definedName>
    <definedName name="_xlnm.Print_Area" localSheetId="7">'JKP-3.1c - Data'!$B$1:$O$199</definedName>
    <definedName name="_xlnm.Print_Area" localSheetId="9">'JKP-3.1c - New Cust'!$B$7:$R$56</definedName>
    <definedName name="_xlnm.Print_Area" localSheetId="22">'JKP-3.1c - Norm Rev Rates GTI10'!$B$1:$R$979</definedName>
    <definedName name="_xlnm.Print_Area" localSheetId="23">'JKP-3.1c - PF RevRAF GRC11'!$B$1:$F$718</definedName>
    <definedName name="_xlnm.Print_Area" localSheetId="10">'JKP-3.1c - RentalActualRates'!$B$7:$R$96</definedName>
    <definedName name="_xlnm.Print_Area" localSheetId="11">'JKP-3.1c - Rentals Rates GRC09'!$B$7:$R$96</definedName>
    <definedName name="_xlnm.Print_Area" localSheetId="12">'JKP-3.1c - Rentals Rates GTI10'!$B$7:$R$96</definedName>
    <definedName name="_xlnm.Print_Area" localSheetId="14">'JKP-3.1c - Rev Actual Rates'!$B$1:$R$990</definedName>
    <definedName name="_xlnm.Print_Area" localSheetId="15">'JKP-3.1c - Rev Rates GRC09'!$B$1:$R$979</definedName>
    <definedName name="_xlnm.Print_Area" localSheetId="17">'JKP-3.1c - Rev Rates GTI10'!$B$1:$R$979</definedName>
    <definedName name="_xlnm.Print_Area" localSheetId="16">'JKP-3.1c - Rev Rates PGA Nov10'!$B$1:$R$979</definedName>
    <definedName name="_xlnm.Print_Area" localSheetId="24">'JKP-3.1c - Revenue'!$B$1:$AA$41</definedName>
    <definedName name="_xlnm.Print_Area" localSheetId="26">'JKP-3.1c - Revenue Exhibit'!$B$1:$R$58</definedName>
    <definedName name="_xlnm.Print_Area" localSheetId="27">'JKP-3.1c - Summary'!$B$1:$I$41</definedName>
    <definedName name="_xlnm.Print_Area" localSheetId="8">'JKP-3.1c - Therms Data'!$B$1:$Q$104</definedName>
    <definedName name="_xlnm.Print_Area" localSheetId="25">'JKP-3.1c - Volume Exhibit '!$B$1:$J$24</definedName>
    <definedName name="_xlnm.Print_Area" localSheetId="21">'JKP-3.1c - Weather Adj'!$D$8:$P$260</definedName>
    <definedName name="_xlnm.Print_Area" localSheetId="28">'JKP-7.4 - RAF'!$A$1:$F$32</definedName>
    <definedName name="_xlnm.Print_Area" localSheetId="29">'JKP-7.5 - Inc Statement Gas'!$A$1:$H$178</definedName>
    <definedName name="_xlnm.Print_Area" localSheetId="30">'JKP-7.5 - RB Plant Adj Gas'!$A$1:$H$159</definedName>
    <definedName name="_xlnm.Print_Area" localSheetId="34">'JKP-7.6c - Data GRC11'!$A$1:$C$34</definedName>
    <definedName name="_xlnm.Print_Area" localSheetId="31">'JKP-7.6c - Gas Costs'!$B$1:$J$81</definedName>
    <definedName name="_xlnm.Print_Area" localSheetId="32">'JKP-7.6c - PGA-2.1'!$A$2:$P$56</definedName>
    <definedName name="_xlnm.Print_Area" localSheetId="33">'JKP-7.6c - Vol PGA-3'!$A$1:$N$49</definedName>
    <definedName name="_xlnm.Print_Area" localSheetId="36">'JKP-7.7 - Allocated'!$B$1:$F$46</definedName>
    <definedName name="_xlnm.Print_Area" localSheetId="35">'JKP-7.7 - Data'!$A$1:$E$36</definedName>
    <definedName name="_xlnm.Print_Area" localSheetId="37">'JKP-7.7 - For COS'!$B$1:$K$26</definedName>
    <definedName name="_xlnm.Print_Area" localSheetId="41">'JKP-8.1 - Cust &amp; DIR 252'!$A$1:$E$30</definedName>
    <definedName name="_xlnm.Print_Area" localSheetId="40">'JKP-8.1 - Cust Count Net of Mig'!$A$1:$P$49</definedName>
    <definedName name="_xlnm.Print_Area" localSheetId="39">'JKP-8.1 - Cust Data'!$A$1:$O$55</definedName>
    <definedName name="_xlnm.Print_Area" localSheetId="68">'JKP-8.10 - Summary'!$A$1:$F$19</definedName>
    <definedName name="_xlnm.Print_Area" localSheetId="42">'JKP-8.3 - Summary 2006-2010'!$A$1:$U$46</definedName>
    <definedName name="_xlnm.Print_Area" localSheetId="43">'JKP-8.4 - Summary 2006-2010'!$A$1:$U$46</definedName>
    <definedName name="_xlnm.Print_Area" localSheetId="48">'JKP-8.4c - Direct 380'!$A$1:$F$34</definedName>
    <definedName name="_xlnm.Print_Area" localSheetId="47">'JKP-8.4c - Schedule 85'!$A$1:$K$141</definedName>
    <definedName name="_xlnm.Print_Area" localSheetId="49">'JKP-8.4c - WtCust'!$A$1:$H$20</definedName>
    <definedName name="_xlnm.Print_Area" localSheetId="50">'JKP-8.5 - CNSMREQP_GASMTRCTR'!$A$2:$G$420</definedName>
    <definedName name="_xlnm.Print_Area" localSheetId="56">'JKP-8.5 - Summary'!$A$1:$J$33</definedName>
    <definedName name="_xlnm.Print_Area" localSheetId="55">'JKP-8.5 - Total Costs'!$A$1:$W$265</definedName>
    <definedName name="_xlnm.Print_Area" localSheetId="54">'JKP-8.5 - Unit Costs'!$A$1:$H$35</definedName>
    <definedName name="_xlnm.Print_Area" localSheetId="58">'JKP-8.6 - Allocator'!$B$1:$M$40</definedName>
    <definedName name="_xlnm.Print_Area" localSheetId="57">'JKP-8.6 - Costs'!$A$1:$F$34</definedName>
    <definedName name="_xlnm.Print_Area" localSheetId="59">'JKP-8.7c - By Size'!$A$1:$O$34</definedName>
    <definedName name="_xlnm.Print_Area" localSheetId="62">'JKP-8.8 - Class Calc'!$B$1:$G$32</definedName>
    <definedName name="_xlnm.Print_Area" localSheetId="63">'JKP-8.8 - Est Firm Sys Peak Day'!$A$1:$F$44</definedName>
    <definedName name="_xlnm.Print_Area" localSheetId="65">'JKP-8.8 - Peak Day Allocators'!$A$1:$L$52</definedName>
    <definedName name="_xlnm.Print_Area" localSheetId="61">'JKP-8.8 - Peak Day Calculation'!$A$1:$H$68</definedName>
    <definedName name="_xlnm.Print_Area" localSheetId="64">'JKP-8.8 - SalesVols'!$B$1:$R$22</definedName>
    <definedName name="_xlnm.Print_Area" localSheetId="66">'JKP-8.8 - System Load Factor'!$A$1:$D$19</definedName>
    <definedName name="_xlnm.Print_Area" localSheetId="67">'JKP-8.9 - Gas One Time Charge'!$A$1:$L$56</definedName>
    <definedName name="PRINT_AREA_MI">#REF!</definedName>
    <definedName name="_xlnm.Print_Titles" localSheetId="2">'Exhibit No._(CTM-4), Pg. 2'!$B:$B,'Exhibit No._(CTM-4), Pg. 2'!$2:$13</definedName>
    <definedName name="_xlnm.Print_Titles" localSheetId="3">'Exhibit No._(CTM-4), Pg. 3'!$6:$11</definedName>
    <definedName name="_xlnm.Print_Titles" localSheetId="4">'Exhibit No._(CTM-4), Pg. 4'!$2:$11</definedName>
    <definedName name="_xlnm.Print_Titles" localSheetId="5">'Exhibit No._(CTM-4), Pg. 5'!$2:$11</definedName>
    <definedName name="_xlnm.Print_Titles" localSheetId="18">'JKP-3.1c - 85&amp;T Min Charge Adj '!$A:$A</definedName>
    <definedName name="_xlnm.Print_Titles" localSheetId="7">'JKP-3.1c - Data'!$4:$4</definedName>
    <definedName name="_xlnm.Print_Titles" localSheetId="9">'JKP-3.1c - New Cust'!$1:$6</definedName>
    <definedName name="_xlnm.Print_Titles" localSheetId="22">'JKP-3.1c - Norm Rev Rates GTI10'!$1:$6</definedName>
    <definedName name="_xlnm.Print_Titles" localSheetId="23">'JKP-3.1c - PF RevRAF GRC11'!$34:$35</definedName>
    <definedName name="_xlnm.Print_Titles" localSheetId="10">'JKP-3.1c - RentalActualRates'!$1:$6</definedName>
    <definedName name="_xlnm.Print_Titles" localSheetId="11">'JKP-3.1c - Rentals Rates GRC09'!$1:$6</definedName>
    <definedName name="_xlnm.Print_Titles" localSheetId="12">'JKP-3.1c - Rentals Rates GTI10'!$1:$6</definedName>
    <definedName name="_xlnm.Print_Titles" localSheetId="14">'JKP-3.1c - Rev Actual Rates'!$1:$6</definedName>
    <definedName name="_xlnm.Print_Titles" localSheetId="15">'JKP-3.1c - Rev Rates GRC09'!$1:$6</definedName>
    <definedName name="_xlnm.Print_Titles" localSheetId="17">'JKP-3.1c - Rev Rates GTI10'!$1:$6</definedName>
    <definedName name="_xlnm.Print_Titles" localSheetId="16">'JKP-3.1c - Rev Rates PGA Nov10'!$1:$6</definedName>
    <definedName name="_xlnm.Print_Titles" localSheetId="24">'JKP-3.1c - Revenue'!$B:$C</definedName>
    <definedName name="_xlnm.Print_Titles" localSheetId="8">'JKP-3.1c - Therms Data'!$1:$4</definedName>
    <definedName name="_xlnm.Print_Titles" localSheetId="21">'JKP-3.1c - Weather Adj'!$B:$C,'JKP-3.1c - Weather Adj'!$1:$7</definedName>
    <definedName name="_xlnm.Print_Titles" localSheetId="29">'JKP-7.5 - Inc Statement Gas'!$1:$3</definedName>
    <definedName name="_xlnm.Print_Titles" localSheetId="30">'JKP-7.5 - RB Plant Adj Gas'!$1:$3</definedName>
    <definedName name="_xlnm.Print_Titles" localSheetId="31">'JKP-7.6c - Gas Costs'!$7:$9</definedName>
    <definedName name="_xlnm.Print_Titles" localSheetId="46">'JKP-8.4c - Customer List'!$3:$4</definedName>
    <definedName name="_xlnm.Print_Titles" localSheetId="44">'JKP-8.4c - G380 123110 (Final)'!$1:$1</definedName>
    <definedName name="_xlnm.Print_Titles" localSheetId="47">'JKP-8.4c - Schedule 85'!$3:$4</definedName>
    <definedName name="_xlnm.Print_Titles" localSheetId="50">'JKP-8.5 - CNSMREQP_GASMTRCTR'!$1:$1</definedName>
    <definedName name="_xlnm.Print_Titles" localSheetId="55">'JKP-8.5 - Total Costs'!$A:$E,'JKP-8.5 - Total Costs'!$6:$7</definedName>
    <definedName name="_xlnm.Print_Titles" localSheetId="60">'JKP-8.7c - G376 123110 Final'!$1:$1</definedName>
    <definedName name="_xlnm.Print_Titles" localSheetId="64">'JKP-8.8 - SalesVols'!$B:$C,'JKP-8.8 - SalesVols'!$1:$6</definedName>
    <definedName name="PRO_FORMA">#REF!</definedName>
    <definedName name="PROD_OML">#REF!</definedName>
    <definedName name="PRODPT">#REF!</definedName>
    <definedName name="Production_Factor">#REF!</definedName>
    <definedName name="Prov_Cap_Tax">[8]Inputs!$E$111</definedName>
    <definedName name="PSE">'[3]MJS-6'!$A$6</definedName>
    <definedName name="PSPL">#REF!</definedName>
    <definedName name="PWRCSTRS">#REF!</definedName>
    <definedName name="PWRCSTWP">#REF!</definedName>
    <definedName name="PWRCSTWR">#REF!</definedName>
    <definedName name="R_904">#REF!</definedName>
    <definedName name="RATEBASE">#REF!</definedName>
    <definedName name="RATEBASE_U95">#REF!</definedName>
    <definedName name="RCF">[6]INPUTS!$F$48</definedName>
    <definedName name="RENTALS">#REF!</definedName>
    <definedName name="resource_lookup">'[13]#REF'!$B$3:$C$112</definedName>
    <definedName name="RESTATING">#REF!</definedName>
    <definedName name="REV">#REF!</definedName>
    <definedName name="REVADJ">#REF!</definedName>
    <definedName name="REVREQ">#REF!</definedName>
    <definedName name="ROE">#REF!</definedName>
    <definedName name="ROR" localSheetId="65">#REF!</definedName>
    <definedName name="ROR" localSheetId="61">#REF!</definedName>
    <definedName name="ROR">#REF!</definedName>
    <definedName name="Sales_Peak_Migrated_to_Transportation">'JKP-8.8 - Class Calc'!$F$31</definedName>
    <definedName name="SALESACCT">#REF!</definedName>
    <definedName name="SALESRESALEP">#REF!</definedName>
    <definedName name="SALESRESALER">#REF!</definedName>
    <definedName name="SEAS_2">#REF!</definedName>
    <definedName name="SEAS_3">#REF!</definedName>
    <definedName name="Sep03AMA">[2]BS!$AG$7:$AG$3582</definedName>
    <definedName name="Sep04AMA">[1]BS!$AL$7:$AL$3582</definedName>
    <definedName name="SERV">#REF!</definedName>
    <definedName name="six" hidden="1">{#N/A,#N/A,FALSE,"Drill Sites";"WP 212",#N/A,FALSE,"MWAG EOR";"WP 213",#N/A,FALSE,"MWAG EOR";#N/A,#N/A,FALSE,"Misc. Facility";#N/A,#N/A,FALSE,"WWTP"}</definedName>
    <definedName name="SLFINSURANCE">#REF!</definedName>
    <definedName name="STAFFREDUC">#REF!</definedName>
    <definedName name="StartDate">[5]Assumptions!$C$9</definedName>
    <definedName name="STATE_UTILITY_TAX">'[3]MJS-7'!$N$16</definedName>
    <definedName name="STORM">#REF!</definedName>
    <definedName name="STORPT">#REF!</definedName>
    <definedName name="SUMMARY">#REF!</definedName>
    <definedName name="t" hidden="1">{#N/A,#N/A,FALSE,"CESTSUM";#N/A,#N/A,FALSE,"est sum A";#N/A,#N/A,FALSE,"est detail A"}</definedName>
    <definedName name="TAXCORPLIC">#REF!</definedName>
    <definedName name="TAXENERGYR">#REF!</definedName>
    <definedName name="TAXEXCISE">#REF!</definedName>
    <definedName name="TAXFICA">#REF!</definedName>
    <definedName name="TAXINCOME">#REF!</definedName>
    <definedName name="TAXMEDICARE">#REF!</definedName>
    <definedName name="TAXPFINT">#REF!</definedName>
    <definedName name="TAXPROPERTY">#REF!</definedName>
    <definedName name="TEMP" hidden="1">{#N/A,#N/A,FALSE,"Summ";#N/A,#N/A,FALSE,"General"}</definedName>
    <definedName name="Temp1" hidden="1">{#N/A,#N/A,FALSE,"CESTSUM";#N/A,#N/A,FALSE,"est sum A";#N/A,#N/A,FALSE,"est detail A"}</definedName>
    <definedName name="TEMPADJ">#REF!</definedName>
    <definedName name="TESTYEAR" localSheetId="28">'[3]MJS-6'!$A$8</definedName>
    <definedName name="TESTYEAR">#REF!</definedName>
    <definedName name="therm_factors">'JKP-8.8 - Peak Day Allocators'!$A$5:$L$31</definedName>
    <definedName name="Therm_upload">#REF!</definedName>
    <definedName name="ThermalBookLife">[5]Assumptions!$C$25</definedName>
    <definedName name="Title">[5]Assumptions!$A$1</definedName>
    <definedName name="TRANPT">#REF!</definedName>
    <definedName name="u" hidden="1">{#N/A,#N/A,FALSE,"Summ";#N/A,#N/A,FALSE,"General"}</definedName>
    <definedName name="UBakerAvail">#REF!</definedName>
    <definedName name="UNITCOMPARE">#REF!</definedName>
    <definedName name="UNITCOSTS">#REF!</definedName>
    <definedName name="UTG">#REF!</definedName>
    <definedName name="UTN">#REF!</definedName>
    <definedName name="VOMEsc">[5]Assumptions!$C$21</definedName>
    <definedName name="WACC">[5]Assumptions!$I$61</definedName>
    <definedName name="we" localSheetId="2" hidden="1">{#N/A,#N/A,FALSE,"Pg 6b CustCount_Gas";#N/A,#N/A,FALSE,"QA";#N/A,#N/A,FALSE,"Report";#N/A,#N/A,FALSE,"forecast"}</definedName>
    <definedName name="we" localSheetId="7" hidden="1">{#N/A,#N/A,FALSE,"Pg 6b CustCount_Gas";#N/A,#N/A,FALSE,"QA";#N/A,#N/A,FALSE,"Report";#N/A,#N/A,FALSE,"forecast"}</definedName>
    <definedName name="we" localSheetId="9" hidden="1">{#N/A,#N/A,FALSE,"Pg 6b CustCount_Gas";#N/A,#N/A,FALSE,"QA";#N/A,#N/A,FALSE,"Report";#N/A,#N/A,FALSE,"forecast"}</definedName>
    <definedName name="we" localSheetId="22" hidden="1">{#N/A,#N/A,FALSE,"Pg 6b CustCount_Gas";#N/A,#N/A,FALSE,"QA";#N/A,#N/A,FALSE,"Report";#N/A,#N/A,FALSE,"forecast"}</definedName>
    <definedName name="we" localSheetId="23" hidden="1">{#N/A,#N/A,FALSE,"Pg 6b CustCount_Gas";#N/A,#N/A,FALSE,"QA";#N/A,#N/A,FALSE,"Report";#N/A,#N/A,FALSE,"forecast"}</definedName>
    <definedName name="we" localSheetId="10" hidden="1">{#N/A,#N/A,FALSE,"Pg 6b CustCount_Gas";#N/A,#N/A,FALSE,"QA";#N/A,#N/A,FALSE,"Report";#N/A,#N/A,FALSE,"forecast"}</definedName>
    <definedName name="we" localSheetId="11" hidden="1">{#N/A,#N/A,FALSE,"Pg 6b CustCount_Gas";#N/A,#N/A,FALSE,"QA";#N/A,#N/A,FALSE,"Report";#N/A,#N/A,FALSE,"forecast"}</definedName>
    <definedName name="we" localSheetId="12" hidden="1">{#N/A,#N/A,FALSE,"Pg 6b CustCount_Gas";#N/A,#N/A,FALSE,"QA";#N/A,#N/A,FALSE,"Report";#N/A,#N/A,FALSE,"forecast"}</definedName>
    <definedName name="we" localSheetId="14" hidden="1">{#N/A,#N/A,FALSE,"Pg 6b CustCount_Gas";#N/A,#N/A,FALSE,"QA";#N/A,#N/A,FALSE,"Report";#N/A,#N/A,FALSE,"forecast"}</definedName>
    <definedName name="we" localSheetId="15" hidden="1">{#N/A,#N/A,FALSE,"Pg 6b CustCount_Gas";#N/A,#N/A,FALSE,"QA";#N/A,#N/A,FALSE,"Report";#N/A,#N/A,FALSE,"forecast"}</definedName>
    <definedName name="we" localSheetId="17" hidden="1">{#N/A,#N/A,FALSE,"Pg 6b CustCount_Gas";#N/A,#N/A,FALSE,"QA";#N/A,#N/A,FALSE,"Report";#N/A,#N/A,FALSE,"forecast"}</definedName>
    <definedName name="we" localSheetId="16" hidden="1">{#N/A,#N/A,FALSE,"Pg 6b CustCount_Gas";#N/A,#N/A,FALSE,"QA";#N/A,#N/A,FALSE,"Report";#N/A,#N/A,FALSE,"forecast"}</definedName>
    <definedName name="we" localSheetId="24" hidden="1">{#N/A,#N/A,FALSE,"Pg 6b CustCount_Gas";#N/A,#N/A,FALSE,"QA";#N/A,#N/A,FALSE,"Report";#N/A,#N/A,FALSE,"forecast"}</definedName>
    <definedName name="we" localSheetId="26" hidden="1">{#N/A,#N/A,FALSE,"Pg 6b CustCount_Gas";#N/A,#N/A,FALSE,"QA";#N/A,#N/A,FALSE,"Report";#N/A,#N/A,FALSE,"forecast"}</definedName>
    <definedName name="we" localSheetId="27" hidden="1">{#N/A,#N/A,FALSE,"Pg 6b CustCount_Gas";#N/A,#N/A,FALSE,"QA";#N/A,#N/A,FALSE,"Report";#N/A,#N/A,FALSE,"forecast"}</definedName>
    <definedName name="we" localSheetId="8" hidden="1">{#N/A,#N/A,FALSE,"Pg 6b CustCount_Gas";#N/A,#N/A,FALSE,"QA";#N/A,#N/A,FALSE,"Report";#N/A,#N/A,FALSE,"forecast"}</definedName>
    <definedName name="we" localSheetId="25" hidden="1">{#N/A,#N/A,FALSE,"Pg 6b CustCount_Gas";#N/A,#N/A,FALSE,"QA";#N/A,#N/A,FALSE,"Report";#N/A,#N/A,FALSE,"forecast"}</definedName>
    <definedName name="we" localSheetId="28" hidden="1">{#N/A,#N/A,FALSE,"Pg 6b CustCount_Gas";#N/A,#N/A,FALSE,"QA";#N/A,#N/A,FALSE,"Report";#N/A,#N/A,FALSE,"forecast"}</definedName>
    <definedName name="we" localSheetId="33" hidden="1">{#N/A,#N/A,FALSE,"Pg 6b CustCount_Gas";#N/A,#N/A,FALSE,"QA";#N/A,#N/A,FALSE,"Report";#N/A,#N/A,FALSE,"forecast"}</definedName>
    <definedName name="we" localSheetId="62" hidden="1">{#N/A,#N/A,FALSE,"Pg 6b CustCount_Gas";#N/A,#N/A,FALSE,"QA";#N/A,#N/A,FALSE,"Report";#N/A,#N/A,FALSE,"forecast"}</definedName>
    <definedName name="we" localSheetId="64" hidden="1">{#N/A,#N/A,FALSE,"Pg 6b CustCount_Gas";#N/A,#N/A,FALSE,"QA";#N/A,#N/A,FALSE,"Report";#N/A,#N/A,FALSE,"forecast"}</definedName>
    <definedName name="we" hidden="1">{#N/A,#N/A,FALSE,"Pg 6b CustCount_Gas";#N/A,#N/A,FALSE,"QA";#N/A,#N/A,FALSE,"Report";#N/A,#N/A,FALSE,"forecast"}</definedName>
    <definedName name="wrn.1._.Bi._.Monthly._.CR." hidden="1">{#N/A,#N/A,FALSE,"Drill Sites";"WP 212",#N/A,FALSE,"MWAG EOR";"WP 213",#N/A,FALSE,"MWAG EOR";#N/A,#N/A,FALSE,"Misc. Facility";#N/A,#N/A,FALSE,"WWTP"}</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6"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28"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62" hidden="1">{#N/A,#N/A,FALSE,"Pg 6b CustCount_Gas";#N/A,#N/A,FALSE,"QA";#N/A,#N/A,FALSE,"Report";#N/A,#N/A,FALSE,"forecast"}</definedName>
    <definedName name="wrn.Customer._.Counts._.Gas." localSheetId="64" hidden="1">{#N/A,#N/A,FALSE,"Pg 6b CustCount_Gas";#N/A,#N/A,FALSE,"QA";#N/A,#N/A,FALSE,"Report";#N/A,#N/A,FALSE,"forecast"}</definedName>
    <definedName name="wrn.Customer._.Counts._.Gas." hidden="1">{#N/A,#N/A,FALSE,"Pg 6b CustCount_Gas";#N/A,#N/A,FALSE,"QA";#N/A,#N/A,FALSE,"Report";#N/A,#N/A,FALSE,"forecast"}</definedName>
    <definedName name="wrn.ESTIMATE." hidden="1">{#N/A,#N/A,FALSE,"CESTSUM";#N/A,#N/A,FALSE,"est sum A";#N/A,#N/A,FALSE,"est detail A"}</definedName>
    <definedName name="wrn.Fundamental." hidden="1">{#N/A,#N/A,TRUE,"CoverPage";#N/A,#N/A,TRUE,"Gas";#N/A,#N/A,TRUE,"Power";#N/A,#N/A,TRUE,"Historical DJ Mthly Prices"}</definedName>
    <definedName name="wrn.IEO." hidden="1">{#N/A,#N/A,FALSE,"SUMMARY";#N/A,#N/A,FALSE,"AE7616";#N/A,#N/A,FALSE,"AE7617";#N/A,#N/A,FALSE,"AE7618";#N/A,#N/A,FALSE,"AE7619"}</definedName>
    <definedName name="wrn.Incentive._.Overhead." localSheetId="2" hidden="1">{#N/A,#N/A,FALSE,"Coversheet";#N/A,#N/A,FALSE,"QA"}</definedName>
    <definedName name="wrn.Incentive._.Overhead." localSheetId="7" hidden="1">{#N/A,#N/A,FALSE,"Coversheet";#N/A,#N/A,FALSE,"QA"}</definedName>
    <definedName name="wrn.Incentive._.Overhead." localSheetId="9" hidden="1">{#N/A,#N/A,FALSE,"Coversheet";#N/A,#N/A,FALSE,"QA"}</definedName>
    <definedName name="wrn.Incentive._.Overhead." localSheetId="22" hidden="1">{#N/A,#N/A,FALSE,"Coversheet";#N/A,#N/A,FALSE,"QA"}</definedName>
    <definedName name="wrn.Incentive._.Overhead." localSheetId="23" hidden="1">{#N/A,#N/A,FALSE,"Coversheet";#N/A,#N/A,FALSE,"QA"}</definedName>
    <definedName name="wrn.Incentive._.Overhead." localSheetId="10" hidden="1">{#N/A,#N/A,FALSE,"Coversheet";#N/A,#N/A,FALSE,"QA"}</definedName>
    <definedName name="wrn.Incentive._.Overhead." localSheetId="11" hidden="1">{#N/A,#N/A,FALSE,"Coversheet";#N/A,#N/A,FALSE,"QA"}</definedName>
    <definedName name="wrn.Incentive._.Overhead." localSheetId="12" hidden="1">{#N/A,#N/A,FALSE,"Coversheet";#N/A,#N/A,FALSE,"QA"}</definedName>
    <definedName name="wrn.Incentive._.Overhead." localSheetId="14" hidden="1">{#N/A,#N/A,FALSE,"Coversheet";#N/A,#N/A,FALSE,"QA"}</definedName>
    <definedName name="wrn.Incentive._.Overhead." localSheetId="15" hidden="1">{#N/A,#N/A,FALSE,"Coversheet";#N/A,#N/A,FALSE,"QA"}</definedName>
    <definedName name="wrn.Incentive._.Overhead." localSheetId="17" hidden="1">{#N/A,#N/A,FALSE,"Coversheet";#N/A,#N/A,FALSE,"QA"}</definedName>
    <definedName name="wrn.Incentive._.Overhead." localSheetId="16" hidden="1">{#N/A,#N/A,FALSE,"Coversheet";#N/A,#N/A,FALSE,"QA"}</definedName>
    <definedName name="wrn.Incentive._.Overhead." localSheetId="24" hidden="1">{#N/A,#N/A,FALSE,"Coversheet";#N/A,#N/A,FALSE,"QA"}</definedName>
    <definedName name="wrn.Incentive._.Overhead." localSheetId="26" hidden="1">{#N/A,#N/A,FALSE,"Coversheet";#N/A,#N/A,FALSE,"QA"}</definedName>
    <definedName name="wrn.Incentive._.Overhead." localSheetId="27" hidden="1">{#N/A,#N/A,FALSE,"Coversheet";#N/A,#N/A,FALSE,"QA"}</definedName>
    <definedName name="wrn.Incentive._.Overhead." localSheetId="8" hidden="1">{#N/A,#N/A,FALSE,"Coversheet";#N/A,#N/A,FALSE,"QA"}</definedName>
    <definedName name="wrn.Incentive._.Overhead." localSheetId="25" hidden="1">{#N/A,#N/A,FALSE,"Coversheet";#N/A,#N/A,FALSE,"QA"}</definedName>
    <definedName name="wrn.Incentive._.Overhead." localSheetId="28" hidden="1">{#N/A,#N/A,FALSE,"Coversheet";#N/A,#N/A,FALSE,"QA"}</definedName>
    <definedName name="wrn.Incentive._.Overhead." localSheetId="33" hidden="1">{#N/A,#N/A,FALSE,"Coversheet";#N/A,#N/A,FALSE,"QA"}</definedName>
    <definedName name="wrn.Incentive._.Overhead." localSheetId="62" hidden="1">{#N/A,#N/A,FALSE,"Coversheet";#N/A,#N/A,FALSE,"QA"}</definedName>
    <definedName name="wrn.Incentive._.Overhead." localSheetId="64" hidden="1">{#N/A,#N/A,FALSE,"Coversheet";#N/A,#N/A,FALSE,"QA"}</definedName>
    <definedName name="wrn.Incentive._.Overhead." hidden="1">{#N/A,#N/A,FALSE,"Coversheet";#N/A,#N/A,FALSE,"QA"}</definedName>
    <definedName name="wrn.limit_reports." hidden="1">{#N/A,#N/A,FALSE,"Schedule F";#N/A,#N/A,FALSE,"Schedule G"}</definedName>
    <definedName name="wrn.MARGIN_WO_QTR." localSheetId="2" hidden="1">{#N/A,#N/A,FALSE,"Month ";#N/A,#N/A,FALSE,"YTD";#N/A,#N/A,FALSE,"12 mo ended"}</definedName>
    <definedName name="wrn.MARGIN_WO_QTR." localSheetId="7" hidden="1">{#N/A,#N/A,FALSE,"Month ";#N/A,#N/A,FALSE,"YTD";#N/A,#N/A,FALSE,"12 mo ended"}</definedName>
    <definedName name="wrn.MARGIN_WO_QTR." localSheetId="9" hidden="1">{#N/A,#N/A,FALSE,"Month ";#N/A,#N/A,FALSE,"YTD";#N/A,#N/A,FALSE,"12 mo ended"}</definedName>
    <definedName name="wrn.MARGIN_WO_QTR." localSheetId="22" hidden="1">{#N/A,#N/A,FALSE,"Month ";#N/A,#N/A,FALSE,"YTD";#N/A,#N/A,FALSE,"12 mo ended"}</definedName>
    <definedName name="wrn.MARGIN_WO_QTR." localSheetId="23" hidden="1">{#N/A,#N/A,FALSE,"Month ";#N/A,#N/A,FALSE,"YTD";#N/A,#N/A,FALSE,"12 mo ended"}</definedName>
    <definedName name="wrn.MARGIN_WO_QTR." localSheetId="10" hidden="1">{#N/A,#N/A,FALSE,"Month ";#N/A,#N/A,FALSE,"YTD";#N/A,#N/A,FALSE,"12 mo ended"}</definedName>
    <definedName name="wrn.MARGIN_WO_QTR." localSheetId="11" hidden="1">{#N/A,#N/A,FALSE,"Month ";#N/A,#N/A,FALSE,"YTD";#N/A,#N/A,FALSE,"12 mo ended"}</definedName>
    <definedName name="wrn.MARGIN_WO_QTR." localSheetId="12" hidden="1">{#N/A,#N/A,FALSE,"Month ";#N/A,#N/A,FALSE,"YTD";#N/A,#N/A,FALSE,"12 mo ended"}</definedName>
    <definedName name="wrn.MARGIN_WO_QTR." localSheetId="14" hidden="1">{#N/A,#N/A,FALSE,"Month ";#N/A,#N/A,FALSE,"YTD";#N/A,#N/A,FALSE,"12 mo ended"}</definedName>
    <definedName name="wrn.MARGIN_WO_QTR." localSheetId="15" hidden="1">{#N/A,#N/A,FALSE,"Month ";#N/A,#N/A,FALSE,"YTD";#N/A,#N/A,FALSE,"12 mo ended"}</definedName>
    <definedName name="wrn.MARGIN_WO_QTR." localSheetId="17" hidden="1">{#N/A,#N/A,FALSE,"Month ";#N/A,#N/A,FALSE,"YTD";#N/A,#N/A,FALSE,"12 mo ended"}</definedName>
    <definedName name="wrn.MARGIN_WO_QTR." localSheetId="16" hidden="1">{#N/A,#N/A,FALSE,"Month ";#N/A,#N/A,FALSE,"YTD";#N/A,#N/A,FALSE,"12 mo ended"}</definedName>
    <definedName name="wrn.MARGIN_WO_QTR." localSheetId="24" hidden="1">{#N/A,#N/A,FALSE,"Month ";#N/A,#N/A,FALSE,"YTD";#N/A,#N/A,FALSE,"12 mo ended"}</definedName>
    <definedName name="wrn.MARGIN_WO_QTR." localSheetId="26" hidden="1">{#N/A,#N/A,FALSE,"Month ";#N/A,#N/A,FALSE,"YTD";#N/A,#N/A,FALSE,"12 mo ended"}</definedName>
    <definedName name="wrn.MARGIN_WO_QTR." localSheetId="27" hidden="1">{#N/A,#N/A,FALSE,"Month ";#N/A,#N/A,FALSE,"YTD";#N/A,#N/A,FALSE,"12 mo ended"}</definedName>
    <definedName name="wrn.MARGIN_WO_QTR." localSheetId="8" hidden="1">{#N/A,#N/A,FALSE,"Month ";#N/A,#N/A,FALSE,"YTD";#N/A,#N/A,FALSE,"12 mo ended"}</definedName>
    <definedName name="wrn.MARGIN_WO_QTR." localSheetId="25" hidden="1">{#N/A,#N/A,FALSE,"Month ";#N/A,#N/A,FALSE,"YTD";#N/A,#N/A,FALSE,"12 mo ended"}</definedName>
    <definedName name="wrn.MARGIN_WO_QTR." localSheetId="28" hidden="1">{#N/A,#N/A,FALSE,"Month ";#N/A,#N/A,FALSE,"YTD";#N/A,#N/A,FALSE,"12 mo ended"}</definedName>
    <definedName name="wrn.MARGIN_WO_QTR." localSheetId="33" hidden="1">{#N/A,#N/A,FALSE,"Month ";#N/A,#N/A,FALSE,"YTD";#N/A,#N/A,FALSE,"12 mo ended"}</definedName>
    <definedName name="wrn.MARGIN_WO_QTR." localSheetId="62" hidden="1">{#N/A,#N/A,FALSE,"Month ";#N/A,#N/A,FALSE,"YTD";#N/A,#N/A,FALSE,"12 mo ended"}</definedName>
    <definedName name="wrn.MARGIN_WO_QTR." localSheetId="64" hidden="1">{#N/A,#N/A,FALSE,"Month ";#N/A,#N/A,FALSE,"YTD";#N/A,#N/A,FALSE,"12 mo ended"}</definedName>
    <definedName name="wrn.MARGIN_WO_QTR." hidden="1">{#N/A,#N/A,FALSE,"Month ";#N/A,#N/A,FALSE,"YTD";#N/A,#N/A,FALSE,"12 mo ended"}</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UTC_Docket_No._UG_11____">'[3]MJS-6'!$F$2</definedName>
    <definedName name="WUTC_FILING_FEE">'[3]MJS-7'!$O$15</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'[14]Revison Inputs'!$B$6</definedName>
  </definedNames>
  <calcPr calcId="145621" iterate="1"/>
</workbook>
</file>

<file path=xl/calcChain.xml><?xml version="1.0" encoding="utf-8"?>
<calcChain xmlns="http://schemas.openxmlformats.org/spreadsheetml/2006/main">
  <c r="G212" i="5" l="1"/>
  <c r="J212" i="5"/>
  <c r="M22" i="42667"/>
  <c r="K22" i="42667"/>
  <c r="N22" i="42667" s="1"/>
  <c r="K2" i="4128"/>
  <c r="M2" i="5"/>
  <c r="M2" i="16"/>
  <c r="M2" i="364"/>
  <c r="Q2" i="42667"/>
  <c r="E22" i="42667" l="1"/>
  <c r="L21" i="42667"/>
  <c r="K25" i="42667"/>
  <c r="L15" i="42667"/>
  <c r="M1" i="364" l="1"/>
  <c r="Q1" i="42667"/>
  <c r="M1" i="16" l="1"/>
  <c r="A16" i="42773"/>
  <c r="A19" i="42773"/>
  <c r="A22" i="42773"/>
  <c r="A25" i="42773"/>
  <c r="A28" i="42773"/>
  <c r="A31" i="42773"/>
  <c r="A34" i="42773"/>
  <c r="A37" i="42773"/>
  <c r="A40" i="42773"/>
  <c r="A43" i="42773"/>
  <c r="A46" i="42773"/>
  <c r="A49" i="42773"/>
  <c r="A52" i="42773"/>
  <c r="A55" i="42773"/>
  <c r="A58" i="42773"/>
  <c r="A61" i="42773"/>
  <c r="C37" i="42773"/>
  <c r="C20" i="42773"/>
  <c r="C19" i="42773"/>
  <c r="C18" i="42773"/>
  <c r="A13" i="42773"/>
  <c r="K9" i="42773"/>
  <c r="J9" i="42773"/>
  <c r="I9" i="42773"/>
  <c r="H9" i="42773"/>
  <c r="G9" i="42773"/>
  <c r="F9" i="42773"/>
  <c r="E9" i="42773"/>
  <c r="D9" i="42773"/>
  <c r="M1" i="5" l="1"/>
  <c r="K1" i="4128" s="1"/>
  <c r="M4" i="16" s="1"/>
  <c r="K4" i="4128"/>
  <c r="M4" i="364"/>
  <c r="Q4" i="42667"/>
  <c r="K4" i="42773"/>
  <c r="M4" i="5"/>
  <c r="K19" i="42773"/>
  <c r="J20" i="42773"/>
  <c r="J41" i="42773" s="1"/>
  <c r="J53" i="42773" s="1"/>
  <c r="D18" i="42773"/>
  <c r="I20" i="42773"/>
  <c r="I41" i="42773" s="1"/>
  <c r="I53" i="42773" s="1"/>
  <c r="D20" i="42773"/>
  <c r="D41" i="42773" s="1"/>
  <c r="E18" i="42773"/>
  <c r="G19" i="42773"/>
  <c r="D19" i="42773"/>
  <c r="E20" i="42773"/>
  <c r="E41" i="42773" s="1"/>
  <c r="E53" i="42773" s="1"/>
  <c r="G18" i="42773"/>
  <c r="K20" i="42773"/>
  <c r="K41" i="42773" s="1"/>
  <c r="K53" i="42773" s="1"/>
  <c r="K18" i="42773"/>
  <c r="I19" i="42773"/>
  <c r="J19" i="42773"/>
  <c r="E19" i="42773"/>
  <c r="H19" i="42773"/>
  <c r="F18" i="42773"/>
  <c r="F20" i="42773"/>
  <c r="F41" i="42773" s="1"/>
  <c r="F53" i="42773" s="1"/>
  <c r="H20" i="42773"/>
  <c r="H41" i="42773" s="1"/>
  <c r="H53" i="42773" s="1"/>
  <c r="J18" i="42773"/>
  <c r="F19" i="42773"/>
  <c r="G20" i="42773"/>
  <c r="G41" i="42773" s="1"/>
  <c r="G53" i="42773" s="1"/>
  <c r="I18" i="42773"/>
  <c r="H18" i="42773"/>
  <c r="C21" i="42773"/>
  <c r="G14" i="5"/>
  <c r="H21" i="42773" l="1"/>
  <c r="J21" i="42773"/>
  <c r="K21" i="42773"/>
  <c r="G21" i="42773"/>
  <c r="E21" i="42773"/>
  <c r="I21" i="42773"/>
  <c r="F21" i="42773"/>
  <c r="D53" i="42773"/>
  <c r="C41" i="42773"/>
  <c r="D21" i="42773"/>
  <c r="J15" i="42769"/>
  <c r="K23" i="42772"/>
  <c r="K7" i="42772"/>
  <c r="K8" i="42772"/>
  <c r="K9" i="42772"/>
  <c r="K10" i="42772"/>
  <c r="K11" i="42772"/>
  <c r="K12" i="42772"/>
  <c r="K13" i="42772"/>
  <c r="K14" i="42772"/>
  <c r="K15" i="42772"/>
  <c r="K16" i="42772"/>
  <c r="K17" i="42772"/>
  <c r="K18" i="42772"/>
  <c r="K19" i="42772"/>
  <c r="K20" i="42772"/>
  <c r="K21" i="42772"/>
  <c r="K22" i="42772"/>
  <c r="K5" i="42772"/>
  <c r="K6" i="42772"/>
  <c r="L6" i="42772" s="1"/>
  <c r="E7" i="42771"/>
  <c r="C51" i="42772"/>
  <c r="B51" i="42772"/>
  <c r="D50" i="42772"/>
  <c r="D49" i="42772"/>
  <c r="D48" i="42772"/>
  <c r="D47" i="42772"/>
  <c r="D46" i="42772"/>
  <c r="D45" i="42772"/>
  <c r="D44" i="42772"/>
  <c r="D43" i="42772"/>
  <c r="D51" i="42772" s="1"/>
  <c r="L22" i="42772"/>
  <c r="B36" i="42772" s="1"/>
  <c r="L21" i="42772"/>
  <c r="B35" i="42772" s="1"/>
  <c r="L20" i="42772"/>
  <c r="B34" i="42772" s="1"/>
  <c r="L19" i="42772"/>
  <c r="L18" i="42772"/>
  <c r="L17" i="42772"/>
  <c r="L16" i="42772"/>
  <c r="L15" i="42772"/>
  <c r="L14" i="42772"/>
  <c r="B37" i="42772" s="1"/>
  <c r="L13" i="42772"/>
  <c r="L12" i="42772"/>
  <c r="L11" i="42772"/>
  <c r="L10" i="42772"/>
  <c r="B32" i="42772" s="1"/>
  <c r="L9" i="42772"/>
  <c r="L8" i="42772"/>
  <c r="B31" i="42772" s="1"/>
  <c r="L7" i="42772"/>
  <c r="L5" i="42772"/>
  <c r="C53" i="42773" l="1"/>
  <c r="B33" i="42772"/>
  <c r="B30" i="42772"/>
  <c r="L23" i="42772"/>
  <c r="B38" i="42772"/>
  <c r="C30" i="42772" s="1"/>
  <c r="C34" i="42772"/>
  <c r="E51" i="42772"/>
  <c r="C37" i="42772"/>
  <c r="C35" i="42772" l="1"/>
  <c r="C31" i="42772"/>
  <c r="C36" i="42772"/>
  <c r="C33" i="42772"/>
  <c r="E50" i="42772"/>
  <c r="F50" i="42772" s="1"/>
  <c r="E49" i="42772"/>
  <c r="F49" i="42772" s="1"/>
  <c r="E48" i="42772"/>
  <c r="F48" i="42772" s="1"/>
  <c r="E47" i="42772"/>
  <c r="F47" i="42772" s="1"/>
  <c r="E46" i="42772"/>
  <c r="F46" i="42772" s="1"/>
  <c r="E44" i="42772"/>
  <c r="F44" i="42772" s="1"/>
  <c r="E43" i="42772"/>
  <c r="F43" i="42772" s="1"/>
  <c r="C32" i="42772"/>
  <c r="C38" i="42772" s="1"/>
  <c r="E45" i="42772" l="1"/>
  <c r="F45" i="42772" s="1"/>
  <c r="F51" i="42772" s="1"/>
  <c r="G44" i="42772" l="1"/>
  <c r="G48" i="42772"/>
  <c r="G46" i="42772"/>
  <c r="G50" i="42772"/>
  <c r="G47" i="42772"/>
  <c r="G43" i="42772"/>
  <c r="G49" i="42772"/>
  <c r="G45" i="42772"/>
  <c r="G51" i="42772" l="1"/>
  <c r="E15" i="42771" l="1"/>
  <c r="F14" i="42771" s="1"/>
  <c r="F11" i="42771"/>
  <c r="F9" i="42771"/>
  <c r="E9" i="42771"/>
  <c r="F8" i="42771"/>
  <c r="E8" i="42771"/>
  <c r="F7" i="42771"/>
  <c r="F13" i="42771" l="1"/>
  <c r="F10" i="42771"/>
  <c r="F15" i="42771" s="1"/>
  <c r="F12" i="42771"/>
  <c r="L29" i="42769" l="1"/>
  <c r="K29" i="42769"/>
  <c r="J29" i="42769"/>
  <c r="I29" i="42769"/>
  <c r="H29" i="42769"/>
  <c r="G29" i="42769"/>
  <c r="F29" i="42769"/>
  <c r="E29" i="42769"/>
  <c r="D29" i="42769"/>
  <c r="K28" i="42769"/>
  <c r="J28" i="42769"/>
  <c r="L26" i="42769"/>
  <c r="D8" i="42770" s="1"/>
  <c r="D14" i="42770" s="1"/>
  <c r="K26" i="42769"/>
  <c r="K27" i="42769" s="1"/>
  <c r="J26" i="42769"/>
  <c r="J27" i="42769" s="1"/>
  <c r="J30" i="42769" s="1"/>
  <c r="I26" i="42769"/>
  <c r="H26" i="42769"/>
  <c r="G26" i="42769"/>
  <c r="F26" i="42769"/>
  <c r="E26" i="42769"/>
  <c r="D26" i="42769"/>
  <c r="I25" i="42769"/>
  <c r="I27" i="42769" s="1"/>
  <c r="H25" i="42769"/>
  <c r="H27" i="42769" s="1"/>
  <c r="G25" i="42769"/>
  <c r="G27" i="42769" s="1"/>
  <c r="F25" i="42769"/>
  <c r="F27" i="42769" s="1"/>
  <c r="E25" i="42769"/>
  <c r="E27" i="42769" s="1"/>
  <c r="D25" i="42769"/>
  <c r="I21" i="42769"/>
  <c r="I28" i="42769" s="1"/>
  <c r="I30" i="42769" s="1"/>
  <c r="H21" i="42769"/>
  <c r="H28" i="42769" s="1"/>
  <c r="H30" i="42769" s="1"/>
  <c r="G21" i="42769"/>
  <c r="G28" i="42769" s="1"/>
  <c r="G30" i="42769" s="1"/>
  <c r="F21" i="42769"/>
  <c r="F28" i="42769" s="1"/>
  <c r="F30" i="42769" s="1"/>
  <c r="E21" i="42769"/>
  <c r="E28" i="42769" s="1"/>
  <c r="D21" i="42769"/>
  <c r="D28" i="42769" s="1"/>
  <c r="A7" i="42769"/>
  <c r="A9" i="42769" s="1"/>
  <c r="A10" i="42769" s="1"/>
  <c r="A12" i="42769" s="1"/>
  <c r="A13" i="42769" s="1"/>
  <c r="A15" i="42769" s="1"/>
  <c r="A16" i="42769" s="1"/>
  <c r="A18" i="42769" s="1"/>
  <c r="A19" i="42769" s="1"/>
  <c r="A21" i="42769" s="1"/>
  <c r="A22" i="42769" s="1"/>
  <c r="A24" i="42769" s="1"/>
  <c r="A25" i="42769" s="1"/>
  <c r="A26" i="42769" s="1"/>
  <c r="A27" i="42769" s="1"/>
  <c r="A28" i="42769" s="1"/>
  <c r="A29" i="42769" s="1"/>
  <c r="A30" i="42769" s="1"/>
  <c r="A31" i="42769" s="1"/>
  <c r="A33" i="42769" s="1"/>
  <c r="A34" i="42769" s="1"/>
  <c r="A35" i="42769" s="1"/>
  <c r="A37" i="42769" s="1"/>
  <c r="A38" i="42769" s="1"/>
  <c r="A40" i="42769" s="1"/>
  <c r="A41" i="42769" s="1"/>
  <c r="A43" i="42769" s="1"/>
  <c r="A45" i="42769" s="1"/>
  <c r="A46" i="42769" s="1"/>
  <c r="A47" i="42769" s="1"/>
  <c r="A49" i="42769" s="1"/>
  <c r="A50" i="42769" s="1"/>
  <c r="A52" i="42769" s="1"/>
  <c r="O21" i="42768"/>
  <c r="N21" i="42768"/>
  <c r="M21" i="42768"/>
  <c r="L21" i="42768"/>
  <c r="K21" i="42768"/>
  <c r="J21" i="42768"/>
  <c r="I21" i="42768"/>
  <c r="H21" i="42768"/>
  <c r="G21" i="42768"/>
  <c r="F21" i="42768"/>
  <c r="E21" i="42768"/>
  <c r="D21" i="42768"/>
  <c r="R20" i="42768"/>
  <c r="J12" i="42769" s="1"/>
  <c r="Q20" i="42768"/>
  <c r="R19" i="42768"/>
  <c r="Q19" i="42768"/>
  <c r="R18" i="42768"/>
  <c r="Q18" i="42768"/>
  <c r="R17" i="42768"/>
  <c r="Q17" i="42768"/>
  <c r="R16" i="42768"/>
  <c r="Q16" i="42768"/>
  <c r="Q21" i="42768" s="1"/>
  <c r="R15" i="42768"/>
  <c r="I12" i="42769" s="1"/>
  <c r="P15" i="42768"/>
  <c r="I18" i="42769" s="1"/>
  <c r="R14" i="42768"/>
  <c r="H12" i="42769" s="1"/>
  <c r="P14" i="42768"/>
  <c r="H18" i="42769" s="1"/>
  <c r="R13" i="42768"/>
  <c r="G12" i="42769" s="1"/>
  <c r="P13" i="42768"/>
  <c r="G18" i="42769" s="1"/>
  <c r="R12" i="42768"/>
  <c r="F12" i="42769" s="1"/>
  <c r="P12" i="42768"/>
  <c r="F18" i="42769" s="1"/>
  <c r="R11" i="42768"/>
  <c r="E12" i="42769" s="1"/>
  <c r="P11" i="42768"/>
  <c r="E18" i="42769" s="1"/>
  <c r="R10" i="42768"/>
  <c r="D12" i="42769" s="1"/>
  <c r="P10" i="42768"/>
  <c r="P21" i="42768" s="1"/>
  <c r="F29" i="42766"/>
  <c r="D18" i="42766"/>
  <c r="D14" i="42766"/>
  <c r="D9" i="42766"/>
  <c r="D10" i="42766" s="1"/>
  <c r="D65" i="42765"/>
  <c r="J6" i="42769" s="1"/>
  <c r="D53" i="42765"/>
  <c r="D54" i="42765" s="1"/>
  <c r="D46" i="42765"/>
  <c r="D36" i="42765"/>
  <c r="D34" i="42765"/>
  <c r="D33" i="42765"/>
  <c r="D38" i="42765" s="1"/>
  <c r="D27" i="42765"/>
  <c r="D64" i="42765" s="1"/>
  <c r="D26" i="42765"/>
  <c r="D63" i="42765" s="1"/>
  <c r="D25" i="42765"/>
  <c r="D28" i="42765" s="1"/>
  <c r="D20" i="42765"/>
  <c r="D15" i="42765"/>
  <c r="D61" i="42765" s="1"/>
  <c r="A10" i="42765"/>
  <c r="A11" i="42765" s="1"/>
  <c r="A13" i="42765" s="1"/>
  <c r="A14" i="42765" s="1"/>
  <c r="A15" i="42765" s="1"/>
  <c r="A16" i="42765" s="1"/>
  <c r="A18" i="42765" s="1"/>
  <c r="A19" i="42765" s="1"/>
  <c r="A20" i="42765" s="1"/>
  <c r="A21" i="42765" s="1"/>
  <c r="A22" i="42765" s="1"/>
  <c r="A24" i="42765" s="1"/>
  <c r="A25" i="42765" s="1"/>
  <c r="A26" i="42765" s="1"/>
  <c r="A27" i="42765" s="1"/>
  <c r="A28" i="42765" s="1"/>
  <c r="A30" i="42765" s="1"/>
  <c r="A32" i="42765" s="1"/>
  <c r="A33" i="42765" s="1"/>
  <c r="A34" i="42765" s="1"/>
  <c r="A35" i="42765" s="1"/>
  <c r="A36" i="42765" s="1"/>
  <c r="A37" i="42765" s="1"/>
  <c r="A38" i="42765" s="1"/>
  <c r="A39" i="42765" s="1"/>
  <c r="A42" i="42765" s="1"/>
  <c r="A43" i="42765" s="1"/>
  <c r="A44" i="42765" s="1"/>
  <c r="A45" i="42765" s="1"/>
  <c r="A46" i="42765" s="1"/>
  <c r="A48" i="42765" s="1"/>
  <c r="A49" i="42765" s="1"/>
  <c r="A50" i="42765" s="1"/>
  <c r="A51" i="42765" s="1"/>
  <c r="A52" i="42765" s="1"/>
  <c r="A53" i="42765" s="1"/>
  <c r="A54" i="42765" s="1"/>
  <c r="A55" i="42765" s="1"/>
  <c r="A59" i="42765" s="1"/>
  <c r="A60" i="42765" s="1"/>
  <c r="A61" i="42765" s="1"/>
  <c r="A62" i="42765" s="1"/>
  <c r="A63" i="42765" s="1"/>
  <c r="A64" i="42765" s="1"/>
  <c r="A65" i="42765" s="1"/>
  <c r="A66" i="42765" s="1"/>
  <c r="A67" i="42765" s="1"/>
  <c r="K35" i="42764"/>
  <c r="K36" i="42764" s="1"/>
  <c r="I35" i="42764"/>
  <c r="I36" i="42764" s="1"/>
  <c r="H35" i="42764"/>
  <c r="H36" i="42764" s="1"/>
  <c r="G35" i="42764"/>
  <c r="G36" i="42764" s="1"/>
  <c r="D35" i="42764"/>
  <c r="M36" i="42764" s="1"/>
  <c r="K32" i="42764"/>
  <c r="K33" i="42764" s="1"/>
  <c r="J32" i="42764"/>
  <c r="J33" i="42764" s="1"/>
  <c r="I32" i="42764"/>
  <c r="I33" i="42764" s="1"/>
  <c r="H32" i="42764"/>
  <c r="H33" i="42764" s="1"/>
  <c r="G32" i="42764"/>
  <c r="G33" i="42764" s="1"/>
  <c r="D32" i="42764"/>
  <c r="L33" i="42764" s="1"/>
  <c r="D29" i="42764"/>
  <c r="L30" i="42764" s="1"/>
  <c r="D26" i="42764"/>
  <c r="M27" i="42764" s="1"/>
  <c r="E16" i="42764"/>
  <c r="D13" i="42764"/>
  <c r="B13" i="42764"/>
  <c r="B15" i="42764" s="1"/>
  <c r="B16" i="42764" s="1"/>
  <c r="B17" i="42764" s="1"/>
  <c r="B18" i="42764" s="1"/>
  <c r="B19" i="42764" s="1"/>
  <c r="B21" i="42764" s="1"/>
  <c r="B22" i="42764" s="1"/>
  <c r="B26" i="42764" s="1"/>
  <c r="B27" i="42764" s="1"/>
  <c r="B29" i="42764" s="1"/>
  <c r="B30" i="42764" s="1"/>
  <c r="B32" i="42764" s="1"/>
  <c r="B33" i="42764" s="1"/>
  <c r="B35" i="42764" s="1"/>
  <c r="B36" i="42764" s="1"/>
  <c r="B38" i="42764" s="1"/>
  <c r="B39" i="42764" s="1"/>
  <c r="D9" i="42764"/>
  <c r="D43" i="42764" s="1"/>
  <c r="E8" i="42764"/>
  <c r="D32" i="42763"/>
  <c r="C32" i="42763"/>
  <c r="D31" i="42763"/>
  <c r="C31" i="42763"/>
  <c r="D30" i="42763"/>
  <c r="D33" i="42763" s="1"/>
  <c r="D34" i="42763" s="1"/>
  <c r="C30" i="42763"/>
  <c r="C33" i="42763" s="1"/>
  <c r="C34" i="42763" s="1"/>
  <c r="D25" i="42763"/>
  <c r="D26" i="42763" s="1"/>
  <c r="C25" i="42763"/>
  <c r="C26" i="42763" s="1"/>
  <c r="B22" i="42756"/>
  <c r="L261" i="42761"/>
  <c r="K261" i="42761"/>
  <c r="J261" i="42761"/>
  <c r="I261" i="42761"/>
  <c r="B261" i="42761"/>
  <c r="A261" i="42761"/>
  <c r="L260" i="42761"/>
  <c r="K260" i="42761"/>
  <c r="J260" i="42761"/>
  <c r="I260" i="42761"/>
  <c r="B260" i="42761"/>
  <c r="A260" i="42761"/>
  <c r="L259" i="42761"/>
  <c r="K259" i="42761"/>
  <c r="J259" i="42761"/>
  <c r="I259" i="42761"/>
  <c r="B259" i="42761"/>
  <c r="A259" i="42761"/>
  <c r="L258" i="42761"/>
  <c r="K258" i="42761"/>
  <c r="J258" i="42761"/>
  <c r="I258" i="42761"/>
  <c r="B258" i="42761"/>
  <c r="A258" i="42761"/>
  <c r="L257" i="42761"/>
  <c r="K257" i="42761"/>
  <c r="J257" i="42761"/>
  <c r="I257" i="42761"/>
  <c r="B257" i="42761"/>
  <c r="A257" i="42761"/>
  <c r="L256" i="42761"/>
  <c r="K256" i="42761"/>
  <c r="J256" i="42761"/>
  <c r="I256" i="42761"/>
  <c r="B256" i="42761"/>
  <c r="A256" i="42761"/>
  <c r="L255" i="42761"/>
  <c r="K255" i="42761"/>
  <c r="J255" i="42761"/>
  <c r="I255" i="42761"/>
  <c r="B255" i="42761"/>
  <c r="A255" i="42761"/>
  <c r="L254" i="42761"/>
  <c r="K254" i="42761"/>
  <c r="J254" i="42761"/>
  <c r="I254" i="42761"/>
  <c r="B254" i="42761"/>
  <c r="A254" i="42761"/>
  <c r="N253" i="42761"/>
  <c r="M253" i="42761"/>
  <c r="B253" i="42761"/>
  <c r="A253" i="42761"/>
  <c r="L252" i="42761"/>
  <c r="K252" i="42761"/>
  <c r="J252" i="42761"/>
  <c r="I252" i="42761"/>
  <c r="B252" i="42761"/>
  <c r="A252" i="42761"/>
  <c r="L251" i="42761"/>
  <c r="K251" i="42761"/>
  <c r="J251" i="42761"/>
  <c r="I251" i="42761"/>
  <c r="B251" i="42761"/>
  <c r="A251" i="42761"/>
  <c r="L250" i="42761"/>
  <c r="K250" i="42761"/>
  <c r="J250" i="42761"/>
  <c r="I250" i="42761"/>
  <c r="B250" i="42761"/>
  <c r="A250" i="42761"/>
  <c r="L249" i="42761"/>
  <c r="K249" i="42761"/>
  <c r="J249" i="42761"/>
  <c r="I249" i="42761"/>
  <c r="B249" i="42761"/>
  <c r="A249" i="42761"/>
  <c r="L248" i="42761"/>
  <c r="K248" i="42761"/>
  <c r="J248" i="42761"/>
  <c r="I248" i="42761"/>
  <c r="B248" i="42761"/>
  <c r="A248" i="42761"/>
  <c r="L247" i="42761"/>
  <c r="K247" i="42761"/>
  <c r="J247" i="42761"/>
  <c r="I247" i="42761"/>
  <c r="B247" i="42761"/>
  <c r="A247" i="42761"/>
  <c r="L246" i="42761"/>
  <c r="K246" i="42761"/>
  <c r="J246" i="42761"/>
  <c r="I246" i="42761"/>
  <c r="B246" i="42761"/>
  <c r="A246" i="42761"/>
  <c r="N245" i="42761"/>
  <c r="M245" i="42761"/>
  <c r="B245" i="42761"/>
  <c r="A245" i="42761"/>
  <c r="N244" i="42761"/>
  <c r="M244" i="42761"/>
  <c r="B244" i="42761"/>
  <c r="A244" i="42761"/>
  <c r="N243" i="42761"/>
  <c r="M243" i="42761"/>
  <c r="B243" i="42761"/>
  <c r="A243" i="42761"/>
  <c r="L242" i="42761"/>
  <c r="K242" i="42761"/>
  <c r="J242" i="42761"/>
  <c r="I242" i="42761"/>
  <c r="B242" i="42761"/>
  <c r="A242" i="42761"/>
  <c r="L241" i="42761"/>
  <c r="K241" i="42761"/>
  <c r="J241" i="42761"/>
  <c r="I241" i="42761"/>
  <c r="B241" i="42761"/>
  <c r="A241" i="42761"/>
  <c r="L240" i="42761"/>
  <c r="K240" i="42761"/>
  <c r="J240" i="42761"/>
  <c r="I240" i="42761"/>
  <c r="B240" i="42761"/>
  <c r="A240" i="42761"/>
  <c r="L239" i="42761"/>
  <c r="K239" i="42761"/>
  <c r="J239" i="42761"/>
  <c r="I239" i="42761"/>
  <c r="B239" i="42761"/>
  <c r="A239" i="42761"/>
  <c r="L238" i="42761"/>
  <c r="K238" i="42761"/>
  <c r="J238" i="42761"/>
  <c r="I238" i="42761"/>
  <c r="B238" i="42761"/>
  <c r="A238" i="42761"/>
  <c r="L237" i="42761"/>
  <c r="K237" i="42761"/>
  <c r="J237" i="42761"/>
  <c r="I237" i="42761"/>
  <c r="B237" i="42761"/>
  <c r="A237" i="42761"/>
  <c r="L236" i="42761"/>
  <c r="K236" i="42761"/>
  <c r="J236" i="42761"/>
  <c r="I236" i="42761"/>
  <c r="B236" i="42761"/>
  <c r="A236" i="42761"/>
  <c r="L235" i="42761"/>
  <c r="K235" i="42761"/>
  <c r="J235" i="42761"/>
  <c r="I235" i="42761"/>
  <c r="B235" i="42761"/>
  <c r="A235" i="42761"/>
  <c r="L234" i="42761"/>
  <c r="K234" i="42761"/>
  <c r="J234" i="42761"/>
  <c r="I234" i="42761"/>
  <c r="B234" i="42761"/>
  <c r="A234" i="42761"/>
  <c r="L233" i="42761"/>
  <c r="K233" i="42761"/>
  <c r="J233" i="42761"/>
  <c r="I233" i="42761"/>
  <c r="B233" i="42761"/>
  <c r="A233" i="42761"/>
  <c r="L232" i="42761"/>
  <c r="K232" i="42761"/>
  <c r="J232" i="42761"/>
  <c r="I232" i="42761"/>
  <c r="B232" i="42761"/>
  <c r="A232" i="42761"/>
  <c r="L231" i="42761"/>
  <c r="K231" i="42761"/>
  <c r="J231" i="42761"/>
  <c r="I231" i="42761"/>
  <c r="B231" i="42761"/>
  <c r="A231" i="42761"/>
  <c r="L230" i="42761"/>
  <c r="K230" i="42761"/>
  <c r="J230" i="42761"/>
  <c r="I230" i="42761"/>
  <c r="B230" i="42761"/>
  <c r="A230" i="42761"/>
  <c r="L229" i="42761"/>
  <c r="K229" i="42761"/>
  <c r="J229" i="42761"/>
  <c r="I229" i="42761"/>
  <c r="B229" i="42761"/>
  <c r="A229" i="42761"/>
  <c r="L228" i="42761"/>
  <c r="K228" i="42761"/>
  <c r="J228" i="42761"/>
  <c r="I228" i="42761"/>
  <c r="B228" i="42761"/>
  <c r="A228" i="42761"/>
  <c r="L227" i="42761"/>
  <c r="K227" i="42761"/>
  <c r="J227" i="42761"/>
  <c r="I227" i="42761"/>
  <c r="B227" i="42761"/>
  <c r="A227" i="42761"/>
  <c r="L226" i="42761"/>
  <c r="K226" i="42761"/>
  <c r="J226" i="42761"/>
  <c r="I226" i="42761"/>
  <c r="B226" i="42761"/>
  <c r="A226" i="42761"/>
  <c r="L225" i="42761"/>
  <c r="K225" i="42761"/>
  <c r="J225" i="42761"/>
  <c r="I225" i="42761"/>
  <c r="B225" i="42761"/>
  <c r="A225" i="42761"/>
  <c r="L224" i="42761"/>
  <c r="K224" i="42761"/>
  <c r="J224" i="42761"/>
  <c r="I224" i="42761"/>
  <c r="B224" i="42761"/>
  <c r="A224" i="42761"/>
  <c r="L223" i="42761"/>
  <c r="K223" i="42761"/>
  <c r="J223" i="42761"/>
  <c r="I223" i="42761"/>
  <c r="B223" i="42761"/>
  <c r="A223" i="42761"/>
  <c r="L222" i="42761"/>
  <c r="K222" i="42761"/>
  <c r="J222" i="42761"/>
  <c r="I222" i="42761"/>
  <c r="B222" i="42761"/>
  <c r="A222" i="42761"/>
  <c r="L221" i="42761"/>
  <c r="K221" i="42761"/>
  <c r="J221" i="42761"/>
  <c r="I221" i="42761"/>
  <c r="B221" i="42761"/>
  <c r="A221" i="42761"/>
  <c r="L220" i="42761"/>
  <c r="K220" i="42761"/>
  <c r="J220" i="42761"/>
  <c r="I220" i="42761"/>
  <c r="B220" i="42761"/>
  <c r="A220" i="42761"/>
  <c r="L219" i="42761"/>
  <c r="K219" i="42761"/>
  <c r="J219" i="42761"/>
  <c r="I219" i="42761"/>
  <c r="B219" i="42761"/>
  <c r="A219" i="42761"/>
  <c r="L218" i="42761"/>
  <c r="K218" i="42761"/>
  <c r="J218" i="42761"/>
  <c r="I218" i="42761"/>
  <c r="B218" i="42761"/>
  <c r="A218" i="42761"/>
  <c r="L217" i="42761"/>
  <c r="K217" i="42761"/>
  <c r="J217" i="42761"/>
  <c r="I217" i="42761"/>
  <c r="B217" i="42761"/>
  <c r="A217" i="42761"/>
  <c r="L216" i="42761"/>
  <c r="K216" i="42761"/>
  <c r="J216" i="42761"/>
  <c r="I216" i="42761"/>
  <c r="B216" i="42761"/>
  <c r="A216" i="42761"/>
  <c r="L215" i="42761"/>
  <c r="K215" i="42761"/>
  <c r="J215" i="42761"/>
  <c r="I215" i="42761"/>
  <c r="B215" i="42761"/>
  <c r="A215" i="42761"/>
  <c r="N214" i="42761"/>
  <c r="M214" i="42761"/>
  <c r="B214" i="42761"/>
  <c r="A214" i="42761"/>
  <c r="N213" i="42761"/>
  <c r="M213" i="42761"/>
  <c r="B213" i="42761"/>
  <c r="A213" i="42761"/>
  <c r="N212" i="42761"/>
  <c r="M212" i="42761"/>
  <c r="B212" i="42761"/>
  <c r="A212" i="42761"/>
  <c r="N211" i="42761"/>
  <c r="M211" i="42761"/>
  <c r="B211" i="42761"/>
  <c r="A211" i="42761"/>
  <c r="L210" i="42761"/>
  <c r="K210" i="42761"/>
  <c r="J210" i="42761"/>
  <c r="I210" i="42761"/>
  <c r="B210" i="42761"/>
  <c r="A210" i="42761"/>
  <c r="L209" i="42761"/>
  <c r="K209" i="42761"/>
  <c r="J209" i="42761"/>
  <c r="I209" i="42761"/>
  <c r="B209" i="42761"/>
  <c r="A209" i="42761"/>
  <c r="L208" i="42761"/>
  <c r="K208" i="42761"/>
  <c r="J208" i="42761"/>
  <c r="I208" i="42761"/>
  <c r="B208" i="42761"/>
  <c r="A208" i="42761"/>
  <c r="L207" i="42761"/>
  <c r="K207" i="42761"/>
  <c r="J207" i="42761"/>
  <c r="I207" i="42761"/>
  <c r="B207" i="42761"/>
  <c r="A207" i="42761"/>
  <c r="L206" i="42761"/>
  <c r="K206" i="42761"/>
  <c r="J206" i="42761"/>
  <c r="I206" i="42761"/>
  <c r="B206" i="42761"/>
  <c r="A206" i="42761"/>
  <c r="L205" i="42761"/>
  <c r="K205" i="42761"/>
  <c r="J205" i="42761"/>
  <c r="I205" i="42761"/>
  <c r="B205" i="42761"/>
  <c r="A205" i="42761"/>
  <c r="L204" i="42761"/>
  <c r="K204" i="42761"/>
  <c r="J204" i="42761"/>
  <c r="I204" i="42761"/>
  <c r="B204" i="42761"/>
  <c r="A204" i="42761"/>
  <c r="L203" i="42761"/>
  <c r="K203" i="42761"/>
  <c r="J203" i="42761"/>
  <c r="I203" i="42761"/>
  <c r="B203" i="42761"/>
  <c r="A203" i="42761"/>
  <c r="L202" i="42761"/>
  <c r="K202" i="42761"/>
  <c r="J202" i="42761"/>
  <c r="I202" i="42761"/>
  <c r="B202" i="42761"/>
  <c r="A202" i="42761"/>
  <c r="L201" i="42761"/>
  <c r="K201" i="42761"/>
  <c r="J201" i="42761"/>
  <c r="I201" i="42761"/>
  <c r="B201" i="42761"/>
  <c r="A201" i="42761"/>
  <c r="L200" i="42761"/>
  <c r="K200" i="42761"/>
  <c r="J200" i="42761"/>
  <c r="I200" i="42761"/>
  <c r="B200" i="42761"/>
  <c r="A200" i="42761"/>
  <c r="N199" i="42761"/>
  <c r="M199" i="42761"/>
  <c r="B199" i="42761"/>
  <c r="A199" i="42761"/>
  <c r="L198" i="42761"/>
  <c r="K198" i="42761"/>
  <c r="J198" i="42761"/>
  <c r="I198" i="42761"/>
  <c r="B198" i="42761"/>
  <c r="A198" i="42761"/>
  <c r="L197" i="42761"/>
  <c r="K197" i="42761"/>
  <c r="J197" i="42761"/>
  <c r="I197" i="42761"/>
  <c r="B197" i="42761"/>
  <c r="A197" i="42761"/>
  <c r="L196" i="42761"/>
  <c r="K196" i="42761"/>
  <c r="J196" i="42761"/>
  <c r="I196" i="42761"/>
  <c r="B196" i="42761"/>
  <c r="A196" i="42761"/>
  <c r="L195" i="42761"/>
  <c r="K195" i="42761"/>
  <c r="J195" i="42761"/>
  <c r="I195" i="42761"/>
  <c r="B195" i="42761"/>
  <c r="A195" i="42761"/>
  <c r="L194" i="42761"/>
  <c r="K194" i="42761"/>
  <c r="J194" i="42761"/>
  <c r="I194" i="42761"/>
  <c r="B194" i="42761"/>
  <c r="A194" i="42761"/>
  <c r="L193" i="42761"/>
  <c r="K193" i="42761"/>
  <c r="J193" i="42761"/>
  <c r="I193" i="42761"/>
  <c r="B193" i="42761"/>
  <c r="A193" i="42761"/>
  <c r="L192" i="42761"/>
  <c r="K192" i="42761"/>
  <c r="J192" i="42761"/>
  <c r="I192" i="42761"/>
  <c r="B192" i="42761"/>
  <c r="A192" i="42761"/>
  <c r="L191" i="42761"/>
  <c r="K191" i="42761"/>
  <c r="J191" i="42761"/>
  <c r="I191" i="42761"/>
  <c r="B191" i="42761"/>
  <c r="A191" i="42761"/>
  <c r="L190" i="42761"/>
  <c r="K190" i="42761"/>
  <c r="J190" i="42761"/>
  <c r="I190" i="42761"/>
  <c r="B190" i="42761"/>
  <c r="A190" i="42761"/>
  <c r="L189" i="42761"/>
  <c r="K189" i="42761"/>
  <c r="J189" i="42761"/>
  <c r="I189" i="42761"/>
  <c r="B189" i="42761"/>
  <c r="A189" i="42761"/>
  <c r="N188" i="42761"/>
  <c r="M188" i="42761"/>
  <c r="B188" i="42761"/>
  <c r="A188" i="42761"/>
  <c r="L187" i="42761"/>
  <c r="K187" i="42761"/>
  <c r="J187" i="42761"/>
  <c r="I187" i="42761"/>
  <c r="B187" i="42761"/>
  <c r="A187" i="42761"/>
  <c r="L186" i="42761"/>
  <c r="K186" i="42761"/>
  <c r="J186" i="42761"/>
  <c r="I186" i="42761"/>
  <c r="B186" i="42761"/>
  <c r="A186" i="42761"/>
  <c r="L185" i="42761"/>
  <c r="K185" i="42761"/>
  <c r="J185" i="42761"/>
  <c r="I185" i="42761"/>
  <c r="B185" i="42761"/>
  <c r="A185" i="42761"/>
  <c r="L184" i="42761"/>
  <c r="K184" i="42761"/>
  <c r="J184" i="42761"/>
  <c r="I184" i="42761"/>
  <c r="B184" i="42761"/>
  <c r="A184" i="42761"/>
  <c r="L183" i="42761"/>
  <c r="K183" i="42761"/>
  <c r="J183" i="42761"/>
  <c r="I183" i="42761"/>
  <c r="B183" i="42761"/>
  <c r="A183" i="42761"/>
  <c r="L182" i="42761"/>
  <c r="K182" i="42761"/>
  <c r="J182" i="42761"/>
  <c r="I182" i="42761"/>
  <c r="B182" i="42761"/>
  <c r="A182" i="42761"/>
  <c r="L181" i="42761"/>
  <c r="K181" i="42761"/>
  <c r="J181" i="42761"/>
  <c r="I181" i="42761"/>
  <c r="B181" i="42761"/>
  <c r="A181" i="42761"/>
  <c r="L180" i="42761"/>
  <c r="K180" i="42761"/>
  <c r="J180" i="42761"/>
  <c r="I180" i="42761"/>
  <c r="B180" i="42761"/>
  <c r="A180" i="42761"/>
  <c r="L179" i="42761"/>
  <c r="K179" i="42761"/>
  <c r="J179" i="42761"/>
  <c r="I179" i="42761"/>
  <c r="B179" i="42761"/>
  <c r="A179" i="42761"/>
  <c r="L178" i="42761"/>
  <c r="K178" i="42761"/>
  <c r="J178" i="42761"/>
  <c r="I178" i="42761"/>
  <c r="B178" i="42761"/>
  <c r="A178" i="42761"/>
  <c r="L177" i="42761"/>
  <c r="K177" i="42761"/>
  <c r="J177" i="42761"/>
  <c r="I177" i="42761"/>
  <c r="B177" i="42761"/>
  <c r="A177" i="42761"/>
  <c r="L176" i="42761"/>
  <c r="K176" i="42761"/>
  <c r="J176" i="42761"/>
  <c r="I176" i="42761"/>
  <c r="B176" i="42761"/>
  <c r="A176" i="42761"/>
  <c r="L175" i="42761"/>
  <c r="K175" i="42761"/>
  <c r="J175" i="42761"/>
  <c r="I175" i="42761"/>
  <c r="B175" i="42761"/>
  <c r="A175" i="42761"/>
  <c r="L174" i="42761"/>
  <c r="K174" i="42761"/>
  <c r="J174" i="42761"/>
  <c r="I174" i="42761"/>
  <c r="B174" i="42761"/>
  <c r="A174" i="42761"/>
  <c r="L173" i="42761"/>
  <c r="K173" i="42761"/>
  <c r="J173" i="42761"/>
  <c r="I173" i="42761"/>
  <c r="B173" i="42761"/>
  <c r="A173" i="42761"/>
  <c r="L172" i="42761"/>
  <c r="K172" i="42761"/>
  <c r="J172" i="42761"/>
  <c r="I172" i="42761"/>
  <c r="B172" i="42761"/>
  <c r="A172" i="42761"/>
  <c r="N171" i="42761"/>
  <c r="M171" i="42761"/>
  <c r="B171" i="42761"/>
  <c r="A171" i="42761"/>
  <c r="N170" i="42761"/>
  <c r="M170" i="42761"/>
  <c r="B170" i="42761"/>
  <c r="A170" i="42761"/>
  <c r="N169" i="42761"/>
  <c r="M169" i="42761"/>
  <c r="B169" i="42761"/>
  <c r="A169" i="42761"/>
  <c r="N168" i="42761"/>
  <c r="M168" i="42761"/>
  <c r="B168" i="42761"/>
  <c r="A168" i="42761"/>
  <c r="L167" i="42761"/>
  <c r="K167" i="42761"/>
  <c r="J167" i="42761"/>
  <c r="I167" i="42761"/>
  <c r="B167" i="42761"/>
  <c r="A167" i="42761"/>
  <c r="L166" i="42761"/>
  <c r="K166" i="42761"/>
  <c r="J166" i="42761"/>
  <c r="I166" i="42761"/>
  <c r="B166" i="42761"/>
  <c r="A166" i="42761"/>
  <c r="L165" i="42761"/>
  <c r="K165" i="42761"/>
  <c r="J165" i="42761"/>
  <c r="I165" i="42761"/>
  <c r="B165" i="42761"/>
  <c r="A165" i="42761"/>
  <c r="L164" i="42761"/>
  <c r="K164" i="42761"/>
  <c r="J164" i="42761"/>
  <c r="I164" i="42761"/>
  <c r="B164" i="42761"/>
  <c r="A164" i="42761"/>
  <c r="L163" i="42761"/>
  <c r="K163" i="42761"/>
  <c r="J163" i="42761"/>
  <c r="I163" i="42761"/>
  <c r="B163" i="42761"/>
  <c r="A163" i="42761"/>
  <c r="L162" i="42761"/>
  <c r="K162" i="42761"/>
  <c r="J162" i="42761"/>
  <c r="I162" i="42761"/>
  <c r="B162" i="42761"/>
  <c r="A162" i="42761"/>
  <c r="L161" i="42761"/>
  <c r="K161" i="42761"/>
  <c r="J161" i="42761"/>
  <c r="I161" i="42761"/>
  <c r="B161" i="42761"/>
  <c r="A161" i="42761"/>
  <c r="L160" i="42761"/>
  <c r="K160" i="42761"/>
  <c r="J160" i="42761"/>
  <c r="I160" i="42761"/>
  <c r="B160" i="42761"/>
  <c r="A160" i="42761"/>
  <c r="L159" i="42761"/>
  <c r="K159" i="42761"/>
  <c r="J159" i="42761"/>
  <c r="I159" i="42761"/>
  <c r="B159" i="42761"/>
  <c r="A159" i="42761"/>
  <c r="L158" i="42761"/>
  <c r="K158" i="42761"/>
  <c r="J158" i="42761"/>
  <c r="I158" i="42761"/>
  <c r="B158" i="42761"/>
  <c r="A158" i="42761"/>
  <c r="L157" i="42761"/>
  <c r="K157" i="42761"/>
  <c r="J157" i="42761"/>
  <c r="I157" i="42761"/>
  <c r="B157" i="42761"/>
  <c r="A157" i="42761"/>
  <c r="L156" i="42761"/>
  <c r="K156" i="42761"/>
  <c r="J156" i="42761"/>
  <c r="I156" i="42761"/>
  <c r="B156" i="42761"/>
  <c r="A156" i="42761"/>
  <c r="L155" i="42761"/>
  <c r="K155" i="42761"/>
  <c r="J155" i="42761"/>
  <c r="I155" i="42761"/>
  <c r="B155" i="42761"/>
  <c r="A155" i="42761"/>
  <c r="L154" i="42761"/>
  <c r="K154" i="42761"/>
  <c r="J154" i="42761"/>
  <c r="I154" i="42761"/>
  <c r="B154" i="42761"/>
  <c r="A154" i="42761"/>
  <c r="L153" i="42761"/>
  <c r="K153" i="42761"/>
  <c r="J153" i="42761"/>
  <c r="I153" i="42761"/>
  <c r="B153" i="42761"/>
  <c r="A153" i="42761"/>
  <c r="L152" i="42761"/>
  <c r="K152" i="42761"/>
  <c r="J152" i="42761"/>
  <c r="I152" i="42761"/>
  <c r="B152" i="42761"/>
  <c r="A152" i="42761"/>
  <c r="N151" i="42761"/>
  <c r="M151" i="42761"/>
  <c r="B151" i="42761"/>
  <c r="A151" i="42761"/>
  <c r="L150" i="42761"/>
  <c r="K150" i="42761"/>
  <c r="J150" i="42761"/>
  <c r="I150" i="42761"/>
  <c r="B150" i="42761"/>
  <c r="A150" i="42761"/>
  <c r="L149" i="42761"/>
  <c r="K149" i="42761"/>
  <c r="J149" i="42761"/>
  <c r="I149" i="42761"/>
  <c r="B149" i="42761"/>
  <c r="A149" i="42761"/>
  <c r="L148" i="42761"/>
  <c r="K148" i="42761"/>
  <c r="J148" i="42761"/>
  <c r="I148" i="42761"/>
  <c r="B148" i="42761"/>
  <c r="A148" i="42761"/>
  <c r="L147" i="42761"/>
  <c r="K147" i="42761"/>
  <c r="J147" i="42761"/>
  <c r="I147" i="42761"/>
  <c r="B147" i="42761"/>
  <c r="A147" i="42761"/>
  <c r="L146" i="42761"/>
  <c r="K146" i="42761"/>
  <c r="J146" i="42761"/>
  <c r="I146" i="42761"/>
  <c r="B146" i="42761"/>
  <c r="A146" i="42761"/>
  <c r="L145" i="42761"/>
  <c r="K145" i="42761"/>
  <c r="J145" i="42761"/>
  <c r="I145" i="42761"/>
  <c r="B145" i="42761"/>
  <c r="A145" i="42761"/>
  <c r="L144" i="42761"/>
  <c r="K144" i="42761"/>
  <c r="J144" i="42761"/>
  <c r="I144" i="42761"/>
  <c r="B144" i="42761"/>
  <c r="A144" i="42761"/>
  <c r="L143" i="42761"/>
  <c r="K143" i="42761"/>
  <c r="J143" i="42761"/>
  <c r="I143" i="42761"/>
  <c r="B143" i="42761"/>
  <c r="A143" i="42761"/>
  <c r="L142" i="42761"/>
  <c r="K142" i="42761"/>
  <c r="J142" i="42761"/>
  <c r="I142" i="42761"/>
  <c r="B142" i="42761"/>
  <c r="A142" i="42761"/>
  <c r="L141" i="42761"/>
  <c r="K141" i="42761"/>
  <c r="J141" i="42761"/>
  <c r="I141" i="42761"/>
  <c r="B141" i="42761"/>
  <c r="A141" i="42761"/>
  <c r="N140" i="42761"/>
  <c r="M140" i="42761"/>
  <c r="B140" i="42761"/>
  <c r="A140" i="42761"/>
  <c r="N139" i="42761"/>
  <c r="M139" i="42761"/>
  <c r="B139" i="42761"/>
  <c r="A139" i="42761"/>
  <c r="L138" i="42761"/>
  <c r="K138" i="42761"/>
  <c r="J138" i="42761"/>
  <c r="I138" i="42761"/>
  <c r="B138" i="42761"/>
  <c r="A138" i="42761"/>
  <c r="L137" i="42761"/>
  <c r="K137" i="42761"/>
  <c r="J137" i="42761"/>
  <c r="I137" i="42761"/>
  <c r="B137" i="42761"/>
  <c r="A137" i="42761"/>
  <c r="L136" i="42761"/>
  <c r="K136" i="42761"/>
  <c r="J136" i="42761"/>
  <c r="I136" i="42761"/>
  <c r="B136" i="42761"/>
  <c r="A136" i="42761"/>
  <c r="N135" i="42761"/>
  <c r="M135" i="42761"/>
  <c r="B135" i="42761"/>
  <c r="A135" i="42761"/>
  <c r="L134" i="42761"/>
  <c r="K134" i="42761"/>
  <c r="J134" i="42761"/>
  <c r="I134" i="42761"/>
  <c r="B134" i="42761"/>
  <c r="A134" i="42761"/>
  <c r="L133" i="42761"/>
  <c r="K133" i="42761"/>
  <c r="J133" i="42761"/>
  <c r="I133" i="42761"/>
  <c r="B133" i="42761"/>
  <c r="A133" i="42761"/>
  <c r="L132" i="42761"/>
  <c r="K132" i="42761"/>
  <c r="J132" i="42761"/>
  <c r="I132" i="42761"/>
  <c r="B132" i="42761"/>
  <c r="A132" i="42761"/>
  <c r="L131" i="42761"/>
  <c r="K131" i="42761"/>
  <c r="J131" i="42761"/>
  <c r="I131" i="42761"/>
  <c r="B131" i="42761"/>
  <c r="A131" i="42761"/>
  <c r="L130" i="42761"/>
  <c r="K130" i="42761"/>
  <c r="J130" i="42761"/>
  <c r="I130" i="42761"/>
  <c r="B130" i="42761"/>
  <c r="A130" i="42761"/>
  <c r="L129" i="42761"/>
  <c r="K129" i="42761"/>
  <c r="J129" i="42761"/>
  <c r="I129" i="42761"/>
  <c r="B129" i="42761"/>
  <c r="A129" i="42761"/>
  <c r="L128" i="42761"/>
  <c r="K128" i="42761"/>
  <c r="J128" i="42761"/>
  <c r="I128" i="42761"/>
  <c r="B128" i="42761"/>
  <c r="A128" i="42761"/>
  <c r="L127" i="42761"/>
  <c r="K127" i="42761"/>
  <c r="J127" i="42761"/>
  <c r="I127" i="42761"/>
  <c r="B127" i="42761"/>
  <c r="A127" i="42761"/>
  <c r="L126" i="42761"/>
  <c r="K126" i="42761"/>
  <c r="J126" i="42761"/>
  <c r="I126" i="42761"/>
  <c r="B126" i="42761"/>
  <c r="A126" i="42761"/>
  <c r="L125" i="42761"/>
  <c r="K125" i="42761"/>
  <c r="J125" i="42761"/>
  <c r="I125" i="42761"/>
  <c r="B125" i="42761"/>
  <c r="A125" i="42761"/>
  <c r="L124" i="42761"/>
  <c r="K124" i="42761"/>
  <c r="J124" i="42761"/>
  <c r="I124" i="42761"/>
  <c r="B124" i="42761"/>
  <c r="A124" i="42761"/>
  <c r="L123" i="42761"/>
  <c r="K123" i="42761"/>
  <c r="J123" i="42761"/>
  <c r="I123" i="42761"/>
  <c r="B123" i="42761"/>
  <c r="A123" i="42761"/>
  <c r="N122" i="42761"/>
  <c r="M122" i="42761"/>
  <c r="B122" i="42761"/>
  <c r="A122" i="42761"/>
  <c r="N121" i="42761"/>
  <c r="M121" i="42761"/>
  <c r="B121" i="42761"/>
  <c r="A121" i="42761"/>
  <c r="N120" i="42761"/>
  <c r="M120" i="42761"/>
  <c r="B120" i="42761"/>
  <c r="A120" i="42761"/>
  <c r="N119" i="42761"/>
  <c r="M119" i="42761"/>
  <c r="B119" i="42761"/>
  <c r="A119" i="42761"/>
  <c r="N118" i="42761"/>
  <c r="M118" i="42761"/>
  <c r="B118" i="42761"/>
  <c r="A118" i="42761"/>
  <c r="N117" i="42761"/>
  <c r="M117" i="42761"/>
  <c r="B117" i="42761"/>
  <c r="A117" i="42761"/>
  <c r="N116" i="42761"/>
  <c r="M116" i="42761"/>
  <c r="B116" i="42761"/>
  <c r="A116" i="42761"/>
  <c r="N115" i="42761"/>
  <c r="M115" i="42761"/>
  <c r="B115" i="42761"/>
  <c r="A115" i="42761"/>
  <c r="N114" i="42761"/>
  <c r="M114" i="42761"/>
  <c r="B114" i="42761"/>
  <c r="A114" i="42761"/>
  <c r="N113" i="42761"/>
  <c r="M113" i="42761"/>
  <c r="B113" i="42761"/>
  <c r="A113" i="42761"/>
  <c r="L112" i="42761"/>
  <c r="K112" i="42761"/>
  <c r="J112" i="42761"/>
  <c r="I112" i="42761"/>
  <c r="B112" i="42761"/>
  <c r="A112" i="42761"/>
  <c r="N111" i="42761"/>
  <c r="M111" i="42761"/>
  <c r="B111" i="42761"/>
  <c r="A111" i="42761"/>
  <c r="L110" i="42761"/>
  <c r="K110" i="42761"/>
  <c r="J110" i="42761"/>
  <c r="I110" i="42761"/>
  <c r="B110" i="42761"/>
  <c r="A110" i="42761"/>
  <c r="L109" i="42761"/>
  <c r="K109" i="42761"/>
  <c r="J109" i="42761"/>
  <c r="I109" i="42761"/>
  <c r="B109" i="42761"/>
  <c r="A109" i="42761"/>
  <c r="L108" i="42761"/>
  <c r="K108" i="42761"/>
  <c r="J108" i="42761"/>
  <c r="I108" i="42761"/>
  <c r="B108" i="42761"/>
  <c r="A108" i="42761"/>
  <c r="L107" i="42761"/>
  <c r="K107" i="42761"/>
  <c r="J107" i="42761"/>
  <c r="I107" i="42761"/>
  <c r="B107" i="42761"/>
  <c r="A107" i="42761"/>
  <c r="L106" i="42761"/>
  <c r="K106" i="42761"/>
  <c r="J106" i="42761"/>
  <c r="I106" i="42761"/>
  <c r="B106" i="42761"/>
  <c r="A106" i="42761"/>
  <c r="L105" i="42761"/>
  <c r="K105" i="42761"/>
  <c r="J105" i="42761"/>
  <c r="I105" i="42761"/>
  <c r="B105" i="42761"/>
  <c r="A105" i="42761"/>
  <c r="L104" i="42761"/>
  <c r="K104" i="42761"/>
  <c r="J104" i="42761"/>
  <c r="I104" i="42761"/>
  <c r="B104" i="42761"/>
  <c r="A104" i="42761"/>
  <c r="L103" i="42761"/>
  <c r="K103" i="42761"/>
  <c r="J103" i="42761"/>
  <c r="I103" i="42761"/>
  <c r="B103" i="42761"/>
  <c r="A103" i="42761"/>
  <c r="L102" i="42761"/>
  <c r="K102" i="42761"/>
  <c r="J102" i="42761"/>
  <c r="I102" i="42761"/>
  <c r="B102" i="42761"/>
  <c r="A102" i="42761"/>
  <c r="N101" i="42761"/>
  <c r="M101" i="42761"/>
  <c r="B101" i="42761"/>
  <c r="A101" i="42761"/>
  <c r="N100" i="42761"/>
  <c r="M100" i="42761"/>
  <c r="B100" i="42761"/>
  <c r="A100" i="42761"/>
  <c r="N99" i="42761"/>
  <c r="M99" i="42761"/>
  <c r="B99" i="42761"/>
  <c r="A99" i="42761"/>
  <c r="N98" i="42761"/>
  <c r="M98" i="42761"/>
  <c r="B98" i="42761"/>
  <c r="A98" i="42761"/>
  <c r="N97" i="42761"/>
  <c r="M97" i="42761"/>
  <c r="B97" i="42761"/>
  <c r="A97" i="42761"/>
  <c r="N96" i="42761"/>
  <c r="M96" i="42761"/>
  <c r="B96" i="42761"/>
  <c r="A96" i="42761"/>
  <c r="N95" i="42761"/>
  <c r="M95" i="42761"/>
  <c r="B95" i="42761"/>
  <c r="A95" i="42761"/>
  <c r="N94" i="42761"/>
  <c r="M94" i="42761"/>
  <c r="B94" i="42761"/>
  <c r="A94" i="42761"/>
  <c r="L93" i="42761"/>
  <c r="K93" i="42761"/>
  <c r="J93" i="42761"/>
  <c r="I93" i="42761"/>
  <c r="B93" i="42761"/>
  <c r="A93" i="42761"/>
  <c r="L92" i="42761"/>
  <c r="K92" i="42761"/>
  <c r="J92" i="42761"/>
  <c r="I92" i="42761"/>
  <c r="B92" i="42761"/>
  <c r="A92" i="42761"/>
  <c r="L91" i="42761"/>
  <c r="K91" i="42761"/>
  <c r="J91" i="42761"/>
  <c r="I91" i="42761"/>
  <c r="B91" i="42761"/>
  <c r="A91" i="42761"/>
  <c r="L90" i="42761"/>
  <c r="K90" i="42761"/>
  <c r="J90" i="42761"/>
  <c r="I90" i="42761"/>
  <c r="B90" i="42761"/>
  <c r="A90" i="42761"/>
  <c r="N89" i="42761"/>
  <c r="M89" i="42761"/>
  <c r="B89" i="42761"/>
  <c r="A89" i="42761"/>
  <c r="N88" i="42761"/>
  <c r="M88" i="42761"/>
  <c r="B88" i="42761"/>
  <c r="A88" i="42761"/>
  <c r="N87" i="42761"/>
  <c r="M87" i="42761"/>
  <c r="B87" i="42761"/>
  <c r="A87" i="42761"/>
  <c r="L86" i="42761"/>
  <c r="K86" i="42761"/>
  <c r="J86" i="42761"/>
  <c r="I86" i="42761"/>
  <c r="B86" i="42761"/>
  <c r="A86" i="42761"/>
  <c r="L85" i="42761"/>
  <c r="K85" i="42761"/>
  <c r="J85" i="42761"/>
  <c r="I85" i="42761"/>
  <c r="B85" i="42761"/>
  <c r="A85" i="42761"/>
  <c r="N84" i="42761"/>
  <c r="M84" i="42761"/>
  <c r="B84" i="42761"/>
  <c r="A84" i="42761"/>
  <c r="N83" i="42761"/>
  <c r="M83" i="42761"/>
  <c r="B83" i="42761"/>
  <c r="A83" i="42761"/>
  <c r="N82" i="42761"/>
  <c r="M82" i="42761"/>
  <c r="B82" i="42761"/>
  <c r="A82" i="42761"/>
  <c r="N81" i="42761"/>
  <c r="M81" i="42761"/>
  <c r="B81" i="42761"/>
  <c r="A81" i="42761"/>
  <c r="N80" i="42761"/>
  <c r="M80" i="42761"/>
  <c r="B80" i="42761"/>
  <c r="A80" i="42761"/>
  <c r="L79" i="42761"/>
  <c r="K79" i="42761"/>
  <c r="J79" i="42761"/>
  <c r="I79" i="42761"/>
  <c r="B79" i="42761"/>
  <c r="A79" i="42761"/>
  <c r="L78" i="42761"/>
  <c r="K78" i="42761"/>
  <c r="J78" i="42761"/>
  <c r="I78" i="42761"/>
  <c r="B78" i="42761"/>
  <c r="A78" i="42761"/>
  <c r="L77" i="42761"/>
  <c r="K77" i="42761"/>
  <c r="J77" i="42761"/>
  <c r="I77" i="42761"/>
  <c r="B77" i="42761"/>
  <c r="A77" i="42761"/>
  <c r="N76" i="42761"/>
  <c r="M76" i="42761"/>
  <c r="B76" i="42761"/>
  <c r="A76" i="42761"/>
  <c r="N75" i="42761"/>
  <c r="M75" i="42761"/>
  <c r="B75" i="42761"/>
  <c r="A75" i="42761"/>
  <c r="N74" i="42761"/>
  <c r="M74" i="42761"/>
  <c r="B74" i="42761"/>
  <c r="A74" i="42761"/>
  <c r="N73" i="42761"/>
  <c r="M73" i="42761"/>
  <c r="B73" i="42761"/>
  <c r="A73" i="42761"/>
  <c r="N72" i="42761"/>
  <c r="M72" i="42761"/>
  <c r="B72" i="42761"/>
  <c r="A72" i="42761"/>
  <c r="N71" i="42761"/>
  <c r="M71" i="42761"/>
  <c r="B71" i="42761"/>
  <c r="A71" i="42761"/>
  <c r="N70" i="42761"/>
  <c r="M70" i="42761"/>
  <c r="B70" i="42761"/>
  <c r="A70" i="42761"/>
  <c r="N69" i="42761"/>
  <c r="M69" i="42761"/>
  <c r="B69" i="42761"/>
  <c r="A69" i="42761"/>
  <c r="N68" i="42761"/>
  <c r="M68" i="42761"/>
  <c r="B68" i="42761"/>
  <c r="A68" i="42761"/>
  <c r="L67" i="42761"/>
  <c r="K67" i="42761"/>
  <c r="J67" i="42761"/>
  <c r="I67" i="42761"/>
  <c r="B67" i="42761"/>
  <c r="A67" i="42761"/>
  <c r="L66" i="42761"/>
  <c r="K66" i="42761"/>
  <c r="J66" i="42761"/>
  <c r="I66" i="42761"/>
  <c r="B66" i="42761"/>
  <c r="A66" i="42761"/>
  <c r="L65" i="42761"/>
  <c r="K65" i="42761"/>
  <c r="J65" i="42761"/>
  <c r="I65" i="42761"/>
  <c r="B65" i="42761"/>
  <c r="A65" i="42761"/>
  <c r="L64" i="42761"/>
  <c r="K64" i="42761"/>
  <c r="J64" i="42761"/>
  <c r="I64" i="42761"/>
  <c r="B64" i="42761"/>
  <c r="A64" i="42761"/>
  <c r="L63" i="42761"/>
  <c r="K63" i="42761"/>
  <c r="J63" i="42761"/>
  <c r="I63" i="42761"/>
  <c r="B63" i="42761"/>
  <c r="A63" i="42761"/>
  <c r="L62" i="42761"/>
  <c r="K62" i="42761"/>
  <c r="J62" i="42761"/>
  <c r="I62" i="42761"/>
  <c r="B62" i="42761"/>
  <c r="A62" i="42761"/>
  <c r="L61" i="42761"/>
  <c r="K61" i="42761"/>
  <c r="J61" i="42761"/>
  <c r="I61" i="42761"/>
  <c r="B61" i="42761"/>
  <c r="A61" i="42761"/>
  <c r="L60" i="42761"/>
  <c r="K60" i="42761"/>
  <c r="J60" i="42761"/>
  <c r="I60" i="42761"/>
  <c r="B60" i="42761"/>
  <c r="A60" i="42761"/>
  <c r="L59" i="42761"/>
  <c r="K59" i="42761"/>
  <c r="J59" i="42761"/>
  <c r="I59" i="42761"/>
  <c r="B59" i="42761"/>
  <c r="A59" i="42761"/>
  <c r="L58" i="42761"/>
  <c r="K58" i="42761"/>
  <c r="J58" i="42761"/>
  <c r="I58" i="42761"/>
  <c r="B58" i="42761"/>
  <c r="A58" i="42761"/>
  <c r="L57" i="42761"/>
  <c r="K57" i="42761"/>
  <c r="J57" i="42761"/>
  <c r="I57" i="42761"/>
  <c r="B57" i="42761"/>
  <c r="A57" i="42761"/>
  <c r="L56" i="42761"/>
  <c r="K56" i="42761"/>
  <c r="J56" i="42761"/>
  <c r="I56" i="42761"/>
  <c r="B56" i="42761"/>
  <c r="A56" i="42761"/>
  <c r="N55" i="42761"/>
  <c r="M55" i="42761"/>
  <c r="B55" i="42761"/>
  <c r="A55" i="42761"/>
  <c r="N54" i="42761"/>
  <c r="M54" i="42761"/>
  <c r="B54" i="42761"/>
  <c r="A54" i="42761"/>
  <c r="N53" i="42761"/>
  <c r="M53" i="42761"/>
  <c r="B53" i="42761"/>
  <c r="A53" i="42761"/>
  <c r="N52" i="42761"/>
  <c r="M52" i="42761"/>
  <c r="B52" i="42761"/>
  <c r="A52" i="42761"/>
  <c r="N51" i="42761"/>
  <c r="M51" i="42761"/>
  <c r="B51" i="42761"/>
  <c r="A51" i="42761"/>
  <c r="N50" i="42761"/>
  <c r="M50" i="42761"/>
  <c r="B50" i="42761"/>
  <c r="A50" i="42761"/>
  <c r="N49" i="42761"/>
  <c r="M49" i="42761"/>
  <c r="B49" i="42761"/>
  <c r="A49" i="42761"/>
  <c r="N48" i="42761"/>
  <c r="M48" i="42761"/>
  <c r="B48" i="42761"/>
  <c r="A48" i="42761"/>
  <c r="N47" i="42761"/>
  <c r="M47" i="42761"/>
  <c r="B47" i="42761"/>
  <c r="A47" i="42761"/>
  <c r="N46" i="42761"/>
  <c r="M46" i="42761"/>
  <c r="B46" i="42761"/>
  <c r="A46" i="42761"/>
  <c r="N45" i="42761"/>
  <c r="M45" i="42761"/>
  <c r="B45" i="42761"/>
  <c r="A45" i="42761"/>
  <c r="N44" i="42761"/>
  <c r="M44" i="42761"/>
  <c r="B44" i="42761"/>
  <c r="A44" i="42761"/>
  <c r="N43" i="42761"/>
  <c r="M43" i="42761"/>
  <c r="B43" i="42761"/>
  <c r="A43" i="42761"/>
  <c r="N42" i="42761"/>
  <c r="M42" i="42761"/>
  <c r="B42" i="42761"/>
  <c r="A42" i="42761"/>
  <c r="L41" i="42761"/>
  <c r="K41" i="42761"/>
  <c r="J41" i="42761"/>
  <c r="I41" i="42761"/>
  <c r="B41" i="42761"/>
  <c r="A41" i="42761"/>
  <c r="N40" i="42761"/>
  <c r="M40" i="42761"/>
  <c r="B40" i="42761"/>
  <c r="A40" i="42761"/>
  <c r="N39" i="42761"/>
  <c r="M39" i="42761"/>
  <c r="B39" i="42761"/>
  <c r="A39" i="42761"/>
  <c r="N38" i="42761"/>
  <c r="M38" i="42761"/>
  <c r="B38" i="42761"/>
  <c r="A38" i="42761"/>
  <c r="N37" i="42761"/>
  <c r="M37" i="42761"/>
  <c r="B37" i="42761"/>
  <c r="A37" i="42761"/>
  <c r="N36" i="42761"/>
  <c r="M36" i="42761"/>
  <c r="B36" i="42761"/>
  <c r="A36" i="42761"/>
  <c r="N35" i="42761"/>
  <c r="M35" i="42761"/>
  <c r="B35" i="42761"/>
  <c r="A35" i="42761"/>
  <c r="N34" i="42761"/>
  <c r="M34" i="42761"/>
  <c r="B34" i="42761"/>
  <c r="A34" i="42761"/>
  <c r="N33" i="42761"/>
  <c r="M33" i="42761"/>
  <c r="B33" i="42761"/>
  <c r="A33" i="42761"/>
  <c r="N32" i="42761"/>
  <c r="M32" i="42761"/>
  <c r="B32" i="42761"/>
  <c r="A32" i="42761"/>
  <c r="N31" i="42761"/>
  <c r="M31" i="42761"/>
  <c r="B31" i="42761"/>
  <c r="A31" i="42761"/>
  <c r="N30" i="42761"/>
  <c r="M30" i="42761"/>
  <c r="B30" i="42761"/>
  <c r="A30" i="42761"/>
  <c r="N29" i="42761"/>
  <c r="M29" i="42761"/>
  <c r="B29" i="42761"/>
  <c r="A29" i="42761"/>
  <c r="N28" i="42761"/>
  <c r="M28" i="42761"/>
  <c r="B28" i="42761"/>
  <c r="A28" i="42761"/>
  <c r="N27" i="42761"/>
  <c r="M27" i="42761"/>
  <c r="B27" i="42761"/>
  <c r="A27" i="42761"/>
  <c r="N26" i="42761"/>
  <c r="M26" i="42761"/>
  <c r="B26" i="42761"/>
  <c r="A26" i="42761"/>
  <c r="N25" i="42761"/>
  <c r="M25" i="42761"/>
  <c r="B25" i="42761"/>
  <c r="A25" i="42761"/>
  <c r="N24" i="42761"/>
  <c r="M24" i="42761"/>
  <c r="B24" i="42761"/>
  <c r="A24" i="42761"/>
  <c r="N23" i="42761"/>
  <c r="M23" i="42761"/>
  <c r="B23" i="42761"/>
  <c r="A23" i="42761"/>
  <c r="L22" i="42761"/>
  <c r="K22" i="42761"/>
  <c r="J22" i="42761"/>
  <c r="I22" i="42761"/>
  <c r="B22" i="42761"/>
  <c r="A22" i="42761"/>
  <c r="L21" i="42761"/>
  <c r="K21" i="42761"/>
  <c r="J21" i="42761"/>
  <c r="I21" i="42761"/>
  <c r="B21" i="42761"/>
  <c r="A21" i="42761"/>
  <c r="L20" i="42761"/>
  <c r="K20" i="42761"/>
  <c r="J20" i="42761"/>
  <c r="I20" i="42761"/>
  <c r="B20" i="42761"/>
  <c r="A20" i="42761"/>
  <c r="L19" i="42761"/>
  <c r="K19" i="42761"/>
  <c r="J19" i="42761"/>
  <c r="I19" i="42761"/>
  <c r="B19" i="42761"/>
  <c r="A19" i="42761"/>
  <c r="L18" i="42761"/>
  <c r="K18" i="42761"/>
  <c r="J18" i="42761"/>
  <c r="I18" i="42761"/>
  <c r="B18" i="42761"/>
  <c r="A18" i="42761"/>
  <c r="N17" i="42761"/>
  <c r="M17" i="42761"/>
  <c r="B17" i="42761"/>
  <c r="A17" i="42761"/>
  <c r="N16" i="42761"/>
  <c r="M16" i="42761"/>
  <c r="B16" i="42761"/>
  <c r="A16" i="42761"/>
  <c r="N15" i="42761"/>
  <c r="M15" i="42761"/>
  <c r="B15" i="42761"/>
  <c r="A15" i="42761"/>
  <c r="N14" i="42761"/>
  <c r="M14" i="42761"/>
  <c r="B14" i="42761"/>
  <c r="A14" i="42761"/>
  <c r="N13" i="42761"/>
  <c r="M13" i="42761"/>
  <c r="B13" i="42761"/>
  <c r="A13" i="42761"/>
  <c r="N12" i="42761"/>
  <c r="M12" i="42761"/>
  <c r="B12" i="42761"/>
  <c r="A12" i="42761"/>
  <c r="N11" i="42761"/>
  <c r="M11" i="42761"/>
  <c r="B11" i="42761"/>
  <c r="A11" i="42761"/>
  <c r="N10" i="42761"/>
  <c r="M10" i="42761"/>
  <c r="B10" i="42761"/>
  <c r="A10" i="42761"/>
  <c r="N9" i="42761"/>
  <c r="M9" i="42761"/>
  <c r="B9" i="42761"/>
  <c r="A9" i="42761"/>
  <c r="N8" i="42761"/>
  <c r="M8" i="42761"/>
  <c r="B8" i="42761"/>
  <c r="A8" i="42761"/>
  <c r="F19" i="42760"/>
  <c r="C19" i="42760"/>
  <c r="F18" i="42760"/>
  <c r="C18" i="42760"/>
  <c r="F17" i="42760"/>
  <c r="C17" i="42760"/>
  <c r="F16" i="42760"/>
  <c r="C16" i="42760"/>
  <c r="F15" i="42760"/>
  <c r="L51" i="42761" s="1"/>
  <c r="C15" i="42760"/>
  <c r="K51" i="42761" s="1"/>
  <c r="F14" i="42760"/>
  <c r="C14" i="42760"/>
  <c r="F13" i="42760"/>
  <c r="C13" i="42760"/>
  <c r="F12" i="42760"/>
  <c r="L36" i="42761" s="1"/>
  <c r="C12" i="42760"/>
  <c r="K36" i="42761" s="1"/>
  <c r="F11" i="42760"/>
  <c r="C11" i="42760"/>
  <c r="F10" i="42760"/>
  <c r="C10" i="42760"/>
  <c r="F9" i="42760"/>
  <c r="L171" i="42761" s="1"/>
  <c r="C9" i="42760"/>
  <c r="K171" i="42761" s="1"/>
  <c r="G288" i="42759"/>
  <c r="G285" i="42759"/>
  <c r="G284" i="42759"/>
  <c r="G283" i="42759"/>
  <c r="G272" i="42759"/>
  <c r="G269" i="42759"/>
  <c r="G268" i="42759"/>
  <c r="G267" i="42759"/>
  <c r="G256" i="42759"/>
  <c r="G253" i="42759"/>
  <c r="G252" i="42759"/>
  <c r="G242" i="42759"/>
  <c r="G239" i="42759"/>
  <c r="G238" i="42759"/>
  <c r="G227" i="42759"/>
  <c r="G224" i="42759"/>
  <c r="G223" i="42759"/>
  <c r="G213" i="42759"/>
  <c r="G210" i="42759"/>
  <c r="G209" i="42759"/>
  <c r="G198" i="42759"/>
  <c r="G195" i="42759"/>
  <c r="G194" i="42759"/>
  <c r="G183" i="42759"/>
  <c r="G180" i="42759"/>
  <c r="G179" i="42759"/>
  <c r="G168" i="42759"/>
  <c r="G165" i="42759"/>
  <c r="G164" i="42759"/>
  <c r="G151" i="42759"/>
  <c r="G148" i="42759"/>
  <c r="G147" i="42759"/>
  <c r="G136" i="42759"/>
  <c r="G133" i="42759"/>
  <c r="G132" i="42759"/>
  <c r="G121" i="42759"/>
  <c r="G118" i="42759"/>
  <c r="G117" i="42759"/>
  <c r="G106" i="42759"/>
  <c r="G103" i="42759"/>
  <c r="G102" i="42759"/>
  <c r="G91" i="42759"/>
  <c r="G87" i="42759"/>
  <c r="G88" i="42759" s="1"/>
  <c r="G86" i="42759"/>
  <c r="G85" i="42759"/>
  <c r="G74" i="42759"/>
  <c r="G71" i="42759"/>
  <c r="G70" i="42759"/>
  <c r="G59" i="42759"/>
  <c r="G55" i="42759"/>
  <c r="G56" i="42759" s="1"/>
  <c r="G54" i="42759"/>
  <c r="G53" i="42759"/>
  <c r="G42" i="42759"/>
  <c r="G39" i="42759"/>
  <c r="G38" i="42759"/>
  <c r="G28" i="42759"/>
  <c r="G24" i="42759"/>
  <c r="G25" i="42759" s="1"/>
  <c r="G23" i="42759"/>
  <c r="G22" i="42759"/>
  <c r="G11" i="42759"/>
  <c r="G8" i="42759"/>
  <c r="G7" i="42759"/>
  <c r="B22" i="42758"/>
  <c r="A22" i="42758" s="1"/>
  <c r="B21" i="42758"/>
  <c r="A21" i="42758" s="1"/>
  <c r="B20" i="42758"/>
  <c r="A20" i="42758" s="1"/>
  <c r="B19" i="42758"/>
  <c r="A19" i="42758" s="1"/>
  <c r="B18" i="42758"/>
  <c r="A18" i="42758" s="1"/>
  <c r="B17" i="42758"/>
  <c r="A17" i="42758" s="1"/>
  <c r="B16" i="42758"/>
  <c r="A16" i="42758" s="1"/>
  <c r="B15" i="42758"/>
  <c r="A15" i="42758" s="1"/>
  <c r="B14" i="42758"/>
  <c r="A14" i="42758" s="1"/>
  <c r="B13" i="42758"/>
  <c r="A13" i="42758" s="1"/>
  <c r="B12" i="42758"/>
  <c r="A12" i="42758" s="1"/>
  <c r="B11" i="42758"/>
  <c r="A11" i="42758" s="1"/>
  <c r="B10" i="42758"/>
  <c r="A10" i="42758" s="1"/>
  <c r="B9" i="42758"/>
  <c r="A9" i="42758" s="1"/>
  <c r="B8" i="42758"/>
  <c r="A8" i="42758" s="1"/>
  <c r="B7" i="42758"/>
  <c r="A7" i="42758" s="1"/>
  <c r="B6" i="42758"/>
  <c r="A6" i="42758" s="1"/>
  <c r="B5" i="42758"/>
  <c r="A5" i="42758" s="1"/>
  <c r="B4" i="42758"/>
  <c r="A4" i="42758" s="1"/>
  <c r="B3" i="42758"/>
  <c r="A3" i="42758" s="1"/>
  <c r="B2" i="42758"/>
  <c r="A2" i="42758" s="1"/>
  <c r="B22" i="42757"/>
  <c r="A22" i="42757" s="1"/>
  <c r="B21" i="42757"/>
  <c r="A21" i="42757" s="1"/>
  <c r="B20" i="42757"/>
  <c r="A20" i="42757" s="1"/>
  <c r="B19" i="42757"/>
  <c r="A19" i="42757" s="1"/>
  <c r="B18" i="42757"/>
  <c r="A18" i="42757" s="1"/>
  <c r="B17" i="42757"/>
  <c r="A17" i="42757" s="1"/>
  <c r="B16" i="42757"/>
  <c r="A16" i="42757" s="1"/>
  <c r="B15" i="42757"/>
  <c r="A15" i="42757" s="1"/>
  <c r="B14" i="42757"/>
  <c r="A14" i="42757" s="1"/>
  <c r="B13" i="42757"/>
  <c r="A13" i="42757" s="1"/>
  <c r="B12" i="42757"/>
  <c r="A12" i="42757" s="1"/>
  <c r="B11" i="42757"/>
  <c r="A11" i="42757" s="1"/>
  <c r="B10" i="42757"/>
  <c r="A10" i="42757" s="1"/>
  <c r="B9" i="42757"/>
  <c r="A9" i="42757" s="1"/>
  <c r="B8" i="42757"/>
  <c r="A8" i="42757" s="1"/>
  <c r="B7" i="42757"/>
  <c r="A7" i="42757" s="1"/>
  <c r="B6" i="42757"/>
  <c r="A6" i="42757" s="1"/>
  <c r="B5" i="42757"/>
  <c r="A5" i="42757" s="1"/>
  <c r="B4" i="42757"/>
  <c r="A4" i="42757" s="1"/>
  <c r="B3" i="42757"/>
  <c r="A3" i="42757" s="1"/>
  <c r="B2" i="42757"/>
  <c r="A2" i="42757" s="1"/>
  <c r="F419" i="42756"/>
  <c r="F418" i="42756"/>
  <c r="F417" i="42756"/>
  <c r="F416" i="42756"/>
  <c r="F415" i="42756"/>
  <c r="F414" i="42756"/>
  <c r="F413" i="42756"/>
  <c r="F412" i="42756"/>
  <c r="F411" i="42756"/>
  <c r="F410" i="42756"/>
  <c r="F409" i="42756"/>
  <c r="F408" i="42756"/>
  <c r="F407" i="42756"/>
  <c r="F406" i="42756"/>
  <c r="F405" i="42756"/>
  <c r="F404" i="42756"/>
  <c r="F403" i="42756"/>
  <c r="F402" i="42756"/>
  <c r="F401" i="42756"/>
  <c r="F400" i="42756"/>
  <c r="F399" i="42756"/>
  <c r="F398" i="42756"/>
  <c r="F397" i="42756"/>
  <c r="F396" i="42756"/>
  <c r="F392" i="42756"/>
  <c r="B391" i="42756"/>
  <c r="A391" i="42756" s="1"/>
  <c r="B390" i="42756"/>
  <c r="A390" i="42756" s="1"/>
  <c r="B389" i="42756"/>
  <c r="A389" i="42756" s="1"/>
  <c r="B388" i="42756"/>
  <c r="A388" i="42756" s="1"/>
  <c r="B387" i="42756"/>
  <c r="A387" i="42756" s="1"/>
  <c r="B386" i="42756"/>
  <c r="A386" i="42756" s="1"/>
  <c r="B385" i="42756"/>
  <c r="A385" i="42756" s="1"/>
  <c r="B384" i="42756"/>
  <c r="A384" i="42756" s="1"/>
  <c r="B383" i="42756"/>
  <c r="A383" i="42756" s="1"/>
  <c r="B382" i="42756"/>
  <c r="A382" i="42756" s="1"/>
  <c r="B381" i="42756"/>
  <c r="A381" i="42756" s="1"/>
  <c r="B380" i="42756"/>
  <c r="A380" i="42756" s="1"/>
  <c r="B379" i="42756"/>
  <c r="A379" i="42756" s="1"/>
  <c r="B378" i="42756"/>
  <c r="A378" i="42756" s="1"/>
  <c r="B377" i="42756"/>
  <c r="A377" i="42756" s="1"/>
  <c r="B376" i="42756"/>
  <c r="A376" i="42756" s="1"/>
  <c r="B375" i="42756"/>
  <c r="A375" i="42756" s="1"/>
  <c r="B374" i="42756"/>
  <c r="A374" i="42756" s="1"/>
  <c r="B373" i="42756"/>
  <c r="A373" i="42756" s="1"/>
  <c r="B372" i="42756"/>
  <c r="A372" i="42756" s="1"/>
  <c r="B371" i="42756"/>
  <c r="A371" i="42756" s="1"/>
  <c r="B370" i="42756"/>
  <c r="A370" i="42756" s="1"/>
  <c r="B369" i="42756"/>
  <c r="A369" i="42756" s="1"/>
  <c r="B368" i="42756"/>
  <c r="A368" i="42756" s="1"/>
  <c r="B367" i="42756"/>
  <c r="A367" i="42756" s="1"/>
  <c r="B366" i="42756"/>
  <c r="A366" i="42756" s="1"/>
  <c r="B365" i="42756"/>
  <c r="A365" i="42756" s="1"/>
  <c r="B364" i="42756"/>
  <c r="A364" i="42756" s="1"/>
  <c r="B363" i="42756"/>
  <c r="A363" i="42756" s="1"/>
  <c r="B362" i="42756"/>
  <c r="A362" i="42756" s="1"/>
  <c r="B361" i="42756"/>
  <c r="A361" i="42756" s="1"/>
  <c r="B360" i="42756"/>
  <c r="A360" i="42756" s="1"/>
  <c r="B359" i="42756"/>
  <c r="A359" i="42756" s="1"/>
  <c r="B358" i="42756"/>
  <c r="A358" i="42756" s="1"/>
  <c r="B357" i="42756"/>
  <c r="A357" i="42756" s="1"/>
  <c r="B356" i="42756"/>
  <c r="A356" i="42756" s="1"/>
  <c r="B355" i="42756"/>
  <c r="A355" i="42756" s="1"/>
  <c r="B354" i="42756"/>
  <c r="A354" i="42756" s="1"/>
  <c r="B353" i="42756"/>
  <c r="A353" i="42756" s="1"/>
  <c r="B352" i="42756"/>
  <c r="A352" i="42756" s="1"/>
  <c r="B351" i="42756"/>
  <c r="A351" i="42756" s="1"/>
  <c r="B350" i="42756"/>
  <c r="A350" i="42756" s="1"/>
  <c r="B349" i="42756"/>
  <c r="A349" i="42756" s="1"/>
  <c r="B348" i="42756"/>
  <c r="A348" i="42756" s="1"/>
  <c r="B347" i="42756"/>
  <c r="A347" i="42756" s="1"/>
  <c r="B346" i="42756"/>
  <c r="A346" i="42756" s="1"/>
  <c r="B345" i="42756"/>
  <c r="A345" i="42756" s="1"/>
  <c r="B344" i="42756"/>
  <c r="A344" i="42756" s="1"/>
  <c r="B343" i="42756"/>
  <c r="A343" i="42756" s="1"/>
  <c r="B342" i="42756"/>
  <c r="A342" i="42756" s="1"/>
  <c r="B341" i="42756"/>
  <c r="A341" i="42756" s="1"/>
  <c r="B340" i="42756"/>
  <c r="A340" i="42756" s="1"/>
  <c r="B339" i="42756"/>
  <c r="A339" i="42756" s="1"/>
  <c r="B338" i="42756"/>
  <c r="A338" i="42756" s="1"/>
  <c r="B337" i="42756"/>
  <c r="A337" i="42756" s="1"/>
  <c r="B336" i="42756"/>
  <c r="A336" i="42756" s="1"/>
  <c r="B335" i="42756"/>
  <c r="A335" i="42756" s="1"/>
  <c r="B334" i="42756"/>
  <c r="A334" i="42756" s="1"/>
  <c r="B333" i="42756"/>
  <c r="A333" i="42756" s="1"/>
  <c r="B332" i="42756"/>
  <c r="A332" i="42756" s="1"/>
  <c r="B331" i="42756"/>
  <c r="A331" i="42756" s="1"/>
  <c r="B330" i="42756"/>
  <c r="A330" i="42756" s="1"/>
  <c r="B329" i="42756"/>
  <c r="A329" i="42756" s="1"/>
  <c r="B328" i="42756"/>
  <c r="A328" i="42756" s="1"/>
  <c r="B327" i="42756"/>
  <c r="A327" i="42756" s="1"/>
  <c r="B326" i="42756"/>
  <c r="A326" i="42756" s="1"/>
  <c r="B325" i="42756"/>
  <c r="A325" i="42756" s="1"/>
  <c r="B324" i="42756"/>
  <c r="A324" i="42756" s="1"/>
  <c r="B323" i="42756"/>
  <c r="A323" i="42756" s="1"/>
  <c r="B322" i="42756"/>
  <c r="A322" i="42756" s="1"/>
  <c r="B321" i="42756"/>
  <c r="A321" i="42756" s="1"/>
  <c r="B320" i="42756"/>
  <c r="A320" i="42756" s="1"/>
  <c r="B319" i="42756"/>
  <c r="A319" i="42756" s="1"/>
  <c r="B318" i="42756"/>
  <c r="A318" i="42756" s="1"/>
  <c r="B317" i="42756"/>
  <c r="A317" i="42756" s="1"/>
  <c r="B316" i="42756"/>
  <c r="A316" i="42756" s="1"/>
  <c r="B315" i="42756"/>
  <c r="A315" i="42756" s="1"/>
  <c r="B314" i="42756"/>
  <c r="A314" i="42756" s="1"/>
  <c r="B313" i="42756"/>
  <c r="A313" i="42756" s="1"/>
  <c r="B312" i="42756"/>
  <c r="A312" i="42756" s="1"/>
  <c r="B311" i="42756"/>
  <c r="A311" i="42756" s="1"/>
  <c r="B310" i="42756"/>
  <c r="A310" i="42756" s="1"/>
  <c r="B309" i="42756"/>
  <c r="A309" i="42756" s="1"/>
  <c r="B308" i="42756"/>
  <c r="A308" i="42756" s="1"/>
  <c r="B307" i="42756"/>
  <c r="A307" i="42756" s="1"/>
  <c r="B306" i="42756"/>
  <c r="A306" i="42756" s="1"/>
  <c r="B305" i="42756"/>
  <c r="A305" i="42756" s="1"/>
  <c r="B304" i="42756"/>
  <c r="A304" i="42756" s="1"/>
  <c r="B303" i="42756"/>
  <c r="A303" i="42756" s="1"/>
  <c r="B302" i="42756"/>
  <c r="A302" i="42756" s="1"/>
  <c r="B301" i="42756"/>
  <c r="A301" i="42756" s="1"/>
  <c r="B300" i="42756"/>
  <c r="A300" i="42756" s="1"/>
  <c r="B299" i="42756"/>
  <c r="A299" i="42756" s="1"/>
  <c r="B298" i="42756"/>
  <c r="A298" i="42756" s="1"/>
  <c r="B297" i="42756"/>
  <c r="A297" i="42756" s="1"/>
  <c r="B296" i="42756"/>
  <c r="A296" i="42756" s="1"/>
  <c r="B295" i="42756"/>
  <c r="A295" i="42756" s="1"/>
  <c r="B294" i="42756"/>
  <c r="A294" i="42756" s="1"/>
  <c r="B293" i="42756"/>
  <c r="A293" i="42756" s="1"/>
  <c r="B292" i="42756"/>
  <c r="A292" i="42756" s="1"/>
  <c r="B291" i="42756"/>
  <c r="A291" i="42756" s="1"/>
  <c r="B290" i="42756"/>
  <c r="A290" i="42756" s="1"/>
  <c r="B289" i="42756"/>
  <c r="A289" i="42756" s="1"/>
  <c r="B288" i="42756"/>
  <c r="A288" i="42756" s="1"/>
  <c r="B287" i="42756"/>
  <c r="A287" i="42756" s="1"/>
  <c r="B286" i="42756"/>
  <c r="A286" i="42756" s="1"/>
  <c r="B285" i="42756"/>
  <c r="A285" i="42756" s="1"/>
  <c r="B284" i="42756"/>
  <c r="A284" i="42756" s="1"/>
  <c r="B283" i="42756"/>
  <c r="A283" i="42756" s="1"/>
  <c r="B282" i="42756"/>
  <c r="A282" i="42756" s="1"/>
  <c r="B281" i="42756"/>
  <c r="A281" i="42756" s="1"/>
  <c r="B280" i="42756"/>
  <c r="A280" i="42756" s="1"/>
  <c r="B279" i="42756"/>
  <c r="A279" i="42756" s="1"/>
  <c r="B278" i="42756"/>
  <c r="A278" i="42756" s="1"/>
  <c r="B277" i="42756"/>
  <c r="A277" i="42756" s="1"/>
  <c r="B276" i="42756"/>
  <c r="A276" i="42756" s="1"/>
  <c r="B275" i="42756"/>
  <c r="A275" i="42756" s="1"/>
  <c r="B274" i="42756"/>
  <c r="A274" i="42756" s="1"/>
  <c r="B273" i="42756"/>
  <c r="A273" i="42756" s="1"/>
  <c r="B272" i="42756"/>
  <c r="A272" i="42756" s="1"/>
  <c r="B271" i="42756"/>
  <c r="A271" i="42756" s="1"/>
  <c r="B270" i="42756"/>
  <c r="A270" i="42756" s="1"/>
  <c r="B269" i="42756"/>
  <c r="A269" i="42756" s="1"/>
  <c r="B268" i="42756"/>
  <c r="A268" i="42756" s="1"/>
  <c r="B267" i="42756"/>
  <c r="A267" i="42756" s="1"/>
  <c r="B266" i="42756"/>
  <c r="A266" i="42756" s="1"/>
  <c r="B265" i="42756"/>
  <c r="A265" i="42756" s="1"/>
  <c r="B264" i="42756"/>
  <c r="A264" i="42756" s="1"/>
  <c r="B263" i="42756"/>
  <c r="A263" i="42756" s="1"/>
  <c r="B262" i="42756"/>
  <c r="A262" i="42756" s="1"/>
  <c r="B261" i="42756"/>
  <c r="A261" i="42756" s="1"/>
  <c r="B260" i="42756"/>
  <c r="A260" i="42756" s="1"/>
  <c r="B259" i="42756"/>
  <c r="A259" i="42756" s="1"/>
  <c r="B258" i="42756"/>
  <c r="A258" i="42756" s="1"/>
  <c r="B257" i="42756"/>
  <c r="A257" i="42756" s="1"/>
  <c r="B256" i="42756"/>
  <c r="A256" i="42756" s="1"/>
  <c r="B255" i="42756"/>
  <c r="A255" i="42756" s="1"/>
  <c r="B254" i="42756"/>
  <c r="A254" i="42756" s="1"/>
  <c r="B253" i="42756"/>
  <c r="A253" i="42756" s="1"/>
  <c r="B252" i="42756"/>
  <c r="A252" i="42756" s="1"/>
  <c r="B251" i="42756"/>
  <c r="A251" i="42756" s="1"/>
  <c r="B250" i="42756"/>
  <c r="A250" i="42756" s="1"/>
  <c r="B249" i="42756"/>
  <c r="A249" i="42756" s="1"/>
  <c r="B248" i="42756"/>
  <c r="A248" i="42756" s="1"/>
  <c r="B247" i="42756"/>
  <c r="A247" i="42756" s="1"/>
  <c r="B246" i="42756"/>
  <c r="A246" i="42756" s="1"/>
  <c r="B245" i="42756"/>
  <c r="A245" i="42756" s="1"/>
  <c r="B244" i="42756"/>
  <c r="A244" i="42756" s="1"/>
  <c r="B243" i="42756"/>
  <c r="A243" i="42756" s="1"/>
  <c r="B242" i="42756"/>
  <c r="A242" i="42756" s="1"/>
  <c r="B241" i="42756"/>
  <c r="A241" i="42756" s="1"/>
  <c r="B240" i="42756"/>
  <c r="A240" i="42756" s="1"/>
  <c r="B239" i="42756"/>
  <c r="A239" i="42756" s="1"/>
  <c r="B238" i="42756"/>
  <c r="A238" i="42756" s="1"/>
  <c r="B237" i="42756"/>
  <c r="A237" i="42756" s="1"/>
  <c r="B236" i="42756"/>
  <c r="A236" i="42756" s="1"/>
  <c r="B235" i="42756"/>
  <c r="A235" i="42756" s="1"/>
  <c r="B234" i="42756"/>
  <c r="A234" i="42756" s="1"/>
  <c r="B233" i="42756"/>
  <c r="A233" i="42756" s="1"/>
  <c r="B232" i="42756"/>
  <c r="A232" i="42756" s="1"/>
  <c r="B231" i="42756"/>
  <c r="A231" i="42756" s="1"/>
  <c r="B230" i="42756"/>
  <c r="A230" i="42756" s="1"/>
  <c r="B229" i="42756"/>
  <c r="A229" i="42756" s="1"/>
  <c r="B228" i="42756"/>
  <c r="A228" i="42756" s="1"/>
  <c r="B227" i="42756"/>
  <c r="A227" i="42756" s="1"/>
  <c r="B226" i="42756"/>
  <c r="A226" i="42756" s="1"/>
  <c r="B225" i="42756"/>
  <c r="A225" i="42756" s="1"/>
  <c r="B224" i="42756"/>
  <c r="A224" i="42756" s="1"/>
  <c r="B223" i="42756"/>
  <c r="A223" i="42756" s="1"/>
  <c r="B222" i="42756"/>
  <c r="A222" i="42756" s="1"/>
  <c r="B221" i="42756"/>
  <c r="A221" i="42756" s="1"/>
  <c r="B220" i="42756"/>
  <c r="A220" i="42756" s="1"/>
  <c r="B219" i="42756"/>
  <c r="A219" i="42756" s="1"/>
  <c r="B218" i="42756"/>
  <c r="A218" i="42756" s="1"/>
  <c r="B217" i="42756"/>
  <c r="A217" i="42756" s="1"/>
  <c r="B216" i="42756"/>
  <c r="A216" i="42756" s="1"/>
  <c r="B215" i="42756"/>
  <c r="A215" i="42756" s="1"/>
  <c r="B214" i="42756"/>
  <c r="A214" i="42756" s="1"/>
  <c r="B213" i="42756"/>
  <c r="A213" i="42756" s="1"/>
  <c r="B212" i="42756"/>
  <c r="A212" i="42756" s="1"/>
  <c r="B211" i="42756"/>
  <c r="A211" i="42756" s="1"/>
  <c r="B210" i="42756"/>
  <c r="A210" i="42756" s="1"/>
  <c r="B209" i="42756"/>
  <c r="A209" i="42756" s="1"/>
  <c r="B208" i="42756"/>
  <c r="A208" i="42756" s="1"/>
  <c r="B207" i="42756"/>
  <c r="A207" i="42756" s="1"/>
  <c r="B206" i="42756"/>
  <c r="A206" i="42756" s="1"/>
  <c r="B205" i="42756"/>
  <c r="A205" i="42756" s="1"/>
  <c r="B204" i="42756"/>
  <c r="A204" i="42756" s="1"/>
  <c r="B203" i="42756"/>
  <c r="A203" i="42756" s="1"/>
  <c r="B202" i="42756"/>
  <c r="A202" i="42756" s="1"/>
  <c r="B201" i="42756"/>
  <c r="A201" i="42756" s="1"/>
  <c r="B200" i="42756"/>
  <c r="A200" i="42756" s="1"/>
  <c r="B199" i="42756"/>
  <c r="A199" i="42756" s="1"/>
  <c r="B198" i="42756"/>
  <c r="A198" i="42756" s="1"/>
  <c r="B197" i="42756"/>
  <c r="A197" i="42756" s="1"/>
  <c r="B196" i="42756"/>
  <c r="A196" i="42756" s="1"/>
  <c r="B195" i="42756"/>
  <c r="A195" i="42756" s="1"/>
  <c r="B194" i="42756"/>
  <c r="A194" i="42756" s="1"/>
  <c r="B193" i="42756"/>
  <c r="A193" i="42756" s="1"/>
  <c r="B192" i="42756"/>
  <c r="A192" i="42756" s="1"/>
  <c r="B191" i="42756"/>
  <c r="A191" i="42756" s="1"/>
  <c r="B190" i="42756"/>
  <c r="A190" i="42756" s="1"/>
  <c r="B189" i="42756"/>
  <c r="A189" i="42756" s="1"/>
  <c r="B188" i="42756"/>
  <c r="A188" i="42756" s="1"/>
  <c r="B187" i="42756"/>
  <c r="A187" i="42756" s="1"/>
  <c r="B186" i="42756"/>
  <c r="A186" i="42756" s="1"/>
  <c r="B185" i="42756"/>
  <c r="A185" i="42756" s="1"/>
  <c r="B184" i="42756"/>
  <c r="A184" i="42756" s="1"/>
  <c r="B183" i="42756"/>
  <c r="A183" i="42756" s="1"/>
  <c r="B182" i="42756"/>
  <c r="A182" i="42756" s="1"/>
  <c r="B181" i="42756"/>
  <c r="A181" i="42756" s="1"/>
  <c r="B180" i="42756"/>
  <c r="A180" i="42756" s="1"/>
  <c r="B179" i="42756"/>
  <c r="A179" i="42756" s="1"/>
  <c r="B178" i="42756"/>
  <c r="A178" i="42756" s="1"/>
  <c r="B177" i="42756"/>
  <c r="A177" i="42756" s="1"/>
  <c r="B176" i="42756"/>
  <c r="A176" i="42756" s="1"/>
  <c r="B175" i="42756"/>
  <c r="A175" i="42756" s="1"/>
  <c r="B174" i="42756"/>
  <c r="A174" i="42756" s="1"/>
  <c r="B173" i="42756"/>
  <c r="A173" i="42756" s="1"/>
  <c r="B172" i="42756"/>
  <c r="A172" i="42756" s="1"/>
  <c r="B171" i="42756"/>
  <c r="A171" i="42756" s="1"/>
  <c r="B170" i="42756"/>
  <c r="A170" i="42756" s="1"/>
  <c r="B169" i="42756"/>
  <c r="A169" i="42756" s="1"/>
  <c r="B168" i="42756"/>
  <c r="A168" i="42756" s="1"/>
  <c r="B167" i="42756"/>
  <c r="A167" i="42756" s="1"/>
  <c r="B166" i="42756"/>
  <c r="A166" i="42756" s="1"/>
  <c r="B165" i="42756"/>
  <c r="A165" i="42756" s="1"/>
  <c r="B164" i="42756"/>
  <c r="A164" i="42756" s="1"/>
  <c r="B163" i="42756"/>
  <c r="A163" i="42756" s="1"/>
  <c r="B162" i="42756"/>
  <c r="A162" i="42756" s="1"/>
  <c r="B161" i="42756"/>
  <c r="A161" i="42756" s="1"/>
  <c r="B160" i="42756"/>
  <c r="A160" i="42756" s="1"/>
  <c r="B159" i="42756"/>
  <c r="A159" i="42756" s="1"/>
  <c r="B158" i="42756"/>
  <c r="A158" i="42756" s="1"/>
  <c r="B157" i="42756"/>
  <c r="A157" i="42756" s="1"/>
  <c r="B156" i="42756"/>
  <c r="A156" i="42756" s="1"/>
  <c r="B155" i="42756"/>
  <c r="A155" i="42756" s="1"/>
  <c r="B154" i="42756"/>
  <c r="A154" i="42756" s="1"/>
  <c r="B153" i="42756"/>
  <c r="A153" i="42756" s="1"/>
  <c r="B152" i="42756"/>
  <c r="A152" i="42756" s="1"/>
  <c r="B151" i="42756"/>
  <c r="A151" i="42756" s="1"/>
  <c r="B150" i="42756"/>
  <c r="A150" i="42756" s="1"/>
  <c r="B149" i="42756"/>
  <c r="A149" i="42756" s="1"/>
  <c r="B148" i="42756"/>
  <c r="A148" i="42756" s="1"/>
  <c r="B147" i="42756"/>
  <c r="A147" i="42756" s="1"/>
  <c r="B146" i="42756"/>
  <c r="A146" i="42756" s="1"/>
  <c r="B145" i="42756"/>
  <c r="A145" i="42756" s="1"/>
  <c r="B144" i="42756"/>
  <c r="A144" i="42756" s="1"/>
  <c r="B143" i="42756"/>
  <c r="A143" i="42756" s="1"/>
  <c r="B142" i="42756"/>
  <c r="A142" i="42756" s="1"/>
  <c r="B141" i="42756"/>
  <c r="A141" i="42756" s="1"/>
  <c r="B140" i="42756"/>
  <c r="A140" i="42756" s="1"/>
  <c r="B139" i="42756"/>
  <c r="A139" i="42756" s="1"/>
  <c r="B138" i="42756"/>
  <c r="A138" i="42756" s="1"/>
  <c r="B137" i="42756"/>
  <c r="A137" i="42756" s="1"/>
  <c r="B136" i="42756"/>
  <c r="A136" i="42756" s="1"/>
  <c r="B135" i="42756"/>
  <c r="A135" i="42756" s="1"/>
  <c r="B134" i="42756"/>
  <c r="A134" i="42756" s="1"/>
  <c r="B133" i="42756"/>
  <c r="A133" i="42756" s="1"/>
  <c r="B132" i="42756"/>
  <c r="A132" i="42756" s="1"/>
  <c r="B131" i="42756"/>
  <c r="A131" i="42756" s="1"/>
  <c r="B130" i="42756"/>
  <c r="A130" i="42756" s="1"/>
  <c r="B129" i="42756"/>
  <c r="A129" i="42756" s="1"/>
  <c r="B128" i="42756"/>
  <c r="A128" i="42756" s="1"/>
  <c r="B127" i="42756"/>
  <c r="A127" i="42756" s="1"/>
  <c r="B126" i="42756"/>
  <c r="A126" i="42756" s="1"/>
  <c r="B125" i="42756"/>
  <c r="A125" i="42756" s="1"/>
  <c r="B124" i="42756"/>
  <c r="A124" i="42756" s="1"/>
  <c r="B123" i="42756"/>
  <c r="A123" i="42756" s="1"/>
  <c r="B122" i="42756"/>
  <c r="A122" i="42756" s="1"/>
  <c r="B121" i="42756"/>
  <c r="A121" i="42756" s="1"/>
  <c r="B120" i="42756"/>
  <c r="A120" i="42756" s="1"/>
  <c r="B119" i="42756"/>
  <c r="A119" i="42756" s="1"/>
  <c r="B118" i="42756"/>
  <c r="A118" i="42756" s="1"/>
  <c r="B117" i="42756"/>
  <c r="A117" i="42756" s="1"/>
  <c r="B116" i="42756"/>
  <c r="A116" i="42756" s="1"/>
  <c r="B115" i="42756"/>
  <c r="A115" i="42756" s="1"/>
  <c r="B114" i="42756"/>
  <c r="A114" i="42756" s="1"/>
  <c r="B113" i="42756"/>
  <c r="A113" i="42756" s="1"/>
  <c r="B112" i="42756"/>
  <c r="A112" i="42756" s="1"/>
  <c r="B111" i="42756"/>
  <c r="A111" i="42756" s="1"/>
  <c r="B110" i="42756"/>
  <c r="A110" i="42756" s="1"/>
  <c r="B109" i="42756"/>
  <c r="A109" i="42756" s="1"/>
  <c r="B108" i="42756"/>
  <c r="A108" i="42756" s="1"/>
  <c r="B107" i="42756"/>
  <c r="A107" i="42756" s="1"/>
  <c r="B106" i="42756"/>
  <c r="A106" i="42756" s="1"/>
  <c r="B105" i="42756"/>
  <c r="A105" i="42756" s="1"/>
  <c r="B104" i="42756"/>
  <c r="A104" i="42756" s="1"/>
  <c r="B103" i="42756"/>
  <c r="A103" i="42756" s="1"/>
  <c r="B102" i="42756"/>
  <c r="A102" i="42756" s="1"/>
  <c r="B101" i="42756"/>
  <c r="A101" i="42756" s="1"/>
  <c r="B100" i="42756"/>
  <c r="A100" i="42756" s="1"/>
  <c r="B99" i="42756"/>
  <c r="A99" i="42756" s="1"/>
  <c r="B98" i="42756"/>
  <c r="A98" i="42756" s="1"/>
  <c r="B97" i="42756"/>
  <c r="A97" i="42756" s="1"/>
  <c r="B96" i="42756"/>
  <c r="A96" i="42756" s="1"/>
  <c r="B95" i="42756"/>
  <c r="A95" i="42756" s="1"/>
  <c r="B94" i="42756"/>
  <c r="A94" i="42756" s="1"/>
  <c r="B93" i="42756"/>
  <c r="A93" i="42756" s="1"/>
  <c r="B92" i="42756"/>
  <c r="A92" i="42756" s="1"/>
  <c r="B91" i="42756"/>
  <c r="A91" i="42756" s="1"/>
  <c r="B90" i="42756"/>
  <c r="A90" i="42756" s="1"/>
  <c r="B89" i="42756"/>
  <c r="A89" i="42756" s="1"/>
  <c r="B88" i="42756"/>
  <c r="A88" i="42756" s="1"/>
  <c r="B87" i="42756"/>
  <c r="A87" i="42756" s="1"/>
  <c r="B86" i="42756"/>
  <c r="A86" i="42756" s="1"/>
  <c r="B85" i="42756"/>
  <c r="A85" i="42756" s="1"/>
  <c r="B84" i="42756"/>
  <c r="A84" i="42756" s="1"/>
  <c r="B83" i="42756"/>
  <c r="A83" i="42756" s="1"/>
  <c r="B82" i="42756"/>
  <c r="A82" i="42756" s="1"/>
  <c r="B81" i="42756"/>
  <c r="A81" i="42756" s="1"/>
  <c r="B80" i="42756"/>
  <c r="A80" i="42756" s="1"/>
  <c r="B79" i="42756"/>
  <c r="A79" i="42756" s="1"/>
  <c r="B78" i="42756"/>
  <c r="A78" i="42756" s="1"/>
  <c r="B77" i="42756"/>
  <c r="A77" i="42756" s="1"/>
  <c r="B76" i="42756"/>
  <c r="A76" i="42756" s="1"/>
  <c r="B75" i="42756"/>
  <c r="A75" i="42756" s="1"/>
  <c r="B74" i="42756"/>
  <c r="A74" i="42756" s="1"/>
  <c r="B73" i="42756"/>
  <c r="A73" i="42756" s="1"/>
  <c r="B72" i="42756"/>
  <c r="A72" i="42756" s="1"/>
  <c r="B71" i="42756"/>
  <c r="A71" i="42756" s="1"/>
  <c r="B70" i="42756"/>
  <c r="A70" i="42756" s="1"/>
  <c r="B69" i="42756"/>
  <c r="A69" i="42756" s="1"/>
  <c r="B68" i="42756"/>
  <c r="A68" i="42756" s="1"/>
  <c r="B67" i="42756"/>
  <c r="A67" i="42756" s="1"/>
  <c r="B66" i="42756"/>
  <c r="A66" i="42756" s="1"/>
  <c r="B65" i="42756"/>
  <c r="A65" i="42756" s="1"/>
  <c r="B64" i="42756"/>
  <c r="A64" i="42756" s="1"/>
  <c r="B63" i="42756"/>
  <c r="A63" i="42756" s="1"/>
  <c r="B62" i="42756"/>
  <c r="A62" i="42756" s="1"/>
  <c r="B61" i="42756"/>
  <c r="A61" i="42756" s="1"/>
  <c r="B60" i="42756"/>
  <c r="A60" i="42756" s="1"/>
  <c r="B59" i="42756"/>
  <c r="A59" i="42756" s="1"/>
  <c r="B58" i="42756"/>
  <c r="A58" i="42756" s="1"/>
  <c r="B57" i="42756"/>
  <c r="A57" i="42756" s="1"/>
  <c r="B56" i="42756"/>
  <c r="A56" i="42756" s="1"/>
  <c r="B55" i="42756"/>
  <c r="A55" i="42756" s="1"/>
  <c r="B54" i="42756"/>
  <c r="A54" i="42756" s="1"/>
  <c r="B53" i="42756"/>
  <c r="A53" i="42756" s="1"/>
  <c r="B52" i="42756"/>
  <c r="A52" i="42756" s="1"/>
  <c r="B51" i="42756"/>
  <c r="A51" i="42756" s="1"/>
  <c r="B50" i="42756"/>
  <c r="A50" i="42756" s="1"/>
  <c r="B49" i="42756"/>
  <c r="A49" i="42756" s="1"/>
  <c r="B48" i="42756"/>
  <c r="A48" i="42756" s="1"/>
  <c r="B47" i="42756"/>
  <c r="A47" i="42756" s="1"/>
  <c r="B46" i="42756"/>
  <c r="A46" i="42756" s="1"/>
  <c r="B45" i="42756"/>
  <c r="A45" i="42756" s="1"/>
  <c r="B44" i="42756"/>
  <c r="A44" i="42756" s="1"/>
  <c r="B43" i="42756"/>
  <c r="A43" i="42756" s="1"/>
  <c r="B42" i="42756"/>
  <c r="A42" i="42756" s="1"/>
  <c r="B41" i="42756"/>
  <c r="A41" i="42756" s="1"/>
  <c r="B40" i="42756"/>
  <c r="A40" i="42756" s="1"/>
  <c r="B39" i="42756"/>
  <c r="A39" i="42756" s="1"/>
  <c r="B38" i="42756"/>
  <c r="A38" i="42756" s="1"/>
  <c r="B37" i="42756"/>
  <c r="A37" i="42756" s="1"/>
  <c r="B36" i="42756"/>
  <c r="A36" i="42756" s="1"/>
  <c r="B35" i="42756"/>
  <c r="A35" i="42756" s="1"/>
  <c r="B34" i="42756"/>
  <c r="A34" i="42756" s="1"/>
  <c r="B33" i="42756"/>
  <c r="A33" i="42756" s="1"/>
  <c r="B32" i="42756"/>
  <c r="A32" i="42756" s="1"/>
  <c r="B31" i="42756"/>
  <c r="A31" i="42756" s="1"/>
  <c r="B30" i="42756"/>
  <c r="A30" i="42756" s="1"/>
  <c r="B29" i="42756"/>
  <c r="A29" i="42756" s="1"/>
  <c r="B28" i="42756"/>
  <c r="A28" i="42756" s="1"/>
  <c r="B27" i="42756"/>
  <c r="A27" i="42756" s="1"/>
  <c r="B26" i="42756"/>
  <c r="A26" i="42756" s="1"/>
  <c r="B25" i="42756"/>
  <c r="A25" i="42756" s="1"/>
  <c r="B24" i="42756"/>
  <c r="A24" i="42756" s="1"/>
  <c r="B23" i="42756"/>
  <c r="A23" i="42756" s="1"/>
  <c r="A22" i="42756"/>
  <c r="B21" i="42756"/>
  <c r="A21" i="42756" s="1"/>
  <c r="B20" i="42756"/>
  <c r="A20" i="42756" s="1"/>
  <c r="B19" i="42756"/>
  <c r="A19" i="42756" s="1"/>
  <c r="B18" i="42756"/>
  <c r="A18" i="42756" s="1"/>
  <c r="B17" i="42756"/>
  <c r="A17" i="42756" s="1"/>
  <c r="B16" i="42756"/>
  <c r="A16" i="42756" s="1"/>
  <c r="B15" i="42756"/>
  <c r="A15" i="42756" s="1"/>
  <c r="B14" i="42756"/>
  <c r="A14" i="42756" s="1"/>
  <c r="B13" i="42756"/>
  <c r="A13" i="42756" s="1"/>
  <c r="B12" i="42756"/>
  <c r="A12" i="42756" s="1"/>
  <c r="B11" i="42756"/>
  <c r="A11" i="42756" s="1"/>
  <c r="B10" i="42756"/>
  <c r="A10" i="42756" s="1"/>
  <c r="B9" i="42756"/>
  <c r="A9" i="42756" s="1"/>
  <c r="B8" i="42756"/>
  <c r="A8" i="42756" s="1"/>
  <c r="B7" i="42756"/>
  <c r="A7" i="42756" s="1"/>
  <c r="B6" i="42756"/>
  <c r="A6" i="42756" s="1"/>
  <c r="B5" i="42756"/>
  <c r="A5" i="42756" s="1"/>
  <c r="B4" i="42756"/>
  <c r="A4" i="42756" s="1"/>
  <c r="B3" i="42756"/>
  <c r="A3" i="42756" s="1"/>
  <c r="B2" i="42756"/>
  <c r="A2" i="42756" s="1"/>
  <c r="G61" i="42765" l="1"/>
  <c r="F6" i="42769"/>
  <c r="I6" i="42769"/>
  <c r="G64" i="42765"/>
  <c r="D13" i="42769"/>
  <c r="L12" i="42769"/>
  <c r="E13" i="42769"/>
  <c r="F13" i="42769"/>
  <c r="G13" i="42769"/>
  <c r="H13" i="42769"/>
  <c r="I13" i="42769"/>
  <c r="J13" i="42769"/>
  <c r="G63" i="42765"/>
  <c r="H6" i="42769"/>
  <c r="D20" i="42766"/>
  <c r="D62" i="42765"/>
  <c r="D18" i="42769"/>
  <c r="L21" i="42769"/>
  <c r="F22" i="42769"/>
  <c r="K30" i="42769"/>
  <c r="E9" i="42766"/>
  <c r="R21" i="42768"/>
  <c r="E30" i="42769"/>
  <c r="E22" i="42769"/>
  <c r="G22" i="42769"/>
  <c r="I22" i="42769"/>
  <c r="D27" i="42769"/>
  <c r="L27" i="42769" s="1"/>
  <c r="L25" i="42769"/>
  <c r="D17" i="42764"/>
  <c r="E32" i="42763"/>
  <c r="F31" i="42763"/>
  <c r="F32" i="42763"/>
  <c r="F30" i="42763"/>
  <c r="F33" i="42763" s="1"/>
  <c r="D16" i="42764"/>
  <c r="D18" i="42764"/>
  <c r="O26" i="42764"/>
  <c r="H27" i="42764"/>
  <c r="H9" i="42764" s="1"/>
  <c r="J27" i="42764"/>
  <c r="J9" i="42764" s="1"/>
  <c r="L27" i="42764"/>
  <c r="L9" i="42764" s="1"/>
  <c r="G30" i="42764"/>
  <c r="I30" i="42764"/>
  <c r="K30" i="42764"/>
  <c r="M30" i="42764"/>
  <c r="M33" i="42764"/>
  <c r="D33" i="42764" s="1"/>
  <c r="O33" i="42764" s="1"/>
  <c r="O35" i="42764"/>
  <c r="J36" i="42764"/>
  <c r="D36" i="42764" s="1"/>
  <c r="O36" i="42764" s="1"/>
  <c r="L36" i="42764"/>
  <c r="E30" i="42763"/>
  <c r="E31" i="42763"/>
  <c r="M9" i="42764"/>
  <c r="G27" i="42764"/>
  <c r="I27" i="42764"/>
  <c r="I9" i="42764" s="1"/>
  <c r="K27" i="42764"/>
  <c r="K9" i="42764" s="1"/>
  <c r="O29" i="42764"/>
  <c r="H30" i="42764"/>
  <c r="J30" i="42764"/>
  <c r="O32" i="42764"/>
  <c r="F8" i="42761"/>
  <c r="U8" i="42761" s="1"/>
  <c r="F9" i="42761"/>
  <c r="U9" i="42761" s="1"/>
  <c r="F10" i="42761"/>
  <c r="U10" i="42761" s="1"/>
  <c r="F11" i="42761"/>
  <c r="U11" i="42761" s="1"/>
  <c r="F12" i="42761"/>
  <c r="U12" i="42761" s="1"/>
  <c r="F13" i="42761"/>
  <c r="U13" i="42761" s="1"/>
  <c r="F14" i="42761"/>
  <c r="U14" i="42761" s="1"/>
  <c r="F15" i="42761"/>
  <c r="U15" i="42761" s="1"/>
  <c r="F16" i="42761"/>
  <c r="U16" i="42761" s="1"/>
  <c r="F17" i="42761"/>
  <c r="U17" i="42761" s="1"/>
  <c r="F18" i="42761"/>
  <c r="O18" i="42761" s="1"/>
  <c r="R18" i="42761"/>
  <c r="F19" i="42761"/>
  <c r="O19" i="42761"/>
  <c r="R19" i="42761"/>
  <c r="F20" i="42761"/>
  <c r="O20" i="42761" s="1"/>
  <c r="R20" i="42761"/>
  <c r="F21" i="42761"/>
  <c r="O21" i="42761"/>
  <c r="R21" i="42761"/>
  <c r="F22" i="42761"/>
  <c r="O22" i="42761" s="1"/>
  <c r="R22" i="42761"/>
  <c r="F23" i="42761"/>
  <c r="U23" i="42761"/>
  <c r="F24" i="42761"/>
  <c r="U24" i="42761"/>
  <c r="F25" i="42761"/>
  <c r="U25" i="42761"/>
  <c r="F26" i="42761"/>
  <c r="U26" i="42761"/>
  <c r="F27" i="42761"/>
  <c r="U27" i="42761"/>
  <c r="F28" i="42761"/>
  <c r="U28" i="42761"/>
  <c r="F29" i="42761"/>
  <c r="U29" i="42761"/>
  <c r="F30" i="42761"/>
  <c r="U30" i="42761"/>
  <c r="F31" i="42761"/>
  <c r="U31" i="42761"/>
  <c r="F32" i="42761"/>
  <c r="U32" i="42761"/>
  <c r="F33" i="42761"/>
  <c r="F34" i="42761"/>
  <c r="F35" i="42761"/>
  <c r="F36" i="42761"/>
  <c r="F37" i="42761"/>
  <c r="F38" i="42761"/>
  <c r="F39" i="42761"/>
  <c r="F40" i="42761"/>
  <c r="F41" i="42761"/>
  <c r="R41" i="42761"/>
  <c r="F42" i="42761"/>
  <c r="U42" i="42761"/>
  <c r="F43" i="42761"/>
  <c r="U43" i="42761"/>
  <c r="F44" i="42761"/>
  <c r="U44" i="42761"/>
  <c r="F45" i="42761"/>
  <c r="U45" i="42761"/>
  <c r="F46" i="42761"/>
  <c r="U46" i="42761"/>
  <c r="F47" i="42761"/>
  <c r="U47" i="42761"/>
  <c r="F48" i="42761"/>
  <c r="U48" i="42761"/>
  <c r="F49" i="42761"/>
  <c r="U49" i="42761"/>
  <c r="F50" i="42761"/>
  <c r="U50" i="42761" s="1"/>
  <c r="F51" i="42761"/>
  <c r="R51" i="42761" s="1"/>
  <c r="F52" i="42761"/>
  <c r="U52" i="42761" s="1"/>
  <c r="F53" i="42761"/>
  <c r="U53" i="42761" s="1"/>
  <c r="F54" i="42761"/>
  <c r="U54" i="42761" s="1"/>
  <c r="F55" i="42761"/>
  <c r="U55" i="42761" s="1"/>
  <c r="F56" i="42761"/>
  <c r="O56" i="42761" s="1"/>
  <c r="R56" i="42761"/>
  <c r="F57" i="42761"/>
  <c r="O57" i="42761"/>
  <c r="R57" i="42761"/>
  <c r="F58" i="42761"/>
  <c r="O58" i="42761" s="1"/>
  <c r="R58" i="42761"/>
  <c r="F59" i="42761"/>
  <c r="O59" i="42761"/>
  <c r="R59" i="42761"/>
  <c r="F60" i="42761"/>
  <c r="O60" i="42761" s="1"/>
  <c r="R60" i="42761"/>
  <c r="F61" i="42761"/>
  <c r="O61" i="42761"/>
  <c r="R61" i="42761"/>
  <c r="F62" i="42761"/>
  <c r="F420" i="42756"/>
  <c r="G419" i="42756" s="1"/>
  <c r="G397" i="42756"/>
  <c r="G399" i="42756"/>
  <c r="G401" i="42756"/>
  <c r="G403" i="42756"/>
  <c r="G405" i="42756"/>
  <c r="G407" i="42756"/>
  <c r="G409" i="42756"/>
  <c r="G411" i="42756"/>
  <c r="G413" i="42756"/>
  <c r="G415" i="42756"/>
  <c r="G417" i="42756"/>
  <c r="G8" i="42761"/>
  <c r="V8" i="42761" s="1"/>
  <c r="G9" i="42761"/>
  <c r="V9" i="42761" s="1"/>
  <c r="W9" i="42761" s="1"/>
  <c r="G10" i="42761"/>
  <c r="V10" i="42761" s="1"/>
  <c r="W10" i="42761" s="1"/>
  <c r="G11" i="42761"/>
  <c r="V11" i="42761" s="1"/>
  <c r="W11" i="42761" s="1"/>
  <c r="G12" i="42761"/>
  <c r="V12" i="42761" s="1"/>
  <c r="W12" i="42761" s="1"/>
  <c r="G13" i="42761"/>
  <c r="V13" i="42761" s="1"/>
  <c r="W13" i="42761" s="1"/>
  <c r="G14" i="42761"/>
  <c r="V14" i="42761" s="1"/>
  <c r="W14" i="42761" s="1"/>
  <c r="G15" i="42761"/>
  <c r="V15" i="42761" s="1"/>
  <c r="W15" i="42761" s="1"/>
  <c r="G16" i="42761"/>
  <c r="V16" i="42761" s="1"/>
  <c r="W16" i="42761" s="1"/>
  <c r="G17" i="42761"/>
  <c r="V17" i="42761" s="1"/>
  <c r="W17" i="42761" s="1"/>
  <c r="G18" i="42761"/>
  <c r="P18" i="42761" s="1"/>
  <c r="Q18" i="42761" s="1"/>
  <c r="S18" i="42761"/>
  <c r="T18" i="42761" s="1"/>
  <c r="G19" i="42761"/>
  <c r="P19" i="42761"/>
  <c r="Q19" i="42761" s="1"/>
  <c r="S19" i="42761"/>
  <c r="T19" i="42761" s="1"/>
  <c r="G20" i="42761"/>
  <c r="P20" i="42761" s="1"/>
  <c r="Q20" i="42761" s="1"/>
  <c r="S20" i="42761"/>
  <c r="T20" i="42761" s="1"/>
  <c r="G21" i="42761"/>
  <c r="P21" i="42761"/>
  <c r="Q21" i="42761" s="1"/>
  <c r="S21" i="42761"/>
  <c r="T21" i="42761" s="1"/>
  <c r="G22" i="42761"/>
  <c r="P22" i="42761" s="1"/>
  <c r="Q22" i="42761" s="1"/>
  <c r="S22" i="42761"/>
  <c r="T22" i="42761" s="1"/>
  <c r="G23" i="42761"/>
  <c r="V23" i="42761"/>
  <c r="W23" i="42761" s="1"/>
  <c r="G24" i="42761"/>
  <c r="V24" i="42761"/>
  <c r="W24" i="42761" s="1"/>
  <c r="G25" i="42761"/>
  <c r="V25" i="42761"/>
  <c r="W25" i="42761" s="1"/>
  <c r="G26" i="42761"/>
  <c r="V26" i="42761"/>
  <c r="W26" i="42761" s="1"/>
  <c r="G27" i="42761"/>
  <c r="V27" i="42761"/>
  <c r="W27" i="42761" s="1"/>
  <c r="G28" i="42761"/>
  <c r="V28" i="42761"/>
  <c r="W28" i="42761" s="1"/>
  <c r="G29" i="42761"/>
  <c r="V29" i="42761"/>
  <c r="W29" i="42761" s="1"/>
  <c r="G30" i="42761"/>
  <c r="V30" i="42761"/>
  <c r="W30" i="42761" s="1"/>
  <c r="G31" i="42761"/>
  <c r="V31" i="42761"/>
  <c r="W31" i="42761" s="1"/>
  <c r="G32" i="42761"/>
  <c r="V32" i="42761"/>
  <c r="W32" i="42761" s="1"/>
  <c r="G33" i="42761"/>
  <c r="V33" i="42761"/>
  <c r="G34" i="42761"/>
  <c r="V34" i="42761"/>
  <c r="G35" i="42761"/>
  <c r="V35" i="42761"/>
  <c r="G36" i="42761"/>
  <c r="S36" i="42761" s="1"/>
  <c r="V36" i="42761"/>
  <c r="G37" i="42761"/>
  <c r="V37" i="42761"/>
  <c r="G38" i="42761"/>
  <c r="V38" i="42761"/>
  <c r="G39" i="42761"/>
  <c r="V39" i="42761"/>
  <c r="G40" i="42761"/>
  <c r="V40" i="42761"/>
  <c r="G41" i="42761"/>
  <c r="P41" i="42761" s="1"/>
  <c r="S41" i="42761"/>
  <c r="T41" i="42761" s="1"/>
  <c r="G42" i="42761"/>
  <c r="V42" i="42761" s="1"/>
  <c r="W42" i="42761" s="1"/>
  <c r="G43" i="42761"/>
  <c r="V43" i="42761" s="1"/>
  <c r="W43" i="42761" s="1"/>
  <c r="G44" i="42761"/>
  <c r="V44" i="42761" s="1"/>
  <c r="W44" i="42761" s="1"/>
  <c r="G45" i="42761"/>
  <c r="V45" i="42761" s="1"/>
  <c r="W45" i="42761" s="1"/>
  <c r="G46" i="42761"/>
  <c r="V46" i="42761" s="1"/>
  <c r="W46" i="42761" s="1"/>
  <c r="G47" i="42761"/>
  <c r="V47" i="42761" s="1"/>
  <c r="W47" i="42761" s="1"/>
  <c r="G48" i="42761"/>
  <c r="V48" i="42761" s="1"/>
  <c r="W48" i="42761" s="1"/>
  <c r="G49" i="42761"/>
  <c r="V49" i="42761" s="1"/>
  <c r="W49" i="42761" s="1"/>
  <c r="G50" i="42761"/>
  <c r="V50" i="42761" s="1"/>
  <c r="W50" i="42761" s="1"/>
  <c r="G51" i="42761"/>
  <c r="S51" i="42761" s="1"/>
  <c r="T51" i="42761" s="1"/>
  <c r="G52" i="42761"/>
  <c r="V52" i="42761" s="1"/>
  <c r="W52" i="42761" s="1"/>
  <c r="G53" i="42761"/>
  <c r="V53" i="42761" s="1"/>
  <c r="W53" i="42761" s="1"/>
  <c r="G54" i="42761"/>
  <c r="V54" i="42761" s="1"/>
  <c r="W54" i="42761" s="1"/>
  <c r="G55" i="42761"/>
  <c r="V55" i="42761" s="1"/>
  <c r="W55" i="42761" s="1"/>
  <c r="G56" i="42761"/>
  <c r="P56" i="42761" s="1"/>
  <c r="Q56" i="42761" s="1"/>
  <c r="S56" i="42761"/>
  <c r="T56" i="42761" s="1"/>
  <c r="G57" i="42761"/>
  <c r="P57" i="42761"/>
  <c r="Q57" i="42761" s="1"/>
  <c r="S57" i="42761"/>
  <c r="T57" i="42761" s="1"/>
  <c r="G58" i="42761"/>
  <c r="P58" i="42761" s="1"/>
  <c r="Q58" i="42761" s="1"/>
  <c r="S58" i="42761"/>
  <c r="T58" i="42761" s="1"/>
  <c r="G59" i="42761"/>
  <c r="P59" i="42761"/>
  <c r="Q59" i="42761" s="1"/>
  <c r="S59" i="42761"/>
  <c r="T59" i="42761" s="1"/>
  <c r="G60" i="42761"/>
  <c r="P60" i="42761" s="1"/>
  <c r="Q60" i="42761" s="1"/>
  <c r="S60" i="42761"/>
  <c r="T60" i="42761" s="1"/>
  <c r="G61" i="42761"/>
  <c r="P61" i="42761"/>
  <c r="Q61" i="42761" s="1"/>
  <c r="S61" i="42761"/>
  <c r="T61" i="42761" s="1"/>
  <c r="G26" i="42759"/>
  <c r="G30" i="42759" s="1"/>
  <c r="G57" i="42759"/>
  <c r="G61" i="42759" s="1"/>
  <c r="G89" i="42759"/>
  <c r="G93" i="42759" s="1"/>
  <c r="G119" i="42759"/>
  <c r="G123" i="42759" s="1"/>
  <c r="G149" i="42759"/>
  <c r="G153" i="42759" s="1"/>
  <c r="G181" i="42759"/>
  <c r="G185" i="42759" s="1"/>
  <c r="G211" i="42759"/>
  <c r="G215" i="42759" s="1"/>
  <c r="G240" i="42759"/>
  <c r="G244" i="42759" s="1"/>
  <c r="L168" i="42761"/>
  <c r="L115" i="42761"/>
  <c r="L94" i="42761"/>
  <c r="L80" i="42761"/>
  <c r="L72" i="42761"/>
  <c r="L68" i="42761"/>
  <c r="L116" i="42761"/>
  <c r="L95" i="42761"/>
  <c r="L73" i="42761"/>
  <c r="L243" i="42761"/>
  <c r="L211" i="42761"/>
  <c r="L169" i="42761"/>
  <c r="L117" i="42761"/>
  <c r="L96" i="42761"/>
  <c r="L87" i="42761"/>
  <c r="L81" i="42761"/>
  <c r="L74" i="42761"/>
  <c r="L69" i="42761"/>
  <c r="L118" i="42761"/>
  <c r="L97" i="42761"/>
  <c r="L82" i="42761"/>
  <c r="L244" i="42761"/>
  <c r="L212" i="42761"/>
  <c r="L170" i="42761"/>
  <c r="L139" i="42761"/>
  <c r="L119" i="42761"/>
  <c r="L113" i="42761"/>
  <c r="L111" i="42761"/>
  <c r="L98" i="42761"/>
  <c r="L88" i="42761"/>
  <c r="L83" i="42761"/>
  <c r="L75" i="42761"/>
  <c r="L70" i="42761"/>
  <c r="L120" i="42761"/>
  <c r="L99" i="42761"/>
  <c r="L213" i="42761"/>
  <c r="L121" i="42761"/>
  <c r="L100" i="42761"/>
  <c r="L253" i="42761"/>
  <c r="L245" i="42761"/>
  <c r="L214" i="42761"/>
  <c r="L199" i="42761"/>
  <c r="L188" i="42761"/>
  <c r="L151" i="42761"/>
  <c r="L140" i="42761"/>
  <c r="L135" i="42761"/>
  <c r="L122" i="42761"/>
  <c r="L114" i="42761"/>
  <c r="L101" i="42761"/>
  <c r="L89" i="42761"/>
  <c r="L84" i="42761"/>
  <c r="L76" i="42761"/>
  <c r="L71" i="42761"/>
  <c r="L8" i="42761"/>
  <c r="S8" i="42761" s="1"/>
  <c r="L9" i="42761"/>
  <c r="S9" i="42761" s="1"/>
  <c r="L10" i="42761"/>
  <c r="S10" i="42761" s="1"/>
  <c r="L11" i="42761"/>
  <c r="S11" i="42761" s="1"/>
  <c r="L12" i="42761"/>
  <c r="S12" i="42761" s="1"/>
  <c r="L13" i="42761"/>
  <c r="S13" i="42761" s="1"/>
  <c r="L14" i="42761"/>
  <c r="S14" i="42761" s="1"/>
  <c r="L15" i="42761"/>
  <c r="S15" i="42761" s="1"/>
  <c r="L16" i="42761"/>
  <c r="S16" i="42761" s="1"/>
  <c r="L17" i="42761"/>
  <c r="S17" i="42761" s="1"/>
  <c r="L23" i="42761"/>
  <c r="S23" i="42761" s="1"/>
  <c r="L24" i="42761"/>
  <c r="S24" i="42761" s="1"/>
  <c r="L25" i="42761"/>
  <c r="S25" i="42761" s="1"/>
  <c r="L26" i="42761"/>
  <c r="S26" i="42761" s="1"/>
  <c r="L27" i="42761"/>
  <c r="S27" i="42761" s="1"/>
  <c r="L28" i="42761"/>
  <c r="S28" i="42761" s="1"/>
  <c r="L29" i="42761"/>
  <c r="S29" i="42761" s="1"/>
  <c r="L30" i="42761"/>
  <c r="S30" i="42761" s="1"/>
  <c r="L31" i="42761"/>
  <c r="S31" i="42761" s="1"/>
  <c r="L32" i="42761"/>
  <c r="S32" i="42761" s="1"/>
  <c r="L33" i="42761"/>
  <c r="S33" i="42761" s="1"/>
  <c r="L34" i="42761"/>
  <c r="S34" i="42761" s="1"/>
  <c r="L35" i="42761"/>
  <c r="S35" i="42761" s="1"/>
  <c r="L37" i="42761"/>
  <c r="S37" i="42761" s="1"/>
  <c r="L38" i="42761"/>
  <c r="S38" i="42761" s="1"/>
  <c r="L39" i="42761"/>
  <c r="S39" i="42761" s="1"/>
  <c r="L40" i="42761"/>
  <c r="S40" i="42761" s="1"/>
  <c r="L42" i="42761"/>
  <c r="S42" i="42761" s="1"/>
  <c r="L43" i="42761"/>
  <c r="S43" i="42761" s="1"/>
  <c r="L44" i="42761"/>
  <c r="S44" i="42761" s="1"/>
  <c r="L45" i="42761"/>
  <c r="S45" i="42761" s="1"/>
  <c r="L46" i="42761"/>
  <c r="S46" i="42761" s="1"/>
  <c r="L47" i="42761"/>
  <c r="S47" i="42761" s="1"/>
  <c r="L48" i="42761"/>
  <c r="L49" i="42761"/>
  <c r="S49" i="42761" s="1"/>
  <c r="L50" i="42761"/>
  <c r="L52" i="42761"/>
  <c r="S52" i="42761" s="1"/>
  <c r="L53" i="42761"/>
  <c r="L54" i="42761"/>
  <c r="S54" i="42761" s="1"/>
  <c r="L55" i="42761"/>
  <c r="O62" i="42761"/>
  <c r="F63" i="42761"/>
  <c r="O63" i="42761"/>
  <c r="F64" i="42761"/>
  <c r="O64" i="42761"/>
  <c r="F65" i="42761"/>
  <c r="O65" i="42761"/>
  <c r="R65" i="42761"/>
  <c r="F66" i="42761"/>
  <c r="O66" i="42761" s="1"/>
  <c r="R66" i="42761"/>
  <c r="F67" i="42761"/>
  <c r="O67" i="42761"/>
  <c r="R67" i="42761"/>
  <c r="F68" i="42761"/>
  <c r="U68" i="42761" s="1"/>
  <c r="F69" i="42761"/>
  <c r="U69" i="42761" s="1"/>
  <c r="F70" i="42761"/>
  <c r="U70" i="42761" s="1"/>
  <c r="F71" i="42761"/>
  <c r="U71" i="42761" s="1"/>
  <c r="F72" i="42761"/>
  <c r="U72" i="42761" s="1"/>
  <c r="F73" i="42761"/>
  <c r="U73" i="42761" s="1"/>
  <c r="F74" i="42761"/>
  <c r="U74" i="42761" s="1"/>
  <c r="F75" i="42761"/>
  <c r="U75" i="42761" s="1"/>
  <c r="F76" i="42761"/>
  <c r="U76" i="42761" s="1"/>
  <c r="F77" i="42761"/>
  <c r="O77" i="42761" s="1"/>
  <c r="R77" i="42761"/>
  <c r="F78" i="42761"/>
  <c r="O78" i="42761"/>
  <c r="R78" i="42761"/>
  <c r="F79" i="42761"/>
  <c r="O79" i="42761" s="1"/>
  <c r="R79" i="42761"/>
  <c r="F80" i="42761"/>
  <c r="U80" i="42761"/>
  <c r="F81" i="42761"/>
  <c r="U81" i="42761"/>
  <c r="F82" i="42761"/>
  <c r="U82" i="42761"/>
  <c r="F83" i="42761"/>
  <c r="U83" i="42761"/>
  <c r="F84" i="42761"/>
  <c r="U84" i="42761"/>
  <c r="F85" i="42761"/>
  <c r="O85" i="42761"/>
  <c r="F86" i="42761"/>
  <c r="O86" i="42761"/>
  <c r="F87" i="42761"/>
  <c r="U87" i="42761"/>
  <c r="F88" i="42761"/>
  <c r="U88" i="42761"/>
  <c r="F89" i="42761"/>
  <c r="U89" i="42761"/>
  <c r="F90" i="42761"/>
  <c r="O90" i="42761"/>
  <c r="F91" i="42761"/>
  <c r="O91" i="42761"/>
  <c r="F92" i="42761"/>
  <c r="O92" i="42761"/>
  <c r="F93" i="42761"/>
  <c r="O93" i="42761"/>
  <c r="F94" i="42761"/>
  <c r="U94" i="42761"/>
  <c r="F95" i="42761"/>
  <c r="U95" i="42761"/>
  <c r="F96" i="42761"/>
  <c r="U96" i="42761"/>
  <c r="F97" i="42761"/>
  <c r="U97" i="42761"/>
  <c r="F98" i="42761"/>
  <c r="U98" i="42761"/>
  <c r="F99" i="42761"/>
  <c r="U99" i="42761"/>
  <c r="F100" i="42761"/>
  <c r="F101" i="42761"/>
  <c r="F102" i="42761"/>
  <c r="F103" i="42761"/>
  <c r="F104" i="42761"/>
  <c r="F105" i="42761"/>
  <c r="F106" i="42761"/>
  <c r="F107" i="42761"/>
  <c r="F108" i="42761"/>
  <c r="F109" i="42761"/>
  <c r="F110" i="42761"/>
  <c r="F111" i="42761"/>
  <c r="F112" i="42761"/>
  <c r="F113" i="42761"/>
  <c r="F114" i="42761"/>
  <c r="F115" i="42761"/>
  <c r="F116" i="42761"/>
  <c r="F117" i="42761"/>
  <c r="F118" i="42761"/>
  <c r="F119" i="42761"/>
  <c r="F120" i="42761"/>
  <c r="F121" i="42761"/>
  <c r="F122" i="42761"/>
  <c r="F123" i="42761"/>
  <c r="F124" i="42761"/>
  <c r="F125" i="42761"/>
  <c r="F126" i="42761"/>
  <c r="F127" i="42761"/>
  <c r="R127" i="42761"/>
  <c r="F128" i="42761"/>
  <c r="O128" i="42761"/>
  <c r="R128" i="42761"/>
  <c r="F129" i="42761"/>
  <c r="R129" i="42761"/>
  <c r="F130" i="42761"/>
  <c r="O130" i="42761"/>
  <c r="R130" i="42761"/>
  <c r="F131" i="42761"/>
  <c r="R131" i="42761"/>
  <c r="F132" i="42761"/>
  <c r="O132" i="42761"/>
  <c r="R132" i="42761"/>
  <c r="F133" i="42761"/>
  <c r="R133" i="42761"/>
  <c r="F134" i="42761"/>
  <c r="O134" i="42761"/>
  <c r="R134" i="42761"/>
  <c r="F135" i="42761"/>
  <c r="F136" i="42761"/>
  <c r="R136" i="42761"/>
  <c r="F137" i="42761"/>
  <c r="O137" i="42761"/>
  <c r="R137" i="42761"/>
  <c r="F138" i="42761"/>
  <c r="R138" i="42761"/>
  <c r="F139" i="42761"/>
  <c r="G9" i="42759"/>
  <c r="G13" i="42759" s="1"/>
  <c r="G40" i="42759"/>
  <c r="G44" i="42759" s="1"/>
  <c r="G72" i="42759"/>
  <c r="G76" i="42759" s="1"/>
  <c r="G104" i="42759"/>
  <c r="G108" i="42759" s="1"/>
  <c r="G134" i="42759"/>
  <c r="G138" i="42759" s="1"/>
  <c r="G166" i="42759"/>
  <c r="G170" i="42759" s="1"/>
  <c r="G196" i="42759"/>
  <c r="G200" i="42759" s="1"/>
  <c r="G225" i="42759"/>
  <c r="G229" i="42759" s="1"/>
  <c r="G254" i="42759"/>
  <c r="G258" i="42759" s="1"/>
  <c r="G270" i="42759"/>
  <c r="G274" i="42759" s="1"/>
  <c r="G286" i="42759"/>
  <c r="G290" i="42759" s="1"/>
  <c r="K168" i="42761"/>
  <c r="K115" i="42761"/>
  <c r="K94" i="42761"/>
  <c r="R94" i="42761" s="1"/>
  <c r="K80" i="42761"/>
  <c r="R80" i="42761" s="1"/>
  <c r="K72" i="42761"/>
  <c r="R72" i="42761" s="1"/>
  <c r="K68" i="42761"/>
  <c r="R68" i="42761" s="1"/>
  <c r="K116" i="42761"/>
  <c r="R116" i="42761" s="1"/>
  <c r="K95" i="42761"/>
  <c r="R95" i="42761" s="1"/>
  <c r="K73" i="42761"/>
  <c r="R73" i="42761" s="1"/>
  <c r="K243" i="42761"/>
  <c r="K211" i="42761"/>
  <c r="K169" i="42761"/>
  <c r="K117" i="42761"/>
  <c r="R117" i="42761" s="1"/>
  <c r="K96" i="42761"/>
  <c r="R96" i="42761" s="1"/>
  <c r="K87" i="42761"/>
  <c r="R87" i="42761" s="1"/>
  <c r="K81" i="42761"/>
  <c r="R81" i="42761" s="1"/>
  <c r="K74" i="42761"/>
  <c r="R74" i="42761" s="1"/>
  <c r="K69" i="42761"/>
  <c r="R69" i="42761" s="1"/>
  <c r="K118" i="42761"/>
  <c r="R118" i="42761" s="1"/>
  <c r="K97" i="42761"/>
  <c r="R97" i="42761" s="1"/>
  <c r="K82" i="42761"/>
  <c r="R82" i="42761" s="1"/>
  <c r="K244" i="42761"/>
  <c r="K212" i="42761"/>
  <c r="K170" i="42761"/>
  <c r="K139" i="42761"/>
  <c r="R139" i="42761" s="1"/>
  <c r="K119" i="42761"/>
  <c r="K113" i="42761"/>
  <c r="R113" i="42761" s="1"/>
  <c r="K111" i="42761"/>
  <c r="K98" i="42761"/>
  <c r="R98" i="42761" s="1"/>
  <c r="K88" i="42761"/>
  <c r="R88" i="42761" s="1"/>
  <c r="K83" i="42761"/>
  <c r="R83" i="42761" s="1"/>
  <c r="K75" i="42761"/>
  <c r="R75" i="42761" s="1"/>
  <c r="K70" i="42761"/>
  <c r="R70" i="42761" s="1"/>
  <c r="K120" i="42761"/>
  <c r="K99" i="42761"/>
  <c r="R99" i="42761" s="1"/>
  <c r="K213" i="42761"/>
  <c r="K121" i="42761"/>
  <c r="R121" i="42761" s="1"/>
  <c r="K100" i="42761"/>
  <c r="R100" i="42761" s="1"/>
  <c r="K253" i="42761"/>
  <c r="K245" i="42761"/>
  <c r="K214" i="42761"/>
  <c r="K199" i="42761"/>
  <c r="K188" i="42761"/>
  <c r="K151" i="42761"/>
  <c r="K140" i="42761"/>
  <c r="K135" i="42761"/>
  <c r="K122" i="42761"/>
  <c r="R122" i="42761" s="1"/>
  <c r="K114" i="42761"/>
  <c r="K101" i="42761"/>
  <c r="R101" i="42761" s="1"/>
  <c r="K89" i="42761"/>
  <c r="R89" i="42761" s="1"/>
  <c r="K84" i="42761"/>
  <c r="R84" i="42761" s="1"/>
  <c r="K76" i="42761"/>
  <c r="R76" i="42761" s="1"/>
  <c r="K71" i="42761"/>
  <c r="R71" i="42761" s="1"/>
  <c r="K8" i="42761"/>
  <c r="R8" i="42761" s="1"/>
  <c r="K9" i="42761"/>
  <c r="R9" i="42761" s="1"/>
  <c r="K10" i="42761"/>
  <c r="R10" i="42761" s="1"/>
  <c r="K11" i="42761"/>
  <c r="R11" i="42761" s="1"/>
  <c r="K12" i="42761"/>
  <c r="R12" i="42761" s="1"/>
  <c r="K13" i="42761"/>
  <c r="R13" i="42761" s="1"/>
  <c r="K14" i="42761"/>
  <c r="R14" i="42761" s="1"/>
  <c r="K15" i="42761"/>
  <c r="R15" i="42761" s="1"/>
  <c r="K16" i="42761"/>
  <c r="R16" i="42761" s="1"/>
  <c r="K17" i="42761"/>
  <c r="R17" i="42761" s="1"/>
  <c r="K23" i="42761"/>
  <c r="R23" i="42761" s="1"/>
  <c r="K24" i="42761"/>
  <c r="R24" i="42761" s="1"/>
  <c r="K25" i="42761"/>
  <c r="R25" i="42761" s="1"/>
  <c r="K26" i="42761"/>
  <c r="R26" i="42761" s="1"/>
  <c r="K27" i="42761"/>
  <c r="R27" i="42761" s="1"/>
  <c r="K28" i="42761"/>
  <c r="R28" i="42761" s="1"/>
  <c r="K29" i="42761"/>
  <c r="R29" i="42761" s="1"/>
  <c r="K30" i="42761"/>
  <c r="R30" i="42761" s="1"/>
  <c r="K31" i="42761"/>
  <c r="R31" i="42761" s="1"/>
  <c r="K32" i="42761"/>
  <c r="R32" i="42761" s="1"/>
  <c r="K33" i="42761"/>
  <c r="R33" i="42761" s="1"/>
  <c r="K34" i="42761"/>
  <c r="R34" i="42761" s="1"/>
  <c r="K35" i="42761"/>
  <c r="R35" i="42761" s="1"/>
  <c r="K37" i="42761"/>
  <c r="R37" i="42761" s="1"/>
  <c r="K38" i="42761"/>
  <c r="R38" i="42761" s="1"/>
  <c r="K39" i="42761"/>
  <c r="R39" i="42761" s="1"/>
  <c r="K40" i="42761"/>
  <c r="R40" i="42761" s="1"/>
  <c r="K42" i="42761"/>
  <c r="R42" i="42761" s="1"/>
  <c r="K43" i="42761"/>
  <c r="R43" i="42761" s="1"/>
  <c r="K44" i="42761"/>
  <c r="R44" i="42761" s="1"/>
  <c r="K45" i="42761"/>
  <c r="R45" i="42761" s="1"/>
  <c r="K46" i="42761"/>
  <c r="R46" i="42761" s="1"/>
  <c r="K47" i="42761"/>
  <c r="R47" i="42761" s="1"/>
  <c r="K48" i="42761"/>
  <c r="R48" i="42761" s="1"/>
  <c r="K49" i="42761"/>
  <c r="R49" i="42761" s="1"/>
  <c r="K50" i="42761"/>
  <c r="R50" i="42761" s="1"/>
  <c r="K52" i="42761"/>
  <c r="R52" i="42761" s="1"/>
  <c r="K53" i="42761"/>
  <c r="R53" i="42761" s="1"/>
  <c r="K54" i="42761"/>
  <c r="R54" i="42761" s="1"/>
  <c r="K55" i="42761"/>
  <c r="R55" i="42761" s="1"/>
  <c r="G62" i="42761"/>
  <c r="P62" i="42761"/>
  <c r="Q62" i="42761" s="1"/>
  <c r="S62" i="42761"/>
  <c r="G63" i="42761"/>
  <c r="P63" i="42761" s="1"/>
  <c r="Q63" i="42761" s="1"/>
  <c r="S63" i="42761"/>
  <c r="G64" i="42761"/>
  <c r="P64" i="42761"/>
  <c r="Q64" i="42761" s="1"/>
  <c r="S64" i="42761"/>
  <c r="G65" i="42761"/>
  <c r="P65" i="42761" s="1"/>
  <c r="Q65" i="42761" s="1"/>
  <c r="S65" i="42761"/>
  <c r="T65" i="42761" s="1"/>
  <c r="G66" i="42761"/>
  <c r="P66" i="42761"/>
  <c r="S66" i="42761"/>
  <c r="T66" i="42761" s="1"/>
  <c r="G67" i="42761"/>
  <c r="P67" i="42761" s="1"/>
  <c r="Q67" i="42761" s="1"/>
  <c r="S67" i="42761"/>
  <c r="T67" i="42761" s="1"/>
  <c r="G68" i="42761"/>
  <c r="V68" i="42761"/>
  <c r="G69" i="42761"/>
  <c r="V69" i="42761"/>
  <c r="G70" i="42761"/>
  <c r="V70" i="42761"/>
  <c r="G71" i="42761"/>
  <c r="V71" i="42761"/>
  <c r="G72" i="42761"/>
  <c r="V72" i="42761"/>
  <c r="G73" i="42761"/>
  <c r="V73" i="42761"/>
  <c r="G74" i="42761"/>
  <c r="V74" i="42761"/>
  <c r="G75" i="42761"/>
  <c r="V75" i="42761"/>
  <c r="G76" i="42761"/>
  <c r="V76" i="42761"/>
  <c r="G77" i="42761"/>
  <c r="P77" i="42761"/>
  <c r="S77" i="42761"/>
  <c r="T77" i="42761" s="1"/>
  <c r="G78" i="42761"/>
  <c r="P78" i="42761" s="1"/>
  <c r="Q78" i="42761" s="1"/>
  <c r="S78" i="42761"/>
  <c r="T78" i="42761" s="1"/>
  <c r="G79" i="42761"/>
  <c r="P79" i="42761"/>
  <c r="S79" i="42761"/>
  <c r="T79" i="42761" s="1"/>
  <c r="G80" i="42761"/>
  <c r="V80" i="42761" s="1"/>
  <c r="W80" i="42761" s="1"/>
  <c r="G81" i="42761"/>
  <c r="V81" i="42761" s="1"/>
  <c r="W81" i="42761" s="1"/>
  <c r="G82" i="42761"/>
  <c r="V82" i="42761" s="1"/>
  <c r="W82" i="42761" s="1"/>
  <c r="G83" i="42761"/>
  <c r="V83" i="42761" s="1"/>
  <c r="W83" i="42761" s="1"/>
  <c r="G84" i="42761"/>
  <c r="V84" i="42761" s="1"/>
  <c r="W84" i="42761" s="1"/>
  <c r="G85" i="42761"/>
  <c r="P85" i="42761" s="1"/>
  <c r="Q85" i="42761" s="1"/>
  <c r="S85" i="42761"/>
  <c r="G86" i="42761"/>
  <c r="P86" i="42761"/>
  <c r="Q86" i="42761" s="1"/>
  <c r="S86" i="42761"/>
  <c r="G87" i="42761"/>
  <c r="V87" i="42761" s="1"/>
  <c r="W87" i="42761" s="1"/>
  <c r="G88" i="42761"/>
  <c r="V88" i="42761" s="1"/>
  <c r="W88" i="42761" s="1"/>
  <c r="G89" i="42761"/>
  <c r="V89" i="42761" s="1"/>
  <c r="W89" i="42761" s="1"/>
  <c r="G90" i="42761"/>
  <c r="P90" i="42761" s="1"/>
  <c r="Q90" i="42761" s="1"/>
  <c r="S90" i="42761"/>
  <c r="G91" i="42761"/>
  <c r="P91" i="42761"/>
  <c r="Q91" i="42761" s="1"/>
  <c r="S91" i="42761"/>
  <c r="G92" i="42761"/>
  <c r="P92" i="42761" s="1"/>
  <c r="Q92" i="42761" s="1"/>
  <c r="S92" i="42761"/>
  <c r="G93" i="42761"/>
  <c r="P93" i="42761"/>
  <c r="Q93" i="42761" s="1"/>
  <c r="S93" i="42761"/>
  <c r="G94" i="42761"/>
  <c r="V94" i="42761" s="1"/>
  <c r="W94" i="42761" s="1"/>
  <c r="G95" i="42761"/>
  <c r="V95" i="42761" s="1"/>
  <c r="W95" i="42761" s="1"/>
  <c r="G96" i="42761"/>
  <c r="V96" i="42761" s="1"/>
  <c r="W96" i="42761" s="1"/>
  <c r="G97" i="42761"/>
  <c r="V97" i="42761" s="1"/>
  <c r="W97" i="42761" s="1"/>
  <c r="G98" i="42761"/>
  <c r="V98" i="42761" s="1"/>
  <c r="W98" i="42761" s="1"/>
  <c r="G99" i="42761"/>
  <c r="V99" i="42761" s="1"/>
  <c r="W99" i="42761" s="1"/>
  <c r="G100" i="42761"/>
  <c r="V100" i="42761" s="1"/>
  <c r="G101" i="42761"/>
  <c r="V101" i="42761" s="1"/>
  <c r="G102" i="42761"/>
  <c r="P102" i="42761" s="1"/>
  <c r="S102" i="42761"/>
  <c r="G103" i="42761"/>
  <c r="P103" i="42761"/>
  <c r="S103" i="42761"/>
  <c r="G104" i="42761"/>
  <c r="P104" i="42761" s="1"/>
  <c r="S104" i="42761"/>
  <c r="G105" i="42761"/>
  <c r="P105" i="42761"/>
  <c r="S105" i="42761"/>
  <c r="G106" i="42761"/>
  <c r="P106" i="42761" s="1"/>
  <c r="S106" i="42761"/>
  <c r="G107" i="42761"/>
  <c r="P107" i="42761"/>
  <c r="S107" i="42761"/>
  <c r="G108" i="42761"/>
  <c r="P108" i="42761" s="1"/>
  <c r="S108" i="42761"/>
  <c r="G109" i="42761"/>
  <c r="P109" i="42761"/>
  <c r="S109" i="42761"/>
  <c r="G110" i="42761"/>
  <c r="P110" i="42761" s="1"/>
  <c r="S110" i="42761"/>
  <c r="G111" i="42761"/>
  <c r="V111" i="42761"/>
  <c r="G112" i="42761"/>
  <c r="P112" i="42761"/>
  <c r="S112" i="42761"/>
  <c r="G113" i="42761"/>
  <c r="V113" i="42761" s="1"/>
  <c r="G114" i="42761"/>
  <c r="V114" i="42761" s="1"/>
  <c r="G115" i="42761"/>
  <c r="G116" i="42761"/>
  <c r="V116" i="42761" s="1"/>
  <c r="G117" i="42761"/>
  <c r="V117" i="42761" s="1"/>
  <c r="G118" i="42761"/>
  <c r="V118" i="42761" s="1"/>
  <c r="G119" i="42761"/>
  <c r="V119" i="42761" s="1"/>
  <c r="G120" i="42761"/>
  <c r="V120" i="42761" s="1"/>
  <c r="G121" i="42761"/>
  <c r="V121" i="42761" s="1"/>
  <c r="G122" i="42761"/>
  <c r="V122" i="42761" s="1"/>
  <c r="G123" i="42761"/>
  <c r="P123" i="42761" s="1"/>
  <c r="S123" i="42761"/>
  <c r="G124" i="42761"/>
  <c r="P124" i="42761"/>
  <c r="S124" i="42761"/>
  <c r="G125" i="42761"/>
  <c r="P125" i="42761" s="1"/>
  <c r="S125" i="42761"/>
  <c r="G126" i="42761"/>
  <c r="P126" i="42761"/>
  <c r="S126" i="42761"/>
  <c r="G127" i="42761"/>
  <c r="P127" i="42761" s="1"/>
  <c r="S127" i="42761"/>
  <c r="T127" i="42761" s="1"/>
  <c r="G128" i="42761"/>
  <c r="P128" i="42761"/>
  <c r="Q128" i="42761" s="1"/>
  <c r="S128" i="42761"/>
  <c r="T128" i="42761" s="1"/>
  <c r="G129" i="42761"/>
  <c r="P129" i="42761" s="1"/>
  <c r="S129" i="42761"/>
  <c r="T129" i="42761" s="1"/>
  <c r="G130" i="42761"/>
  <c r="P130" i="42761"/>
  <c r="Q130" i="42761" s="1"/>
  <c r="S130" i="42761"/>
  <c r="T130" i="42761" s="1"/>
  <c r="G131" i="42761"/>
  <c r="P131" i="42761" s="1"/>
  <c r="S131" i="42761"/>
  <c r="T131" i="42761" s="1"/>
  <c r="G132" i="42761"/>
  <c r="P132" i="42761"/>
  <c r="Q132" i="42761" s="1"/>
  <c r="S132" i="42761"/>
  <c r="T132" i="42761" s="1"/>
  <c r="G133" i="42761"/>
  <c r="P133" i="42761" s="1"/>
  <c r="S133" i="42761"/>
  <c r="T133" i="42761" s="1"/>
  <c r="G134" i="42761"/>
  <c r="P134" i="42761"/>
  <c r="Q134" i="42761" s="1"/>
  <c r="S134" i="42761"/>
  <c r="T134" i="42761" s="1"/>
  <c r="G135" i="42761"/>
  <c r="V135" i="42761" s="1"/>
  <c r="G136" i="42761"/>
  <c r="P136" i="42761" s="1"/>
  <c r="S136" i="42761"/>
  <c r="T136" i="42761" s="1"/>
  <c r="G137" i="42761"/>
  <c r="P137" i="42761"/>
  <c r="Q137" i="42761" s="1"/>
  <c r="S137" i="42761"/>
  <c r="T137" i="42761" s="1"/>
  <c r="G138" i="42761"/>
  <c r="P138" i="42761" s="1"/>
  <c r="S138" i="42761"/>
  <c r="T138" i="42761" s="1"/>
  <c r="G139" i="42761"/>
  <c r="V139" i="42761"/>
  <c r="F140" i="42761"/>
  <c r="U140" i="42761"/>
  <c r="F141" i="42761"/>
  <c r="O141" i="42761"/>
  <c r="R141" i="42761"/>
  <c r="F142" i="42761"/>
  <c r="R142" i="42761"/>
  <c r="F143" i="42761"/>
  <c r="O143" i="42761"/>
  <c r="R143" i="42761"/>
  <c r="F144" i="42761"/>
  <c r="R144" i="42761"/>
  <c r="F145" i="42761"/>
  <c r="O145" i="42761"/>
  <c r="R145" i="42761"/>
  <c r="F146" i="42761"/>
  <c r="R146" i="42761"/>
  <c r="F147" i="42761"/>
  <c r="O147" i="42761"/>
  <c r="R147" i="42761"/>
  <c r="F148" i="42761"/>
  <c r="R148" i="42761"/>
  <c r="F149" i="42761"/>
  <c r="O149" i="42761"/>
  <c r="R149" i="42761"/>
  <c r="F150" i="42761"/>
  <c r="R150" i="42761"/>
  <c r="F151" i="42761"/>
  <c r="U151" i="42761"/>
  <c r="F152" i="42761"/>
  <c r="O152" i="42761"/>
  <c r="R152" i="42761"/>
  <c r="F153" i="42761"/>
  <c r="R153" i="42761"/>
  <c r="F154" i="42761"/>
  <c r="O154" i="42761"/>
  <c r="R154" i="42761"/>
  <c r="F155" i="42761"/>
  <c r="R155" i="42761"/>
  <c r="F156" i="42761"/>
  <c r="O156" i="42761"/>
  <c r="R156" i="42761"/>
  <c r="F157" i="42761"/>
  <c r="R157" i="42761"/>
  <c r="F158" i="42761"/>
  <c r="O158" i="42761"/>
  <c r="R158" i="42761"/>
  <c r="F159" i="42761"/>
  <c r="R159" i="42761"/>
  <c r="F160" i="42761"/>
  <c r="O160" i="42761"/>
  <c r="R160" i="42761"/>
  <c r="F161" i="42761"/>
  <c r="R161" i="42761"/>
  <c r="F162" i="42761"/>
  <c r="O162" i="42761"/>
  <c r="R162" i="42761"/>
  <c r="F163" i="42761"/>
  <c r="R163" i="42761"/>
  <c r="F164" i="42761"/>
  <c r="O164" i="42761"/>
  <c r="R164" i="42761"/>
  <c r="F165" i="42761"/>
  <c r="R165" i="42761"/>
  <c r="F166" i="42761"/>
  <c r="O166" i="42761"/>
  <c r="R166" i="42761"/>
  <c r="F167" i="42761"/>
  <c r="R167" i="42761"/>
  <c r="F168" i="42761"/>
  <c r="U168" i="42761"/>
  <c r="F169" i="42761"/>
  <c r="U169" i="42761"/>
  <c r="F170" i="42761"/>
  <c r="U170" i="42761"/>
  <c r="F171" i="42761"/>
  <c r="U171" i="42761"/>
  <c r="F172" i="42761"/>
  <c r="O172" i="42761"/>
  <c r="R172" i="42761"/>
  <c r="F173" i="42761"/>
  <c r="H173" i="42761" s="1"/>
  <c r="R173" i="42761"/>
  <c r="F174" i="42761"/>
  <c r="O174" i="42761"/>
  <c r="R174" i="42761"/>
  <c r="F175" i="42761"/>
  <c r="H175" i="42761" s="1"/>
  <c r="U139" i="42761"/>
  <c r="G140" i="42761"/>
  <c r="V140" i="42761"/>
  <c r="W140" i="42761" s="1"/>
  <c r="G141" i="42761"/>
  <c r="P141" i="42761"/>
  <c r="Q141" i="42761" s="1"/>
  <c r="S141" i="42761"/>
  <c r="T141" i="42761" s="1"/>
  <c r="G142" i="42761"/>
  <c r="P142" i="42761" s="1"/>
  <c r="S142" i="42761"/>
  <c r="T142" i="42761" s="1"/>
  <c r="G143" i="42761"/>
  <c r="P143" i="42761"/>
  <c r="Q143" i="42761" s="1"/>
  <c r="S143" i="42761"/>
  <c r="T143" i="42761" s="1"/>
  <c r="G144" i="42761"/>
  <c r="P144" i="42761" s="1"/>
  <c r="S144" i="42761"/>
  <c r="T144" i="42761" s="1"/>
  <c r="G145" i="42761"/>
  <c r="P145" i="42761"/>
  <c r="Q145" i="42761" s="1"/>
  <c r="S145" i="42761"/>
  <c r="T145" i="42761" s="1"/>
  <c r="G146" i="42761"/>
  <c r="P146" i="42761" s="1"/>
  <c r="S146" i="42761"/>
  <c r="T146" i="42761" s="1"/>
  <c r="G147" i="42761"/>
  <c r="P147" i="42761"/>
  <c r="Q147" i="42761" s="1"/>
  <c r="S147" i="42761"/>
  <c r="T147" i="42761" s="1"/>
  <c r="G148" i="42761"/>
  <c r="P148" i="42761" s="1"/>
  <c r="S148" i="42761"/>
  <c r="T148" i="42761" s="1"/>
  <c r="G149" i="42761"/>
  <c r="P149" i="42761"/>
  <c r="Q149" i="42761" s="1"/>
  <c r="S149" i="42761"/>
  <c r="T149" i="42761" s="1"/>
  <c r="G150" i="42761"/>
  <c r="P150" i="42761" s="1"/>
  <c r="S150" i="42761"/>
  <c r="T150" i="42761" s="1"/>
  <c r="G151" i="42761"/>
  <c r="V151" i="42761"/>
  <c r="W151" i="42761" s="1"/>
  <c r="G152" i="42761"/>
  <c r="P152" i="42761"/>
  <c r="Q152" i="42761" s="1"/>
  <c r="S152" i="42761"/>
  <c r="T152" i="42761" s="1"/>
  <c r="G153" i="42761"/>
  <c r="P153" i="42761" s="1"/>
  <c r="S153" i="42761"/>
  <c r="T153" i="42761" s="1"/>
  <c r="G154" i="42761"/>
  <c r="P154" i="42761"/>
  <c r="Q154" i="42761" s="1"/>
  <c r="S154" i="42761"/>
  <c r="T154" i="42761" s="1"/>
  <c r="G155" i="42761"/>
  <c r="P155" i="42761" s="1"/>
  <c r="S155" i="42761"/>
  <c r="T155" i="42761" s="1"/>
  <c r="G156" i="42761"/>
  <c r="P156" i="42761"/>
  <c r="Q156" i="42761" s="1"/>
  <c r="S156" i="42761"/>
  <c r="T156" i="42761" s="1"/>
  <c r="G157" i="42761"/>
  <c r="P157" i="42761" s="1"/>
  <c r="S157" i="42761"/>
  <c r="T157" i="42761" s="1"/>
  <c r="G158" i="42761"/>
  <c r="P158" i="42761"/>
  <c r="Q158" i="42761" s="1"/>
  <c r="S158" i="42761"/>
  <c r="T158" i="42761" s="1"/>
  <c r="G159" i="42761"/>
  <c r="P159" i="42761" s="1"/>
  <c r="S159" i="42761"/>
  <c r="T159" i="42761" s="1"/>
  <c r="G160" i="42761"/>
  <c r="P160" i="42761"/>
  <c r="Q160" i="42761" s="1"/>
  <c r="S160" i="42761"/>
  <c r="T160" i="42761" s="1"/>
  <c r="G161" i="42761"/>
  <c r="P161" i="42761" s="1"/>
  <c r="S161" i="42761"/>
  <c r="T161" i="42761" s="1"/>
  <c r="G162" i="42761"/>
  <c r="P162" i="42761"/>
  <c r="Q162" i="42761" s="1"/>
  <c r="S162" i="42761"/>
  <c r="T162" i="42761" s="1"/>
  <c r="G163" i="42761"/>
  <c r="P163" i="42761" s="1"/>
  <c r="S163" i="42761"/>
  <c r="T163" i="42761" s="1"/>
  <c r="G164" i="42761"/>
  <c r="P164" i="42761"/>
  <c r="Q164" i="42761" s="1"/>
  <c r="S164" i="42761"/>
  <c r="T164" i="42761" s="1"/>
  <c r="G165" i="42761"/>
  <c r="P165" i="42761" s="1"/>
  <c r="S165" i="42761"/>
  <c r="T165" i="42761" s="1"/>
  <c r="G166" i="42761"/>
  <c r="P166" i="42761"/>
  <c r="Q166" i="42761" s="1"/>
  <c r="S166" i="42761"/>
  <c r="T166" i="42761" s="1"/>
  <c r="G167" i="42761"/>
  <c r="P167" i="42761" s="1"/>
  <c r="S167" i="42761"/>
  <c r="T167" i="42761" s="1"/>
  <c r="G168" i="42761"/>
  <c r="V168" i="42761"/>
  <c r="W168" i="42761" s="1"/>
  <c r="G169" i="42761"/>
  <c r="V169" i="42761"/>
  <c r="W169" i="42761" s="1"/>
  <c r="G170" i="42761"/>
  <c r="V170" i="42761"/>
  <c r="W170" i="42761" s="1"/>
  <c r="G171" i="42761"/>
  <c r="V171" i="42761"/>
  <c r="W171" i="42761" s="1"/>
  <c r="G172" i="42761"/>
  <c r="S172" i="42761" s="1"/>
  <c r="T172" i="42761" s="1"/>
  <c r="P172" i="42761"/>
  <c r="Q172" i="42761" s="1"/>
  <c r="G173" i="42761"/>
  <c r="S173" i="42761" s="1"/>
  <c r="P173" i="42761"/>
  <c r="G174" i="42761"/>
  <c r="S174" i="42761" s="1"/>
  <c r="T174" i="42761" s="1"/>
  <c r="P174" i="42761"/>
  <c r="Q174" i="42761" s="1"/>
  <c r="G175" i="42761"/>
  <c r="P175" i="42761"/>
  <c r="Q175" i="42761" s="1"/>
  <c r="S175" i="42761"/>
  <c r="F176" i="42761"/>
  <c r="R176" i="42761"/>
  <c r="F177" i="42761"/>
  <c r="O177" i="42761"/>
  <c r="R177" i="42761"/>
  <c r="F178" i="42761"/>
  <c r="F179" i="42761"/>
  <c r="F180" i="42761"/>
  <c r="F181" i="42761"/>
  <c r="F182" i="42761"/>
  <c r="F183" i="42761"/>
  <c r="F184" i="42761"/>
  <c r="F185" i="42761"/>
  <c r="F186" i="42761"/>
  <c r="F187" i="42761"/>
  <c r="F188" i="42761"/>
  <c r="F189" i="42761"/>
  <c r="R189" i="42761"/>
  <c r="F190" i="42761"/>
  <c r="O190" i="42761"/>
  <c r="F191" i="42761"/>
  <c r="O191" i="42761"/>
  <c r="F192" i="42761"/>
  <c r="O192" i="42761"/>
  <c r="F193" i="42761"/>
  <c r="O193" i="42761"/>
  <c r="F194" i="42761"/>
  <c r="O194" i="42761"/>
  <c r="F195" i="42761"/>
  <c r="O195" i="42761"/>
  <c r="F196" i="42761"/>
  <c r="O196" i="42761"/>
  <c r="F197" i="42761"/>
  <c r="O197" i="42761"/>
  <c r="F198" i="42761"/>
  <c r="O198" i="42761"/>
  <c r="F199" i="42761"/>
  <c r="U199" i="42761"/>
  <c r="F200" i="42761"/>
  <c r="O200" i="42761"/>
  <c r="F201" i="42761"/>
  <c r="O201" i="42761"/>
  <c r="F202" i="42761"/>
  <c r="O202" i="42761"/>
  <c r="F203" i="42761"/>
  <c r="O203" i="42761"/>
  <c r="F204" i="42761"/>
  <c r="O204" i="42761"/>
  <c r="F205" i="42761"/>
  <c r="O205" i="42761"/>
  <c r="F206" i="42761"/>
  <c r="O206" i="42761"/>
  <c r="F207" i="42761"/>
  <c r="O207" i="42761"/>
  <c r="F208" i="42761"/>
  <c r="O208" i="42761"/>
  <c r="F209" i="42761"/>
  <c r="O209" i="42761"/>
  <c r="F210" i="42761"/>
  <c r="O210" i="42761"/>
  <c r="F211" i="42761"/>
  <c r="U211" i="42761"/>
  <c r="F212" i="42761"/>
  <c r="U212" i="42761"/>
  <c r="F213" i="42761"/>
  <c r="U213" i="42761"/>
  <c r="F214" i="42761"/>
  <c r="U214" i="42761"/>
  <c r="F215" i="42761"/>
  <c r="O215" i="42761"/>
  <c r="O175" i="42761"/>
  <c r="G176" i="42761"/>
  <c r="P176" i="42761" s="1"/>
  <c r="S176" i="42761"/>
  <c r="T176" i="42761" s="1"/>
  <c r="G177" i="42761"/>
  <c r="P177" i="42761"/>
  <c r="Q177" i="42761" s="1"/>
  <c r="S177" i="42761"/>
  <c r="T177" i="42761" s="1"/>
  <c r="G178" i="42761"/>
  <c r="P178" i="42761" s="1"/>
  <c r="S178" i="42761"/>
  <c r="G179" i="42761"/>
  <c r="P179" i="42761"/>
  <c r="S179" i="42761"/>
  <c r="G180" i="42761"/>
  <c r="P180" i="42761" s="1"/>
  <c r="S180" i="42761"/>
  <c r="G181" i="42761"/>
  <c r="P181" i="42761"/>
  <c r="S181" i="42761"/>
  <c r="G182" i="42761"/>
  <c r="P182" i="42761" s="1"/>
  <c r="S182" i="42761"/>
  <c r="G183" i="42761"/>
  <c r="P183" i="42761"/>
  <c r="S183" i="42761"/>
  <c r="G184" i="42761"/>
  <c r="P184" i="42761" s="1"/>
  <c r="S184" i="42761"/>
  <c r="G185" i="42761"/>
  <c r="P185" i="42761"/>
  <c r="S185" i="42761"/>
  <c r="G186" i="42761"/>
  <c r="P186" i="42761" s="1"/>
  <c r="S186" i="42761"/>
  <c r="G187" i="42761"/>
  <c r="P187" i="42761"/>
  <c r="S187" i="42761"/>
  <c r="G188" i="42761"/>
  <c r="G189" i="42761"/>
  <c r="P189" i="42761" s="1"/>
  <c r="S189" i="42761"/>
  <c r="T189" i="42761" s="1"/>
  <c r="G190" i="42761"/>
  <c r="P190" i="42761"/>
  <c r="Q190" i="42761" s="1"/>
  <c r="S190" i="42761"/>
  <c r="G191" i="42761"/>
  <c r="P191" i="42761" s="1"/>
  <c r="Q191" i="42761" s="1"/>
  <c r="S191" i="42761"/>
  <c r="G192" i="42761"/>
  <c r="P192" i="42761"/>
  <c r="Q192" i="42761" s="1"/>
  <c r="S192" i="42761"/>
  <c r="G193" i="42761"/>
  <c r="P193" i="42761" s="1"/>
  <c r="Q193" i="42761" s="1"/>
  <c r="S193" i="42761"/>
  <c r="G194" i="42761"/>
  <c r="P194" i="42761"/>
  <c r="Q194" i="42761" s="1"/>
  <c r="S194" i="42761"/>
  <c r="G195" i="42761"/>
  <c r="P195" i="42761" s="1"/>
  <c r="Q195" i="42761" s="1"/>
  <c r="S195" i="42761"/>
  <c r="G196" i="42761"/>
  <c r="P196" i="42761"/>
  <c r="Q196" i="42761" s="1"/>
  <c r="S196" i="42761"/>
  <c r="G197" i="42761"/>
  <c r="P197" i="42761" s="1"/>
  <c r="Q197" i="42761" s="1"/>
  <c r="S197" i="42761"/>
  <c r="G198" i="42761"/>
  <c r="P198" i="42761"/>
  <c r="Q198" i="42761" s="1"/>
  <c r="S198" i="42761"/>
  <c r="G199" i="42761"/>
  <c r="V199" i="42761" s="1"/>
  <c r="W199" i="42761" s="1"/>
  <c r="G200" i="42761"/>
  <c r="P200" i="42761" s="1"/>
  <c r="Q200" i="42761" s="1"/>
  <c r="S200" i="42761"/>
  <c r="G201" i="42761"/>
  <c r="P201" i="42761"/>
  <c r="Q201" i="42761" s="1"/>
  <c r="S201" i="42761"/>
  <c r="G202" i="42761"/>
  <c r="P202" i="42761" s="1"/>
  <c r="Q202" i="42761" s="1"/>
  <c r="S202" i="42761"/>
  <c r="G203" i="42761"/>
  <c r="P203" i="42761"/>
  <c r="Q203" i="42761" s="1"/>
  <c r="S203" i="42761"/>
  <c r="G204" i="42761"/>
  <c r="P204" i="42761" s="1"/>
  <c r="Q204" i="42761" s="1"/>
  <c r="S204" i="42761"/>
  <c r="G205" i="42761"/>
  <c r="P205" i="42761"/>
  <c r="Q205" i="42761" s="1"/>
  <c r="S205" i="42761"/>
  <c r="G206" i="42761"/>
  <c r="P206" i="42761" s="1"/>
  <c r="Q206" i="42761" s="1"/>
  <c r="S206" i="42761"/>
  <c r="G207" i="42761"/>
  <c r="P207" i="42761"/>
  <c r="Q207" i="42761" s="1"/>
  <c r="S207" i="42761"/>
  <c r="G208" i="42761"/>
  <c r="P208" i="42761" s="1"/>
  <c r="Q208" i="42761" s="1"/>
  <c r="S208" i="42761"/>
  <c r="G209" i="42761"/>
  <c r="P209" i="42761"/>
  <c r="Q209" i="42761" s="1"/>
  <c r="S209" i="42761"/>
  <c r="G210" i="42761"/>
  <c r="P210" i="42761" s="1"/>
  <c r="Q210" i="42761" s="1"/>
  <c r="S210" i="42761"/>
  <c r="G211" i="42761"/>
  <c r="V211" i="42761"/>
  <c r="W211" i="42761" s="1"/>
  <c r="G212" i="42761"/>
  <c r="V212" i="42761"/>
  <c r="W212" i="42761" s="1"/>
  <c r="G213" i="42761"/>
  <c r="V213" i="42761"/>
  <c r="W213" i="42761" s="1"/>
  <c r="G214" i="42761"/>
  <c r="V214" i="42761"/>
  <c r="W214" i="42761" s="1"/>
  <c r="G215" i="42761"/>
  <c r="P215" i="42761"/>
  <c r="Q215" i="42761" s="1"/>
  <c r="S215" i="42761"/>
  <c r="F216" i="42761"/>
  <c r="H216" i="42761" s="1"/>
  <c r="R216" i="42761"/>
  <c r="F217" i="42761"/>
  <c r="O217" i="42761"/>
  <c r="R217" i="42761"/>
  <c r="F218" i="42761"/>
  <c r="H218" i="42761" s="1"/>
  <c r="R218" i="42761"/>
  <c r="F219" i="42761"/>
  <c r="O219" i="42761"/>
  <c r="R219" i="42761"/>
  <c r="F220" i="42761"/>
  <c r="H220" i="42761" s="1"/>
  <c r="R220" i="42761"/>
  <c r="F221" i="42761"/>
  <c r="O221" i="42761"/>
  <c r="R221" i="42761"/>
  <c r="F222" i="42761"/>
  <c r="H222" i="42761" s="1"/>
  <c r="R222" i="42761"/>
  <c r="F223" i="42761"/>
  <c r="O223" i="42761"/>
  <c r="R223" i="42761"/>
  <c r="F224" i="42761"/>
  <c r="H224" i="42761" s="1"/>
  <c r="R224" i="42761"/>
  <c r="F225" i="42761"/>
  <c r="O225" i="42761"/>
  <c r="R225" i="42761"/>
  <c r="F226" i="42761"/>
  <c r="H226" i="42761" s="1"/>
  <c r="R226" i="42761"/>
  <c r="F227" i="42761"/>
  <c r="O227" i="42761"/>
  <c r="R227" i="42761"/>
  <c r="F228" i="42761"/>
  <c r="H228" i="42761" s="1"/>
  <c r="R228" i="42761"/>
  <c r="F229" i="42761"/>
  <c r="O229" i="42761"/>
  <c r="R229" i="42761"/>
  <c r="F230" i="42761"/>
  <c r="R230" i="42761"/>
  <c r="F231" i="42761"/>
  <c r="O231" i="42761"/>
  <c r="R231" i="42761"/>
  <c r="F232" i="42761"/>
  <c r="H232" i="42761" s="1"/>
  <c r="G216" i="42761"/>
  <c r="P216" i="42761"/>
  <c r="S216" i="42761"/>
  <c r="G217" i="42761"/>
  <c r="P217" i="42761" s="1"/>
  <c r="Q217" i="42761" s="1"/>
  <c r="S217" i="42761"/>
  <c r="T217" i="42761" s="1"/>
  <c r="G218" i="42761"/>
  <c r="P218" i="42761"/>
  <c r="S218" i="42761"/>
  <c r="G219" i="42761"/>
  <c r="P219" i="42761" s="1"/>
  <c r="Q219" i="42761" s="1"/>
  <c r="S219" i="42761"/>
  <c r="T219" i="42761" s="1"/>
  <c r="G220" i="42761"/>
  <c r="P220" i="42761"/>
  <c r="S220" i="42761"/>
  <c r="G221" i="42761"/>
  <c r="P221" i="42761" s="1"/>
  <c r="Q221" i="42761" s="1"/>
  <c r="S221" i="42761"/>
  <c r="T221" i="42761" s="1"/>
  <c r="G222" i="42761"/>
  <c r="P222" i="42761"/>
  <c r="S222" i="42761"/>
  <c r="G223" i="42761"/>
  <c r="P223" i="42761" s="1"/>
  <c r="Q223" i="42761" s="1"/>
  <c r="S223" i="42761"/>
  <c r="T223" i="42761" s="1"/>
  <c r="G224" i="42761"/>
  <c r="P224" i="42761"/>
  <c r="S224" i="42761"/>
  <c r="G225" i="42761"/>
  <c r="P225" i="42761" s="1"/>
  <c r="Q225" i="42761" s="1"/>
  <c r="S225" i="42761"/>
  <c r="T225" i="42761" s="1"/>
  <c r="G226" i="42761"/>
  <c r="P226" i="42761"/>
  <c r="S226" i="42761"/>
  <c r="G227" i="42761"/>
  <c r="P227" i="42761" s="1"/>
  <c r="Q227" i="42761" s="1"/>
  <c r="S227" i="42761"/>
  <c r="T227" i="42761" s="1"/>
  <c r="G228" i="42761"/>
  <c r="P228" i="42761"/>
  <c r="S228" i="42761"/>
  <c r="G229" i="42761"/>
  <c r="P229" i="42761" s="1"/>
  <c r="Q229" i="42761" s="1"/>
  <c r="S229" i="42761"/>
  <c r="T229" i="42761" s="1"/>
  <c r="G230" i="42761"/>
  <c r="C15" i="42762" s="1"/>
  <c r="P230" i="42761"/>
  <c r="S230" i="42761"/>
  <c r="G231" i="42761"/>
  <c r="S231" i="42761"/>
  <c r="T231" i="42761" s="1"/>
  <c r="G232" i="42761"/>
  <c r="O232" i="42761"/>
  <c r="F233" i="42761"/>
  <c r="H233" i="42761" s="1"/>
  <c r="R233" i="42761"/>
  <c r="F234" i="42761"/>
  <c r="O234" i="42761"/>
  <c r="R234" i="42761"/>
  <c r="F235" i="42761"/>
  <c r="H235" i="42761" s="1"/>
  <c r="R235" i="42761"/>
  <c r="F236" i="42761"/>
  <c r="O236" i="42761"/>
  <c r="R236" i="42761"/>
  <c r="F237" i="42761"/>
  <c r="H237" i="42761" s="1"/>
  <c r="R237" i="42761"/>
  <c r="F238" i="42761"/>
  <c r="O238" i="42761"/>
  <c r="R238" i="42761"/>
  <c r="F239" i="42761"/>
  <c r="H239" i="42761" s="1"/>
  <c r="R239" i="42761"/>
  <c r="F240" i="42761"/>
  <c r="O240" i="42761"/>
  <c r="R240" i="42761"/>
  <c r="F241" i="42761"/>
  <c r="H241" i="42761" s="1"/>
  <c r="R241" i="42761"/>
  <c r="F242" i="42761"/>
  <c r="O242" i="42761"/>
  <c r="R242" i="42761"/>
  <c r="F243" i="42761"/>
  <c r="H243" i="42761" s="1"/>
  <c r="F244" i="42761"/>
  <c r="H244" i="42761" s="1"/>
  <c r="F245" i="42761"/>
  <c r="H245" i="42761" s="1"/>
  <c r="F246" i="42761"/>
  <c r="H246" i="42761" s="1"/>
  <c r="R246" i="42761"/>
  <c r="F247" i="42761"/>
  <c r="O247" i="42761"/>
  <c r="R247" i="42761"/>
  <c r="F248" i="42761"/>
  <c r="H248" i="42761" s="1"/>
  <c r="R248" i="42761"/>
  <c r="F249" i="42761"/>
  <c r="O249" i="42761"/>
  <c r="R249" i="42761"/>
  <c r="F250" i="42761"/>
  <c r="H250" i="42761" s="1"/>
  <c r="R250" i="42761"/>
  <c r="F251" i="42761"/>
  <c r="O251" i="42761"/>
  <c r="R251" i="42761"/>
  <c r="F252" i="42761"/>
  <c r="P232" i="42761"/>
  <c r="S232" i="42761"/>
  <c r="G233" i="42761"/>
  <c r="P233" i="42761"/>
  <c r="S233" i="42761"/>
  <c r="G234" i="42761"/>
  <c r="P234" i="42761" s="1"/>
  <c r="Q234" i="42761" s="1"/>
  <c r="S234" i="42761"/>
  <c r="T234" i="42761" s="1"/>
  <c r="G235" i="42761"/>
  <c r="P235" i="42761"/>
  <c r="S235" i="42761"/>
  <c r="G236" i="42761"/>
  <c r="S236" i="42761"/>
  <c r="T236" i="42761" s="1"/>
  <c r="G237" i="42761"/>
  <c r="P237" i="42761"/>
  <c r="S237" i="42761"/>
  <c r="G238" i="42761"/>
  <c r="P238" i="42761" s="1"/>
  <c r="Q238" i="42761" s="1"/>
  <c r="S238" i="42761"/>
  <c r="T238" i="42761" s="1"/>
  <c r="G239" i="42761"/>
  <c r="P239" i="42761"/>
  <c r="S239" i="42761"/>
  <c r="G240" i="42761"/>
  <c r="P240" i="42761" s="1"/>
  <c r="Q240" i="42761" s="1"/>
  <c r="S240" i="42761"/>
  <c r="T240" i="42761" s="1"/>
  <c r="G241" i="42761"/>
  <c r="P241" i="42761"/>
  <c r="S241" i="42761"/>
  <c r="G242" i="42761"/>
  <c r="P242" i="42761" s="1"/>
  <c r="Q242" i="42761" s="1"/>
  <c r="S242" i="42761"/>
  <c r="T242" i="42761" s="1"/>
  <c r="G243" i="42761"/>
  <c r="V243" i="42761"/>
  <c r="G244" i="42761"/>
  <c r="V244" i="42761"/>
  <c r="G245" i="42761"/>
  <c r="V245" i="42761"/>
  <c r="G246" i="42761"/>
  <c r="P246" i="42761"/>
  <c r="S246" i="42761"/>
  <c r="G247" i="42761"/>
  <c r="P247" i="42761" s="1"/>
  <c r="Q247" i="42761" s="1"/>
  <c r="S247" i="42761"/>
  <c r="T247" i="42761" s="1"/>
  <c r="G248" i="42761"/>
  <c r="P248" i="42761"/>
  <c r="S248" i="42761"/>
  <c r="G249" i="42761"/>
  <c r="P249" i="42761" s="1"/>
  <c r="Q249" i="42761" s="1"/>
  <c r="S249" i="42761"/>
  <c r="T249" i="42761" s="1"/>
  <c r="G250" i="42761"/>
  <c r="P250" i="42761"/>
  <c r="S250" i="42761"/>
  <c r="G251" i="42761"/>
  <c r="P251" i="42761" s="1"/>
  <c r="Q251" i="42761" s="1"/>
  <c r="S251" i="42761"/>
  <c r="T251" i="42761" s="1"/>
  <c r="G252" i="42761"/>
  <c r="P252" i="42761"/>
  <c r="F253" i="42761"/>
  <c r="F254" i="42761"/>
  <c r="F255" i="42761"/>
  <c r="F256" i="42761"/>
  <c r="F257" i="42761"/>
  <c r="F258" i="42761"/>
  <c r="F259" i="42761"/>
  <c r="F260" i="42761"/>
  <c r="F261" i="42761"/>
  <c r="S252" i="42761"/>
  <c r="G253" i="42761"/>
  <c r="G254" i="42761"/>
  <c r="P254" i="42761" s="1"/>
  <c r="G255" i="42761"/>
  <c r="P255" i="42761"/>
  <c r="S255" i="42761"/>
  <c r="G256" i="42761"/>
  <c r="P256" i="42761" s="1"/>
  <c r="G257" i="42761"/>
  <c r="P257" i="42761"/>
  <c r="S257" i="42761"/>
  <c r="G258" i="42761"/>
  <c r="P258" i="42761" s="1"/>
  <c r="G259" i="42761"/>
  <c r="P259" i="42761"/>
  <c r="S259" i="42761"/>
  <c r="G260" i="42761"/>
  <c r="P260" i="42761" s="1"/>
  <c r="P261" i="42761"/>
  <c r="G261" i="42761"/>
  <c r="S261" i="42761"/>
  <c r="G37" i="42769" l="1"/>
  <c r="G38" i="42769" s="1"/>
  <c r="G46" i="42769"/>
  <c r="G47" i="42769" s="1"/>
  <c r="E10" i="42766"/>
  <c r="F9" i="42766"/>
  <c r="F46" i="42769"/>
  <c r="F47" i="42769" s="1"/>
  <c r="F37" i="42769"/>
  <c r="F38" i="42769" s="1"/>
  <c r="L28" i="42769"/>
  <c r="K22" i="42769"/>
  <c r="J22" i="42769"/>
  <c r="L18" i="42769"/>
  <c r="G6" i="42769"/>
  <c r="G62" i="42765"/>
  <c r="E16" i="42766"/>
  <c r="E12" i="42766"/>
  <c r="H9" i="42769"/>
  <c r="I9" i="42769"/>
  <c r="I37" i="42769"/>
  <c r="I38" i="42769" s="1"/>
  <c r="I46" i="42769"/>
  <c r="I47" i="42769" s="1"/>
  <c r="E37" i="42769"/>
  <c r="E38" i="42769" s="1"/>
  <c r="E46" i="42769"/>
  <c r="E47" i="42769" s="1"/>
  <c r="H22" i="42769"/>
  <c r="D22" i="42769"/>
  <c r="D30" i="42769"/>
  <c r="B8" i="42770"/>
  <c r="K13" i="42769"/>
  <c r="F9" i="42769"/>
  <c r="M18" i="42764"/>
  <c r="K18" i="42764"/>
  <c r="I18" i="42764"/>
  <c r="G18" i="42764"/>
  <c r="L18" i="42764"/>
  <c r="J18" i="42764"/>
  <c r="O18" i="42764" s="1"/>
  <c r="H18" i="42764"/>
  <c r="D27" i="42764"/>
  <c r="O27" i="42764" s="1"/>
  <c r="G9" i="42764"/>
  <c r="O9" i="42764" s="1"/>
  <c r="E33" i="42763"/>
  <c r="D30" i="42764"/>
  <c r="O30" i="42764" s="1"/>
  <c r="L16" i="42764"/>
  <c r="J16" i="42764"/>
  <c r="H16" i="42764"/>
  <c r="M16" i="42764"/>
  <c r="K16" i="42764"/>
  <c r="I16" i="42764"/>
  <c r="O16" i="42764" s="1"/>
  <c r="G16" i="42764"/>
  <c r="D15" i="42764"/>
  <c r="L17" i="42764"/>
  <c r="J17" i="42764"/>
  <c r="H17" i="42764"/>
  <c r="M17" i="42764"/>
  <c r="K17" i="42764"/>
  <c r="I17" i="42764"/>
  <c r="G17" i="42764"/>
  <c r="G291" i="42759"/>
  <c r="G293" i="42759" s="1"/>
  <c r="H33" i="42760" s="1"/>
  <c r="G259" i="42759"/>
  <c r="G261" i="42759" s="1"/>
  <c r="H30" i="42760" s="1"/>
  <c r="G201" i="42759"/>
  <c r="G203" i="42759" s="1"/>
  <c r="H26" i="42760" s="1"/>
  <c r="G139" i="42759"/>
  <c r="G141" i="42759" s="1"/>
  <c r="H22" i="42760" s="1"/>
  <c r="G77" i="42759"/>
  <c r="G79" i="42759" s="1"/>
  <c r="G14" i="42759"/>
  <c r="G16" i="42759" s="1"/>
  <c r="G216" i="42759"/>
  <c r="G218" i="42759"/>
  <c r="H27" i="42760" s="1"/>
  <c r="G154" i="42759"/>
  <c r="G156" i="42759"/>
  <c r="H23" i="42760" s="1"/>
  <c r="G94" i="42759"/>
  <c r="G96" i="42759"/>
  <c r="G31" i="42759"/>
  <c r="G33" i="42759"/>
  <c r="G275" i="42759"/>
  <c r="G277" i="42759" s="1"/>
  <c r="G230" i="42759"/>
  <c r="G232" i="42759" s="1"/>
  <c r="H28" i="42760" s="1"/>
  <c r="G171" i="42759"/>
  <c r="G173" i="42759" s="1"/>
  <c r="H24" i="42760" s="1"/>
  <c r="G109" i="42759"/>
  <c r="G111" i="42759" s="1"/>
  <c r="H20" i="42760" s="1"/>
  <c r="G45" i="42759"/>
  <c r="G47" i="42759" s="1"/>
  <c r="G245" i="42759"/>
  <c r="G247" i="42759"/>
  <c r="H29" i="42760" s="1"/>
  <c r="G186" i="42759"/>
  <c r="G188" i="42759"/>
  <c r="H25" i="42760" s="1"/>
  <c r="G124" i="42759"/>
  <c r="G126" i="42759"/>
  <c r="H21" i="42760" s="1"/>
  <c r="G62" i="42759"/>
  <c r="G64" i="42759"/>
  <c r="W8" i="42761"/>
  <c r="S258" i="42761"/>
  <c r="S254" i="42761"/>
  <c r="C18" i="42762"/>
  <c r="D18" i="42762" s="1"/>
  <c r="R260" i="42761"/>
  <c r="H260" i="42761"/>
  <c r="R258" i="42761"/>
  <c r="H258" i="42761"/>
  <c r="R256" i="42761"/>
  <c r="H256" i="42761"/>
  <c r="R255" i="42761"/>
  <c r="H255" i="42761"/>
  <c r="B18" i="42762"/>
  <c r="H253" i="42761"/>
  <c r="C17" i="42762"/>
  <c r="H252" i="42761"/>
  <c r="R252" i="42761"/>
  <c r="C16" i="42762"/>
  <c r="B15" i="42762"/>
  <c r="H230" i="42761"/>
  <c r="C13" i="42762"/>
  <c r="H189" i="42761"/>
  <c r="B13" i="42762"/>
  <c r="H188" i="42761"/>
  <c r="R187" i="42761"/>
  <c r="H187" i="42761"/>
  <c r="R186" i="42761"/>
  <c r="T186" i="42761" s="1"/>
  <c r="H186" i="42761"/>
  <c r="R185" i="42761"/>
  <c r="H185" i="42761"/>
  <c r="R184" i="42761"/>
  <c r="T184" i="42761" s="1"/>
  <c r="H184" i="42761"/>
  <c r="R183" i="42761"/>
  <c r="H183" i="42761"/>
  <c r="R182" i="42761"/>
  <c r="T182" i="42761" s="1"/>
  <c r="H182" i="42761"/>
  <c r="R181" i="42761"/>
  <c r="H181" i="42761"/>
  <c r="R180" i="42761"/>
  <c r="T180" i="42761" s="1"/>
  <c r="H180" i="42761"/>
  <c r="R179" i="42761"/>
  <c r="H179" i="42761"/>
  <c r="R178" i="42761"/>
  <c r="T178" i="42761" s="1"/>
  <c r="H178" i="42761"/>
  <c r="H176" i="42761"/>
  <c r="H167" i="42761"/>
  <c r="H165" i="42761"/>
  <c r="H163" i="42761"/>
  <c r="H161" i="42761"/>
  <c r="H159" i="42761"/>
  <c r="H157" i="42761"/>
  <c r="H155" i="42761"/>
  <c r="H153" i="42761"/>
  <c r="H150" i="42761"/>
  <c r="H148" i="42761"/>
  <c r="H146" i="42761"/>
  <c r="H144" i="42761"/>
  <c r="H142" i="42761"/>
  <c r="W139" i="42761"/>
  <c r="C10" i="42762"/>
  <c r="Q79" i="42761"/>
  <c r="Q77" i="42761"/>
  <c r="W76" i="42761"/>
  <c r="W75" i="42761"/>
  <c r="W74" i="42761"/>
  <c r="W73" i="42761"/>
  <c r="W72" i="42761"/>
  <c r="W71" i="42761"/>
  <c r="W70" i="42761"/>
  <c r="W69" i="42761"/>
  <c r="W68" i="42761"/>
  <c r="Q66" i="42761"/>
  <c r="R140" i="42761"/>
  <c r="R188" i="42761"/>
  <c r="R214" i="42761"/>
  <c r="R253" i="42761"/>
  <c r="R212" i="42761"/>
  <c r="R211" i="42761"/>
  <c r="R168" i="42761"/>
  <c r="H138" i="42761"/>
  <c r="H136" i="42761"/>
  <c r="H135" i="42761"/>
  <c r="H133" i="42761"/>
  <c r="H131" i="42761"/>
  <c r="H129" i="42761"/>
  <c r="H127" i="42761"/>
  <c r="R126" i="42761"/>
  <c r="H126" i="42761"/>
  <c r="R125" i="42761"/>
  <c r="T125" i="42761" s="1"/>
  <c r="H125" i="42761"/>
  <c r="R124" i="42761"/>
  <c r="H124" i="42761"/>
  <c r="R123" i="42761"/>
  <c r="T123" i="42761" s="1"/>
  <c r="H123" i="42761"/>
  <c r="H122" i="42761"/>
  <c r="H121" i="42761"/>
  <c r="H120" i="42761"/>
  <c r="H119" i="42761"/>
  <c r="H118" i="42761"/>
  <c r="H117" i="42761"/>
  <c r="H116" i="42761"/>
  <c r="B10" i="42762"/>
  <c r="H115" i="42761"/>
  <c r="H114" i="42761"/>
  <c r="H113" i="42761"/>
  <c r="R112" i="42761"/>
  <c r="H112" i="42761"/>
  <c r="H111" i="42761"/>
  <c r="R110" i="42761"/>
  <c r="T110" i="42761" s="1"/>
  <c r="H110" i="42761"/>
  <c r="R109" i="42761"/>
  <c r="H109" i="42761"/>
  <c r="R108" i="42761"/>
  <c r="T108" i="42761" s="1"/>
  <c r="H108" i="42761"/>
  <c r="R107" i="42761"/>
  <c r="H107" i="42761"/>
  <c r="R106" i="42761"/>
  <c r="T106" i="42761" s="1"/>
  <c r="H106" i="42761"/>
  <c r="R105" i="42761"/>
  <c r="H105" i="42761"/>
  <c r="R104" i="42761"/>
  <c r="T104" i="42761" s="1"/>
  <c r="H104" i="42761"/>
  <c r="R103" i="42761"/>
  <c r="H103" i="42761"/>
  <c r="R102" i="42761"/>
  <c r="T102" i="42761" s="1"/>
  <c r="H102" i="42761"/>
  <c r="H101" i="42761"/>
  <c r="H100" i="42761"/>
  <c r="H99" i="42761"/>
  <c r="H98" i="42761"/>
  <c r="H97" i="42761"/>
  <c r="H96" i="42761"/>
  <c r="H95" i="42761"/>
  <c r="H94" i="42761"/>
  <c r="R93" i="42761"/>
  <c r="H93" i="42761"/>
  <c r="R92" i="42761"/>
  <c r="T92" i="42761" s="1"/>
  <c r="H92" i="42761"/>
  <c r="R91" i="42761"/>
  <c r="H91" i="42761"/>
  <c r="R90" i="42761"/>
  <c r="T90" i="42761" s="1"/>
  <c r="H90" i="42761"/>
  <c r="H89" i="42761"/>
  <c r="H88" i="42761"/>
  <c r="H87" i="42761"/>
  <c r="R86" i="42761"/>
  <c r="H86" i="42761"/>
  <c r="R85" i="42761"/>
  <c r="T85" i="42761" s="1"/>
  <c r="H85" i="42761"/>
  <c r="H84" i="42761"/>
  <c r="H83" i="42761"/>
  <c r="H82" i="42761"/>
  <c r="H81" i="42761"/>
  <c r="H80" i="42761"/>
  <c r="H78" i="42761"/>
  <c r="H67" i="42761"/>
  <c r="H65" i="42761"/>
  <c r="R64" i="42761"/>
  <c r="H64" i="42761"/>
  <c r="R63" i="42761"/>
  <c r="T63" i="42761" s="1"/>
  <c r="H63" i="42761"/>
  <c r="S55" i="42761"/>
  <c r="T55" i="42761" s="1"/>
  <c r="S53" i="42761"/>
  <c r="T53" i="42761" s="1"/>
  <c r="S50" i="42761"/>
  <c r="T50" i="42761" s="1"/>
  <c r="S48" i="42761"/>
  <c r="T48" i="42761" s="1"/>
  <c r="T46" i="42761"/>
  <c r="T44" i="42761"/>
  <c r="T42" i="42761"/>
  <c r="T39" i="42761"/>
  <c r="T37" i="42761"/>
  <c r="T34" i="42761"/>
  <c r="T32" i="42761"/>
  <c r="T30" i="42761"/>
  <c r="T28" i="42761"/>
  <c r="T26" i="42761"/>
  <c r="T24" i="42761"/>
  <c r="T17" i="42761"/>
  <c r="T15" i="42761"/>
  <c r="T13" i="42761"/>
  <c r="T11" i="42761"/>
  <c r="T9" i="42761"/>
  <c r="S71" i="42761"/>
  <c r="T71" i="42761" s="1"/>
  <c r="S84" i="42761"/>
  <c r="T84" i="42761" s="1"/>
  <c r="S101" i="42761"/>
  <c r="T101" i="42761" s="1"/>
  <c r="S122" i="42761"/>
  <c r="T122" i="42761" s="1"/>
  <c r="S140" i="42761"/>
  <c r="T140" i="42761" s="1"/>
  <c r="S188" i="42761"/>
  <c r="T188" i="42761" s="1"/>
  <c r="S214" i="42761"/>
  <c r="T214" i="42761" s="1"/>
  <c r="S253" i="42761"/>
  <c r="T253" i="42761" s="1"/>
  <c r="S121" i="42761"/>
  <c r="T121" i="42761" s="1"/>
  <c r="S99" i="42761"/>
  <c r="T99" i="42761" s="1"/>
  <c r="S70" i="42761"/>
  <c r="T70" i="42761" s="1"/>
  <c r="S83" i="42761"/>
  <c r="T83" i="42761" s="1"/>
  <c r="S98" i="42761"/>
  <c r="T98" i="42761" s="1"/>
  <c r="S113" i="42761"/>
  <c r="T113" i="42761" s="1"/>
  <c r="S139" i="42761"/>
  <c r="T139" i="42761" s="1"/>
  <c r="S212" i="42761"/>
  <c r="T212" i="42761" s="1"/>
  <c r="S82" i="42761"/>
  <c r="T82" i="42761" s="1"/>
  <c r="S118" i="42761"/>
  <c r="T118" i="42761" s="1"/>
  <c r="S74" i="42761"/>
  <c r="T74" i="42761" s="1"/>
  <c r="S87" i="42761"/>
  <c r="T87" i="42761" s="1"/>
  <c r="S117" i="42761"/>
  <c r="T117" i="42761" s="1"/>
  <c r="S211" i="42761"/>
  <c r="T211" i="42761" s="1"/>
  <c r="S73" i="42761"/>
  <c r="T73" i="42761" s="1"/>
  <c r="S116" i="42761"/>
  <c r="T116" i="42761" s="1"/>
  <c r="S72" i="42761"/>
  <c r="T72" i="42761" s="1"/>
  <c r="S94" i="42761"/>
  <c r="T94" i="42761" s="1"/>
  <c r="S168" i="42761"/>
  <c r="T168" i="42761" s="1"/>
  <c r="V51" i="42761"/>
  <c r="H61" i="42761"/>
  <c r="H59" i="42761"/>
  <c r="H57" i="42761"/>
  <c r="U51" i="42761"/>
  <c r="H41" i="42761"/>
  <c r="H40" i="42761"/>
  <c r="H39" i="42761"/>
  <c r="H38" i="42761"/>
  <c r="H37" i="42761"/>
  <c r="H36" i="42761"/>
  <c r="H35" i="42761"/>
  <c r="H34" i="42761"/>
  <c r="H33" i="42761"/>
  <c r="H32" i="42761"/>
  <c r="H31" i="42761"/>
  <c r="H30" i="42761"/>
  <c r="H29" i="42761"/>
  <c r="H28" i="42761"/>
  <c r="H27" i="42761"/>
  <c r="H26" i="42761"/>
  <c r="H25" i="42761"/>
  <c r="H24" i="42761"/>
  <c r="H23" i="42761"/>
  <c r="H21" i="42761"/>
  <c r="H19" i="42761"/>
  <c r="G418" i="42756"/>
  <c r="G414" i="42756"/>
  <c r="G410" i="42756"/>
  <c r="G406" i="42756"/>
  <c r="G402" i="42756"/>
  <c r="G398" i="42756"/>
  <c r="S260" i="42761"/>
  <c r="T260" i="42761" s="1"/>
  <c r="Q261" i="42761"/>
  <c r="S256" i="42761"/>
  <c r="T256" i="42761" s="1"/>
  <c r="H261" i="42761"/>
  <c r="R261" i="42761"/>
  <c r="T261" i="42761" s="1"/>
  <c r="R259" i="42761"/>
  <c r="H259" i="42761"/>
  <c r="R257" i="42761"/>
  <c r="H257" i="42761"/>
  <c r="R254" i="42761"/>
  <c r="H254" i="42761"/>
  <c r="O261" i="42761"/>
  <c r="T259" i="42761"/>
  <c r="T257" i="42761"/>
  <c r="T255" i="42761"/>
  <c r="V253" i="42761"/>
  <c r="T252" i="42761"/>
  <c r="O260" i="42761"/>
  <c r="Q260" i="42761" s="1"/>
  <c r="O259" i="42761"/>
  <c r="Q259" i="42761" s="1"/>
  <c r="O258" i="42761"/>
  <c r="Q258" i="42761" s="1"/>
  <c r="O257" i="42761"/>
  <c r="Q257" i="42761" s="1"/>
  <c r="O256" i="42761"/>
  <c r="Q256" i="42761" s="1"/>
  <c r="O255" i="42761"/>
  <c r="Q255" i="42761" s="1"/>
  <c r="O254" i="42761"/>
  <c r="Q254" i="42761" s="1"/>
  <c r="U253" i="42761"/>
  <c r="O252" i="42761"/>
  <c r="Q252" i="42761" s="1"/>
  <c r="T250" i="42761"/>
  <c r="T248" i="42761"/>
  <c r="T246" i="42761"/>
  <c r="T241" i="42761"/>
  <c r="T239" i="42761"/>
  <c r="T237" i="42761"/>
  <c r="G17" i="42762" s="1"/>
  <c r="P236" i="42761"/>
  <c r="Q236" i="42761" s="1"/>
  <c r="T235" i="42761"/>
  <c r="T233" i="42761"/>
  <c r="Q232" i="42761"/>
  <c r="H251" i="42761"/>
  <c r="O250" i="42761"/>
  <c r="Q250" i="42761" s="1"/>
  <c r="H249" i="42761"/>
  <c r="O248" i="42761"/>
  <c r="Q248" i="42761" s="1"/>
  <c r="H247" i="42761"/>
  <c r="O246" i="42761"/>
  <c r="Q246" i="42761" s="1"/>
  <c r="U245" i="42761"/>
  <c r="W245" i="42761" s="1"/>
  <c r="U244" i="42761"/>
  <c r="W244" i="42761" s="1"/>
  <c r="U243" i="42761"/>
  <c r="W243" i="42761" s="1"/>
  <c r="H242" i="42761"/>
  <c r="O241" i="42761"/>
  <c r="Q241" i="42761" s="1"/>
  <c r="H240" i="42761"/>
  <c r="O239" i="42761"/>
  <c r="Q239" i="42761" s="1"/>
  <c r="H238" i="42761"/>
  <c r="O237" i="42761"/>
  <c r="Q237" i="42761" s="1"/>
  <c r="B17" i="42762"/>
  <c r="H236" i="42761"/>
  <c r="O235" i="42761"/>
  <c r="Q235" i="42761" s="1"/>
  <c r="H234" i="42761"/>
  <c r="O233" i="42761"/>
  <c r="Q233" i="42761" s="1"/>
  <c r="R232" i="42761"/>
  <c r="T232" i="42761" s="1"/>
  <c r="G16" i="42762" s="1"/>
  <c r="P231" i="42761"/>
  <c r="Q231" i="42761" s="1"/>
  <c r="T230" i="42761"/>
  <c r="G15" i="42762" s="1"/>
  <c r="D15" i="42762"/>
  <c r="T228" i="42761"/>
  <c r="T226" i="42761"/>
  <c r="T224" i="42761"/>
  <c r="T222" i="42761"/>
  <c r="T220" i="42761"/>
  <c r="T218" i="42761"/>
  <c r="T216" i="42761"/>
  <c r="B16" i="42762"/>
  <c r="H231" i="42761"/>
  <c r="O230" i="42761"/>
  <c r="Q230" i="42761" s="1"/>
  <c r="E15" i="42762" s="1"/>
  <c r="H229" i="42761"/>
  <c r="O228" i="42761"/>
  <c r="Q228" i="42761" s="1"/>
  <c r="H227" i="42761"/>
  <c r="O226" i="42761"/>
  <c r="Q226" i="42761" s="1"/>
  <c r="H225" i="42761"/>
  <c r="O224" i="42761"/>
  <c r="Q224" i="42761" s="1"/>
  <c r="H223" i="42761"/>
  <c r="O222" i="42761"/>
  <c r="Q222" i="42761" s="1"/>
  <c r="H221" i="42761"/>
  <c r="O220" i="42761"/>
  <c r="Q220" i="42761" s="1"/>
  <c r="H219" i="42761"/>
  <c r="O218" i="42761"/>
  <c r="Q218" i="42761" s="1"/>
  <c r="H217" i="42761"/>
  <c r="O216" i="42761"/>
  <c r="Q216" i="42761" s="1"/>
  <c r="C14" i="42762"/>
  <c r="T209" i="42761"/>
  <c r="T205" i="42761"/>
  <c r="T201" i="42761"/>
  <c r="V188" i="42761"/>
  <c r="W188" i="42761" s="1"/>
  <c r="T187" i="42761"/>
  <c r="T185" i="42761"/>
  <c r="T183" i="42761"/>
  <c r="T181" i="42761"/>
  <c r="T179" i="42761"/>
  <c r="R215" i="42761"/>
  <c r="T215" i="42761" s="1"/>
  <c r="H215" i="42761"/>
  <c r="H214" i="42761"/>
  <c r="H213" i="42761"/>
  <c r="H212" i="42761"/>
  <c r="B14" i="42762"/>
  <c r="H211" i="42761"/>
  <c r="R210" i="42761"/>
  <c r="T210" i="42761" s="1"/>
  <c r="H210" i="42761"/>
  <c r="R209" i="42761"/>
  <c r="H209" i="42761"/>
  <c r="R208" i="42761"/>
  <c r="T208" i="42761" s="1"/>
  <c r="H208" i="42761"/>
  <c r="R207" i="42761"/>
  <c r="T207" i="42761" s="1"/>
  <c r="H207" i="42761"/>
  <c r="R206" i="42761"/>
  <c r="T206" i="42761" s="1"/>
  <c r="H206" i="42761"/>
  <c r="R205" i="42761"/>
  <c r="H205" i="42761"/>
  <c r="R204" i="42761"/>
  <c r="T204" i="42761" s="1"/>
  <c r="H204" i="42761"/>
  <c r="R203" i="42761"/>
  <c r="T203" i="42761" s="1"/>
  <c r="H203" i="42761"/>
  <c r="R202" i="42761"/>
  <c r="T202" i="42761" s="1"/>
  <c r="H202" i="42761"/>
  <c r="R201" i="42761"/>
  <c r="H201" i="42761"/>
  <c r="R200" i="42761"/>
  <c r="T200" i="42761" s="1"/>
  <c r="H200" i="42761"/>
  <c r="H199" i="42761"/>
  <c r="R198" i="42761"/>
  <c r="T198" i="42761" s="1"/>
  <c r="H198" i="42761"/>
  <c r="R197" i="42761"/>
  <c r="T197" i="42761" s="1"/>
  <c r="H197" i="42761"/>
  <c r="R196" i="42761"/>
  <c r="T196" i="42761" s="1"/>
  <c r="H196" i="42761"/>
  <c r="R195" i="42761"/>
  <c r="T195" i="42761" s="1"/>
  <c r="H195" i="42761"/>
  <c r="R194" i="42761"/>
  <c r="T194" i="42761" s="1"/>
  <c r="H194" i="42761"/>
  <c r="R193" i="42761"/>
  <c r="T193" i="42761" s="1"/>
  <c r="H193" i="42761"/>
  <c r="R192" i="42761"/>
  <c r="T192" i="42761" s="1"/>
  <c r="H192" i="42761"/>
  <c r="R191" i="42761"/>
  <c r="T191" i="42761" s="1"/>
  <c r="H191" i="42761"/>
  <c r="R190" i="42761"/>
  <c r="T190" i="42761" s="1"/>
  <c r="H190" i="42761"/>
  <c r="O189" i="42761"/>
  <c r="Q189" i="42761" s="1"/>
  <c r="U188" i="42761"/>
  <c r="O187" i="42761"/>
  <c r="Q187" i="42761" s="1"/>
  <c r="O186" i="42761"/>
  <c r="Q186" i="42761" s="1"/>
  <c r="O185" i="42761"/>
  <c r="Q185" i="42761" s="1"/>
  <c r="O184" i="42761"/>
  <c r="Q184" i="42761" s="1"/>
  <c r="O183" i="42761"/>
  <c r="Q183" i="42761" s="1"/>
  <c r="O182" i="42761"/>
  <c r="Q182" i="42761" s="1"/>
  <c r="O181" i="42761"/>
  <c r="Q181" i="42761" s="1"/>
  <c r="O180" i="42761"/>
  <c r="Q180" i="42761" s="1"/>
  <c r="O179" i="42761"/>
  <c r="Q179" i="42761" s="1"/>
  <c r="O178" i="42761"/>
  <c r="Q178" i="42761" s="1"/>
  <c r="H177" i="42761"/>
  <c r="O176" i="42761"/>
  <c r="Q176" i="42761" s="1"/>
  <c r="T173" i="42761"/>
  <c r="C12" i="42762"/>
  <c r="C11" i="42762"/>
  <c r="R175" i="42761"/>
  <c r="T175" i="42761" s="1"/>
  <c r="H174" i="42761"/>
  <c r="O173" i="42761"/>
  <c r="Q173" i="42761" s="1"/>
  <c r="H172" i="42761"/>
  <c r="B12" i="42762"/>
  <c r="H171" i="42761"/>
  <c r="H170" i="42761"/>
  <c r="H169" i="42761"/>
  <c r="H168" i="42761"/>
  <c r="O167" i="42761"/>
  <c r="Q167" i="42761" s="1"/>
  <c r="H166" i="42761"/>
  <c r="O165" i="42761"/>
  <c r="Q165" i="42761" s="1"/>
  <c r="H164" i="42761"/>
  <c r="O163" i="42761"/>
  <c r="Q163" i="42761" s="1"/>
  <c r="H162" i="42761"/>
  <c r="O161" i="42761"/>
  <c r="Q161" i="42761" s="1"/>
  <c r="H160" i="42761"/>
  <c r="O159" i="42761"/>
  <c r="Q159" i="42761" s="1"/>
  <c r="H158" i="42761"/>
  <c r="O157" i="42761"/>
  <c r="Q157" i="42761" s="1"/>
  <c r="H156" i="42761"/>
  <c r="O155" i="42761"/>
  <c r="Q155" i="42761" s="1"/>
  <c r="H154" i="42761"/>
  <c r="O153" i="42761"/>
  <c r="Q153" i="42761" s="1"/>
  <c r="H152" i="42761"/>
  <c r="B11" i="42762"/>
  <c r="H151" i="42761"/>
  <c r="O150" i="42761"/>
  <c r="Q150" i="42761" s="1"/>
  <c r="H149" i="42761"/>
  <c r="O148" i="42761"/>
  <c r="Q148" i="42761" s="1"/>
  <c r="H147" i="42761"/>
  <c r="O146" i="42761"/>
  <c r="Q146" i="42761" s="1"/>
  <c r="H145" i="42761"/>
  <c r="O144" i="42761"/>
  <c r="Q144" i="42761" s="1"/>
  <c r="H143" i="42761"/>
  <c r="O142" i="42761"/>
  <c r="Q142" i="42761" s="1"/>
  <c r="H141" i="42761"/>
  <c r="H140" i="42761"/>
  <c r="T126" i="42761"/>
  <c r="T124" i="42761"/>
  <c r="V115" i="42761"/>
  <c r="W115" i="42761" s="1"/>
  <c r="T112" i="42761"/>
  <c r="T109" i="42761"/>
  <c r="T107" i="42761"/>
  <c r="T105" i="42761"/>
  <c r="T103" i="42761"/>
  <c r="T93" i="42761"/>
  <c r="T91" i="42761"/>
  <c r="T86" i="42761"/>
  <c r="T64" i="42761"/>
  <c r="R114" i="42761"/>
  <c r="R135" i="42761"/>
  <c r="R151" i="42761"/>
  <c r="R199" i="42761"/>
  <c r="R245" i="42761"/>
  <c r="R213" i="42761"/>
  <c r="R120" i="42761"/>
  <c r="R111" i="42761"/>
  <c r="R119" i="42761"/>
  <c r="R170" i="42761"/>
  <c r="R244" i="42761"/>
  <c r="R169" i="42761"/>
  <c r="R243" i="42761"/>
  <c r="R115" i="42761"/>
  <c r="R171" i="42761"/>
  <c r="H139" i="42761"/>
  <c r="O138" i="42761"/>
  <c r="Q138" i="42761" s="1"/>
  <c r="H137" i="42761"/>
  <c r="O136" i="42761"/>
  <c r="Q136" i="42761" s="1"/>
  <c r="U135" i="42761"/>
  <c r="W135" i="42761" s="1"/>
  <c r="H134" i="42761"/>
  <c r="O133" i="42761"/>
  <c r="Q133" i="42761" s="1"/>
  <c r="H132" i="42761"/>
  <c r="O131" i="42761"/>
  <c r="Q131" i="42761" s="1"/>
  <c r="H130" i="42761"/>
  <c r="O129" i="42761"/>
  <c r="Q129" i="42761" s="1"/>
  <c r="H128" i="42761"/>
  <c r="O127" i="42761"/>
  <c r="Q127" i="42761" s="1"/>
  <c r="O126" i="42761"/>
  <c r="Q126" i="42761" s="1"/>
  <c r="O125" i="42761"/>
  <c r="Q125" i="42761" s="1"/>
  <c r="O124" i="42761"/>
  <c r="Q124" i="42761" s="1"/>
  <c r="O123" i="42761"/>
  <c r="Q123" i="42761" s="1"/>
  <c r="U122" i="42761"/>
  <c r="W122" i="42761" s="1"/>
  <c r="U121" i="42761"/>
  <c r="W121" i="42761" s="1"/>
  <c r="U120" i="42761"/>
  <c r="W120" i="42761" s="1"/>
  <c r="U119" i="42761"/>
  <c r="W119" i="42761" s="1"/>
  <c r="U118" i="42761"/>
  <c r="W118" i="42761" s="1"/>
  <c r="U117" i="42761"/>
  <c r="W117" i="42761" s="1"/>
  <c r="U116" i="42761"/>
  <c r="W116" i="42761" s="1"/>
  <c r="U115" i="42761"/>
  <c r="U114" i="42761"/>
  <c r="W114" i="42761" s="1"/>
  <c r="U113" i="42761"/>
  <c r="W113" i="42761" s="1"/>
  <c r="O112" i="42761"/>
  <c r="Q112" i="42761" s="1"/>
  <c r="U111" i="42761"/>
  <c r="W111" i="42761" s="1"/>
  <c r="O110" i="42761"/>
  <c r="Q110" i="42761" s="1"/>
  <c r="O109" i="42761"/>
  <c r="Q109" i="42761" s="1"/>
  <c r="O108" i="42761"/>
  <c r="Q108" i="42761" s="1"/>
  <c r="O107" i="42761"/>
  <c r="Q107" i="42761" s="1"/>
  <c r="O106" i="42761"/>
  <c r="Q106" i="42761" s="1"/>
  <c r="O105" i="42761"/>
  <c r="Q105" i="42761" s="1"/>
  <c r="O104" i="42761"/>
  <c r="Q104" i="42761" s="1"/>
  <c r="O103" i="42761"/>
  <c r="Q103" i="42761" s="1"/>
  <c r="O102" i="42761"/>
  <c r="Q102" i="42761" s="1"/>
  <c r="U101" i="42761"/>
  <c r="W101" i="42761" s="1"/>
  <c r="U100" i="42761"/>
  <c r="W100" i="42761" s="1"/>
  <c r="H79" i="42761"/>
  <c r="H77" i="42761"/>
  <c r="H76" i="42761"/>
  <c r="H75" i="42761"/>
  <c r="H74" i="42761"/>
  <c r="H73" i="42761"/>
  <c r="H72" i="42761"/>
  <c r="H71" i="42761"/>
  <c r="H70" i="42761"/>
  <c r="H69" i="42761"/>
  <c r="H68" i="42761"/>
  <c r="H66" i="42761"/>
  <c r="T54" i="42761"/>
  <c r="T52" i="42761"/>
  <c r="T49" i="42761"/>
  <c r="T47" i="42761"/>
  <c r="T45" i="42761"/>
  <c r="T43" i="42761"/>
  <c r="T40" i="42761"/>
  <c r="T38" i="42761"/>
  <c r="T35" i="42761"/>
  <c r="T33" i="42761"/>
  <c r="T31" i="42761"/>
  <c r="T29" i="42761"/>
  <c r="T27" i="42761"/>
  <c r="T25" i="42761"/>
  <c r="T23" i="42761"/>
  <c r="T16" i="42761"/>
  <c r="T14" i="42761"/>
  <c r="T12" i="42761"/>
  <c r="T10" i="42761"/>
  <c r="T8" i="42761"/>
  <c r="S76" i="42761"/>
  <c r="T76" i="42761" s="1"/>
  <c r="S89" i="42761"/>
  <c r="T89" i="42761" s="1"/>
  <c r="S114" i="42761"/>
  <c r="T114" i="42761" s="1"/>
  <c r="S135" i="42761"/>
  <c r="T135" i="42761" s="1"/>
  <c r="S151" i="42761"/>
  <c r="T151" i="42761" s="1"/>
  <c r="G11" i="42762" s="1"/>
  <c r="S199" i="42761"/>
  <c r="T199" i="42761" s="1"/>
  <c r="S245" i="42761"/>
  <c r="T245" i="42761" s="1"/>
  <c r="S100" i="42761"/>
  <c r="T100" i="42761" s="1"/>
  <c r="S213" i="42761"/>
  <c r="T213" i="42761" s="1"/>
  <c r="S120" i="42761"/>
  <c r="S75" i="42761"/>
  <c r="T75" i="42761" s="1"/>
  <c r="S88" i="42761"/>
  <c r="T88" i="42761" s="1"/>
  <c r="S111" i="42761"/>
  <c r="T111" i="42761" s="1"/>
  <c r="S119" i="42761"/>
  <c r="S170" i="42761"/>
  <c r="T170" i="42761" s="1"/>
  <c r="S244" i="42761"/>
  <c r="S97" i="42761"/>
  <c r="T97" i="42761" s="1"/>
  <c r="S69" i="42761"/>
  <c r="T69" i="42761" s="1"/>
  <c r="S81" i="42761"/>
  <c r="T81" i="42761" s="1"/>
  <c r="S96" i="42761"/>
  <c r="T96" i="42761" s="1"/>
  <c r="S169" i="42761"/>
  <c r="T169" i="42761" s="1"/>
  <c r="S243" i="42761"/>
  <c r="S95" i="42761"/>
  <c r="T95" i="42761" s="1"/>
  <c r="S68" i="42761"/>
  <c r="T68" i="42761" s="1"/>
  <c r="S80" i="42761"/>
  <c r="T80" i="42761" s="1"/>
  <c r="S115" i="42761"/>
  <c r="T115" i="42761" s="1"/>
  <c r="S171" i="42761"/>
  <c r="T171" i="42761" s="1"/>
  <c r="C9" i="42762"/>
  <c r="G262" i="42761"/>
  <c r="C8" i="42762"/>
  <c r="R62" i="42761"/>
  <c r="T62" i="42761" s="1"/>
  <c r="H62" i="42761"/>
  <c r="H60" i="42761"/>
  <c r="H58" i="42761"/>
  <c r="H56" i="42761"/>
  <c r="H55" i="42761"/>
  <c r="H54" i="42761"/>
  <c r="H53" i="42761"/>
  <c r="H52" i="42761"/>
  <c r="H51" i="42761"/>
  <c r="H50" i="42761"/>
  <c r="H49" i="42761"/>
  <c r="H48" i="42761"/>
  <c r="B9" i="42762"/>
  <c r="H47" i="42761"/>
  <c r="H46" i="42761"/>
  <c r="H45" i="42761"/>
  <c r="H44" i="42761"/>
  <c r="H43" i="42761"/>
  <c r="H42" i="42761"/>
  <c r="O41" i="42761"/>
  <c r="Q41" i="42761" s="1"/>
  <c r="U40" i="42761"/>
  <c r="W40" i="42761" s="1"/>
  <c r="U39" i="42761"/>
  <c r="W39" i="42761" s="1"/>
  <c r="U38" i="42761"/>
  <c r="W38" i="42761" s="1"/>
  <c r="U37" i="42761"/>
  <c r="W37" i="42761" s="1"/>
  <c r="U36" i="42761"/>
  <c r="W36" i="42761" s="1"/>
  <c r="U35" i="42761"/>
  <c r="W35" i="42761" s="1"/>
  <c r="U34" i="42761"/>
  <c r="W34" i="42761" s="1"/>
  <c r="U33" i="42761"/>
  <c r="W33" i="42761" s="1"/>
  <c r="H22" i="42761"/>
  <c r="H20" i="42761"/>
  <c r="H18" i="42761"/>
  <c r="H17" i="42761"/>
  <c r="H16" i="42761"/>
  <c r="H15" i="42761"/>
  <c r="H14" i="42761"/>
  <c r="H13" i="42761"/>
  <c r="H12" i="42761"/>
  <c r="H11" i="42761"/>
  <c r="H10" i="42761"/>
  <c r="H9" i="42761"/>
  <c r="B8" i="42762"/>
  <c r="B19" i="42762" s="1"/>
  <c r="F262" i="42761"/>
  <c r="H8" i="42761"/>
  <c r="R36" i="42761"/>
  <c r="T36" i="42761" s="1"/>
  <c r="G416" i="42756"/>
  <c r="G412" i="42756"/>
  <c r="G408" i="42756"/>
  <c r="G404" i="42756"/>
  <c r="G400" i="42756"/>
  <c r="G396" i="42756"/>
  <c r="G420" i="42756" s="1"/>
  <c r="L30" i="42769" l="1"/>
  <c r="D31" i="42769" s="1"/>
  <c r="H46" i="42769"/>
  <c r="H47" i="42769" s="1"/>
  <c r="H37" i="42769"/>
  <c r="H38" i="42769" s="1"/>
  <c r="L13" i="42769"/>
  <c r="E18" i="42766"/>
  <c r="F16" i="42766"/>
  <c r="B14" i="42770"/>
  <c r="K19" i="42769"/>
  <c r="K34" i="42769" s="1"/>
  <c r="K35" i="42769" s="1"/>
  <c r="J19" i="42769"/>
  <c r="J34" i="42769" s="1"/>
  <c r="J35" i="42769" s="1"/>
  <c r="E19" i="42769"/>
  <c r="E34" i="42769" s="1"/>
  <c r="E35" i="42769" s="1"/>
  <c r="G19" i="42769"/>
  <c r="G34" i="42769" s="1"/>
  <c r="G35" i="42769" s="1"/>
  <c r="I19" i="42769"/>
  <c r="I34" i="42769" s="1"/>
  <c r="I35" i="42769" s="1"/>
  <c r="F19" i="42769"/>
  <c r="F34" i="42769" s="1"/>
  <c r="F35" i="42769" s="1"/>
  <c r="H19" i="42769"/>
  <c r="H34" i="42769" s="1"/>
  <c r="H35" i="42769" s="1"/>
  <c r="J46" i="42769"/>
  <c r="J47" i="42769" s="1"/>
  <c r="J37" i="42769"/>
  <c r="J38" i="42769" s="1"/>
  <c r="D46" i="42769"/>
  <c r="D37" i="42769"/>
  <c r="L22" i="42769"/>
  <c r="E14" i="42766"/>
  <c r="F12" i="42766"/>
  <c r="G9" i="42769"/>
  <c r="D19" i="42769"/>
  <c r="K37" i="42769"/>
  <c r="K38" i="42769" s="1"/>
  <c r="K46" i="42769"/>
  <c r="K47" i="42769" s="1"/>
  <c r="F10" i="42766"/>
  <c r="D10" i="42765"/>
  <c r="M15" i="42764"/>
  <c r="M19" i="42764" s="1"/>
  <c r="M21" i="42764" s="1"/>
  <c r="M22" i="42764" s="1"/>
  <c r="K15" i="42764"/>
  <c r="K19" i="42764" s="1"/>
  <c r="K21" i="42764" s="1"/>
  <c r="K22" i="42764" s="1"/>
  <c r="I15" i="42764"/>
  <c r="I19" i="42764" s="1"/>
  <c r="I21" i="42764" s="1"/>
  <c r="I22" i="42764" s="1"/>
  <c r="G15" i="42764"/>
  <c r="G19" i="42764" s="1"/>
  <c r="G21" i="42764" s="1"/>
  <c r="D19" i="42764"/>
  <c r="L15" i="42764"/>
  <c r="L19" i="42764" s="1"/>
  <c r="L21" i="42764" s="1"/>
  <c r="L22" i="42764" s="1"/>
  <c r="J15" i="42764"/>
  <c r="J19" i="42764" s="1"/>
  <c r="J21" i="42764" s="1"/>
  <c r="H15" i="42764"/>
  <c r="H19" i="42764" s="1"/>
  <c r="H21" i="42764" s="1"/>
  <c r="H22" i="42764" s="1"/>
  <c r="G16" i="42760"/>
  <c r="E16" i="42760" s="1"/>
  <c r="G15" i="42760"/>
  <c r="E15" i="42760" s="1"/>
  <c r="N250" i="42761"/>
  <c r="V250" i="42761" s="1"/>
  <c r="W250" i="42761" s="1"/>
  <c r="M250" i="42761"/>
  <c r="U250" i="42761" s="1"/>
  <c r="M219" i="42761"/>
  <c r="U219" i="42761" s="1"/>
  <c r="N219" i="42761"/>
  <c r="V219" i="42761" s="1"/>
  <c r="M203" i="42761"/>
  <c r="U203" i="42761" s="1"/>
  <c r="M191" i="42761"/>
  <c r="U191" i="42761" s="1"/>
  <c r="M182" i="42761"/>
  <c r="U182" i="42761" s="1"/>
  <c r="N203" i="42761"/>
  <c r="V203" i="42761" s="1"/>
  <c r="N191" i="42761"/>
  <c r="V191" i="42761" s="1"/>
  <c r="W191" i="42761" s="1"/>
  <c r="N182" i="42761"/>
  <c r="V182" i="42761" s="1"/>
  <c r="M174" i="42761"/>
  <c r="U174" i="42761" s="1"/>
  <c r="M156" i="42761"/>
  <c r="U156" i="42761" s="1"/>
  <c r="M145" i="42761"/>
  <c r="U145" i="42761" s="1"/>
  <c r="N174" i="42761"/>
  <c r="V174" i="42761" s="1"/>
  <c r="N156" i="42761"/>
  <c r="V156" i="42761" s="1"/>
  <c r="W156" i="42761" s="1"/>
  <c r="N145" i="42761"/>
  <c r="V145" i="42761" s="1"/>
  <c r="M127" i="42761"/>
  <c r="U127" i="42761" s="1"/>
  <c r="M106" i="42761"/>
  <c r="U106" i="42761" s="1"/>
  <c r="N127" i="42761"/>
  <c r="V127" i="42761" s="1"/>
  <c r="W127" i="42761" s="1"/>
  <c r="N106" i="42761"/>
  <c r="V106" i="42761" s="1"/>
  <c r="W106" i="42761" s="1"/>
  <c r="M60" i="42761"/>
  <c r="U60" i="42761" s="1"/>
  <c r="M22" i="42761"/>
  <c r="U22" i="42761" s="1"/>
  <c r="N60" i="42761"/>
  <c r="V60" i="42761" s="1"/>
  <c r="W60" i="42761" s="1"/>
  <c r="N22" i="42761"/>
  <c r="V22" i="42761" s="1"/>
  <c r="W22" i="42761" s="1"/>
  <c r="H31" i="42760"/>
  <c r="H32" i="42760"/>
  <c r="G19" i="42760"/>
  <c r="E19" i="42760" s="1"/>
  <c r="G18" i="42760"/>
  <c r="E18" i="42760" s="1"/>
  <c r="G17" i="42760"/>
  <c r="E17" i="42760" s="1"/>
  <c r="N256" i="42761"/>
  <c r="V256" i="42761" s="1"/>
  <c r="M256" i="42761"/>
  <c r="U256" i="42761" s="1"/>
  <c r="N251" i="42761"/>
  <c r="V251" i="42761" s="1"/>
  <c r="N238" i="42761"/>
  <c r="V238" i="42761" s="1"/>
  <c r="M251" i="42761"/>
  <c r="U251" i="42761" s="1"/>
  <c r="M238" i="42761"/>
  <c r="U238" i="42761" s="1"/>
  <c r="M231" i="42761"/>
  <c r="U231" i="42761" s="1"/>
  <c r="M221" i="42761"/>
  <c r="U221" i="42761" s="1"/>
  <c r="N231" i="42761"/>
  <c r="V231" i="42761" s="1"/>
  <c r="W231" i="42761" s="1"/>
  <c r="N221" i="42761"/>
  <c r="V221" i="42761" s="1"/>
  <c r="W221" i="42761" s="1"/>
  <c r="M205" i="42761"/>
  <c r="U205" i="42761" s="1"/>
  <c r="M193" i="42761"/>
  <c r="U193" i="42761" s="1"/>
  <c r="M184" i="42761"/>
  <c r="U184" i="42761" s="1"/>
  <c r="M176" i="42761"/>
  <c r="U176" i="42761" s="1"/>
  <c r="N205" i="42761"/>
  <c r="V205" i="42761" s="1"/>
  <c r="W205" i="42761" s="1"/>
  <c r="N193" i="42761"/>
  <c r="V193" i="42761" s="1"/>
  <c r="W193" i="42761" s="1"/>
  <c r="N184" i="42761"/>
  <c r="V184" i="42761" s="1"/>
  <c r="W184" i="42761" s="1"/>
  <c r="N176" i="42761"/>
  <c r="V176" i="42761" s="1"/>
  <c r="W176" i="42761" s="1"/>
  <c r="M163" i="42761"/>
  <c r="U163" i="42761" s="1"/>
  <c r="M158" i="42761"/>
  <c r="U158" i="42761" s="1"/>
  <c r="M147" i="42761"/>
  <c r="U147" i="42761" s="1"/>
  <c r="N163" i="42761"/>
  <c r="V163" i="42761" s="1"/>
  <c r="W163" i="42761" s="1"/>
  <c r="N158" i="42761"/>
  <c r="V158" i="42761" s="1"/>
  <c r="N147" i="42761"/>
  <c r="V147" i="42761" s="1"/>
  <c r="W147" i="42761" s="1"/>
  <c r="M129" i="42761"/>
  <c r="U129" i="42761" s="1"/>
  <c r="M108" i="42761"/>
  <c r="U108" i="42761" s="1"/>
  <c r="M93" i="42761"/>
  <c r="U93" i="42761" s="1"/>
  <c r="M79" i="42761"/>
  <c r="U79" i="42761" s="1"/>
  <c r="M62" i="42761"/>
  <c r="U62" i="42761" s="1"/>
  <c r="N129" i="42761"/>
  <c r="V129" i="42761" s="1"/>
  <c r="W129" i="42761" s="1"/>
  <c r="N108" i="42761"/>
  <c r="V108" i="42761" s="1"/>
  <c r="N93" i="42761"/>
  <c r="V93" i="42761" s="1"/>
  <c r="W93" i="42761" s="1"/>
  <c r="N79" i="42761"/>
  <c r="V79" i="42761" s="1"/>
  <c r="N62" i="42761"/>
  <c r="V62" i="42761" s="1"/>
  <c r="W62" i="42761" s="1"/>
  <c r="M261" i="42761"/>
  <c r="U261" i="42761" s="1"/>
  <c r="N261" i="42761"/>
  <c r="V261" i="42761" s="1"/>
  <c r="W261" i="42761" s="1"/>
  <c r="N242" i="42761"/>
  <c r="V242" i="42761" s="1"/>
  <c r="N237" i="42761"/>
  <c r="V237" i="42761" s="1"/>
  <c r="W237" i="42761" s="1"/>
  <c r="N234" i="42761"/>
  <c r="V234" i="42761" s="1"/>
  <c r="M242" i="42761"/>
  <c r="U242" i="42761" s="1"/>
  <c r="M237" i="42761"/>
  <c r="U237" i="42761" s="1"/>
  <c r="M234" i="42761"/>
  <c r="U234" i="42761" s="1"/>
  <c r="M210" i="42761"/>
  <c r="U210" i="42761" s="1"/>
  <c r="M198" i="42761"/>
  <c r="U198" i="42761" s="1"/>
  <c r="N210" i="42761"/>
  <c r="V210" i="42761" s="1"/>
  <c r="W210" i="42761" s="1"/>
  <c r="N198" i="42761"/>
  <c r="V198" i="42761" s="1"/>
  <c r="W198" i="42761" s="1"/>
  <c r="C30" i="42762"/>
  <c r="N246" i="42761"/>
  <c r="V246" i="42761" s="1"/>
  <c r="M246" i="42761"/>
  <c r="U246" i="42761" s="1"/>
  <c r="M215" i="42761"/>
  <c r="U215" i="42761" s="1"/>
  <c r="M200" i="42761"/>
  <c r="U200" i="42761" s="1"/>
  <c r="N215" i="42761"/>
  <c r="V215" i="42761" s="1"/>
  <c r="W215" i="42761" s="1"/>
  <c r="N200" i="42761"/>
  <c r="V200" i="42761" s="1"/>
  <c r="W200" i="42761" s="1"/>
  <c r="M152" i="42761"/>
  <c r="U152" i="42761" s="1"/>
  <c r="M141" i="42761"/>
  <c r="U141" i="42761" s="1"/>
  <c r="N152" i="42761"/>
  <c r="V152" i="42761" s="1"/>
  <c r="W152" i="42761" s="1"/>
  <c r="N141" i="42761"/>
  <c r="V141" i="42761" s="1"/>
  <c r="W141" i="42761" s="1"/>
  <c r="M123" i="42761"/>
  <c r="U123" i="42761" s="1"/>
  <c r="M112" i="42761"/>
  <c r="U112" i="42761" s="1"/>
  <c r="M102" i="42761"/>
  <c r="U102" i="42761" s="1"/>
  <c r="N123" i="42761"/>
  <c r="V123" i="42761" s="1"/>
  <c r="W123" i="42761" s="1"/>
  <c r="N112" i="42761"/>
  <c r="V112" i="42761" s="1"/>
  <c r="N102" i="42761"/>
  <c r="V102" i="42761" s="1"/>
  <c r="W102" i="42761" s="1"/>
  <c r="M56" i="42761"/>
  <c r="U56" i="42761" s="1"/>
  <c r="M18" i="42761"/>
  <c r="U18" i="42761" s="1"/>
  <c r="N56" i="42761"/>
  <c r="V56" i="42761" s="1"/>
  <c r="W56" i="42761" s="1"/>
  <c r="N18" i="42761"/>
  <c r="V18" i="42761" s="1"/>
  <c r="N257" i="42761"/>
  <c r="V257" i="42761" s="1"/>
  <c r="M257" i="42761"/>
  <c r="U257" i="42761" s="1"/>
  <c r="M228" i="42761"/>
  <c r="U228" i="42761" s="1"/>
  <c r="M223" i="42761"/>
  <c r="U223" i="42761" s="1"/>
  <c r="N228" i="42761"/>
  <c r="V228" i="42761" s="1"/>
  <c r="W228" i="42761" s="1"/>
  <c r="N223" i="42761"/>
  <c r="V223" i="42761" s="1"/>
  <c r="W223" i="42761" s="1"/>
  <c r="M207" i="42761"/>
  <c r="U207" i="42761" s="1"/>
  <c r="M195" i="42761"/>
  <c r="U195" i="42761" s="1"/>
  <c r="M185" i="42761"/>
  <c r="U185" i="42761" s="1"/>
  <c r="M178" i="42761"/>
  <c r="U178" i="42761" s="1"/>
  <c r="N207" i="42761"/>
  <c r="V207" i="42761" s="1"/>
  <c r="W207" i="42761" s="1"/>
  <c r="N195" i="42761"/>
  <c r="V195" i="42761" s="1"/>
  <c r="W195" i="42761" s="1"/>
  <c r="N185" i="42761"/>
  <c r="V185" i="42761" s="1"/>
  <c r="W185" i="42761" s="1"/>
  <c r="N178" i="42761"/>
  <c r="V178" i="42761" s="1"/>
  <c r="W178" i="42761" s="1"/>
  <c r="M165" i="42761"/>
  <c r="U165" i="42761" s="1"/>
  <c r="M159" i="42761"/>
  <c r="U159" i="42761" s="1"/>
  <c r="M148" i="42761"/>
  <c r="U148" i="42761" s="1"/>
  <c r="N165" i="42761"/>
  <c r="V165" i="42761" s="1"/>
  <c r="W165" i="42761" s="1"/>
  <c r="N159" i="42761"/>
  <c r="V159" i="42761" s="1"/>
  <c r="N148" i="42761"/>
  <c r="V148" i="42761" s="1"/>
  <c r="W148" i="42761" s="1"/>
  <c r="M131" i="42761"/>
  <c r="U131" i="42761" s="1"/>
  <c r="M64" i="42761"/>
  <c r="U64" i="42761" s="1"/>
  <c r="N131" i="42761"/>
  <c r="V131" i="42761" s="1"/>
  <c r="W131" i="42761" s="1"/>
  <c r="N64" i="42761"/>
  <c r="V64" i="42761" s="1"/>
  <c r="W64" i="42761" s="1"/>
  <c r="G14" i="42760"/>
  <c r="E14" i="42760" s="1"/>
  <c r="G13" i="42760"/>
  <c r="E13" i="42760" s="1"/>
  <c r="G12" i="42760"/>
  <c r="E12" i="42760" s="1"/>
  <c r="G11" i="42760"/>
  <c r="E11" i="42760" s="1"/>
  <c r="G10" i="42760"/>
  <c r="E10" i="42760" s="1"/>
  <c r="G9" i="42760"/>
  <c r="E9" i="42760" s="1"/>
  <c r="J171" i="42761" s="1"/>
  <c r="P171" i="42761" s="1"/>
  <c r="N254" i="42761"/>
  <c r="V254" i="42761" s="1"/>
  <c r="M254" i="42761"/>
  <c r="U254" i="42761" s="1"/>
  <c r="N248" i="42761"/>
  <c r="V248" i="42761" s="1"/>
  <c r="M248" i="42761"/>
  <c r="U248" i="42761" s="1"/>
  <c r="M225" i="42761"/>
  <c r="U225" i="42761" s="1"/>
  <c r="M217" i="42761"/>
  <c r="U217" i="42761" s="1"/>
  <c r="N225" i="42761"/>
  <c r="V225" i="42761" s="1"/>
  <c r="W225" i="42761" s="1"/>
  <c r="N217" i="42761"/>
  <c r="V217" i="42761" s="1"/>
  <c r="W217" i="42761" s="1"/>
  <c r="M201" i="42761"/>
  <c r="U201" i="42761" s="1"/>
  <c r="M189" i="42761"/>
  <c r="U189" i="42761" s="1"/>
  <c r="N201" i="42761"/>
  <c r="V201" i="42761" s="1"/>
  <c r="W201" i="42761" s="1"/>
  <c r="N189" i="42761"/>
  <c r="V189" i="42761" s="1"/>
  <c r="W189" i="42761" s="1"/>
  <c r="M172" i="42761"/>
  <c r="U172" i="42761" s="1"/>
  <c r="M154" i="42761"/>
  <c r="U154" i="42761" s="1"/>
  <c r="M143" i="42761"/>
  <c r="U143" i="42761" s="1"/>
  <c r="N172" i="42761"/>
  <c r="V172" i="42761" s="1"/>
  <c r="W172" i="42761" s="1"/>
  <c r="N154" i="42761"/>
  <c r="V154" i="42761" s="1"/>
  <c r="N143" i="42761"/>
  <c r="V143" i="42761" s="1"/>
  <c r="W143" i="42761" s="1"/>
  <c r="M125" i="42761"/>
  <c r="U125" i="42761" s="1"/>
  <c r="M104" i="42761"/>
  <c r="U104" i="42761" s="1"/>
  <c r="M90" i="42761"/>
  <c r="U90" i="42761" s="1"/>
  <c r="M85" i="42761"/>
  <c r="U85" i="42761" s="1"/>
  <c r="N125" i="42761"/>
  <c r="V125" i="42761" s="1"/>
  <c r="W125" i="42761" s="1"/>
  <c r="N104" i="42761"/>
  <c r="V104" i="42761" s="1"/>
  <c r="W104" i="42761" s="1"/>
  <c r="N90" i="42761"/>
  <c r="V90" i="42761" s="1"/>
  <c r="W90" i="42761" s="1"/>
  <c r="N85" i="42761"/>
  <c r="V85" i="42761" s="1"/>
  <c r="W85" i="42761" s="1"/>
  <c r="M58" i="42761"/>
  <c r="U58" i="42761" s="1"/>
  <c r="M41" i="42761"/>
  <c r="U41" i="42761" s="1"/>
  <c r="M20" i="42761"/>
  <c r="U20" i="42761" s="1"/>
  <c r="N58" i="42761"/>
  <c r="V58" i="42761" s="1"/>
  <c r="W58" i="42761" s="1"/>
  <c r="N41" i="42761"/>
  <c r="V41" i="42761" s="1"/>
  <c r="N20" i="42761"/>
  <c r="V20" i="42761" s="1"/>
  <c r="W20" i="42761" s="1"/>
  <c r="N259" i="42761"/>
  <c r="V259" i="42761" s="1"/>
  <c r="M259" i="42761"/>
  <c r="U259" i="42761" s="1"/>
  <c r="N240" i="42761"/>
  <c r="V240" i="42761" s="1"/>
  <c r="M240" i="42761"/>
  <c r="U240" i="42761" s="1"/>
  <c r="M133" i="42761"/>
  <c r="U133" i="42761" s="1"/>
  <c r="N133" i="42761"/>
  <c r="V133" i="42761" s="1"/>
  <c r="W133" i="42761" s="1"/>
  <c r="H262" i="42761"/>
  <c r="H263" i="42761" s="1"/>
  <c r="B20" i="42762"/>
  <c r="C19" i="42762"/>
  <c r="D8" i="42762"/>
  <c r="D9" i="42762"/>
  <c r="T243" i="42761"/>
  <c r="T244" i="42761"/>
  <c r="G12" i="42762" s="1"/>
  <c r="T119" i="42761"/>
  <c r="T120" i="42761"/>
  <c r="T262" i="42761" s="1"/>
  <c r="G8" i="42762"/>
  <c r="R262" i="42761"/>
  <c r="D11" i="42762"/>
  <c r="D14" i="42762"/>
  <c r="E16" i="42762"/>
  <c r="W253" i="42761"/>
  <c r="D17" i="42762"/>
  <c r="D16" i="42760"/>
  <c r="B16" i="42760" s="1"/>
  <c r="D15" i="42760"/>
  <c r="B15" i="42760" s="1"/>
  <c r="N247" i="42761"/>
  <c r="V247" i="42761" s="1"/>
  <c r="M247" i="42761"/>
  <c r="U247" i="42761" s="1"/>
  <c r="M216" i="42761"/>
  <c r="U216" i="42761" s="1"/>
  <c r="N216" i="42761"/>
  <c r="V216" i="42761" s="1"/>
  <c r="W216" i="42761" s="1"/>
  <c r="M160" i="42761"/>
  <c r="U160" i="42761" s="1"/>
  <c r="M153" i="42761"/>
  <c r="U153" i="42761" s="1"/>
  <c r="M142" i="42761"/>
  <c r="U142" i="42761" s="1"/>
  <c r="N160" i="42761"/>
  <c r="V160" i="42761" s="1"/>
  <c r="W160" i="42761" s="1"/>
  <c r="N153" i="42761"/>
  <c r="V153" i="42761" s="1"/>
  <c r="N142" i="42761"/>
  <c r="V142" i="42761" s="1"/>
  <c r="W142" i="42761" s="1"/>
  <c r="M136" i="42761"/>
  <c r="U136" i="42761" s="1"/>
  <c r="M124" i="42761"/>
  <c r="U124" i="42761" s="1"/>
  <c r="M103" i="42761"/>
  <c r="U103" i="42761" s="1"/>
  <c r="M77" i="42761"/>
  <c r="U77" i="42761" s="1"/>
  <c r="N136" i="42761"/>
  <c r="V136" i="42761" s="1"/>
  <c r="W136" i="42761" s="1"/>
  <c r="N124" i="42761"/>
  <c r="V124" i="42761" s="1"/>
  <c r="W124" i="42761" s="1"/>
  <c r="N103" i="42761"/>
  <c r="V103" i="42761" s="1"/>
  <c r="W103" i="42761" s="1"/>
  <c r="N77" i="42761"/>
  <c r="V77" i="42761" s="1"/>
  <c r="W77" i="42761" s="1"/>
  <c r="M57" i="42761"/>
  <c r="U57" i="42761" s="1"/>
  <c r="M19" i="42761"/>
  <c r="U19" i="42761" s="1"/>
  <c r="N57" i="42761"/>
  <c r="V57" i="42761" s="1"/>
  <c r="W57" i="42761" s="1"/>
  <c r="N19" i="42761"/>
  <c r="V19" i="42761" s="1"/>
  <c r="W19" i="42761" s="1"/>
  <c r="M227" i="42761"/>
  <c r="U227" i="42761" s="1"/>
  <c r="M220" i="42761"/>
  <c r="U220" i="42761" s="1"/>
  <c r="N227" i="42761"/>
  <c r="V227" i="42761" s="1"/>
  <c r="W227" i="42761" s="1"/>
  <c r="N220" i="42761"/>
  <c r="V220" i="42761" s="1"/>
  <c r="W220" i="42761" s="1"/>
  <c r="M204" i="42761"/>
  <c r="U204" i="42761" s="1"/>
  <c r="M192" i="42761"/>
  <c r="U192" i="42761" s="1"/>
  <c r="M183" i="42761"/>
  <c r="U183" i="42761" s="1"/>
  <c r="M175" i="42761"/>
  <c r="U175" i="42761" s="1"/>
  <c r="N204" i="42761"/>
  <c r="V204" i="42761" s="1"/>
  <c r="W204" i="42761" s="1"/>
  <c r="N192" i="42761"/>
  <c r="V192" i="42761" s="1"/>
  <c r="W192" i="42761" s="1"/>
  <c r="N183" i="42761"/>
  <c r="V183" i="42761" s="1"/>
  <c r="W183" i="42761" s="1"/>
  <c r="N175" i="42761"/>
  <c r="V175" i="42761" s="1"/>
  <c r="W175" i="42761" s="1"/>
  <c r="M162" i="42761"/>
  <c r="U162" i="42761" s="1"/>
  <c r="M157" i="42761"/>
  <c r="U157" i="42761" s="1"/>
  <c r="M146" i="42761"/>
  <c r="U146" i="42761" s="1"/>
  <c r="N162" i="42761"/>
  <c r="V162" i="42761" s="1"/>
  <c r="W162" i="42761" s="1"/>
  <c r="N157" i="42761"/>
  <c r="V157" i="42761" s="1"/>
  <c r="N146" i="42761"/>
  <c r="V146" i="42761" s="1"/>
  <c r="W146" i="42761" s="1"/>
  <c r="M138" i="42761"/>
  <c r="U138" i="42761" s="1"/>
  <c r="M128" i="42761"/>
  <c r="U128" i="42761" s="1"/>
  <c r="M107" i="42761"/>
  <c r="U107" i="42761" s="1"/>
  <c r="M92" i="42761"/>
  <c r="U92" i="42761" s="1"/>
  <c r="M78" i="42761"/>
  <c r="U78" i="42761" s="1"/>
  <c r="N138" i="42761"/>
  <c r="V138" i="42761" s="1"/>
  <c r="W138" i="42761" s="1"/>
  <c r="N128" i="42761"/>
  <c r="V128" i="42761" s="1"/>
  <c r="N107" i="42761"/>
  <c r="V107" i="42761" s="1"/>
  <c r="W107" i="42761" s="1"/>
  <c r="N92" i="42761"/>
  <c r="V92" i="42761" s="1"/>
  <c r="N78" i="42761"/>
  <c r="V78" i="42761" s="1"/>
  <c r="W78" i="42761" s="1"/>
  <c r="M61" i="42761"/>
  <c r="U61" i="42761" s="1"/>
  <c r="N61" i="42761"/>
  <c r="V61" i="42761" s="1"/>
  <c r="W61" i="42761" s="1"/>
  <c r="N258" i="42761"/>
  <c r="V258" i="42761" s="1"/>
  <c r="M258" i="42761"/>
  <c r="U258" i="42761" s="1"/>
  <c r="M252" i="42761"/>
  <c r="U252" i="42761" s="1"/>
  <c r="N239" i="42761"/>
  <c r="V239" i="42761" s="1"/>
  <c r="W239" i="42761" s="1"/>
  <c r="N232" i="42761"/>
  <c r="V232" i="42761" s="1"/>
  <c r="N252" i="42761"/>
  <c r="V252" i="42761" s="1"/>
  <c r="W252" i="42761" s="1"/>
  <c r="M239" i="42761"/>
  <c r="U239" i="42761" s="1"/>
  <c r="M232" i="42761"/>
  <c r="U232" i="42761" s="1"/>
  <c r="M229" i="42761"/>
  <c r="U229" i="42761" s="1"/>
  <c r="M224" i="42761"/>
  <c r="U224" i="42761" s="1"/>
  <c r="N229" i="42761"/>
  <c r="V229" i="42761" s="1"/>
  <c r="W229" i="42761" s="1"/>
  <c r="N224" i="42761"/>
  <c r="V224" i="42761" s="1"/>
  <c r="W224" i="42761" s="1"/>
  <c r="M208" i="42761"/>
  <c r="U208" i="42761" s="1"/>
  <c r="M196" i="42761"/>
  <c r="U196" i="42761" s="1"/>
  <c r="M186" i="42761"/>
  <c r="U186" i="42761" s="1"/>
  <c r="M179" i="42761"/>
  <c r="U179" i="42761" s="1"/>
  <c r="N208" i="42761"/>
  <c r="V208" i="42761" s="1"/>
  <c r="W208" i="42761" s="1"/>
  <c r="N196" i="42761"/>
  <c r="V196" i="42761" s="1"/>
  <c r="W196" i="42761" s="1"/>
  <c r="N186" i="42761"/>
  <c r="V186" i="42761" s="1"/>
  <c r="W186" i="42761" s="1"/>
  <c r="N179" i="42761"/>
  <c r="V179" i="42761" s="1"/>
  <c r="W179" i="42761" s="1"/>
  <c r="M166" i="42761"/>
  <c r="U166" i="42761" s="1"/>
  <c r="M149" i="42761"/>
  <c r="U149" i="42761" s="1"/>
  <c r="N166" i="42761"/>
  <c r="V166" i="42761" s="1"/>
  <c r="W166" i="42761" s="1"/>
  <c r="N149" i="42761"/>
  <c r="V149" i="42761" s="1"/>
  <c r="W149" i="42761" s="1"/>
  <c r="M132" i="42761"/>
  <c r="U132" i="42761" s="1"/>
  <c r="M109" i="42761"/>
  <c r="U109" i="42761" s="1"/>
  <c r="M65" i="42761"/>
  <c r="U65" i="42761" s="1"/>
  <c r="N132" i="42761"/>
  <c r="V132" i="42761" s="1"/>
  <c r="W132" i="42761" s="1"/>
  <c r="N109" i="42761"/>
  <c r="V109" i="42761" s="1"/>
  <c r="N65" i="42761"/>
  <c r="V65" i="42761" s="1"/>
  <c r="W65" i="42761" s="1"/>
  <c r="S262" i="42761"/>
  <c r="G9" i="42762"/>
  <c r="D12" i="42762"/>
  <c r="E17" i="42762"/>
  <c r="W51" i="42761"/>
  <c r="G14" i="42762"/>
  <c r="G13" i="42762"/>
  <c r="D10" i="42762"/>
  <c r="D13" i="42762"/>
  <c r="D16" i="42762"/>
  <c r="T254" i="42761"/>
  <c r="T258" i="42761"/>
  <c r="G18" i="42762" s="1"/>
  <c r="D14" i="42760"/>
  <c r="B14" i="42760" s="1"/>
  <c r="D13" i="42760"/>
  <c r="B13" i="42760" s="1"/>
  <c r="D12" i="42760"/>
  <c r="B12" i="42760" s="1"/>
  <c r="D11" i="42760"/>
  <c r="B11" i="42760" s="1"/>
  <c r="D10" i="42760"/>
  <c r="B10" i="42760" s="1"/>
  <c r="D9" i="42760"/>
  <c r="B9" i="42760" s="1"/>
  <c r="I171" i="42761" s="1"/>
  <c r="O171" i="42761" s="1"/>
  <c r="D19" i="42760"/>
  <c r="B19" i="42760" s="1"/>
  <c r="D18" i="42760"/>
  <c r="B18" i="42760" s="1"/>
  <c r="D17" i="42760"/>
  <c r="B17" i="42760" s="1"/>
  <c r="N255" i="42761"/>
  <c r="V255" i="42761" s="1"/>
  <c r="W255" i="42761" s="1"/>
  <c r="M255" i="42761"/>
  <c r="U255" i="42761" s="1"/>
  <c r="N249" i="42761"/>
  <c r="V249" i="42761" s="1"/>
  <c r="W249" i="42761" s="1"/>
  <c r="M249" i="42761"/>
  <c r="U249" i="42761" s="1"/>
  <c r="M230" i="42761"/>
  <c r="U230" i="42761" s="1"/>
  <c r="M226" i="42761"/>
  <c r="U226" i="42761" s="1"/>
  <c r="M218" i="42761"/>
  <c r="U218" i="42761" s="1"/>
  <c r="N230" i="42761"/>
  <c r="V230" i="42761" s="1"/>
  <c r="N226" i="42761"/>
  <c r="V226" i="42761" s="1"/>
  <c r="W226" i="42761" s="1"/>
  <c r="N218" i="42761"/>
  <c r="V218" i="42761" s="1"/>
  <c r="M202" i="42761"/>
  <c r="U202" i="42761" s="1"/>
  <c r="M190" i="42761"/>
  <c r="U190" i="42761" s="1"/>
  <c r="M181" i="42761"/>
  <c r="U181" i="42761" s="1"/>
  <c r="N202" i="42761"/>
  <c r="V202" i="42761" s="1"/>
  <c r="N190" i="42761"/>
  <c r="V190" i="42761" s="1"/>
  <c r="W190" i="42761" s="1"/>
  <c r="N181" i="42761"/>
  <c r="V181" i="42761" s="1"/>
  <c r="M173" i="42761"/>
  <c r="U173" i="42761" s="1"/>
  <c r="M161" i="42761"/>
  <c r="U161" i="42761" s="1"/>
  <c r="M155" i="42761"/>
  <c r="U155" i="42761" s="1"/>
  <c r="M144" i="42761"/>
  <c r="U144" i="42761" s="1"/>
  <c r="N173" i="42761"/>
  <c r="V173" i="42761" s="1"/>
  <c r="W173" i="42761" s="1"/>
  <c r="N161" i="42761"/>
  <c r="V161" i="42761" s="1"/>
  <c r="W161" i="42761" s="1"/>
  <c r="N155" i="42761"/>
  <c r="V155" i="42761" s="1"/>
  <c r="W155" i="42761" s="1"/>
  <c r="N144" i="42761"/>
  <c r="V144" i="42761" s="1"/>
  <c r="W144" i="42761" s="1"/>
  <c r="M137" i="42761"/>
  <c r="U137" i="42761" s="1"/>
  <c r="M126" i="42761"/>
  <c r="U126" i="42761" s="1"/>
  <c r="M105" i="42761"/>
  <c r="U105" i="42761" s="1"/>
  <c r="M91" i="42761"/>
  <c r="U91" i="42761" s="1"/>
  <c r="M86" i="42761"/>
  <c r="U86" i="42761" s="1"/>
  <c r="N137" i="42761"/>
  <c r="V137" i="42761" s="1"/>
  <c r="N126" i="42761"/>
  <c r="V126" i="42761" s="1"/>
  <c r="W126" i="42761" s="1"/>
  <c r="N105" i="42761"/>
  <c r="V105" i="42761" s="1"/>
  <c r="N91" i="42761"/>
  <c r="V91" i="42761" s="1"/>
  <c r="W91" i="42761" s="1"/>
  <c r="N86" i="42761"/>
  <c r="V86" i="42761" s="1"/>
  <c r="M59" i="42761"/>
  <c r="U59" i="42761" s="1"/>
  <c r="M21" i="42761"/>
  <c r="U21" i="42761" s="1"/>
  <c r="N59" i="42761"/>
  <c r="V59" i="42761" s="1"/>
  <c r="W59" i="42761" s="1"/>
  <c r="N21" i="42761"/>
  <c r="V21" i="42761" s="1"/>
  <c r="W21" i="42761" s="1"/>
  <c r="M222" i="42761"/>
  <c r="U222" i="42761" s="1"/>
  <c r="N222" i="42761"/>
  <c r="V222" i="42761" s="1"/>
  <c r="M206" i="42761"/>
  <c r="U206" i="42761" s="1"/>
  <c r="M194" i="42761"/>
  <c r="U194" i="42761" s="1"/>
  <c r="M177" i="42761"/>
  <c r="U177" i="42761" s="1"/>
  <c r="N206" i="42761"/>
  <c r="V206" i="42761" s="1"/>
  <c r="N194" i="42761"/>
  <c r="V194" i="42761" s="1"/>
  <c r="W194" i="42761" s="1"/>
  <c r="N177" i="42761"/>
  <c r="V177" i="42761" s="1"/>
  <c r="M164" i="42761"/>
  <c r="U164" i="42761" s="1"/>
  <c r="N164" i="42761"/>
  <c r="V164" i="42761" s="1"/>
  <c r="M130" i="42761"/>
  <c r="U130" i="42761" s="1"/>
  <c r="M63" i="42761"/>
  <c r="U63" i="42761" s="1"/>
  <c r="N130" i="42761"/>
  <c r="V130" i="42761" s="1"/>
  <c r="W130" i="42761" s="1"/>
  <c r="N63" i="42761"/>
  <c r="V63" i="42761" s="1"/>
  <c r="W63" i="42761" s="1"/>
  <c r="D38" i="42769" l="1"/>
  <c r="L38" i="42769" s="1"/>
  <c r="L37" i="42769"/>
  <c r="F18" i="42766"/>
  <c r="D19" i="42765"/>
  <c r="D21" i="42765" s="1"/>
  <c r="D59" i="42765"/>
  <c r="D11" i="42765"/>
  <c r="D34" i="42769"/>
  <c r="L19" i="42769"/>
  <c r="D14" i="42765"/>
  <c r="F14" i="42766"/>
  <c r="D47" i="42769"/>
  <c r="L46" i="42769"/>
  <c r="E20" i="42766"/>
  <c r="H31" i="42769"/>
  <c r="G31" i="42769"/>
  <c r="F31" i="42769"/>
  <c r="J31" i="42769"/>
  <c r="I31" i="42769"/>
  <c r="E31" i="42769"/>
  <c r="L31" i="42769" s="1"/>
  <c r="K31" i="42769"/>
  <c r="J22" i="42764"/>
  <c r="J38" i="42764"/>
  <c r="J39" i="42764" s="1"/>
  <c r="O15" i="42764"/>
  <c r="O21" i="42764"/>
  <c r="G22" i="42764"/>
  <c r="D22" i="42764" s="1"/>
  <c r="O22" i="42764" s="1"/>
  <c r="O19" i="42764"/>
  <c r="C31" i="42762"/>
  <c r="C28" i="42762"/>
  <c r="I213" i="42761"/>
  <c r="O213" i="42761" s="1"/>
  <c r="I121" i="42761"/>
  <c r="O121" i="42761" s="1"/>
  <c r="I100" i="42761"/>
  <c r="O100" i="42761" s="1"/>
  <c r="I54" i="42761"/>
  <c r="O54" i="42761" s="1"/>
  <c r="I45" i="42761"/>
  <c r="O45" i="42761" s="1"/>
  <c r="I16" i="42761"/>
  <c r="O16" i="42761" s="1"/>
  <c r="I116" i="42761"/>
  <c r="O116" i="42761" s="1"/>
  <c r="I95" i="42761"/>
  <c r="O95" i="42761" s="1"/>
  <c r="I73" i="42761"/>
  <c r="O73" i="42761" s="1"/>
  <c r="I48" i="42761"/>
  <c r="O48" i="42761" s="1"/>
  <c r="I35" i="42761"/>
  <c r="O35" i="42761" s="1"/>
  <c r="I24" i="42761"/>
  <c r="O24" i="42761" s="1"/>
  <c r="I9" i="42761"/>
  <c r="O9" i="42761" s="1"/>
  <c r="I243" i="42761"/>
  <c r="O243" i="42761" s="1"/>
  <c r="I211" i="42761"/>
  <c r="O211" i="42761" s="1"/>
  <c r="I169" i="42761"/>
  <c r="O169" i="42761" s="1"/>
  <c r="I117" i="42761"/>
  <c r="O117" i="42761" s="1"/>
  <c r="I96" i="42761"/>
  <c r="O96" i="42761" s="1"/>
  <c r="I87" i="42761"/>
  <c r="O87" i="42761" s="1"/>
  <c r="I81" i="42761"/>
  <c r="O81" i="42761" s="1"/>
  <c r="I74" i="42761"/>
  <c r="O74" i="42761" s="1"/>
  <c r="I69" i="42761"/>
  <c r="O69" i="42761" s="1"/>
  <c r="I49" i="42761"/>
  <c r="O49" i="42761" s="1"/>
  <c r="I43" i="42761"/>
  <c r="O43" i="42761" s="1"/>
  <c r="I37" i="42761"/>
  <c r="O37" i="42761" s="1"/>
  <c r="I30" i="42761"/>
  <c r="O30" i="42761" s="1"/>
  <c r="I25" i="42761"/>
  <c r="O25" i="42761" s="1"/>
  <c r="I11" i="42761"/>
  <c r="O11" i="42761" s="1"/>
  <c r="C26" i="42762"/>
  <c r="I51" i="42761"/>
  <c r="O51" i="42761" s="1"/>
  <c r="I13" i="42761"/>
  <c r="O13" i="42761" s="1"/>
  <c r="B30" i="42762"/>
  <c r="C25" i="42762"/>
  <c r="G10" i="42762"/>
  <c r="Q171" i="42761"/>
  <c r="J116" i="42761"/>
  <c r="P116" i="42761" s="1"/>
  <c r="Q116" i="42761" s="1"/>
  <c r="J95" i="42761"/>
  <c r="P95" i="42761" s="1"/>
  <c r="Q95" i="42761" s="1"/>
  <c r="J73" i="42761"/>
  <c r="P73" i="42761" s="1"/>
  <c r="Q73" i="42761" s="1"/>
  <c r="J48" i="42761"/>
  <c r="P48" i="42761" s="1"/>
  <c r="Q48" i="42761" s="1"/>
  <c r="J35" i="42761"/>
  <c r="P35" i="42761" s="1"/>
  <c r="Q35" i="42761" s="1"/>
  <c r="J24" i="42761"/>
  <c r="P24" i="42761" s="1"/>
  <c r="Q24" i="42761" s="1"/>
  <c r="J9" i="42761"/>
  <c r="P9" i="42761" s="1"/>
  <c r="Q9" i="42761" s="1"/>
  <c r="J243" i="42761"/>
  <c r="P243" i="42761" s="1"/>
  <c r="Q243" i="42761" s="1"/>
  <c r="J211" i="42761"/>
  <c r="P211" i="42761" s="1"/>
  <c r="Q211" i="42761" s="1"/>
  <c r="J169" i="42761"/>
  <c r="P169" i="42761" s="1"/>
  <c r="Q169" i="42761" s="1"/>
  <c r="J117" i="42761"/>
  <c r="P117" i="42761" s="1"/>
  <c r="Q117" i="42761" s="1"/>
  <c r="J96" i="42761"/>
  <c r="P96" i="42761" s="1"/>
  <c r="Q96" i="42761" s="1"/>
  <c r="J87" i="42761"/>
  <c r="P87" i="42761" s="1"/>
  <c r="Q87" i="42761" s="1"/>
  <c r="J81" i="42761"/>
  <c r="P81" i="42761" s="1"/>
  <c r="Q81" i="42761" s="1"/>
  <c r="J74" i="42761"/>
  <c r="P74" i="42761" s="1"/>
  <c r="Q74" i="42761" s="1"/>
  <c r="J69" i="42761"/>
  <c r="P69" i="42761" s="1"/>
  <c r="Q69" i="42761" s="1"/>
  <c r="J49" i="42761"/>
  <c r="P49" i="42761" s="1"/>
  <c r="Q49" i="42761" s="1"/>
  <c r="J43" i="42761"/>
  <c r="P43" i="42761" s="1"/>
  <c r="Q43" i="42761" s="1"/>
  <c r="J37" i="42761"/>
  <c r="P37" i="42761" s="1"/>
  <c r="Q37" i="42761" s="1"/>
  <c r="J30" i="42761"/>
  <c r="P30" i="42761" s="1"/>
  <c r="Q30" i="42761" s="1"/>
  <c r="J25" i="42761"/>
  <c r="P25" i="42761" s="1"/>
  <c r="Q25" i="42761" s="1"/>
  <c r="J11" i="42761"/>
  <c r="P11" i="42761" s="1"/>
  <c r="Q11" i="42761" s="1"/>
  <c r="W18" i="42761"/>
  <c r="W238" i="42761"/>
  <c r="J120" i="42761"/>
  <c r="P120" i="42761" s="1"/>
  <c r="J99" i="42761"/>
  <c r="P99" i="42761" s="1"/>
  <c r="J53" i="42761"/>
  <c r="P53" i="42761" s="1"/>
  <c r="J15" i="42761"/>
  <c r="P15" i="42761" s="1"/>
  <c r="J253" i="42761"/>
  <c r="P253" i="42761" s="1"/>
  <c r="J245" i="42761"/>
  <c r="P245" i="42761" s="1"/>
  <c r="J214" i="42761"/>
  <c r="P214" i="42761" s="1"/>
  <c r="J199" i="42761"/>
  <c r="P199" i="42761" s="1"/>
  <c r="J188" i="42761"/>
  <c r="P188" i="42761" s="1"/>
  <c r="J151" i="42761"/>
  <c r="P151" i="42761" s="1"/>
  <c r="J140" i="42761"/>
  <c r="P140" i="42761" s="1"/>
  <c r="J135" i="42761"/>
  <c r="P135" i="42761" s="1"/>
  <c r="J122" i="42761"/>
  <c r="P122" i="42761" s="1"/>
  <c r="J114" i="42761"/>
  <c r="P114" i="42761" s="1"/>
  <c r="J101" i="42761"/>
  <c r="P101" i="42761" s="1"/>
  <c r="J89" i="42761"/>
  <c r="P89" i="42761" s="1"/>
  <c r="J84" i="42761"/>
  <c r="P84" i="42761" s="1"/>
  <c r="J76" i="42761"/>
  <c r="P76" i="42761" s="1"/>
  <c r="J71" i="42761"/>
  <c r="P71" i="42761" s="1"/>
  <c r="J55" i="42761"/>
  <c r="P55" i="42761" s="1"/>
  <c r="J46" i="42761"/>
  <c r="P46" i="42761" s="1"/>
  <c r="J40" i="42761"/>
  <c r="P40" i="42761" s="1"/>
  <c r="J33" i="42761"/>
  <c r="P33" i="42761" s="1"/>
  <c r="J28" i="42761"/>
  <c r="P28" i="42761" s="1"/>
  <c r="J17" i="42761"/>
  <c r="P17" i="42761" s="1"/>
  <c r="N260" i="42761"/>
  <c r="V260" i="42761" s="1"/>
  <c r="W260" i="42761" s="1"/>
  <c r="M260" i="42761"/>
  <c r="U260" i="42761" s="1"/>
  <c r="N241" i="42761"/>
  <c r="V241" i="42761" s="1"/>
  <c r="N236" i="42761"/>
  <c r="V236" i="42761" s="1"/>
  <c r="N235" i="42761"/>
  <c r="V235" i="42761" s="1"/>
  <c r="N233" i="42761"/>
  <c r="V233" i="42761" s="1"/>
  <c r="M241" i="42761"/>
  <c r="U241" i="42761" s="1"/>
  <c r="M236" i="42761"/>
  <c r="U236" i="42761" s="1"/>
  <c r="M235" i="42761"/>
  <c r="U235" i="42761" s="1"/>
  <c r="M233" i="42761"/>
  <c r="U233" i="42761" s="1"/>
  <c r="M209" i="42761"/>
  <c r="U209" i="42761" s="1"/>
  <c r="M197" i="42761"/>
  <c r="U197" i="42761" s="1"/>
  <c r="M187" i="42761"/>
  <c r="U187" i="42761" s="1"/>
  <c r="M180" i="42761"/>
  <c r="U180" i="42761" s="1"/>
  <c r="N209" i="42761"/>
  <c r="V209" i="42761" s="1"/>
  <c r="W209" i="42761" s="1"/>
  <c r="N197" i="42761"/>
  <c r="V197" i="42761" s="1"/>
  <c r="W197" i="42761" s="1"/>
  <c r="I13" i="42762" s="1"/>
  <c r="N187" i="42761"/>
  <c r="V187" i="42761" s="1"/>
  <c r="W187" i="42761" s="1"/>
  <c r="N180" i="42761"/>
  <c r="V180" i="42761" s="1"/>
  <c r="W180" i="42761" s="1"/>
  <c r="M167" i="42761"/>
  <c r="U167" i="42761" s="1"/>
  <c r="M150" i="42761"/>
  <c r="U150" i="42761" s="1"/>
  <c r="N167" i="42761"/>
  <c r="V167" i="42761" s="1"/>
  <c r="W167" i="42761" s="1"/>
  <c r="N150" i="42761"/>
  <c r="V150" i="42761" s="1"/>
  <c r="W150" i="42761" s="1"/>
  <c r="M134" i="42761"/>
  <c r="U134" i="42761" s="1"/>
  <c r="M110" i="42761"/>
  <c r="U110" i="42761" s="1"/>
  <c r="M66" i="42761"/>
  <c r="U66" i="42761" s="1"/>
  <c r="U262" i="42761" s="1"/>
  <c r="N134" i="42761"/>
  <c r="V134" i="42761" s="1"/>
  <c r="N110" i="42761"/>
  <c r="V110" i="42761" s="1"/>
  <c r="W110" i="42761" s="1"/>
  <c r="N66" i="42761"/>
  <c r="V66" i="42761" s="1"/>
  <c r="J244" i="42761"/>
  <c r="P244" i="42761" s="1"/>
  <c r="J212" i="42761"/>
  <c r="P212" i="42761" s="1"/>
  <c r="J170" i="42761"/>
  <c r="P170" i="42761" s="1"/>
  <c r="J139" i="42761"/>
  <c r="P139" i="42761" s="1"/>
  <c r="J119" i="42761"/>
  <c r="P119" i="42761" s="1"/>
  <c r="J113" i="42761"/>
  <c r="P113" i="42761" s="1"/>
  <c r="J111" i="42761"/>
  <c r="P111" i="42761" s="1"/>
  <c r="J98" i="42761"/>
  <c r="P98" i="42761" s="1"/>
  <c r="J88" i="42761"/>
  <c r="P88" i="42761" s="1"/>
  <c r="J83" i="42761"/>
  <c r="P83" i="42761" s="1"/>
  <c r="J75" i="42761"/>
  <c r="P75" i="42761" s="1"/>
  <c r="J70" i="42761"/>
  <c r="P70" i="42761" s="1"/>
  <c r="J52" i="42761"/>
  <c r="P52" i="42761" s="1"/>
  <c r="J44" i="42761"/>
  <c r="P44" i="42761" s="1"/>
  <c r="J39" i="42761"/>
  <c r="P39" i="42761" s="1"/>
  <c r="J32" i="42761"/>
  <c r="P32" i="42761" s="1"/>
  <c r="J27" i="42761"/>
  <c r="P27" i="42761" s="1"/>
  <c r="J14" i="42761"/>
  <c r="P14" i="42761" s="1"/>
  <c r="W164" i="42761"/>
  <c r="W177" i="42761"/>
  <c r="W206" i="42761"/>
  <c r="W222" i="42761"/>
  <c r="W86" i="42761"/>
  <c r="W105" i="42761"/>
  <c r="W137" i="42761"/>
  <c r="W181" i="42761"/>
  <c r="W202" i="42761"/>
  <c r="W218" i="42761"/>
  <c r="W230" i="42761"/>
  <c r="I15" i="42762" s="1"/>
  <c r="I120" i="42761"/>
  <c r="O120" i="42761" s="1"/>
  <c r="I99" i="42761"/>
  <c r="O99" i="42761" s="1"/>
  <c r="I53" i="42761"/>
  <c r="O53" i="42761" s="1"/>
  <c r="I15" i="42761"/>
  <c r="O15" i="42761" s="1"/>
  <c r="I253" i="42761"/>
  <c r="O253" i="42761" s="1"/>
  <c r="I245" i="42761"/>
  <c r="O245" i="42761" s="1"/>
  <c r="I214" i="42761"/>
  <c r="O214" i="42761" s="1"/>
  <c r="I199" i="42761"/>
  <c r="O199" i="42761" s="1"/>
  <c r="I188" i="42761"/>
  <c r="O188" i="42761" s="1"/>
  <c r="I151" i="42761"/>
  <c r="O151" i="42761" s="1"/>
  <c r="I140" i="42761"/>
  <c r="O140" i="42761" s="1"/>
  <c r="I135" i="42761"/>
  <c r="O135" i="42761" s="1"/>
  <c r="I122" i="42761"/>
  <c r="O122" i="42761" s="1"/>
  <c r="I114" i="42761"/>
  <c r="O114" i="42761" s="1"/>
  <c r="I101" i="42761"/>
  <c r="O101" i="42761" s="1"/>
  <c r="I89" i="42761"/>
  <c r="O89" i="42761" s="1"/>
  <c r="I84" i="42761"/>
  <c r="O84" i="42761" s="1"/>
  <c r="I76" i="42761"/>
  <c r="O76" i="42761" s="1"/>
  <c r="I71" i="42761"/>
  <c r="O71" i="42761" s="1"/>
  <c r="I55" i="42761"/>
  <c r="O55" i="42761" s="1"/>
  <c r="I46" i="42761"/>
  <c r="O46" i="42761" s="1"/>
  <c r="I40" i="42761"/>
  <c r="O40" i="42761" s="1"/>
  <c r="I33" i="42761"/>
  <c r="O33" i="42761" s="1"/>
  <c r="I28" i="42761"/>
  <c r="O28" i="42761" s="1"/>
  <c r="I17" i="42761"/>
  <c r="O17" i="42761" s="1"/>
  <c r="I168" i="42761"/>
  <c r="O168" i="42761" s="1"/>
  <c r="I115" i="42761"/>
  <c r="O115" i="42761" s="1"/>
  <c r="I94" i="42761"/>
  <c r="O94" i="42761" s="1"/>
  <c r="I80" i="42761"/>
  <c r="O80" i="42761" s="1"/>
  <c r="I72" i="42761"/>
  <c r="O72" i="42761" s="1"/>
  <c r="I68" i="42761"/>
  <c r="O68" i="42761" s="1"/>
  <c r="I47" i="42761"/>
  <c r="O47" i="42761" s="1"/>
  <c r="I42" i="42761"/>
  <c r="O42" i="42761" s="1"/>
  <c r="I34" i="42761"/>
  <c r="O34" i="42761" s="1"/>
  <c r="I29" i="42761"/>
  <c r="O29" i="42761" s="1"/>
  <c r="I23" i="42761"/>
  <c r="O23" i="42761" s="1"/>
  <c r="I8" i="42761"/>
  <c r="O8" i="42761" s="1"/>
  <c r="I36" i="42761"/>
  <c r="O36" i="42761" s="1"/>
  <c r="I10" i="42761"/>
  <c r="O10" i="42761" s="1"/>
  <c r="I118" i="42761"/>
  <c r="O118" i="42761" s="1"/>
  <c r="I97" i="42761"/>
  <c r="O97" i="42761" s="1"/>
  <c r="I82" i="42761"/>
  <c r="O82" i="42761" s="1"/>
  <c r="I50" i="42761"/>
  <c r="O50" i="42761" s="1"/>
  <c r="I38" i="42761"/>
  <c r="O38" i="42761" s="1"/>
  <c r="I31" i="42761"/>
  <c r="O31" i="42761" s="1"/>
  <c r="I26" i="42761"/>
  <c r="O26" i="42761" s="1"/>
  <c r="I12" i="42761"/>
  <c r="O12" i="42761" s="1"/>
  <c r="C29" i="42762"/>
  <c r="W109" i="42761"/>
  <c r="W232" i="42761"/>
  <c r="W258" i="42761"/>
  <c r="W92" i="42761"/>
  <c r="W128" i="42761"/>
  <c r="W157" i="42761"/>
  <c r="W153" i="42761"/>
  <c r="W247" i="42761"/>
  <c r="I244" i="42761"/>
  <c r="O244" i="42761" s="1"/>
  <c r="I212" i="42761"/>
  <c r="O212" i="42761" s="1"/>
  <c r="I170" i="42761"/>
  <c r="O170" i="42761" s="1"/>
  <c r="I139" i="42761"/>
  <c r="O139" i="42761" s="1"/>
  <c r="I119" i="42761"/>
  <c r="O119" i="42761" s="1"/>
  <c r="I113" i="42761"/>
  <c r="O113" i="42761" s="1"/>
  <c r="I111" i="42761"/>
  <c r="O111" i="42761" s="1"/>
  <c r="I98" i="42761"/>
  <c r="O98" i="42761" s="1"/>
  <c r="I88" i="42761"/>
  <c r="O88" i="42761" s="1"/>
  <c r="I83" i="42761"/>
  <c r="O83" i="42761" s="1"/>
  <c r="I75" i="42761"/>
  <c r="O75" i="42761" s="1"/>
  <c r="I70" i="42761"/>
  <c r="O70" i="42761" s="1"/>
  <c r="I52" i="42761"/>
  <c r="O52" i="42761" s="1"/>
  <c r="I44" i="42761"/>
  <c r="O44" i="42761" s="1"/>
  <c r="I39" i="42761"/>
  <c r="O39" i="42761" s="1"/>
  <c r="I32" i="42761"/>
  <c r="O32" i="42761" s="1"/>
  <c r="I27" i="42761"/>
  <c r="O27" i="42761" s="1"/>
  <c r="I14" i="42761"/>
  <c r="O14" i="42761" s="1"/>
  <c r="C20" i="42762"/>
  <c r="D19" i="42762"/>
  <c r="D20" i="42762" s="1"/>
  <c r="W240" i="42761"/>
  <c r="W259" i="42761"/>
  <c r="W41" i="42761"/>
  <c r="W154" i="42761"/>
  <c r="W248" i="42761"/>
  <c r="W254" i="42761"/>
  <c r="J168" i="42761"/>
  <c r="P168" i="42761" s="1"/>
  <c r="J115" i="42761"/>
  <c r="P115" i="42761" s="1"/>
  <c r="Q115" i="42761" s="1"/>
  <c r="J94" i="42761"/>
  <c r="P94" i="42761" s="1"/>
  <c r="J80" i="42761"/>
  <c r="P80" i="42761" s="1"/>
  <c r="Q80" i="42761" s="1"/>
  <c r="J72" i="42761"/>
  <c r="P72" i="42761" s="1"/>
  <c r="J68" i="42761"/>
  <c r="P68" i="42761" s="1"/>
  <c r="Q68" i="42761" s="1"/>
  <c r="J47" i="42761"/>
  <c r="P47" i="42761" s="1"/>
  <c r="J42" i="42761"/>
  <c r="P42" i="42761" s="1"/>
  <c r="Q42" i="42761" s="1"/>
  <c r="J34" i="42761"/>
  <c r="P34" i="42761" s="1"/>
  <c r="J29" i="42761"/>
  <c r="P29" i="42761" s="1"/>
  <c r="Q29" i="42761" s="1"/>
  <c r="J23" i="42761"/>
  <c r="P23" i="42761" s="1"/>
  <c r="J8" i="42761"/>
  <c r="P8" i="42761" s="1"/>
  <c r="J36" i="42761"/>
  <c r="P36" i="42761" s="1"/>
  <c r="J10" i="42761"/>
  <c r="P10" i="42761" s="1"/>
  <c r="Q10" i="42761" s="1"/>
  <c r="J118" i="42761"/>
  <c r="P118" i="42761" s="1"/>
  <c r="J97" i="42761"/>
  <c r="P97" i="42761" s="1"/>
  <c r="Q97" i="42761" s="1"/>
  <c r="J82" i="42761"/>
  <c r="P82" i="42761" s="1"/>
  <c r="J50" i="42761"/>
  <c r="P50" i="42761" s="1"/>
  <c r="Q50" i="42761" s="1"/>
  <c r="J38" i="42761"/>
  <c r="P38" i="42761" s="1"/>
  <c r="J31" i="42761"/>
  <c r="P31" i="42761" s="1"/>
  <c r="Q31" i="42761" s="1"/>
  <c r="J26" i="42761"/>
  <c r="P26" i="42761" s="1"/>
  <c r="J12" i="42761"/>
  <c r="P12" i="42761" s="1"/>
  <c r="Q12" i="42761" s="1"/>
  <c r="W159" i="42761"/>
  <c r="W257" i="42761"/>
  <c r="W112" i="42761"/>
  <c r="I11" i="42762"/>
  <c r="W246" i="42761"/>
  <c r="W234" i="42761"/>
  <c r="W242" i="42761"/>
  <c r="W79" i="42761"/>
  <c r="W108" i="42761"/>
  <c r="W158" i="42761"/>
  <c r="W251" i="42761"/>
  <c r="W256" i="42761"/>
  <c r="I18" i="42762" s="1"/>
  <c r="J213" i="42761"/>
  <c r="P213" i="42761" s="1"/>
  <c r="Q213" i="42761" s="1"/>
  <c r="J121" i="42761"/>
  <c r="P121" i="42761" s="1"/>
  <c r="Q121" i="42761" s="1"/>
  <c r="J100" i="42761"/>
  <c r="P100" i="42761" s="1"/>
  <c r="Q100" i="42761" s="1"/>
  <c r="J54" i="42761"/>
  <c r="P54" i="42761" s="1"/>
  <c r="Q54" i="42761" s="1"/>
  <c r="J45" i="42761"/>
  <c r="P45" i="42761" s="1"/>
  <c r="Q45" i="42761" s="1"/>
  <c r="J16" i="42761"/>
  <c r="P16" i="42761" s="1"/>
  <c r="Q16" i="42761" s="1"/>
  <c r="M67" i="42761"/>
  <c r="U67" i="42761" s="1"/>
  <c r="N67" i="42761"/>
  <c r="V67" i="42761" s="1"/>
  <c r="W67" i="42761" s="1"/>
  <c r="W145" i="42761"/>
  <c r="W174" i="42761"/>
  <c r="I12" i="42762" s="1"/>
  <c r="W182" i="42761"/>
  <c r="W203" i="42761"/>
  <c r="W219" i="42761"/>
  <c r="I14" i="42762" s="1"/>
  <c r="J51" i="42761"/>
  <c r="P51" i="42761" s="1"/>
  <c r="Q51" i="42761" s="1"/>
  <c r="J13" i="42761"/>
  <c r="P13" i="42761" s="1"/>
  <c r="Q13" i="42761" s="1"/>
  <c r="D35" i="42769" l="1"/>
  <c r="L34" i="42769"/>
  <c r="F20" i="42766"/>
  <c r="F21" i="42766" s="1"/>
  <c r="L47" i="42769"/>
  <c r="D16" i="42765"/>
  <c r="D22" i="42765" s="1"/>
  <c r="D30" i="42765" s="1"/>
  <c r="D39" i="42765" s="1"/>
  <c r="D55" i="42765" s="1"/>
  <c r="D60" i="42765"/>
  <c r="G59" i="42765"/>
  <c r="D6" i="42769"/>
  <c r="D28" i="42762"/>
  <c r="D29" i="42762"/>
  <c r="D31" i="42762"/>
  <c r="P262" i="42761"/>
  <c r="Q8" i="42761"/>
  <c r="Q26" i="42761"/>
  <c r="Q38" i="42761"/>
  <c r="Q82" i="42761"/>
  <c r="Q118" i="42761"/>
  <c r="E10" i="42762" s="1"/>
  <c r="Q36" i="42761"/>
  <c r="Q23" i="42761"/>
  <c r="Q34" i="42761"/>
  <c r="Q47" i="42761"/>
  <c r="Q72" i="42761"/>
  <c r="Q94" i="42761"/>
  <c r="Q168" i="42761"/>
  <c r="O262" i="42761"/>
  <c r="Q14" i="42761"/>
  <c r="Q32" i="42761"/>
  <c r="Q44" i="42761"/>
  <c r="Q70" i="42761"/>
  <c r="Q83" i="42761"/>
  <c r="Q98" i="42761"/>
  <c r="Q113" i="42761"/>
  <c r="Q139" i="42761"/>
  <c r="Q212" i="42761"/>
  <c r="W66" i="42761"/>
  <c r="I9" i="42762" s="1"/>
  <c r="W134" i="42761"/>
  <c r="W233" i="42761"/>
  <c r="I16" i="42762" s="1"/>
  <c r="W236" i="42761"/>
  <c r="Q17" i="42761"/>
  <c r="Q33" i="42761"/>
  <c r="Q46" i="42761"/>
  <c r="Q71" i="42761"/>
  <c r="Q84" i="42761"/>
  <c r="Q101" i="42761"/>
  <c r="Q122" i="42761"/>
  <c r="Q140" i="42761"/>
  <c r="Q188" i="42761"/>
  <c r="E13" i="42762" s="1"/>
  <c r="Q214" i="42761"/>
  <c r="Q253" i="42761"/>
  <c r="E18" i="42762" s="1"/>
  <c r="Q53" i="42761"/>
  <c r="Q120" i="42761"/>
  <c r="I8" i="42762"/>
  <c r="E14" i="42762"/>
  <c r="C33" i="42762"/>
  <c r="Q27" i="42761"/>
  <c r="Q39" i="42761"/>
  <c r="Q52" i="42761"/>
  <c r="Q75" i="42761"/>
  <c r="Q88" i="42761"/>
  <c r="Q111" i="42761"/>
  <c r="Q119" i="42761"/>
  <c r="Q170" i="42761"/>
  <c r="Q244" i="42761"/>
  <c r="W235" i="42761"/>
  <c r="W241" i="42761"/>
  <c r="I10" i="42762" s="1"/>
  <c r="Q28" i="42761"/>
  <c r="Q40" i="42761"/>
  <c r="Q55" i="42761"/>
  <c r="Q76" i="42761"/>
  <c r="Q89" i="42761"/>
  <c r="Q114" i="42761"/>
  <c r="Q135" i="42761"/>
  <c r="Q151" i="42761"/>
  <c r="E11" i="42762" s="1"/>
  <c r="Q199" i="42761"/>
  <c r="Q245" i="42761"/>
  <c r="Q15" i="42761"/>
  <c r="Q99" i="42761"/>
  <c r="V262" i="42761"/>
  <c r="E12" i="42762"/>
  <c r="C27" i="42762"/>
  <c r="H10" i="42762"/>
  <c r="G19" i="42762"/>
  <c r="L6" i="42769" l="1"/>
  <c r="E6" i="42769"/>
  <c r="G60" i="42765"/>
  <c r="D67" i="42765"/>
  <c r="D9" i="42769"/>
  <c r="G67" i="42765"/>
  <c r="L35" i="42769"/>
  <c r="D27" i="42762"/>
  <c r="B27" i="42762"/>
  <c r="B28" i="42762"/>
  <c r="B31" i="42762"/>
  <c r="D26" i="42762"/>
  <c r="E9" i="42762"/>
  <c r="D25" i="42762"/>
  <c r="G20" i="42762"/>
  <c r="H17" i="42762"/>
  <c r="H16" i="42762"/>
  <c r="H11" i="42762"/>
  <c r="H15" i="42762"/>
  <c r="H9" i="42762"/>
  <c r="H13" i="42762"/>
  <c r="H14" i="42762"/>
  <c r="H18" i="42762"/>
  <c r="H12" i="42762"/>
  <c r="H8" i="42762"/>
  <c r="H19" i="42762" s="1"/>
  <c r="B29" i="42762"/>
  <c r="W262" i="42761"/>
  <c r="I17" i="42762"/>
  <c r="Q262" i="42761"/>
  <c r="E8" i="42762"/>
  <c r="H67" i="42765" l="1"/>
  <c r="H65" i="42765"/>
  <c r="H66" i="42765"/>
  <c r="H63" i="42765"/>
  <c r="H64" i="42765"/>
  <c r="H61" i="42765"/>
  <c r="H62" i="42765"/>
  <c r="C8" i="42770"/>
  <c r="B10" i="42770" s="1"/>
  <c r="E67" i="42765"/>
  <c r="E66" i="42765"/>
  <c r="E61" i="42765"/>
  <c r="E64" i="42765"/>
  <c r="E65" i="42765"/>
  <c r="E63" i="42765"/>
  <c r="E62" i="42765"/>
  <c r="E59" i="42765"/>
  <c r="E60" i="42765"/>
  <c r="L7" i="42769"/>
  <c r="K7" i="42769"/>
  <c r="J7" i="42769"/>
  <c r="I7" i="42769"/>
  <c r="H7" i="42769"/>
  <c r="F7" i="42769"/>
  <c r="G7" i="42769"/>
  <c r="H59" i="42765"/>
  <c r="H60" i="42765"/>
  <c r="E9" i="42769"/>
  <c r="E7" i="42769"/>
  <c r="D7" i="42769"/>
  <c r="D30" i="42762"/>
  <c r="D33" i="42762"/>
  <c r="I19" i="42762"/>
  <c r="B25" i="42762"/>
  <c r="E19" i="42762"/>
  <c r="F8" i="42762"/>
  <c r="B26" i="42762"/>
  <c r="F9" i="42762"/>
  <c r="C10" i="42770" l="1"/>
  <c r="D10" i="42770" s="1"/>
  <c r="G15" i="42769"/>
  <c r="D15" i="42769"/>
  <c r="H15" i="42769"/>
  <c r="I15" i="42769"/>
  <c r="E15" i="42769"/>
  <c r="F15" i="42769"/>
  <c r="K15" i="42769"/>
  <c r="E10" i="42769"/>
  <c r="L9" i="42769"/>
  <c r="E20" i="42762"/>
  <c r="F15" i="42762"/>
  <c r="F16" i="42762"/>
  <c r="F17" i="42762"/>
  <c r="F10" i="42762"/>
  <c r="F12" i="42762"/>
  <c r="F18" i="42762"/>
  <c r="F11" i="42762"/>
  <c r="F13" i="42762"/>
  <c r="F14" i="42762"/>
  <c r="I20" i="42762"/>
  <c r="J11" i="42762"/>
  <c r="J15" i="42762"/>
  <c r="J12" i="42762"/>
  <c r="J14" i="42762"/>
  <c r="J13" i="42762"/>
  <c r="J18" i="42762"/>
  <c r="J10" i="42762"/>
  <c r="J9" i="42762"/>
  <c r="J16" i="42762"/>
  <c r="J8" i="42762"/>
  <c r="J19" i="42762" s="1"/>
  <c r="F19" i="42762"/>
  <c r="B33" i="42762"/>
  <c r="J17" i="42762"/>
  <c r="F14" i="42773" l="1"/>
  <c r="J14" i="42773"/>
  <c r="D14" i="42773"/>
  <c r="I14" i="42773"/>
  <c r="K14" i="42773"/>
  <c r="G14" i="42773"/>
  <c r="E14" i="42773"/>
  <c r="C14" i="42773"/>
  <c r="E40" i="42769"/>
  <c r="E41" i="42769" s="1"/>
  <c r="E43" i="42769" s="1"/>
  <c r="E49" i="42769"/>
  <c r="E50" i="42769" s="1"/>
  <c r="E52" i="42769" s="1"/>
  <c r="C14" i="42770"/>
  <c r="B16" i="42770" s="1"/>
  <c r="C16" i="42770" s="1"/>
  <c r="D16" i="42770" s="1"/>
  <c r="J10" i="42769"/>
  <c r="K10" i="42769"/>
  <c r="F10" i="42769"/>
  <c r="I10" i="42769"/>
  <c r="H10" i="42769"/>
  <c r="G10" i="42769"/>
  <c r="D10" i="42769"/>
  <c r="L15" i="42769"/>
  <c r="F16" i="42769" s="1"/>
  <c r="Q6" i="42755"/>
  <c r="R6" i="42755" s="1"/>
  <c r="Q7" i="42755"/>
  <c r="Q8" i="42755"/>
  <c r="R8" i="42755" s="1"/>
  <c r="Q9" i="42755"/>
  <c r="R9" i="42755" s="1"/>
  <c r="Q10" i="42755"/>
  <c r="R10" i="42755" s="1"/>
  <c r="Q11" i="42755"/>
  <c r="R11" i="42755" s="1"/>
  <c r="Q12" i="42755"/>
  <c r="R12" i="42755" s="1"/>
  <c r="Q13" i="42755"/>
  <c r="R7" i="42755" s="1"/>
  <c r="Q20" i="42755"/>
  <c r="Q21" i="42755"/>
  <c r="Q22" i="42755"/>
  <c r="Q23" i="42755"/>
  <c r="Q24" i="42755"/>
  <c r="Q25" i="42755"/>
  <c r="U22" i="42755" s="1"/>
  <c r="Q26" i="42755"/>
  <c r="Q27" i="42755"/>
  <c r="H14" i="42773" l="1"/>
  <c r="D16" i="42769"/>
  <c r="J16" i="42769"/>
  <c r="D49" i="42769"/>
  <c r="D40" i="42769"/>
  <c r="L10" i="42769"/>
  <c r="H49" i="42769"/>
  <c r="H50" i="42769" s="1"/>
  <c r="H52" i="42769" s="1"/>
  <c r="H40" i="42769"/>
  <c r="H41" i="42769" s="1"/>
  <c r="H43" i="42769" s="1"/>
  <c r="F49" i="42769"/>
  <c r="F50" i="42769" s="1"/>
  <c r="F52" i="42769" s="1"/>
  <c r="F40" i="42769"/>
  <c r="F41" i="42769" s="1"/>
  <c r="F43" i="42769" s="1"/>
  <c r="J49" i="42769"/>
  <c r="J50" i="42769" s="1"/>
  <c r="J52" i="42769" s="1"/>
  <c r="J40" i="42769"/>
  <c r="J41" i="42769" s="1"/>
  <c r="J43" i="42769" s="1"/>
  <c r="G16" i="42769"/>
  <c r="E16" i="42769"/>
  <c r="I16" i="42769"/>
  <c r="K16" i="42769"/>
  <c r="G40" i="42769"/>
  <c r="G41" i="42769" s="1"/>
  <c r="G43" i="42769" s="1"/>
  <c r="G49" i="42769"/>
  <c r="G50" i="42769" s="1"/>
  <c r="G52" i="42769" s="1"/>
  <c r="I40" i="42769"/>
  <c r="I41" i="42769" s="1"/>
  <c r="I43" i="42769" s="1"/>
  <c r="I49" i="42769"/>
  <c r="I50" i="42769" s="1"/>
  <c r="I52" i="42769" s="1"/>
  <c r="K40" i="42769"/>
  <c r="K41" i="42769" s="1"/>
  <c r="K43" i="42769" s="1"/>
  <c r="K49" i="42769"/>
  <c r="K50" i="42769" s="1"/>
  <c r="K52" i="42769" s="1"/>
  <c r="H16" i="42769"/>
  <c r="U23" i="42755"/>
  <c r="R13" i="42755"/>
  <c r="Q28" i="42755"/>
  <c r="G48" i="42773" l="1"/>
  <c r="G26" i="42773"/>
  <c r="F48" i="42773"/>
  <c r="F26" i="42773"/>
  <c r="I48" i="42773"/>
  <c r="I26" i="42773"/>
  <c r="E48" i="42773"/>
  <c r="E26" i="42773"/>
  <c r="D48" i="42773"/>
  <c r="D26" i="42773"/>
  <c r="K48" i="42773"/>
  <c r="K26" i="42773"/>
  <c r="J48" i="42773"/>
  <c r="J26" i="42773"/>
  <c r="H48" i="42773"/>
  <c r="H26" i="42773"/>
  <c r="C48" i="42773"/>
  <c r="C26" i="42773"/>
  <c r="C13" i="42773"/>
  <c r="C12" i="42773"/>
  <c r="D41" i="42769"/>
  <c r="L40" i="42769"/>
  <c r="D50" i="42769"/>
  <c r="L49" i="42769"/>
  <c r="L16" i="42769"/>
  <c r="U21" i="42755"/>
  <c r="Q29" i="42755"/>
  <c r="Q30" i="42755"/>
  <c r="Q31" i="42755"/>
  <c r="Q32" i="42755"/>
  <c r="Q33" i="42755"/>
  <c r="U24" i="42755" s="1"/>
  <c r="Q34" i="42755"/>
  <c r="C15" i="42773" l="1"/>
  <c r="D12" i="42773"/>
  <c r="I13" i="42773"/>
  <c r="F12" i="42773"/>
  <c r="F13" i="42773"/>
  <c r="J12" i="42773"/>
  <c r="I12" i="42773"/>
  <c r="J13" i="42773"/>
  <c r="E12" i="42773"/>
  <c r="D13" i="42773"/>
  <c r="K13" i="42773"/>
  <c r="G13" i="42773"/>
  <c r="K12" i="42773"/>
  <c r="K15" i="42773" s="1"/>
  <c r="H13" i="42773"/>
  <c r="G12" i="42773"/>
  <c r="E13" i="42773"/>
  <c r="H12" i="42773"/>
  <c r="L50" i="42769"/>
  <c r="D52" i="42769"/>
  <c r="L52" i="42769" s="1"/>
  <c r="L41" i="42769"/>
  <c r="D43" i="42769"/>
  <c r="L43" i="42769" s="1"/>
  <c r="U20" i="42755"/>
  <c r="U28" i="42755" s="1"/>
  <c r="U27" i="42755"/>
  <c r="Q35" i="42755"/>
  <c r="I15" i="42773" l="1"/>
  <c r="H15" i="42773"/>
  <c r="G15" i="42773"/>
  <c r="E15" i="42773"/>
  <c r="J15" i="42773"/>
  <c r="F15" i="42773"/>
  <c r="D15" i="42773"/>
  <c r="Q36" i="42755"/>
  <c r="Q43" i="42755"/>
  <c r="R43" i="42755" s="1"/>
  <c r="Q44" i="42755"/>
  <c r="R44" i="42755" s="1"/>
  <c r="Q45" i="42755"/>
  <c r="R45" i="42755" s="1"/>
  <c r="Q46" i="42755"/>
  <c r="E29" i="42730"/>
  <c r="E28" i="42730"/>
  <c r="E27" i="42730"/>
  <c r="E30" i="42730" s="1"/>
  <c r="D23" i="42730"/>
  <c r="C23" i="42730"/>
  <c r="E23" i="42730" s="1"/>
  <c r="D22" i="42730"/>
  <c r="C22" i="42730"/>
  <c r="D17" i="42730"/>
  <c r="C17" i="42730"/>
  <c r="E17" i="42730" s="1"/>
  <c r="D16" i="42730"/>
  <c r="E12" i="42730"/>
  <c r="E11" i="42730"/>
  <c r="D11" i="42730"/>
  <c r="D10" i="42730"/>
  <c r="D21" i="42730" s="1"/>
  <c r="C10" i="42730"/>
  <c r="C21" i="42730" s="1"/>
  <c r="E21" i="42730" s="1"/>
  <c r="D9" i="42730"/>
  <c r="D20" i="42730" s="1"/>
  <c r="C9" i="42730"/>
  <c r="C20" i="42730" s="1"/>
  <c r="D8" i="42730"/>
  <c r="D19" i="42730" s="1"/>
  <c r="C8" i="42730"/>
  <c r="C13" i="42730" s="1"/>
  <c r="D7" i="42730"/>
  <c r="C7" i="42730"/>
  <c r="C18" i="42730" s="1"/>
  <c r="E6" i="42730"/>
  <c r="C6" i="42730"/>
  <c r="E5" i="42730"/>
  <c r="C5" i="42730"/>
  <c r="C16" i="42730" s="1"/>
  <c r="P46" i="42729"/>
  <c r="N46" i="42729"/>
  <c r="M46" i="42729"/>
  <c r="L46" i="42729"/>
  <c r="K46" i="42729"/>
  <c r="J46" i="42729"/>
  <c r="I46" i="42729"/>
  <c r="H46" i="42729"/>
  <c r="G46" i="42729"/>
  <c r="F46" i="42729"/>
  <c r="E46" i="42729"/>
  <c r="D46" i="42729"/>
  <c r="C46" i="42729"/>
  <c r="O46" i="42729" s="1"/>
  <c r="N45" i="42729"/>
  <c r="M45" i="42729"/>
  <c r="L45" i="42729"/>
  <c r="K45" i="42729"/>
  <c r="J45" i="42729"/>
  <c r="I45" i="42729"/>
  <c r="H45" i="42729"/>
  <c r="G45" i="42729"/>
  <c r="F45" i="42729"/>
  <c r="E45" i="42729"/>
  <c r="D45" i="42729"/>
  <c r="P45" i="42729" s="1"/>
  <c r="C45" i="42729"/>
  <c r="P44" i="42729"/>
  <c r="N44" i="42729"/>
  <c r="M44" i="42729"/>
  <c r="L44" i="42729"/>
  <c r="K44" i="42729"/>
  <c r="J44" i="42729"/>
  <c r="I44" i="42729"/>
  <c r="H44" i="42729"/>
  <c r="G44" i="42729"/>
  <c r="F44" i="42729"/>
  <c r="E44" i="42729"/>
  <c r="D44" i="42729"/>
  <c r="C44" i="42729"/>
  <c r="O44" i="42729" s="1"/>
  <c r="N43" i="42729"/>
  <c r="M43" i="42729"/>
  <c r="L43" i="42729"/>
  <c r="K43" i="42729"/>
  <c r="J43" i="42729"/>
  <c r="I43" i="42729"/>
  <c r="H43" i="42729"/>
  <c r="G43" i="42729"/>
  <c r="F43" i="42729"/>
  <c r="E43" i="42729"/>
  <c r="D43" i="42729"/>
  <c r="P43" i="42729" s="1"/>
  <c r="C43" i="42729"/>
  <c r="P42" i="42729"/>
  <c r="N42" i="42729"/>
  <c r="M42" i="42729"/>
  <c r="L42" i="42729"/>
  <c r="K42" i="42729"/>
  <c r="J42" i="42729"/>
  <c r="I42" i="42729"/>
  <c r="H42" i="42729"/>
  <c r="G42" i="42729"/>
  <c r="F42" i="42729"/>
  <c r="E42" i="42729"/>
  <c r="D42" i="42729"/>
  <c r="C42" i="42729"/>
  <c r="O42" i="42729" s="1"/>
  <c r="N41" i="42729"/>
  <c r="N47" i="42729" s="1"/>
  <c r="M41" i="42729"/>
  <c r="M47" i="42729" s="1"/>
  <c r="L41" i="42729"/>
  <c r="L47" i="42729" s="1"/>
  <c r="K41" i="42729"/>
  <c r="K47" i="42729" s="1"/>
  <c r="J41" i="42729"/>
  <c r="J47" i="42729" s="1"/>
  <c r="I41" i="42729"/>
  <c r="I47" i="42729" s="1"/>
  <c r="H41" i="42729"/>
  <c r="H47" i="42729" s="1"/>
  <c r="G41" i="42729"/>
  <c r="G47" i="42729" s="1"/>
  <c r="F41" i="42729"/>
  <c r="F47" i="42729" s="1"/>
  <c r="E41" i="42729"/>
  <c r="E47" i="42729" s="1"/>
  <c r="D41" i="42729"/>
  <c r="D47" i="42729" s="1"/>
  <c r="C41" i="42729"/>
  <c r="C47" i="42729" s="1"/>
  <c r="N36" i="42729"/>
  <c r="M36" i="42729"/>
  <c r="L36" i="42729"/>
  <c r="K36" i="42729"/>
  <c r="J36" i="42729"/>
  <c r="I36" i="42729"/>
  <c r="H36" i="42729"/>
  <c r="G36" i="42729"/>
  <c r="F36" i="42729"/>
  <c r="E36" i="42729"/>
  <c r="D36" i="42729"/>
  <c r="C36" i="42729"/>
  <c r="P36" i="42729" s="1"/>
  <c r="N35" i="42729"/>
  <c r="M35" i="42729"/>
  <c r="L35" i="42729"/>
  <c r="K35" i="42729"/>
  <c r="J35" i="42729"/>
  <c r="I35" i="42729"/>
  <c r="H35" i="42729"/>
  <c r="G35" i="42729"/>
  <c r="F35" i="42729"/>
  <c r="E35" i="42729"/>
  <c r="D35" i="42729"/>
  <c r="C35" i="42729"/>
  <c r="P35" i="42729" s="1"/>
  <c r="N34" i="42729"/>
  <c r="M34" i="42729"/>
  <c r="L34" i="42729"/>
  <c r="K34" i="42729"/>
  <c r="J34" i="42729"/>
  <c r="I34" i="42729"/>
  <c r="H34" i="42729"/>
  <c r="G34" i="42729"/>
  <c r="F34" i="42729"/>
  <c r="E34" i="42729"/>
  <c r="D34" i="42729"/>
  <c r="C34" i="42729"/>
  <c r="P34" i="42729" s="1"/>
  <c r="N33" i="42729"/>
  <c r="M33" i="42729"/>
  <c r="L33" i="42729"/>
  <c r="K33" i="42729"/>
  <c r="J33" i="42729"/>
  <c r="I33" i="42729"/>
  <c r="H33" i="42729"/>
  <c r="G33" i="42729"/>
  <c r="F33" i="42729"/>
  <c r="E33" i="42729"/>
  <c r="D33" i="42729"/>
  <c r="C33" i="42729"/>
  <c r="P33" i="42729" s="1"/>
  <c r="N32" i="42729"/>
  <c r="M32" i="42729"/>
  <c r="L32" i="42729"/>
  <c r="K32" i="42729"/>
  <c r="J32" i="42729"/>
  <c r="I32" i="42729"/>
  <c r="H32" i="42729"/>
  <c r="G32" i="42729"/>
  <c r="F32" i="42729"/>
  <c r="E32" i="42729"/>
  <c r="D32" i="42729"/>
  <c r="C32" i="42729"/>
  <c r="P32" i="42729" s="1"/>
  <c r="N31" i="42729"/>
  <c r="M31" i="42729"/>
  <c r="L31" i="42729"/>
  <c r="K31" i="42729"/>
  <c r="J31" i="42729"/>
  <c r="I31" i="42729"/>
  <c r="H31" i="42729"/>
  <c r="G31" i="42729"/>
  <c r="F31" i="42729"/>
  <c r="E31" i="42729"/>
  <c r="D31" i="42729"/>
  <c r="C31" i="42729"/>
  <c r="P31" i="42729" s="1"/>
  <c r="N30" i="42729"/>
  <c r="N37" i="42729" s="1"/>
  <c r="N38" i="42729" s="1"/>
  <c r="M30" i="42729"/>
  <c r="M37" i="42729" s="1"/>
  <c r="M38" i="42729" s="1"/>
  <c r="L30" i="42729"/>
  <c r="L37" i="42729" s="1"/>
  <c r="L38" i="42729" s="1"/>
  <c r="K30" i="42729"/>
  <c r="K37" i="42729" s="1"/>
  <c r="K38" i="42729" s="1"/>
  <c r="J30" i="42729"/>
  <c r="J37" i="42729" s="1"/>
  <c r="J38" i="42729" s="1"/>
  <c r="I30" i="42729"/>
  <c r="I37" i="42729" s="1"/>
  <c r="I38" i="42729" s="1"/>
  <c r="H30" i="42729"/>
  <c r="H37" i="42729" s="1"/>
  <c r="H38" i="42729" s="1"/>
  <c r="G30" i="42729"/>
  <c r="G37" i="42729" s="1"/>
  <c r="G38" i="42729" s="1"/>
  <c r="F30" i="42729"/>
  <c r="F37" i="42729" s="1"/>
  <c r="F38" i="42729" s="1"/>
  <c r="E30" i="42729"/>
  <c r="E37" i="42729" s="1"/>
  <c r="E38" i="42729" s="1"/>
  <c r="D30" i="42729"/>
  <c r="D37" i="42729" s="1"/>
  <c r="D38" i="42729" s="1"/>
  <c r="C30" i="42729"/>
  <c r="P30" i="42729" s="1"/>
  <c r="L55" i="42728"/>
  <c r="J55" i="42728"/>
  <c r="H55" i="42728"/>
  <c r="F55" i="42728"/>
  <c r="D55" i="42728"/>
  <c r="B55" i="42728"/>
  <c r="O51" i="42728"/>
  <c r="M51" i="42728"/>
  <c r="L51" i="42728"/>
  <c r="K51" i="42728"/>
  <c r="J51" i="42728"/>
  <c r="I51" i="42728"/>
  <c r="H51" i="42728"/>
  <c r="G51" i="42728"/>
  <c r="F51" i="42728"/>
  <c r="E51" i="42728"/>
  <c r="D51" i="42728"/>
  <c r="C51" i="42728"/>
  <c r="B51" i="42728"/>
  <c r="N51" i="42728" s="1"/>
  <c r="M50" i="42728"/>
  <c r="L50" i="42728"/>
  <c r="K50" i="42728"/>
  <c r="J50" i="42728"/>
  <c r="I50" i="42728"/>
  <c r="H50" i="42728"/>
  <c r="G50" i="42728"/>
  <c r="F50" i="42728"/>
  <c r="E50" i="42728"/>
  <c r="D50" i="42728"/>
  <c r="C50" i="42728"/>
  <c r="O50" i="42728" s="1"/>
  <c r="B50" i="42728"/>
  <c r="O49" i="42728"/>
  <c r="M49" i="42728"/>
  <c r="L49" i="42728"/>
  <c r="K49" i="42728"/>
  <c r="J49" i="42728"/>
  <c r="I49" i="42728"/>
  <c r="H49" i="42728"/>
  <c r="G49" i="42728"/>
  <c r="F49" i="42728"/>
  <c r="E49" i="42728"/>
  <c r="D49" i="42728"/>
  <c r="C49" i="42728"/>
  <c r="B49" i="42728"/>
  <c r="N49" i="42728" s="1"/>
  <c r="M48" i="42728"/>
  <c r="L48" i="42728"/>
  <c r="K48" i="42728"/>
  <c r="J48" i="42728"/>
  <c r="I48" i="42728"/>
  <c r="H48" i="42728"/>
  <c r="G48" i="42728"/>
  <c r="F48" i="42728"/>
  <c r="E48" i="42728"/>
  <c r="D48" i="42728"/>
  <c r="C48" i="42728"/>
  <c r="O48" i="42728" s="1"/>
  <c r="B48" i="42728"/>
  <c r="O47" i="42728"/>
  <c r="M47" i="42728"/>
  <c r="L47" i="42728"/>
  <c r="K47" i="42728"/>
  <c r="J47" i="42728"/>
  <c r="I47" i="42728"/>
  <c r="H47" i="42728"/>
  <c r="G47" i="42728"/>
  <c r="F47" i="42728"/>
  <c r="E47" i="42728"/>
  <c r="D47" i="42728"/>
  <c r="C47" i="42728"/>
  <c r="B47" i="42728"/>
  <c r="N47" i="42728" s="1"/>
  <c r="M46" i="42728"/>
  <c r="L46" i="42728"/>
  <c r="K46" i="42728"/>
  <c r="J46" i="42728"/>
  <c r="I46" i="42728"/>
  <c r="H46" i="42728"/>
  <c r="G46" i="42728"/>
  <c r="F46" i="42728"/>
  <c r="E46" i="42728"/>
  <c r="D46" i="42728"/>
  <c r="C46" i="42728"/>
  <c r="O46" i="42728" s="1"/>
  <c r="B46" i="42728"/>
  <c r="O45" i="42728"/>
  <c r="M45" i="42728"/>
  <c r="L45" i="42728"/>
  <c r="K45" i="42728"/>
  <c r="J45" i="42728"/>
  <c r="I45" i="42728"/>
  <c r="H45" i="42728"/>
  <c r="G45" i="42728"/>
  <c r="F45" i="42728"/>
  <c r="E45" i="42728"/>
  <c r="D45" i="42728"/>
  <c r="C45" i="42728"/>
  <c r="B45" i="42728"/>
  <c r="N45" i="42728" s="1"/>
  <c r="M44" i="42728"/>
  <c r="M55" i="42728" s="1"/>
  <c r="L44" i="42728"/>
  <c r="K44" i="42728"/>
  <c r="K55" i="42728" s="1"/>
  <c r="J44" i="42728"/>
  <c r="I44" i="42728"/>
  <c r="I55" i="42728" s="1"/>
  <c r="H44" i="42728"/>
  <c r="G44" i="42728"/>
  <c r="G55" i="42728" s="1"/>
  <c r="F44" i="42728"/>
  <c r="E44" i="42728"/>
  <c r="E55" i="42728" s="1"/>
  <c r="D44" i="42728"/>
  <c r="C44" i="42728"/>
  <c r="C55" i="42728" s="1"/>
  <c r="B44" i="42728"/>
  <c r="M43" i="42728"/>
  <c r="L43" i="42728"/>
  <c r="K43" i="42728"/>
  <c r="J43" i="42728"/>
  <c r="I43" i="42728"/>
  <c r="H43" i="42728"/>
  <c r="G43" i="42728"/>
  <c r="F43" i="42728"/>
  <c r="E43" i="42728"/>
  <c r="D43" i="42728"/>
  <c r="C43" i="42728"/>
  <c r="B43" i="42728"/>
  <c r="N43" i="42728" s="1"/>
  <c r="M42" i="42728"/>
  <c r="L42" i="42728"/>
  <c r="K42" i="42728"/>
  <c r="J42" i="42728"/>
  <c r="I42" i="42728"/>
  <c r="H42" i="42728"/>
  <c r="G42" i="42728"/>
  <c r="F42" i="42728"/>
  <c r="E42" i="42728"/>
  <c r="D42" i="42728"/>
  <c r="C42" i="42728"/>
  <c r="B42" i="42728"/>
  <c r="O42" i="42728" s="1"/>
  <c r="M41" i="42728"/>
  <c r="L41" i="42728"/>
  <c r="L52" i="42728" s="1"/>
  <c r="K41" i="42728"/>
  <c r="K52" i="42728" s="1"/>
  <c r="J41" i="42728"/>
  <c r="J52" i="42728" s="1"/>
  <c r="I41" i="42728"/>
  <c r="H41" i="42728"/>
  <c r="H52" i="42728" s="1"/>
  <c r="G41" i="42728"/>
  <c r="G52" i="42728" s="1"/>
  <c r="F41" i="42728"/>
  <c r="F52" i="42728" s="1"/>
  <c r="E41" i="42728"/>
  <c r="D41" i="42728"/>
  <c r="D52" i="42728" s="1"/>
  <c r="C41" i="42728"/>
  <c r="C52" i="42728" s="1"/>
  <c r="B41" i="42728"/>
  <c r="B52" i="42728" s="1"/>
  <c r="O32" i="42728"/>
  <c r="N32" i="42728"/>
  <c r="M31" i="42728"/>
  <c r="M34" i="42728" s="1"/>
  <c r="L31" i="42728"/>
  <c r="L34" i="42728" s="1"/>
  <c r="K31" i="42728"/>
  <c r="K34" i="42728" s="1"/>
  <c r="J31" i="42728"/>
  <c r="J34" i="42728" s="1"/>
  <c r="I31" i="42728"/>
  <c r="I34" i="42728" s="1"/>
  <c r="H31" i="42728"/>
  <c r="H34" i="42728" s="1"/>
  <c r="G31" i="42728"/>
  <c r="G34" i="42728" s="1"/>
  <c r="F31" i="42728"/>
  <c r="F34" i="42728" s="1"/>
  <c r="E31" i="42728"/>
  <c r="E34" i="42728" s="1"/>
  <c r="D31" i="42728"/>
  <c r="D34" i="42728" s="1"/>
  <c r="C31" i="42728"/>
  <c r="C34" i="42728" s="1"/>
  <c r="B31" i="42728"/>
  <c r="B34" i="42728" s="1"/>
  <c r="O30" i="42728"/>
  <c r="N30" i="42728"/>
  <c r="O29" i="42728"/>
  <c r="N29" i="42728"/>
  <c r="O28" i="42728"/>
  <c r="N28" i="42728"/>
  <c r="O27" i="42728"/>
  <c r="N27" i="42728"/>
  <c r="O26" i="42728"/>
  <c r="N26" i="42728"/>
  <c r="O25" i="42728"/>
  <c r="N25" i="42728"/>
  <c r="O24" i="42728"/>
  <c r="N24" i="42728"/>
  <c r="O23" i="42728"/>
  <c r="N23" i="42728"/>
  <c r="O22" i="42728"/>
  <c r="N22" i="42728"/>
  <c r="O21" i="42728"/>
  <c r="N21" i="42728"/>
  <c r="O20" i="42728"/>
  <c r="N20" i="42728"/>
  <c r="O19" i="42728"/>
  <c r="N19" i="42728"/>
  <c r="O18" i="42728"/>
  <c r="N18" i="42728"/>
  <c r="O17" i="42728"/>
  <c r="N17" i="42728"/>
  <c r="O16" i="42728"/>
  <c r="N16" i="42728"/>
  <c r="O15" i="42728"/>
  <c r="N15" i="42728"/>
  <c r="O14" i="42728"/>
  <c r="N14" i="42728"/>
  <c r="O13" i="42728"/>
  <c r="N13" i="42728"/>
  <c r="O12" i="42728"/>
  <c r="N12" i="42728"/>
  <c r="O11" i="42728"/>
  <c r="N11" i="42728"/>
  <c r="O10" i="42728"/>
  <c r="N10" i="42728"/>
  <c r="O9" i="42728"/>
  <c r="N9" i="42728"/>
  <c r="O8" i="42728"/>
  <c r="N8" i="42728"/>
  <c r="O7" i="42728"/>
  <c r="N7" i="42728"/>
  <c r="O6" i="42728"/>
  <c r="O31" i="42728" s="1"/>
  <c r="N6" i="42728"/>
  <c r="N31" i="42728" s="1"/>
  <c r="K25" i="42773" l="1"/>
  <c r="I47" i="42773"/>
  <c r="C47" i="42773"/>
  <c r="C25" i="42773"/>
  <c r="R46" i="42755"/>
  <c r="R21" i="42755"/>
  <c r="R23" i="42755"/>
  <c r="R25" i="42755"/>
  <c r="R26" i="42755"/>
  <c r="R24" i="42755"/>
  <c r="R20" i="42755"/>
  <c r="R36" i="42755" s="1"/>
  <c r="R22" i="42755"/>
  <c r="R27" i="42755"/>
  <c r="R28" i="42755"/>
  <c r="R32" i="42755"/>
  <c r="R29" i="42755"/>
  <c r="R31" i="42755"/>
  <c r="R30" i="42755"/>
  <c r="R33" i="42755"/>
  <c r="R34" i="42755"/>
  <c r="R35" i="42755"/>
  <c r="N34" i="42728"/>
  <c r="N33" i="42728"/>
  <c r="O34" i="42728"/>
  <c r="O33" i="42728"/>
  <c r="C54" i="42728"/>
  <c r="C53" i="42728"/>
  <c r="G54" i="42728"/>
  <c r="G53" i="42728"/>
  <c r="K54" i="42728"/>
  <c r="K53" i="42728"/>
  <c r="B33" i="42728"/>
  <c r="D33" i="42728"/>
  <c r="F33" i="42728"/>
  <c r="H33" i="42728"/>
  <c r="J33" i="42728"/>
  <c r="L33" i="42728"/>
  <c r="B53" i="42728"/>
  <c r="D53" i="42728"/>
  <c r="F53" i="42728"/>
  <c r="H53" i="42728"/>
  <c r="J53" i="42728"/>
  <c r="L53" i="42728"/>
  <c r="N41" i="42728"/>
  <c r="N42" i="42728"/>
  <c r="O43" i="42728"/>
  <c r="E52" i="42728"/>
  <c r="I52" i="42728"/>
  <c r="M52" i="42728"/>
  <c r="B54" i="42728"/>
  <c r="F54" i="42728"/>
  <c r="J54" i="42728"/>
  <c r="O30" i="42729"/>
  <c r="O32" i="42729"/>
  <c r="O34" i="42729"/>
  <c r="O36" i="42729"/>
  <c r="E16" i="42730"/>
  <c r="E8" i="42730"/>
  <c r="C19" i="42730"/>
  <c r="E19" i="42730" s="1"/>
  <c r="C33" i="42728"/>
  <c r="E33" i="42728"/>
  <c r="G33" i="42728"/>
  <c r="I33" i="42728"/>
  <c r="K33" i="42728"/>
  <c r="M33" i="42728"/>
  <c r="O41" i="42728"/>
  <c r="N44" i="42728"/>
  <c r="O44" i="42728"/>
  <c r="O55" i="42728" s="1"/>
  <c r="N46" i="42728"/>
  <c r="N48" i="42728"/>
  <c r="N50" i="42728"/>
  <c r="D54" i="42728"/>
  <c r="H54" i="42728"/>
  <c r="L54" i="42728"/>
  <c r="O31" i="42729"/>
  <c r="O33" i="42729"/>
  <c r="O35" i="42729"/>
  <c r="C37" i="42729"/>
  <c r="O47" i="42729"/>
  <c r="P41" i="42729"/>
  <c r="O43" i="42729"/>
  <c r="O45" i="42729"/>
  <c r="P47" i="42729"/>
  <c r="D13" i="42730"/>
  <c r="E20" i="42730"/>
  <c r="E10" i="42730"/>
  <c r="D18" i="42730"/>
  <c r="D24" i="42730" s="1"/>
  <c r="E22" i="42730"/>
  <c r="O41" i="42729"/>
  <c r="E7" i="42730"/>
  <c r="E9" i="42730"/>
  <c r="K47" i="42773" l="1"/>
  <c r="I25" i="42773"/>
  <c r="H47" i="42773"/>
  <c r="H25" i="42773"/>
  <c r="C46" i="42773"/>
  <c r="C24" i="42773"/>
  <c r="J47" i="42773"/>
  <c r="J25" i="42773"/>
  <c r="D47" i="42773"/>
  <c r="D25" i="42773"/>
  <c r="E47" i="42773"/>
  <c r="E25" i="42773"/>
  <c r="G47" i="42773"/>
  <c r="G25" i="42773"/>
  <c r="F47" i="42773"/>
  <c r="F25" i="42773"/>
  <c r="N55" i="42728"/>
  <c r="E18" i="42730"/>
  <c r="E24" i="42730" s="1"/>
  <c r="C24" i="42730"/>
  <c r="M54" i="42728"/>
  <c r="M53" i="42728"/>
  <c r="E54" i="42728"/>
  <c r="E53" i="42728"/>
  <c r="E13" i="42730"/>
  <c r="P37" i="42729"/>
  <c r="O37" i="42729"/>
  <c r="O38" i="42729" s="1"/>
  <c r="C38" i="42729"/>
  <c r="O52" i="42728"/>
  <c r="O54" i="42728" s="1"/>
  <c r="I54" i="42728"/>
  <c r="I53" i="42728"/>
  <c r="N52" i="42728"/>
  <c r="F46" i="42773" l="1"/>
  <c r="D24" i="42773"/>
  <c r="G24" i="42773"/>
  <c r="J24" i="42773"/>
  <c r="E24" i="42773"/>
  <c r="K46" i="42773"/>
  <c r="K24" i="42773"/>
  <c r="F24" i="42773"/>
  <c r="H46" i="42773"/>
  <c r="H24" i="42773"/>
  <c r="G46" i="42773"/>
  <c r="I46" i="42773"/>
  <c r="I24" i="42773"/>
  <c r="J46" i="42773"/>
  <c r="D46" i="42773"/>
  <c r="N53" i="42728"/>
  <c r="N54" i="42728"/>
  <c r="E46" i="42773" l="1"/>
  <c r="C49" i="42773"/>
  <c r="C50" i="42773" s="1"/>
  <c r="C27" i="42773"/>
  <c r="I57" i="16"/>
  <c r="Q57" i="16" s="1"/>
  <c r="E49" i="42773" l="1"/>
  <c r="E50" i="42773" s="1"/>
  <c r="I49" i="42773"/>
  <c r="I50" i="42773" s="1"/>
  <c r="F49" i="42773"/>
  <c r="F50" i="42773" s="1"/>
  <c r="K27" i="42773"/>
  <c r="K28" i="42773" s="1"/>
  <c r="K30" i="42773" s="1"/>
  <c r="I27" i="42773"/>
  <c r="I28" i="42773" s="1"/>
  <c r="I30" i="42773" s="1"/>
  <c r="H27" i="42773"/>
  <c r="H28" i="42773" s="1"/>
  <c r="H30" i="42773" s="1"/>
  <c r="G27" i="42773"/>
  <c r="G28" i="42773" s="1"/>
  <c r="G30" i="42773" s="1"/>
  <c r="J27" i="42773"/>
  <c r="J28" i="42773" s="1"/>
  <c r="J30" i="42773" s="1"/>
  <c r="E27" i="42773"/>
  <c r="E28" i="42773" s="1"/>
  <c r="E30" i="42773" s="1"/>
  <c r="F27" i="42773"/>
  <c r="F28" i="42773" s="1"/>
  <c r="F30" i="42773" s="1"/>
  <c r="D27" i="42773"/>
  <c r="D28" i="42773" s="1"/>
  <c r="D30" i="42773" s="1"/>
  <c r="C28" i="42773"/>
  <c r="C30" i="42773" s="1"/>
  <c r="H49" i="42773"/>
  <c r="H50" i="42773" s="1"/>
  <c r="K49" i="42773"/>
  <c r="K50" i="42773" s="1"/>
  <c r="J49" i="42773"/>
  <c r="J50" i="42773" s="1"/>
  <c r="D49" i="42773"/>
  <c r="D50" i="42773" s="1"/>
  <c r="G49" i="42773"/>
  <c r="G50" i="42773" s="1"/>
  <c r="AB21" i="42667"/>
  <c r="AE21" i="42667" s="1"/>
  <c r="D31" i="42773" l="1"/>
  <c r="E31" i="42773"/>
  <c r="G31" i="42773"/>
  <c r="I31" i="42773"/>
  <c r="C31" i="42773"/>
  <c r="F31" i="42773"/>
  <c r="J31" i="42773"/>
  <c r="H31" i="42773"/>
  <c r="K31" i="42773"/>
  <c r="Y23" i="42667"/>
  <c r="Z22" i="42667" s="1"/>
  <c r="U23" i="42667"/>
  <c r="V23" i="42667" s="1"/>
  <c r="H23" i="42667"/>
  <c r="Z15" i="42667" l="1"/>
  <c r="Z20" i="42667"/>
  <c r="Z18" i="42667"/>
  <c r="Z16" i="42667"/>
  <c r="Z21" i="42667"/>
  <c r="Z19" i="42667"/>
  <c r="Z17" i="42667"/>
  <c r="Z23" i="42667"/>
  <c r="V22" i="42667"/>
  <c r="V19" i="42667"/>
  <c r="V17" i="42667"/>
  <c r="V21" i="42667"/>
  <c r="V15" i="42667"/>
  <c r="V20" i="42667"/>
  <c r="V18" i="42667"/>
  <c r="V16" i="42667"/>
  <c r="Q45" i="42727" l="1"/>
  <c r="Q44" i="42727"/>
  <c r="Q43" i="42727"/>
  <c r="Q33" i="42727"/>
  <c r="Q32" i="42727"/>
  <c r="Q31" i="42727"/>
  <c r="Q30" i="42727"/>
  <c r="Q29" i="42727"/>
  <c r="U27" i="42727"/>
  <c r="Q26" i="42727"/>
  <c r="Q25" i="42727"/>
  <c r="Q24" i="42727"/>
  <c r="Q23" i="42727"/>
  <c r="Q22" i="42727"/>
  <c r="Q21" i="42727"/>
  <c r="Q20" i="42727"/>
  <c r="Q12" i="42727"/>
  <c r="Q11" i="42727"/>
  <c r="Q10" i="42727"/>
  <c r="Q9" i="42727"/>
  <c r="Q8" i="42727"/>
  <c r="Q7" i="42727"/>
  <c r="Q6" i="42727"/>
  <c r="Q13" i="42727" s="1"/>
  <c r="D7" i="42720"/>
  <c r="D8" i="42720"/>
  <c r="D6" i="42720"/>
  <c r="D12" i="42720" s="1"/>
  <c r="Q28" i="42727"/>
  <c r="Q35" i="42727"/>
  <c r="Q34" i="42727"/>
  <c r="Q27" i="42727"/>
  <c r="D13" i="42720" l="1"/>
  <c r="U23" i="42727"/>
  <c r="U21" i="42727"/>
  <c r="U20" i="42727"/>
  <c r="U28" i="42727" s="1"/>
  <c r="R12" i="42727"/>
  <c r="R11" i="42727"/>
  <c r="R10" i="42727"/>
  <c r="R9" i="42727"/>
  <c r="R8" i="42727"/>
  <c r="R7" i="42727"/>
  <c r="R6" i="42727"/>
  <c r="R13" i="42727" s="1"/>
  <c r="R43" i="42727"/>
  <c r="Q36" i="42727"/>
  <c r="R35" i="42727" s="1"/>
  <c r="Q46" i="42727"/>
  <c r="R44" i="42727" s="1"/>
  <c r="U22" i="42727"/>
  <c r="U24" i="42727"/>
  <c r="R45" i="42727" l="1"/>
  <c r="R32" i="42727"/>
  <c r="R25" i="42727"/>
  <c r="R21" i="42727"/>
  <c r="R31" i="42727"/>
  <c r="R26" i="42727"/>
  <c r="R24" i="42727"/>
  <c r="R22" i="42727"/>
  <c r="R20" i="42727"/>
  <c r="R36" i="42727" s="1"/>
  <c r="R46" i="42727"/>
  <c r="R30" i="42727"/>
  <c r="R23" i="42727"/>
  <c r="R33" i="42727"/>
  <c r="R29" i="42727"/>
  <c r="R28" i="42727"/>
  <c r="R34" i="42727"/>
  <c r="R27" i="42727"/>
  <c r="X13" i="42667" l="1"/>
  <c r="X12" i="42667"/>
  <c r="G21" i="42726" l="1"/>
  <c r="C21" i="42726" s="1"/>
  <c r="G20" i="42726"/>
  <c r="C20" i="42726" s="1"/>
  <c r="G19" i="42726"/>
  <c r="C19" i="42726" s="1"/>
  <c r="G18" i="42726"/>
  <c r="C18" i="42726" s="1"/>
  <c r="G17" i="42726"/>
  <c r="C17" i="42726" s="1"/>
  <c r="G16" i="42726"/>
  <c r="C16" i="42726" s="1"/>
  <c r="G15" i="42726"/>
  <c r="C15" i="42726" s="1"/>
  <c r="F14" i="42726"/>
  <c r="F22" i="42726" s="1"/>
  <c r="G22" i="42726" s="1"/>
  <c r="G13" i="42726"/>
  <c r="C13" i="42726" s="1"/>
  <c r="G12" i="42726"/>
  <c r="C12" i="42726" s="1"/>
  <c r="G11" i="42726"/>
  <c r="C11" i="42726" s="1"/>
  <c r="G10" i="42726"/>
  <c r="C10" i="42726" s="1"/>
  <c r="G9" i="42726"/>
  <c r="E9" i="42726"/>
  <c r="G8" i="42726"/>
  <c r="C8" i="42726" s="1"/>
  <c r="G7" i="42726"/>
  <c r="C7" i="42726" s="1"/>
  <c r="G6" i="42726"/>
  <c r="C6" i="42726" s="1"/>
  <c r="G5" i="42726"/>
  <c r="C5" i="42726" s="1"/>
  <c r="C9" i="42726" l="1"/>
  <c r="G14" i="42726"/>
  <c r="C14" i="42726" s="1"/>
  <c r="C25" i="42726" s="1"/>
  <c r="C24" i="42726"/>
  <c r="C22" i="42726"/>
  <c r="C27" i="42726"/>
  <c r="E22" i="42726"/>
  <c r="K23" i="42725"/>
  <c r="L23" i="42725" s="1"/>
  <c r="G22" i="42725"/>
  <c r="K22" i="42725" s="1"/>
  <c r="L22" i="42725" s="1"/>
  <c r="L21" i="42725"/>
  <c r="L19" i="42725"/>
  <c r="J18" i="42725"/>
  <c r="I17" i="42725"/>
  <c r="K17" i="42725" s="1"/>
  <c r="L17" i="42725" s="1"/>
  <c r="D16" i="42725"/>
  <c r="I16" i="42725" s="1"/>
  <c r="K15" i="42725"/>
  <c r="L15" i="42725" s="1"/>
  <c r="F15" i="42725"/>
  <c r="F18" i="42725" s="1"/>
  <c r="D14" i="42725"/>
  <c r="H14" i="42725" s="1"/>
  <c r="D13" i="42725"/>
  <c r="G12" i="42725"/>
  <c r="L11" i="42725"/>
  <c r="L10" i="42725"/>
  <c r="E41" i="42724"/>
  <c r="D41" i="42724"/>
  <c r="C41" i="42724"/>
  <c r="E42" i="42724" s="1"/>
  <c r="D35" i="42724"/>
  <c r="C34" i="42724"/>
  <c r="C33" i="42724"/>
  <c r="D27" i="42724"/>
  <c r="E27" i="42724" s="1"/>
  <c r="I7" i="42725" s="1"/>
  <c r="B26" i="42724"/>
  <c r="B25" i="42724"/>
  <c r="B24" i="42724"/>
  <c r="C23" i="42724"/>
  <c r="E23" i="42724" s="1"/>
  <c r="C22" i="42724"/>
  <c r="E22" i="42724" s="1"/>
  <c r="C21" i="42724"/>
  <c r="E21" i="42724" s="1"/>
  <c r="C20" i="42724"/>
  <c r="E20" i="42724" s="1"/>
  <c r="H7" i="42725" s="1"/>
  <c r="H9" i="42725" s="1"/>
  <c r="C19" i="42724"/>
  <c r="E19" i="42724" s="1"/>
  <c r="G7" i="42725" s="1"/>
  <c r="C18" i="42724"/>
  <c r="E18" i="42724" s="1"/>
  <c r="D7" i="42725" s="1"/>
  <c r="D15" i="42724"/>
  <c r="E15" i="42724" s="1"/>
  <c r="B14" i="42724"/>
  <c r="B13" i="42724"/>
  <c r="B12" i="42724"/>
  <c r="C11" i="42724"/>
  <c r="E11" i="42724" s="1"/>
  <c r="C10" i="42724"/>
  <c r="E10" i="42724" s="1"/>
  <c r="C9" i="42724"/>
  <c r="E9" i="42724" s="1"/>
  <c r="C8" i="42724"/>
  <c r="E8" i="42724" s="1"/>
  <c r="C7" i="42724"/>
  <c r="E7" i="42724" s="1"/>
  <c r="C6" i="42724"/>
  <c r="E6" i="42724" s="1"/>
  <c r="C5" i="42724"/>
  <c r="E5" i="42724" s="1"/>
  <c r="C4" i="42724"/>
  <c r="B33" i="42723"/>
  <c r="C44" i="42724" s="1"/>
  <c r="E28" i="42723"/>
  <c r="C25" i="42723"/>
  <c r="B23" i="42723"/>
  <c r="D23" i="42723" s="1"/>
  <c r="B19" i="42723"/>
  <c r="D19" i="42723" s="1"/>
  <c r="B11" i="42723"/>
  <c r="C35" i="42724" l="1"/>
  <c r="E35" i="42724" s="1"/>
  <c r="C26" i="42726"/>
  <c r="B25" i="42723"/>
  <c r="D25" i="42723" s="1"/>
  <c r="D18" i="42725"/>
  <c r="C28" i="42726"/>
  <c r="I18" i="42725"/>
  <c r="K16" i="42725"/>
  <c r="L16" i="42725" s="1"/>
  <c r="D14" i="42724"/>
  <c r="C12" i="42724"/>
  <c r="E12" i="42724" s="1"/>
  <c r="C45" i="42724"/>
  <c r="C13" i="42724"/>
  <c r="E13" i="42724" s="1"/>
  <c r="F7" i="42725"/>
  <c r="K14" i="42725"/>
  <c r="L14" i="42725" s="1"/>
  <c r="H18" i="42725"/>
  <c r="H20" i="42725" s="1"/>
  <c r="H24" i="42725" s="1"/>
  <c r="D11" i="42723"/>
  <c r="J7" i="42725"/>
  <c r="J9" i="42725" s="1"/>
  <c r="J20" i="42725" s="1"/>
  <c r="J24" i="42725" s="1"/>
  <c r="G13" i="42725"/>
  <c r="K13" i="42725" s="1"/>
  <c r="L13" i="42725" s="1"/>
  <c r="E4" i="42724"/>
  <c r="K12" i="42725"/>
  <c r="K18" i="42725" l="1"/>
  <c r="L18" i="42725" s="1"/>
  <c r="L12" i="42725"/>
  <c r="G18" i="42725"/>
  <c r="C24" i="42724"/>
  <c r="C25" i="42724"/>
  <c r="E25" i="42724" s="1"/>
  <c r="D26" i="42724"/>
  <c r="D16" i="42724"/>
  <c r="E14" i="42724"/>
  <c r="E16" i="42724" s="1"/>
  <c r="F9" i="42725"/>
  <c r="F20" i="42725" s="1"/>
  <c r="F24" i="42725" s="1"/>
  <c r="K7" i="42725"/>
  <c r="C16" i="42724"/>
  <c r="L7" i="42725" l="1"/>
  <c r="D28" i="42724"/>
  <c r="D30" i="42724" s="1"/>
  <c r="E26" i="42724"/>
  <c r="I8" i="42725" s="1"/>
  <c r="I9" i="42725" s="1"/>
  <c r="I20" i="42725" s="1"/>
  <c r="I24" i="42725" s="1"/>
  <c r="E24" i="42724"/>
  <c r="C28" i="42724"/>
  <c r="C30" i="42724" s="1"/>
  <c r="C37" i="42724" s="1"/>
  <c r="D37" i="42724" l="1"/>
  <c r="E37" i="42724" s="1"/>
  <c r="D8" i="42725"/>
  <c r="D9" i="42725" s="1"/>
  <c r="D20" i="42725" s="1"/>
  <c r="D24" i="42725" s="1"/>
  <c r="G8" i="42725"/>
  <c r="E28" i="42724"/>
  <c r="E30" i="42724" s="1"/>
  <c r="K8" i="42725" l="1"/>
  <c r="G9" i="42725"/>
  <c r="G20" i="42725" s="1"/>
  <c r="G24" i="42725" s="1"/>
  <c r="L8" i="42725" l="1"/>
  <c r="K9" i="42725"/>
  <c r="D158" i="42722"/>
  <c r="H158" i="42722" s="1"/>
  <c r="D157" i="42722"/>
  <c r="H157" i="42722" s="1"/>
  <c r="M155" i="42722"/>
  <c r="M159" i="42722" s="1"/>
  <c r="L155" i="42722"/>
  <c r="L159" i="42722" s="1"/>
  <c r="K155" i="42722"/>
  <c r="K159" i="42722" s="1"/>
  <c r="J155" i="42722"/>
  <c r="J159" i="42722" s="1"/>
  <c r="I155" i="42722"/>
  <c r="I159" i="42722" s="1"/>
  <c r="G153" i="42722"/>
  <c r="F153" i="42722"/>
  <c r="E153" i="42722"/>
  <c r="C153" i="42722"/>
  <c r="B153" i="42722"/>
  <c r="D152" i="42722"/>
  <c r="H152" i="42722" s="1"/>
  <c r="D151" i="42722"/>
  <c r="H151" i="42722" s="1"/>
  <c r="D150" i="42722"/>
  <c r="H150" i="42722" s="1"/>
  <c r="D149" i="42722"/>
  <c r="H149" i="42722" s="1"/>
  <c r="D148" i="42722"/>
  <c r="D153" i="42722" s="1"/>
  <c r="B142" i="42722"/>
  <c r="D142" i="42722" s="1"/>
  <c r="H142" i="42722" s="1"/>
  <c r="D141" i="42722"/>
  <c r="H141" i="42722" s="1"/>
  <c r="G136" i="42722"/>
  <c r="F136" i="42722"/>
  <c r="E136" i="42722"/>
  <c r="C136" i="42722"/>
  <c r="B136" i="42722"/>
  <c r="D135" i="42722"/>
  <c r="H135" i="42722" s="1"/>
  <c r="D134" i="42722"/>
  <c r="H134" i="42722" s="1"/>
  <c r="H136" i="42722" s="1"/>
  <c r="F131" i="42722"/>
  <c r="E131" i="42722"/>
  <c r="D130" i="42722"/>
  <c r="H130" i="42722" s="1"/>
  <c r="D129" i="42722"/>
  <c r="H129" i="42722" s="1"/>
  <c r="G128" i="42722"/>
  <c r="D128" i="42722"/>
  <c r="H128" i="42722" s="1"/>
  <c r="D127" i="42722"/>
  <c r="H127" i="42722" s="1"/>
  <c r="D126" i="42722"/>
  <c r="H126" i="42722" s="1"/>
  <c r="D125" i="42722"/>
  <c r="H125" i="42722" s="1"/>
  <c r="D124" i="42722"/>
  <c r="H124" i="42722" s="1"/>
  <c r="D123" i="42722"/>
  <c r="H123" i="42722" s="1"/>
  <c r="G122" i="42722"/>
  <c r="G131" i="42722" s="1"/>
  <c r="C122" i="42722"/>
  <c r="B122" i="42722"/>
  <c r="D122" i="42722" s="1"/>
  <c r="H122" i="42722" s="1"/>
  <c r="C121" i="42722"/>
  <c r="C131" i="42722" s="1"/>
  <c r="B121" i="42722"/>
  <c r="B131" i="42722" s="1"/>
  <c r="D120" i="42722"/>
  <c r="H120" i="42722" s="1"/>
  <c r="G117" i="42722"/>
  <c r="F117" i="42722"/>
  <c r="E117" i="42722"/>
  <c r="C117" i="42722"/>
  <c r="B117" i="42722"/>
  <c r="D116" i="42722"/>
  <c r="H116" i="42722" s="1"/>
  <c r="D115" i="42722"/>
  <c r="H115" i="42722" s="1"/>
  <c r="D114" i="42722"/>
  <c r="H114" i="42722" s="1"/>
  <c r="D113" i="42722"/>
  <c r="H113" i="42722" s="1"/>
  <c r="D112" i="42722"/>
  <c r="H112" i="42722" s="1"/>
  <c r="D111" i="42722"/>
  <c r="H111" i="42722" s="1"/>
  <c r="D110" i="42722"/>
  <c r="H110" i="42722" s="1"/>
  <c r="D109" i="42722"/>
  <c r="H109" i="42722" s="1"/>
  <c r="D108" i="42722"/>
  <c r="H108" i="42722" s="1"/>
  <c r="D107" i="42722"/>
  <c r="H107" i="42722" s="1"/>
  <c r="D106" i="42722"/>
  <c r="H106" i="42722" s="1"/>
  <c r="H117" i="42722" s="1"/>
  <c r="M103" i="42722"/>
  <c r="L103" i="42722"/>
  <c r="K103" i="42722"/>
  <c r="J103" i="42722"/>
  <c r="I103" i="42722"/>
  <c r="G103" i="42722"/>
  <c r="F103" i="42722"/>
  <c r="E103" i="42722"/>
  <c r="B103" i="42722"/>
  <c r="D102" i="42722"/>
  <c r="H102" i="42722" s="1"/>
  <c r="C102" i="42722"/>
  <c r="C103" i="42722" s="1"/>
  <c r="H101" i="42722"/>
  <c r="D101" i="42722"/>
  <c r="H100" i="42722"/>
  <c r="D100" i="42722"/>
  <c r="H99" i="42722"/>
  <c r="D99" i="42722"/>
  <c r="H98" i="42722"/>
  <c r="D98" i="42722"/>
  <c r="H97" i="42722"/>
  <c r="D97" i="42722"/>
  <c r="H96" i="42722"/>
  <c r="D96" i="42722"/>
  <c r="H95" i="42722"/>
  <c r="D95" i="42722"/>
  <c r="H94" i="42722"/>
  <c r="D94" i="42722"/>
  <c r="H93" i="42722"/>
  <c r="D93" i="42722"/>
  <c r="H92" i="42722"/>
  <c r="D92" i="42722"/>
  <c r="H91" i="42722"/>
  <c r="D91" i="42722"/>
  <c r="H90" i="42722"/>
  <c r="H103" i="42722" s="1"/>
  <c r="D90" i="42722"/>
  <c r="D103" i="42722" s="1"/>
  <c r="M85" i="42722"/>
  <c r="L85" i="42722"/>
  <c r="K85" i="42722"/>
  <c r="J85" i="42722"/>
  <c r="I85" i="42722"/>
  <c r="G85" i="42722"/>
  <c r="G138" i="42722" s="1"/>
  <c r="G143" i="42722" s="1"/>
  <c r="F85" i="42722"/>
  <c r="F138" i="42722" s="1"/>
  <c r="F143" i="42722" s="1"/>
  <c r="E85" i="42722"/>
  <c r="E138" i="42722" s="1"/>
  <c r="E143" i="42722" s="1"/>
  <c r="C85" i="42722"/>
  <c r="C138" i="42722" s="1"/>
  <c r="C143" i="42722" s="1"/>
  <c r="B85" i="42722"/>
  <c r="B138" i="42722" s="1"/>
  <c r="B143" i="42722" s="1"/>
  <c r="D84" i="42722"/>
  <c r="H84" i="42722" s="1"/>
  <c r="D83" i="42722"/>
  <c r="H83" i="42722" s="1"/>
  <c r="D82" i="42722"/>
  <c r="D85" i="42722" s="1"/>
  <c r="G76" i="42722"/>
  <c r="F76" i="42722"/>
  <c r="E76" i="42722"/>
  <c r="C76" i="42722"/>
  <c r="B75" i="42722"/>
  <c r="D75" i="42722" s="1"/>
  <c r="H75" i="42722" s="1"/>
  <c r="B74" i="42722"/>
  <c r="D74" i="42722" s="1"/>
  <c r="H74" i="42722" s="1"/>
  <c r="B73" i="42722"/>
  <c r="B76" i="42722" s="1"/>
  <c r="D72" i="42722"/>
  <c r="G67" i="42722"/>
  <c r="F67" i="42722"/>
  <c r="E67" i="42722"/>
  <c r="C67" i="42722"/>
  <c r="B67" i="42722"/>
  <c r="D66" i="42722"/>
  <c r="H66" i="42722" s="1"/>
  <c r="D65" i="42722"/>
  <c r="H65" i="42722" s="1"/>
  <c r="D64" i="42722"/>
  <c r="H64" i="42722" s="1"/>
  <c r="G61" i="42722"/>
  <c r="F61" i="42722"/>
  <c r="E61" i="42722"/>
  <c r="C61" i="42722"/>
  <c r="B61" i="42722"/>
  <c r="D60" i="42722"/>
  <c r="H60" i="42722" s="1"/>
  <c r="D59" i="42722"/>
  <c r="H59" i="42722" s="1"/>
  <c r="D58" i="42722"/>
  <c r="H58" i="42722" s="1"/>
  <c r="D57" i="42722"/>
  <c r="H57" i="42722" s="1"/>
  <c r="D56" i="42722"/>
  <c r="H56" i="42722" s="1"/>
  <c r="D55" i="42722"/>
  <c r="H55" i="42722" s="1"/>
  <c r="D54" i="42722"/>
  <c r="H54" i="42722" s="1"/>
  <c r="D53" i="42722"/>
  <c r="H53" i="42722" s="1"/>
  <c r="D52" i="42722"/>
  <c r="H52" i="42722" s="1"/>
  <c r="D51" i="42722"/>
  <c r="H51" i="42722" s="1"/>
  <c r="D50" i="42722"/>
  <c r="D61" i="42722" s="1"/>
  <c r="G47" i="42722"/>
  <c r="F47" i="42722"/>
  <c r="E47" i="42722"/>
  <c r="C47" i="42722"/>
  <c r="B47" i="42722"/>
  <c r="D46" i="42722"/>
  <c r="H46" i="42722" s="1"/>
  <c r="D45" i="42722"/>
  <c r="H45" i="42722" s="1"/>
  <c r="D44" i="42722"/>
  <c r="H44" i="42722" s="1"/>
  <c r="D43" i="42722"/>
  <c r="H43" i="42722" s="1"/>
  <c r="D42" i="42722"/>
  <c r="H42" i="42722" s="1"/>
  <c r="D41" i="42722"/>
  <c r="H41" i="42722" s="1"/>
  <c r="D40" i="42722"/>
  <c r="H40" i="42722" s="1"/>
  <c r="D39" i="42722"/>
  <c r="H39" i="42722" s="1"/>
  <c r="D38" i="42722"/>
  <c r="H38" i="42722" s="1"/>
  <c r="D37" i="42722"/>
  <c r="H37" i="42722" s="1"/>
  <c r="D36" i="42722"/>
  <c r="H36" i="42722" s="1"/>
  <c r="D35" i="42722"/>
  <c r="H35" i="42722" s="1"/>
  <c r="D34" i="42722"/>
  <c r="G31" i="42722"/>
  <c r="F31" i="42722"/>
  <c r="E31" i="42722"/>
  <c r="C31" i="42722"/>
  <c r="B31" i="42722"/>
  <c r="D30" i="42722"/>
  <c r="H30" i="42722" s="1"/>
  <c r="D29" i="42722"/>
  <c r="H29" i="42722" s="1"/>
  <c r="D28" i="42722"/>
  <c r="H28" i="42722" s="1"/>
  <c r="D27" i="42722"/>
  <c r="H27" i="42722" s="1"/>
  <c r="D26" i="42722"/>
  <c r="H26" i="42722" s="1"/>
  <c r="D25" i="42722"/>
  <c r="H25" i="42722" s="1"/>
  <c r="D24" i="42722"/>
  <c r="H24" i="42722" s="1"/>
  <c r="D23" i="42722"/>
  <c r="H23" i="42722" s="1"/>
  <c r="D22" i="42722"/>
  <c r="H22" i="42722" s="1"/>
  <c r="D21" i="42722"/>
  <c r="H21" i="42722" s="1"/>
  <c r="D20" i="42722"/>
  <c r="H20" i="42722" s="1"/>
  <c r="D19" i="42722"/>
  <c r="H19" i="42722" s="1"/>
  <c r="D18" i="42722"/>
  <c r="D31" i="42722" s="1"/>
  <c r="G13" i="42722"/>
  <c r="G69" i="42722" s="1"/>
  <c r="G78" i="42722" s="1"/>
  <c r="G145" i="42722" s="1"/>
  <c r="G155" i="42722" s="1"/>
  <c r="G159" i="42722" s="1"/>
  <c r="F13" i="42722"/>
  <c r="F69" i="42722" s="1"/>
  <c r="F78" i="42722" s="1"/>
  <c r="F145" i="42722" s="1"/>
  <c r="F155" i="42722" s="1"/>
  <c r="F159" i="42722" s="1"/>
  <c r="E13" i="42722"/>
  <c r="E69" i="42722" s="1"/>
  <c r="E78" i="42722" s="1"/>
  <c r="E145" i="42722" s="1"/>
  <c r="E155" i="42722" s="1"/>
  <c r="E159" i="42722" s="1"/>
  <c r="C13" i="42722"/>
  <c r="C69" i="42722" s="1"/>
  <c r="C78" i="42722" s="1"/>
  <c r="C145" i="42722" s="1"/>
  <c r="C155" i="42722" s="1"/>
  <c r="C159" i="42722" s="1"/>
  <c r="B13" i="42722"/>
  <c r="B69" i="42722" s="1"/>
  <c r="B78" i="42722" s="1"/>
  <c r="B145" i="42722" s="1"/>
  <c r="B155" i="42722" s="1"/>
  <c r="B159" i="42722" s="1"/>
  <c r="D12" i="42722"/>
  <c r="H12" i="42722" s="1"/>
  <c r="D11" i="42722"/>
  <c r="H11" i="42722" s="1"/>
  <c r="D10" i="42722"/>
  <c r="H10" i="42722" s="1"/>
  <c r="D9" i="42722"/>
  <c r="H9" i="42722" s="1"/>
  <c r="F176" i="42721"/>
  <c r="E176" i="42721"/>
  <c r="D176" i="42721"/>
  <c r="C176" i="42721"/>
  <c r="G175" i="42721"/>
  <c r="G174" i="42721"/>
  <c r="G176" i="42721" s="1"/>
  <c r="G173" i="42721"/>
  <c r="G172" i="42721"/>
  <c r="F171" i="42721"/>
  <c r="E171" i="42721"/>
  <c r="D171" i="42721"/>
  <c r="C171" i="42721"/>
  <c r="G170" i="42721"/>
  <c r="G171" i="42721" s="1"/>
  <c r="G169" i="42721"/>
  <c r="F168" i="42721"/>
  <c r="E168" i="42721"/>
  <c r="D168" i="42721"/>
  <c r="C168" i="42721"/>
  <c r="G167" i="42721"/>
  <c r="G166" i="42721"/>
  <c r="G168" i="42721" s="1"/>
  <c r="G165" i="42721"/>
  <c r="F163" i="42721"/>
  <c r="E163" i="42721"/>
  <c r="D163" i="42721"/>
  <c r="C163" i="42721"/>
  <c r="G162" i="42721"/>
  <c r="G163" i="42721" s="1"/>
  <c r="G161" i="42721"/>
  <c r="F158" i="42721"/>
  <c r="E158" i="42721"/>
  <c r="D158" i="42721"/>
  <c r="C158" i="42721"/>
  <c r="G157" i="42721"/>
  <c r="G156" i="42721"/>
  <c r="G155" i="42721"/>
  <c r="G154" i="42721"/>
  <c r="G153" i="42721"/>
  <c r="G152" i="42721"/>
  <c r="G151" i="42721"/>
  <c r="G150" i="42721"/>
  <c r="G158" i="42721" s="1"/>
  <c r="F148" i="42721"/>
  <c r="E148" i="42721"/>
  <c r="D148" i="42721"/>
  <c r="C148" i="42721"/>
  <c r="G147" i="42721"/>
  <c r="G148" i="42721" s="1"/>
  <c r="G146" i="42721"/>
  <c r="F145" i="42721"/>
  <c r="E145" i="42721"/>
  <c r="D145" i="42721"/>
  <c r="C145" i="42721"/>
  <c r="G144" i="42721"/>
  <c r="G143" i="42721"/>
  <c r="G142" i="42721"/>
  <c r="G145" i="42721" s="1"/>
  <c r="F140" i="42721"/>
  <c r="F159" i="42721" s="1"/>
  <c r="E140" i="42721"/>
  <c r="E159" i="42721" s="1"/>
  <c r="D140" i="42721"/>
  <c r="D159" i="42721" s="1"/>
  <c r="C140" i="42721"/>
  <c r="C159" i="42721" s="1"/>
  <c r="G139" i="42721"/>
  <c r="G138" i="42721"/>
  <c r="G140" i="42721" s="1"/>
  <c r="G159" i="42721" s="1"/>
  <c r="F133" i="42721"/>
  <c r="E133" i="42721"/>
  <c r="D133" i="42721"/>
  <c r="C133" i="42721"/>
  <c r="G132" i="42721"/>
  <c r="G131" i="42721"/>
  <c r="G130" i="42721"/>
  <c r="G129" i="42721"/>
  <c r="G128" i="42721"/>
  <c r="G127" i="42721"/>
  <c r="G126" i="42721"/>
  <c r="G125" i="42721"/>
  <c r="G124" i="42721"/>
  <c r="G123" i="42721"/>
  <c r="G122" i="42721"/>
  <c r="G121" i="42721"/>
  <c r="G120" i="42721"/>
  <c r="G119" i="42721"/>
  <c r="G133" i="42721" s="1"/>
  <c r="F117" i="42721"/>
  <c r="E117" i="42721"/>
  <c r="D117" i="42721"/>
  <c r="C117" i="42721"/>
  <c r="G116" i="42721"/>
  <c r="G117" i="42721" s="1"/>
  <c r="F114" i="42721"/>
  <c r="E114" i="42721"/>
  <c r="D114" i="42721"/>
  <c r="C114" i="42721"/>
  <c r="G113" i="42721"/>
  <c r="G112" i="42721"/>
  <c r="G111" i="42721"/>
  <c r="G110" i="42721"/>
  <c r="G109" i="42721"/>
  <c r="G108" i="42721"/>
  <c r="G107" i="42721"/>
  <c r="G114" i="42721" s="1"/>
  <c r="F105" i="42721"/>
  <c r="E105" i="42721"/>
  <c r="D105" i="42721"/>
  <c r="C105" i="42721"/>
  <c r="G104" i="42721"/>
  <c r="G103" i="42721"/>
  <c r="G102" i="42721"/>
  <c r="G101" i="42721"/>
  <c r="G100" i="42721"/>
  <c r="F98" i="42721"/>
  <c r="E98" i="42721"/>
  <c r="D98" i="42721"/>
  <c r="C98" i="42721"/>
  <c r="G97" i="42721"/>
  <c r="G96" i="42721"/>
  <c r="G95" i="42721"/>
  <c r="G94" i="42721"/>
  <c r="G93" i="42721"/>
  <c r="G92" i="42721"/>
  <c r="G91" i="42721"/>
  <c r="G90" i="42721"/>
  <c r="G89" i="42721"/>
  <c r="G88" i="42721"/>
  <c r="G87" i="42721"/>
  <c r="G86" i="42721"/>
  <c r="G85" i="42721"/>
  <c r="G84" i="42721"/>
  <c r="G83" i="42721"/>
  <c r="F81" i="42721"/>
  <c r="E81" i="42721"/>
  <c r="D81" i="42721"/>
  <c r="C81" i="42721"/>
  <c r="G80" i="42721"/>
  <c r="G79" i="42721"/>
  <c r="G78" i="42721"/>
  <c r="G77" i="42721"/>
  <c r="G76" i="42721"/>
  <c r="G75" i="42721"/>
  <c r="G74" i="42721"/>
  <c r="G73" i="42721"/>
  <c r="G81" i="42721" s="1"/>
  <c r="F71" i="42721"/>
  <c r="E71" i="42721"/>
  <c r="D71" i="42721"/>
  <c r="C71" i="42721"/>
  <c r="G70" i="42721"/>
  <c r="G69" i="42721"/>
  <c r="G68" i="42721"/>
  <c r="G67" i="42721"/>
  <c r="G66" i="42721"/>
  <c r="G65" i="42721"/>
  <c r="G64" i="42721"/>
  <c r="G63" i="42721"/>
  <c r="G62" i="42721"/>
  <c r="G61" i="42721"/>
  <c r="G60" i="42721"/>
  <c r="G59" i="42721"/>
  <c r="G58" i="42721"/>
  <c r="G57" i="42721"/>
  <c r="G56" i="42721"/>
  <c r="G55" i="42721"/>
  <c r="G54" i="42721"/>
  <c r="G53" i="42721"/>
  <c r="G52" i="42721"/>
  <c r="G51" i="42721"/>
  <c r="G50" i="42721"/>
  <c r="G49" i="42721"/>
  <c r="G48" i="42721"/>
  <c r="G47" i="42721"/>
  <c r="G46" i="42721"/>
  <c r="G45" i="42721"/>
  <c r="G44" i="42721"/>
  <c r="G43" i="42721"/>
  <c r="G42" i="42721"/>
  <c r="G41" i="42721"/>
  <c r="G40" i="42721"/>
  <c r="G39" i="42721"/>
  <c r="G38" i="42721"/>
  <c r="G37" i="42721"/>
  <c r="G36" i="42721"/>
  <c r="G35" i="42721"/>
  <c r="G71" i="42721" s="1"/>
  <c r="F28" i="42721"/>
  <c r="F29" i="42721" s="1"/>
  <c r="E28" i="42721"/>
  <c r="E29" i="42721" s="1"/>
  <c r="D28" i="42721"/>
  <c r="D29" i="42721" s="1"/>
  <c r="C28" i="42721"/>
  <c r="C29" i="42721" s="1"/>
  <c r="G27" i="42721"/>
  <c r="G26" i="42721"/>
  <c r="G25" i="42721"/>
  <c r="G24" i="42721"/>
  <c r="G23" i="42721"/>
  <c r="F18" i="42721"/>
  <c r="E18" i="42721"/>
  <c r="D18" i="42721"/>
  <c r="C18" i="42721"/>
  <c r="G17" i="42721"/>
  <c r="G16" i="42721"/>
  <c r="G15" i="42721"/>
  <c r="G14" i="42721"/>
  <c r="G13" i="42721"/>
  <c r="G12" i="42721"/>
  <c r="F10" i="42721"/>
  <c r="E10" i="42721"/>
  <c r="D10" i="42721"/>
  <c r="C10" i="42721"/>
  <c r="G9" i="42721"/>
  <c r="G8" i="42721"/>
  <c r="G7" i="42721"/>
  <c r="G10" i="42721" s="1"/>
  <c r="D19" i="42721" l="1"/>
  <c r="D30" i="42721" s="1"/>
  <c r="F19" i="42721"/>
  <c r="F30" i="42721" s="1"/>
  <c r="G98" i="42721"/>
  <c r="C134" i="42721"/>
  <c r="E134" i="42721"/>
  <c r="H50" i="42722"/>
  <c r="H61" i="42722" s="1"/>
  <c r="H67" i="42722"/>
  <c r="H82" i="42722"/>
  <c r="H85" i="42722" s="1"/>
  <c r="G18" i="42721"/>
  <c r="C19" i="42721"/>
  <c r="E19" i="42721"/>
  <c r="G28" i="42721"/>
  <c r="G29" i="42721" s="1"/>
  <c r="G105" i="42721"/>
  <c r="D134" i="42721"/>
  <c r="F134" i="42721"/>
  <c r="H18" i="42722"/>
  <c r="H31" i="42722" s="1"/>
  <c r="L9" i="42725"/>
  <c r="K20" i="42725"/>
  <c r="G134" i="42721"/>
  <c r="G19" i="42721"/>
  <c r="G30" i="42721" s="1"/>
  <c r="C30" i="42721"/>
  <c r="C178" i="42721" s="1"/>
  <c r="E30" i="42721"/>
  <c r="E178" i="42721" s="1"/>
  <c r="H13" i="42722"/>
  <c r="D13" i="42722"/>
  <c r="H34" i="42722"/>
  <c r="H47" i="42722" s="1"/>
  <c r="D47" i="42722"/>
  <c r="D67" i="42722"/>
  <c r="D117" i="42722"/>
  <c r="D136" i="42722"/>
  <c r="H148" i="42722"/>
  <c r="H153" i="42722" s="1"/>
  <c r="H72" i="42722"/>
  <c r="D73" i="42722"/>
  <c r="H73" i="42722" s="1"/>
  <c r="D121" i="42722"/>
  <c r="H121" i="42722" s="1"/>
  <c r="H131" i="42722" s="1"/>
  <c r="H138" i="42722" s="1"/>
  <c r="H143" i="42722" s="1"/>
  <c r="F178" i="42721" l="1"/>
  <c r="D178" i="42721"/>
  <c r="L20" i="42725"/>
  <c r="K24" i="42725"/>
  <c r="L24" i="42725" s="1"/>
  <c r="H76" i="42722"/>
  <c r="D69" i="42722"/>
  <c r="D78" i="42722" s="1"/>
  <c r="G178" i="42721"/>
  <c r="D131" i="42722"/>
  <c r="D138" i="42722" s="1"/>
  <c r="D143" i="42722" s="1"/>
  <c r="D76" i="42722"/>
  <c r="H69" i="42722"/>
  <c r="H78" i="42722" s="1"/>
  <c r="H145" i="42722" s="1"/>
  <c r="H155" i="42722" s="1"/>
  <c r="H159" i="42722" s="1"/>
  <c r="D145" i="42722" l="1"/>
  <c r="D155" i="42722" s="1"/>
  <c r="D159" i="42722" s="1"/>
  <c r="D30" i="42720" l="1"/>
  <c r="A27" i="42720"/>
  <c r="A26" i="42720"/>
  <c r="A25" i="42720"/>
  <c r="A24" i="42720"/>
  <c r="A23" i="42720"/>
  <c r="A22" i="42720"/>
  <c r="A21" i="42720"/>
  <c r="A20" i="42720"/>
  <c r="A19" i="42720"/>
  <c r="A18" i="42720"/>
  <c r="A17" i="42720"/>
  <c r="A16" i="42720"/>
  <c r="A15" i="42720"/>
  <c r="D14" i="42720"/>
  <c r="D15" i="42720" s="1"/>
  <c r="A14" i="42720"/>
  <c r="A13" i="42720"/>
  <c r="A12" i="42720"/>
  <c r="A11" i="42720"/>
  <c r="A10" i="42720"/>
  <c r="A9" i="42720"/>
  <c r="E8" i="42720"/>
  <c r="A8" i="42720"/>
  <c r="E7" i="42720"/>
  <c r="A7" i="42720"/>
  <c r="E6" i="42720"/>
  <c r="A6" i="42720"/>
  <c r="D16" i="42720" l="1"/>
  <c r="D17" i="42720" s="1"/>
  <c r="D21" i="42720" s="1"/>
  <c r="D25" i="42720" s="1"/>
  <c r="D37" i="42702"/>
  <c r="D36" i="42702"/>
  <c r="D35" i="42702"/>
  <c r="D34" i="42702"/>
  <c r="D33" i="42702"/>
  <c r="D32" i="42702"/>
  <c r="B32" i="42702"/>
  <c r="B33" i="42702" s="1"/>
  <c r="B34" i="42702" s="1"/>
  <c r="B35" i="42702" s="1"/>
  <c r="B36" i="42702" s="1"/>
  <c r="B37" i="42702" s="1"/>
  <c r="B38" i="42702" s="1"/>
  <c r="B39" i="42702" s="1"/>
  <c r="D31" i="42702"/>
  <c r="D39" i="42702" s="1"/>
  <c r="H22" i="42702"/>
  <c r="B12" i="42702"/>
  <c r="B13" i="42702" s="1"/>
  <c r="B14" i="42702" s="1"/>
  <c r="B15" i="42702" s="1"/>
  <c r="B16" i="42702" s="1"/>
  <c r="B17" i="42702" s="1"/>
  <c r="B18" i="42702" s="1"/>
  <c r="B20" i="42702" s="1"/>
  <c r="B21" i="42702" s="1"/>
  <c r="B22" i="42702" s="1"/>
  <c r="B23" i="42702" s="1"/>
  <c r="B4" i="42702"/>
  <c r="B2" i="42702"/>
  <c r="B1" i="42702"/>
  <c r="D30" i="42701"/>
  <c r="P26" i="42701"/>
  <c r="P27" i="42701" s="1"/>
  <c r="O26" i="42701"/>
  <c r="N26" i="42701"/>
  <c r="M26" i="42701"/>
  <c r="K26" i="42701"/>
  <c r="J26" i="42701"/>
  <c r="I26" i="42701"/>
  <c r="H26" i="42701"/>
  <c r="G26" i="42701"/>
  <c r="E26" i="42701"/>
  <c r="D26" i="42701"/>
  <c r="D21" i="42702" s="1"/>
  <c r="O25" i="42701"/>
  <c r="O27" i="42701" s="1"/>
  <c r="N25" i="42701"/>
  <c r="N27" i="42701" s="1"/>
  <c r="M25" i="42701"/>
  <c r="M27" i="42701" s="1"/>
  <c r="J25" i="42701"/>
  <c r="J27" i="42701" s="1"/>
  <c r="G25" i="42701"/>
  <c r="G27" i="42701" s="1"/>
  <c r="F25" i="42701"/>
  <c r="E25" i="42701"/>
  <c r="E27" i="42701" s="1"/>
  <c r="D25" i="42701"/>
  <c r="D20" i="42702" s="1"/>
  <c r="S24" i="42701"/>
  <c r="P23" i="42701"/>
  <c r="P28" i="42701" s="1"/>
  <c r="O22" i="42701"/>
  <c r="M22" i="42701"/>
  <c r="L22" i="42701"/>
  <c r="D22" i="42701"/>
  <c r="D17" i="42702" s="1"/>
  <c r="M21" i="42701"/>
  <c r="L21" i="42701"/>
  <c r="D21" i="42701"/>
  <c r="M20" i="42701"/>
  <c r="L20" i="42701"/>
  <c r="D20" i="42701"/>
  <c r="D16" i="42702" s="1"/>
  <c r="O19" i="42701"/>
  <c r="L19" i="42701"/>
  <c r="F19" i="42701"/>
  <c r="D19" i="42701"/>
  <c r="M18" i="42701"/>
  <c r="L18" i="42701"/>
  <c r="D18" i="42701"/>
  <c r="D17" i="42701"/>
  <c r="M16" i="42701"/>
  <c r="D16" i="42701"/>
  <c r="D14" i="42702" s="1"/>
  <c r="L15" i="42701"/>
  <c r="D15" i="42701"/>
  <c r="L14" i="42701"/>
  <c r="D14" i="42701"/>
  <c r="D13" i="42702" s="1"/>
  <c r="L13" i="42701"/>
  <c r="D13" i="42701"/>
  <c r="D12" i="42702" s="1"/>
  <c r="B13" i="42701"/>
  <c r="B14" i="42701" s="1"/>
  <c r="B15" i="42701" s="1"/>
  <c r="B16" i="42701" s="1"/>
  <c r="B17" i="42701" s="1"/>
  <c r="B18" i="42701" s="1"/>
  <c r="B19" i="42701" s="1"/>
  <c r="B20" i="42701" s="1"/>
  <c r="B21" i="42701" s="1"/>
  <c r="B22" i="42701" s="1"/>
  <c r="B23" i="42701" s="1"/>
  <c r="B25" i="42701" s="1"/>
  <c r="B26" i="42701" s="1"/>
  <c r="B27" i="42701" s="1"/>
  <c r="B28" i="42701" s="1"/>
  <c r="B30" i="42701" s="1"/>
  <c r="B31" i="42701" s="1"/>
  <c r="B39" i="42701" s="1"/>
  <c r="B40" i="42701" s="1"/>
  <c r="B41" i="42701" s="1"/>
  <c r="B42" i="42701" s="1"/>
  <c r="B43" i="42701" s="1"/>
  <c r="B44" i="42701" s="1"/>
  <c r="B45" i="42701" s="1"/>
  <c r="B46" i="42701" s="1"/>
  <c r="B47" i="42701" s="1"/>
  <c r="B48" i="42701" s="1"/>
  <c r="B49" i="42701" s="1"/>
  <c r="B50" i="42701" s="1"/>
  <c r="M12" i="42701"/>
  <c r="L12" i="42701"/>
  <c r="D12" i="42701"/>
  <c r="B4" i="42701"/>
  <c r="B2" i="42701"/>
  <c r="B1" i="42701"/>
  <c r="D21" i="42700"/>
  <c r="F20" i="42700"/>
  <c r="F19" i="42700"/>
  <c r="F18" i="42700"/>
  <c r="H17" i="42700"/>
  <c r="F17" i="42700"/>
  <c r="F16" i="42700"/>
  <c r="H15" i="42700"/>
  <c r="F15" i="42700"/>
  <c r="F14" i="42700"/>
  <c r="H13" i="42700"/>
  <c r="F13" i="42700"/>
  <c r="G12" i="42700"/>
  <c r="F12" i="42700"/>
  <c r="G11" i="42700"/>
  <c r="G21" i="42700" s="1"/>
  <c r="F11" i="42700"/>
  <c r="F21" i="42700" s="1"/>
  <c r="B11" i="42700"/>
  <c r="B12" i="42700" s="1"/>
  <c r="B13" i="42700" s="1"/>
  <c r="B14" i="42700" s="1"/>
  <c r="B15" i="42700" s="1"/>
  <c r="B16" i="42700" s="1"/>
  <c r="B17" i="42700" s="1"/>
  <c r="B18" i="42700" s="1"/>
  <c r="B19" i="42700" s="1"/>
  <c r="B20" i="42700" s="1"/>
  <c r="B21" i="42700" s="1"/>
  <c r="B4" i="42700"/>
  <c r="B2" i="42700"/>
  <c r="B1" i="42700"/>
  <c r="AE32" i="42699"/>
  <c r="T30" i="42699"/>
  <c r="S30" i="42699"/>
  <c r="R30" i="42699"/>
  <c r="Q30" i="42699"/>
  <c r="P30" i="42699"/>
  <c r="O30" i="42699"/>
  <c r="M30" i="42699"/>
  <c r="J30" i="42699"/>
  <c r="I30" i="42699"/>
  <c r="H30" i="42699"/>
  <c r="G30" i="42699"/>
  <c r="E30" i="42699"/>
  <c r="D30" i="42699"/>
  <c r="AE27" i="42699"/>
  <c r="T26" i="42699"/>
  <c r="T31" i="42699" s="1"/>
  <c r="D26" i="42699"/>
  <c r="D31" i="42699" s="1"/>
  <c r="D47" i="42699" s="1"/>
  <c r="Z25" i="42699"/>
  <c r="F49" i="42701" s="1"/>
  <c r="Y25" i="42699"/>
  <c r="E49" i="42701" s="1"/>
  <c r="H17" i="42702" s="1"/>
  <c r="J25" i="42699"/>
  <c r="I25" i="42699"/>
  <c r="H25" i="42699"/>
  <c r="F25" i="42699"/>
  <c r="F22" i="42701" s="1"/>
  <c r="E25" i="42699"/>
  <c r="E22" i="42701" s="1"/>
  <c r="I24" i="42699"/>
  <c r="H24" i="42699"/>
  <c r="F24" i="42699"/>
  <c r="F21" i="42701" s="1"/>
  <c r="E24" i="42699"/>
  <c r="E21" i="42701" s="1"/>
  <c r="J23" i="42699"/>
  <c r="I23" i="42699"/>
  <c r="H23" i="42699"/>
  <c r="G23" i="42699"/>
  <c r="F23" i="42699"/>
  <c r="F20" i="42701" s="1"/>
  <c r="E23" i="42699"/>
  <c r="E20" i="42701" s="1"/>
  <c r="P22" i="42699"/>
  <c r="M19" i="42701" s="1"/>
  <c r="J22" i="42699"/>
  <c r="I22" i="42699"/>
  <c r="H22" i="42699"/>
  <c r="E22" i="42699"/>
  <c r="E19" i="42701" s="1"/>
  <c r="J21" i="42699"/>
  <c r="I21" i="42699"/>
  <c r="H21" i="42699"/>
  <c r="G21" i="42699"/>
  <c r="G18" i="42701" s="1"/>
  <c r="F21" i="42699"/>
  <c r="F18" i="42701" s="1"/>
  <c r="E21" i="42699"/>
  <c r="E18" i="42701" s="1"/>
  <c r="P20" i="42699"/>
  <c r="M17" i="42701" s="1"/>
  <c r="J20" i="42699"/>
  <c r="I20" i="42699"/>
  <c r="H20" i="42699"/>
  <c r="F20" i="42699"/>
  <c r="F17" i="42701" s="1"/>
  <c r="E20" i="42699"/>
  <c r="E17" i="42701" s="1"/>
  <c r="J19" i="42699"/>
  <c r="I19" i="42699"/>
  <c r="H19" i="42699"/>
  <c r="G19" i="42699"/>
  <c r="F19" i="42699"/>
  <c r="F16" i="42701" s="1"/>
  <c r="E19" i="42699"/>
  <c r="E16" i="42701" s="1"/>
  <c r="Z18" i="42699"/>
  <c r="Y18" i="42699"/>
  <c r="J18" i="42699"/>
  <c r="H18" i="42699"/>
  <c r="E18" i="42699"/>
  <c r="P17" i="42699"/>
  <c r="M15" i="42701" s="1"/>
  <c r="J17" i="42699"/>
  <c r="I17" i="42699"/>
  <c r="H17" i="42699"/>
  <c r="F17" i="42699"/>
  <c r="F15" i="42701" s="1"/>
  <c r="E17" i="42699"/>
  <c r="E15" i="42701" s="1"/>
  <c r="Q16" i="42699"/>
  <c r="P16" i="42699"/>
  <c r="J16" i="42699"/>
  <c r="I16" i="42699"/>
  <c r="H16" i="42699"/>
  <c r="G16" i="42699"/>
  <c r="E16" i="42699"/>
  <c r="E14" i="42701" s="1"/>
  <c r="Q15" i="42699"/>
  <c r="P15" i="42699"/>
  <c r="I15" i="42699"/>
  <c r="H15" i="42699"/>
  <c r="G15" i="42699"/>
  <c r="E15" i="42699"/>
  <c r="E13" i="42701" s="1"/>
  <c r="I14" i="42699"/>
  <c r="H14" i="42699"/>
  <c r="J13" i="42699"/>
  <c r="I13" i="42699"/>
  <c r="H13" i="42699"/>
  <c r="E13" i="42699"/>
  <c r="B13" i="42699"/>
  <c r="B14" i="42699" s="1"/>
  <c r="B15" i="42699" s="1"/>
  <c r="B16" i="42699" s="1"/>
  <c r="B17" i="42699" s="1"/>
  <c r="B18" i="42699" s="1"/>
  <c r="B19" i="42699" s="1"/>
  <c r="B20" i="42699" s="1"/>
  <c r="B21" i="42699" s="1"/>
  <c r="B22" i="42699" s="1"/>
  <c r="B23" i="42699" s="1"/>
  <c r="B24" i="42699" s="1"/>
  <c r="B25" i="42699" s="1"/>
  <c r="B26" i="42699" s="1"/>
  <c r="B28" i="42699" s="1"/>
  <c r="B29" i="42699" s="1"/>
  <c r="B30" i="42699" s="1"/>
  <c r="B31" i="42699" s="1"/>
  <c r="B33" i="42699" s="1"/>
  <c r="B34" i="42699" s="1"/>
  <c r="J12" i="42699"/>
  <c r="I12" i="42699"/>
  <c r="I26" i="42699" s="1"/>
  <c r="I31" i="42699" s="1"/>
  <c r="H12" i="42699"/>
  <c r="H26" i="42699" s="1"/>
  <c r="G12" i="42699"/>
  <c r="E12" i="42699"/>
  <c r="F614" i="42698"/>
  <c r="F237" i="42698"/>
  <c r="F433" i="42698" s="1"/>
  <c r="F236" i="42698"/>
  <c r="F432" i="42698" s="1"/>
  <c r="F209" i="42698"/>
  <c r="F390" i="42698" s="1"/>
  <c r="F208" i="42698"/>
  <c r="F389" i="42698" s="1"/>
  <c r="F164" i="42698"/>
  <c r="F347" i="42698" s="1"/>
  <c r="F163" i="42698"/>
  <c r="F346" i="42698" s="1"/>
  <c r="F114" i="42698"/>
  <c r="F299" i="42698" s="1"/>
  <c r="F113" i="42698"/>
  <c r="F298" i="42698" s="1"/>
  <c r="F94" i="42698"/>
  <c r="F57" i="42698"/>
  <c r="F39" i="42698"/>
  <c r="E32" i="42698"/>
  <c r="D32" i="42698"/>
  <c r="E699" i="42698" s="1"/>
  <c r="E31" i="42698"/>
  <c r="D31" i="42698"/>
  <c r="E698" i="42698" s="1"/>
  <c r="E30" i="42698"/>
  <c r="D30" i="42698"/>
  <c r="E697" i="42698" s="1"/>
  <c r="E29" i="42698"/>
  <c r="D29" i="42698"/>
  <c r="E696" i="42698" s="1"/>
  <c r="D28" i="42698"/>
  <c r="E695" i="42698" s="1"/>
  <c r="D27" i="42698"/>
  <c r="E692" i="42698" s="1"/>
  <c r="D26" i="42698"/>
  <c r="E693" i="42698" s="1"/>
  <c r="B4" i="42698"/>
  <c r="B2" i="42698"/>
  <c r="B1" i="42698"/>
  <c r="R960" i="42697"/>
  <c r="D716" i="42698" s="1"/>
  <c r="R952" i="42697"/>
  <c r="F926" i="42697"/>
  <c r="G926" i="42697" s="1"/>
  <c r="H926" i="42697" s="1"/>
  <c r="I926" i="42697" s="1"/>
  <c r="J926" i="42697" s="1"/>
  <c r="K926" i="42697" s="1"/>
  <c r="L926" i="42697" s="1"/>
  <c r="M926" i="42697" s="1"/>
  <c r="N926" i="42697" s="1"/>
  <c r="O926" i="42697" s="1"/>
  <c r="P926" i="42697" s="1"/>
  <c r="Q926" i="42697" s="1"/>
  <c r="Q781" i="42697"/>
  <c r="Q904" i="42697" s="1"/>
  <c r="Q917" i="42697" s="1"/>
  <c r="P781" i="42697"/>
  <c r="P904" i="42697" s="1"/>
  <c r="P917" i="42697" s="1"/>
  <c r="O781" i="42697"/>
  <c r="O904" i="42697" s="1"/>
  <c r="O917" i="42697" s="1"/>
  <c r="N781" i="42697"/>
  <c r="N904" i="42697" s="1"/>
  <c r="N917" i="42697" s="1"/>
  <c r="M781" i="42697"/>
  <c r="M904" i="42697" s="1"/>
  <c r="M917" i="42697" s="1"/>
  <c r="L781" i="42697"/>
  <c r="L904" i="42697" s="1"/>
  <c r="L917" i="42697" s="1"/>
  <c r="K781" i="42697"/>
  <c r="K904" i="42697" s="1"/>
  <c r="K917" i="42697" s="1"/>
  <c r="J781" i="42697"/>
  <c r="J904" i="42697" s="1"/>
  <c r="J917" i="42697" s="1"/>
  <c r="I781" i="42697"/>
  <c r="I904" i="42697" s="1"/>
  <c r="I917" i="42697" s="1"/>
  <c r="H781" i="42697"/>
  <c r="H904" i="42697" s="1"/>
  <c r="H917" i="42697" s="1"/>
  <c r="G781" i="42697"/>
  <c r="G904" i="42697" s="1"/>
  <c r="G917" i="42697" s="1"/>
  <c r="F781" i="42697"/>
  <c r="F904" i="42697" s="1"/>
  <c r="Q772" i="42697"/>
  <c r="Q820" i="42697" s="1"/>
  <c r="Q835" i="42697" s="1"/>
  <c r="P772" i="42697"/>
  <c r="P820" i="42697" s="1"/>
  <c r="P835" i="42697" s="1"/>
  <c r="O772" i="42697"/>
  <c r="O820" i="42697" s="1"/>
  <c r="O835" i="42697" s="1"/>
  <c r="N772" i="42697"/>
  <c r="N820" i="42697" s="1"/>
  <c r="N835" i="42697" s="1"/>
  <c r="M772" i="42697"/>
  <c r="M820" i="42697" s="1"/>
  <c r="M835" i="42697" s="1"/>
  <c r="L772" i="42697"/>
  <c r="L820" i="42697" s="1"/>
  <c r="L835" i="42697" s="1"/>
  <c r="K772" i="42697"/>
  <c r="K820" i="42697" s="1"/>
  <c r="K835" i="42697" s="1"/>
  <c r="J772" i="42697"/>
  <c r="J820" i="42697" s="1"/>
  <c r="J835" i="42697" s="1"/>
  <c r="I772" i="42697"/>
  <c r="I820" i="42697" s="1"/>
  <c r="I835" i="42697" s="1"/>
  <c r="H772" i="42697"/>
  <c r="H820" i="42697" s="1"/>
  <c r="H835" i="42697" s="1"/>
  <c r="G772" i="42697"/>
  <c r="G820" i="42697" s="1"/>
  <c r="G835" i="42697" s="1"/>
  <c r="F772" i="42697"/>
  <c r="F820" i="42697" s="1"/>
  <c r="Q769" i="42697"/>
  <c r="Q793" i="42697" s="1"/>
  <c r="P769" i="42697"/>
  <c r="P793" i="42697" s="1"/>
  <c r="O769" i="42697"/>
  <c r="O793" i="42697" s="1"/>
  <c r="N769" i="42697"/>
  <c r="N793" i="42697" s="1"/>
  <c r="M769" i="42697"/>
  <c r="M793" i="42697" s="1"/>
  <c r="L769" i="42697"/>
  <c r="L793" i="42697" s="1"/>
  <c r="K769" i="42697"/>
  <c r="K793" i="42697" s="1"/>
  <c r="J769" i="42697"/>
  <c r="J793" i="42697" s="1"/>
  <c r="I769" i="42697"/>
  <c r="I793" i="42697" s="1"/>
  <c r="H769" i="42697"/>
  <c r="H793" i="42697" s="1"/>
  <c r="G769" i="42697"/>
  <c r="G793" i="42697" s="1"/>
  <c r="F769" i="42697"/>
  <c r="F793" i="42697" s="1"/>
  <c r="R793" i="42697" s="1"/>
  <c r="F480" i="42698" s="1"/>
  <c r="Q768" i="42697"/>
  <c r="P768" i="42697"/>
  <c r="O768" i="42697"/>
  <c r="N768" i="42697"/>
  <c r="M768" i="42697"/>
  <c r="L768" i="42697"/>
  <c r="K768" i="42697"/>
  <c r="J768" i="42697"/>
  <c r="I768" i="42697"/>
  <c r="H768" i="42697"/>
  <c r="G768" i="42697"/>
  <c r="F768" i="42697"/>
  <c r="Q767" i="42697"/>
  <c r="P767" i="42697"/>
  <c r="O767" i="42697"/>
  <c r="N767" i="42697"/>
  <c r="M767" i="42697"/>
  <c r="L767" i="42697"/>
  <c r="K767" i="42697"/>
  <c r="J767" i="42697"/>
  <c r="I767" i="42697"/>
  <c r="H767" i="42697"/>
  <c r="G767" i="42697"/>
  <c r="F767" i="42697"/>
  <c r="Q766" i="42697"/>
  <c r="P766" i="42697"/>
  <c r="O766" i="42697"/>
  <c r="N766" i="42697"/>
  <c r="M766" i="42697"/>
  <c r="L766" i="42697"/>
  <c r="K766" i="42697"/>
  <c r="J766" i="42697"/>
  <c r="I766" i="42697"/>
  <c r="H766" i="42697"/>
  <c r="G766" i="42697"/>
  <c r="F766" i="42697"/>
  <c r="Q765" i="42697"/>
  <c r="P765" i="42697"/>
  <c r="O765" i="42697"/>
  <c r="N765" i="42697"/>
  <c r="M765" i="42697"/>
  <c r="L765" i="42697"/>
  <c r="K765" i="42697"/>
  <c r="J765" i="42697"/>
  <c r="I765" i="42697"/>
  <c r="H765" i="42697"/>
  <c r="G765" i="42697"/>
  <c r="F765" i="42697"/>
  <c r="Q764" i="42697"/>
  <c r="P764" i="42697"/>
  <c r="O764" i="42697"/>
  <c r="N764" i="42697"/>
  <c r="M764" i="42697"/>
  <c r="L764" i="42697"/>
  <c r="K764" i="42697"/>
  <c r="J764" i="42697"/>
  <c r="I764" i="42697"/>
  <c r="H764" i="42697"/>
  <c r="G764" i="42697"/>
  <c r="F764" i="42697"/>
  <c r="Q763" i="42697"/>
  <c r="P763" i="42697"/>
  <c r="O763" i="42697"/>
  <c r="N763" i="42697"/>
  <c r="M763" i="42697"/>
  <c r="L763" i="42697"/>
  <c r="K763" i="42697"/>
  <c r="J763" i="42697"/>
  <c r="I763" i="42697"/>
  <c r="H763" i="42697"/>
  <c r="G763" i="42697"/>
  <c r="F763" i="42697"/>
  <c r="Q761" i="42697"/>
  <c r="Q784" i="42697" s="1"/>
  <c r="P761" i="42697"/>
  <c r="P784" i="42697" s="1"/>
  <c r="O761" i="42697"/>
  <c r="O784" i="42697" s="1"/>
  <c r="N761" i="42697"/>
  <c r="N784" i="42697" s="1"/>
  <c r="M761" i="42697"/>
  <c r="M784" i="42697" s="1"/>
  <c r="L761" i="42697"/>
  <c r="L784" i="42697" s="1"/>
  <c r="K761" i="42697"/>
  <c r="K784" i="42697" s="1"/>
  <c r="J761" i="42697"/>
  <c r="J784" i="42697" s="1"/>
  <c r="I761" i="42697"/>
  <c r="I784" i="42697" s="1"/>
  <c r="H761" i="42697"/>
  <c r="H784" i="42697" s="1"/>
  <c r="G761" i="42697"/>
  <c r="G784" i="42697" s="1"/>
  <c r="F761" i="42697"/>
  <c r="F784" i="42697" s="1"/>
  <c r="Q753" i="42697"/>
  <c r="P753" i="42697"/>
  <c r="O753" i="42697"/>
  <c r="N753" i="42697"/>
  <c r="M753" i="42697"/>
  <c r="L753" i="42697"/>
  <c r="K753" i="42697"/>
  <c r="J753" i="42697"/>
  <c r="I753" i="42697"/>
  <c r="H753" i="42697"/>
  <c r="G753" i="42697"/>
  <c r="F753" i="42697"/>
  <c r="R753" i="42697" s="1"/>
  <c r="F449" i="42698" s="1"/>
  <c r="Q734" i="42697"/>
  <c r="Q903" i="42697" s="1"/>
  <c r="P734" i="42697"/>
  <c r="P903" i="42697" s="1"/>
  <c r="O734" i="42697"/>
  <c r="O903" i="42697" s="1"/>
  <c r="N734" i="42697"/>
  <c r="N903" i="42697" s="1"/>
  <c r="M734" i="42697"/>
  <c r="M903" i="42697" s="1"/>
  <c r="L734" i="42697"/>
  <c r="L903" i="42697" s="1"/>
  <c r="K734" i="42697"/>
  <c r="K903" i="42697" s="1"/>
  <c r="J734" i="42697"/>
  <c r="J903" i="42697" s="1"/>
  <c r="I734" i="42697"/>
  <c r="I903" i="42697" s="1"/>
  <c r="H734" i="42697"/>
  <c r="H903" i="42697" s="1"/>
  <c r="G734" i="42697"/>
  <c r="G903" i="42697" s="1"/>
  <c r="F734" i="42697"/>
  <c r="F903" i="42697" s="1"/>
  <c r="R903" i="42697" s="1"/>
  <c r="Q725" i="42697"/>
  <c r="Q819" i="42697" s="1"/>
  <c r="P725" i="42697"/>
  <c r="P819" i="42697" s="1"/>
  <c r="O725" i="42697"/>
  <c r="O819" i="42697" s="1"/>
  <c r="N725" i="42697"/>
  <c r="N819" i="42697" s="1"/>
  <c r="M725" i="42697"/>
  <c r="M819" i="42697" s="1"/>
  <c r="L725" i="42697"/>
  <c r="L819" i="42697" s="1"/>
  <c r="K725" i="42697"/>
  <c r="K819" i="42697" s="1"/>
  <c r="J725" i="42697"/>
  <c r="J819" i="42697" s="1"/>
  <c r="I725" i="42697"/>
  <c r="I819" i="42697" s="1"/>
  <c r="H725" i="42697"/>
  <c r="H819" i="42697" s="1"/>
  <c r="G725" i="42697"/>
  <c r="G819" i="42697" s="1"/>
  <c r="F725" i="42697"/>
  <c r="F819" i="42697" s="1"/>
  <c r="R819" i="42697" s="1"/>
  <c r="Q722" i="42697"/>
  <c r="P722" i="42697"/>
  <c r="O722" i="42697"/>
  <c r="N722" i="42697"/>
  <c r="M722" i="42697"/>
  <c r="L722" i="42697"/>
  <c r="K722" i="42697"/>
  <c r="J722" i="42697"/>
  <c r="I722" i="42697"/>
  <c r="H722" i="42697"/>
  <c r="G722" i="42697"/>
  <c r="F722" i="42697"/>
  <c r="Q699" i="42697"/>
  <c r="P699" i="42697"/>
  <c r="O699" i="42697"/>
  <c r="N699" i="42697"/>
  <c r="M699" i="42697"/>
  <c r="L699" i="42697"/>
  <c r="K699" i="42697"/>
  <c r="J699" i="42697"/>
  <c r="I699" i="42697"/>
  <c r="H699" i="42697"/>
  <c r="G699" i="42697"/>
  <c r="F699" i="42697"/>
  <c r="R699" i="42697" s="1"/>
  <c r="F406" i="42698" s="1"/>
  <c r="Q684" i="42697"/>
  <c r="Q902" i="42697" s="1"/>
  <c r="P684" i="42697"/>
  <c r="P902" i="42697" s="1"/>
  <c r="O684" i="42697"/>
  <c r="O902" i="42697" s="1"/>
  <c r="N684" i="42697"/>
  <c r="N902" i="42697" s="1"/>
  <c r="M684" i="42697"/>
  <c r="M902" i="42697" s="1"/>
  <c r="L684" i="42697"/>
  <c r="L902" i="42697" s="1"/>
  <c r="K684" i="42697"/>
  <c r="K902" i="42697" s="1"/>
  <c r="J684" i="42697"/>
  <c r="J902" i="42697" s="1"/>
  <c r="I684" i="42697"/>
  <c r="I902" i="42697" s="1"/>
  <c r="H684" i="42697"/>
  <c r="H902" i="42697" s="1"/>
  <c r="G684" i="42697"/>
  <c r="G902" i="42697" s="1"/>
  <c r="F684" i="42697"/>
  <c r="F902" i="42697" s="1"/>
  <c r="R902" i="42697" s="1"/>
  <c r="Q679" i="42697"/>
  <c r="Q818" i="42697" s="1"/>
  <c r="P679" i="42697"/>
  <c r="P818" i="42697" s="1"/>
  <c r="O679" i="42697"/>
  <c r="O818" i="42697" s="1"/>
  <c r="N679" i="42697"/>
  <c r="N818" i="42697" s="1"/>
  <c r="M679" i="42697"/>
  <c r="M818" i="42697" s="1"/>
  <c r="L679" i="42697"/>
  <c r="L818" i="42697" s="1"/>
  <c r="K679" i="42697"/>
  <c r="K818" i="42697" s="1"/>
  <c r="J679" i="42697"/>
  <c r="J818" i="42697" s="1"/>
  <c r="I679" i="42697"/>
  <c r="I818" i="42697" s="1"/>
  <c r="H679" i="42697"/>
  <c r="H818" i="42697" s="1"/>
  <c r="G679" i="42697"/>
  <c r="G818" i="42697" s="1"/>
  <c r="F679" i="42697"/>
  <c r="F818" i="42697" s="1"/>
  <c r="R818" i="42697" s="1"/>
  <c r="Q676" i="42697"/>
  <c r="P676" i="42697"/>
  <c r="O676" i="42697"/>
  <c r="N676" i="42697"/>
  <c r="M676" i="42697"/>
  <c r="L676" i="42697"/>
  <c r="K676" i="42697"/>
  <c r="J676" i="42697"/>
  <c r="I676" i="42697"/>
  <c r="H676" i="42697"/>
  <c r="G676" i="42697"/>
  <c r="F676" i="42697"/>
  <c r="Q657" i="42697"/>
  <c r="P657" i="42697"/>
  <c r="O657" i="42697"/>
  <c r="N657" i="42697"/>
  <c r="M657" i="42697"/>
  <c r="L657" i="42697"/>
  <c r="K657" i="42697"/>
  <c r="J657" i="42697"/>
  <c r="I657" i="42697"/>
  <c r="H657" i="42697"/>
  <c r="G657" i="42697"/>
  <c r="F657" i="42697"/>
  <c r="R657" i="42697" s="1"/>
  <c r="Q641" i="42697"/>
  <c r="Q901" i="42697" s="1"/>
  <c r="P641" i="42697"/>
  <c r="P901" i="42697" s="1"/>
  <c r="O641" i="42697"/>
  <c r="O901" i="42697" s="1"/>
  <c r="N641" i="42697"/>
  <c r="N901" i="42697" s="1"/>
  <c r="M641" i="42697"/>
  <c r="M901" i="42697" s="1"/>
  <c r="L641" i="42697"/>
  <c r="L901" i="42697" s="1"/>
  <c r="K641" i="42697"/>
  <c r="K901" i="42697" s="1"/>
  <c r="J641" i="42697"/>
  <c r="J901" i="42697" s="1"/>
  <c r="I641" i="42697"/>
  <c r="I901" i="42697" s="1"/>
  <c r="H641" i="42697"/>
  <c r="H901" i="42697" s="1"/>
  <c r="G641" i="42697"/>
  <c r="G901" i="42697" s="1"/>
  <c r="F641" i="42697"/>
  <c r="F901" i="42697" s="1"/>
  <c r="R901" i="42697" s="1"/>
  <c r="Q635" i="42697"/>
  <c r="Q817" i="42697" s="1"/>
  <c r="P635" i="42697"/>
  <c r="P817" i="42697" s="1"/>
  <c r="O635" i="42697"/>
  <c r="O817" i="42697" s="1"/>
  <c r="N635" i="42697"/>
  <c r="N817" i="42697" s="1"/>
  <c r="M635" i="42697"/>
  <c r="M817" i="42697" s="1"/>
  <c r="L635" i="42697"/>
  <c r="L817" i="42697" s="1"/>
  <c r="K635" i="42697"/>
  <c r="K817" i="42697" s="1"/>
  <c r="J635" i="42697"/>
  <c r="J817" i="42697" s="1"/>
  <c r="I635" i="42697"/>
  <c r="I817" i="42697" s="1"/>
  <c r="H635" i="42697"/>
  <c r="H817" i="42697" s="1"/>
  <c r="G635" i="42697"/>
  <c r="G817" i="42697" s="1"/>
  <c r="F635" i="42697"/>
  <c r="F817" i="42697" s="1"/>
  <c r="R817" i="42697" s="1"/>
  <c r="Q632" i="42697"/>
  <c r="P632" i="42697"/>
  <c r="O632" i="42697"/>
  <c r="N632" i="42697"/>
  <c r="M632" i="42697"/>
  <c r="L632" i="42697"/>
  <c r="K632" i="42697"/>
  <c r="J632" i="42697"/>
  <c r="I632" i="42697"/>
  <c r="H632" i="42697"/>
  <c r="G632" i="42697"/>
  <c r="F632" i="42697"/>
  <c r="Q613" i="42697"/>
  <c r="Q888" i="42697" s="1"/>
  <c r="P613" i="42697"/>
  <c r="P888" i="42697" s="1"/>
  <c r="O613" i="42697"/>
  <c r="O888" i="42697" s="1"/>
  <c r="N613" i="42697"/>
  <c r="N888" i="42697" s="1"/>
  <c r="M613" i="42697"/>
  <c r="M888" i="42697" s="1"/>
  <c r="L613" i="42697"/>
  <c r="L888" i="42697" s="1"/>
  <c r="K613" i="42697"/>
  <c r="K888" i="42697" s="1"/>
  <c r="J613" i="42697"/>
  <c r="J888" i="42697" s="1"/>
  <c r="I613" i="42697"/>
  <c r="I888" i="42697" s="1"/>
  <c r="H613" i="42697"/>
  <c r="H888" i="42697" s="1"/>
  <c r="G613" i="42697"/>
  <c r="G888" i="42697" s="1"/>
  <c r="F613" i="42697"/>
  <c r="F888" i="42697" s="1"/>
  <c r="Q603" i="42697"/>
  <c r="P603" i="42697"/>
  <c r="O603" i="42697"/>
  <c r="N603" i="42697"/>
  <c r="M603" i="42697"/>
  <c r="L603" i="42697"/>
  <c r="K603" i="42697"/>
  <c r="J603" i="42697"/>
  <c r="I603" i="42697"/>
  <c r="H603" i="42697"/>
  <c r="G603" i="42697"/>
  <c r="F603" i="42697"/>
  <c r="R603" i="42697" s="1"/>
  <c r="F466" i="42698" s="1"/>
  <c r="Q588" i="42697"/>
  <c r="Q900" i="42697" s="1"/>
  <c r="P588" i="42697"/>
  <c r="P900" i="42697" s="1"/>
  <c r="O588" i="42697"/>
  <c r="O900" i="42697" s="1"/>
  <c r="N588" i="42697"/>
  <c r="N900" i="42697" s="1"/>
  <c r="M588" i="42697"/>
  <c r="M900" i="42697" s="1"/>
  <c r="L588" i="42697"/>
  <c r="L900" i="42697" s="1"/>
  <c r="K588" i="42697"/>
  <c r="K900" i="42697" s="1"/>
  <c r="J588" i="42697"/>
  <c r="J900" i="42697" s="1"/>
  <c r="I588" i="42697"/>
  <c r="I900" i="42697" s="1"/>
  <c r="H588" i="42697"/>
  <c r="H900" i="42697" s="1"/>
  <c r="G588" i="42697"/>
  <c r="G900" i="42697" s="1"/>
  <c r="F588" i="42697"/>
  <c r="F900" i="42697" s="1"/>
  <c r="Q579" i="42697"/>
  <c r="Q816" i="42697" s="1"/>
  <c r="P579" i="42697"/>
  <c r="P816" i="42697" s="1"/>
  <c r="O579" i="42697"/>
  <c r="O816" i="42697" s="1"/>
  <c r="N579" i="42697"/>
  <c r="N816" i="42697" s="1"/>
  <c r="M579" i="42697"/>
  <c r="M816" i="42697" s="1"/>
  <c r="L579" i="42697"/>
  <c r="L816" i="42697" s="1"/>
  <c r="K579" i="42697"/>
  <c r="K816" i="42697" s="1"/>
  <c r="J579" i="42697"/>
  <c r="J816" i="42697" s="1"/>
  <c r="I579" i="42697"/>
  <c r="I816" i="42697" s="1"/>
  <c r="H579" i="42697"/>
  <c r="H816" i="42697" s="1"/>
  <c r="G579" i="42697"/>
  <c r="G816" i="42697" s="1"/>
  <c r="F579" i="42697"/>
  <c r="F816" i="42697" s="1"/>
  <c r="Q559" i="42697"/>
  <c r="P559" i="42697"/>
  <c r="O559" i="42697"/>
  <c r="N559" i="42697"/>
  <c r="M559" i="42697"/>
  <c r="L559" i="42697"/>
  <c r="K559" i="42697"/>
  <c r="J559" i="42697"/>
  <c r="I559" i="42697"/>
  <c r="H559" i="42697"/>
  <c r="G559" i="42697"/>
  <c r="F559" i="42697"/>
  <c r="R559" i="42697" s="1"/>
  <c r="F423" i="42698" s="1"/>
  <c r="Q548" i="42697"/>
  <c r="Q899" i="42697" s="1"/>
  <c r="Q915" i="42697" s="1"/>
  <c r="P548" i="42697"/>
  <c r="P899" i="42697" s="1"/>
  <c r="P915" i="42697" s="1"/>
  <c r="O548" i="42697"/>
  <c r="O899" i="42697" s="1"/>
  <c r="O915" i="42697" s="1"/>
  <c r="N548" i="42697"/>
  <c r="N899" i="42697" s="1"/>
  <c r="N915" i="42697" s="1"/>
  <c r="M548" i="42697"/>
  <c r="M899" i="42697" s="1"/>
  <c r="M915" i="42697" s="1"/>
  <c r="L548" i="42697"/>
  <c r="L899" i="42697" s="1"/>
  <c r="L915" i="42697" s="1"/>
  <c r="K548" i="42697"/>
  <c r="K899" i="42697" s="1"/>
  <c r="K915" i="42697" s="1"/>
  <c r="J548" i="42697"/>
  <c r="J899" i="42697" s="1"/>
  <c r="J915" i="42697" s="1"/>
  <c r="I548" i="42697"/>
  <c r="I899" i="42697" s="1"/>
  <c r="I915" i="42697" s="1"/>
  <c r="H548" i="42697"/>
  <c r="H899" i="42697" s="1"/>
  <c r="H915" i="42697" s="1"/>
  <c r="G548" i="42697"/>
  <c r="G899" i="42697" s="1"/>
  <c r="G915" i="42697" s="1"/>
  <c r="F548" i="42697"/>
  <c r="F899" i="42697" s="1"/>
  <c r="Q543" i="42697"/>
  <c r="Q815" i="42697" s="1"/>
  <c r="Q833" i="42697" s="1"/>
  <c r="P543" i="42697"/>
  <c r="P815" i="42697" s="1"/>
  <c r="P833" i="42697" s="1"/>
  <c r="O543" i="42697"/>
  <c r="O815" i="42697" s="1"/>
  <c r="O833" i="42697" s="1"/>
  <c r="N543" i="42697"/>
  <c r="N815" i="42697" s="1"/>
  <c r="N833" i="42697" s="1"/>
  <c r="M543" i="42697"/>
  <c r="M815" i="42697" s="1"/>
  <c r="M833" i="42697" s="1"/>
  <c r="L543" i="42697"/>
  <c r="L815" i="42697" s="1"/>
  <c r="L833" i="42697" s="1"/>
  <c r="K543" i="42697"/>
  <c r="K815" i="42697" s="1"/>
  <c r="K833" i="42697" s="1"/>
  <c r="J543" i="42697"/>
  <c r="J815" i="42697" s="1"/>
  <c r="J833" i="42697" s="1"/>
  <c r="I543" i="42697"/>
  <c r="I815" i="42697" s="1"/>
  <c r="I833" i="42697" s="1"/>
  <c r="H543" i="42697"/>
  <c r="H815" i="42697" s="1"/>
  <c r="H833" i="42697" s="1"/>
  <c r="G543" i="42697"/>
  <c r="G815" i="42697" s="1"/>
  <c r="G833" i="42697" s="1"/>
  <c r="F543" i="42697"/>
  <c r="F815" i="42697" s="1"/>
  <c r="F833" i="42697" s="1"/>
  <c r="Q537" i="42697"/>
  <c r="P537" i="42697"/>
  <c r="O537" i="42697"/>
  <c r="N537" i="42697"/>
  <c r="M537" i="42697"/>
  <c r="L537" i="42697"/>
  <c r="K537" i="42697"/>
  <c r="J537" i="42697"/>
  <c r="I537" i="42697"/>
  <c r="H537" i="42697"/>
  <c r="G537" i="42697"/>
  <c r="F537" i="42697"/>
  <c r="Q536" i="42697"/>
  <c r="P536" i="42697"/>
  <c r="O536" i="42697"/>
  <c r="N536" i="42697"/>
  <c r="M536" i="42697"/>
  <c r="L536" i="42697"/>
  <c r="K536" i="42697"/>
  <c r="J536" i="42697"/>
  <c r="I536" i="42697"/>
  <c r="H536" i="42697"/>
  <c r="G536" i="42697"/>
  <c r="F536" i="42697"/>
  <c r="Q534" i="42697"/>
  <c r="Q552" i="42697" s="1"/>
  <c r="P534" i="42697"/>
  <c r="P552" i="42697" s="1"/>
  <c r="O534" i="42697"/>
  <c r="O552" i="42697" s="1"/>
  <c r="N534" i="42697"/>
  <c r="N552" i="42697" s="1"/>
  <c r="M534" i="42697"/>
  <c r="M552" i="42697" s="1"/>
  <c r="L534" i="42697"/>
  <c r="L552" i="42697" s="1"/>
  <c r="K534" i="42697"/>
  <c r="K552" i="42697" s="1"/>
  <c r="J534" i="42697"/>
  <c r="J552" i="42697" s="1"/>
  <c r="I534" i="42697"/>
  <c r="I552" i="42697" s="1"/>
  <c r="H534" i="42697"/>
  <c r="H552" i="42697" s="1"/>
  <c r="G534" i="42697"/>
  <c r="G552" i="42697" s="1"/>
  <c r="F534" i="42697"/>
  <c r="F552" i="42697" s="1"/>
  <c r="Q527" i="42697"/>
  <c r="P527" i="42697"/>
  <c r="O527" i="42697"/>
  <c r="N527" i="42697"/>
  <c r="K527" i="42697"/>
  <c r="G527" i="42697"/>
  <c r="F527" i="42697"/>
  <c r="Q515" i="42697"/>
  <c r="Q898" i="42697" s="1"/>
  <c r="P515" i="42697"/>
  <c r="P898" i="42697" s="1"/>
  <c r="O515" i="42697"/>
  <c r="O898" i="42697" s="1"/>
  <c r="N515" i="42697"/>
  <c r="N898" i="42697" s="1"/>
  <c r="M515" i="42697"/>
  <c r="M898" i="42697" s="1"/>
  <c r="L515" i="42697"/>
  <c r="L898" i="42697" s="1"/>
  <c r="K515" i="42697"/>
  <c r="K898" i="42697" s="1"/>
  <c r="J515" i="42697"/>
  <c r="J898" i="42697" s="1"/>
  <c r="I515" i="42697"/>
  <c r="I898" i="42697" s="1"/>
  <c r="H515" i="42697"/>
  <c r="H898" i="42697" s="1"/>
  <c r="G515" i="42697"/>
  <c r="G898" i="42697" s="1"/>
  <c r="F515" i="42697"/>
  <c r="F898" i="42697" s="1"/>
  <c r="Q509" i="42697"/>
  <c r="Q814" i="42697" s="1"/>
  <c r="P509" i="42697"/>
  <c r="P814" i="42697" s="1"/>
  <c r="O509" i="42697"/>
  <c r="O814" i="42697" s="1"/>
  <c r="N509" i="42697"/>
  <c r="N814" i="42697" s="1"/>
  <c r="M509" i="42697"/>
  <c r="M814" i="42697" s="1"/>
  <c r="L509" i="42697"/>
  <c r="L814" i="42697" s="1"/>
  <c r="K509" i="42697"/>
  <c r="K814" i="42697" s="1"/>
  <c r="J509" i="42697"/>
  <c r="J814" i="42697" s="1"/>
  <c r="I509" i="42697"/>
  <c r="I814" i="42697" s="1"/>
  <c r="H509" i="42697"/>
  <c r="H814" i="42697" s="1"/>
  <c r="G509" i="42697"/>
  <c r="G814" i="42697" s="1"/>
  <c r="F509" i="42697"/>
  <c r="F814" i="42697" s="1"/>
  <c r="R485" i="42697"/>
  <c r="Q479" i="42697"/>
  <c r="Q897" i="42697" s="1"/>
  <c r="P479" i="42697"/>
  <c r="P897" i="42697" s="1"/>
  <c r="O479" i="42697"/>
  <c r="O897" i="42697" s="1"/>
  <c r="N479" i="42697"/>
  <c r="N897" i="42697" s="1"/>
  <c r="M479" i="42697"/>
  <c r="M897" i="42697" s="1"/>
  <c r="L479" i="42697"/>
  <c r="L897" i="42697" s="1"/>
  <c r="K479" i="42697"/>
  <c r="K897" i="42697" s="1"/>
  <c r="J479" i="42697"/>
  <c r="J897" i="42697" s="1"/>
  <c r="I479" i="42697"/>
  <c r="I897" i="42697" s="1"/>
  <c r="H479" i="42697"/>
  <c r="H897" i="42697" s="1"/>
  <c r="G479" i="42697"/>
  <c r="G897" i="42697" s="1"/>
  <c r="F479" i="42697"/>
  <c r="F897" i="42697" s="1"/>
  <c r="Q473" i="42697"/>
  <c r="Q813" i="42697" s="1"/>
  <c r="P473" i="42697"/>
  <c r="P813" i="42697" s="1"/>
  <c r="O473" i="42697"/>
  <c r="O813" i="42697" s="1"/>
  <c r="N473" i="42697"/>
  <c r="N813" i="42697" s="1"/>
  <c r="M473" i="42697"/>
  <c r="M813" i="42697" s="1"/>
  <c r="L473" i="42697"/>
  <c r="L813" i="42697" s="1"/>
  <c r="K473" i="42697"/>
  <c r="K813" i="42697" s="1"/>
  <c r="J473" i="42697"/>
  <c r="J813" i="42697" s="1"/>
  <c r="I473" i="42697"/>
  <c r="I813" i="42697" s="1"/>
  <c r="H473" i="42697"/>
  <c r="H813" i="42697" s="1"/>
  <c r="G473" i="42697"/>
  <c r="G813" i="42697" s="1"/>
  <c r="F473" i="42697"/>
  <c r="F813" i="42697" s="1"/>
  <c r="G446" i="42697"/>
  <c r="H446" i="42697" s="1"/>
  <c r="Q440" i="42697"/>
  <c r="Q896" i="42697" s="1"/>
  <c r="P440" i="42697"/>
  <c r="P896" i="42697" s="1"/>
  <c r="O440" i="42697"/>
  <c r="O896" i="42697" s="1"/>
  <c r="N440" i="42697"/>
  <c r="N896" i="42697" s="1"/>
  <c r="M440" i="42697"/>
  <c r="M896" i="42697" s="1"/>
  <c r="L440" i="42697"/>
  <c r="L896" i="42697" s="1"/>
  <c r="K440" i="42697"/>
  <c r="K896" i="42697" s="1"/>
  <c r="J440" i="42697"/>
  <c r="J896" i="42697" s="1"/>
  <c r="I440" i="42697"/>
  <c r="I896" i="42697" s="1"/>
  <c r="H440" i="42697"/>
  <c r="H896" i="42697" s="1"/>
  <c r="G440" i="42697"/>
  <c r="G896" i="42697" s="1"/>
  <c r="F440" i="42697"/>
  <c r="F896" i="42697" s="1"/>
  <c r="R896" i="42697" s="1"/>
  <c r="Q434" i="42697"/>
  <c r="Q812" i="42697" s="1"/>
  <c r="P434" i="42697"/>
  <c r="P812" i="42697" s="1"/>
  <c r="O434" i="42697"/>
  <c r="O812" i="42697" s="1"/>
  <c r="N434" i="42697"/>
  <c r="N812" i="42697" s="1"/>
  <c r="M434" i="42697"/>
  <c r="M812" i="42697" s="1"/>
  <c r="L434" i="42697"/>
  <c r="L812" i="42697" s="1"/>
  <c r="K434" i="42697"/>
  <c r="K812" i="42697" s="1"/>
  <c r="J434" i="42697"/>
  <c r="J812" i="42697" s="1"/>
  <c r="I434" i="42697"/>
  <c r="I812" i="42697" s="1"/>
  <c r="H434" i="42697"/>
  <c r="H812" i="42697" s="1"/>
  <c r="G434" i="42697"/>
  <c r="G812" i="42697" s="1"/>
  <c r="F434" i="42697"/>
  <c r="F812" i="42697" s="1"/>
  <c r="R812" i="42697" s="1"/>
  <c r="Q431" i="42697"/>
  <c r="P431" i="42697"/>
  <c r="O431" i="42697"/>
  <c r="N431" i="42697"/>
  <c r="M431" i="42697"/>
  <c r="L431" i="42697"/>
  <c r="K431" i="42697"/>
  <c r="J431" i="42697"/>
  <c r="I431" i="42697"/>
  <c r="H431" i="42697"/>
  <c r="G431" i="42697"/>
  <c r="F431" i="42697"/>
  <c r="Q408" i="42697"/>
  <c r="Q811" i="42697" s="1"/>
  <c r="P408" i="42697"/>
  <c r="P811" i="42697" s="1"/>
  <c r="O408" i="42697"/>
  <c r="O811" i="42697" s="1"/>
  <c r="N408" i="42697"/>
  <c r="N811" i="42697" s="1"/>
  <c r="M408" i="42697"/>
  <c r="M811" i="42697" s="1"/>
  <c r="L408" i="42697"/>
  <c r="L811" i="42697" s="1"/>
  <c r="K408" i="42697"/>
  <c r="K811" i="42697" s="1"/>
  <c r="J408" i="42697"/>
  <c r="J811" i="42697" s="1"/>
  <c r="I408" i="42697"/>
  <c r="I811" i="42697" s="1"/>
  <c r="H408" i="42697"/>
  <c r="H811" i="42697" s="1"/>
  <c r="G408" i="42697"/>
  <c r="G811" i="42697" s="1"/>
  <c r="F408" i="42697"/>
  <c r="F811" i="42697" s="1"/>
  <c r="R811" i="42697" s="1"/>
  <c r="Q394" i="42697"/>
  <c r="P394" i="42697"/>
  <c r="O394" i="42697"/>
  <c r="N394" i="42697"/>
  <c r="M394" i="42697"/>
  <c r="L394" i="42697"/>
  <c r="K394" i="42697"/>
  <c r="J394" i="42697"/>
  <c r="I394" i="42697"/>
  <c r="H394" i="42697"/>
  <c r="G394" i="42697"/>
  <c r="F394" i="42697"/>
  <c r="R394" i="42697" s="1"/>
  <c r="F253" i="42698" s="1"/>
  <c r="Q375" i="42697"/>
  <c r="Q895" i="42697" s="1"/>
  <c r="Q912" i="42697" s="1"/>
  <c r="P375" i="42697"/>
  <c r="P895" i="42697" s="1"/>
  <c r="P912" i="42697" s="1"/>
  <c r="O375" i="42697"/>
  <c r="O895" i="42697" s="1"/>
  <c r="O912" i="42697" s="1"/>
  <c r="N375" i="42697"/>
  <c r="N895" i="42697" s="1"/>
  <c r="N912" i="42697" s="1"/>
  <c r="M375" i="42697"/>
  <c r="M895" i="42697" s="1"/>
  <c r="M912" i="42697" s="1"/>
  <c r="L375" i="42697"/>
  <c r="L895" i="42697" s="1"/>
  <c r="L912" i="42697" s="1"/>
  <c r="K375" i="42697"/>
  <c r="K895" i="42697" s="1"/>
  <c r="K912" i="42697" s="1"/>
  <c r="J375" i="42697"/>
  <c r="J895" i="42697" s="1"/>
  <c r="J912" i="42697" s="1"/>
  <c r="I375" i="42697"/>
  <c r="I895" i="42697" s="1"/>
  <c r="I912" i="42697" s="1"/>
  <c r="H375" i="42697"/>
  <c r="H895" i="42697" s="1"/>
  <c r="H912" i="42697" s="1"/>
  <c r="G375" i="42697"/>
  <c r="G895" i="42697" s="1"/>
  <c r="G912" i="42697" s="1"/>
  <c r="F375" i="42697"/>
  <c r="F895" i="42697" s="1"/>
  <c r="Q366" i="42697"/>
  <c r="Q810" i="42697" s="1"/>
  <c r="Q830" i="42697" s="1"/>
  <c r="P366" i="42697"/>
  <c r="P810" i="42697" s="1"/>
  <c r="P830" i="42697" s="1"/>
  <c r="O366" i="42697"/>
  <c r="O810" i="42697" s="1"/>
  <c r="O830" i="42697" s="1"/>
  <c r="N366" i="42697"/>
  <c r="N810" i="42697" s="1"/>
  <c r="N830" i="42697" s="1"/>
  <c r="M366" i="42697"/>
  <c r="M810" i="42697" s="1"/>
  <c r="M830" i="42697" s="1"/>
  <c r="L366" i="42697"/>
  <c r="L810" i="42697" s="1"/>
  <c r="L830" i="42697" s="1"/>
  <c r="K366" i="42697"/>
  <c r="K810" i="42697" s="1"/>
  <c r="K830" i="42697" s="1"/>
  <c r="J366" i="42697"/>
  <c r="J810" i="42697" s="1"/>
  <c r="J830" i="42697" s="1"/>
  <c r="I366" i="42697"/>
  <c r="I810" i="42697" s="1"/>
  <c r="I830" i="42697" s="1"/>
  <c r="H366" i="42697"/>
  <c r="H810" i="42697" s="1"/>
  <c r="H830" i="42697" s="1"/>
  <c r="G366" i="42697"/>
  <c r="G810" i="42697" s="1"/>
  <c r="G830" i="42697" s="1"/>
  <c r="F366" i="42697"/>
  <c r="F810" i="42697" s="1"/>
  <c r="Q360" i="42697"/>
  <c r="Q719" i="42697" s="1"/>
  <c r="Q751" i="42697" s="1"/>
  <c r="P360" i="42697"/>
  <c r="P719" i="42697" s="1"/>
  <c r="P751" i="42697" s="1"/>
  <c r="O360" i="42697"/>
  <c r="O719" i="42697" s="1"/>
  <c r="O751" i="42697" s="1"/>
  <c r="N360" i="42697"/>
  <c r="N719" i="42697" s="1"/>
  <c r="N751" i="42697" s="1"/>
  <c r="M360" i="42697"/>
  <c r="M719" i="42697" s="1"/>
  <c r="M751" i="42697" s="1"/>
  <c r="L360" i="42697"/>
  <c r="L719" i="42697" s="1"/>
  <c r="L751" i="42697" s="1"/>
  <c r="K360" i="42697"/>
  <c r="K719" i="42697" s="1"/>
  <c r="K751" i="42697" s="1"/>
  <c r="J360" i="42697"/>
  <c r="J719" i="42697" s="1"/>
  <c r="J751" i="42697" s="1"/>
  <c r="I360" i="42697"/>
  <c r="I719" i="42697" s="1"/>
  <c r="I751" i="42697" s="1"/>
  <c r="H360" i="42697"/>
  <c r="H719" i="42697" s="1"/>
  <c r="H751" i="42697" s="1"/>
  <c r="G360" i="42697"/>
  <c r="G719" i="42697" s="1"/>
  <c r="G751" i="42697" s="1"/>
  <c r="F360" i="42697"/>
  <c r="F719" i="42697" s="1"/>
  <c r="F751" i="42697" s="1"/>
  <c r="Q359" i="42697"/>
  <c r="Q718" i="42697" s="1"/>
  <c r="Q750" i="42697" s="1"/>
  <c r="Q752" i="42697" s="1"/>
  <c r="P359" i="42697"/>
  <c r="P718" i="42697" s="1"/>
  <c r="P750" i="42697" s="1"/>
  <c r="P752" i="42697" s="1"/>
  <c r="O359" i="42697"/>
  <c r="O718" i="42697" s="1"/>
  <c r="O750" i="42697" s="1"/>
  <c r="O752" i="42697" s="1"/>
  <c r="N359" i="42697"/>
  <c r="N718" i="42697" s="1"/>
  <c r="N750" i="42697" s="1"/>
  <c r="N752" i="42697" s="1"/>
  <c r="M359" i="42697"/>
  <c r="M718" i="42697" s="1"/>
  <c r="M750" i="42697" s="1"/>
  <c r="M752" i="42697" s="1"/>
  <c r="L359" i="42697"/>
  <c r="L718" i="42697" s="1"/>
  <c r="L750" i="42697" s="1"/>
  <c r="L752" i="42697" s="1"/>
  <c r="K359" i="42697"/>
  <c r="K718" i="42697" s="1"/>
  <c r="K750" i="42697" s="1"/>
  <c r="K752" i="42697" s="1"/>
  <c r="J359" i="42697"/>
  <c r="J718" i="42697" s="1"/>
  <c r="J750" i="42697" s="1"/>
  <c r="J752" i="42697" s="1"/>
  <c r="I359" i="42697"/>
  <c r="I718" i="42697" s="1"/>
  <c r="I750" i="42697" s="1"/>
  <c r="I752" i="42697" s="1"/>
  <c r="H359" i="42697"/>
  <c r="H718" i="42697" s="1"/>
  <c r="H750" i="42697" s="1"/>
  <c r="H752" i="42697" s="1"/>
  <c r="G359" i="42697"/>
  <c r="G718" i="42697" s="1"/>
  <c r="G750" i="42697" s="1"/>
  <c r="G752" i="42697" s="1"/>
  <c r="F359" i="42697"/>
  <c r="F718" i="42697" s="1"/>
  <c r="F750" i="42697" s="1"/>
  <c r="Q357" i="42697"/>
  <c r="Q716" i="42697" s="1"/>
  <c r="P357" i="42697"/>
  <c r="P716" i="42697" s="1"/>
  <c r="O357" i="42697"/>
  <c r="O716" i="42697" s="1"/>
  <c r="N357" i="42697"/>
  <c r="N716" i="42697" s="1"/>
  <c r="M357" i="42697"/>
  <c r="M716" i="42697" s="1"/>
  <c r="L357" i="42697"/>
  <c r="L716" i="42697" s="1"/>
  <c r="K357" i="42697"/>
  <c r="K716" i="42697" s="1"/>
  <c r="J357" i="42697"/>
  <c r="J716" i="42697" s="1"/>
  <c r="I357" i="42697"/>
  <c r="I716" i="42697" s="1"/>
  <c r="H357" i="42697"/>
  <c r="H716" i="42697" s="1"/>
  <c r="G357" i="42697"/>
  <c r="G716" i="42697" s="1"/>
  <c r="F357" i="42697"/>
  <c r="F716" i="42697" s="1"/>
  <c r="Q355" i="42697"/>
  <c r="Q714" i="42697" s="1"/>
  <c r="P355" i="42697"/>
  <c r="P714" i="42697" s="1"/>
  <c r="O355" i="42697"/>
  <c r="O714" i="42697" s="1"/>
  <c r="N355" i="42697"/>
  <c r="N714" i="42697" s="1"/>
  <c r="M355" i="42697"/>
  <c r="M714" i="42697" s="1"/>
  <c r="L355" i="42697"/>
  <c r="L714" i="42697" s="1"/>
  <c r="K355" i="42697"/>
  <c r="K714" i="42697" s="1"/>
  <c r="J355" i="42697"/>
  <c r="J714" i="42697" s="1"/>
  <c r="I355" i="42697"/>
  <c r="I714" i="42697" s="1"/>
  <c r="H355" i="42697"/>
  <c r="H714" i="42697" s="1"/>
  <c r="G355" i="42697"/>
  <c r="G714" i="42697" s="1"/>
  <c r="F355" i="42697"/>
  <c r="F714" i="42697" s="1"/>
  <c r="Q354" i="42697"/>
  <c r="Q713" i="42697" s="1"/>
  <c r="P354" i="42697"/>
  <c r="P713" i="42697" s="1"/>
  <c r="O354" i="42697"/>
  <c r="O713" i="42697" s="1"/>
  <c r="N354" i="42697"/>
  <c r="N713" i="42697" s="1"/>
  <c r="M354" i="42697"/>
  <c r="M713" i="42697" s="1"/>
  <c r="L354" i="42697"/>
  <c r="L713" i="42697" s="1"/>
  <c r="K354" i="42697"/>
  <c r="K713" i="42697" s="1"/>
  <c r="J354" i="42697"/>
  <c r="J713" i="42697" s="1"/>
  <c r="I354" i="42697"/>
  <c r="I713" i="42697" s="1"/>
  <c r="H354" i="42697"/>
  <c r="H713" i="42697" s="1"/>
  <c r="G354" i="42697"/>
  <c r="G713" i="42697" s="1"/>
  <c r="F354" i="42697"/>
  <c r="F713" i="42697" s="1"/>
  <c r="Q353" i="42697"/>
  <c r="Q712" i="42697" s="1"/>
  <c r="P353" i="42697"/>
  <c r="P712" i="42697" s="1"/>
  <c r="O353" i="42697"/>
  <c r="O712" i="42697" s="1"/>
  <c r="N353" i="42697"/>
  <c r="N712" i="42697" s="1"/>
  <c r="M353" i="42697"/>
  <c r="M712" i="42697" s="1"/>
  <c r="L353" i="42697"/>
  <c r="L712" i="42697" s="1"/>
  <c r="K353" i="42697"/>
  <c r="K712" i="42697" s="1"/>
  <c r="J353" i="42697"/>
  <c r="J712" i="42697" s="1"/>
  <c r="I353" i="42697"/>
  <c r="I712" i="42697" s="1"/>
  <c r="H353" i="42697"/>
  <c r="H712" i="42697" s="1"/>
  <c r="G353" i="42697"/>
  <c r="G712" i="42697" s="1"/>
  <c r="F353" i="42697"/>
  <c r="F712" i="42697" s="1"/>
  <c r="Q352" i="42697"/>
  <c r="Q711" i="42697" s="1"/>
  <c r="P352" i="42697"/>
  <c r="P711" i="42697" s="1"/>
  <c r="O352" i="42697"/>
  <c r="O711" i="42697" s="1"/>
  <c r="N352" i="42697"/>
  <c r="N711" i="42697" s="1"/>
  <c r="M352" i="42697"/>
  <c r="M711" i="42697" s="1"/>
  <c r="L352" i="42697"/>
  <c r="L711" i="42697" s="1"/>
  <c r="K352" i="42697"/>
  <c r="K711" i="42697" s="1"/>
  <c r="J352" i="42697"/>
  <c r="J711" i="42697" s="1"/>
  <c r="I352" i="42697"/>
  <c r="I711" i="42697" s="1"/>
  <c r="H352" i="42697"/>
  <c r="H711" i="42697" s="1"/>
  <c r="G352" i="42697"/>
  <c r="G711" i="42697" s="1"/>
  <c r="F352" i="42697"/>
  <c r="F711" i="42697" s="1"/>
  <c r="Q351" i="42697"/>
  <c r="Q710" i="42697" s="1"/>
  <c r="P351" i="42697"/>
  <c r="P710" i="42697" s="1"/>
  <c r="O351" i="42697"/>
  <c r="O710" i="42697" s="1"/>
  <c r="N351" i="42697"/>
  <c r="N710" i="42697" s="1"/>
  <c r="M351" i="42697"/>
  <c r="M710" i="42697" s="1"/>
  <c r="L351" i="42697"/>
  <c r="L710" i="42697" s="1"/>
  <c r="K351" i="42697"/>
  <c r="K710" i="42697" s="1"/>
  <c r="J351" i="42697"/>
  <c r="J710" i="42697" s="1"/>
  <c r="I351" i="42697"/>
  <c r="I710" i="42697" s="1"/>
  <c r="H351" i="42697"/>
  <c r="H710" i="42697" s="1"/>
  <c r="G351" i="42697"/>
  <c r="G710" i="42697" s="1"/>
  <c r="F351" i="42697"/>
  <c r="F710" i="42697" s="1"/>
  <c r="Q350" i="42697"/>
  <c r="Q709" i="42697" s="1"/>
  <c r="P350" i="42697"/>
  <c r="P709" i="42697" s="1"/>
  <c r="O350" i="42697"/>
  <c r="O709" i="42697" s="1"/>
  <c r="N350" i="42697"/>
  <c r="N709" i="42697" s="1"/>
  <c r="M350" i="42697"/>
  <c r="M709" i="42697" s="1"/>
  <c r="L350" i="42697"/>
  <c r="L709" i="42697" s="1"/>
  <c r="K350" i="42697"/>
  <c r="K709" i="42697" s="1"/>
  <c r="J350" i="42697"/>
  <c r="J709" i="42697" s="1"/>
  <c r="I350" i="42697"/>
  <c r="I709" i="42697" s="1"/>
  <c r="H350" i="42697"/>
  <c r="H709" i="42697" s="1"/>
  <c r="G350" i="42697"/>
  <c r="G709" i="42697" s="1"/>
  <c r="F350" i="42697"/>
  <c r="F709" i="42697" s="1"/>
  <c r="Q348" i="42697"/>
  <c r="Q707" i="42697" s="1"/>
  <c r="Q738" i="42697" s="1"/>
  <c r="P348" i="42697"/>
  <c r="P707" i="42697" s="1"/>
  <c r="P738" i="42697" s="1"/>
  <c r="O348" i="42697"/>
  <c r="O707" i="42697" s="1"/>
  <c r="O738" i="42697" s="1"/>
  <c r="N348" i="42697"/>
  <c r="N707" i="42697" s="1"/>
  <c r="N738" i="42697" s="1"/>
  <c r="M348" i="42697"/>
  <c r="M707" i="42697" s="1"/>
  <c r="M738" i="42697" s="1"/>
  <c r="L348" i="42697"/>
  <c r="L707" i="42697" s="1"/>
  <c r="L738" i="42697" s="1"/>
  <c r="K348" i="42697"/>
  <c r="K707" i="42697" s="1"/>
  <c r="K738" i="42697" s="1"/>
  <c r="J348" i="42697"/>
  <c r="J707" i="42697" s="1"/>
  <c r="J738" i="42697" s="1"/>
  <c r="I348" i="42697"/>
  <c r="I707" i="42697" s="1"/>
  <c r="I738" i="42697" s="1"/>
  <c r="H348" i="42697"/>
  <c r="H707" i="42697" s="1"/>
  <c r="H738" i="42697" s="1"/>
  <c r="G348" i="42697"/>
  <c r="G707" i="42697" s="1"/>
  <c r="G738" i="42697" s="1"/>
  <c r="F348" i="42697"/>
  <c r="F707" i="42697" s="1"/>
  <c r="F738" i="42697" s="1"/>
  <c r="Q340" i="42697"/>
  <c r="P340" i="42697"/>
  <c r="O340" i="42697"/>
  <c r="N340" i="42697"/>
  <c r="M340" i="42697"/>
  <c r="L340" i="42697"/>
  <c r="K340" i="42697"/>
  <c r="J340" i="42697"/>
  <c r="I340" i="42697"/>
  <c r="H340" i="42697"/>
  <c r="G340" i="42697"/>
  <c r="F340" i="42697"/>
  <c r="R340" i="42697" s="1"/>
  <c r="F225" i="42698" s="1"/>
  <c r="Q325" i="42697"/>
  <c r="Q894" i="42697" s="1"/>
  <c r="Q911" i="42697" s="1"/>
  <c r="P325" i="42697"/>
  <c r="P894" i="42697" s="1"/>
  <c r="P911" i="42697" s="1"/>
  <c r="O325" i="42697"/>
  <c r="O894" i="42697" s="1"/>
  <c r="O911" i="42697" s="1"/>
  <c r="N325" i="42697"/>
  <c r="N894" i="42697" s="1"/>
  <c r="N911" i="42697" s="1"/>
  <c r="M325" i="42697"/>
  <c r="M894" i="42697" s="1"/>
  <c r="M911" i="42697" s="1"/>
  <c r="L325" i="42697"/>
  <c r="L894" i="42697" s="1"/>
  <c r="L911" i="42697" s="1"/>
  <c r="K325" i="42697"/>
  <c r="K894" i="42697" s="1"/>
  <c r="K911" i="42697" s="1"/>
  <c r="J325" i="42697"/>
  <c r="J894" i="42697" s="1"/>
  <c r="J911" i="42697" s="1"/>
  <c r="I325" i="42697"/>
  <c r="I894" i="42697" s="1"/>
  <c r="I911" i="42697" s="1"/>
  <c r="H325" i="42697"/>
  <c r="H894" i="42697" s="1"/>
  <c r="H911" i="42697" s="1"/>
  <c r="G325" i="42697"/>
  <c r="G894" i="42697" s="1"/>
  <c r="G911" i="42697" s="1"/>
  <c r="F325" i="42697"/>
  <c r="F894" i="42697" s="1"/>
  <c r="Q320" i="42697"/>
  <c r="Q809" i="42697" s="1"/>
  <c r="Q829" i="42697" s="1"/>
  <c r="P320" i="42697"/>
  <c r="P809" i="42697" s="1"/>
  <c r="P829" i="42697" s="1"/>
  <c r="O320" i="42697"/>
  <c r="O809" i="42697" s="1"/>
  <c r="O829" i="42697" s="1"/>
  <c r="N320" i="42697"/>
  <c r="N809" i="42697" s="1"/>
  <c r="N829" i="42697" s="1"/>
  <c r="M320" i="42697"/>
  <c r="M809" i="42697" s="1"/>
  <c r="M829" i="42697" s="1"/>
  <c r="L320" i="42697"/>
  <c r="L809" i="42697" s="1"/>
  <c r="L829" i="42697" s="1"/>
  <c r="K320" i="42697"/>
  <c r="K809" i="42697" s="1"/>
  <c r="K829" i="42697" s="1"/>
  <c r="J320" i="42697"/>
  <c r="J809" i="42697" s="1"/>
  <c r="J829" i="42697" s="1"/>
  <c r="I320" i="42697"/>
  <c r="I809" i="42697" s="1"/>
  <c r="I829" i="42697" s="1"/>
  <c r="H320" i="42697"/>
  <c r="H809" i="42697" s="1"/>
  <c r="H829" i="42697" s="1"/>
  <c r="G320" i="42697"/>
  <c r="G809" i="42697" s="1"/>
  <c r="G829" i="42697" s="1"/>
  <c r="F320" i="42697"/>
  <c r="F809" i="42697" s="1"/>
  <c r="Q314" i="42697"/>
  <c r="Q673" i="42697" s="1"/>
  <c r="Q697" i="42697" s="1"/>
  <c r="P314" i="42697"/>
  <c r="P673" i="42697" s="1"/>
  <c r="P697" i="42697" s="1"/>
  <c r="O314" i="42697"/>
  <c r="O673" i="42697" s="1"/>
  <c r="O697" i="42697" s="1"/>
  <c r="N314" i="42697"/>
  <c r="N673" i="42697" s="1"/>
  <c r="N697" i="42697" s="1"/>
  <c r="M314" i="42697"/>
  <c r="M673" i="42697" s="1"/>
  <c r="M697" i="42697" s="1"/>
  <c r="L314" i="42697"/>
  <c r="L673" i="42697" s="1"/>
  <c r="L697" i="42697" s="1"/>
  <c r="K314" i="42697"/>
  <c r="K673" i="42697" s="1"/>
  <c r="K697" i="42697" s="1"/>
  <c r="J314" i="42697"/>
  <c r="J673" i="42697" s="1"/>
  <c r="J697" i="42697" s="1"/>
  <c r="I314" i="42697"/>
  <c r="I673" i="42697" s="1"/>
  <c r="I697" i="42697" s="1"/>
  <c r="H314" i="42697"/>
  <c r="H673" i="42697" s="1"/>
  <c r="H697" i="42697" s="1"/>
  <c r="G314" i="42697"/>
  <c r="G673" i="42697" s="1"/>
  <c r="G697" i="42697" s="1"/>
  <c r="F314" i="42697"/>
  <c r="F673" i="42697" s="1"/>
  <c r="F697" i="42697" s="1"/>
  <c r="Q313" i="42697"/>
  <c r="Q672" i="42697" s="1"/>
  <c r="Q696" i="42697" s="1"/>
  <c r="Q698" i="42697" s="1"/>
  <c r="P313" i="42697"/>
  <c r="P672" i="42697" s="1"/>
  <c r="P696" i="42697" s="1"/>
  <c r="P698" i="42697" s="1"/>
  <c r="O313" i="42697"/>
  <c r="O672" i="42697" s="1"/>
  <c r="O696" i="42697" s="1"/>
  <c r="O698" i="42697" s="1"/>
  <c r="N313" i="42697"/>
  <c r="N672" i="42697" s="1"/>
  <c r="N696" i="42697" s="1"/>
  <c r="N698" i="42697" s="1"/>
  <c r="M313" i="42697"/>
  <c r="M672" i="42697" s="1"/>
  <c r="M696" i="42697" s="1"/>
  <c r="M698" i="42697" s="1"/>
  <c r="L313" i="42697"/>
  <c r="L672" i="42697" s="1"/>
  <c r="L696" i="42697" s="1"/>
  <c r="L698" i="42697" s="1"/>
  <c r="K313" i="42697"/>
  <c r="K672" i="42697" s="1"/>
  <c r="K696" i="42697" s="1"/>
  <c r="K698" i="42697" s="1"/>
  <c r="J313" i="42697"/>
  <c r="J672" i="42697" s="1"/>
  <c r="J696" i="42697" s="1"/>
  <c r="J698" i="42697" s="1"/>
  <c r="I313" i="42697"/>
  <c r="I672" i="42697" s="1"/>
  <c r="I696" i="42697" s="1"/>
  <c r="I698" i="42697" s="1"/>
  <c r="H313" i="42697"/>
  <c r="H672" i="42697" s="1"/>
  <c r="H696" i="42697" s="1"/>
  <c r="H698" i="42697" s="1"/>
  <c r="G313" i="42697"/>
  <c r="G672" i="42697" s="1"/>
  <c r="G696" i="42697" s="1"/>
  <c r="G698" i="42697" s="1"/>
  <c r="F313" i="42697"/>
  <c r="F672" i="42697" s="1"/>
  <c r="F696" i="42697" s="1"/>
  <c r="Q311" i="42697"/>
  <c r="Q670" i="42697" s="1"/>
  <c r="P311" i="42697"/>
  <c r="P670" i="42697" s="1"/>
  <c r="O311" i="42697"/>
  <c r="O670" i="42697" s="1"/>
  <c r="N311" i="42697"/>
  <c r="N670" i="42697" s="1"/>
  <c r="M311" i="42697"/>
  <c r="M670" i="42697" s="1"/>
  <c r="L311" i="42697"/>
  <c r="L670" i="42697" s="1"/>
  <c r="K311" i="42697"/>
  <c r="K670" i="42697" s="1"/>
  <c r="J311" i="42697"/>
  <c r="J670" i="42697" s="1"/>
  <c r="I311" i="42697"/>
  <c r="I670" i="42697" s="1"/>
  <c r="H311" i="42697"/>
  <c r="H670" i="42697" s="1"/>
  <c r="G311" i="42697"/>
  <c r="G670" i="42697" s="1"/>
  <c r="F311" i="42697"/>
  <c r="F670" i="42697" s="1"/>
  <c r="Q309" i="42697"/>
  <c r="Q668" i="42697" s="1"/>
  <c r="P309" i="42697"/>
  <c r="P668" i="42697" s="1"/>
  <c r="O309" i="42697"/>
  <c r="O668" i="42697" s="1"/>
  <c r="N309" i="42697"/>
  <c r="N668" i="42697" s="1"/>
  <c r="M309" i="42697"/>
  <c r="M668" i="42697" s="1"/>
  <c r="L309" i="42697"/>
  <c r="L668" i="42697" s="1"/>
  <c r="K309" i="42697"/>
  <c r="K668" i="42697" s="1"/>
  <c r="J309" i="42697"/>
  <c r="J668" i="42697" s="1"/>
  <c r="I309" i="42697"/>
  <c r="I668" i="42697" s="1"/>
  <c r="H309" i="42697"/>
  <c r="H668" i="42697" s="1"/>
  <c r="G309" i="42697"/>
  <c r="G668" i="42697" s="1"/>
  <c r="F309" i="42697"/>
  <c r="F668" i="42697" s="1"/>
  <c r="Q308" i="42697"/>
  <c r="Q667" i="42697" s="1"/>
  <c r="P308" i="42697"/>
  <c r="P667" i="42697" s="1"/>
  <c r="O308" i="42697"/>
  <c r="O667" i="42697" s="1"/>
  <c r="N308" i="42697"/>
  <c r="N667" i="42697" s="1"/>
  <c r="M308" i="42697"/>
  <c r="M667" i="42697" s="1"/>
  <c r="L308" i="42697"/>
  <c r="L667" i="42697" s="1"/>
  <c r="K308" i="42697"/>
  <c r="K667" i="42697" s="1"/>
  <c r="J308" i="42697"/>
  <c r="J667" i="42697" s="1"/>
  <c r="I308" i="42697"/>
  <c r="I667" i="42697" s="1"/>
  <c r="H308" i="42697"/>
  <c r="H667" i="42697" s="1"/>
  <c r="G308" i="42697"/>
  <c r="G667" i="42697" s="1"/>
  <c r="F308" i="42697"/>
  <c r="F667" i="42697" s="1"/>
  <c r="Q306" i="42697"/>
  <c r="Q665" i="42697" s="1"/>
  <c r="Q688" i="42697" s="1"/>
  <c r="P306" i="42697"/>
  <c r="P665" i="42697" s="1"/>
  <c r="P688" i="42697" s="1"/>
  <c r="O306" i="42697"/>
  <c r="O665" i="42697" s="1"/>
  <c r="O688" i="42697" s="1"/>
  <c r="N306" i="42697"/>
  <c r="N665" i="42697" s="1"/>
  <c r="N688" i="42697" s="1"/>
  <c r="M306" i="42697"/>
  <c r="M665" i="42697" s="1"/>
  <c r="M688" i="42697" s="1"/>
  <c r="L306" i="42697"/>
  <c r="L665" i="42697" s="1"/>
  <c r="L688" i="42697" s="1"/>
  <c r="K306" i="42697"/>
  <c r="K665" i="42697" s="1"/>
  <c r="K688" i="42697" s="1"/>
  <c r="J306" i="42697"/>
  <c r="J665" i="42697" s="1"/>
  <c r="J688" i="42697" s="1"/>
  <c r="I306" i="42697"/>
  <c r="I665" i="42697" s="1"/>
  <c r="I688" i="42697" s="1"/>
  <c r="H306" i="42697"/>
  <c r="H665" i="42697" s="1"/>
  <c r="H688" i="42697" s="1"/>
  <c r="G306" i="42697"/>
  <c r="G665" i="42697" s="1"/>
  <c r="G688" i="42697" s="1"/>
  <c r="F306" i="42697"/>
  <c r="F665" i="42697" s="1"/>
  <c r="F688" i="42697" s="1"/>
  <c r="Q298" i="42697"/>
  <c r="P298" i="42697"/>
  <c r="O298" i="42697"/>
  <c r="N298" i="42697"/>
  <c r="L298" i="42697"/>
  <c r="K298" i="42697"/>
  <c r="J298" i="42697"/>
  <c r="I298" i="42697"/>
  <c r="H298" i="42697"/>
  <c r="G298" i="42697"/>
  <c r="Q282" i="42697"/>
  <c r="Q893" i="42697" s="1"/>
  <c r="Q910" i="42697" s="1"/>
  <c r="P282" i="42697"/>
  <c r="P893" i="42697" s="1"/>
  <c r="P910" i="42697" s="1"/>
  <c r="O282" i="42697"/>
  <c r="O893" i="42697" s="1"/>
  <c r="O910" i="42697" s="1"/>
  <c r="N282" i="42697"/>
  <c r="N893" i="42697" s="1"/>
  <c r="N910" i="42697" s="1"/>
  <c r="M282" i="42697"/>
  <c r="M893" i="42697" s="1"/>
  <c r="M910" i="42697" s="1"/>
  <c r="L282" i="42697"/>
  <c r="L893" i="42697" s="1"/>
  <c r="L910" i="42697" s="1"/>
  <c r="K282" i="42697"/>
  <c r="K893" i="42697" s="1"/>
  <c r="K910" i="42697" s="1"/>
  <c r="J282" i="42697"/>
  <c r="J893" i="42697" s="1"/>
  <c r="J910" i="42697" s="1"/>
  <c r="I282" i="42697"/>
  <c r="I893" i="42697" s="1"/>
  <c r="I910" i="42697" s="1"/>
  <c r="H282" i="42697"/>
  <c r="H893" i="42697" s="1"/>
  <c r="H910" i="42697" s="1"/>
  <c r="G282" i="42697"/>
  <c r="G893" i="42697" s="1"/>
  <c r="G910" i="42697" s="1"/>
  <c r="F282" i="42697"/>
  <c r="F893" i="42697" s="1"/>
  <c r="Q276" i="42697"/>
  <c r="Q808" i="42697" s="1"/>
  <c r="Q828" i="42697" s="1"/>
  <c r="P276" i="42697"/>
  <c r="P808" i="42697" s="1"/>
  <c r="P828" i="42697" s="1"/>
  <c r="O276" i="42697"/>
  <c r="O808" i="42697" s="1"/>
  <c r="O828" i="42697" s="1"/>
  <c r="N276" i="42697"/>
  <c r="N808" i="42697" s="1"/>
  <c r="N828" i="42697" s="1"/>
  <c r="M276" i="42697"/>
  <c r="M808" i="42697" s="1"/>
  <c r="M828" i="42697" s="1"/>
  <c r="L276" i="42697"/>
  <c r="L808" i="42697" s="1"/>
  <c r="L828" i="42697" s="1"/>
  <c r="K276" i="42697"/>
  <c r="K808" i="42697" s="1"/>
  <c r="K828" i="42697" s="1"/>
  <c r="J276" i="42697"/>
  <c r="J808" i="42697" s="1"/>
  <c r="J828" i="42697" s="1"/>
  <c r="I276" i="42697"/>
  <c r="I808" i="42697" s="1"/>
  <c r="I828" i="42697" s="1"/>
  <c r="H276" i="42697"/>
  <c r="H808" i="42697" s="1"/>
  <c r="H828" i="42697" s="1"/>
  <c r="G276" i="42697"/>
  <c r="G808" i="42697" s="1"/>
  <c r="G828" i="42697" s="1"/>
  <c r="F276" i="42697"/>
  <c r="F808" i="42697" s="1"/>
  <c r="Q270" i="42697"/>
  <c r="Q629" i="42697" s="1"/>
  <c r="Q655" i="42697" s="1"/>
  <c r="P270" i="42697"/>
  <c r="P629" i="42697" s="1"/>
  <c r="P655" i="42697" s="1"/>
  <c r="O270" i="42697"/>
  <c r="O629" i="42697" s="1"/>
  <c r="O655" i="42697" s="1"/>
  <c r="N270" i="42697"/>
  <c r="N629" i="42697" s="1"/>
  <c r="N655" i="42697" s="1"/>
  <c r="M270" i="42697"/>
  <c r="M629" i="42697" s="1"/>
  <c r="M655" i="42697" s="1"/>
  <c r="L270" i="42697"/>
  <c r="L629" i="42697" s="1"/>
  <c r="L655" i="42697" s="1"/>
  <c r="K270" i="42697"/>
  <c r="K629" i="42697" s="1"/>
  <c r="K655" i="42697" s="1"/>
  <c r="J270" i="42697"/>
  <c r="J629" i="42697" s="1"/>
  <c r="J655" i="42697" s="1"/>
  <c r="I270" i="42697"/>
  <c r="I629" i="42697" s="1"/>
  <c r="I655" i="42697" s="1"/>
  <c r="H270" i="42697"/>
  <c r="H629" i="42697" s="1"/>
  <c r="H655" i="42697" s="1"/>
  <c r="G270" i="42697"/>
  <c r="G629" i="42697" s="1"/>
  <c r="G655" i="42697" s="1"/>
  <c r="F270" i="42697"/>
  <c r="F629" i="42697" s="1"/>
  <c r="F655" i="42697" s="1"/>
  <c r="Q269" i="42697"/>
  <c r="Q628" i="42697" s="1"/>
  <c r="Q654" i="42697" s="1"/>
  <c r="Q656" i="42697" s="1"/>
  <c r="P269" i="42697"/>
  <c r="P628" i="42697" s="1"/>
  <c r="P654" i="42697" s="1"/>
  <c r="P656" i="42697" s="1"/>
  <c r="O269" i="42697"/>
  <c r="O628" i="42697" s="1"/>
  <c r="O654" i="42697" s="1"/>
  <c r="O656" i="42697" s="1"/>
  <c r="N269" i="42697"/>
  <c r="N628" i="42697" s="1"/>
  <c r="N654" i="42697" s="1"/>
  <c r="N656" i="42697" s="1"/>
  <c r="M269" i="42697"/>
  <c r="M628" i="42697" s="1"/>
  <c r="M654" i="42697" s="1"/>
  <c r="M656" i="42697" s="1"/>
  <c r="L269" i="42697"/>
  <c r="L628" i="42697" s="1"/>
  <c r="L654" i="42697" s="1"/>
  <c r="L656" i="42697" s="1"/>
  <c r="K269" i="42697"/>
  <c r="K628" i="42697" s="1"/>
  <c r="K654" i="42697" s="1"/>
  <c r="K656" i="42697" s="1"/>
  <c r="J269" i="42697"/>
  <c r="J628" i="42697" s="1"/>
  <c r="J654" i="42697" s="1"/>
  <c r="J656" i="42697" s="1"/>
  <c r="I269" i="42697"/>
  <c r="I628" i="42697" s="1"/>
  <c r="I654" i="42697" s="1"/>
  <c r="I656" i="42697" s="1"/>
  <c r="H269" i="42697"/>
  <c r="H628" i="42697" s="1"/>
  <c r="H654" i="42697" s="1"/>
  <c r="H656" i="42697" s="1"/>
  <c r="G269" i="42697"/>
  <c r="G628" i="42697" s="1"/>
  <c r="G654" i="42697" s="1"/>
  <c r="G656" i="42697" s="1"/>
  <c r="F269" i="42697"/>
  <c r="F628" i="42697" s="1"/>
  <c r="F654" i="42697" s="1"/>
  <c r="Q267" i="42697"/>
  <c r="Q626" i="42697" s="1"/>
  <c r="P267" i="42697"/>
  <c r="P626" i="42697" s="1"/>
  <c r="O267" i="42697"/>
  <c r="O626" i="42697" s="1"/>
  <c r="N267" i="42697"/>
  <c r="N626" i="42697" s="1"/>
  <c r="M267" i="42697"/>
  <c r="M626" i="42697" s="1"/>
  <c r="L267" i="42697"/>
  <c r="L626" i="42697" s="1"/>
  <c r="K267" i="42697"/>
  <c r="K626" i="42697" s="1"/>
  <c r="J267" i="42697"/>
  <c r="J626" i="42697" s="1"/>
  <c r="I267" i="42697"/>
  <c r="I626" i="42697" s="1"/>
  <c r="H267" i="42697"/>
  <c r="H626" i="42697" s="1"/>
  <c r="G267" i="42697"/>
  <c r="G626" i="42697" s="1"/>
  <c r="F267" i="42697"/>
  <c r="F626" i="42697" s="1"/>
  <c r="Q265" i="42697"/>
  <c r="Q624" i="42697" s="1"/>
  <c r="P265" i="42697"/>
  <c r="P624" i="42697" s="1"/>
  <c r="O265" i="42697"/>
  <c r="O624" i="42697" s="1"/>
  <c r="N265" i="42697"/>
  <c r="N624" i="42697" s="1"/>
  <c r="M265" i="42697"/>
  <c r="M624" i="42697" s="1"/>
  <c r="L265" i="42697"/>
  <c r="L624" i="42697" s="1"/>
  <c r="K265" i="42697"/>
  <c r="K624" i="42697" s="1"/>
  <c r="J265" i="42697"/>
  <c r="J624" i="42697" s="1"/>
  <c r="I265" i="42697"/>
  <c r="I624" i="42697" s="1"/>
  <c r="H265" i="42697"/>
  <c r="H624" i="42697" s="1"/>
  <c r="G265" i="42697"/>
  <c r="G624" i="42697" s="1"/>
  <c r="F265" i="42697"/>
  <c r="F624" i="42697" s="1"/>
  <c r="Q264" i="42697"/>
  <c r="Q623" i="42697" s="1"/>
  <c r="P264" i="42697"/>
  <c r="P623" i="42697" s="1"/>
  <c r="O264" i="42697"/>
  <c r="O623" i="42697" s="1"/>
  <c r="N264" i="42697"/>
  <c r="N623" i="42697" s="1"/>
  <c r="M264" i="42697"/>
  <c r="M623" i="42697" s="1"/>
  <c r="L264" i="42697"/>
  <c r="L623" i="42697" s="1"/>
  <c r="K264" i="42697"/>
  <c r="K623" i="42697" s="1"/>
  <c r="J264" i="42697"/>
  <c r="J623" i="42697" s="1"/>
  <c r="I264" i="42697"/>
  <c r="I623" i="42697" s="1"/>
  <c r="H264" i="42697"/>
  <c r="H623" i="42697" s="1"/>
  <c r="G264" i="42697"/>
  <c r="G623" i="42697" s="1"/>
  <c r="F264" i="42697"/>
  <c r="F623" i="42697" s="1"/>
  <c r="Q263" i="42697"/>
  <c r="Q622" i="42697" s="1"/>
  <c r="P263" i="42697"/>
  <c r="P622" i="42697" s="1"/>
  <c r="O263" i="42697"/>
  <c r="O622" i="42697" s="1"/>
  <c r="N263" i="42697"/>
  <c r="N622" i="42697" s="1"/>
  <c r="M263" i="42697"/>
  <c r="M622" i="42697" s="1"/>
  <c r="L263" i="42697"/>
  <c r="L622" i="42697" s="1"/>
  <c r="K263" i="42697"/>
  <c r="K622" i="42697" s="1"/>
  <c r="J263" i="42697"/>
  <c r="J622" i="42697" s="1"/>
  <c r="I263" i="42697"/>
  <c r="I622" i="42697" s="1"/>
  <c r="H263" i="42697"/>
  <c r="H622" i="42697" s="1"/>
  <c r="G263" i="42697"/>
  <c r="G622" i="42697" s="1"/>
  <c r="F263" i="42697"/>
  <c r="F622" i="42697" s="1"/>
  <c r="Q261" i="42697"/>
  <c r="Q620" i="42697" s="1"/>
  <c r="Q645" i="42697" s="1"/>
  <c r="P261" i="42697"/>
  <c r="P620" i="42697" s="1"/>
  <c r="P645" i="42697" s="1"/>
  <c r="O261" i="42697"/>
  <c r="O620" i="42697" s="1"/>
  <c r="O645" i="42697" s="1"/>
  <c r="N261" i="42697"/>
  <c r="N620" i="42697" s="1"/>
  <c r="N645" i="42697" s="1"/>
  <c r="M261" i="42697"/>
  <c r="M620" i="42697" s="1"/>
  <c r="M645" i="42697" s="1"/>
  <c r="L261" i="42697"/>
  <c r="L620" i="42697" s="1"/>
  <c r="L645" i="42697" s="1"/>
  <c r="K261" i="42697"/>
  <c r="K620" i="42697" s="1"/>
  <c r="K645" i="42697" s="1"/>
  <c r="J261" i="42697"/>
  <c r="J620" i="42697" s="1"/>
  <c r="J645" i="42697" s="1"/>
  <c r="I261" i="42697"/>
  <c r="I620" i="42697" s="1"/>
  <c r="I645" i="42697" s="1"/>
  <c r="H261" i="42697"/>
  <c r="H620" i="42697" s="1"/>
  <c r="H645" i="42697" s="1"/>
  <c r="G261" i="42697"/>
  <c r="G620" i="42697" s="1"/>
  <c r="G645" i="42697" s="1"/>
  <c r="F261" i="42697"/>
  <c r="F620" i="42697" s="1"/>
  <c r="F645" i="42697" s="1"/>
  <c r="Q253" i="42697"/>
  <c r="Q887" i="42697" s="1"/>
  <c r="P253" i="42697"/>
  <c r="P887" i="42697" s="1"/>
  <c r="O253" i="42697"/>
  <c r="O887" i="42697" s="1"/>
  <c r="N253" i="42697"/>
  <c r="N887" i="42697" s="1"/>
  <c r="M253" i="42697"/>
  <c r="M887" i="42697" s="1"/>
  <c r="L253" i="42697"/>
  <c r="L887" i="42697" s="1"/>
  <c r="K253" i="42697"/>
  <c r="K887" i="42697" s="1"/>
  <c r="J253" i="42697"/>
  <c r="J887" i="42697" s="1"/>
  <c r="I253" i="42697"/>
  <c r="I887" i="42697" s="1"/>
  <c r="H253" i="42697"/>
  <c r="H887" i="42697" s="1"/>
  <c r="G253" i="42697"/>
  <c r="G887" i="42697" s="1"/>
  <c r="F253" i="42697"/>
  <c r="F887" i="42697" s="1"/>
  <c r="Q250" i="42697"/>
  <c r="Q256" i="42697" s="1"/>
  <c r="P250" i="42697"/>
  <c r="P256" i="42697" s="1"/>
  <c r="O250" i="42697"/>
  <c r="O256" i="42697" s="1"/>
  <c r="N250" i="42697"/>
  <c r="N256" i="42697" s="1"/>
  <c r="M250" i="42697"/>
  <c r="M256" i="42697" s="1"/>
  <c r="L250" i="42697"/>
  <c r="L256" i="42697" s="1"/>
  <c r="K250" i="42697"/>
  <c r="K256" i="42697" s="1"/>
  <c r="J250" i="42697"/>
  <c r="J256" i="42697" s="1"/>
  <c r="I250" i="42697"/>
  <c r="I256" i="42697" s="1"/>
  <c r="H250" i="42697"/>
  <c r="H256" i="42697" s="1"/>
  <c r="G250" i="42697"/>
  <c r="G256" i="42697" s="1"/>
  <c r="F250" i="42697"/>
  <c r="F256" i="42697" s="1"/>
  <c r="Q243" i="42697"/>
  <c r="P243" i="42697"/>
  <c r="O243" i="42697"/>
  <c r="N243" i="42697"/>
  <c r="M243" i="42697"/>
  <c r="L243" i="42697"/>
  <c r="K243" i="42697"/>
  <c r="J243" i="42697"/>
  <c r="I243" i="42697"/>
  <c r="H243" i="42697"/>
  <c r="G243" i="42697"/>
  <c r="F243" i="42697"/>
  <c r="R233" i="42697"/>
  <c r="Q228" i="42697"/>
  <c r="Q892" i="42697" s="1"/>
  <c r="Q916" i="42697" s="1"/>
  <c r="P228" i="42697"/>
  <c r="P892" i="42697" s="1"/>
  <c r="P916" i="42697" s="1"/>
  <c r="O228" i="42697"/>
  <c r="O892" i="42697" s="1"/>
  <c r="O916" i="42697" s="1"/>
  <c r="N228" i="42697"/>
  <c r="N892" i="42697" s="1"/>
  <c r="N916" i="42697" s="1"/>
  <c r="M228" i="42697"/>
  <c r="M892" i="42697" s="1"/>
  <c r="M916" i="42697" s="1"/>
  <c r="L228" i="42697"/>
  <c r="L892" i="42697" s="1"/>
  <c r="L916" i="42697" s="1"/>
  <c r="K228" i="42697"/>
  <c r="K892" i="42697" s="1"/>
  <c r="K916" i="42697" s="1"/>
  <c r="J228" i="42697"/>
  <c r="J892" i="42697" s="1"/>
  <c r="J916" i="42697" s="1"/>
  <c r="I228" i="42697"/>
  <c r="I892" i="42697" s="1"/>
  <c r="I916" i="42697" s="1"/>
  <c r="H228" i="42697"/>
  <c r="H892" i="42697" s="1"/>
  <c r="H916" i="42697" s="1"/>
  <c r="G228" i="42697"/>
  <c r="G892" i="42697" s="1"/>
  <c r="G916" i="42697" s="1"/>
  <c r="F228" i="42697"/>
  <c r="F892" i="42697" s="1"/>
  <c r="Q219" i="42697"/>
  <c r="Q807" i="42697" s="1"/>
  <c r="Q834" i="42697" s="1"/>
  <c r="P219" i="42697"/>
  <c r="P807" i="42697" s="1"/>
  <c r="P834" i="42697" s="1"/>
  <c r="O219" i="42697"/>
  <c r="O807" i="42697" s="1"/>
  <c r="O834" i="42697" s="1"/>
  <c r="N219" i="42697"/>
  <c r="N807" i="42697" s="1"/>
  <c r="N834" i="42697" s="1"/>
  <c r="M219" i="42697"/>
  <c r="M807" i="42697" s="1"/>
  <c r="M834" i="42697" s="1"/>
  <c r="L219" i="42697"/>
  <c r="L807" i="42697" s="1"/>
  <c r="L834" i="42697" s="1"/>
  <c r="K219" i="42697"/>
  <c r="K807" i="42697" s="1"/>
  <c r="K834" i="42697" s="1"/>
  <c r="J219" i="42697"/>
  <c r="J807" i="42697" s="1"/>
  <c r="J834" i="42697" s="1"/>
  <c r="I219" i="42697"/>
  <c r="I807" i="42697" s="1"/>
  <c r="I834" i="42697" s="1"/>
  <c r="H219" i="42697"/>
  <c r="H807" i="42697" s="1"/>
  <c r="H834" i="42697" s="1"/>
  <c r="G219" i="42697"/>
  <c r="G807" i="42697" s="1"/>
  <c r="G834" i="42697" s="1"/>
  <c r="F219" i="42697"/>
  <c r="F807" i="42697" s="1"/>
  <c r="Q215" i="42697"/>
  <c r="Q575" i="42697" s="1"/>
  <c r="Q602" i="42697" s="1"/>
  <c r="P215" i="42697"/>
  <c r="P575" i="42697" s="1"/>
  <c r="P602" i="42697" s="1"/>
  <c r="O215" i="42697"/>
  <c r="O575" i="42697" s="1"/>
  <c r="O602" i="42697" s="1"/>
  <c r="N215" i="42697"/>
  <c r="N575" i="42697" s="1"/>
  <c r="N602" i="42697" s="1"/>
  <c r="M215" i="42697"/>
  <c r="M575" i="42697" s="1"/>
  <c r="M602" i="42697" s="1"/>
  <c r="L215" i="42697"/>
  <c r="L575" i="42697" s="1"/>
  <c r="L602" i="42697" s="1"/>
  <c r="K215" i="42697"/>
  <c r="K575" i="42697" s="1"/>
  <c r="K602" i="42697" s="1"/>
  <c r="J215" i="42697"/>
  <c r="J575" i="42697" s="1"/>
  <c r="J602" i="42697" s="1"/>
  <c r="I215" i="42697"/>
  <c r="I575" i="42697" s="1"/>
  <c r="I602" i="42697" s="1"/>
  <c r="H215" i="42697"/>
  <c r="H575" i="42697" s="1"/>
  <c r="H602" i="42697" s="1"/>
  <c r="G215" i="42697"/>
  <c r="G575" i="42697" s="1"/>
  <c r="G602" i="42697" s="1"/>
  <c r="F215" i="42697"/>
  <c r="F575" i="42697" s="1"/>
  <c r="F602" i="42697" s="1"/>
  <c r="R602" i="42697" s="1"/>
  <c r="F465" i="42698" s="1"/>
  <c r="Q214" i="42697"/>
  <c r="Q574" i="42697" s="1"/>
  <c r="P214" i="42697"/>
  <c r="P574" i="42697" s="1"/>
  <c r="O214" i="42697"/>
  <c r="O574" i="42697" s="1"/>
  <c r="N214" i="42697"/>
  <c r="N574" i="42697" s="1"/>
  <c r="M214" i="42697"/>
  <c r="M574" i="42697" s="1"/>
  <c r="L214" i="42697"/>
  <c r="L574" i="42697" s="1"/>
  <c r="K214" i="42697"/>
  <c r="K574" i="42697" s="1"/>
  <c r="J214" i="42697"/>
  <c r="J574" i="42697" s="1"/>
  <c r="I214" i="42697"/>
  <c r="I574" i="42697" s="1"/>
  <c r="H214" i="42697"/>
  <c r="H574" i="42697" s="1"/>
  <c r="G214" i="42697"/>
  <c r="G574" i="42697" s="1"/>
  <c r="F214" i="42697"/>
  <c r="F574" i="42697" s="1"/>
  <c r="Q213" i="42697"/>
  <c r="Q573" i="42697" s="1"/>
  <c r="P213" i="42697"/>
  <c r="P573" i="42697" s="1"/>
  <c r="O213" i="42697"/>
  <c r="O573" i="42697" s="1"/>
  <c r="N213" i="42697"/>
  <c r="N573" i="42697" s="1"/>
  <c r="M213" i="42697"/>
  <c r="M573" i="42697" s="1"/>
  <c r="L213" i="42697"/>
  <c r="L573" i="42697" s="1"/>
  <c r="K213" i="42697"/>
  <c r="K573" i="42697" s="1"/>
  <c r="J213" i="42697"/>
  <c r="J573" i="42697" s="1"/>
  <c r="I213" i="42697"/>
  <c r="I573" i="42697" s="1"/>
  <c r="H213" i="42697"/>
  <c r="H573" i="42697" s="1"/>
  <c r="G213" i="42697"/>
  <c r="G573" i="42697" s="1"/>
  <c r="F213" i="42697"/>
  <c r="F573" i="42697" s="1"/>
  <c r="Q212" i="42697"/>
  <c r="Q572" i="42697" s="1"/>
  <c r="P212" i="42697"/>
  <c r="P572" i="42697" s="1"/>
  <c r="O212" i="42697"/>
  <c r="O572" i="42697" s="1"/>
  <c r="N212" i="42697"/>
  <c r="N572" i="42697" s="1"/>
  <c r="M212" i="42697"/>
  <c r="M572" i="42697" s="1"/>
  <c r="L212" i="42697"/>
  <c r="L572" i="42697" s="1"/>
  <c r="K212" i="42697"/>
  <c r="K572" i="42697" s="1"/>
  <c r="J212" i="42697"/>
  <c r="J572" i="42697" s="1"/>
  <c r="I212" i="42697"/>
  <c r="I572" i="42697" s="1"/>
  <c r="H212" i="42697"/>
  <c r="H572" i="42697" s="1"/>
  <c r="G212" i="42697"/>
  <c r="G572" i="42697" s="1"/>
  <c r="F212" i="42697"/>
  <c r="F572" i="42697" s="1"/>
  <c r="Q211" i="42697"/>
  <c r="Q571" i="42697" s="1"/>
  <c r="P211" i="42697"/>
  <c r="P571" i="42697" s="1"/>
  <c r="O211" i="42697"/>
  <c r="O571" i="42697" s="1"/>
  <c r="N211" i="42697"/>
  <c r="N571" i="42697" s="1"/>
  <c r="M211" i="42697"/>
  <c r="M571" i="42697" s="1"/>
  <c r="L211" i="42697"/>
  <c r="L571" i="42697" s="1"/>
  <c r="K211" i="42697"/>
  <c r="K571" i="42697" s="1"/>
  <c r="J211" i="42697"/>
  <c r="J571" i="42697" s="1"/>
  <c r="I211" i="42697"/>
  <c r="I571" i="42697" s="1"/>
  <c r="H211" i="42697"/>
  <c r="H571" i="42697" s="1"/>
  <c r="G211" i="42697"/>
  <c r="G571" i="42697" s="1"/>
  <c r="F211" i="42697"/>
  <c r="F571" i="42697" s="1"/>
  <c r="Q210" i="42697"/>
  <c r="Q570" i="42697" s="1"/>
  <c r="P210" i="42697"/>
  <c r="O210" i="42697"/>
  <c r="O570" i="42697" s="1"/>
  <c r="N210" i="42697"/>
  <c r="M210" i="42697"/>
  <c r="M570" i="42697" s="1"/>
  <c r="L210" i="42697"/>
  <c r="K210" i="42697"/>
  <c r="K570" i="42697" s="1"/>
  <c r="J210" i="42697"/>
  <c r="I210" i="42697"/>
  <c r="I570" i="42697" s="1"/>
  <c r="H210" i="42697"/>
  <c r="G210" i="42697"/>
  <c r="G570" i="42697" s="1"/>
  <c r="F210" i="42697"/>
  <c r="Q209" i="42697"/>
  <c r="Q569" i="42697" s="1"/>
  <c r="P209" i="42697"/>
  <c r="P569" i="42697" s="1"/>
  <c r="O209" i="42697"/>
  <c r="O569" i="42697" s="1"/>
  <c r="N209" i="42697"/>
  <c r="N569" i="42697" s="1"/>
  <c r="M209" i="42697"/>
  <c r="M569" i="42697" s="1"/>
  <c r="L209" i="42697"/>
  <c r="L569" i="42697" s="1"/>
  <c r="K209" i="42697"/>
  <c r="K569" i="42697" s="1"/>
  <c r="J209" i="42697"/>
  <c r="J569" i="42697" s="1"/>
  <c r="I209" i="42697"/>
  <c r="I569" i="42697" s="1"/>
  <c r="H209" i="42697"/>
  <c r="H569" i="42697" s="1"/>
  <c r="G209" i="42697"/>
  <c r="G569" i="42697" s="1"/>
  <c r="F209" i="42697"/>
  <c r="F569" i="42697" s="1"/>
  <c r="Q208" i="42697"/>
  <c r="Q568" i="42697" s="1"/>
  <c r="P208" i="42697"/>
  <c r="O208" i="42697"/>
  <c r="O568" i="42697" s="1"/>
  <c r="N208" i="42697"/>
  <c r="M208" i="42697"/>
  <c r="M568" i="42697" s="1"/>
  <c r="L208" i="42697"/>
  <c r="K208" i="42697"/>
  <c r="K568" i="42697" s="1"/>
  <c r="J208" i="42697"/>
  <c r="I208" i="42697"/>
  <c r="I568" i="42697" s="1"/>
  <c r="H208" i="42697"/>
  <c r="G208" i="42697"/>
  <c r="G568" i="42697" s="1"/>
  <c r="F208" i="42697"/>
  <c r="Q206" i="42697"/>
  <c r="Q566" i="42697" s="1"/>
  <c r="Q592" i="42697" s="1"/>
  <c r="P206" i="42697"/>
  <c r="P232" i="42697" s="1"/>
  <c r="O206" i="42697"/>
  <c r="O566" i="42697" s="1"/>
  <c r="O592" i="42697" s="1"/>
  <c r="N206" i="42697"/>
  <c r="N232" i="42697" s="1"/>
  <c r="M206" i="42697"/>
  <c r="M566" i="42697" s="1"/>
  <c r="M592" i="42697" s="1"/>
  <c r="L206" i="42697"/>
  <c r="L232" i="42697" s="1"/>
  <c r="K206" i="42697"/>
  <c r="K566" i="42697" s="1"/>
  <c r="K592" i="42697" s="1"/>
  <c r="J206" i="42697"/>
  <c r="J232" i="42697" s="1"/>
  <c r="I206" i="42697"/>
  <c r="I566" i="42697" s="1"/>
  <c r="I592" i="42697" s="1"/>
  <c r="H206" i="42697"/>
  <c r="H232" i="42697" s="1"/>
  <c r="G206" i="42697"/>
  <c r="G566" i="42697" s="1"/>
  <c r="G592" i="42697" s="1"/>
  <c r="F206" i="42697"/>
  <c r="F232" i="42697" s="1"/>
  <c r="R201" i="42697"/>
  <c r="Q199" i="42697"/>
  <c r="P199" i="42697"/>
  <c r="O199" i="42697"/>
  <c r="N199" i="42697"/>
  <c r="M199" i="42697"/>
  <c r="L199" i="42697"/>
  <c r="J199" i="42697"/>
  <c r="I199" i="42697"/>
  <c r="H199" i="42697"/>
  <c r="G199" i="42697"/>
  <c r="F199" i="42697"/>
  <c r="Q187" i="42697"/>
  <c r="Q891" i="42697" s="1"/>
  <c r="Q914" i="42697" s="1"/>
  <c r="P187" i="42697"/>
  <c r="P891" i="42697" s="1"/>
  <c r="P914" i="42697" s="1"/>
  <c r="O187" i="42697"/>
  <c r="O891" i="42697" s="1"/>
  <c r="O914" i="42697" s="1"/>
  <c r="N187" i="42697"/>
  <c r="N891" i="42697" s="1"/>
  <c r="N914" i="42697" s="1"/>
  <c r="M187" i="42697"/>
  <c r="M891" i="42697" s="1"/>
  <c r="M914" i="42697" s="1"/>
  <c r="L187" i="42697"/>
  <c r="L891" i="42697" s="1"/>
  <c r="L914" i="42697" s="1"/>
  <c r="K187" i="42697"/>
  <c r="K891" i="42697" s="1"/>
  <c r="K914" i="42697" s="1"/>
  <c r="J187" i="42697"/>
  <c r="J891" i="42697" s="1"/>
  <c r="J914" i="42697" s="1"/>
  <c r="I187" i="42697"/>
  <c r="I891" i="42697" s="1"/>
  <c r="I914" i="42697" s="1"/>
  <c r="H187" i="42697"/>
  <c r="H891" i="42697" s="1"/>
  <c r="H914" i="42697" s="1"/>
  <c r="G187" i="42697"/>
  <c r="G891" i="42697" s="1"/>
  <c r="G914" i="42697" s="1"/>
  <c r="F187" i="42697"/>
  <c r="F891" i="42697" s="1"/>
  <c r="Q181" i="42697"/>
  <c r="Q806" i="42697" s="1"/>
  <c r="Q832" i="42697" s="1"/>
  <c r="P181" i="42697"/>
  <c r="P806" i="42697" s="1"/>
  <c r="P832" i="42697" s="1"/>
  <c r="O181" i="42697"/>
  <c r="O806" i="42697" s="1"/>
  <c r="O832" i="42697" s="1"/>
  <c r="N181" i="42697"/>
  <c r="N806" i="42697" s="1"/>
  <c r="N832" i="42697" s="1"/>
  <c r="M181" i="42697"/>
  <c r="M806" i="42697" s="1"/>
  <c r="M832" i="42697" s="1"/>
  <c r="L181" i="42697"/>
  <c r="L806" i="42697" s="1"/>
  <c r="L832" i="42697" s="1"/>
  <c r="K181" i="42697"/>
  <c r="K806" i="42697" s="1"/>
  <c r="K832" i="42697" s="1"/>
  <c r="J181" i="42697"/>
  <c r="J806" i="42697" s="1"/>
  <c r="J832" i="42697" s="1"/>
  <c r="I181" i="42697"/>
  <c r="I806" i="42697" s="1"/>
  <c r="I832" i="42697" s="1"/>
  <c r="H181" i="42697"/>
  <c r="H806" i="42697" s="1"/>
  <c r="H832" i="42697" s="1"/>
  <c r="G181" i="42697"/>
  <c r="G806" i="42697" s="1"/>
  <c r="G832" i="42697" s="1"/>
  <c r="F181" i="42697"/>
  <c r="F806" i="42697" s="1"/>
  <c r="Q177" i="42697"/>
  <c r="P177" i="42697"/>
  <c r="P198" i="42697" s="1"/>
  <c r="O177" i="42697"/>
  <c r="N177" i="42697"/>
  <c r="N198" i="42697" s="1"/>
  <c r="M177" i="42697"/>
  <c r="L177" i="42697"/>
  <c r="L198" i="42697" s="1"/>
  <c r="K177" i="42697"/>
  <c r="J177" i="42697"/>
  <c r="J198" i="42697" s="1"/>
  <c r="I177" i="42697"/>
  <c r="H177" i="42697"/>
  <c r="H198" i="42697" s="1"/>
  <c r="G177" i="42697"/>
  <c r="F177" i="42697"/>
  <c r="F198" i="42697" s="1"/>
  <c r="Q176" i="42697"/>
  <c r="P176" i="42697"/>
  <c r="P504" i="42697" s="1"/>
  <c r="O176" i="42697"/>
  <c r="N176" i="42697"/>
  <c r="N504" i="42697" s="1"/>
  <c r="M176" i="42697"/>
  <c r="L176" i="42697"/>
  <c r="L504" i="42697" s="1"/>
  <c r="K176" i="42697"/>
  <c r="J176" i="42697"/>
  <c r="J504" i="42697" s="1"/>
  <c r="I176" i="42697"/>
  <c r="H176" i="42697"/>
  <c r="H504" i="42697" s="1"/>
  <c r="G176" i="42697"/>
  <c r="F176" i="42697"/>
  <c r="F504" i="42697" s="1"/>
  <c r="Q175" i="42697"/>
  <c r="P175" i="42697"/>
  <c r="P503" i="42697" s="1"/>
  <c r="O175" i="42697"/>
  <c r="N175" i="42697"/>
  <c r="N503" i="42697" s="1"/>
  <c r="M175" i="42697"/>
  <c r="L175" i="42697"/>
  <c r="L503" i="42697" s="1"/>
  <c r="K175" i="42697"/>
  <c r="J175" i="42697"/>
  <c r="J503" i="42697" s="1"/>
  <c r="I175" i="42697"/>
  <c r="H175" i="42697"/>
  <c r="H503" i="42697" s="1"/>
  <c r="G175" i="42697"/>
  <c r="F175" i="42697"/>
  <c r="F503" i="42697" s="1"/>
  <c r="Q174" i="42697"/>
  <c r="P174" i="42697"/>
  <c r="O174" i="42697"/>
  <c r="N174" i="42697"/>
  <c r="M174" i="42697"/>
  <c r="L174" i="42697"/>
  <c r="K174" i="42697"/>
  <c r="J174" i="42697"/>
  <c r="I174" i="42697"/>
  <c r="H174" i="42697"/>
  <c r="G174" i="42697"/>
  <c r="F174" i="42697"/>
  <c r="Q173" i="42697"/>
  <c r="P173" i="42697"/>
  <c r="P501" i="42697" s="1"/>
  <c r="O173" i="42697"/>
  <c r="N173" i="42697"/>
  <c r="N501" i="42697" s="1"/>
  <c r="M173" i="42697"/>
  <c r="L173" i="42697"/>
  <c r="L501" i="42697" s="1"/>
  <c r="K173" i="42697"/>
  <c r="J173" i="42697"/>
  <c r="J501" i="42697" s="1"/>
  <c r="I173" i="42697"/>
  <c r="H173" i="42697"/>
  <c r="H501" i="42697" s="1"/>
  <c r="G173" i="42697"/>
  <c r="F173" i="42697"/>
  <c r="F501" i="42697" s="1"/>
  <c r="Q171" i="42697"/>
  <c r="P171" i="42697"/>
  <c r="P191" i="42697" s="1"/>
  <c r="O171" i="42697"/>
  <c r="N171" i="42697"/>
  <c r="N191" i="42697" s="1"/>
  <c r="M171" i="42697"/>
  <c r="L171" i="42697"/>
  <c r="L191" i="42697" s="1"/>
  <c r="K171" i="42697"/>
  <c r="J171" i="42697"/>
  <c r="J191" i="42697" s="1"/>
  <c r="I171" i="42697"/>
  <c r="H171" i="42697"/>
  <c r="H191" i="42697" s="1"/>
  <c r="G171" i="42697"/>
  <c r="F171" i="42697"/>
  <c r="F191" i="42697" s="1"/>
  <c r="R157" i="42697"/>
  <c r="Q151" i="42697"/>
  <c r="Q890" i="42697" s="1"/>
  <c r="Q913" i="42697" s="1"/>
  <c r="P151" i="42697"/>
  <c r="P890" i="42697" s="1"/>
  <c r="P913" i="42697" s="1"/>
  <c r="O151" i="42697"/>
  <c r="O890" i="42697" s="1"/>
  <c r="O913" i="42697" s="1"/>
  <c r="N151" i="42697"/>
  <c r="N890" i="42697" s="1"/>
  <c r="N913" i="42697" s="1"/>
  <c r="M151" i="42697"/>
  <c r="M890" i="42697" s="1"/>
  <c r="M913" i="42697" s="1"/>
  <c r="L151" i="42697"/>
  <c r="L890" i="42697" s="1"/>
  <c r="L913" i="42697" s="1"/>
  <c r="K151" i="42697"/>
  <c r="K890" i="42697" s="1"/>
  <c r="K913" i="42697" s="1"/>
  <c r="J151" i="42697"/>
  <c r="J890" i="42697" s="1"/>
  <c r="J913" i="42697" s="1"/>
  <c r="I151" i="42697"/>
  <c r="I890" i="42697" s="1"/>
  <c r="I913" i="42697" s="1"/>
  <c r="H151" i="42697"/>
  <c r="H890" i="42697" s="1"/>
  <c r="H913" i="42697" s="1"/>
  <c r="G151" i="42697"/>
  <c r="G890" i="42697" s="1"/>
  <c r="G913" i="42697" s="1"/>
  <c r="F151" i="42697"/>
  <c r="F890" i="42697" s="1"/>
  <c r="Q145" i="42697"/>
  <c r="Q805" i="42697" s="1"/>
  <c r="Q831" i="42697" s="1"/>
  <c r="P145" i="42697"/>
  <c r="P805" i="42697" s="1"/>
  <c r="P831" i="42697" s="1"/>
  <c r="O145" i="42697"/>
  <c r="O805" i="42697" s="1"/>
  <c r="O831" i="42697" s="1"/>
  <c r="N145" i="42697"/>
  <c r="N805" i="42697" s="1"/>
  <c r="N831" i="42697" s="1"/>
  <c r="M145" i="42697"/>
  <c r="M805" i="42697" s="1"/>
  <c r="M831" i="42697" s="1"/>
  <c r="L145" i="42697"/>
  <c r="L805" i="42697" s="1"/>
  <c r="L831" i="42697" s="1"/>
  <c r="K145" i="42697"/>
  <c r="K805" i="42697" s="1"/>
  <c r="K831" i="42697" s="1"/>
  <c r="J145" i="42697"/>
  <c r="J805" i="42697" s="1"/>
  <c r="J831" i="42697" s="1"/>
  <c r="I145" i="42697"/>
  <c r="I805" i="42697" s="1"/>
  <c r="I831" i="42697" s="1"/>
  <c r="H145" i="42697"/>
  <c r="H805" i="42697" s="1"/>
  <c r="H831" i="42697" s="1"/>
  <c r="G145" i="42697"/>
  <c r="G805" i="42697" s="1"/>
  <c r="G831" i="42697" s="1"/>
  <c r="F145" i="42697"/>
  <c r="F805" i="42697" s="1"/>
  <c r="Q142" i="42697"/>
  <c r="P142" i="42697"/>
  <c r="P470" i="42697" s="1"/>
  <c r="O142" i="42697"/>
  <c r="N142" i="42697"/>
  <c r="N470" i="42697" s="1"/>
  <c r="M142" i="42697"/>
  <c r="L142" i="42697"/>
  <c r="L470" i="42697" s="1"/>
  <c r="K142" i="42697"/>
  <c r="J142" i="42697"/>
  <c r="J470" i="42697" s="1"/>
  <c r="I142" i="42697"/>
  <c r="H142" i="42697"/>
  <c r="H470" i="42697" s="1"/>
  <c r="G142" i="42697"/>
  <c r="F142" i="42697"/>
  <c r="F470" i="42697" s="1"/>
  <c r="Q141" i="42697"/>
  <c r="Q469" i="42697" s="1"/>
  <c r="Q491" i="42697" s="1"/>
  <c r="P141" i="42697"/>
  <c r="P469" i="42697" s="1"/>
  <c r="P491" i="42697" s="1"/>
  <c r="O141" i="42697"/>
  <c r="O469" i="42697" s="1"/>
  <c r="O491" i="42697" s="1"/>
  <c r="N141" i="42697"/>
  <c r="N469" i="42697" s="1"/>
  <c r="N491" i="42697" s="1"/>
  <c r="M141" i="42697"/>
  <c r="M469" i="42697" s="1"/>
  <c r="M491" i="42697" s="1"/>
  <c r="L141" i="42697"/>
  <c r="L469" i="42697" s="1"/>
  <c r="L491" i="42697" s="1"/>
  <c r="K141" i="42697"/>
  <c r="K469" i="42697" s="1"/>
  <c r="K491" i="42697" s="1"/>
  <c r="J141" i="42697"/>
  <c r="J469" i="42697" s="1"/>
  <c r="J491" i="42697" s="1"/>
  <c r="I141" i="42697"/>
  <c r="I469" i="42697" s="1"/>
  <c r="I491" i="42697" s="1"/>
  <c r="H141" i="42697"/>
  <c r="H469" i="42697" s="1"/>
  <c r="H491" i="42697" s="1"/>
  <c r="G141" i="42697"/>
  <c r="G469" i="42697" s="1"/>
  <c r="G491" i="42697" s="1"/>
  <c r="F141" i="42697"/>
  <c r="F469" i="42697" s="1"/>
  <c r="F491" i="42697" s="1"/>
  <c r="Q140" i="42697"/>
  <c r="Q468" i="42697" s="1"/>
  <c r="P140" i="42697"/>
  <c r="P468" i="42697" s="1"/>
  <c r="O140" i="42697"/>
  <c r="O468" i="42697" s="1"/>
  <c r="N140" i="42697"/>
  <c r="N468" i="42697" s="1"/>
  <c r="M140" i="42697"/>
  <c r="M468" i="42697" s="1"/>
  <c r="L140" i="42697"/>
  <c r="L468" i="42697" s="1"/>
  <c r="K140" i="42697"/>
  <c r="K468" i="42697" s="1"/>
  <c r="J140" i="42697"/>
  <c r="J468" i="42697" s="1"/>
  <c r="I140" i="42697"/>
  <c r="I468" i="42697" s="1"/>
  <c r="H140" i="42697"/>
  <c r="H468" i="42697" s="1"/>
  <c r="G140" i="42697"/>
  <c r="G468" i="42697" s="1"/>
  <c r="F140" i="42697"/>
  <c r="F468" i="42697" s="1"/>
  <c r="Q139" i="42697"/>
  <c r="Q467" i="42697" s="1"/>
  <c r="P139" i="42697"/>
  <c r="P467" i="42697" s="1"/>
  <c r="O139" i="42697"/>
  <c r="O467" i="42697" s="1"/>
  <c r="N139" i="42697"/>
  <c r="N467" i="42697" s="1"/>
  <c r="M139" i="42697"/>
  <c r="M467" i="42697" s="1"/>
  <c r="L139" i="42697"/>
  <c r="L467" i="42697" s="1"/>
  <c r="K139" i="42697"/>
  <c r="K467" i="42697" s="1"/>
  <c r="J139" i="42697"/>
  <c r="J467" i="42697" s="1"/>
  <c r="I139" i="42697"/>
  <c r="I467" i="42697" s="1"/>
  <c r="H139" i="42697"/>
  <c r="H467" i="42697" s="1"/>
  <c r="G139" i="42697"/>
  <c r="G467" i="42697" s="1"/>
  <c r="F139" i="42697"/>
  <c r="F467" i="42697" s="1"/>
  <c r="Q138" i="42697"/>
  <c r="Q466" i="42697" s="1"/>
  <c r="P138" i="42697"/>
  <c r="P466" i="42697" s="1"/>
  <c r="O138" i="42697"/>
  <c r="O466" i="42697" s="1"/>
  <c r="N138" i="42697"/>
  <c r="N466" i="42697" s="1"/>
  <c r="M138" i="42697"/>
  <c r="M466" i="42697" s="1"/>
  <c r="L138" i="42697"/>
  <c r="L466" i="42697" s="1"/>
  <c r="K138" i="42697"/>
  <c r="K466" i="42697" s="1"/>
  <c r="J138" i="42697"/>
  <c r="J466" i="42697" s="1"/>
  <c r="I138" i="42697"/>
  <c r="I466" i="42697" s="1"/>
  <c r="H138" i="42697"/>
  <c r="H466" i="42697" s="1"/>
  <c r="G138" i="42697"/>
  <c r="G466" i="42697" s="1"/>
  <c r="F138" i="42697"/>
  <c r="F466" i="42697" s="1"/>
  <c r="Q137" i="42697"/>
  <c r="Q465" i="42697" s="1"/>
  <c r="P137" i="42697"/>
  <c r="P465" i="42697" s="1"/>
  <c r="O137" i="42697"/>
  <c r="O465" i="42697" s="1"/>
  <c r="N137" i="42697"/>
  <c r="N465" i="42697" s="1"/>
  <c r="M137" i="42697"/>
  <c r="M465" i="42697" s="1"/>
  <c r="L137" i="42697"/>
  <c r="L465" i="42697" s="1"/>
  <c r="K137" i="42697"/>
  <c r="K465" i="42697" s="1"/>
  <c r="J137" i="42697"/>
  <c r="J465" i="42697" s="1"/>
  <c r="I137" i="42697"/>
  <c r="I465" i="42697" s="1"/>
  <c r="H137" i="42697"/>
  <c r="H465" i="42697" s="1"/>
  <c r="G137" i="42697"/>
  <c r="G465" i="42697" s="1"/>
  <c r="F137" i="42697"/>
  <c r="F465" i="42697" s="1"/>
  <c r="Q135" i="42697"/>
  <c r="Q463" i="42697" s="1"/>
  <c r="Q483" i="42697" s="1"/>
  <c r="P135" i="42697"/>
  <c r="P463" i="42697" s="1"/>
  <c r="P483" i="42697" s="1"/>
  <c r="O135" i="42697"/>
  <c r="O463" i="42697" s="1"/>
  <c r="O483" i="42697" s="1"/>
  <c r="N135" i="42697"/>
  <c r="N463" i="42697" s="1"/>
  <c r="N483" i="42697" s="1"/>
  <c r="M135" i="42697"/>
  <c r="M463" i="42697" s="1"/>
  <c r="M483" i="42697" s="1"/>
  <c r="L135" i="42697"/>
  <c r="L463" i="42697" s="1"/>
  <c r="L483" i="42697" s="1"/>
  <c r="K135" i="42697"/>
  <c r="K463" i="42697" s="1"/>
  <c r="K483" i="42697" s="1"/>
  <c r="J135" i="42697"/>
  <c r="J463" i="42697" s="1"/>
  <c r="J483" i="42697" s="1"/>
  <c r="I135" i="42697"/>
  <c r="I463" i="42697" s="1"/>
  <c r="I483" i="42697" s="1"/>
  <c r="H135" i="42697"/>
  <c r="H463" i="42697" s="1"/>
  <c r="H483" i="42697" s="1"/>
  <c r="G135" i="42697"/>
  <c r="G463" i="42697" s="1"/>
  <c r="G483" i="42697" s="1"/>
  <c r="F135" i="42697"/>
  <c r="F463" i="42697" s="1"/>
  <c r="F483" i="42697" s="1"/>
  <c r="G118" i="42697"/>
  <c r="H118" i="42697" s="1"/>
  <c r="Q112" i="42697"/>
  <c r="Q889" i="42697" s="1"/>
  <c r="Q909" i="42697" s="1"/>
  <c r="P112" i="42697"/>
  <c r="P889" i="42697" s="1"/>
  <c r="P909" i="42697" s="1"/>
  <c r="O112" i="42697"/>
  <c r="O889" i="42697" s="1"/>
  <c r="O909" i="42697" s="1"/>
  <c r="N112" i="42697"/>
  <c r="N889" i="42697" s="1"/>
  <c r="N909" i="42697" s="1"/>
  <c r="M112" i="42697"/>
  <c r="M889" i="42697" s="1"/>
  <c r="M909" i="42697" s="1"/>
  <c r="L112" i="42697"/>
  <c r="L889" i="42697" s="1"/>
  <c r="L909" i="42697" s="1"/>
  <c r="K112" i="42697"/>
  <c r="K889" i="42697" s="1"/>
  <c r="K909" i="42697" s="1"/>
  <c r="J112" i="42697"/>
  <c r="J889" i="42697" s="1"/>
  <c r="J909" i="42697" s="1"/>
  <c r="I112" i="42697"/>
  <c r="I889" i="42697" s="1"/>
  <c r="I909" i="42697" s="1"/>
  <c r="H112" i="42697"/>
  <c r="H889" i="42697" s="1"/>
  <c r="H909" i="42697" s="1"/>
  <c r="G112" i="42697"/>
  <c r="G889" i="42697" s="1"/>
  <c r="G909" i="42697" s="1"/>
  <c r="F112" i="42697"/>
  <c r="F889" i="42697" s="1"/>
  <c r="Q106" i="42697"/>
  <c r="Q804" i="42697" s="1"/>
  <c r="Q827" i="42697" s="1"/>
  <c r="P106" i="42697"/>
  <c r="P804" i="42697" s="1"/>
  <c r="P827" i="42697" s="1"/>
  <c r="O106" i="42697"/>
  <c r="O804" i="42697" s="1"/>
  <c r="O827" i="42697" s="1"/>
  <c r="N106" i="42697"/>
  <c r="N804" i="42697" s="1"/>
  <c r="N827" i="42697" s="1"/>
  <c r="M106" i="42697"/>
  <c r="M804" i="42697" s="1"/>
  <c r="M827" i="42697" s="1"/>
  <c r="L106" i="42697"/>
  <c r="L804" i="42697" s="1"/>
  <c r="L827" i="42697" s="1"/>
  <c r="K106" i="42697"/>
  <c r="K804" i="42697" s="1"/>
  <c r="K827" i="42697" s="1"/>
  <c r="J106" i="42697"/>
  <c r="J804" i="42697" s="1"/>
  <c r="J827" i="42697" s="1"/>
  <c r="I106" i="42697"/>
  <c r="I804" i="42697" s="1"/>
  <c r="I827" i="42697" s="1"/>
  <c r="H106" i="42697"/>
  <c r="H804" i="42697" s="1"/>
  <c r="H827" i="42697" s="1"/>
  <c r="G106" i="42697"/>
  <c r="G804" i="42697" s="1"/>
  <c r="G827" i="42697" s="1"/>
  <c r="F106" i="42697"/>
  <c r="F804" i="42697" s="1"/>
  <c r="Q101" i="42697"/>
  <c r="Q429" i="42697" s="1"/>
  <c r="P101" i="42697"/>
  <c r="P429" i="42697" s="1"/>
  <c r="O101" i="42697"/>
  <c r="O429" i="42697" s="1"/>
  <c r="N101" i="42697"/>
  <c r="N429" i="42697" s="1"/>
  <c r="M101" i="42697"/>
  <c r="M429" i="42697" s="1"/>
  <c r="L101" i="42697"/>
  <c r="L429" i="42697" s="1"/>
  <c r="K101" i="42697"/>
  <c r="K429" i="42697" s="1"/>
  <c r="J101" i="42697"/>
  <c r="J429" i="42697" s="1"/>
  <c r="I101" i="42697"/>
  <c r="I429" i="42697" s="1"/>
  <c r="H101" i="42697"/>
  <c r="H429" i="42697" s="1"/>
  <c r="G101" i="42697"/>
  <c r="G429" i="42697" s="1"/>
  <c r="F101" i="42697"/>
  <c r="F429" i="42697" s="1"/>
  <c r="Q100" i="42697"/>
  <c r="P100" i="42697"/>
  <c r="P428" i="42697" s="1"/>
  <c r="P453" i="42697" s="1"/>
  <c r="O100" i="42697"/>
  <c r="O428" i="42697" s="1"/>
  <c r="O453" i="42697" s="1"/>
  <c r="N100" i="42697"/>
  <c r="N428" i="42697" s="1"/>
  <c r="N453" i="42697" s="1"/>
  <c r="M100" i="42697"/>
  <c r="M428" i="42697" s="1"/>
  <c r="M453" i="42697" s="1"/>
  <c r="L100" i="42697"/>
  <c r="L428" i="42697" s="1"/>
  <c r="L453" i="42697" s="1"/>
  <c r="K100" i="42697"/>
  <c r="K428" i="42697" s="1"/>
  <c r="K453" i="42697" s="1"/>
  <c r="J100" i="42697"/>
  <c r="J428" i="42697" s="1"/>
  <c r="J453" i="42697" s="1"/>
  <c r="I100" i="42697"/>
  <c r="I428" i="42697" s="1"/>
  <c r="I453" i="42697" s="1"/>
  <c r="H100" i="42697"/>
  <c r="H428" i="42697" s="1"/>
  <c r="H453" i="42697" s="1"/>
  <c r="G100" i="42697"/>
  <c r="G428" i="42697" s="1"/>
  <c r="G453" i="42697" s="1"/>
  <c r="F100" i="42697"/>
  <c r="F428" i="42697" s="1"/>
  <c r="F453" i="42697" s="1"/>
  <c r="Q99" i="42697"/>
  <c r="Q427" i="42697" s="1"/>
  <c r="Q452" i="42697" s="1"/>
  <c r="P99" i="42697"/>
  <c r="P427" i="42697" s="1"/>
  <c r="P452" i="42697" s="1"/>
  <c r="P454" i="42697" s="1"/>
  <c r="O99" i="42697"/>
  <c r="O427" i="42697" s="1"/>
  <c r="O452" i="42697" s="1"/>
  <c r="O454" i="42697" s="1"/>
  <c r="N99" i="42697"/>
  <c r="N427" i="42697" s="1"/>
  <c r="N452" i="42697" s="1"/>
  <c r="N454" i="42697" s="1"/>
  <c r="M99" i="42697"/>
  <c r="M427" i="42697" s="1"/>
  <c r="M452" i="42697" s="1"/>
  <c r="M454" i="42697" s="1"/>
  <c r="L99" i="42697"/>
  <c r="L427" i="42697" s="1"/>
  <c r="L452" i="42697" s="1"/>
  <c r="L454" i="42697" s="1"/>
  <c r="K99" i="42697"/>
  <c r="K427" i="42697" s="1"/>
  <c r="K452" i="42697" s="1"/>
  <c r="K454" i="42697" s="1"/>
  <c r="J99" i="42697"/>
  <c r="J427" i="42697" s="1"/>
  <c r="J452" i="42697" s="1"/>
  <c r="J454" i="42697" s="1"/>
  <c r="I99" i="42697"/>
  <c r="I427" i="42697" s="1"/>
  <c r="I452" i="42697" s="1"/>
  <c r="I454" i="42697" s="1"/>
  <c r="H99" i="42697"/>
  <c r="H427" i="42697" s="1"/>
  <c r="H452" i="42697" s="1"/>
  <c r="H454" i="42697" s="1"/>
  <c r="G99" i="42697"/>
  <c r="G427" i="42697" s="1"/>
  <c r="G452" i="42697" s="1"/>
  <c r="G454" i="42697" s="1"/>
  <c r="F99" i="42697"/>
  <c r="F427" i="42697" s="1"/>
  <c r="F452" i="42697" s="1"/>
  <c r="Q96" i="42697"/>
  <c r="Q424" i="42697" s="1"/>
  <c r="P96" i="42697"/>
  <c r="P424" i="42697" s="1"/>
  <c r="O96" i="42697"/>
  <c r="O424" i="42697" s="1"/>
  <c r="N96" i="42697"/>
  <c r="N424" i="42697" s="1"/>
  <c r="M96" i="42697"/>
  <c r="M424" i="42697" s="1"/>
  <c r="L96" i="42697"/>
  <c r="L424" i="42697" s="1"/>
  <c r="K96" i="42697"/>
  <c r="K424" i="42697" s="1"/>
  <c r="J96" i="42697"/>
  <c r="J424" i="42697" s="1"/>
  <c r="I96" i="42697"/>
  <c r="I424" i="42697" s="1"/>
  <c r="H96" i="42697"/>
  <c r="H424" i="42697" s="1"/>
  <c r="G96" i="42697"/>
  <c r="G424" i="42697" s="1"/>
  <c r="F96" i="42697"/>
  <c r="F424" i="42697" s="1"/>
  <c r="Q95" i="42697"/>
  <c r="Q423" i="42697" s="1"/>
  <c r="P95" i="42697"/>
  <c r="P423" i="42697" s="1"/>
  <c r="O95" i="42697"/>
  <c r="O423" i="42697" s="1"/>
  <c r="N95" i="42697"/>
  <c r="N423" i="42697" s="1"/>
  <c r="M95" i="42697"/>
  <c r="M423" i="42697" s="1"/>
  <c r="L95" i="42697"/>
  <c r="L423" i="42697" s="1"/>
  <c r="K95" i="42697"/>
  <c r="K423" i="42697" s="1"/>
  <c r="J95" i="42697"/>
  <c r="J423" i="42697" s="1"/>
  <c r="I95" i="42697"/>
  <c r="I423" i="42697" s="1"/>
  <c r="H95" i="42697"/>
  <c r="H423" i="42697" s="1"/>
  <c r="G95" i="42697"/>
  <c r="G423" i="42697" s="1"/>
  <c r="F95" i="42697"/>
  <c r="F423" i="42697" s="1"/>
  <c r="Q93" i="42697"/>
  <c r="Q421" i="42697" s="1"/>
  <c r="Q444" i="42697" s="1"/>
  <c r="P93" i="42697"/>
  <c r="P421" i="42697" s="1"/>
  <c r="P444" i="42697" s="1"/>
  <c r="O93" i="42697"/>
  <c r="O421" i="42697" s="1"/>
  <c r="O444" i="42697" s="1"/>
  <c r="N93" i="42697"/>
  <c r="N421" i="42697" s="1"/>
  <c r="N444" i="42697" s="1"/>
  <c r="M93" i="42697"/>
  <c r="M421" i="42697" s="1"/>
  <c r="M444" i="42697" s="1"/>
  <c r="L93" i="42697"/>
  <c r="L421" i="42697" s="1"/>
  <c r="L444" i="42697" s="1"/>
  <c r="K93" i="42697"/>
  <c r="K421" i="42697" s="1"/>
  <c r="K444" i="42697" s="1"/>
  <c r="J93" i="42697"/>
  <c r="J421" i="42697" s="1"/>
  <c r="J444" i="42697" s="1"/>
  <c r="I93" i="42697"/>
  <c r="I421" i="42697" s="1"/>
  <c r="I444" i="42697" s="1"/>
  <c r="H93" i="42697"/>
  <c r="H421" i="42697" s="1"/>
  <c r="H444" i="42697" s="1"/>
  <c r="G93" i="42697"/>
  <c r="G421" i="42697" s="1"/>
  <c r="G444" i="42697" s="1"/>
  <c r="F93" i="42697"/>
  <c r="F421" i="42697" s="1"/>
  <c r="F444" i="42697" s="1"/>
  <c r="Q80" i="42697"/>
  <c r="Q803" i="42697" s="1"/>
  <c r="Q826" i="42697" s="1"/>
  <c r="P80" i="42697"/>
  <c r="P803" i="42697" s="1"/>
  <c r="P826" i="42697" s="1"/>
  <c r="O80" i="42697"/>
  <c r="O803" i="42697" s="1"/>
  <c r="O826" i="42697" s="1"/>
  <c r="N80" i="42697"/>
  <c r="N803" i="42697" s="1"/>
  <c r="N826" i="42697" s="1"/>
  <c r="M80" i="42697"/>
  <c r="M803" i="42697" s="1"/>
  <c r="M826" i="42697" s="1"/>
  <c r="L80" i="42697"/>
  <c r="L803" i="42697" s="1"/>
  <c r="L826" i="42697" s="1"/>
  <c r="K80" i="42697"/>
  <c r="K803" i="42697" s="1"/>
  <c r="K826" i="42697" s="1"/>
  <c r="J80" i="42697"/>
  <c r="J803" i="42697" s="1"/>
  <c r="J826" i="42697" s="1"/>
  <c r="I80" i="42697"/>
  <c r="I803" i="42697" s="1"/>
  <c r="I826" i="42697" s="1"/>
  <c r="H80" i="42697"/>
  <c r="H803" i="42697" s="1"/>
  <c r="H826" i="42697" s="1"/>
  <c r="G80" i="42697"/>
  <c r="G803" i="42697" s="1"/>
  <c r="G826" i="42697" s="1"/>
  <c r="F80" i="42697"/>
  <c r="F803" i="42697" s="1"/>
  <c r="Q75" i="42697"/>
  <c r="Q403" i="42697" s="1"/>
  <c r="P75" i="42697"/>
  <c r="P403" i="42697" s="1"/>
  <c r="O75" i="42697"/>
  <c r="O403" i="42697" s="1"/>
  <c r="N75" i="42697"/>
  <c r="N403" i="42697" s="1"/>
  <c r="M75" i="42697"/>
  <c r="M403" i="42697" s="1"/>
  <c r="L75" i="42697"/>
  <c r="L403" i="42697" s="1"/>
  <c r="K75" i="42697"/>
  <c r="K403" i="42697" s="1"/>
  <c r="J75" i="42697"/>
  <c r="J403" i="42697" s="1"/>
  <c r="I75" i="42697"/>
  <c r="I403" i="42697" s="1"/>
  <c r="H75" i="42697"/>
  <c r="H403" i="42697" s="1"/>
  <c r="G75" i="42697"/>
  <c r="G403" i="42697" s="1"/>
  <c r="F75" i="42697"/>
  <c r="F403" i="42697" s="1"/>
  <c r="Q74" i="42697"/>
  <c r="Q402" i="42697" s="1"/>
  <c r="Q412" i="42697" s="1"/>
  <c r="P74" i="42697"/>
  <c r="P402" i="42697" s="1"/>
  <c r="P412" i="42697" s="1"/>
  <c r="O74" i="42697"/>
  <c r="O402" i="42697" s="1"/>
  <c r="O412" i="42697" s="1"/>
  <c r="N74" i="42697"/>
  <c r="N402" i="42697" s="1"/>
  <c r="N412" i="42697" s="1"/>
  <c r="M74" i="42697"/>
  <c r="M402" i="42697" s="1"/>
  <c r="M412" i="42697" s="1"/>
  <c r="L74" i="42697"/>
  <c r="L402" i="42697" s="1"/>
  <c r="L412" i="42697" s="1"/>
  <c r="K74" i="42697"/>
  <c r="K402" i="42697" s="1"/>
  <c r="K412" i="42697" s="1"/>
  <c r="J74" i="42697"/>
  <c r="J402" i="42697" s="1"/>
  <c r="J412" i="42697" s="1"/>
  <c r="I74" i="42697"/>
  <c r="I402" i="42697" s="1"/>
  <c r="I412" i="42697" s="1"/>
  <c r="H74" i="42697"/>
  <c r="H402" i="42697" s="1"/>
  <c r="H412" i="42697" s="1"/>
  <c r="G74" i="42697"/>
  <c r="G402" i="42697" s="1"/>
  <c r="G412" i="42697" s="1"/>
  <c r="F74" i="42697"/>
  <c r="F402" i="42697" s="1"/>
  <c r="F412" i="42697" s="1"/>
  <c r="Q67" i="42697"/>
  <c r="Q886" i="42697" s="1"/>
  <c r="P67" i="42697"/>
  <c r="P886" i="42697" s="1"/>
  <c r="O67" i="42697"/>
  <c r="O886" i="42697" s="1"/>
  <c r="N67" i="42697"/>
  <c r="N886" i="42697" s="1"/>
  <c r="M67" i="42697"/>
  <c r="M886" i="42697" s="1"/>
  <c r="L67" i="42697"/>
  <c r="L886" i="42697" s="1"/>
  <c r="K67" i="42697"/>
  <c r="K886" i="42697" s="1"/>
  <c r="J67" i="42697"/>
  <c r="J886" i="42697" s="1"/>
  <c r="I67" i="42697"/>
  <c r="I886" i="42697" s="1"/>
  <c r="H67" i="42697"/>
  <c r="H886" i="42697" s="1"/>
  <c r="G67" i="42697"/>
  <c r="G886" i="42697" s="1"/>
  <c r="F67" i="42697"/>
  <c r="F886" i="42697" s="1"/>
  <c r="Q64" i="42697"/>
  <c r="Q610" i="42697" s="1"/>
  <c r="Q616" i="42697" s="1"/>
  <c r="P64" i="42697"/>
  <c r="P610" i="42697" s="1"/>
  <c r="P616" i="42697" s="1"/>
  <c r="O64" i="42697"/>
  <c r="O610" i="42697" s="1"/>
  <c r="O616" i="42697" s="1"/>
  <c r="N64" i="42697"/>
  <c r="N610" i="42697" s="1"/>
  <c r="N616" i="42697" s="1"/>
  <c r="M64" i="42697"/>
  <c r="M610" i="42697" s="1"/>
  <c r="M616" i="42697" s="1"/>
  <c r="L64" i="42697"/>
  <c r="L610" i="42697" s="1"/>
  <c r="L616" i="42697" s="1"/>
  <c r="K64" i="42697"/>
  <c r="K610" i="42697" s="1"/>
  <c r="K616" i="42697" s="1"/>
  <c r="J64" i="42697"/>
  <c r="J610" i="42697" s="1"/>
  <c r="J616" i="42697" s="1"/>
  <c r="I64" i="42697"/>
  <c r="I610" i="42697" s="1"/>
  <c r="I616" i="42697" s="1"/>
  <c r="H64" i="42697"/>
  <c r="H610" i="42697" s="1"/>
  <c r="H616" i="42697" s="1"/>
  <c r="G64" i="42697"/>
  <c r="G610" i="42697" s="1"/>
  <c r="G616" i="42697" s="1"/>
  <c r="F64" i="42697"/>
  <c r="F610" i="42697" s="1"/>
  <c r="F616" i="42697" s="1"/>
  <c r="Q51" i="42697"/>
  <c r="Q802" i="42697" s="1"/>
  <c r="Q825" i="42697" s="1"/>
  <c r="P51" i="42697"/>
  <c r="P802" i="42697" s="1"/>
  <c r="P825" i="42697" s="1"/>
  <c r="O51" i="42697"/>
  <c r="O802" i="42697" s="1"/>
  <c r="O825" i="42697" s="1"/>
  <c r="N51" i="42697"/>
  <c r="N802" i="42697" s="1"/>
  <c r="N825" i="42697" s="1"/>
  <c r="M51" i="42697"/>
  <c r="M802" i="42697" s="1"/>
  <c r="M825" i="42697" s="1"/>
  <c r="L51" i="42697"/>
  <c r="L802" i="42697" s="1"/>
  <c r="L825" i="42697" s="1"/>
  <c r="K51" i="42697"/>
  <c r="K802" i="42697" s="1"/>
  <c r="K825" i="42697" s="1"/>
  <c r="J51" i="42697"/>
  <c r="J802" i="42697" s="1"/>
  <c r="J825" i="42697" s="1"/>
  <c r="I51" i="42697"/>
  <c r="I802" i="42697" s="1"/>
  <c r="I825" i="42697" s="1"/>
  <c r="H51" i="42697"/>
  <c r="H802" i="42697" s="1"/>
  <c r="H825" i="42697" s="1"/>
  <c r="G51" i="42697"/>
  <c r="G802" i="42697" s="1"/>
  <c r="G825" i="42697" s="1"/>
  <c r="F51" i="42697"/>
  <c r="F802" i="42697" s="1"/>
  <c r="Q48" i="42697"/>
  <c r="P48" i="42697"/>
  <c r="O48" i="42697"/>
  <c r="N48" i="42697"/>
  <c r="M48" i="42697"/>
  <c r="L48" i="42697"/>
  <c r="K48" i="42697"/>
  <c r="J48" i="42697"/>
  <c r="I48" i="42697"/>
  <c r="H48" i="42697"/>
  <c r="G48" i="42697"/>
  <c r="F48" i="42697"/>
  <c r="Q47" i="42697"/>
  <c r="P47" i="42697"/>
  <c r="O47" i="42697"/>
  <c r="N47" i="42697"/>
  <c r="M47" i="42697"/>
  <c r="L47" i="42697"/>
  <c r="K47" i="42697"/>
  <c r="J47" i="42697"/>
  <c r="I47" i="42697"/>
  <c r="H47" i="42697"/>
  <c r="G47" i="42697"/>
  <c r="F47" i="42697"/>
  <c r="Q46" i="42697"/>
  <c r="Q55" i="42697" s="1"/>
  <c r="P46" i="42697"/>
  <c r="P55" i="42697" s="1"/>
  <c r="O46" i="42697"/>
  <c r="O55" i="42697" s="1"/>
  <c r="N46" i="42697"/>
  <c r="N55" i="42697" s="1"/>
  <c r="M46" i="42697"/>
  <c r="M55" i="42697" s="1"/>
  <c r="L46" i="42697"/>
  <c r="L55" i="42697" s="1"/>
  <c r="K46" i="42697"/>
  <c r="K55" i="42697" s="1"/>
  <c r="J46" i="42697"/>
  <c r="J55" i="42697" s="1"/>
  <c r="I46" i="42697"/>
  <c r="I55" i="42697" s="1"/>
  <c r="H46" i="42697"/>
  <c r="H55" i="42697" s="1"/>
  <c r="G46" i="42697"/>
  <c r="G55" i="42697" s="1"/>
  <c r="F46" i="42697"/>
  <c r="F55" i="42697" s="1"/>
  <c r="Q33" i="42697"/>
  <c r="Q801" i="42697" s="1"/>
  <c r="P33" i="42697"/>
  <c r="P801" i="42697" s="1"/>
  <c r="O33" i="42697"/>
  <c r="O801" i="42697" s="1"/>
  <c r="N33" i="42697"/>
  <c r="N801" i="42697" s="1"/>
  <c r="M33" i="42697"/>
  <c r="M801" i="42697" s="1"/>
  <c r="L33" i="42697"/>
  <c r="L801" i="42697" s="1"/>
  <c r="K33" i="42697"/>
  <c r="K801" i="42697" s="1"/>
  <c r="J33" i="42697"/>
  <c r="J801" i="42697" s="1"/>
  <c r="I33" i="42697"/>
  <c r="I801" i="42697" s="1"/>
  <c r="H33" i="42697"/>
  <c r="H801" i="42697" s="1"/>
  <c r="G33" i="42697"/>
  <c r="G801" i="42697" s="1"/>
  <c r="F33" i="42697"/>
  <c r="F801" i="42697" s="1"/>
  <c r="Q28" i="42697"/>
  <c r="P28" i="42697"/>
  <c r="O28" i="42697"/>
  <c r="N28" i="42697"/>
  <c r="M28" i="42697"/>
  <c r="L28" i="42697"/>
  <c r="K28" i="42697"/>
  <c r="J28" i="42697"/>
  <c r="I28" i="42697"/>
  <c r="H28" i="42697"/>
  <c r="G28" i="42697"/>
  <c r="F28" i="42697"/>
  <c r="Q27" i="42697"/>
  <c r="Q37" i="42697" s="1"/>
  <c r="P27" i="42697"/>
  <c r="P37" i="42697" s="1"/>
  <c r="O27" i="42697"/>
  <c r="O37" i="42697" s="1"/>
  <c r="N27" i="42697"/>
  <c r="N37" i="42697" s="1"/>
  <c r="M27" i="42697"/>
  <c r="M37" i="42697" s="1"/>
  <c r="L27" i="42697"/>
  <c r="L37" i="42697" s="1"/>
  <c r="K27" i="42697"/>
  <c r="K37" i="42697" s="1"/>
  <c r="J27" i="42697"/>
  <c r="J37" i="42697" s="1"/>
  <c r="I27" i="42697"/>
  <c r="I37" i="42697" s="1"/>
  <c r="H27" i="42697"/>
  <c r="H37" i="42697" s="1"/>
  <c r="G27" i="42697"/>
  <c r="G37" i="42697" s="1"/>
  <c r="F27" i="42697"/>
  <c r="F37" i="42697" s="1"/>
  <c r="Q9" i="42697"/>
  <c r="P9" i="42697"/>
  <c r="O9" i="42697"/>
  <c r="N9" i="42697"/>
  <c r="M9" i="42697"/>
  <c r="L9" i="42697"/>
  <c r="K9" i="42697"/>
  <c r="J9" i="42697"/>
  <c r="I9" i="42697"/>
  <c r="H9" i="42697"/>
  <c r="G9" i="42697"/>
  <c r="F9" i="42697"/>
  <c r="Q6" i="42697"/>
  <c r="P6" i="42697"/>
  <c r="O6" i="42697"/>
  <c r="N6" i="42697"/>
  <c r="M6" i="42697"/>
  <c r="L6" i="42697"/>
  <c r="K6" i="42697"/>
  <c r="J6" i="42697"/>
  <c r="I6" i="42697"/>
  <c r="H6" i="42697"/>
  <c r="G6" i="42697"/>
  <c r="F6" i="42697"/>
  <c r="B4" i="42697"/>
  <c r="B2" i="42697"/>
  <c r="B1" i="42697"/>
  <c r="P200" i="42696"/>
  <c r="P183" i="42696"/>
  <c r="P182" i="42696"/>
  <c r="C169" i="42696"/>
  <c r="C168" i="42696"/>
  <c r="C167" i="42696"/>
  <c r="C164" i="42696"/>
  <c r="B164" i="42696"/>
  <c r="O134" i="42696"/>
  <c r="N134" i="42696"/>
  <c r="M134" i="42696"/>
  <c r="L134" i="42696"/>
  <c r="K134" i="42696"/>
  <c r="J134" i="42696"/>
  <c r="I134" i="42696"/>
  <c r="H134" i="42696"/>
  <c r="G134" i="42696"/>
  <c r="F134" i="42696"/>
  <c r="E134" i="42696"/>
  <c r="D134" i="42696"/>
  <c r="P133" i="42696"/>
  <c r="P132" i="42696"/>
  <c r="P131" i="42696"/>
  <c r="O77" i="42696"/>
  <c r="N77" i="42696"/>
  <c r="M77" i="42696"/>
  <c r="L77" i="42696"/>
  <c r="K77" i="42696"/>
  <c r="J77" i="42696"/>
  <c r="I77" i="42696"/>
  <c r="H77" i="42696"/>
  <c r="G77" i="42696"/>
  <c r="F77" i="42696"/>
  <c r="E77" i="42696"/>
  <c r="D77" i="42696"/>
  <c r="P76" i="42696"/>
  <c r="P75" i="42696"/>
  <c r="P77" i="42696" s="1"/>
  <c r="O57" i="42696"/>
  <c r="O223" i="42696" s="1"/>
  <c r="N57" i="42696"/>
  <c r="N223" i="42696" s="1"/>
  <c r="M57" i="42696"/>
  <c r="M223" i="42696" s="1"/>
  <c r="L57" i="42696"/>
  <c r="L223" i="42696" s="1"/>
  <c r="K57" i="42696"/>
  <c r="K223" i="42696" s="1"/>
  <c r="J57" i="42696"/>
  <c r="J223" i="42696" s="1"/>
  <c r="I57" i="42696"/>
  <c r="I223" i="42696" s="1"/>
  <c r="H57" i="42696"/>
  <c r="H223" i="42696" s="1"/>
  <c r="G57" i="42696"/>
  <c r="G223" i="42696" s="1"/>
  <c r="F57" i="42696"/>
  <c r="F223" i="42696" s="1"/>
  <c r="E57" i="42696"/>
  <c r="E223" i="42696" s="1"/>
  <c r="D57" i="42696"/>
  <c r="D223" i="42696" s="1"/>
  <c r="O56" i="42696"/>
  <c r="N56" i="42696"/>
  <c r="M56" i="42696"/>
  <c r="L56" i="42696"/>
  <c r="K56" i="42696"/>
  <c r="J56" i="42696"/>
  <c r="I56" i="42696"/>
  <c r="H56" i="42696"/>
  <c r="G56" i="42696"/>
  <c r="F56" i="42696"/>
  <c r="E56" i="42696"/>
  <c r="D56" i="42696"/>
  <c r="P56" i="42696" s="1"/>
  <c r="O55" i="42696"/>
  <c r="O221" i="42696" s="1"/>
  <c r="N55" i="42696"/>
  <c r="N221" i="42696" s="1"/>
  <c r="M55" i="42696"/>
  <c r="M221" i="42696" s="1"/>
  <c r="L55" i="42696"/>
  <c r="L221" i="42696" s="1"/>
  <c r="K55" i="42696"/>
  <c r="K221" i="42696" s="1"/>
  <c r="J55" i="42696"/>
  <c r="J221" i="42696" s="1"/>
  <c r="I55" i="42696"/>
  <c r="I221" i="42696" s="1"/>
  <c r="H55" i="42696"/>
  <c r="H221" i="42696" s="1"/>
  <c r="G55" i="42696"/>
  <c r="G221" i="42696" s="1"/>
  <c r="F55" i="42696"/>
  <c r="F221" i="42696" s="1"/>
  <c r="E55" i="42696"/>
  <c r="E221" i="42696" s="1"/>
  <c r="D55" i="42696"/>
  <c r="D221" i="42696" s="1"/>
  <c r="O54" i="42696"/>
  <c r="N54" i="42696"/>
  <c r="M54" i="42696"/>
  <c r="L54" i="42696"/>
  <c r="K54" i="42696"/>
  <c r="J54" i="42696"/>
  <c r="I54" i="42696"/>
  <c r="H54" i="42696"/>
  <c r="G54" i="42696"/>
  <c r="F54" i="42696"/>
  <c r="E54" i="42696"/>
  <c r="D54" i="42696"/>
  <c r="P54" i="42696" s="1"/>
  <c r="O53" i="42696"/>
  <c r="N53" i="42696"/>
  <c r="M53" i="42696"/>
  <c r="L53" i="42696"/>
  <c r="K53" i="42696"/>
  <c r="J53" i="42696"/>
  <c r="I53" i="42696"/>
  <c r="H53" i="42696"/>
  <c r="G53" i="42696"/>
  <c r="F53" i="42696"/>
  <c r="E53" i="42696"/>
  <c r="D53" i="42696"/>
  <c r="P53" i="42696" s="1"/>
  <c r="O52" i="42696"/>
  <c r="O222" i="42696" s="1"/>
  <c r="N52" i="42696"/>
  <c r="N222" i="42696" s="1"/>
  <c r="M52" i="42696"/>
  <c r="M222" i="42696" s="1"/>
  <c r="L52" i="42696"/>
  <c r="L222" i="42696" s="1"/>
  <c r="K52" i="42696"/>
  <c r="K222" i="42696" s="1"/>
  <c r="J52" i="42696"/>
  <c r="J222" i="42696" s="1"/>
  <c r="I52" i="42696"/>
  <c r="I222" i="42696" s="1"/>
  <c r="H52" i="42696"/>
  <c r="H222" i="42696" s="1"/>
  <c r="G52" i="42696"/>
  <c r="G222" i="42696" s="1"/>
  <c r="F52" i="42696"/>
  <c r="F222" i="42696" s="1"/>
  <c r="E52" i="42696"/>
  <c r="E222" i="42696" s="1"/>
  <c r="D52" i="42696"/>
  <c r="D222" i="42696" s="1"/>
  <c r="P222" i="42696" s="1"/>
  <c r="O51" i="42696"/>
  <c r="O220" i="42696" s="1"/>
  <c r="N51" i="42696"/>
  <c r="M51" i="42696"/>
  <c r="M220" i="42696" s="1"/>
  <c r="L51" i="42696"/>
  <c r="L220" i="42696" s="1"/>
  <c r="K51" i="42696"/>
  <c r="K220" i="42696" s="1"/>
  <c r="J51" i="42696"/>
  <c r="J220" i="42696" s="1"/>
  <c r="I51" i="42696"/>
  <c r="I220" i="42696" s="1"/>
  <c r="H51" i="42696"/>
  <c r="H220" i="42696" s="1"/>
  <c r="G51" i="42696"/>
  <c r="G220" i="42696" s="1"/>
  <c r="F51" i="42696"/>
  <c r="F220" i="42696" s="1"/>
  <c r="E51" i="42696"/>
  <c r="E220" i="42696" s="1"/>
  <c r="D51" i="42696"/>
  <c r="D220" i="42696" s="1"/>
  <c r="O50" i="42696"/>
  <c r="O219" i="42696" s="1"/>
  <c r="N50" i="42696"/>
  <c r="N219" i="42696" s="1"/>
  <c r="M50" i="42696"/>
  <c r="M219" i="42696" s="1"/>
  <c r="L50" i="42696"/>
  <c r="L219" i="42696" s="1"/>
  <c r="K50" i="42696"/>
  <c r="K219" i="42696" s="1"/>
  <c r="J50" i="42696"/>
  <c r="J219" i="42696" s="1"/>
  <c r="I50" i="42696"/>
  <c r="I219" i="42696" s="1"/>
  <c r="H50" i="42696"/>
  <c r="H219" i="42696" s="1"/>
  <c r="G50" i="42696"/>
  <c r="G219" i="42696" s="1"/>
  <c r="F50" i="42696"/>
  <c r="F219" i="42696" s="1"/>
  <c r="E50" i="42696"/>
  <c r="E219" i="42696" s="1"/>
  <c r="D50" i="42696"/>
  <c r="D219" i="42696" s="1"/>
  <c r="P219" i="42696" s="1"/>
  <c r="O49" i="42696"/>
  <c r="N49" i="42696"/>
  <c r="M49" i="42696"/>
  <c r="L49" i="42696"/>
  <c r="K49" i="42696"/>
  <c r="J49" i="42696"/>
  <c r="I49" i="42696"/>
  <c r="H49" i="42696"/>
  <c r="G49" i="42696"/>
  <c r="F49" i="42696"/>
  <c r="E49" i="42696"/>
  <c r="D49" i="42696"/>
  <c r="P49" i="42696" s="1"/>
  <c r="O48" i="42696"/>
  <c r="N48" i="42696"/>
  <c r="M48" i="42696"/>
  <c r="L48" i="42696"/>
  <c r="K48" i="42696"/>
  <c r="J48" i="42696"/>
  <c r="I48" i="42696"/>
  <c r="H48" i="42696"/>
  <c r="G48" i="42696"/>
  <c r="F48" i="42696"/>
  <c r="E48" i="42696"/>
  <c r="D48" i="42696"/>
  <c r="P48" i="42696" s="1"/>
  <c r="O47" i="42696"/>
  <c r="N47" i="42696"/>
  <c r="M47" i="42696"/>
  <c r="L47" i="42696"/>
  <c r="K47" i="42696"/>
  <c r="J47" i="42696"/>
  <c r="I47" i="42696"/>
  <c r="H47" i="42696"/>
  <c r="G47" i="42696"/>
  <c r="F47" i="42696"/>
  <c r="E47" i="42696"/>
  <c r="D47" i="42696"/>
  <c r="P47" i="42696" s="1"/>
  <c r="O46" i="42696"/>
  <c r="N46" i="42696"/>
  <c r="M46" i="42696"/>
  <c r="L46" i="42696"/>
  <c r="K46" i="42696"/>
  <c r="J46" i="42696"/>
  <c r="I46" i="42696"/>
  <c r="H46" i="42696"/>
  <c r="G46" i="42696"/>
  <c r="F46" i="42696"/>
  <c r="E46" i="42696"/>
  <c r="D46" i="42696"/>
  <c r="P46" i="42696" s="1"/>
  <c r="O45" i="42696"/>
  <c r="N45" i="42696"/>
  <c r="M45" i="42696"/>
  <c r="L45" i="42696"/>
  <c r="K45" i="42696"/>
  <c r="J45" i="42696"/>
  <c r="I45" i="42696"/>
  <c r="H45" i="42696"/>
  <c r="G45" i="42696"/>
  <c r="F45" i="42696"/>
  <c r="E45" i="42696"/>
  <c r="D45" i="42696"/>
  <c r="P45" i="42696" s="1"/>
  <c r="O44" i="42696"/>
  <c r="N44" i="42696"/>
  <c r="M44" i="42696"/>
  <c r="L44" i="42696"/>
  <c r="K44" i="42696"/>
  <c r="J44" i="42696"/>
  <c r="I44" i="42696"/>
  <c r="H44" i="42696"/>
  <c r="G44" i="42696"/>
  <c r="F44" i="42696"/>
  <c r="E44" i="42696"/>
  <c r="D44" i="42696"/>
  <c r="P44" i="42696" s="1"/>
  <c r="O43" i="42696"/>
  <c r="O218" i="42696" s="1"/>
  <c r="N43" i="42696"/>
  <c r="N218" i="42696" s="1"/>
  <c r="M43" i="42696"/>
  <c r="M218" i="42696" s="1"/>
  <c r="L43" i="42696"/>
  <c r="L218" i="42696" s="1"/>
  <c r="K43" i="42696"/>
  <c r="K218" i="42696" s="1"/>
  <c r="J43" i="42696"/>
  <c r="J218" i="42696" s="1"/>
  <c r="I43" i="42696"/>
  <c r="I218" i="42696" s="1"/>
  <c r="H43" i="42696"/>
  <c r="H218" i="42696" s="1"/>
  <c r="G43" i="42696"/>
  <c r="G218" i="42696" s="1"/>
  <c r="F43" i="42696"/>
  <c r="F218" i="42696" s="1"/>
  <c r="E43" i="42696"/>
  <c r="E218" i="42696" s="1"/>
  <c r="D43" i="42696"/>
  <c r="D218" i="42696" s="1"/>
  <c r="O42" i="42696"/>
  <c r="O217" i="42696" s="1"/>
  <c r="N42" i="42696"/>
  <c r="N217" i="42696" s="1"/>
  <c r="M42" i="42696"/>
  <c r="M217" i="42696" s="1"/>
  <c r="L42" i="42696"/>
  <c r="L217" i="42696" s="1"/>
  <c r="K42" i="42696"/>
  <c r="K217" i="42696" s="1"/>
  <c r="J42" i="42696"/>
  <c r="J217" i="42696" s="1"/>
  <c r="I42" i="42696"/>
  <c r="I217" i="42696" s="1"/>
  <c r="H42" i="42696"/>
  <c r="H217" i="42696" s="1"/>
  <c r="G42" i="42696"/>
  <c r="G217" i="42696" s="1"/>
  <c r="F42" i="42696"/>
  <c r="F217" i="42696" s="1"/>
  <c r="E42" i="42696"/>
  <c r="E217" i="42696" s="1"/>
  <c r="D42" i="42696"/>
  <c r="D217" i="42696" s="1"/>
  <c r="P217" i="42696" s="1"/>
  <c r="O41" i="42696"/>
  <c r="O216" i="42696" s="1"/>
  <c r="N41" i="42696"/>
  <c r="N216" i="42696" s="1"/>
  <c r="M41" i="42696"/>
  <c r="M216" i="42696" s="1"/>
  <c r="L41" i="42696"/>
  <c r="L216" i="42696" s="1"/>
  <c r="K41" i="42696"/>
  <c r="K216" i="42696" s="1"/>
  <c r="J41" i="42696"/>
  <c r="J216" i="42696" s="1"/>
  <c r="I41" i="42696"/>
  <c r="I216" i="42696" s="1"/>
  <c r="H41" i="42696"/>
  <c r="H216" i="42696" s="1"/>
  <c r="G41" i="42696"/>
  <c r="G216" i="42696" s="1"/>
  <c r="F41" i="42696"/>
  <c r="F216" i="42696" s="1"/>
  <c r="E41" i="42696"/>
  <c r="E216" i="42696" s="1"/>
  <c r="D41" i="42696"/>
  <c r="D216" i="42696" s="1"/>
  <c r="O40" i="42696"/>
  <c r="N40" i="42696"/>
  <c r="M40" i="42696"/>
  <c r="L40" i="42696"/>
  <c r="K40" i="42696"/>
  <c r="J40" i="42696"/>
  <c r="I40" i="42696"/>
  <c r="H40" i="42696"/>
  <c r="G40" i="42696"/>
  <c r="F40" i="42696"/>
  <c r="E40" i="42696"/>
  <c r="D40" i="42696"/>
  <c r="P40" i="42696" s="1"/>
  <c r="O39" i="42696"/>
  <c r="O215" i="42696" s="1"/>
  <c r="N39" i="42696"/>
  <c r="N215" i="42696" s="1"/>
  <c r="M39" i="42696"/>
  <c r="M215" i="42696" s="1"/>
  <c r="L39" i="42696"/>
  <c r="L215" i="42696" s="1"/>
  <c r="K39" i="42696"/>
  <c r="K215" i="42696" s="1"/>
  <c r="J39" i="42696"/>
  <c r="J215" i="42696" s="1"/>
  <c r="I39" i="42696"/>
  <c r="I215" i="42696" s="1"/>
  <c r="H39" i="42696"/>
  <c r="H215" i="42696" s="1"/>
  <c r="G39" i="42696"/>
  <c r="G215" i="42696" s="1"/>
  <c r="F39" i="42696"/>
  <c r="F215" i="42696" s="1"/>
  <c r="E39" i="42696"/>
  <c r="E215" i="42696" s="1"/>
  <c r="D39" i="42696"/>
  <c r="D215" i="42696" s="1"/>
  <c r="O38" i="42696"/>
  <c r="N38" i="42696"/>
  <c r="M38" i="42696"/>
  <c r="L38" i="42696"/>
  <c r="K38" i="42696"/>
  <c r="J38" i="42696"/>
  <c r="I38" i="42696"/>
  <c r="H38" i="42696"/>
  <c r="G38" i="42696"/>
  <c r="F38" i="42696"/>
  <c r="E38" i="42696"/>
  <c r="D38" i="42696"/>
  <c r="P38" i="42696" s="1"/>
  <c r="O37" i="42696"/>
  <c r="O214" i="42696" s="1"/>
  <c r="N37" i="42696"/>
  <c r="M37" i="42696"/>
  <c r="M214" i="42696" s="1"/>
  <c r="L37" i="42696"/>
  <c r="K37" i="42696"/>
  <c r="K214" i="42696" s="1"/>
  <c r="J37" i="42696"/>
  <c r="I37" i="42696"/>
  <c r="I214" i="42696" s="1"/>
  <c r="H37" i="42696"/>
  <c r="G37" i="42696"/>
  <c r="G214" i="42696" s="1"/>
  <c r="F37" i="42696"/>
  <c r="E37" i="42696"/>
  <c r="E214" i="42696" s="1"/>
  <c r="D37" i="42696"/>
  <c r="O36" i="42696"/>
  <c r="N36" i="42696"/>
  <c r="M36" i="42696"/>
  <c r="L36" i="42696"/>
  <c r="K36" i="42696"/>
  <c r="J36" i="42696"/>
  <c r="I36" i="42696"/>
  <c r="H36" i="42696"/>
  <c r="G36" i="42696"/>
  <c r="F36" i="42696"/>
  <c r="E36" i="42696"/>
  <c r="D36" i="42696"/>
  <c r="P36" i="42696" s="1"/>
  <c r="O35" i="42696"/>
  <c r="N35" i="42696"/>
  <c r="M35" i="42696"/>
  <c r="L35" i="42696"/>
  <c r="K35" i="42696"/>
  <c r="J35" i="42696"/>
  <c r="I35" i="42696"/>
  <c r="H35" i="42696"/>
  <c r="G35" i="42696"/>
  <c r="F35" i="42696"/>
  <c r="E35" i="42696"/>
  <c r="D35" i="42696"/>
  <c r="P35" i="42696" s="1"/>
  <c r="O34" i="42696"/>
  <c r="N34" i="42696"/>
  <c r="N213" i="42696" s="1"/>
  <c r="M34" i="42696"/>
  <c r="L34" i="42696"/>
  <c r="L213" i="42696" s="1"/>
  <c r="K34" i="42696"/>
  <c r="J34" i="42696"/>
  <c r="J213" i="42696" s="1"/>
  <c r="I34" i="42696"/>
  <c r="H34" i="42696"/>
  <c r="H213" i="42696" s="1"/>
  <c r="G34" i="42696"/>
  <c r="F34" i="42696"/>
  <c r="F213" i="42696" s="1"/>
  <c r="E34" i="42696"/>
  <c r="D34" i="42696"/>
  <c r="D213" i="42696" s="1"/>
  <c r="O7" i="42696"/>
  <c r="N7" i="42696"/>
  <c r="M7" i="42696"/>
  <c r="L7" i="42696"/>
  <c r="K7" i="42696"/>
  <c r="J7" i="42696"/>
  <c r="I7" i="42696"/>
  <c r="H7" i="42696"/>
  <c r="G7" i="42696"/>
  <c r="F7" i="42696"/>
  <c r="E7" i="42696"/>
  <c r="D7" i="42696"/>
  <c r="B4" i="42696"/>
  <c r="B2" i="42696"/>
  <c r="B1" i="42696"/>
  <c r="N70" i="42695"/>
  <c r="M70" i="42695"/>
  <c r="L70" i="42695"/>
  <c r="K70" i="42695"/>
  <c r="J70" i="42695"/>
  <c r="I70" i="42695"/>
  <c r="H70" i="42695"/>
  <c r="G70" i="42695"/>
  <c r="F70" i="42695"/>
  <c r="E70" i="42695"/>
  <c r="D70" i="42695"/>
  <c r="C70" i="42695"/>
  <c r="B70" i="42695"/>
  <c r="M58" i="42695"/>
  <c r="L58" i="42695"/>
  <c r="K58" i="42695"/>
  <c r="J58" i="42695"/>
  <c r="I58" i="42695"/>
  <c r="H58" i="42695"/>
  <c r="G58" i="42695"/>
  <c r="F58" i="42695"/>
  <c r="E58" i="42695"/>
  <c r="D58" i="42695"/>
  <c r="C58" i="42695"/>
  <c r="B58" i="42695"/>
  <c r="N57" i="42695"/>
  <c r="N56" i="42695"/>
  <c r="N55" i="42695"/>
  <c r="N54" i="42695"/>
  <c r="N53" i="42695"/>
  <c r="N52" i="42695"/>
  <c r="N51" i="42695"/>
  <c r="N50" i="42695"/>
  <c r="N58" i="42695" s="1"/>
  <c r="N46" i="42695"/>
  <c r="P45" i="42695"/>
  <c r="N45" i="42695"/>
  <c r="N43" i="42695"/>
  <c r="N42" i="42695"/>
  <c r="N41" i="42695"/>
  <c r="N39" i="42695"/>
  <c r="N38" i="42695"/>
  <c r="N37" i="42695"/>
  <c r="N35" i="42695"/>
  <c r="N34" i="42695"/>
  <c r="N33" i="42695"/>
  <c r="N31" i="42695"/>
  <c r="N30" i="42695"/>
  <c r="N29" i="42695"/>
  <c r="N28" i="42695"/>
  <c r="P28" i="42695" s="1"/>
  <c r="N26" i="42695"/>
  <c r="N25" i="42695"/>
  <c r="N24" i="42695"/>
  <c r="N22" i="42695"/>
  <c r="P22" i="42695" s="1"/>
  <c r="E17" i="42695"/>
  <c r="F17" i="42695" s="1"/>
  <c r="P33" i="42699" s="1"/>
  <c r="D17" i="42695"/>
  <c r="C17" i="42695"/>
  <c r="B17" i="42695"/>
  <c r="F16" i="42695"/>
  <c r="F15" i="42695"/>
  <c r="F14" i="42695"/>
  <c r="F13" i="42695"/>
  <c r="F12" i="42695"/>
  <c r="F11" i="42695"/>
  <c r="F10" i="42695"/>
  <c r="F9" i="42695"/>
  <c r="F8" i="42695"/>
  <c r="F7" i="42695"/>
  <c r="F6" i="42695"/>
  <c r="M48" i="42694"/>
  <c r="L48" i="42694"/>
  <c r="K48" i="42694"/>
  <c r="J48" i="42694"/>
  <c r="I48" i="42694"/>
  <c r="H48" i="42694"/>
  <c r="G48" i="42694"/>
  <c r="F48" i="42694"/>
  <c r="E48" i="42694"/>
  <c r="D48" i="42694"/>
  <c r="C48" i="42694"/>
  <c r="B48" i="42694"/>
  <c r="N47" i="42694"/>
  <c r="N45" i="42694"/>
  <c r="M40" i="42694"/>
  <c r="L40" i="42694"/>
  <c r="K40" i="42694"/>
  <c r="J40" i="42694"/>
  <c r="I40" i="42694"/>
  <c r="H40" i="42694"/>
  <c r="G40" i="42694"/>
  <c r="F40" i="42694"/>
  <c r="E40" i="42694"/>
  <c r="D40" i="42694"/>
  <c r="C40" i="42694"/>
  <c r="B40" i="42694"/>
  <c r="N39" i="42694"/>
  <c r="N38" i="42694"/>
  <c r="N37" i="42694"/>
  <c r="N36" i="42694"/>
  <c r="N40" i="42694" s="1"/>
  <c r="N32" i="42694"/>
  <c r="N31" i="42694"/>
  <c r="N30" i="42694"/>
  <c r="N28" i="42694"/>
  <c r="N26" i="42694"/>
  <c r="N25" i="42694"/>
  <c r="N24" i="42694"/>
  <c r="N22" i="42694"/>
  <c r="E17" i="42694"/>
  <c r="D17" i="42694"/>
  <c r="C17" i="42694"/>
  <c r="B17" i="42694"/>
  <c r="F8" i="42694"/>
  <c r="F7" i="42694"/>
  <c r="F17" i="42694" s="1"/>
  <c r="Q33" i="42699" s="1"/>
  <c r="M45" i="42693"/>
  <c r="L45" i="42693"/>
  <c r="K45" i="42693"/>
  <c r="J45" i="42693"/>
  <c r="G37" i="42693"/>
  <c r="F37" i="42693"/>
  <c r="E37" i="42693"/>
  <c r="D37" i="42693"/>
  <c r="C37" i="42693"/>
  <c r="H36" i="42693"/>
  <c r="H35" i="42693"/>
  <c r="H34" i="42693"/>
  <c r="H33" i="42693"/>
  <c r="H32" i="42693"/>
  <c r="H31" i="42693"/>
  <c r="H30" i="42693"/>
  <c r="H29" i="42693"/>
  <c r="I44" i="42693" s="1"/>
  <c r="M527" i="42697" s="1"/>
  <c r="H28" i="42693"/>
  <c r="I41" i="42693" s="1"/>
  <c r="H27" i="42693"/>
  <c r="H26" i="42693"/>
  <c r="H44" i="42693" s="1"/>
  <c r="H25" i="42693"/>
  <c r="H24" i="42693"/>
  <c r="G43" i="42693" s="1"/>
  <c r="H23" i="42693"/>
  <c r="H22" i="42693"/>
  <c r="H21" i="42693"/>
  <c r="F44" i="42693" s="1"/>
  <c r="H20" i="42693"/>
  <c r="H19" i="42693"/>
  <c r="B8" i="42693" s="1"/>
  <c r="H18" i="42693"/>
  <c r="E44" i="42693" s="1"/>
  <c r="H17" i="42693"/>
  <c r="H16" i="42693"/>
  <c r="D44" i="42693" s="1"/>
  <c r="H527" i="42697" s="1"/>
  <c r="H15" i="42693"/>
  <c r="B6" i="42693" s="1"/>
  <c r="H14" i="42693"/>
  <c r="B7" i="42693"/>
  <c r="B5" i="42693"/>
  <c r="O19" i="42699" s="1"/>
  <c r="R960" i="42692"/>
  <c r="S960" i="42697" s="1"/>
  <c r="R952" i="42692"/>
  <c r="F926" i="42692"/>
  <c r="Q778" i="42692"/>
  <c r="Q778" i="42697" s="1"/>
  <c r="Q790" i="42697" s="1"/>
  <c r="P778" i="42692"/>
  <c r="P778" i="42697" s="1"/>
  <c r="P790" i="42697" s="1"/>
  <c r="O778" i="42692"/>
  <c r="O778" i="42697" s="1"/>
  <c r="O790" i="42697" s="1"/>
  <c r="N778" i="42692"/>
  <c r="N778" i="42697" s="1"/>
  <c r="N790" i="42697" s="1"/>
  <c r="M778" i="42692"/>
  <c r="M778" i="42697" s="1"/>
  <c r="M790" i="42697" s="1"/>
  <c r="L778" i="42692"/>
  <c r="L778" i="42697" s="1"/>
  <c r="L790" i="42697" s="1"/>
  <c r="K778" i="42692"/>
  <c r="K778" i="42697" s="1"/>
  <c r="K790" i="42697" s="1"/>
  <c r="J778" i="42692"/>
  <c r="J778" i="42697" s="1"/>
  <c r="J790" i="42697" s="1"/>
  <c r="I778" i="42692"/>
  <c r="I778" i="42697" s="1"/>
  <c r="I790" i="42697" s="1"/>
  <c r="H778" i="42692"/>
  <c r="H778" i="42697" s="1"/>
  <c r="H790" i="42697" s="1"/>
  <c r="G778" i="42692"/>
  <c r="G778" i="42697" s="1"/>
  <c r="G790" i="42697" s="1"/>
  <c r="F778" i="42692"/>
  <c r="F778" i="42697" s="1"/>
  <c r="Q777" i="42692"/>
  <c r="Q777" i="42697" s="1"/>
  <c r="Q789" i="42697" s="1"/>
  <c r="P777" i="42692"/>
  <c r="P777" i="42697" s="1"/>
  <c r="P789" i="42697" s="1"/>
  <c r="O777" i="42692"/>
  <c r="O777" i="42697" s="1"/>
  <c r="O789" i="42697" s="1"/>
  <c r="N777" i="42692"/>
  <c r="N777" i="42697" s="1"/>
  <c r="N789" i="42697" s="1"/>
  <c r="M777" i="42692"/>
  <c r="M777" i="42697" s="1"/>
  <c r="M789" i="42697" s="1"/>
  <c r="L777" i="42692"/>
  <c r="L777" i="42697" s="1"/>
  <c r="L789" i="42697" s="1"/>
  <c r="K777" i="42692"/>
  <c r="K777" i="42697" s="1"/>
  <c r="K789" i="42697" s="1"/>
  <c r="J777" i="42692"/>
  <c r="J777" i="42697" s="1"/>
  <c r="J789" i="42697" s="1"/>
  <c r="I777" i="42692"/>
  <c r="I777" i="42697" s="1"/>
  <c r="I789" i="42697" s="1"/>
  <c r="H777" i="42692"/>
  <c r="H777" i="42697" s="1"/>
  <c r="H789" i="42697" s="1"/>
  <c r="G777" i="42692"/>
  <c r="G777" i="42697" s="1"/>
  <c r="G789" i="42697" s="1"/>
  <c r="F777" i="42692"/>
  <c r="F777" i="42697" s="1"/>
  <c r="Q776" i="42692"/>
  <c r="Q776" i="42697" s="1"/>
  <c r="Q788" i="42697" s="1"/>
  <c r="P776" i="42692"/>
  <c r="P776" i="42697" s="1"/>
  <c r="P788" i="42697" s="1"/>
  <c r="O776" i="42692"/>
  <c r="O776" i="42697" s="1"/>
  <c r="O788" i="42697" s="1"/>
  <c r="N776" i="42692"/>
  <c r="N776" i="42697" s="1"/>
  <c r="N788" i="42697" s="1"/>
  <c r="M776" i="42692"/>
  <c r="M776" i="42697" s="1"/>
  <c r="M788" i="42697" s="1"/>
  <c r="L776" i="42692"/>
  <c r="L776" i="42697" s="1"/>
  <c r="L788" i="42697" s="1"/>
  <c r="K776" i="42692"/>
  <c r="K776" i="42697" s="1"/>
  <c r="K788" i="42697" s="1"/>
  <c r="J776" i="42692"/>
  <c r="J776" i="42697" s="1"/>
  <c r="J788" i="42697" s="1"/>
  <c r="I776" i="42692"/>
  <c r="I776" i="42697" s="1"/>
  <c r="I788" i="42697" s="1"/>
  <c r="H776" i="42692"/>
  <c r="H776" i="42697" s="1"/>
  <c r="H788" i="42697" s="1"/>
  <c r="G776" i="42692"/>
  <c r="G776" i="42697" s="1"/>
  <c r="G788" i="42697" s="1"/>
  <c r="F776" i="42692"/>
  <c r="F776" i="42697" s="1"/>
  <c r="Q775" i="42692"/>
  <c r="Q775" i="42697" s="1"/>
  <c r="Q787" i="42697" s="1"/>
  <c r="P775" i="42692"/>
  <c r="P775" i="42697" s="1"/>
  <c r="P787" i="42697" s="1"/>
  <c r="O775" i="42692"/>
  <c r="O775" i="42697" s="1"/>
  <c r="O787" i="42697" s="1"/>
  <c r="N775" i="42692"/>
  <c r="N775" i="42697" s="1"/>
  <c r="N787" i="42697" s="1"/>
  <c r="M775" i="42692"/>
  <c r="M775" i="42697" s="1"/>
  <c r="M787" i="42697" s="1"/>
  <c r="L775" i="42692"/>
  <c r="L775" i="42697" s="1"/>
  <c r="L787" i="42697" s="1"/>
  <c r="K775" i="42692"/>
  <c r="K775" i="42697" s="1"/>
  <c r="K787" i="42697" s="1"/>
  <c r="J775" i="42692"/>
  <c r="J775" i="42697" s="1"/>
  <c r="J787" i="42697" s="1"/>
  <c r="I775" i="42692"/>
  <c r="I775" i="42697" s="1"/>
  <c r="I787" i="42697" s="1"/>
  <c r="H775" i="42692"/>
  <c r="H775" i="42697" s="1"/>
  <c r="H787" i="42697" s="1"/>
  <c r="G775" i="42692"/>
  <c r="G775" i="42697" s="1"/>
  <c r="G787" i="42697" s="1"/>
  <c r="F775" i="42692"/>
  <c r="F775" i="42697" s="1"/>
  <c r="Q774" i="42692"/>
  <c r="Q774" i="42697" s="1"/>
  <c r="Q786" i="42697" s="1"/>
  <c r="P774" i="42692"/>
  <c r="P774" i="42697" s="1"/>
  <c r="P786" i="42697" s="1"/>
  <c r="O774" i="42692"/>
  <c r="O774" i="42697" s="1"/>
  <c r="O786" i="42697" s="1"/>
  <c r="N774" i="42692"/>
  <c r="N774" i="42697" s="1"/>
  <c r="N786" i="42697" s="1"/>
  <c r="M774" i="42692"/>
  <c r="M774" i="42697" s="1"/>
  <c r="M786" i="42697" s="1"/>
  <c r="L774" i="42692"/>
  <c r="L774" i="42697" s="1"/>
  <c r="L786" i="42697" s="1"/>
  <c r="K774" i="42692"/>
  <c r="K774" i="42697" s="1"/>
  <c r="K786" i="42697" s="1"/>
  <c r="J774" i="42692"/>
  <c r="J774" i="42697" s="1"/>
  <c r="J786" i="42697" s="1"/>
  <c r="I774" i="42692"/>
  <c r="I774" i="42697" s="1"/>
  <c r="I786" i="42697" s="1"/>
  <c r="H774" i="42692"/>
  <c r="H774" i="42697" s="1"/>
  <c r="H786" i="42697" s="1"/>
  <c r="G774" i="42692"/>
  <c r="G774" i="42697" s="1"/>
  <c r="G786" i="42697" s="1"/>
  <c r="F774" i="42692"/>
  <c r="F774" i="42697" s="1"/>
  <c r="Q772" i="42692"/>
  <c r="Q820" i="42692" s="1"/>
  <c r="Q835" i="42692" s="1"/>
  <c r="P772" i="42692"/>
  <c r="P820" i="42692" s="1"/>
  <c r="P835" i="42692" s="1"/>
  <c r="O772" i="42692"/>
  <c r="O820" i="42692" s="1"/>
  <c r="O835" i="42692" s="1"/>
  <c r="N772" i="42692"/>
  <c r="N820" i="42692" s="1"/>
  <c r="N835" i="42692" s="1"/>
  <c r="M772" i="42692"/>
  <c r="M820" i="42692" s="1"/>
  <c r="M835" i="42692" s="1"/>
  <c r="L772" i="42692"/>
  <c r="L820" i="42692" s="1"/>
  <c r="L835" i="42692" s="1"/>
  <c r="K772" i="42692"/>
  <c r="K820" i="42692" s="1"/>
  <c r="K835" i="42692" s="1"/>
  <c r="J772" i="42692"/>
  <c r="J820" i="42692" s="1"/>
  <c r="J835" i="42692" s="1"/>
  <c r="I772" i="42692"/>
  <c r="I820" i="42692" s="1"/>
  <c r="I835" i="42692" s="1"/>
  <c r="H772" i="42692"/>
  <c r="H820" i="42692" s="1"/>
  <c r="H835" i="42692" s="1"/>
  <c r="G772" i="42692"/>
  <c r="G820" i="42692" s="1"/>
  <c r="G835" i="42692" s="1"/>
  <c r="F772" i="42692"/>
  <c r="F820" i="42692" s="1"/>
  <c r="Q734" i="42692"/>
  <c r="Q903" i="42692" s="1"/>
  <c r="P734" i="42692"/>
  <c r="P903" i="42692" s="1"/>
  <c r="O734" i="42692"/>
  <c r="O903" i="42692" s="1"/>
  <c r="N734" i="42692"/>
  <c r="N903" i="42692" s="1"/>
  <c r="M734" i="42692"/>
  <c r="M903" i="42692" s="1"/>
  <c r="L734" i="42692"/>
  <c r="L903" i="42692" s="1"/>
  <c r="K734" i="42692"/>
  <c r="K903" i="42692" s="1"/>
  <c r="J734" i="42692"/>
  <c r="J903" i="42692" s="1"/>
  <c r="I734" i="42692"/>
  <c r="I903" i="42692" s="1"/>
  <c r="H734" i="42692"/>
  <c r="H903" i="42692" s="1"/>
  <c r="G734" i="42692"/>
  <c r="G903" i="42692" s="1"/>
  <c r="F734" i="42692"/>
  <c r="F903" i="42692" s="1"/>
  <c r="R903" i="42692" s="1"/>
  <c r="Q731" i="42692"/>
  <c r="Q731" i="42697" s="1"/>
  <c r="P731" i="42692"/>
  <c r="P731" i="42697" s="1"/>
  <c r="O731" i="42692"/>
  <c r="O731" i="42697" s="1"/>
  <c r="N731" i="42692"/>
  <c r="N731" i="42697" s="1"/>
  <c r="M731" i="42692"/>
  <c r="M731" i="42697" s="1"/>
  <c r="L731" i="42692"/>
  <c r="L731" i="42697" s="1"/>
  <c r="K731" i="42692"/>
  <c r="K731" i="42697" s="1"/>
  <c r="J731" i="42692"/>
  <c r="J731" i="42697" s="1"/>
  <c r="I731" i="42692"/>
  <c r="I731" i="42697" s="1"/>
  <c r="H731" i="42692"/>
  <c r="H731" i="42697" s="1"/>
  <c r="G731" i="42692"/>
  <c r="G731" i="42697" s="1"/>
  <c r="F731" i="42692"/>
  <c r="F731" i="42697" s="1"/>
  <c r="Q730" i="42692"/>
  <c r="Q730" i="42697" s="1"/>
  <c r="P730" i="42692"/>
  <c r="P730" i="42697" s="1"/>
  <c r="O730" i="42692"/>
  <c r="O730" i="42697" s="1"/>
  <c r="N730" i="42692"/>
  <c r="N730" i="42697" s="1"/>
  <c r="M730" i="42692"/>
  <c r="M730" i="42697" s="1"/>
  <c r="L730" i="42692"/>
  <c r="L730" i="42697" s="1"/>
  <c r="K730" i="42692"/>
  <c r="K730" i="42697" s="1"/>
  <c r="J730" i="42692"/>
  <c r="J730" i="42697" s="1"/>
  <c r="I730" i="42692"/>
  <c r="I730" i="42697" s="1"/>
  <c r="H730" i="42692"/>
  <c r="H730" i="42697" s="1"/>
  <c r="G730" i="42692"/>
  <c r="G730" i="42697" s="1"/>
  <c r="F730" i="42692"/>
  <c r="F730" i="42697" s="1"/>
  <c r="R730" i="42697" s="1"/>
  <c r="Q729" i="42692"/>
  <c r="Q729" i="42697" s="1"/>
  <c r="P729" i="42692"/>
  <c r="P729" i="42697" s="1"/>
  <c r="O729" i="42692"/>
  <c r="O729" i="42697" s="1"/>
  <c r="N729" i="42692"/>
  <c r="N729" i="42697" s="1"/>
  <c r="M729" i="42692"/>
  <c r="M729" i="42697" s="1"/>
  <c r="L729" i="42692"/>
  <c r="L729" i="42697" s="1"/>
  <c r="K729" i="42692"/>
  <c r="K729" i="42697" s="1"/>
  <c r="J729" i="42692"/>
  <c r="J729" i="42697" s="1"/>
  <c r="I729" i="42692"/>
  <c r="I729" i="42697" s="1"/>
  <c r="H729" i="42692"/>
  <c r="H729" i="42697" s="1"/>
  <c r="G729" i="42692"/>
  <c r="G729" i="42697" s="1"/>
  <c r="F729" i="42692"/>
  <c r="F729" i="42697" s="1"/>
  <c r="Q728" i="42692"/>
  <c r="Q728" i="42697" s="1"/>
  <c r="P728" i="42692"/>
  <c r="P728" i="42697" s="1"/>
  <c r="O728" i="42692"/>
  <c r="O728" i="42697" s="1"/>
  <c r="N728" i="42692"/>
  <c r="N728" i="42697" s="1"/>
  <c r="M728" i="42692"/>
  <c r="M728" i="42697" s="1"/>
  <c r="L728" i="42692"/>
  <c r="L728" i="42697" s="1"/>
  <c r="K728" i="42692"/>
  <c r="K728" i="42697" s="1"/>
  <c r="J728" i="42692"/>
  <c r="J728" i="42697" s="1"/>
  <c r="I728" i="42692"/>
  <c r="I728" i="42697" s="1"/>
  <c r="H728" i="42692"/>
  <c r="H728" i="42697" s="1"/>
  <c r="G728" i="42692"/>
  <c r="G728" i="42697" s="1"/>
  <c r="F728" i="42692"/>
  <c r="F728" i="42697" s="1"/>
  <c r="R728" i="42697" s="1"/>
  <c r="Q727" i="42692"/>
  <c r="Q727" i="42697" s="1"/>
  <c r="P727" i="42692"/>
  <c r="P727" i="42697" s="1"/>
  <c r="O727" i="42692"/>
  <c r="O727" i="42697" s="1"/>
  <c r="N727" i="42692"/>
  <c r="N727" i="42697" s="1"/>
  <c r="M727" i="42692"/>
  <c r="M727" i="42697" s="1"/>
  <c r="L727" i="42692"/>
  <c r="L727" i="42697" s="1"/>
  <c r="K727" i="42692"/>
  <c r="K727" i="42697" s="1"/>
  <c r="J727" i="42692"/>
  <c r="J727" i="42697" s="1"/>
  <c r="I727" i="42692"/>
  <c r="I727" i="42697" s="1"/>
  <c r="H727" i="42692"/>
  <c r="H727" i="42697" s="1"/>
  <c r="G727" i="42692"/>
  <c r="G727" i="42697" s="1"/>
  <c r="F727" i="42692"/>
  <c r="F727" i="42697" s="1"/>
  <c r="Q725" i="42692"/>
  <c r="Q819" i="42692" s="1"/>
  <c r="P725" i="42692"/>
  <c r="P819" i="42692" s="1"/>
  <c r="O725" i="42692"/>
  <c r="O819" i="42692" s="1"/>
  <c r="N725" i="42692"/>
  <c r="N819" i="42692" s="1"/>
  <c r="M725" i="42692"/>
  <c r="M819" i="42692" s="1"/>
  <c r="L725" i="42692"/>
  <c r="L819" i="42692" s="1"/>
  <c r="K725" i="42692"/>
  <c r="K819" i="42692" s="1"/>
  <c r="J725" i="42692"/>
  <c r="J819" i="42692" s="1"/>
  <c r="I725" i="42692"/>
  <c r="I819" i="42692" s="1"/>
  <c r="H725" i="42692"/>
  <c r="H819" i="42692" s="1"/>
  <c r="G725" i="42692"/>
  <c r="G819" i="42692" s="1"/>
  <c r="F725" i="42692"/>
  <c r="F819" i="42692" s="1"/>
  <c r="R819" i="42692" s="1"/>
  <c r="Q722" i="42692"/>
  <c r="P722" i="42692"/>
  <c r="O722" i="42692"/>
  <c r="N722" i="42692"/>
  <c r="M722" i="42692"/>
  <c r="L722" i="42692"/>
  <c r="K722" i="42692"/>
  <c r="J722" i="42692"/>
  <c r="I722" i="42692"/>
  <c r="H722" i="42692"/>
  <c r="G722" i="42692"/>
  <c r="F722" i="42692"/>
  <c r="Q719" i="42692"/>
  <c r="Q751" i="42692" s="1"/>
  <c r="P719" i="42692"/>
  <c r="P751" i="42692" s="1"/>
  <c r="O719" i="42692"/>
  <c r="O751" i="42692" s="1"/>
  <c r="N719" i="42692"/>
  <c r="N751" i="42692" s="1"/>
  <c r="M719" i="42692"/>
  <c r="M751" i="42692" s="1"/>
  <c r="L719" i="42692"/>
  <c r="L751" i="42692" s="1"/>
  <c r="K719" i="42692"/>
  <c r="K751" i="42692" s="1"/>
  <c r="J719" i="42692"/>
  <c r="J751" i="42692" s="1"/>
  <c r="I719" i="42692"/>
  <c r="I751" i="42692" s="1"/>
  <c r="H719" i="42692"/>
  <c r="H751" i="42692" s="1"/>
  <c r="G719" i="42692"/>
  <c r="G751" i="42692" s="1"/>
  <c r="F719" i="42692"/>
  <c r="F751" i="42692" s="1"/>
  <c r="R751" i="42692" s="1"/>
  <c r="Q718" i="42692"/>
  <c r="Q750" i="42692" s="1"/>
  <c r="Q752" i="42692" s="1"/>
  <c r="P718" i="42692"/>
  <c r="P750" i="42692" s="1"/>
  <c r="P752" i="42692" s="1"/>
  <c r="O718" i="42692"/>
  <c r="O750" i="42692" s="1"/>
  <c r="O752" i="42692" s="1"/>
  <c r="N718" i="42692"/>
  <c r="N750" i="42692" s="1"/>
  <c r="N752" i="42692" s="1"/>
  <c r="M718" i="42692"/>
  <c r="M750" i="42692" s="1"/>
  <c r="M752" i="42692" s="1"/>
  <c r="L718" i="42692"/>
  <c r="L750" i="42692" s="1"/>
  <c r="L752" i="42692" s="1"/>
  <c r="K718" i="42692"/>
  <c r="K750" i="42692" s="1"/>
  <c r="K752" i="42692" s="1"/>
  <c r="J718" i="42692"/>
  <c r="J750" i="42692" s="1"/>
  <c r="J752" i="42692" s="1"/>
  <c r="I718" i="42692"/>
  <c r="I750" i="42692" s="1"/>
  <c r="I752" i="42692" s="1"/>
  <c r="H718" i="42692"/>
  <c r="H750" i="42692" s="1"/>
  <c r="H752" i="42692" s="1"/>
  <c r="G718" i="42692"/>
  <c r="G750" i="42692" s="1"/>
  <c r="G752" i="42692" s="1"/>
  <c r="F718" i="42692"/>
  <c r="F750" i="42692" s="1"/>
  <c r="Q716" i="42692"/>
  <c r="P716" i="42692"/>
  <c r="O716" i="42692"/>
  <c r="N716" i="42692"/>
  <c r="M716" i="42692"/>
  <c r="L716" i="42692"/>
  <c r="K716" i="42692"/>
  <c r="J716" i="42692"/>
  <c r="I716" i="42692"/>
  <c r="H716" i="42692"/>
  <c r="G716" i="42692"/>
  <c r="F716" i="42692"/>
  <c r="Q714" i="42692"/>
  <c r="P714" i="42692"/>
  <c r="O714" i="42692"/>
  <c r="N714" i="42692"/>
  <c r="M714" i="42692"/>
  <c r="L714" i="42692"/>
  <c r="K714" i="42692"/>
  <c r="J714" i="42692"/>
  <c r="I714" i="42692"/>
  <c r="H714" i="42692"/>
  <c r="G714" i="42692"/>
  <c r="F714" i="42692"/>
  <c r="Q713" i="42692"/>
  <c r="Q744" i="42692" s="1"/>
  <c r="P713" i="42692"/>
  <c r="P744" i="42692" s="1"/>
  <c r="O713" i="42692"/>
  <c r="O744" i="42692" s="1"/>
  <c r="N713" i="42692"/>
  <c r="N744" i="42692" s="1"/>
  <c r="M713" i="42692"/>
  <c r="M744" i="42692" s="1"/>
  <c r="L713" i="42692"/>
  <c r="L744" i="42692" s="1"/>
  <c r="K713" i="42692"/>
  <c r="K744" i="42692" s="1"/>
  <c r="J713" i="42692"/>
  <c r="J744" i="42692" s="1"/>
  <c r="I713" i="42692"/>
  <c r="I744" i="42692" s="1"/>
  <c r="H713" i="42692"/>
  <c r="H744" i="42692" s="1"/>
  <c r="G713" i="42692"/>
  <c r="G744" i="42692" s="1"/>
  <c r="F713" i="42692"/>
  <c r="F744" i="42692" s="1"/>
  <c r="R744" i="42692" s="1"/>
  <c r="Q712" i="42692"/>
  <c r="Q743" i="42692" s="1"/>
  <c r="P712" i="42692"/>
  <c r="P743" i="42692" s="1"/>
  <c r="O712" i="42692"/>
  <c r="O743" i="42692" s="1"/>
  <c r="N712" i="42692"/>
  <c r="N743" i="42692" s="1"/>
  <c r="M712" i="42692"/>
  <c r="M743" i="42692" s="1"/>
  <c r="L712" i="42692"/>
  <c r="L743" i="42692" s="1"/>
  <c r="K712" i="42692"/>
  <c r="K743" i="42692" s="1"/>
  <c r="J712" i="42692"/>
  <c r="J743" i="42692" s="1"/>
  <c r="I712" i="42692"/>
  <c r="I743" i="42692" s="1"/>
  <c r="H712" i="42692"/>
  <c r="H743" i="42692" s="1"/>
  <c r="G712" i="42692"/>
  <c r="G743" i="42692" s="1"/>
  <c r="F712" i="42692"/>
  <c r="F743" i="42692" s="1"/>
  <c r="R743" i="42692" s="1"/>
  <c r="Q711" i="42692"/>
  <c r="Q742" i="42692" s="1"/>
  <c r="P711" i="42692"/>
  <c r="P742" i="42692" s="1"/>
  <c r="O711" i="42692"/>
  <c r="O742" i="42692" s="1"/>
  <c r="N711" i="42692"/>
  <c r="N742" i="42692" s="1"/>
  <c r="M711" i="42692"/>
  <c r="M742" i="42692" s="1"/>
  <c r="L711" i="42692"/>
  <c r="L742" i="42692" s="1"/>
  <c r="K711" i="42692"/>
  <c r="K742" i="42692" s="1"/>
  <c r="J711" i="42692"/>
  <c r="J742" i="42692" s="1"/>
  <c r="I711" i="42692"/>
  <c r="I742" i="42692" s="1"/>
  <c r="H711" i="42692"/>
  <c r="H742" i="42692" s="1"/>
  <c r="G711" i="42692"/>
  <c r="G742" i="42692" s="1"/>
  <c r="F711" i="42692"/>
  <c r="F742" i="42692" s="1"/>
  <c r="R742" i="42692" s="1"/>
  <c r="Q710" i="42692"/>
  <c r="Q741" i="42692" s="1"/>
  <c r="P710" i="42692"/>
  <c r="P741" i="42692" s="1"/>
  <c r="O710" i="42692"/>
  <c r="O741" i="42692" s="1"/>
  <c r="N710" i="42692"/>
  <c r="N741" i="42692" s="1"/>
  <c r="M710" i="42692"/>
  <c r="M741" i="42692" s="1"/>
  <c r="L710" i="42692"/>
  <c r="L741" i="42692" s="1"/>
  <c r="K710" i="42692"/>
  <c r="K741" i="42692" s="1"/>
  <c r="J710" i="42692"/>
  <c r="J741" i="42692" s="1"/>
  <c r="I710" i="42692"/>
  <c r="I741" i="42692" s="1"/>
  <c r="H710" i="42692"/>
  <c r="H741" i="42692" s="1"/>
  <c r="G710" i="42692"/>
  <c r="G741" i="42692" s="1"/>
  <c r="F710" i="42692"/>
  <c r="F741" i="42692" s="1"/>
  <c r="R741" i="42692" s="1"/>
  <c r="Q709" i="42692"/>
  <c r="Q740" i="42692" s="1"/>
  <c r="P709" i="42692"/>
  <c r="P740" i="42692" s="1"/>
  <c r="O709" i="42692"/>
  <c r="O740" i="42692" s="1"/>
  <c r="N709" i="42692"/>
  <c r="N740" i="42692" s="1"/>
  <c r="M709" i="42692"/>
  <c r="M740" i="42692" s="1"/>
  <c r="L709" i="42692"/>
  <c r="L740" i="42692" s="1"/>
  <c r="K709" i="42692"/>
  <c r="K740" i="42692" s="1"/>
  <c r="J709" i="42692"/>
  <c r="J740" i="42692" s="1"/>
  <c r="I709" i="42692"/>
  <c r="I740" i="42692" s="1"/>
  <c r="H709" i="42692"/>
  <c r="H740" i="42692" s="1"/>
  <c r="G709" i="42692"/>
  <c r="G740" i="42692" s="1"/>
  <c r="F709" i="42692"/>
  <c r="F740" i="42692" s="1"/>
  <c r="Q707" i="42692"/>
  <c r="Q738" i="42692" s="1"/>
  <c r="P707" i="42692"/>
  <c r="P738" i="42692" s="1"/>
  <c r="O707" i="42692"/>
  <c r="O738" i="42692" s="1"/>
  <c r="N707" i="42692"/>
  <c r="N738" i="42692" s="1"/>
  <c r="M707" i="42692"/>
  <c r="M738" i="42692" s="1"/>
  <c r="L707" i="42692"/>
  <c r="L738" i="42692" s="1"/>
  <c r="K707" i="42692"/>
  <c r="K738" i="42692" s="1"/>
  <c r="J707" i="42692"/>
  <c r="J738" i="42692" s="1"/>
  <c r="I707" i="42692"/>
  <c r="I738" i="42692" s="1"/>
  <c r="H707" i="42692"/>
  <c r="H738" i="42692" s="1"/>
  <c r="G707" i="42692"/>
  <c r="G738" i="42692" s="1"/>
  <c r="F707" i="42692"/>
  <c r="F738" i="42692" s="1"/>
  <c r="Q681" i="42692"/>
  <c r="Q681" i="42697" s="1"/>
  <c r="P681" i="42692"/>
  <c r="P681" i="42697" s="1"/>
  <c r="O681" i="42692"/>
  <c r="O681" i="42697" s="1"/>
  <c r="N681" i="42692"/>
  <c r="N681" i="42697" s="1"/>
  <c r="M681" i="42692"/>
  <c r="M681" i="42697" s="1"/>
  <c r="L681" i="42692"/>
  <c r="L681" i="42697" s="1"/>
  <c r="K681" i="42692"/>
  <c r="K681" i="42697" s="1"/>
  <c r="J681" i="42692"/>
  <c r="J681" i="42697" s="1"/>
  <c r="I681" i="42692"/>
  <c r="I681" i="42697" s="1"/>
  <c r="H681" i="42692"/>
  <c r="H681" i="42697" s="1"/>
  <c r="G681" i="42692"/>
  <c r="G681" i="42697" s="1"/>
  <c r="F681" i="42692"/>
  <c r="F681" i="42697" s="1"/>
  <c r="Q679" i="42692"/>
  <c r="Q818" i="42692" s="1"/>
  <c r="P679" i="42692"/>
  <c r="P818" i="42692" s="1"/>
  <c r="O679" i="42692"/>
  <c r="O818" i="42692" s="1"/>
  <c r="N679" i="42692"/>
  <c r="N818" i="42692" s="1"/>
  <c r="M679" i="42692"/>
  <c r="M818" i="42692" s="1"/>
  <c r="L679" i="42692"/>
  <c r="L818" i="42692" s="1"/>
  <c r="K679" i="42692"/>
  <c r="K818" i="42692" s="1"/>
  <c r="J679" i="42692"/>
  <c r="J818" i="42692" s="1"/>
  <c r="I679" i="42692"/>
  <c r="I818" i="42692" s="1"/>
  <c r="H679" i="42692"/>
  <c r="H818" i="42692" s="1"/>
  <c r="G679" i="42692"/>
  <c r="G818" i="42692" s="1"/>
  <c r="F679" i="42692"/>
  <c r="F818" i="42692" s="1"/>
  <c r="R818" i="42692" s="1"/>
  <c r="Q676" i="42692"/>
  <c r="P676" i="42692"/>
  <c r="O676" i="42692"/>
  <c r="N676" i="42692"/>
  <c r="M676" i="42692"/>
  <c r="L676" i="42692"/>
  <c r="K676" i="42692"/>
  <c r="J676" i="42692"/>
  <c r="I676" i="42692"/>
  <c r="H676" i="42692"/>
  <c r="G676" i="42692"/>
  <c r="F676" i="42692"/>
  <c r="Q673" i="42692"/>
  <c r="P673" i="42692"/>
  <c r="O673" i="42692"/>
  <c r="N673" i="42692"/>
  <c r="M673" i="42692"/>
  <c r="L673" i="42692"/>
  <c r="K673" i="42692"/>
  <c r="J673" i="42692"/>
  <c r="I673" i="42692"/>
  <c r="H673" i="42692"/>
  <c r="G673" i="42692"/>
  <c r="F673" i="42692"/>
  <c r="Q672" i="42692"/>
  <c r="P672" i="42692"/>
  <c r="O672" i="42692"/>
  <c r="N672" i="42692"/>
  <c r="M672" i="42692"/>
  <c r="L672" i="42692"/>
  <c r="K672" i="42692"/>
  <c r="J672" i="42692"/>
  <c r="I672" i="42692"/>
  <c r="H672" i="42692"/>
  <c r="G672" i="42692"/>
  <c r="F672" i="42692"/>
  <c r="Q670" i="42692"/>
  <c r="P670" i="42692"/>
  <c r="O670" i="42692"/>
  <c r="N670" i="42692"/>
  <c r="M670" i="42692"/>
  <c r="L670" i="42692"/>
  <c r="K670" i="42692"/>
  <c r="J670" i="42692"/>
  <c r="I670" i="42692"/>
  <c r="H670" i="42692"/>
  <c r="G670" i="42692"/>
  <c r="F670" i="42692"/>
  <c r="Q668" i="42692"/>
  <c r="P668" i="42692"/>
  <c r="O668" i="42692"/>
  <c r="N668" i="42692"/>
  <c r="M668" i="42692"/>
  <c r="L668" i="42692"/>
  <c r="K668" i="42692"/>
  <c r="J668" i="42692"/>
  <c r="I668" i="42692"/>
  <c r="H668" i="42692"/>
  <c r="G668" i="42692"/>
  <c r="F668" i="42692"/>
  <c r="Q667" i="42692"/>
  <c r="Q690" i="42692" s="1"/>
  <c r="P667" i="42692"/>
  <c r="P690" i="42692" s="1"/>
  <c r="O667" i="42692"/>
  <c r="O690" i="42692" s="1"/>
  <c r="N667" i="42692"/>
  <c r="N690" i="42692" s="1"/>
  <c r="M667" i="42692"/>
  <c r="M690" i="42692" s="1"/>
  <c r="L667" i="42692"/>
  <c r="L690" i="42692" s="1"/>
  <c r="K667" i="42692"/>
  <c r="K690" i="42692" s="1"/>
  <c r="J667" i="42692"/>
  <c r="J690" i="42692" s="1"/>
  <c r="I667" i="42692"/>
  <c r="I690" i="42692" s="1"/>
  <c r="H667" i="42692"/>
  <c r="H690" i="42692" s="1"/>
  <c r="G667" i="42692"/>
  <c r="G690" i="42692" s="1"/>
  <c r="F667" i="42692"/>
  <c r="F690" i="42692" s="1"/>
  <c r="Q665" i="42692"/>
  <c r="Q688" i="42692" s="1"/>
  <c r="P665" i="42692"/>
  <c r="P688" i="42692" s="1"/>
  <c r="O665" i="42692"/>
  <c r="O688" i="42692" s="1"/>
  <c r="N665" i="42692"/>
  <c r="N688" i="42692" s="1"/>
  <c r="M665" i="42692"/>
  <c r="M688" i="42692" s="1"/>
  <c r="L665" i="42692"/>
  <c r="L688" i="42692" s="1"/>
  <c r="K665" i="42692"/>
  <c r="K688" i="42692" s="1"/>
  <c r="J665" i="42692"/>
  <c r="J688" i="42692" s="1"/>
  <c r="I665" i="42692"/>
  <c r="I688" i="42692" s="1"/>
  <c r="H665" i="42692"/>
  <c r="H688" i="42692" s="1"/>
  <c r="G665" i="42692"/>
  <c r="G688" i="42692" s="1"/>
  <c r="F665" i="42692"/>
  <c r="F688" i="42692" s="1"/>
  <c r="Q638" i="42692"/>
  <c r="Q638" i="42697" s="1"/>
  <c r="P638" i="42692"/>
  <c r="P638" i="42697" s="1"/>
  <c r="O638" i="42692"/>
  <c r="O638" i="42697" s="1"/>
  <c r="N638" i="42692"/>
  <c r="N638" i="42697" s="1"/>
  <c r="M638" i="42692"/>
  <c r="M638" i="42697" s="1"/>
  <c r="L638" i="42692"/>
  <c r="L638" i="42697" s="1"/>
  <c r="K638" i="42692"/>
  <c r="K638" i="42697" s="1"/>
  <c r="J638" i="42692"/>
  <c r="J638" i="42697" s="1"/>
  <c r="I638" i="42692"/>
  <c r="I638" i="42697" s="1"/>
  <c r="H638" i="42692"/>
  <c r="H638" i="42697" s="1"/>
  <c r="G638" i="42692"/>
  <c r="G638" i="42697" s="1"/>
  <c r="F638" i="42692"/>
  <c r="F638" i="42697" s="1"/>
  <c r="R638" i="42697" s="1"/>
  <c r="Q637" i="42692"/>
  <c r="Q637" i="42697" s="1"/>
  <c r="P637" i="42692"/>
  <c r="P637" i="42697" s="1"/>
  <c r="O637" i="42692"/>
  <c r="O637" i="42697" s="1"/>
  <c r="N637" i="42692"/>
  <c r="N637" i="42697" s="1"/>
  <c r="M637" i="42692"/>
  <c r="M637" i="42697" s="1"/>
  <c r="L637" i="42692"/>
  <c r="L637" i="42697" s="1"/>
  <c r="K637" i="42692"/>
  <c r="K637" i="42697" s="1"/>
  <c r="J637" i="42692"/>
  <c r="J637" i="42697" s="1"/>
  <c r="I637" i="42692"/>
  <c r="I637" i="42697" s="1"/>
  <c r="H637" i="42692"/>
  <c r="H637" i="42697" s="1"/>
  <c r="G637" i="42692"/>
  <c r="G637" i="42697" s="1"/>
  <c r="F637" i="42692"/>
  <c r="F637" i="42697" s="1"/>
  <c r="Q635" i="42692"/>
  <c r="Q817" i="42692" s="1"/>
  <c r="P635" i="42692"/>
  <c r="P817" i="42692" s="1"/>
  <c r="O635" i="42692"/>
  <c r="O817" i="42692" s="1"/>
  <c r="N635" i="42692"/>
  <c r="N817" i="42692" s="1"/>
  <c r="M635" i="42692"/>
  <c r="M817" i="42692" s="1"/>
  <c r="L635" i="42692"/>
  <c r="L817" i="42692" s="1"/>
  <c r="K635" i="42692"/>
  <c r="K817" i="42692" s="1"/>
  <c r="J635" i="42692"/>
  <c r="J817" i="42692" s="1"/>
  <c r="I635" i="42692"/>
  <c r="I817" i="42692" s="1"/>
  <c r="H635" i="42692"/>
  <c r="H817" i="42692" s="1"/>
  <c r="G635" i="42692"/>
  <c r="G817" i="42692" s="1"/>
  <c r="F635" i="42692"/>
  <c r="F817" i="42692" s="1"/>
  <c r="R817" i="42692" s="1"/>
  <c r="Q632" i="42692"/>
  <c r="P632" i="42692"/>
  <c r="O632" i="42692"/>
  <c r="N632" i="42692"/>
  <c r="M632" i="42692"/>
  <c r="L632" i="42692"/>
  <c r="K632" i="42692"/>
  <c r="J632" i="42692"/>
  <c r="I632" i="42692"/>
  <c r="H632" i="42692"/>
  <c r="G632" i="42692"/>
  <c r="F632" i="42692"/>
  <c r="Q629" i="42692"/>
  <c r="P629" i="42692"/>
  <c r="O629" i="42692"/>
  <c r="N629" i="42692"/>
  <c r="M629" i="42692"/>
  <c r="L629" i="42692"/>
  <c r="K629" i="42692"/>
  <c r="J629" i="42692"/>
  <c r="I629" i="42692"/>
  <c r="H629" i="42692"/>
  <c r="G629" i="42692"/>
  <c r="F629" i="42692"/>
  <c r="Q628" i="42692"/>
  <c r="P628" i="42692"/>
  <c r="O628" i="42692"/>
  <c r="N628" i="42692"/>
  <c r="M628" i="42692"/>
  <c r="L628" i="42692"/>
  <c r="K628" i="42692"/>
  <c r="J628" i="42692"/>
  <c r="I628" i="42692"/>
  <c r="H628" i="42692"/>
  <c r="G628" i="42692"/>
  <c r="F628" i="42692"/>
  <c r="Q626" i="42692"/>
  <c r="P626" i="42692"/>
  <c r="O626" i="42692"/>
  <c r="N626" i="42692"/>
  <c r="M626" i="42692"/>
  <c r="L626" i="42692"/>
  <c r="K626" i="42692"/>
  <c r="J626" i="42692"/>
  <c r="I626" i="42692"/>
  <c r="H626" i="42692"/>
  <c r="G626" i="42692"/>
  <c r="F626" i="42692"/>
  <c r="Q624" i="42692"/>
  <c r="P624" i="42692"/>
  <c r="O624" i="42692"/>
  <c r="N624" i="42692"/>
  <c r="M624" i="42692"/>
  <c r="L624" i="42692"/>
  <c r="K624" i="42692"/>
  <c r="J624" i="42692"/>
  <c r="I624" i="42692"/>
  <c r="H624" i="42692"/>
  <c r="G624" i="42692"/>
  <c r="F624" i="42692"/>
  <c r="Q623" i="42692"/>
  <c r="Q648" i="42692" s="1"/>
  <c r="P623" i="42692"/>
  <c r="P648" i="42692" s="1"/>
  <c r="O623" i="42692"/>
  <c r="O648" i="42692" s="1"/>
  <c r="N623" i="42692"/>
  <c r="N648" i="42692" s="1"/>
  <c r="M623" i="42692"/>
  <c r="M648" i="42692" s="1"/>
  <c r="L623" i="42692"/>
  <c r="L648" i="42692" s="1"/>
  <c r="K623" i="42692"/>
  <c r="K648" i="42692" s="1"/>
  <c r="J623" i="42692"/>
  <c r="J648" i="42692" s="1"/>
  <c r="I623" i="42692"/>
  <c r="I648" i="42692" s="1"/>
  <c r="H623" i="42692"/>
  <c r="H648" i="42692" s="1"/>
  <c r="G623" i="42692"/>
  <c r="G648" i="42692" s="1"/>
  <c r="F623" i="42692"/>
  <c r="F648" i="42692" s="1"/>
  <c r="R648" i="42692" s="1"/>
  <c r="Q622" i="42692"/>
  <c r="Q647" i="42692" s="1"/>
  <c r="P622" i="42692"/>
  <c r="P647" i="42692" s="1"/>
  <c r="O622" i="42692"/>
  <c r="O647" i="42692" s="1"/>
  <c r="N622" i="42692"/>
  <c r="N647" i="42692" s="1"/>
  <c r="M622" i="42692"/>
  <c r="M647" i="42692" s="1"/>
  <c r="L622" i="42692"/>
  <c r="L647" i="42692" s="1"/>
  <c r="K622" i="42692"/>
  <c r="K647" i="42692" s="1"/>
  <c r="J622" i="42692"/>
  <c r="J647" i="42692" s="1"/>
  <c r="I622" i="42692"/>
  <c r="I647" i="42692" s="1"/>
  <c r="H622" i="42692"/>
  <c r="H647" i="42692" s="1"/>
  <c r="G622" i="42692"/>
  <c r="G647" i="42692" s="1"/>
  <c r="F622" i="42692"/>
  <c r="F647" i="42692" s="1"/>
  <c r="Q620" i="42692"/>
  <c r="Q645" i="42692" s="1"/>
  <c r="P620" i="42692"/>
  <c r="P645" i="42692" s="1"/>
  <c r="O620" i="42692"/>
  <c r="O645" i="42692" s="1"/>
  <c r="N620" i="42692"/>
  <c r="N645" i="42692" s="1"/>
  <c r="M620" i="42692"/>
  <c r="M645" i="42692" s="1"/>
  <c r="L620" i="42692"/>
  <c r="L645" i="42692" s="1"/>
  <c r="K620" i="42692"/>
  <c r="K645" i="42692" s="1"/>
  <c r="J620" i="42692"/>
  <c r="J645" i="42692" s="1"/>
  <c r="I620" i="42692"/>
  <c r="I645" i="42692" s="1"/>
  <c r="H620" i="42692"/>
  <c r="H645" i="42692" s="1"/>
  <c r="G620" i="42692"/>
  <c r="G645" i="42692" s="1"/>
  <c r="F620" i="42692"/>
  <c r="F645" i="42692" s="1"/>
  <c r="O616" i="42692"/>
  <c r="K616" i="42692"/>
  <c r="G616" i="42692"/>
  <c r="Q613" i="42692"/>
  <c r="Q888" i="42692" s="1"/>
  <c r="P613" i="42692"/>
  <c r="P616" i="42692" s="1"/>
  <c r="O613" i="42692"/>
  <c r="O888" i="42692" s="1"/>
  <c r="N613" i="42692"/>
  <c r="N616" i="42692" s="1"/>
  <c r="M613" i="42692"/>
  <c r="M888" i="42692" s="1"/>
  <c r="L613" i="42692"/>
  <c r="L616" i="42692" s="1"/>
  <c r="K613" i="42692"/>
  <c r="K888" i="42692" s="1"/>
  <c r="J613" i="42692"/>
  <c r="J616" i="42692" s="1"/>
  <c r="I613" i="42692"/>
  <c r="I888" i="42692" s="1"/>
  <c r="H613" i="42692"/>
  <c r="H616" i="42692" s="1"/>
  <c r="G613" i="42692"/>
  <c r="G888" i="42692" s="1"/>
  <c r="F613" i="42692"/>
  <c r="F616" i="42692" s="1"/>
  <c r="Q585" i="42692"/>
  <c r="Q585" i="42697" s="1"/>
  <c r="P585" i="42692"/>
  <c r="P585" i="42697" s="1"/>
  <c r="O585" i="42692"/>
  <c r="O585" i="42697" s="1"/>
  <c r="N585" i="42692"/>
  <c r="N585" i="42697" s="1"/>
  <c r="M585" i="42692"/>
  <c r="M585" i="42697" s="1"/>
  <c r="L585" i="42692"/>
  <c r="L585" i="42697" s="1"/>
  <c r="K585" i="42692"/>
  <c r="K585" i="42697" s="1"/>
  <c r="J585" i="42692"/>
  <c r="J585" i="42697" s="1"/>
  <c r="I585" i="42692"/>
  <c r="I585" i="42697" s="1"/>
  <c r="H585" i="42692"/>
  <c r="H585" i="42697" s="1"/>
  <c r="G585" i="42692"/>
  <c r="G585" i="42697" s="1"/>
  <c r="F585" i="42692"/>
  <c r="F585" i="42697" s="1"/>
  <c r="Q584" i="42692"/>
  <c r="Q584" i="42697" s="1"/>
  <c r="P584" i="42692"/>
  <c r="P584" i="42697" s="1"/>
  <c r="O584" i="42692"/>
  <c r="O584" i="42697" s="1"/>
  <c r="N584" i="42692"/>
  <c r="N584" i="42697" s="1"/>
  <c r="M584" i="42692"/>
  <c r="M584" i="42697" s="1"/>
  <c r="L584" i="42692"/>
  <c r="L584" i="42697" s="1"/>
  <c r="K584" i="42692"/>
  <c r="K584" i="42697" s="1"/>
  <c r="J584" i="42692"/>
  <c r="J584" i="42697" s="1"/>
  <c r="I584" i="42692"/>
  <c r="I584" i="42697" s="1"/>
  <c r="H584" i="42692"/>
  <c r="H584" i="42697" s="1"/>
  <c r="G584" i="42692"/>
  <c r="G584" i="42697" s="1"/>
  <c r="F584" i="42692"/>
  <c r="F584" i="42697" s="1"/>
  <c r="R584" i="42697" s="1"/>
  <c r="Q583" i="42692"/>
  <c r="Q583" i="42697" s="1"/>
  <c r="P583" i="42692"/>
  <c r="P583" i="42697" s="1"/>
  <c r="O583" i="42692"/>
  <c r="O583" i="42697" s="1"/>
  <c r="N583" i="42692"/>
  <c r="N583" i="42697" s="1"/>
  <c r="M583" i="42692"/>
  <c r="M583" i="42697" s="1"/>
  <c r="L583" i="42692"/>
  <c r="L583" i="42697" s="1"/>
  <c r="K583" i="42692"/>
  <c r="K583" i="42697" s="1"/>
  <c r="J583" i="42692"/>
  <c r="J583" i="42697" s="1"/>
  <c r="I583" i="42692"/>
  <c r="I583" i="42697" s="1"/>
  <c r="H583" i="42692"/>
  <c r="H583" i="42697" s="1"/>
  <c r="G583" i="42692"/>
  <c r="G583" i="42697" s="1"/>
  <c r="F583" i="42692"/>
  <c r="F583" i="42697" s="1"/>
  <c r="Q582" i="42692"/>
  <c r="Q582" i="42697" s="1"/>
  <c r="P582" i="42692"/>
  <c r="P582" i="42697" s="1"/>
  <c r="O582" i="42692"/>
  <c r="O582" i="42697" s="1"/>
  <c r="N582" i="42692"/>
  <c r="N582" i="42697" s="1"/>
  <c r="M582" i="42692"/>
  <c r="M582" i="42697" s="1"/>
  <c r="L582" i="42692"/>
  <c r="L582" i="42697" s="1"/>
  <c r="K582" i="42692"/>
  <c r="K582" i="42697" s="1"/>
  <c r="J582" i="42692"/>
  <c r="J582" i="42697" s="1"/>
  <c r="I582" i="42692"/>
  <c r="I582" i="42697" s="1"/>
  <c r="H582" i="42692"/>
  <c r="H582" i="42697" s="1"/>
  <c r="G582" i="42692"/>
  <c r="G582" i="42697" s="1"/>
  <c r="F582" i="42692"/>
  <c r="F582" i="42697" s="1"/>
  <c r="R582" i="42697" s="1"/>
  <c r="Q581" i="42692"/>
  <c r="Q581" i="42697" s="1"/>
  <c r="P581" i="42692"/>
  <c r="P581" i="42697" s="1"/>
  <c r="O581" i="42692"/>
  <c r="O581" i="42697" s="1"/>
  <c r="N581" i="42692"/>
  <c r="N581" i="42697" s="1"/>
  <c r="M581" i="42692"/>
  <c r="M581" i="42697" s="1"/>
  <c r="L581" i="42692"/>
  <c r="L581" i="42697" s="1"/>
  <c r="K581" i="42692"/>
  <c r="K581" i="42697" s="1"/>
  <c r="J581" i="42692"/>
  <c r="J581" i="42697" s="1"/>
  <c r="I581" i="42692"/>
  <c r="I581" i="42697" s="1"/>
  <c r="H581" i="42692"/>
  <c r="H581" i="42697" s="1"/>
  <c r="G581" i="42692"/>
  <c r="G581" i="42697" s="1"/>
  <c r="F581" i="42692"/>
  <c r="F581" i="42697" s="1"/>
  <c r="Q579" i="42692"/>
  <c r="Q816" i="42692" s="1"/>
  <c r="P579" i="42692"/>
  <c r="P816" i="42692" s="1"/>
  <c r="O579" i="42692"/>
  <c r="O816" i="42692" s="1"/>
  <c r="N579" i="42692"/>
  <c r="N816" i="42692" s="1"/>
  <c r="M579" i="42692"/>
  <c r="M816" i="42692" s="1"/>
  <c r="L579" i="42692"/>
  <c r="L816" i="42692" s="1"/>
  <c r="K579" i="42692"/>
  <c r="K816" i="42692" s="1"/>
  <c r="J579" i="42692"/>
  <c r="J816" i="42692" s="1"/>
  <c r="I579" i="42692"/>
  <c r="I816" i="42692" s="1"/>
  <c r="H579" i="42692"/>
  <c r="H816" i="42692" s="1"/>
  <c r="G579" i="42692"/>
  <c r="G816" i="42692" s="1"/>
  <c r="F579" i="42692"/>
  <c r="F816" i="42692" s="1"/>
  <c r="R816" i="42692" s="1"/>
  <c r="Q575" i="42692"/>
  <c r="P575" i="42692"/>
  <c r="O575" i="42692"/>
  <c r="N575" i="42692"/>
  <c r="M575" i="42692"/>
  <c r="L575" i="42692"/>
  <c r="K575" i="42692"/>
  <c r="J575" i="42692"/>
  <c r="I575" i="42692"/>
  <c r="H575" i="42692"/>
  <c r="G575" i="42692"/>
  <c r="F575" i="42692"/>
  <c r="Q574" i="42692"/>
  <c r="P574" i="42692"/>
  <c r="O574" i="42692"/>
  <c r="N574" i="42692"/>
  <c r="M574" i="42692"/>
  <c r="L574" i="42692"/>
  <c r="K574" i="42692"/>
  <c r="J574" i="42692"/>
  <c r="I574" i="42692"/>
  <c r="H574" i="42692"/>
  <c r="G574" i="42692"/>
  <c r="F574" i="42692"/>
  <c r="Q573" i="42692"/>
  <c r="P573" i="42692"/>
  <c r="O573" i="42692"/>
  <c r="N573" i="42692"/>
  <c r="M573" i="42692"/>
  <c r="L573" i="42692"/>
  <c r="K573" i="42692"/>
  <c r="J573" i="42692"/>
  <c r="I573" i="42692"/>
  <c r="H573" i="42692"/>
  <c r="G573" i="42692"/>
  <c r="F573" i="42692"/>
  <c r="Q572" i="42692"/>
  <c r="Q598" i="42692" s="1"/>
  <c r="P572" i="42692"/>
  <c r="P598" i="42692" s="1"/>
  <c r="O572" i="42692"/>
  <c r="O598" i="42692" s="1"/>
  <c r="N572" i="42692"/>
  <c r="N598" i="42692" s="1"/>
  <c r="M572" i="42692"/>
  <c r="M598" i="42692" s="1"/>
  <c r="L572" i="42692"/>
  <c r="L598" i="42692" s="1"/>
  <c r="K572" i="42692"/>
  <c r="K598" i="42692" s="1"/>
  <c r="J572" i="42692"/>
  <c r="J598" i="42692" s="1"/>
  <c r="I572" i="42692"/>
  <c r="I598" i="42692" s="1"/>
  <c r="H572" i="42692"/>
  <c r="H598" i="42692" s="1"/>
  <c r="G572" i="42692"/>
  <c r="G598" i="42692" s="1"/>
  <c r="F572" i="42692"/>
  <c r="F598" i="42692" s="1"/>
  <c r="R598" i="42692" s="1"/>
  <c r="Q571" i="42692"/>
  <c r="Q597" i="42692" s="1"/>
  <c r="P571" i="42692"/>
  <c r="P597" i="42692" s="1"/>
  <c r="O571" i="42692"/>
  <c r="O597" i="42692" s="1"/>
  <c r="N571" i="42692"/>
  <c r="N597" i="42692" s="1"/>
  <c r="M571" i="42692"/>
  <c r="M597" i="42692" s="1"/>
  <c r="L571" i="42692"/>
  <c r="L597" i="42692" s="1"/>
  <c r="K571" i="42692"/>
  <c r="K597" i="42692" s="1"/>
  <c r="J571" i="42692"/>
  <c r="J597" i="42692" s="1"/>
  <c r="I571" i="42692"/>
  <c r="I597" i="42692" s="1"/>
  <c r="H571" i="42692"/>
  <c r="H597" i="42692" s="1"/>
  <c r="G571" i="42692"/>
  <c r="G597" i="42692" s="1"/>
  <c r="F571" i="42692"/>
  <c r="F597" i="42692" s="1"/>
  <c r="R597" i="42692" s="1"/>
  <c r="Q570" i="42692"/>
  <c r="Q596" i="42692" s="1"/>
  <c r="P570" i="42692"/>
  <c r="P596" i="42692" s="1"/>
  <c r="O570" i="42692"/>
  <c r="O596" i="42692" s="1"/>
  <c r="N570" i="42692"/>
  <c r="N596" i="42692" s="1"/>
  <c r="M570" i="42692"/>
  <c r="M596" i="42692" s="1"/>
  <c r="L570" i="42692"/>
  <c r="L596" i="42692" s="1"/>
  <c r="K570" i="42692"/>
  <c r="K596" i="42692" s="1"/>
  <c r="J570" i="42692"/>
  <c r="J596" i="42692" s="1"/>
  <c r="I570" i="42692"/>
  <c r="I596" i="42692" s="1"/>
  <c r="H570" i="42692"/>
  <c r="H596" i="42692" s="1"/>
  <c r="G570" i="42692"/>
  <c r="G596" i="42692" s="1"/>
  <c r="F570" i="42692"/>
  <c r="F596" i="42692" s="1"/>
  <c r="R596" i="42692" s="1"/>
  <c r="Q569" i="42692"/>
  <c r="Q595" i="42692" s="1"/>
  <c r="P569" i="42692"/>
  <c r="P595" i="42692" s="1"/>
  <c r="O569" i="42692"/>
  <c r="O595" i="42692" s="1"/>
  <c r="N569" i="42692"/>
  <c r="N595" i="42692" s="1"/>
  <c r="M569" i="42692"/>
  <c r="M595" i="42692" s="1"/>
  <c r="L569" i="42692"/>
  <c r="L595" i="42692" s="1"/>
  <c r="K569" i="42692"/>
  <c r="K595" i="42692" s="1"/>
  <c r="J569" i="42692"/>
  <c r="J595" i="42692" s="1"/>
  <c r="I569" i="42692"/>
  <c r="I595" i="42692" s="1"/>
  <c r="H569" i="42692"/>
  <c r="H595" i="42692" s="1"/>
  <c r="G569" i="42692"/>
  <c r="G595" i="42692" s="1"/>
  <c r="F569" i="42692"/>
  <c r="F595" i="42692" s="1"/>
  <c r="R595" i="42692" s="1"/>
  <c r="Q568" i="42692"/>
  <c r="Q594" i="42692" s="1"/>
  <c r="P568" i="42692"/>
  <c r="P594" i="42692" s="1"/>
  <c r="O568" i="42692"/>
  <c r="O594" i="42692" s="1"/>
  <c r="N568" i="42692"/>
  <c r="N594" i="42692" s="1"/>
  <c r="M568" i="42692"/>
  <c r="M594" i="42692" s="1"/>
  <c r="L568" i="42692"/>
  <c r="L594" i="42692" s="1"/>
  <c r="K568" i="42692"/>
  <c r="K594" i="42692" s="1"/>
  <c r="J568" i="42692"/>
  <c r="J594" i="42692" s="1"/>
  <c r="I568" i="42692"/>
  <c r="I594" i="42692" s="1"/>
  <c r="H568" i="42692"/>
  <c r="H594" i="42692" s="1"/>
  <c r="G568" i="42692"/>
  <c r="G594" i="42692" s="1"/>
  <c r="F568" i="42692"/>
  <c r="F594" i="42692" s="1"/>
  <c r="Q566" i="42692"/>
  <c r="Q592" i="42692" s="1"/>
  <c r="P566" i="42692"/>
  <c r="P592" i="42692" s="1"/>
  <c r="O566" i="42692"/>
  <c r="O592" i="42692" s="1"/>
  <c r="N566" i="42692"/>
  <c r="N592" i="42692" s="1"/>
  <c r="M566" i="42692"/>
  <c r="M592" i="42692" s="1"/>
  <c r="L566" i="42692"/>
  <c r="L592" i="42692" s="1"/>
  <c r="K566" i="42692"/>
  <c r="K592" i="42692" s="1"/>
  <c r="J566" i="42692"/>
  <c r="J592" i="42692" s="1"/>
  <c r="I566" i="42692"/>
  <c r="I592" i="42692" s="1"/>
  <c r="H566" i="42692"/>
  <c r="H592" i="42692" s="1"/>
  <c r="G566" i="42692"/>
  <c r="G592" i="42692" s="1"/>
  <c r="F566" i="42692"/>
  <c r="F592" i="42692" s="1"/>
  <c r="Q545" i="42692"/>
  <c r="Q545" i="42697" s="1"/>
  <c r="P545" i="42692"/>
  <c r="P545" i="42697" s="1"/>
  <c r="O545" i="42692"/>
  <c r="O545" i="42697" s="1"/>
  <c r="N545" i="42692"/>
  <c r="N545" i="42697" s="1"/>
  <c r="M545" i="42692"/>
  <c r="M545" i="42697" s="1"/>
  <c r="L545" i="42692"/>
  <c r="L545" i="42697" s="1"/>
  <c r="K545" i="42692"/>
  <c r="K545" i="42697" s="1"/>
  <c r="J545" i="42692"/>
  <c r="J545" i="42697" s="1"/>
  <c r="I545" i="42692"/>
  <c r="I545" i="42697" s="1"/>
  <c r="H545" i="42692"/>
  <c r="H545" i="42697" s="1"/>
  <c r="G545" i="42692"/>
  <c r="G545" i="42697" s="1"/>
  <c r="F545" i="42692"/>
  <c r="F545" i="42697" s="1"/>
  <c r="Q543" i="42692"/>
  <c r="Q815" i="42692" s="1"/>
  <c r="Q833" i="42692" s="1"/>
  <c r="P543" i="42692"/>
  <c r="P552" i="42692" s="1"/>
  <c r="O543" i="42692"/>
  <c r="O815" i="42692" s="1"/>
  <c r="O833" i="42692" s="1"/>
  <c r="N543" i="42692"/>
  <c r="N552" i="42692" s="1"/>
  <c r="M543" i="42692"/>
  <c r="M815" i="42692" s="1"/>
  <c r="M833" i="42692" s="1"/>
  <c r="L543" i="42692"/>
  <c r="L552" i="42692" s="1"/>
  <c r="K543" i="42692"/>
  <c r="K815" i="42692" s="1"/>
  <c r="K833" i="42692" s="1"/>
  <c r="J543" i="42692"/>
  <c r="J552" i="42692" s="1"/>
  <c r="I543" i="42692"/>
  <c r="I815" i="42692" s="1"/>
  <c r="I833" i="42692" s="1"/>
  <c r="H543" i="42692"/>
  <c r="H552" i="42692" s="1"/>
  <c r="G543" i="42692"/>
  <c r="G815" i="42692" s="1"/>
  <c r="G833" i="42692" s="1"/>
  <c r="F543" i="42692"/>
  <c r="F552" i="42692" s="1"/>
  <c r="Q512" i="42692"/>
  <c r="Q512" i="42697" s="1"/>
  <c r="P512" i="42692"/>
  <c r="P512" i="42697" s="1"/>
  <c r="O512" i="42692"/>
  <c r="O512" i="42697" s="1"/>
  <c r="N512" i="42692"/>
  <c r="N512" i="42697" s="1"/>
  <c r="M512" i="42692"/>
  <c r="M512" i="42697" s="1"/>
  <c r="L512" i="42692"/>
  <c r="L512" i="42697" s="1"/>
  <c r="K512" i="42692"/>
  <c r="K512" i="42697" s="1"/>
  <c r="J512" i="42692"/>
  <c r="J512" i="42697" s="1"/>
  <c r="I512" i="42692"/>
  <c r="I512" i="42697" s="1"/>
  <c r="H512" i="42692"/>
  <c r="H512" i="42697" s="1"/>
  <c r="G512" i="42692"/>
  <c r="G512" i="42697" s="1"/>
  <c r="F512" i="42692"/>
  <c r="F512" i="42697" s="1"/>
  <c r="R512" i="42697" s="1"/>
  <c r="Q511" i="42692"/>
  <c r="Q511" i="42697" s="1"/>
  <c r="P511" i="42692"/>
  <c r="P511" i="42697" s="1"/>
  <c r="O511" i="42692"/>
  <c r="O511" i="42697" s="1"/>
  <c r="N511" i="42692"/>
  <c r="N511" i="42697" s="1"/>
  <c r="M511" i="42692"/>
  <c r="M511" i="42697" s="1"/>
  <c r="L511" i="42692"/>
  <c r="L511" i="42697" s="1"/>
  <c r="K511" i="42692"/>
  <c r="K511" i="42697" s="1"/>
  <c r="J511" i="42692"/>
  <c r="J511" i="42697" s="1"/>
  <c r="I511" i="42692"/>
  <c r="I511" i="42697" s="1"/>
  <c r="H511" i="42692"/>
  <c r="H511" i="42697" s="1"/>
  <c r="G511" i="42692"/>
  <c r="G511" i="42697" s="1"/>
  <c r="F511" i="42692"/>
  <c r="F511" i="42697" s="1"/>
  <c r="Q509" i="42692"/>
  <c r="Q814" i="42692" s="1"/>
  <c r="P509" i="42692"/>
  <c r="P814" i="42692" s="1"/>
  <c r="O509" i="42692"/>
  <c r="O814" i="42692" s="1"/>
  <c r="N509" i="42692"/>
  <c r="N814" i="42692" s="1"/>
  <c r="M509" i="42692"/>
  <c r="M814" i="42692" s="1"/>
  <c r="L509" i="42692"/>
  <c r="L814" i="42692" s="1"/>
  <c r="K509" i="42692"/>
  <c r="K814" i="42692" s="1"/>
  <c r="J509" i="42692"/>
  <c r="J814" i="42692" s="1"/>
  <c r="I509" i="42692"/>
  <c r="I814" i="42692" s="1"/>
  <c r="H509" i="42692"/>
  <c r="H814" i="42692" s="1"/>
  <c r="G509" i="42692"/>
  <c r="G814" i="42692" s="1"/>
  <c r="F509" i="42692"/>
  <c r="F814" i="42692" s="1"/>
  <c r="R814" i="42692" s="1"/>
  <c r="Q505" i="42692"/>
  <c r="P505" i="42692"/>
  <c r="O505" i="42692"/>
  <c r="N505" i="42692"/>
  <c r="M505" i="42692"/>
  <c r="L505" i="42692"/>
  <c r="K505" i="42692"/>
  <c r="J505" i="42692"/>
  <c r="I505" i="42692"/>
  <c r="H505" i="42692"/>
  <c r="G505" i="42692"/>
  <c r="F505" i="42692"/>
  <c r="Q504" i="42692"/>
  <c r="P504" i="42692"/>
  <c r="O504" i="42692"/>
  <c r="N504" i="42692"/>
  <c r="M504" i="42692"/>
  <c r="L504" i="42692"/>
  <c r="K504" i="42692"/>
  <c r="J504" i="42692"/>
  <c r="I504" i="42692"/>
  <c r="H504" i="42692"/>
  <c r="G504" i="42692"/>
  <c r="F504" i="42692"/>
  <c r="Q503" i="42692"/>
  <c r="P503" i="42692"/>
  <c r="O503" i="42692"/>
  <c r="N503" i="42692"/>
  <c r="M503" i="42692"/>
  <c r="L503" i="42692"/>
  <c r="K503" i="42692"/>
  <c r="J503" i="42692"/>
  <c r="I503" i="42692"/>
  <c r="H503" i="42692"/>
  <c r="G503" i="42692"/>
  <c r="F503" i="42692"/>
  <c r="Q502" i="42692"/>
  <c r="Q522" i="42692" s="1"/>
  <c r="P502" i="42692"/>
  <c r="P522" i="42692" s="1"/>
  <c r="O502" i="42692"/>
  <c r="O522" i="42692" s="1"/>
  <c r="N502" i="42692"/>
  <c r="N522" i="42692" s="1"/>
  <c r="M502" i="42692"/>
  <c r="M522" i="42692" s="1"/>
  <c r="L502" i="42692"/>
  <c r="L522" i="42692" s="1"/>
  <c r="K502" i="42692"/>
  <c r="K522" i="42692" s="1"/>
  <c r="J502" i="42692"/>
  <c r="J522" i="42692" s="1"/>
  <c r="I502" i="42692"/>
  <c r="I522" i="42692" s="1"/>
  <c r="H502" i="42692"/>
  <c r="H522" i="42692" s="1"/>
  <c r="G502" i="42692"/>
  <c r="G522" i="42692" s="1"/>
  <c r="F502" i="42692"/>
  <c r="F522" i="42692" s="1"/>
  <c r="R522" i="42692" s="1"/>
  <c r="Q501" i="42692"/>
  <c r="Q521" i="42692" s="1"/>
  <c r="P501" i="42692"/>
  <c r="P521" i="42692" s="1"/>
  <c r="O501" i="42692"/>
  <c r="O521" i="42692" s="1"/>
  <c r="N501" i="42692"/>
  <c r="N521" i="42692" s="1"/>
  <c r="M501" i="42692"/>
  <c r="M521" i="42692" s="1"/>
  <c r="L501" i="42692"/>
  <c r="L521" i="42692" s="1"/>
  <c r="K501" i="42692"/>
  <c r="K521" i="42692" s="1"/>
  <c r="J501" i="42692"/>
  <c r="J521" i="42692" s="1"/>
  <c r="I501" i="42692"/>
  <c r="I521" i="42692" s="1"/>
  <c r="H501" i="42692"/>
  <c r="H521" i="42692" s="1"/>
  <c r="G501" i="42692"/>
  <c r="G521" i="42692" s="1"/>
  <c r="F501" i="42692"/>
  <c r="F521" i="42692" s="1"/>
  <c r="Q499" i="42692"/>
  <c r="Q519" i="42692" s="1"/>
  <c r="P499" i="42692"/>
  <c r="P519" i="42692" s="1"/>
  <c r="O499" i="42692"/>
  <c r="O519" i="42692" s="1"/>
  <c r="N499" i="42692"/>
  <c r="N519" i="42692" s="1"/>
  <c r="M499" i="42692"/>
  <c r="M519" i="42692" s="1"/>
  <c r="L499" i="42692"/>
  <c r="L519" i="42692" s="1"/>
  <c r="K499" i="42692"/>
  <c r="K519" i="42692" s="1"/>
  <c r="J499" i="42692"/>
  <c r="J519" i="42692" s="1"/>
  <c r="I499" i="42692"/>
  <c r="I519" i="42692" s="1"/>
  <c r="H499" i="42692"/>
  <c r="H519" i="42692" s="1"/>
  <c r="G499" i="42692"/>
  <c r="G519" i="42692" s="1"/>
  <c r="F499" i="42692"/>
  <c r="F519" i="42692" s="1"/>
  <c r="R485" i="42692"/>
  <c r="Q476" i="42692"/>
  <c r="Q476" i="42697" s="1"/>
  <c r="P476" i="42692"/>
  <c r="P476" i="42697" s="1"/>
  <c r="O476" i="42692"/>
  <c r="O476" i="42697" s="1"/>
  <c r="N476" i="42692"/>
  <c r="N476" i="42697" s="1"/>
  <c r="M476" i="42692"/>
  <c r="M476" i="42697" s="1"/>
  <c r="L476" i="42692"/>
  <c r="L476" i="42697" s="1"/>
  <c r="K476" i="42692"/>
  <c r="K476" i="42697" s="1"/>
  <c r="J476" i="42692"/>
  <c r="J476" i="42697" s="1"/>
  <c r="I476" i="42692"/>
  <c r="I476" i="42697" s="1"/>
  <c r="H476" i="42692"/>
  <c r="H476" i="42697" s="1"/>
  <c r="G476" i="42692"/>
  <c r="G476" i="42697" s="1"/>
  <c r="F476" i="42692"/>
  <c r="F476" i="42697" s="1"/>
  <c r="Q475" i="42692"/>
  <c r="Q475" i="42697" s="1"/>
  <c r="P475" i="42692"/>
  <c r="P475" i="42697" s="1"/>
  <c r="O475" i="42692"/>
  <c r="O475" i="42697" s="1"/>
  <c r="N475" i="42692"/>
  <c r="N475" i="42697" s="1"/>
  <c r="M475" i="42692"/>
  <c r="M475" i="42697" s="1"/>
  <c r="L475" i="42692"/>
  <c r="L475" i="42697" s="1"/>
  <c r="K475" i="42692"/>
  <c r="K475" i="42697" s="1"/>
  <c r="J475" i="42692"/>
  <c r="J475" i="42697" s="1"/>
  <c r="I475" i="42692"/>
  <c r="I475" i="42697" s="1"/>
  <c r="H475" i="42692"/>
  <c r="H475" i="42697" s="1"/>
  <c r="G475" i="42692"/>
  <c r="G475" i="42697" s="1"/>
  <c r="F475" i="42692"/>
  <c r="F475" i="42697" s="1"/>
  <c r="Q473" i="42692"/>
  <c r="Q813" i="42692" s="1"/>
  <c r="P473" i="42692"/>
  <c r="P813" i="42692" s="1"/>
  <c r="O473" i="42692"/>
  <c r="O813" i="42692" s="1"/>
  <c r="N473" i="42692"/>
  <c r="N813" i="42692" s="1"/>
  <c r="M473" i="42692"/>
  <c r="M813" i="42692" s="1"/>
  <c r="L473" i="42692"/>
  <c r="L813" i="42692" s="1"/>
  <c r="K473" i="42692"/>
  <c r="K813" i="42692" s="1"/>
  <c r="J473" i="42692"/>
  <c r="J813" i="42692" s="1"/>
  <c r="I473" i="42692"/>
  <c r="I813" i="42692" s="1"/>
  <c r="H473" i="42692"/>
  <c r="H813" i="42692" s="1"/>
  <c r="G473" i="42692"/>
  <c r="G813" i="42692" s="1"/>
  <c r="F473" i="42692"/>
  <c r="F813" i="42692" s="1"/>
  <c r="Q470" i="42692"/>
  <c r="P470" i="42692"/>
  <c r="O470" i="42692"/>
  <c r="N470" i="42692"/>
  <c r="M470" i="42692"/>
  <c r="L470" i="42692"/>
  <c r="K470" i="42692"/>
  <c r="J470" i="42692"/>
  <c r="I470" i="42692"/>
  <c r="H470" i="42692"/>
  <c r="G470" i="42692"/>
  <c r="F470" i="42692"/>
  <c r="Q469" i="42692"/>
  <c r="P469" i="42692"/>
  <c r="O469" i="42692"/>
  <c r="N469" i="42692"/>
  <c r="M469" i="42692"/>
  <c r="L469" i="42692"/>
  <c r="K469" i="42692"/>
  <c r="J469" i="42692"/>
  <c r="I469" i="42692"/>
  <c r="H469" i="42692"/>
  <c r="G469" i="42692"/>
  <c r="F469" i="42692"/>
  <c r="Q468" i="42692"/>
  <c r="P468" i="42692"/>
  <c r="O468" i="42692"/>
  <c r="N468" i="42692"/>
  <c r="M468" i="42692"/>
  <c r="L468" i="42692"/>
  <c r="K468" i="42692"/>
  <c r="J468" i="42692"/>
  <c r="I468" i="42692"/>
  <c r="H468" i="42692"/>
  <c r="G468" i="42692"/>
  <c r="F468" i="42692"/>
  <c r="Q467" i="42692"/>
  <c r="P467" i="42692"/>
  <c r="O467" i="42692"/>
  <c r="N467" i="42692"/>
  <c r="M467" i="42692"/>
  <c r="L467" i="42692"/>
  <c r="K467" i="42692"/>
  <c r="J467" i="42692"/>
  <c r="I467" i="42692"/>
  <c r="H467" i="42692"/>
  <c r="G467" i="42692"/>
  <c r="F467" i="42692"/>
  <c r="Q466" i="42692"/>
  <c r="P466" i="42692"/>
  <c r="O466" i="42692"/>
  <c r="N466" i="42692"/>
  <c r="M466" i="42692"/>
  <c r="L466" i="42692"/>
  <c r="K466" i="42692"/>
  <c r="J466" i="42692"/>
  <c r="I466" i="42692"/>
  <c r="H466" i="42692"/>
  <c r="G466" i="42692"/>
  <c r="F466" i="42692"/>
  <c r="Q465" i="42692"/>
  <c r="Q486" i="42692" s="1"/>
  <c r="P465" i="42692"/>
  <c r="P486" i="42692" s="1"/>
  <c r="O465" i="42692"/>
  <c r="O486" i="42692" s="1"/>
  <c r="N465" i="42692"/>
  <c r="N486" i="42692" s="1"/>
  <c r="M465" i="42692"/>
  <c r="M486" i="42692" s="1"/>
  <c r="L465" i="42692"/>
  <c r="L486" i="42692" s="1"/>
  <c r="K465" i="42692"/>
  <c r="K486" i="42692" s="1"/>
  <c r="J465" i="42692"/>
  <c r="J486" i="42692" s="1"/>
  <c r="I465" i="42692"/>
  <c r="I486" i="42692" s="1"/>
  <c r="H465" i="42692"/>
  <c r="H486" i="42692" s="1"/>
  <c r="G465" i="42692"/>
  <c r="G486" i="42692" s="1"/>
  <c r="F465" i="42692"/>
  <c r="F486" i="42692" s="1"/>
  <c r="Q463" i="42692"/>
  <c r="Q483" i="42692" s="1"/>
  <c r="P463" i="42692"/>
  <c r="P483" i="42692" s="1"/>
  <c r="O463" i="42692"/>
  <c r="O483" i="42692" s="1"/>
  <c r="N463" i="42692"/>
  <c r="N483" i="42692" s="1"/>
  <c r="M463" i="42692"/>
  <c r="M483" i="42692" s="1"/>
  <c r="L463" i="42692"/>
  <c r="L483" i="42692" s="1"/>
  <c r="K463" i="42692"/>
  <c r="K483" i="42692" s="1"/>
  <c r="J463" i="42692"/>
  <c r="J483" i="42692" s="1"/>
  <c r="I463" i="42692"/>
  <c r="I483" i="42692" s="1"/>
  <c r="H463" i="42692"/>
  <c r="H483" i="42692" s="1"/>
  <c r="G463" i="42692"/>
  <c r="G483" i="42692" s="1"/>
  <c r="F463" i="42692"/>
  <c r="F483" i="42692" s="1"/>
  <c r="R446" i="42692"/>
  <c r="Q437" i="42692"/>
  <c r="Q437" i="42697" s="1"/>
  <c r="P437" i="42692"/>
  <c r="P437" i="42697" s="1"/>
  <c r="O437" i="42692"/>
  <c r="O437" i="42697" s="1"/>
  <c r="N437" i="42692"/>
  <c r="N437" i="42697" s="1"/>
  <c r="M437" i="42692"/>
  <c r="M437" i="42697" s="1"/>
  <c r="L437" i="42692"/>
  <c r="L437" i="42697" s="1"/>
  <c r="K437" i="42692"/>
  <c r="K437" i="42697" s="1"/>
  <c r="J437" i="42692"/>
  <c r="J437" i="42697" s="1"/>
  <c r="I437" i="42692"/>
  <c r="I437" i="42697" s="1"/>
  <c r="H437" i="42692"/>
  <c r="H437" i="42697" s="1"/>
  <c r="G437" i="42692"/>
  <c r="G437" i="42697" s="1"/>
  <c r="F437" i="42692"/>
  <c r="F437" i="42697" s="1"/>
  <c r="Q436" i="42692"/>
  <c r="Q436" i="42697" s="1"/>
  <c r="P436" i="42692"/>
  <c r="P436" i="42697" s="1"/>
  <c r="O436" i="42692"/>
  <c r="O436" i="42697" s="1"/>
  <c r="N436" i="42692"/>
  <c r="N436" i="42697" s="1"/>
  <c r="M436" i="42692"/>
  <c r="M436" i="42697" s="1"/>
  <c r="L436" i="42692"/>
  <c r="L436" i="42697" s="1"/>
  <c r="K436" i="42692"/>
  <c r="K436" i="42697" s="1"/>
  <c r="J436" i="42692"/>
  <c r="J436" i="42697" s="1"/>
  <c r="I436" i="42692"/>
  <c r="I436" i="42697" s="1"/>
  <c r="H436" i="42692"/>
  <c r="H436" i="42697" s="1"/>
  <c r="G436" i="42692"/>
  <c r="G436" i="42697" s="1"/>
  <c r="F436" i="42692"/>
  <c r="F436" i="42697" s="1"/>
  <c r="R436" i="42697" s="1"/>
  <c r="Q434" i="42692"/>
  <c r="P434" i="42692"/>
  <c r="P812" i="42692" s="1"/>
  <c r="O434" i="42692"/>
  <c r="N434" i="42692"/>
  <c r="N812" i="42692" s="1"/>
  <c r="M434" i="42692"/>
  <c r="L434" i="42692"/>
  <c r="L812" i="42692" s="1"/>
  <c r="K434" i="42692"/>
  <c r="J434" i="42692"/>
  <c r="J812" i="42692" s="1"/>
  <c r="I434" i="42692"/>
  <c r="H434" i="42692"/>
  <c r="H812" i="42692" s="1"/>
  <c r="G434" i="42692"/>
  <c r="F434" i="42692"/>
  <c r="F812" i="42692" s="1"/>
  <c r="Q431" i="42692"/>
  <c r="P431" i="42692"/>
  <c r="O431" i="42692"/>
  <c r="N431" i="42692"/>
  <c r="M431" i="42692"/>
  <c r="L431" i="42692"/>
  <c r="K431" i="42692"/>
  <c r="J431" i="42692"/>
  <c r="I431" i="42692"/>
  <c r="H431" i="42692"/>
  <c r="G431" i="42692"/>
  <c r="F431" i="42692"/>
  <c r="Q429" i="42692"/>
  <c r="P429" i="42692"/>
  <c r="O429" i="42692"/>
  <c r="N429" i="42692"/>
  <c r="M429" i="42692"/>
  <c r="L429" i="42692"/>
  <c r="K429" i="42692"/>
  <c r="J429" i="42692"/>
  <c r="I429" i="42692"/>
  <c r="H429" i="42692"/>
  <c r="G429" i="42692"/>
  <c r="F429" i="42692"/>
  <c r="Q428" i="42692"/>
  <c r="P428" i="42692"/>
  <c r="O428" i="42692"/>
  <c r="N428" i="42692"/>
  <c r="M428" i="42692"/>
  <c r="L428" i="42692"/>
  <c r="K428" i="42692"/>
  <c r="J428" i="42692"/>
  <c r="I428" i="42692"/>
  <c r="H428" i="42692"/>
  <c r="G428" i="42692"/>
  <c r="F428" i="42692"/>
  <c r="Q427" i="42692"/>
  <c r="P427" i="42692"/>
  <c r="O427" i="42692"/>
  <c r="N427" i="42692"/>
  <c r="M427" i="42692"/>
  <c r="L427" i="42692"/>
  <c r="K427" i="42692"/>
  <c r="J427" i="42692"/>
  <c r="I427" i="42692"/>
  <c r="H427" i="42692"/>
  <c r="G427" i="42692"/>
  <c r="F427" i="42692"/>
  <c r="Q424" i="42692"/>
  <c r="P424" i="42692"/>
  <c r="O424" i="42692"/>
  <c r="N424" i="42692"/>
  <c r="M424" i="42692"/>
  <c r="L424" i="42692"/>
  <c r="K424" i="42692"/>
  <c r="J424" i="42692"/>
  <c r="I424" i="42692"/>
  <c r="H424" i="42692"/>
  <c r="G424" i="42692"/>
  <c r="F424" i="42692"/>
  <c r="Q423" i="42692"/>
  <c r="Q447" i="42692" s="1"/>
  <c r="P423" i="42692"/>
  <c r="P447" i="42692" s="1"/>
  <c r="O423" i="42692"/>
  <c r="O447" i="42692" s="1"/>
  <c r="N423" i="42692"/>
  <c r="N447" i="42692" s="1"/>
  <c r="M423" i="42692"/>
  <c r="M447" i="42692" s="1"/>
  <c r="L423" i="42692"/>
  <c r="L447" i="42692" s="1"/>
  <c r="K423" i="42692"/>
  <c r="K447" i="42692" s="1"/>
  <c r="J423" i="42692"/>
  <c r="J447" i="42692" s="1"/>
  <c r="I423" i="42692"/>
  <c r="I447" i="42692" s="1"/>
  <c r="H423" i="42692"/>
  <c r="H447" i="42692" s="1"/>
  <c r="G423" i="42692"/>
  <c r="G447" i="42692" s="1"/>
  <c r="F423" i="42692"/>
  <c r="F447" i="42692" s="1"/>
  <c r="Q421" i="42692"/>
  <c r="Q444" i="42692" s="1"/>
  <c r="P421" i="42692"/>
  <c r="P444" i="42692" s="1"/>
  <c r="O421" i="42692"/>
  <c r="O444" i="42692" s="1"/>
  <c r="N421" i="42692"/>
  <c r="N444" i="42692" s="1"/>
  <c r="M421" i="42692"/>
  <c r="M444" i="42692" s="1"/>
  <c r="L421" i="42692"/>
  <c r="L444" i="42692" s="1"/>
  <c r="K421" i="42692"/>
  <c r="K444" i="42692" s="1"/>
  <c r="J421" i="42692"/>
  <c r="J444" i="42692" s="1"/>
  <c r="I421" i="42692"/>
  <c r="I444" i="42692" s="1"/>
  <c r="H421" i="42692"/>
  <c r="H444" i="42692" s="1"/>
  <c r="G421" i="42692"/>
  <c r="G444" i="42692" s="1"/>
  <c r="F421" i="42692"/>
  <c r="F444" i="42692" s="1"/>
  <c r="Q408" i="42692"/>
  <c r="Q811" i="42692" s="1"/>
  <c r="P408" i="42692"/>
  <c r="P811" i="42692" s="1"/>
  <c r="O408" i="42692"/>
  <c r="O811" i="42692" s="1"/>
  <c r="N408" i="42692"/>
  <c r="N811" i="42692" s="1"/>
  <c r="M408" i="42692"/>
  <c r="M811" i="42692" s="1"/>
  <c r="L408" i="42692"/>
  <c r="L811" i="42692" s="1"/>
  <c r="K408" i="42692"/>
  <c r="K811" i="42692" s="1"/>
  <c r="J408" i="42692"/>
  <c r="J811" i="42692" s="1"/>
  <c r="I408" i="42692"/>
  <c r="I811" i="42692" s="1"/>
  <c r="H408" i="42692"/>
  <c r="H811" i="42692" s="1"/>
  <c r="G408" i="42692"/>
  <c r="G811" i="42692" s="1"/>
  <c r="F408" i="42692"/>
  <c r="F811" i="42692" s="1"/>
  <c r="R811" i="42692" s="1"/>
  <c r="Q403" i="42692"/>
  <c r="P403" i="42692"/>
  <c r="O403" i="42692"/>
  <c r="N403" i="42692"/>
  <c r="M403" i="42692"/>
  <c r="L403" i="42692"/>
  <c r="K403" i="42692"/>
  <c r="J403" i="42692"/>
  <c r="I403" i="42692"/>
  <c r="H403" i="42692"/>
  <c r="G403" i="42692"/>
  <c r="F403" i="42692"/>
  <c r="Q402" i="42692"/>
  <c r="Q412" i="42692" s="1"/>
  <c r="P402" i="42692"/>
  <c r="P412" i="42692" s="1"/>
  <c r="O402" i="42692"/>
  <c r="O412" i="42692" s="1"/>
  <c r="N402" i="42692"/>
  <c r="N412" i="42692" s="1"/>
  <c r="M402" i="42692"/>
  <c r="M412" i="42692" s="1"/>
  <c r="L402" i="42692"/>
  <c r="L412" i="42692" s="1"/>
  <c r="K402" i="42692"/>
  <c r="K412" i="42692" s="1"/>
  <c r="J402" i="42692"/>
  <c r="J412" i="42692" s="1"/>
  <c r="I402" i="42692"/>
  <c r="I412" i="42692" s="1"/>
  <c r="H402" i="42692"/>
  <c r="H412" i="42692" s="1"/>
  <c r="G402" i="42692"/>
  <c r="G412" i="42692" s="1"/>
  <c r="F402" i="42692"/>
  <c r="F412" i="42692" s="1"/>
  <c r="Q372" i="42692"/>
  <c r="Q372" i="42697" s="1"/>
  <c r="P372" i="42692"/>
  <c r="P372" i="42697" s="1"/>
  <c r="O372" i="42692"/>
  <c r="O372" i="42697" s="1"/>
  <c r="N372" i="42692"/>
  <c r="N372" i="42697" s="1"/>
  <c r="M372" i="42692"/>
  <c r="M372" i="42697" s="1"/>
  <c r="L372" i="42692"/>
  <c r="L372" i="42697" s="1"/>
  <c r="K372" i="42692"/>
  <c r="K372" i="42697" s="1"/>
  <c r="J372" i="42692"/>
  <c r="J372" i="42697" s="1"/>
  <c r="I372" i="42692"/>
  <c r="I372" i="42697" s="1"/>
  <c r="H372" i="42692"/>
  <c r="H372" i="42697" s="1"/>
  <c r="G372" i="42692"/>
  <c r="G372" i="42697" s="1"/>
  <c r="F372" i="42692"/>
  <c r="F372" i="42697" s="1"/>
  <c r="Q371" i="42692"/>
  <c r="Q371" i="42697" s="1"/>
  <c r="P371" i="42692"/>
  <c r="P371" i="42697" s="1"/>
  <c r="O371" i="42692"/>
  <c r="O371" i="42697" s="1"/>
  <c r="N371" i="42692"/>
  <c r="N371" i="42697" s="1"/>
  <c r="M371" i="42692"/>
  <c r="M371" i="42697" s="1"/>
  <c r="L371" i="42692"/>
  <c r="L371" i="42697" s="1"/>
  <c r="K371" i="42692"/>
  <c r="K371" i="42697" s="1"/>
  <c r="J371" i="42692"/>
  <c r="J371" i="42697" s="1"/>
  <c r="I371" i="42692"/>
  <c r="I371" i="42697" s="1"/>
  <c r="H371" i="42692"/>
  <c r="H371" i="42697" s="1"/>
  <c r="G371" i="42692"/>
  <c r="G371" i="42697" s="1"/>
  <c r="F371" i="42692"/>
  <c r="F371" i="42697" s="1"/>
  <c r="R371" i="42697" s="1"/>
  <c r="Q370" i="42692"/>
  <c r="Q370" i="42697" s="1"/>
  <c r="P370" i="42692"/>
  <c r="P370" i="42697" s="1"/>
  <c r="O370" i="42692"/>
  <c r="O370" i="42697" s="1"/>
  <c r="N370" i="42692"/>
  <c r="N370" i="42697" s="1"/>
  <c r="M370" i="42692"/>
  <c r="M370" i="42697" s="1"/>
  <c r="L370" i="42692"/>
  <c r="L370" i="42697" s="1"/>
  <c r="K370" i="42692"/>
  <c r="K370" i="42697" s="1"/>
  <c r="J370" i="42692"/>
  <c r="J370" i="42697" s="1"/>
  <c r="I370" i="42692"/>
  <c r="I370" i="42697" s="1"/>
  <c r="H370" i="42692"/>
  <c r="H370" i="42697" s="1"/>
  <c r="G370" i="42692"/>
  <c r="G370" i="42697" s="1"/>
  <c r="F370" i="42692"/>
  <c r="F370" i="42697" s="1"/>
  <c r="Q369" i="42692"/>
  <c r="Q369" i="42697" s="1"/>
  <c r="P369" i="42692"/>
  <c r="P369" i="42697" s="1"/>
  <c r="O369" i="42692"/>
  <c r="O369" i="42697" s="1"/>
  <c r="N369" i="42692"/>
  <c r="N369" i="42697" s="1"/>
  <c r="M369" i="42692"/>
  <c r="M369" i="42697" s="1"/>
  <c r="L369" i="42692"/>
  <c r="L369" i="42697" s="1"/>
  <c r="K369" i="42692"/>
  <c r="K369" i="42697" s="1"/>
  <c r="J369" i="42692"/>
  <c r="J369" i="42697" s="1"/>
  <c r="I369" i="42692"/>
  <c r="I369" i="42697" s="1"/>
  <c r="H369" i="42692"/>
  <c r="H369" i="42697" s="1"/>
  <c r="G369" i="42692"/>
  <c r="G369" i="42697" s="1"/>
  <c r="F369" i="42692"/>
  <c r="F369" i="42697" s="1"/>
  <c r="R369" i="42697" s="1"/>
  <c r="Q368" i="42692"/>
  <c r="Q368" i="42697" s="1"/>
  <c r="P368" i="42692"/>
  <c r="P368" i="42697" s="1"/>
  <c r="O368" i="42692"/>
  <c r="O368" i="42697" s="1"/>
  <c r="N368" i="42692"/>
  <c r="N368" i="42697" s="1"/>
  <c r="M368" i="42692"/>
  <c r="M368" i="42697" s="1"/>
  <c r="L368" i="42692"/>
  <c r="L368" i="42697" s="1"/>
  <c r="K368" i="42692"/>
  <c r="K368" i="42697" s="1"/>
  <c r="J368" i="42692"/>
  <c r="J368" i="42697" s="1"/>
  <c r="I368" i="42692"/>
  <c r="I368" i="42697" s="1"/>
  <c r="H368" i="42692"/>
  <c r="H368" i="42697" s="1"/>
  <c r="G368" i="42692"/>
  <c r="G368" i="42697" s="1"/>
  <c r="F368" i="42692"/>
  <c r="F368" i="42697" s="1"/>
  <c r="Q366" i="42692"/>
  <c r="Q810" i="42692" s="1"/>
  <c r="Q830" i="42692" s="1"/>
  <c r="P366" i="42692"/>
  <c r="P810" i="42692" s="1"/>
  <c r="P830" i="42692" s="1"/>
  <c r="O366" i="42692"/>
  <c r="O810" i="42692" s="1"/>
  <c r="O830" i="42692" s="1"/>
  <c r="N366" i="42692"/>
  <c r="N810" i="42692" s="1"/>
  <c r="N830" i="42692" s="1"/>
  <c r="M366" i="42692"/>
  <c r="M810" i="42692" s="1"/>
  <c r="M830" i="42692" s="1"/>
  <c r="L366" i="42692"/>
  <c r="L810" i="42692" s="1"/>
  <c r="L830" i="42692" s="1"/>
  <c r="K366" i="42692"/>
  <c r="K810" i="42692" s="1"/>
  <c r="K830" i="42692" s="1"/>
  <c r="J366" i="42692"/>
  <c r="J810" i="42692" s="1"/>
  <c r="J830" i="42692" s="1"/>
  <c r="I366" i="42692"/>
  <c r="I810" i="42692" s="1"/>
  <c r="I830" i="42692" s="1"/>
  <c r="H366" i="42692"/>
  <c r="H810" i="42692" s="1"/>
  <c r="H830" i="42692" s="1"/>
  <c r="G366" i="42692"/>
  <c r="G810" i="42692" s="1"/>
  <c r="G830" i="42692" s="1"/>
  <c r="F366" i="42692"/>
  <c r="F810" i="42692" s="1"/>
  <c r="Q362" i="42692"/>
  <c r="Q362" i="42697" s="1"/>
  <c r="P362" i="42692"/>
  <c r="P362" i="42697" s="1"/>
  <c r="O362" i="42692"/>
  <c r="O362" i="42697" s="1"/>
  <c r="N362" i="42692"/>
  <c r="N362" i="42697" s="1"/>
  <c r="M362" i="42692"/>
  <c r="M362" i="42697" s="1"/>
  <c r="L362" i="42692"/>
  <c r="L362" i="42697" s="1"/>
  <c r="K362" i="42692"/>
  <c r="K362" i="42697" s="1"/>
  <c r="J362" i="42692"/>
  <c r="J362" i="42697" s="1"/>
  <c r="I362" i="42692"/>
  <c r="I362" i="42697" s="1"/>
  <c r="H362" i="42692"/>
  <c r="H362" i="42697" s="1"/>
  <c r="G362" i="42692"/>
  <c r="G362" i="42697" s="1"/>
  <c r="F362" i="42692"/>
  <c r="F362" i="42697" s="1"/>
  <c r="Q356" i="42692"/>
  <c r="Q356" i="42697" s="1"/>
  <c r="P356" i="42692"/>
  <c r="P356" i="42697" s="1"/>
  <c r="O356" i="42692"/>
  <c r="O356" i="42697" s="1"/>
  <c r="N356" i="42692"/>
  <c r="N356" i="42697" s="1"/>
  <c r="M356" i="42692"/>
  <c r="M356" i="42697" s="1"/>
  <c r="L356" i="42692"/>
  <c r="L356" i="42697" s="1"/>
  <c r="K356" i="42692"/>
  <c r="K356" i="42697" s="1"/>
  <c r="J356" i="42692"/>
  <c r="J356" i="42697" s="1"/>
  <c r="I356" i="42692"/>
  <c r="I356" i="42697" s="1"/>
  <c r="H356" i="42692"/>
  <c r="H356" i="42697" s="1"/>
  <c r="G356" i="42692"/>
  <c r="G356" i="42697" s="1"/>
  <c r="F356" i="42692"/>
  <c r="F356" i="42697" s="1"/>
  <c r="J331" i="42692"/>
  <c r="Q322" i="42692"/>
  <c r="P322" i="42692"/>
  <c r="P322" i="42697" s="1"/>
  <c r="O322" i="42692"/>
  <c r="N322" i="42692"/>
  <c r="N322" i="42697" s="1"/>
  <c r="M322" i="42692"/>
  <c r="L322" i="42692"/>
  <c r="L322" i="42697" s="1"/>
  <c r="K322" i="42692"/>
  <c r="J322" i="42692"/>
  <c r="J322" i="42697" s="1"/>
  <c r="I322" i="42692"/>
  <c r="H322" i="42692"/>
  <c r="H322" i="42697" s="1"/>
  <c r="G322" i="42692"/>
  <c r="F322" i="42692"/>
  <c r="F322" i="42697" s="1"/>
  <c r="Q320" i="42692"/>
  <c r="Q809" i="42692" s="1"/>
  <c r="Q829" i="42692" s="1"/>
  <c r="P320" i="42692"/>
  <c r="P809" i="42692" s="1"/>
  <c r="P829" i="42692" s="1"/>
  <c r="O320" i="42692"/>
  <c r="O809" i="42692" s="1"/>
  <c r="O829" i="42692" s="1"/>
  <c r="N320" i="42692"/>
  <c r="N809" i="42692" s="1"/>
  <c r="N829" i="42692" s="1"/>
  <c r="M320" i="42692"/>
  <c r="M809" i="42692" s="1"/>
  <c r="M829" i="42692" s="1"/>
  <c r="L320" i="42692"/>
  <c r="L809" i="42692" s="1"/>
  <c r="L829" i="42692" s="1"/>
  <c r="K320" i="42692"/>
  <c r="K809" i="42692" s="1"/>
  <c r="K829" i="42692" s="1"/>
  <c r="J320" i="42692"/>
  <c r="J809" i="42692" s="1"/>
  <c r="J829" i="42692" s="1"/>
  <c r="I320" i="42692"/>
  <c r="I809" i="42692" s="1"/>
  <c r="I829" i="42692" s="1"/>
  <c r="H320" i="42692"/>
  <c r="H809" i="42692" s="1"/>
  <c r="H829" i="42692" s="1"/>
  <c r="G320" i="42692"/>
  <c r="G809" i="42692" s="1"/>
  <c r="G829" i="42692" s="1"/>
  <c r="F320" i="42692"/>
  <c r="F809" i="42692" s="1"/>
  <c r="Q316" i="42692"/>
  <c r="P316" i="42692"/>
  <c r="O316" i="42692"/>
  <c r="N316" i="42692"/>
  <c r="M316" i="42692"/>
  <c r="L316" i="42692"/>
  <c r="K316" i="42692"/>
  <c r="J316" i="42692"/>
  <c r="I316" i="42692"/>
  <c r="H316" i="42692"/>
  <c r="G316" i="42692"/>
  <c r="F316" i="42692"/>
  <c r="Q310" i="42692"/>
  <c r="P310" i="42692"/>
  <c r="O310" i="42692"/>
  <c r="N310" i="42692"/>
  <c r="M310" i="42692"/>
  <c r="L310" i="42692"/>
  <c r="K310" i="42692"/>
  <c r="J310" i="42692"/>
  <c r="I310" i="42692"/>
  <c r="H310" i="42692"/>
  <c r="G310" i="42692"/>
  <c r="F310" i="42692"/>
  <c r="Q279" i="42692"/>
  <c r="Q279" i="42697" s="1"/>
  <c r="P279" i="42692"/>
  <c r="P279" i="42697" s="1"/>
  <c r="O279" i="42692"/>
  <c r="O279" i="42697" s="1"/>
  <c r="N279" i="42692"/>
  <c r="N279" i="42697" s="1"/>
  <c r="M279" i="42692"/>
  <c r="M279" i="42697" s="1"/>
  <c r="L279" i="42692"/>
  <c r="L279" i="42697" s="1"/>
  <c r="K279" i="42692"/>
  <c r="K279" i="42697" s="1"/>
  <c r="J279" i="42692"/>
  <c r="J279" i="42697" s="1"/>
  <c r="I279" i="42692"/>
  <c r="I279" i="42697" s="1"/>
  <c r="H279" i="42692"/>
  <c r="H279" i="42697" s="1"/>
  <c r="G279" i="42692"/>
  <c r="G279" i="42697" s="1"/>
  <c r="F279" i="42692"/>
  <c r="F279" i="42697" s="1"/>
  <c r="Q278" i="42692"/>
  <c r="Q278" i="42697" s="1"/>
  <c r="P278" i="42692"/>
  <c r="P278" i="42697" s="1"/>
  <c r="O278" i="42692"/>
  <c r="O278" i="42697" s="1"/>
  <c r="N278" i="42692"/>
  <c r="N278" i="42697" s="1"/>
  <c r="M278" i="42692"/>
  <c r="M278" i="42697" s="1"/>
  <c r="L278" i="42692"/>
  <c r="L278" i="42697" s="1"/>
  <c r="K278" i="42692"/>
  <c r="K278" i="42697" s="1"/>
  <c r="J278" i="42692"/>
  <c r="J278" i="42697" s="1"/>
  <c r="I278" i="42692"/>
  <c r="I278" i="42697" s="1"/>
  <c r="H278" i="42692"/>
  <c r="H278" i="42697" s="1"/>
  <c r="G278" i="42692"/>
  <c r="G278" i="42697" s="1"/>
  <c r="F278" i="42692"/>
  <c r="F278" i="42697" s="1"/>
  <c r="Q276" i="42692"/>
  <c r="Q808" i="42692" s="1"/>
  <c r="Q828" i="42692" s="1"/>
  <c r="P276" i="42692"/>
  <c r="P808" i="42692" s="1"/>
  <c r="P828" i="42692" s="1"/>
  <c r="O276" i="42692"/>
  <c r="O808" i="42692" s="1"/>
  <c r="O828" i="42692" s="1"/>
  <c r="N276" i="42692"/>
  <c r="N808" i="42692" s="1"/>
  <c r="N828" i="42692" s="1"/>
  <c r="M276" i="42692"/>
  <c r="M808" i="42692" s="1"/>
  <c r="M828" i="42692" s="1"/>
  <c r="L276" i="42692"/>
  <c r="L808" i="42692" s="1"/>
  <c r="L828" i="42692" s="1"/>
  <c r="K276" i="42692"/>
  <c r="K808" i="42692" s="1"/>
  <c r="K828" i="42692" s="1"/>
  <c r="J276" i="42692"/>
  <c r="J808" i="42692" s="1"/>
  <c r="J828" i="42692" s="1"/>
  <c r="I276" i="42692"/>
  <c r="I808" i="42692" s="1"/>
  <c r="I828" i="42692" s="1"/>
  <c r="H276" i="42692"/>
  <c r="H808" i="42692" s="1"/>
  <c r="H828" i="42692" s="1"/>
  <c r="G276" i="42692"/>
  <c r="G808" i="42692" s="1"/>
  <c r="G828" i="42692" s="1"/>
  <c r="F276" i="42692"/>
  <c r="F808" i="42692" s="1"/>
  <c r="Q272" i="42692"/>
  <c r="P272" i="42692"/>
  <c r="O272" i="42692"/>
  <c r="N272" i="42692"/>
  <c r="M272" i="42692"/>
  <c r="L272" i="42692"/>
  <c r="K272" i="42692"/>
  <c r="J272" i="42692"/>
  <c r="I272" i="42692"/>
  <c r="H272" i="42692"/>
  <c r="G272" i="42692"/>
  <c r="F272" i="42692"/>
  <c r="Q266" i="42692"/>
  <c r="P266" i="42692"/>
  <c r="O266" i="42692"/>
  <c r="N266" i="42692"/>
  <c r="M266" i="42692"/>
  <c r="L266" i="42692"/>
  <c r="K266" i="42692"/>
  <c r="J266" i="42692"/>
  <c r="I266" i="42692"/>
  <c r="H266" i="42692"/>
  <c r="G266" i="42692"/>
  <c r="F266" i="42692"/>
  <c r="Q253" i="42692"/>
  <c r="Q887" i="42692" s="1"/>
  <c r="P253" i="42692"/>
  <c r="P887" i="42692" s="1"/>
  <c r="O253" i="42692"/>
  <c r="O887" i="42692" s="1"/>
  <c r="N253" i="42692"/>
  <c r="N887" i="42692" s="1"/>
  <c r="M253" i="42692"/>
  <c r="M887" i="42692" s="1"/>
  <c r="L253" i="42692"/>
  <c r="L887" i="42692" s="1"/>
  <c r="K253" i="42692"/>
  <c r="K887" i="42692" s="1"/>
  <c r="J253" i="42692"/>
  <c r="J887" i="42692" s="1"/>
  <c r="I253" i="42692"/>
  <c r="I887" i="42692" s="1"/>
  <c r="H253" i="42692"/>
  <c r="H887" i="42692" s="1"/>
  <c r="G253" i="42692"/>
  <c r="G887" i="42692" s="1"/>
  <c r="F253" i="42692"/>
  <c r="F887" i="42692" s="1"/>
  <c r="R233" i="42692"/>
  <c r="Q225" i="42692"/>
  <c r="Q225" i="42697" s="1"/>
  <c r="P225" i="42692"/>
  <c r="P225" i="42697" s="1"/>
  <c r="O225" i="42692"/>
  <c r="O225" i="42697" s="1"/>
  <c r="N225" i="42692"/>
  <c r="N225" i="42697" s="1"/>
  <c r="M225" i="42692"/>
  <c r="M225" i="42697" s="1"/>
  <c r="L225" i="42692"/>
  <c r="L225" i="42697" s="1"/>
  <c r="K225" i="42692"/>
  <c r="K225" i="42697" s="1"/>
  <c r="J225" i="42692"/>
  <c r="J225" i="42697" s="1"/>
  <c r="I225" i="42692"/>
  <c r="I225" i="42697" s="1"/>
  <c r="H225" i="42692"/>
  <c r="H225" i="42697" s="1"/>
  <c r="G225" i="42692"/>
  <c r="G225" i="42697" s="1"/>
  <c r="F225" i="42692"/>
  <c r="F225" i="42697" s="1"/>
  <c r="R225" i="42697" s="1"/>
  <c r="Q224" i="42692"/>
  <c r="Q224" i="42697" s="1"/>
  <c r="P224" i="42692"/>
  <c r="P224" i="42697" s="1"/>
  <c r="O224" i="42692"/>
  <c r="O224" i="42697" s="1"/>
  <c r="N224" i="42692"/>
  <c r="N224" i="42697" s="1"/>
  <c r="M224" i="42692"/>
  <c r="M224" i="42697" s="1"/>
  <c r="L224" i="42692"/>
  <c r="L224" i="42697" s="1"/>
  <c r="K224" i="42692"/>
  <c r="K224" i="42697" s="1"/>
  <c r="J224" i="42692"/>
  <c r="J224" i="42697" s="1"/>
  <c r="I224" i="42692"/>
  <c r="I224" i="42697" s="1"/>
  <c r="H224" i="42692"/>
  <c r="H224" i="42697" s="1"/>
  <c r="G224" i="42692"/>
  <c r="G224" i="42697" s="1"/>
  <c r="F224" i="42692"/>
  <c r="F224" i="42697" s="1"/>
  <c r="Q223" i="42692"/>
  <c r="Q223" i="42697" s="1"/>
  <c r="P223" i="42692"/>
  <c r="P223" i="42697" s="1"/>
  <c r="O223" i="42692"/>
  <c r="O223" i="42697" s="1"/>
  <c r="N223" i="42692"/>
  <c r="N223" i="42697" s="1"/>
  <c r="M223" i="42692"/>
  <c r="M223" i="42697" s="1"/>
  <c r="L223" i="42692"/>
  <c r="L223" i="42697" s="1"/>
  <c r="K223" i="42692"/>
  <c r="K223" i="42697" s="1"/>
  <c r="J223" i="42692"/>
  <c r="J223" i="42697" s="1"/>
  <c r="I223" i="42692"/>
  <c r="I223" i="42697" s="1"/>
  <c r="H223" i="42692"/>
  <c r="H223" i="42697" s="1"/>
  <c r="G223" i="42692"/>
  <c r="G223" i="42697" s="1"/>
  <c r="F223" i="42692"/>
  <c r="F223" i="42697" s="1"/>
  <c r="R223" i="42697" s="1"/>
  <c r="Q222" i="42692"/>
  <c r="Q222" i="42697" s="1"/>
  <c r="P222" i="42692"/>
  <c r="P222" i="42697" s="1"/>
  <c r="O222" i="42692"/>
  <c r="O222" i="42697" s="1"/>
  <c r="N222" i="42692"/>
  <c r="N222" i="42697" s="1"/>
  <c r="M222" i="42692"/>
  <c r="M222" i="42697" s="1"/>
  <c r="L222" i="42692"/>
  <c r="L222" i="42697" s="1"/>
  <c r="K222" i="42692"/>
  <c r="K222" i="42697" s="1"/>
  <c r="J222" i="42692"/>
  <c r="J222" i="42697" s="1"/>
  <c r="I222" i="42692"/>
  <c r="I222" i="42697" s="1"/>
  <c r="H222" i="42692"/>
  <c r="H222" i="42697" s="1"/>
  <c r="G222" i="42692"/>
  <c r="G222" i="42697" s="1"/>
  <c r="F222" i="42692"/>
  <c r="F222" i="42697" s="1"/>
  <c r="Q221" i="42692"/>
  <c r="Q221" i="42697" s="1"/>
  <c r="P221" i="42692"/>
  <c r="P221" i="42697" s="1"/>
  <c r="O221" i="42692"/>
  <c r="O221" i="42697" s="1"/>
  <c r="N221" i="42692"/>
  <c r="N221" i="42697" s="1"/>
  <c r="M221" i="42692"/>
  <c r="M221" i="42697" s="1"/>
  <c r="L221" i="42692"/>
  <c r="L221" i="42697" s="1"/>
  <c r="K221" i="42692"/>
  <c r="K221" i="42697" s="1"/>
  <c r="J221" i="42692"/>
  <c r="J221" i="42697" s="1"/>
  <c r="I221" i="42692"/>
  <c r="I221" i="42697" s="1"/>
  <c r="H221" i="42692"/>
  <c r="H221" i="42697" s="1"/>
  <c r="G221" i="42692"/>
  <c r="G221" i="42697" s="1"/>
  <c r="F221" i="42692"/>
  <c r="F221" i="42697" s="1"/>
  <c r="R221" i="42697" s="1"/>
  <c r="R220" i="42692"/>
  <c r="Q219" i="42692"/>
  <c r="Q807" i="42692" s="1"/>
  <c r="Q834" i="42692" s="1"/>
  <c r="P219" i="42692"/>
  <c r="P807" i="42692" s="1"/>
  <c r="P834" i="42692" s="1"/>
  <c r="O219" i="42692"/>
  <c r="O807" i="42692" s="1"/>
  <c r="O834" i="42692" s="1"/>
  <c r="N219" i="42692"/>
  <c r="N807" i="42692" s="1"/>
  <c r="N834" i="42692" s="1"/>
  <c r="M219" i="42692"/>
  <c r="M807" i="42692" s="1"/>
  <c r="M834" i="42692" s="1"/>
  <c r="L219" i="42692"/>
  <c r="L807" i="42692" s="1"/>
  <c r="L834" i="42692" s="1"/>
  <c r="K219" i="42692"/>
  <c r="K807" i="42692" s="1"/>
  <c r="K834" i="42692" s="1"/>
  <c r="J219" i="42692"/>
  <c r="J807" i="42692" s="1"/>
  <c r="J834" i="42692" s="1"/>
  <c r="I219" i="42692"/>
  <c r="I807" i="42692" s="1"/>
  <c r="I834" i="42692" s="1"/>
  <c r="H219" i="42692"/>
  <c r="H807" i="42692" s="1"/>
  <c r="H834" i="42692" s="1"/>
  <c r="G219" i="42692"/>
  <c r="G807" i="42692" s="1"/>
  <c r="G834" i="42692" s="1"/>
  <c r="F219" i="42692"/>
  <c r="F807" i="42692" s="1"/>
  <c r="R201" i="42692"/>
  <c r="Q184" i="42692"/>
  <c r="Q184" i="42697" s="1"/>
  <c r="P184" i="42692"/>
  <c r="P184" i="42697" s="1"/>
  <c r="O184" i="42692"/>
  <c r="O184" i="42697" s="1"/>
  <c r="N184" i="42692"/>
  <c r="N184" i="42697" s="1"/>
  <c r="M184" i="42692"/>
  <c r="M184" i="42697" s="1"/>
  <c r="L184" i="42692"/>
  <c r="L184" i="42697" s="1"/>
  <c r="K184" i="42692"/>
  <c r="K184" i="42697" s="1"/>
  <c r="J184" i="42692"/>
  <c r="J184" i="42697" s="1"/>
  <c r="I184" i="42692"/>
  <c r="I184" i="42697" s="1"/>
  <c r="H184" i="42692"/>
  <c r="H184" i="42697" s="1"/>
  <c r="G184" i="42692"/>
  <c r="G184" i="42697" s="1"/>
  <c r="F184" i="42692"/>
  <c r="F184" i="42697" s="1"/>
  <c r="Q183" i="42692"/>
  <c r="Q183" i="42697" s="1"/>
  <c r="P183" i="42692"/>
  <c r="P183" i="42697" s="1"/>
  <c r="O183" i="42692"/>
  <c r="O183" i="42697" s="1"/>
  <c r="N183" i="42692"/>
  <c r="N183" i="42697" s="1"/>
  <c r="M183" i="42692"/>
  <c r="M183" i="42697" s="1"/>
  <c r="L183" i="42692"/>
  <c r="L183" i="42697" s="1"/>
  <c r="K183" i="42692"/>
  <c r="K183" i="42697" s="1"/>
  <c r="J183" i="42692"/>
  <c r="J183" i="42697" s="1"/>
  <c r="I183" i="42692"/>
  <c r="I183" i="42697" s="1"/>
  <c r="H183" i="42692"/>
  <c r="H183" i="42697" s="1"/>
  <c r="G183" i="42692"/>
  <c r="G183" i="42697" s="1"/>
  <c r="F183" i="42692"/>
  <c r="F183" i="42697" s="1"/>
  <c r="R183" i="42697" s="1"/>
  <c r="Q181" i="42692"/>
  <c r="Q806" i="42692" s="1"/>
  <c r="Q832" i="42692" s="1"/>
  <c r="P181" i="42692"/>
  <c r="P806" i="42692" s="1"/>
  <c r="P832" i="42692" s="1"/>
  <c r="O181" i="42692"/>
  <c r="O806" i="42692" s="1"/>
  <c r="O832" i="42692" s="1"/>
  <c r="N181" i="42692"/>
  <c r="N806" i="42692" s="1"/>
  <c r="N832" i="42692" s="1"/>
  <c r="M181" i="42692"/>
  <c r="M806" i="42692" s="1"/>
  <c r="M832" i="42692" s="1"/>
  <c r="L181" i="42692"/>
  <c r="L806" i="42692" s="1"/>
  <c r="L832" i="42692" s="1"/>
  <c r="K181" i="42692"/>
  <c r="K806" i="42692" s="1"/>
  <c r="K832" i="42692" s="1"/>
  <c r="J181" i="42692"/>
  <c r="J806" i="42692" s="1"/>
  <c r="J832" i="42692" s="1"/>
  <c r="I181" i="42692"/>
  <c r="I806" i="42692" s="1"/>
  <c r="I832" i="42692" s="1"/>
  <c r="H181" i="42692"/>
  <c r="H806" i="42692" s="1"/>
  <c r="H832" i="42692" s="1"/>
  <c r="G181" i="42692"/>
  <c r="G806" i="42692" s="1"/>
  <c r="G832" i="42692" s="1"/>
  <c r="F181" i="42692"/>
  <c r="F806" i="42692" s="1"/>
  <c r="N158" i="42692"/>
  <c r="J158" i="42692"/>
  <c r="F158" i="42692"/>
  <c r="R157" i="42692"/>
  <c r="Q148" i="42692"/>
  <c r="Q148" i="42697" s="1"/>
  <c r="P148" i="42692"/>
  <c r="P148" i="42697" s="1"/>
  <c r="O148" i="42692"/>
  <c r="O148" i="42697" s="1"/>
  <c r="N148" i="42692"/>
  <c r="N148" i="42697" s="1"/>
  <c r="M148" i="42692"/>
  <c r="M148" i="42697" s="1"/>
  <c r="L148" i="42692"/>
  <c r="L148" i="42697" s="1"/>
  <c r="K148" i="42692"/>
  <c r="K148" i="42697" s="1"/>
  <c r="J148" i="42692"/>
  <c r="J148" i="42697" s="1"/>
  <c r="I148" i="42692"/>
  <c r="I148" i="42697" s="1"/>
  <c r="H148" i="42692"/>
  <c r="H148" i="42697" s="1"/>
  <c r="G148" i="42692"/>
  <c r="G148" i="42697" s="1"/>
  <c r="F148" i="42692"/>
  <c r="F148" i="42697" s="1"/>
  <c r="Q147" i="42692"/>
  <c r="Q147" i="42697" s="1"/>
  <c r="P147" i="42692"/>
  <c r="P147" i="42697" s="1"/>
  <c r="O147" i="42692"/>
  <c r="O147" i="42697" s="1"/>
  <c r="N147" i="42692"/>
  <c r="N147" i="42697" s="1"/>
  <c r="M147" i="42692"/>
  <c r="M147" i="42697" s="1"/>
  <c r="L147" i="42692"/>
  <c r="L147" i="42697" s="1"/>
  <c r="K147" i="42692"/>
  <c r="K147" i="42697" s="1"/>
  <c r="J147" i="42692"/>
  <c r="J147" i="42697" s="1"/>
  <c r="I147" i="42692"/>
  <c r="I147" i="42697" s="1"/>
  <c r="H147" i="42692"/>
  <c r="H147" i="42697" s="1"/>
  <c r="G147" i="42692"/>
  <c r="G147" i="42697" s="1"/>
  <c r="F147" i="42692"/>
  <c r="F147" i="42697" s="1"/>
  <c r="Q145" i="42692"/>
  <c r="Q805" i="42692" s="1"/>
  <c r="Q831" i="42692" s="1"/>
  <c r="P145" i="42692"/>
  <c r="P805" i="42692" s="1"/>
  <c r="P831" i="42692" s="1"/>
  <c r="O145" i="42692"/>
  <c r="O805" i="42692" s="1"/>
  <c r="O831" i="42692" s="1"/>
  <c r="N145" i="42692"/>
  <c r="N805" i="42692" s="1"/>
  <c r="N831" i="42692" s="1"/>
  <c r="M145" i="42692"/>
  <c r="M805" i="42692" s="1"/>
  <c r="M831" i="42692" s="1"/>
  <c r="L145" i="42692"/>
  <c r="L805" i="42692" s="1"/>
  <c r="L831" i="42692" s="1"/>
  <c r="K145" i="42692"/>
  <c r="K805" i="42692" s="1"/>
  <c r="K831" i="42692" s="1"/>
  <c r="J145" i="42692"/>
  <c r="J805" i="42692" s="1"/>
  <c r="J831" i="42692" s="1"/>
  <c r="I145" i="42692"/>
  <c r="I805" i="42692" s="1"/>
  <c r="I831" i="42692" s="1"/>
  <c r="H145" i="42692"/>
  <c r="H805" i="42692" s="1"/>
  <c r="H831" i="42692" s="1"/>
  <c r="G145" i="42692"/>
  <c r="G805" i="42692" s="1"/>
  <c r="G831" i="42692" s="1"/>
  <c r="F145" i="42692"/>
  <c r="F805" i="42692" s="1"/>
  <c r="R118" i="42692"/>
  <c r="Q109" i="42692"/>
  <c r="Q109" i="42697" s="1"/>
  <c r="P109" i="42692"/>
  <c r="P109" i="42697" s="1"/>
  <c r="O109" i="42692"/>
  <c r="O109" i="42697" s="1"/>
  <c r="N109" i="42692"/>
  <c r="N109" i="42697" s="1"/>
  <c r="M109" i="42692"/>
  <c r="M109" i="42697" s="1"/>
  <c r="L109" i="42692"/>
  <c r="L109" i="42697" s="1"/>
  <c r="K109" i="42692"/>
  <c r="K109" i="42697" s="1"/>
  <c r="J109" i="42692"/>
  <c r="J109" i="42697" s="1"/>
  <c r="I109" i="42692"/>
  <c r="I109" i="42697" s="1"/>
  <c r="H109" i="42692"/>
  <c r="H109" i="42697" s="1"/>
  <c r="G109" i="42692"/>
  <c r="G109" i="42697" s="1"/>
  <c r="F109" i="42692"/>
  <c r="F109" i="42697" s="1"/>
  <c r="Q108" i="42692"/>
  <c r="Q108" i="42697" s="1"/>
  <c r="P108" i="42692"/>
  <c r="P108" i="42697" s="1"/>
  <c r="O108" i="42692"/>
  <c r="O108" i="42697" s="1"/>
  <c r="N108" i="42692"/>
  <c r="N108" i="42697" s="1"/>
  <c r="M108" i="42692"/>
  <c r="M108" i="42697" s="1"/>
  <c r="L108" i="42692"/>
  <c r="L108" i="42697" s="1"/>
  <c r="K108" i="42692"/>
  <c r="K108" i="42697" s="1"/>
  <c r="J108" i="42692"/>
  <c r="J108" i="42697" s="1"/>
  <c r="I108" i="42692"/>
  <c r="I108" i="42697" s="1"/>
  <c r="H108" i="42692"/>
  <c r="H108" i="42697" s="1"/>
  <c r="G108" i="42692"/>
  <c r="G108" i="42697" s="1"/>
  <c r="F108" i="42692"/>
  <c r="F108" i="42697" s="1"/>
  <c r="R108" i="42697" s="1"/>
  <c r="Q106" i="42692"/>
  <c r="Q804" i="42692" s="1"/>
  <c r="P106" i="42692"/>
  <c r="P804" i="42692" s="1"/>
  <c r="P827" i="42692" s="1"/>
  <c r="O106" i="42692"/>
  <c r="O804" i="42692" s="1"/>
  <c r="N106" i="42692"/>
  <c r="N804" i="42692" s="1"/>
  <c r="N827" i="42692" s="1"/>
  <c r="M106" i="42692"/>
  <c r="M804" i="42692" s="1"/>
  <c r="L106" i="42692"/>
  <c r="L804" i="42692" s="1"/>
  <c r="L827" i="42692" s="1"/>
  <c r="K106" i="42692"/>
  <c r="K804" i="42692" s="1"/>
  <c r="J106" i="42692"/>
  <c r="J804" i="42692" s="1"/>
  <c r="J827" i="42692" s="1"/>
  <c r="I106" i="42692"/>
  <c r="I804" i="42692" s="1"/>
  <c r="H106" i="42692"/>
  <c r="H804" i="42692" s="1"/>
  <c r="H827" i="42692" s="1"/>
  <c r="G106" i="42692"/>
  <c r="G804" i="42692" s="1"/>
  <c r="F106" i="42692"/>
  <c r="F804" i="42692" s="1"/>
  <c r="Q102" i="42692"/>
  <c r="P102" i="42692"/>
  <c r="O102" i="42692"/>
  <c r="N102" i="42692"/>
  <c r="M102" i="42692"/>
  <c r="L102" i="42692"/>
  <c r="K102" i="42692"/>
  <c r="J102" i="42692"/>
  <c r="I102" i="42692"/>
  <c r="H102" i="42692"/>
  <c r="G102" i="42692"/>
  <c r="F102" i="42692"/>
  <c r="Q97" i="42692"/>
  <c r="P97" i="42692"/>
  <c r="O97" i="42692"/>
  <c r="N97" i="42692"/>
  <c r="M97" i="42692"/>
  <c r="L97" i="42692"/>
  <c r="K97" i="42692"/>
  <c r="J97" i="42692"/>
  <c r="I97" i="42692"/>
  <c r="H97" i="42692"/>
  <c r="G97" i="42692"/>
  <c r="F97" i="42692"/>
  <c r="Q80" i="42692"/>
  <c r="Q803" i="42692" s="1"/>
  <c r="Q826" i="42692" s="1"/>
  <c r="P80" i="42692"/>
  <c r="P803" i="42692" s="1"/>
  <c r="P826" i="42692" s="1"/>
  <c r="O80" i="42692"/>
  <c r="O803" i="42692" s="1"/>
  <c r="O826" i="42692" s="1"/>
  <c r="N80" i="42692"/>
  <c r="N803" i="42692" s="1"/>
  <c r="N826" i="42692" s="1"/>
  <c r="M80" i="42692"/>
  <c r="M803" i="42692" s="1"/>
  <c r="M826" i="42692" s="1"/>
  <c r="L80" i="42692"/>
  <c r="L803" i="42692" s="1"/>
  <c r="L826" i="42692" s="1"/>
  <c r="K80" i="42692"/>
  <c r="K803" i="42692" s="1"/>
  <c r="K826" i="42692" s="1"/>
  <c r="J80" i="42692"/>
  <c r="J803" i="42692" s="1"/>
  <c r="J826" i="42692" s="1"/>
  <c r="I80" i="42692"/>
  <c r="I803" i="42692" s="1"/>
  <c r="I826" i="42692" s="1"/>
  <c r="H80" i="42692"/>
  <c r="H803" i="42692" s="1"/>
  <c r="H826" i="42692" s="1"/>
  <c r="G80" i="42692"/>
  <c r="G803" i="42692" s="1"/>
  <c r="G826" i="42692" s="1"/>
  <c r="F80" i="42692"/>
  <c r="F803" i="42692" s="1"/>
  <c r="Q77" i="42692"/>
  <c r="P77" i="42692"/>
  <c r="O77" i="42692"/>
  <c r="N77" i="42692"/>
  <c r="M77" i="42692"/>
  <c r="L77" i="42692"/>
  <c r="K77" i="42692"/>
  <c r="J77" i="42692"/>
  <c r="I77" i="42692"/>
  <c r="H77" i="42692"/>
  <c r="G77" i="42692"/>
  <c r="F77" i="42692"/>
  <c r="Q76" i="42692"/>
  <c r="P76" i="42692"/>
  <c r="O76" i="42692"/>
  <c r="N76" i="42692"/>
  <c r="M76" i="42692"/>
  <c r="L76" i="42692"/>
  <c r="K76" i="42692"/>
  <c r="J76" i="42692"/>
  <c r="I76" i="42692"/>
  <c r="H76" i="42692"/>
  <c r="G76" i="42692"/>
  <c r="F76" i="42692"/>
  <c r="O70" i="42692"/>
  <c r="K70" i="42692"/>
  <c r="G70" i="42692"/>
  <c r="Q67" i="42692"/>
  <c r="Q886" i="42692" s="1"/>
  <c r="P67" i="42692"/>
  <c r="P886" i="42692" s="1"/>
  <c r="O67" i="42692"/>
  <c r="O886" i="42692" s="1"/>
  <c r="N67" i="42692"/>
  <c r="N886" i="42692" s="1"/>
  <c r="M67" i="42692"/>
  <c r="M886" i="42692" s="1"/>
  <c r="L67" i="42692"/>
  <c r="L886" i="42692" s="1"/>
  <c r="K67" i="42692"/>
  <c r="K886" i="42692" s="1"/>
  <c r="J67" i="42692"/>
  <c r="J886" i="42692" s="1"/>
  <c r="I67" i="42692"/>
  <c r="I886" i="42692" s="1"/>
  <c r="H67" i="42692"/>
  <c r="H886" i="42692" s="1"/>
  <c r="G67" i="42692"/>
  <c r="G886" i="42692" s="1"/>
  <c r="F67" i="42692"/>
  <c r="F886" i="42692" s="1"/>
  <c r="Q51" i="42692"/>
  <c r="Q802" i="42692" s="1"/>
  <c r="Q825" i="42692" s="1"/>
  <c r="P51" i="42692"/>
  <c r="P802" i="42692" s="1"/>
  <c r="P825" i="42692" s="1"/>
  <c r="O51" i="42692"/>
  <c r="O802" i="42692" s="1"/>
  <c r="O825" i="42692" s="1"/>
  <c r="N51" i="42692"/>
  <c r="N802" i="42692" s="1"/>
  <c r="N825" i="42692" s="1"/>
  <c r="M51" i="42692"/>
  <c r="M802" i="42692" s="1"/>
  <c r="M825" i="42692" s="1"/>
  <c r="L51" i="42692"/>
  <c r="L802" i="42692" s="1"/>
  <c r="L825" i="42692" s="1"/>
  <c r="K51" i="42692"/>
  <c r="K802" i="42692" s="1"/>
  <c r="K825" i="42692" s="1"/>
  <c r="J51" i="42692"/>
  <c r="J802" i="42692" s="1"/>
  <c r="J825" i="42692" s="1"/>
  <c r="I51" i="42692"/>
  <c r="I802" i="42692" s="1"/>
  <c r="I825" i="42692" s="1"/>
  <c r="H51" i="42692"/>
  <c r="H802" i="42692" s="1"/>
  <c r="H825" i="42692" s="1"/>
  <c r="G51" i="42692"/>
  <c r="G802" i="42692" s="1"/>
  <c r="G825" i="42692" s="1"/>
  <c r="F51" i="42692"/>
  <c r="F802" i="42692" s="1"/>
  <c r="Q33" i="42692"/>
  <c r="Q801" i="42692" s="1"/>
  <c r="P33" i="42692"/>
  <c r="P801" i="42692" s="1"/>
  <c r="O33" i="42692"/>
  <c r="O801" i="42692" s="1"/>
  <c r="N33" i="42692"/>
  <c r="N801" i="42692" s="1"/>
  <c r="M33" i="42692"/>
  <c r="M801" i="42692" s="1"/>
  <c r="L33" i="42692"/>
  <c r="L801" i="42692" s="1"/>
  <c r="K33" i="42692"/>
  <c r="K801" i="42692" s="1"/>
  <c r="J33" i="42692"/>
  <c r="J801" i="42692" s="1"/>
  <c r="I33" i="42692"/>
  <c r="I801" i="42692" s="1"/>
  <c r="H33" i="42692"/>
  <c r="H801" i="42692" s="1"/>
  <c r="G33" i="42692"/>
  <c r="G801" i="42692" s="1"/>
  <c r="F33" i="42692"/>
  <c r="F801" i="42692" s="1"/>
  <c r="Q30" i="42692"/>
  <c r="Q30" i="42697" s="1"/>
  <c r="P30" i="42692"/>
  <c r="P30" i="42697" s="1"/>
  <c r="O30" i="42692"/>
  <c r="O30" i="42697" s="1"/>
  <c r="N30" i="42692"/>
  <c r="N30" i="42697" s="1"/>
  <c r="M30" i="42692"/>
  <c r="M30" i="42697" s="1"/>
  <c r="L30" i="42692"/>
  <c r="L30" i="42697" s="1"/>
  <c r="K30" i="42692"/>
  <c r="K30" i="42697" s="1"/>
  <c r="J30" i="42692"/>
  <c r="J30" i="42697" s="1"/>
  <c r="I30" i="42692"/>
  <c r="I30" i="42697" s="1"/>
  <c r="H30" i="42692"/>
  <c r="H30" i="42697" s="1"/>
  <c r="G30" i="42692"/>
  <c r="G30" i="42697" s="1"/>
  <c r="F30" i="42692"/>
  <c r="F30" i="42697" s="1"/>
  <c r="Q29" i="42692"/>
  <c r="Q29" i="42697" s="1"/>
  <c r="P29" i="42692"/>
  <c r="P29" i="42697" s="1"/>
  <c r="O29" i="42692"/>
  <c r="O29" i="42697" s="1"/>
  <c r="N29" i="42692"/>
  <c r="N29" i="42697" s="1"/>
  <c r="M29" i="42692"/>
  <c r="M29" i="42697" s="1"/>
  <c r="L29" i="42692"/>
  <c r="L29" i="42697" s="1"/>
  <c r="K29" i="42692"/>
  <c r="K29" i="42697" s="1"/>
  <c r="J29" i="42692"/>
  <c r="J29" i="42697" s="1"/>
  <c r="I29" i="42692"/>
  <c r="I29" i="42697" s="1"/>
  <c r="H29" i="42692"/>
  <c r="H29" i="42697" s="1"/>
  <c r="G29" i="42692"/>
  <c r="G29" i="42697" s="1"/>
  <c r="F29" i="42692"/>
  <c r="F29" i="42697" s="1"/>
  <c r="Q11" i="42692"/>
  <c r="Q11" i="42697" s="1"/>
  <c r="P11" i="42692"/>
  <c r="P11" i="42697" s="1"/>
  <c r="O11" i="42692"/>
  <c r="O11" i="42697" s="1"/>
  <c r="N11" i="42692"/>
  <c r="N11" i="42697" s="1"/>
  <c r="M11" i="42692"/>
  <c r="M11" i="42697" s="1"/>
  <c r="L11" i="42692"/>
  <c r="L11" i="42697" s="1"/>
  <c r="K11" i="42692"/>
  <c r="K11" i="42697" s="1"/>
  <c r="J11" i="42692"/>
  <c r="J11" i="42697" s="1"/>
  <c r="I11" i="42692"/>
  <c r="I11" i="42697" s="1"/>
  <c r="H11" i="42692"/>
  <c r="H11" i="42697" s="1"/>
  <c r="G11" i="42692"/>
  <c r="G11" i="42697" s="1"/>
  <c r="F11" i="42692"/>
  <c r="F11" i="42697" s="1"/>
  <c r="Q10" i="42692"/>
  <c r="Q10" i="42697" s="1"/>
  <c r="P10" i="42692"/>
  <c r="P10" i="42697" s="1"/>
  <c r="O10" i="42692"/>
  <c r="O10" i="42697" s="1"/>
  <c r="N10" i="42692"/>
  <c r="N10" i="42697" s="1"/>
  <c r="M10" i="42692"/>
  <c r="M10" i="42697" s="1"/>
  <c r="L10" i="42692"/>
  <c r="L10" i="42697" s="1"/>
  <c r="K10" i="42692"/>
  <c r="K10" i="42697" s="1"/>
  <c r="J10" i="42692"/>
  <c r="J10" i="42697" s="1"/>
  <c r="I10" i="42692"/>
  <c r="I10" i="42697" s="1"/>
  <c r="H10" i="42692"/>
  <c r="H10" i="42697" s="1"/>
  <c r="G10" i="42692"/>
  <c r="G10" i="42697" s="1"/>
  <c r="F10" i="42692"/>
  <c r="F10" i="42697" s="1"/>
  <c r="Q6" i="42692"/>
  <c r="P6" i="42692"/>
  <c r="O6" i="42692"/>
  <c r="N6" i="42692"/>
  <c r="M6" i="42692"/>
  <c r="L6" i="42692"/>
  <c r="K6" i="42692"/>
  <c r="J6" i="42692"/>
  <c r="I6" i="42692"/>
  <c r="H6" i="42692"/>
  <c r="G6" i="42692"/>
  <c r="F6" i="42692"/>
  <c r="B4" i="42692"/>
  <c r="B2" i="42692"/>
  <c r="B1" i="42692"/>
  <c r="R960" i="42691"/>
  <c r="R952" i="42691"/>
  <c r="G926" i="42691"/>
  <c r="G926" i="42692" s="1"/>
  <c r="Q778" i="42691"/>
  <c r="P778" i="42691"/>
  <c r="O778" i="42691"/>
  <c r="N778" i="42691"/>
  <c r="M778" i="42691"/>
  <c r="L778" i="42691"/>
  <c r="K778" i="42691"/>
  <c r="J778" i="42691"/>
  <c r="I778" i="42691"/>
  <c r="H778" i="42691"/>
  <c r="G778" i="42691"/>
  <c r="F778" i="42691"/>
  <c r="Q777" i="42691"/>
  <c r="P777" i="42691"/>
  <c r="O777" i="42691"/>
  <c r="N777" i="42691"/>
  <c r="M777" i="42691"/>
  <c r="L777" i="42691"/>
  <c r="K777" i="42691"/>
  <c r="J777" i="42691"/>
  <c r="I777" i="42691"/>
  <c r="H777" i="42691"/>
  <c r="G777" i="42691"/>
  <c r="F777" i="42691"/>
  <c r="R777" i="42691" s="1"/>
  <c r="Q776" i="42691"/>
  <c r="P776" i="42691"/>
  <c r="O776" i="42691"/>
  <c r="N776" i="42691"/>
  <c r="M776" i="42691"/>
  <c r="L776" i="42691"/>
  <c r="K776" i="42691"/>
  <c r="J776" i="42691"/>
  <c r="I776" i="42691"/>
  <c r="H776" i="42691"/>
  <c r="G776" i="42691"/>
  <c r="F776" i="42691"/>
  <c r="Q775" i="42691"/>
  <c r="P775" i="42691"/>
  <c r="O775" i="42691"/>
  <c r="N775" i="42691"/>
  <c r="M775" i="42691"/>
  <c r="L775" i="42691"/>
  <c r="K775" i="42691"/>
  <c r="J775" i="42691"/>
  <c r="I775" i="42691"/>
  <c r="H775" i="42691"/>
  <c r="G775" i="42691"/>
  <c r="F775" i="42691"/>
  <c r="R775" i="42691" s="1"/>
  <c r="Q774" i="42691"/>
  <c r="P774" i="42691"/>
  <c r="O774" i="42691"/>
  <c r="N774" i="42691"/>
  <c r="M774" i="42691"/>
  <c r="L774" i="42691"/>
  <c r="K774" i="42691"/>
  <c r="J774" i="42691"/>
  <c r="I774" i="42691"/>
  <c r="H774" i="42691"/>
  <c r="G774" i="42691"/>
  <c r="F774" i="42691"/>
  <c r="Q772" i="42691"/>
  <c r="Q820" i="42691" s="1"/>
  <c r="Q835" i="42691" s="1"/>
  <c r="P772" i="42691"/>
  <c r="P820" i="42691" s="1"/>
  <c r="P835" i="42691" s="1"/>
  <c r="O772" i="42691"/>
  <c r="O820" i="42691" s="1"/>
  <c r="O835" i="42691" s="1"/>
  <c r="N772" i="42691"/>
  <c r="N820" i="42691" s="1"/>
  <c r="N835" i="42691" s="1"/>
  <c r="M772" i="42691"/>
  <c r="M820" i="42691" s="1"/>
  <c r="M835" i="42691" s="1"/>
  <c r="L772" i="42691"/>
  <c r="L820" i="42691" s="1"/>
  <c r="L835" i="42691" s="1"/>
  <c r="K772" i="42691"/>
  <c r="K820" i="42691" s="1"/>
  <c r="K835" i="42691" s="1"/>
  <c r="J772" i="42691"/>
  <c r="J820" i="42691" s="1"/>
  <c r="J835" i="42691" s="1"/>
  <c r="I772" i="42691"/>
  <c r="I820" i="42691" s="1"/>
  <c r="I835" i="42691" s="1"/>
  <c r="H772" i="42691"/>
  <c r="H820" i="42691" s="1"/>
  <c r="H835" i="42691" s="1"/>
  <c r="G772" i="42691"/>
  <c r="G820" i="42691" s="1"/>
  <c r="G835" i="42691" s="1"/>
  <c r="F772" i="42691"/>
  <c r="R772" i="42691" s="1"/>
  <c r="Q769" i="42691"/>
  <c r="P769" i="42691"/>
  <c r="O769" i="42691"/>
  <c r="N769" i="42691"/>
  <c r="M769" i="42691"/>
  <c r="L769" i="42691"/>
  <c r="K769" i="42691"/>
  <c r="J769" i="42691"/>
  <c r="I769" i="42691"/>
  <c r="H769" i="42691"/>
  <c r="G769" i="42691"/>
  <c r="F769" i="42691"/>
  <c r="Q768" i="42691"/>
  <c r="P768" i="42691"/>
  <c r="O768" i="42691"/>
  <c r="N768" i="42691"/>
  <c r="M768" i="42691"/>
  <c r="L768" i="42691"/>
  <c r="K768" i="42691"/>
  <c r="J768" i="42691"/>
  <c r="I768" i="42691"/>
  <c r="H768" i="42691"/>
  <c r="G768" i="42691"/>
  <c r="F768" i="42691"/>
  <c r="Q767" i="42691"/>
  <c r="P767" i="42691"/>
  <c r="O767" i="42691"/>
  <c r="N767" i="42691"/>
  <c r="M767" i="42691"/>
  <c r="L767" i="42691"/>
  <c r="K767" i="42691"/>
  <c r="J767" i="42691"/>
  <c r="I767" i="42691"/>
  <c r="H767" i="42691"/>
  <c r="G767" i="42691"/>
  <c r="F767" i="42691"/>
  <c r="Q766" i="42691"/>
  <c r="P766" i="42691"/>
  <c r="O766" i="42691"/>
  <c r="N766" i="42691"/>
  <c r="M766" i="42691"/>
  <c r="L766" i="42691"/>
  <c r="K766" i="42691"/>
  <c r="J766" i="42691"/>
  <c r="I766" i="42691"/>
  <c r="H766" i="42691"/>
  <c r="G766" i="42691"/>
  <c r="F766" i="42691"/>
  <c r="Q765" i="42691"/>
  <c r="P765" i="42691"/>
  <c r="O765" i="42691"/>
  <c r="N765" i="42691"/>
  <c r="M765" i="42691"/>
  <c r="L765" i="42691"/>
  <c r="K765" i="42691"/>
  <c r="J765" i="42691"/>
  <c r="I765" i="42691"/>
  <c r="H765" i="42691"/>
  <c r="G765" i="42691"/>
  <c r="F765" i="42691"/>
  <c r="Q764" i="42691"/>
  <c r="P764" i="42691"/>
  <c r="O764" i="42691"/>
  <c r="N764" i="42691"/>
  <c r="M764" i="42691"/>
  <c r="L764" i="42691"/>
  <c r="K764" i="42691"/>
  <c r="J764" i="42691"/>
  <c r="I764" i="42691"/>
  <c r="H764" i="42691"/>
  <c r="G764" i="42691"/>
  <c r="F764" i="42691"/>
  <c r="Q763" i="42691"/>
  <c r="P763" i="42691"/>
  <c r="O763" i="42691"/>
  <c r="N763" i="42691"/>
  <c r="M763" i="42691"/>
  <c r="L763" i="42691"/>
  <c r="K763" i="42691"/>
  <c r="J763" i="42691"/>
  <c r="I763" i="42691"/>
  <c r="H763" i="42691"/>
  <c r="G763" i="42691"/>
  <c r="F763" i="42691"/>
  <c r="Q761" i="42691"/>
  <c r="Q784" i="42691" s="1"/>
  <c r="P761" i="42691"/>
  <c r="P784" i="42691" s="1"/>
  <c r="O761" i="42691"/>
  <c r="O784" i="42691" s="1"/>
  <c r="N761" i="42691"/>
  <c r="N784" i="42691" s="1"/>
  <c r="M761" i="42691"/>
  <c r="M784" i="42691" s="1"/>
  <c r="L761" i="42691"/>
  <c r="L784" i="42691" s="1"/>
  <c r="K761" i="42691"/>
  <c r="K784" i="42691" s="1"/>
  <c r="J761" i="42691"/>
  <c r="J784" i="42691" s="1"/>
  <c r="I761" i="42691"/>
  <c r="I784" i="42691" s="1"/>
  <c r="H761" i="42691"/>
  <c r="H784" i="42691" s="1"/>
  <c r="G761" i="42691"/>
  <c r="G784" i="42691" s="1"/>
  <c r="F761" i="42691"/>
  <c r="F784" i="42691" s="1"/>
  <c r="Q734" i="42691"/>
  <c r="Q903" i="42691" s="1"/>
  <c r="P734" i="42691"/>
  <c r="P903" i="42691" s="1"/>
  <c r="O734" i="42691"/>
  <c r="O903" i="42691" s="1"/>
  <c r="N734" i="42691"/>
  <c r="N903" i="42691" s="1"/>
  <c r="M734" i="42691"/>
  <c r="M903" i="42691" s="1"/>
  <c r="L734" i="42691"/>
  <c r="L903" i="42691" s="1"/>
  <c r="K734" i="42691"/>
  <c r="K903" i="42691" s="1"/>
  <c r="J734" i="42691"/>
  <c r="J903" i="42691" s="1"/>
  <c r="I734" i="42691"/>
  <c r="I903" i="42691" s="1"/>
  <c r="H734" i="42691"/>
  <c r="H903" i="42691" s="1"/>
  <c r="G734" i="42691"/>
  <c r="G903" i="42691" s="1"/>
  <c r="F734" i="42691"/>
  <c r="R734" i="42691" s="1"/>
  <c r="Q731" i="42691"/>
  <c r="P731" i="42691"/>
  <c r="O731" i="42691"/>
  <c r="N731" i="42691"/>
  <c r="M731" i="42691"/>
  <c r="L731" i="42691"/>
  <c r="K731" i="42691"/>
  <c r="J731" i="42691"/>
  <c r="I731" i="42691"/>
  <c r="H731" i="42691"/>
  <c r="G731" i="42691"/>
  <c r="F731" i="42691"/>
  <c r="R731" i="42691" s="1"/>
  <c r="Q730" i="42691"/>
  <c r="P730" i="42691"/>
  <c r="O730" i="42691"/>
  <c r="N730" i="42691"/>
  <c r="M730" i="42691"/>
  <c r="L730" i="42691"/>
  <c r="K730" i="42691"/>
  <c r="J730" i="42691"/>
  <c r="I730" i="42691"/>
  <c r="H730" i="42691"/>
  <c r="G730" i="42691"/>
  <c r="F730" i="42691"/>
  <c r="R730" i="42691" s="1"/>
  <c r="Q729" i="42691"/>
  <c r="P729" i="42691"/>
  <c r="O729" i="42691"/>
  <c r="N729" i="42691"/>
  <c r="M729" i="42691"/>
  <c r="L729" i="42691"/>
  <c r="K729" i="42691"/>
  <c r="J729" i="42691"/>
  <c r="I729" i="42691"/>
  <c r="H729" i="42691"/>
  <c r="G729" i="42691"/>
  <c r="F729" i="42691"/>
  <c r="R729" i="42691" s="1"/>
  <c r="Q728" i="42691"/>
  <c r="P728" i="42691"/>
  <c r="O728" i="42691"/>
  <c r="N728" i="42691"/>
  <c r="M728" i="42691"/>
  <c r="L728" i="42691"/>
  <c r="K728" i="42691"/>
  <c r="J728" i="42691"/>
  <c r="I728" i="42691"/>
  <c r="H728" i="42691"/>
  <c r="G728" i="42691"/>
  <c r="F728" i="42691"/>
  <c r="R728" i="42691" s="1"/>
  <c r="Q727" i="42691"/>
  <c r="P727" i="42691"/>
  <c r="O727" i="42691"/>
  <c r="N727" i="42691"/>
  <c r="M727" i="42691"/>
  <c r="L727" i="42691"/>
  <c r="K727" i="42691"/>
  <c r="J727" i="42691"/>
  <c r="I727" i="42691"/>
  <c r="H727" i="42691"/>
  <c r="G727" i="42691"/>
  <c r="F727" i="42691"/>
  <c r="Q725" i="42691"/>
  <c r="Q819" i="42691" s="1"/>
  <c r="P725" i="42691"/>
  <c r="P819" i="42691" s="1"/>
  <c r="O725" i="42691"/>
  <c r="O819" i="42691" s="1"/>
  <c r="N725" i="42691"/>
  <c r="N819" i="42691" s="1"/>
  <c r="M725" i="42691"/>
  <c r="M819" i="42691" s="1"/>
  <c r="L725" i="42691"/>
  <c r="L819" i="42691" s="1"/>
  <c r="K725" i="42691"/>
  <c r="K819" i="42691" s="1"/>
  <c r="J725" i="42691"/>
  <c r="J819" i="42691" s="1"/>
  <c r="I725" i="42691"/>
  <c r="I819" i="42691" s="1"/>
  <c r="H725" i="42691"/>
  <c r="H819" i="42691" s="1"/>
  <c r="G725" i="42691"/>
  <c r="G819" i="42691" s="1"/>
  <c r="F725" i="42691"/>
  <c r="F819" i="42691" s="1"/>
  <c r="R819" i="42691" s="1"/>
  <c r="Q722" i="42691"/>
  <c r="P722" i="42691"/>
  <c r="O722" i="42691"/>
  <c r="N722" i="42691"/>
  <c r="M722" i="42691"/>
  <c r="L722" i="42691"/>
  <c r="K722" i="42691"/>
  <c r="J722" i="42691"/>
  <c r="I722" i="42691"/>
  <c r="H722" i="42691"/>
  <c r="G722" i="42691"/>
  <c r="F722" i="42691"/>
  <c r="Q721" i="42691"/>
  <c r="P721" i="42691"/>
  <c r="O721" i="42691"/>
  <c r="N721" i="42691"/>
  <c r="M721" i="42691"/>
  <c r="L721" i="42691"/>
  <c r="K721" i="42691"/>
  <c r="J721" i="42691"/>
  <c r="I721" i="42691"/>
  <c r="H721" i="42691"/>
  <c r="G721" i="42691"/>
  <c r="F721" i="42691"/>
  <c r="Q719" i="42691"/>
  <c r="Q751" i="42691" s="1"/>
  <c r="P719" i="42691"/>
  <c r="P751" i="42691" s="1"/>
  <c r="O719" i="42691"/>
  <c r="O751" i="42691" s="1"/>
  <c r="N719" i="42691"/>
  <c r="N751" i="42691" s="1"/>
  <c r="M719" i="42691"/>
  <c r="M751" i="42691" s="1"/>
  <c r="L719" i="42691"/>
  <c r="L751" i="42691" s="1"/>
  <c r="K719" i="42691"/>
  <c r="K751" i="42691" s="1"/>
  <c r="J719" i="42691"/>
  <c r="J751" i="42691" s="1"/>
  <c r="I719" i="42691"/>
  <c r="I751" i="42691" s="1"/>
  <c r="H719" i="42691"/>
  <c r="H751" i="42691" s="1"/>
  <c r="G719" i="42691"/>
  <c r="G751" i="42691" s="1"/>
  <c r="F719" i="42691"/>
  <c r="F751" i="42691" s="1"/>
  <c r="R751" i="42691" s="1"/>
  <c r="Q715" i="42691"/>
  <c r="P715" i="42691"/>
  <c r="O715" i="42691"/>
  <c r="N715" i="42691"/>
  <c r="M715" i="42691"/>
  <c r="L715" i="42691"/>
  <c r="K715" i="42691"/>
  <c r="J715" i="42691"/>
  <c r="I715" i="42691"/>
  <c r="H715" i="42691"/>
  <c r="G715" i="42691"/>
  <c r="F715" i="42691"/>
  <c r="Q681" i="42691"/>
  <c r="P681" i="42691"/>
  <c r="O681" i="42691"/>
  <c r="N681" i="42691"/>
  <c r="M681" i="42691"/>
  <c r="L681" i="42691"/>
  <c r="K681" i="42691"/>
  <c r="J681" i="42691"/>
  <c r="I681" i="42691"/>
  <c r="H681" i="42691"/>
  <c r="G681" i="42691"/>
  <c r="F681" i="42691"/>
  <c r="Q679" i="42691"/>
  <c r="Q818" i="42691" s="1"/>
  <c r="P679" i="42691"/>
  <c r="P818" i="42691" s="1"/>
  <c r="O679" i="42691"/>
  <c r="O818" i="42691" s="1"/>
  <c r="N679" i="42691"/>
  <c r="N818" i="42691" s="1"/>
  <c r="M679" i="42691"/>
  <c r="M818" i="42691" s="1"/>
  <c r="L679" i="42691"/>
  <c r="L818" i="42691" s="1"/>
  <c r="K679" i="42691"/>
  <c r="K818" i="42691" s="1"/>
  <c r="J679" i="42691"/>
  <c r="J818" i="42691" s="1"/>
  <c r="I679" i="42691"/>
  <c r="I818" i="42691" s="1"/>
  <c r="H679" i="42691"/>
  <c r="H818" i="42691" s="1"/>
  <c r="G679" i="42691"/>
  <c r="G818" i="42691" s="1"/>
  <c r="F679" i="42691"/>
  <c r="R679" i="42691" s="1"/>
  <c r="Q676" i="42691"/>
  <c r="P676" i="42691"/>
  <c r="O676" i="42691"/>
  <c r="N676" i="42691"/>
  <c r="M676" i="42691"/>
  <c r="L676" i="42691"/>
  <c r="K676" i="42691"/>
  <c r="J676" i="42691"/>
  <c r="I676" i="42691"/>
  <c r="H676" i="42691"/>
  <c r="G676" i="42691"/>
  <c r="F676" i="42691"/>
  <c r="Q675" i="42691"/>
  <c r="P675" i="42691"/>
  <c r="O675" i="42691"/>
  <c r="N675" i="42691"/>
  <c r="M675" i="42691"/>
  <c r="L675" i="42691"/>
  <c r="K675" i="42691"/>
  <c r="J675" i="42691"/>
  <c r="I675" i="42691"/>
  <c r="H675" i="42691"/>
  <c r="G675" i="42691"/>
  <c r="F675" i="42691"/>
  <c r="Q673" i="42691"/>
  <c r="P673" i="42691"/>
  <c r="O673" i="42691"/>
  <c r="N673" i="42691"/>
  <c r="M673" i="42691"/>
  <c r="L673" i="42691"/>
  <c r="K673" i="42691"/>
  <c r="J673" i="42691"/>
  <c r="I673" i="42691"/>
  <c r="H673" i="42691"/>
  <c r="G673" i="42691"/>
  <c r="F673" i="42691"/>
  <c r="Q669" i="42691"/>
  <c r="P669" i="42691"/>
  <c r="O669" i="42691"/>
  <c r="N669" i="42691"/>
  <c r="M669" i="42691"/>
  <c r="L669" i="42691"/>
  <c r="K669" i="42691"/>
  <c r="J669" i="42691"/>
  <c r="I669" i="42691"/>
  <c r="H669" i="42691"/>
  <c r="G669" i="42691"/>
  <c r="F669" i="42691"/>
  <c r="Q638" i="42691"/>
  <c r="P638" i="42691"/>
  <c r="O638" i="42691"/>
  <c r="N638" i="42691"/>
  <c r="M638" i="42691"/>
  <c r="L638" i="42691"/>
  <c r="K638" i="42691"/>
  <c r="J638" i="42691"/>
  <c r="I638" i="42691"/>
  <c r="H638" i="42691"/>
  <c r="G638" i="42691"/>
  <c r="F638" i="42691"/>
  <c r="R638" i="42691" s="1"/>
  <c r="Q637" i="42691"/>
  <c r="P637" i="42691"/>
  <c r="O637" i="42691"/>
  <c r="N637" i="42691"/>
  <c r="M637" i="42691"/>
  <c r="L637" i="42691"/>
  <c r="K637" i="42691"/>
  <c r="J637" i="42691"/>
  <c r="I637" i="42691"/>
  <c r="H637" i="42691"/>
  <c r="G637" i="42691"/>
  <c r="F637" i="42691"/>
  <c r="Q635" i="42691"/>
  <c r="Q817" i="42691" s="1"/>
  <c r="P635" i="42691"/>
  <c r="P817" i="42691" s="1"/>
  <c r="O635" i="42691"/>
  <c r="O817" i="42691" s="1"/>
  <c r="N635" i="42691"/>
  <c r="N817" i="42691" s="1"/>
  <c r="M635" i="42691"/>
  <c r="M817" i="42691" s="1"/>
  <c r="L635" i="42691"/>
  <c r="L817" i="42691" s="1"/>
  <c r="K635" i="42691"/>
  <c r="K817" i="42691" s="1"/>
  <c r="J635" i="42691"/>
  <c r="J817" i="42691" s="1"/>
  <c r="I635" i="42691"/>
  <c r="I817" i="42691" s="1"/>
  <c r="H635" i="42691"/>
  <c r="H817" i="42691" s="1"/>
  <c r="G635" i="42691"/>
  <c r="G817" i="42691" s="1"/>
  <c r="F635" i="42691"/>
  <c r="F817" i="42691" s="1"/>
  <c r="R817" i="42691" s="1"/>
  <c r="Q631" i="42691"/>
  <c r="P631" i="42691"/>
  <c r="O631" i="42691"/>
  <c r="N631" i="42691"/>
  <c r="M631" i="42691"/>
  <c r="L631" i="42691"/>
  <c r="K631" i="42691"/>
  <c r="J631" i="42691"/>
  <c r="I631" i="42691"/>
  <c r="H631" i="42691"/>
  <c r="G631" i="42691"/>
  <c r="F631" i="42691"/>
  <c r="Q629" i="42691"/>
  <c r="P629" i="42691"/>
  <c r="O629" i="42691"/>
  <c r="N629" i="42691"/>
  <c r="M629" i="42691"/>
  <c r="L629" i="42691"/>
  <c r="K629" i="42691"/>
  <c r="J629" i="42691"/>
  <c r="I629" i="42691"/>
  <c r="H629" i="42691"/>
  <c r="G629" i="42691"/>
  <c r="F629" i="42691"/>
  <c r="Q625" i="42691"/>
  <c r="P625" i="42691"/>
  <c r="O625" i="42691"/>
  <c r="N625" i="42691"/>
  <c r="M625" i="42691"/>
  <c r="L625" i="42691"/>
  <c r="K625" i="42691"/>
  <c r="J625" i="42691"/>
  <c r="I625" i="42691"/>
  <c r="H625" i="42691"/>
  <c r="G625" i="42691"/>
  <c r="F625" i="42691"/>
  <c r="Q613" i="42691"/>
  <c r="Q616" i="42691" s="1"/>
  <c r="P613" i="42691"/>
  <c r="P888" i="42691" s="1"/>
  <c r="O613" i="42691"/>
  <c r="O616" i="42691" s="1"/>
  <c r="N613" i="42691"/>
  <c r="N888" i="42691" s="1"/>
  <c r="M613" i="42691"/>
  <c r="M616" i="42691" s="1"/>
  <c r="L613" i="42691"/>
  <c r="L888" i="42691" s="1"/>
  <c r="K613" i="42691"/>
  <c r="K616" i="42691" s="1"/>
  <c r="J613" i="42691"/>
  <c r="J888" i="42691" s="1"/>
  <c r="I613" i="42691"/>
  <c r="I616" i="42691" s="1"/>
  <c r="H613" i="42691"/>
  <c r="H888" i="42691" s="1"/>
  <c r="G613" i="42691"/>
  <c r="G616" i="42691" s="1"/>
  <c r="F613" i="42691"/>
  <c r="F888" i="42691" s="1"/>
  <c r="Q585" i="42691"/>
  <c r="P585" i="42691"/>
  <c r="O585" i="42691"/>
  <c r="N585" i="42691"/>
  <c r="M585" i="42691"/>
  <c r="L585" i="42691"/>
  <c r="K585" i="42691"/>
  <c r="J585" i="42691"/>
  <c r="I585" i="42691"/>
  <c r="H585" i="42691"/>
  <c r="G585" i="42691"/>
  <c r="F585" i="42691"/>
  <c r="R585" i="42691" s="1"/>
  <c r="Q584" i="42691"/>
  <c r="P584" i="42691"/>
  <c r="O584" i="42691"/>
  <c r="N584" i="42691"/>
  <c r="M584" i="42691"/>
  <c r="L584" i="42691"/>
  <c r="K584" i="42691"/>
  <c r="J584" i="42691"/>
  <c r="I584" i="42691"/>
  <c r="H584" i="42691"/>
  <c r="G584" i="42691"/>
  <c r="F584" i="42691"/>
  <c r="R584" i="42691" s="1"/>
  <c r="Q583" i="42691"/>
  <c r="P583" i="42691"/>
  <c r="O583" i="42691"/>
  <c r="N583" i="42691"/>
  <c r="M583" i="42691"/>
  <c r="L583" i="42691"/>
  <c r="K583" i="42691"/>
  <c r="J583" i="42691"/>
  <c r="I583" i="42691"/>
  <c r="H583" i="42691"/>
  <c r="G583" i="42691"/>
  <c r="F583" i="42691"/>
  <c r="R583" i="42691" s="1"/>
  <c r="Q582" i="42691"/>
  <c r="P582" i="42691"/>
  <c r="O582" i="42691"/>
  <c r="N582" i="42691"/>
  <c r="M582" i="42691"/>
  <c r="L582" i="42691"/>
  <c r="K582" i="42691"/>
  <c r="J582" i="42691"/>
  <c r="I582" i="42691"/>
  <c r="H582" i="42691"/>
  <c r="G582" i="42691"/>
  <c r="F582" i="42691"/>
  <c r="R582" i="42691" s="1"/>
  <c r="Q581" i="42691"/>
  <c r="P581" i="42691"/>
  <c r="O581" i="42691"/>
  <c r="N581" i="42691"/>
  <c r="M581" i="42691"/>
  <c r="L581" i="42691"/>
  <c r="K581" i="42691"/>
  <c r="J581" i="42691"/>
  <c r="I581" i="42691"/>
  <c r="H581" i="42691"/>
  <c r="G581" i="42691"/>
  <c r="F581" i="42691"/>
  <c r="Q579" i="42691"/>
  <c r="Q816" i="42691" s="1"/>
  <c r="P579" i="42691"/>
  <c r="P816" i="42691" s="1"/>
  <c r="O579" i="42691"/>
  <c r="O816" i="42691" s="1"/>
  <c r="N579" i="42691"/>
  <c r="N816" i="42691" s="1"/>
  <c r="M579" i="42691"/>
  <c r="M816" i="42691" s="1"/>
  <c r="L579" i="42691"/>
  <c r="L816" i="42691" s="1"/>
  <c r="K579" i="42691"/>
  <c r="K816" i="42691" s="1"/>
  <c r="J579" i="42691"/>
  <c r="J816" i="42691" s="1"/>
  <c r="I579" i="42691"/>
  <c r="I816" i="42691" s="1"/>
  <c r="H579" i="42691"/>
  <c r="H816" i="42691" s="1"/>
  <c r="G579" i="42691"/>
  <c r="G816" i="42691" s="1"/>
  <c r="F579" i="42691"/>
  <c r="F816" i="42691" s="1"/>
  <c r="R816" i="42691" s="1"/>
  <c r="Q574" i="42691"/>
  <c r="P574" i="42691"/>
  <c r="O574" i="42691"/>
  <c r="N574" i="42691"/>
  <c r="M574" i="42691"/>
  <c r="L574" i="42691"/>
  <c r="K574" i="42691"/>
  <c r="J574" i="42691"/>
  <c r="I574" i="42691"/>
  <c r="H574" i="42691"/>
  <c r="G574" i="42691"/>
  <c r="F574" i="42691"/>
  <c r="Q545" i="42691"/>
  <c r="P545" i="42691"/>
  <c r="O545" i="42691"/>
  <c r="N545" i="42691"/>
  <c r="M545" i="42691"/>
  <c r="L545" i="42691"/>
  <c r="K545" i="42691"/>
  <c r="J545" i="42691"/>
  <c r="I545" i="42691"/>
  <c r="H545" i="42691"/>
  <c r="G545" i="42691"/>
  <c r="F545" i="42691"/>
  <c r="Q543" i="42691"/>
  <c r="Q815" i="42691" s="1"/>
  <c r="Q833" i="42691" s="1"/>
  <c r="P543" i="42691"/>
  <c r="P815" i="42691" s="1"/>
  <c r="P833" i="42691" s="1"/>
  <c r="O543" i="42691"/>
  <c r="O815" i="42691" s="1"/>
  <c r="O833" i="42691" s="1"/>
  <c r="N543" i="42691"/>
  <c r="N815" i="42691" s="1"/>
  <c r="N833" i="42691" s="1"/>
  <c r="M543" i="42691"/>
  <c r="M815" i="42691" s="1"/>
  <c r="M833" i="42691" s="1"/>
  <c r="L543" i="42691"/>
  <c r="L815" i="42691" s="1"/>
  <c r="L833" i="42691" s="1"/>
  <c r="K543" i="42691"/>
  <c r="K815" i="42691" s="1"/>
  <c r="K833" i="42691" s="1"/>
  <c r="J543" i="42691"/>
  <c r="J815" i="42691" s="1"/>
  <c r="J833" i="42691" s="1"/>
  <c r="I543" i="42691"/>
  <c r="I815" i="42691" s="1"/>
  <c r="I833" i="42691" s="1"/>
  <c r="H543" i="42691"/>
  <c r="H815" i="42691" s="1"/>
  <c r="H833" i="42691" s="1"/>
  <c r="G543" i="42691"/>
  <c r="G815" i="42691" s="1"/>
  <c r="G833" i="42691" s="1"/>
  <c r="F543" i="42691"/>
  <c r="F815" i="42691" s="1"/>
  <c r="Q539" i="42691"/>
  <c r="P539" i="42691"/>
  <c r="O539" i="42691"/>
  <c r="N539" i="42691"/>
  <c r="M539" i="42691"/>
  <c r="L539" i="42691"/>
  <c r="K539" i="42691"/>
  <c r="J539" i="42691"/>
  <c r="I539" i="42691"/>
  <c r="H539" i="42691"/>
  <c r="G539" i="42691"/>
  <c r="F539" i="42691"/>
  <c r="Q538" i="42691"/>
  <c r="P538" i="42691"/>
  <c r="O538" i="42691"/>
  <c r="N538" i="42691"/>
  <c r="M538" i="42691"/>
  <c r="L538" i="42691"/>
  <c r="K538" i="42691"/>
  <c r="J538" i="42691"/>
  <c r="I538" i="42691"/>
  <c r="H538" i="42691"/>
  <c r="G538" i="42691"/>
  <c r="F538" i="42691"/>
  <c r="Q537" i="42691"/>
  <c r="P537" i="42691"/>
  <c r="O537" i="42691"/>
  <c r="N537" i="42691"/>
  <c r="M537" i="42691"/>
  <c r="L537" i="42691"/>
  <c r="K537" i="42691"/>
  <c r="J537" i="42691"/>
  <c r="I537" i="42691"/>
  <c r="H537" i="42691"/>
  <c r="G537" i="42691"/>
  <c r="F537" i="42691"/>
  <c r="Q536" i="42691"/>
  <c r="Q554" i="42691" s="1"/>
  <c r="P536" i="42691"/>
  <c r="P554" i="42691" s="1"/>
  <c r="O536" i="42691"/>
  <c r="O554" i="42691" s="1"/>
  <c r="N536" i="42691"/>
  <c r="N554" i="42691" s="1"/>
  <c r="M536" i="42691"/>
  <c r="M554" i="42691" s="1"/>
  <c r="L536" i="42691"/>
  <c r="L554" i="42691" s="1"/>
  <c r="K536" i="42691"/>
  <c r="K554" i="42691" s="1"/>
  <c r="J536" i="42691"/>
  <c r="J554" i="42691" s="1"/>
  <c r="I536" i="42691"/>
  <c r="I554" i="42691" s="1"/>
  <c r="H536" i="42691"/>
  <c r="H554" i="42691" s="1"/>
  <c r="G536" i="42691"/>
  <c r="G554" i="42691" s="1"/>
  <c r="F536" i="42691"/>
  <c r="F554" i="42691" s="1"/>
  <c r="Q534" i="42691"/>
  <c r="Q552" i="42691" s="1"/>
  <c r="P534" i="42691"/>
  <c r="P552" i="42691" s="1"/>
  <c r="O534" i="42691"/>
  <c r="O552" i="42691" s="1"/>
  <c r="N534" i="42691"/>
  <c r="N552" i="42691" s="1"/>
  <c r="M534" i="42691"/>
  <c r="M552" i="42691" s="1"/>
  <c r="L534" i="42691"/>
  <c r="L552" i="42691" s="1"/>
  <c r="K534" i="42691"/>
  <c r="K552" i="42691" s="1"/>
  <c r="J534" i="42691"/>
  <c r="J552" i="42691" s="1"/>
  <c r="I534" i="42691"/>
  <c r="I552" i="42691" s="1"/>
  <c r="H534" i="42691"/>
  <c r="H552" i="42691" s="1"/>
  <c r="G534" i="42691"/>
  <c r="G552" i="42691" s="1"/>
  <c r="F534" i="42691"/>
  <c r="F552" i="42691" s="1"/>
  <c r="Q512" i="42691"/>
  <c r="P512" i="42691"/>
  <c r="O512" i="42691"/>
  <c r="N512" i="42691"/>
  <c r="M512" i="42691"/>
  <c r="L512" i="42691"/>
  <c r="K512" i="42691"/>
  <c r="J512" i="42691"/>
  <c r="I512" i="42691"/>
  <c r="H512" i="42691"/>
  <c r="G512" i="42691"/>
  <c r="F512" i="42691"/>
  <c r="Q511" i="42691"/>
  <c r="P511" i="42691"/>
  <c r="O511" i="42691"/>
  <c r="N511" i="42691"/>
  <c r="M511" i="42691"/>
  <c r="L511" i="42691"/>
  <c r="K511" i="42691"/>
  <c r="J511" i="42691"/>
  <c r="I511" i="42691"/>
  <c r="H511" i="42691"/>
  <c r="G511" i="42691"/>
  <c r="F511" i="42691"/>
  <c r="R511" i="42691" s="1"/>
  <c r="Q509" i="42691"/>
  <c r="Q814" i="42691" s="1"/>
  <c r="P509" i="42691"/>
  <c r="P814" i="42691" s="1"/>
  <c r="O509" i="42691"/>
  <c r="O814" i="42691" s="1"/>
  <c r="N509" i="42691"/>
  <c r="N814" i="42691" s="1"/>
  <c r="M509" i="42691"/>
  <c r="M814" i="42691" s="1"/>
  <c r="L509" i="42691"/>
  <c r="L814" i="42691" s="1"/>
  <c r="K509" i="42691"/>
  <c r="K814" i="42691" s="1"/>
  <c r="J509" i="42691"/>
  <c r="J814" i="42691" s="1"/>
  <c r="I509" i="42691"/>
  <c r="I814" i="42691" s="1"/>
  <c r="H509" i="42691"/>
  <c r="H814" i="42691" s="1"/>
  <c r="G509" i="42691"/>
  <c r="G814" i="42691" s="1"/>
  <c r="F509" i="42691"/>
  <c r="F814" i="42691" s="1"/>
  <c r="R814" i="42691" s="1"/>
  <c r="Q504" i="42691"/>
  <c r="P504" i="42691"/>
  <c r="O504" i="42691"/>
  <c r="N504" i="42691"/>
  <c r="M504" i="42691"/>
  <c r="L504" i="42691"/>
  <c r="K504" i="42691"/>
  <c r="J504" i="42691"/>
  <c r="I504" i="42691"/>
  <c r="H504" i="42691"/>
  <c r="G504" i="42691"/>
  <c r="F504" i="42691"/>
  <c r="R485" i="42691"/>
  <c r="Q476" i="42691"/>
  <c r="P476" i="42691"/>
  <c r="O476" i="42691"/>
  <c r="N476" i="42691"/>
  <c r="M476" i="42691"/>
  <c r="L476" i="42691"/>
  <c r="K476" i="42691"/>
  <c r="J476" i="42691"/>
  <c r="I476" i="42691"/>
  <c r="H476" i="42691"/>
  <c r="G476" i="42691"/>
  <c r="F476" i="42691"/>
  <c r="Q475" i="42691"/>
  <c r="P475" i="42691"/>
  <c r="O475" i="42691"/>
  <c r="N475" i="42691"/>
  <c r="M475" i="42691"/>
  <c r="L475" i="42691"/>
  <c r="K475" i="42691"/>
  <c r="J475" i="42691"/>
  <c r="I475" i="42691"/>
  <c r="H475" i="42691"/>
  <c r="G475" i="42691"/>
  <c r="F475" i="42691"/>
  <c r="Q473" i="42691"/>
  <c r="Q813" i="42691" s="1"/>
  <c r="P473" i="42691"/>
  <c r="P813" i="42691" s="1"/>
  <c r="O473" i="42691"/>
  <c r="O813" i="42691" s="1"/>
  <c r="N473" i="42691"/>
  <c r="N813" i="42691" s="1"/>
  <c r="M473" i="42691"/>
  <c r="M813" i="42691" s="1"/>
  <c r="L473" i="42691"/>
  <c r="L813" i="42691" s="1"/>
  <c r="K473" i="42691"/>
  <c r="K813" i="42691" s="1"/>
  <c r="J473" i="42691"/>
  <c r="J813" i="42691" s="1"/>
  <c r="I473" i="42691"/>
  <c r="I813" i="42691" s="1"/>
  <c r="H473" i="42691"/>
  <c r="H813" i="42691" s="1"/>
  <c r="G473" i="42691"/>
  <c r="G813" i="42691" s="1"/>
  <c r="F473" i="42691"/>
  <c r="F813" i="42691" s="1"/>
  <c r="Q467" i="42691"/>
  <c r="P467" i="42691"/>
  <c r="O467" i="42691"/>
  <c r="N467" i="42691"/>
  <c r="M467" i="42691"/>
  <c r="L467" i="42691"/>
  <c r="K467" i="42691"/>
  <c r="J467" i="42691"/>
  <c r="I467" i="42691"/>
  <c r="H467" i="42691"/>
  <c r="G467" i="42691"/>
  <c r="F467" i="42691"/>
  <c r="R446" i="42691"/>
  <c r="Q437" i="42691"/>
  <c r="P437" i="42691"/>
  <c r="O437" i="42691"/>
  <c r="N437" i="42691"/>
  <c r="M437" i="42691"/>
  <c r="L437" i="42691"/>
  <c r="K437" i="42691"/>
  <c r="J437" i="42691"/>
  <c r="I437" i="42691"/>
  <c r="H437" i="42691"/>
  <c r="G437" i="42691"/>
  <c r="F437" i="42691"/>
  <c r="R437" i="42691" s="1"/>
  <c r="Q436" i="42691"/>
  <c r="P436" i="42691"/>
  <c r="O436" i="42691"/>
  <c r="N436" i="42691"/>
  <c r="M436" i="42691"/>
  <c r="L436" i="42691"/>
  <c r="K436" i="42691"/>
  <c r="J436" i="42691"/>
  <c r="I436" i="42691"/>
  <c r="H436" i="42691"/>
  <c r="G436" i="42691"/>
  <c r="F436" i="42691"/>
  <c r="Q434" i="42691"/>
  <c r="Q812" i="42691" s="1"/>
  <c r="P434" i="42691"/>
  <c r="P812" i="42691" s="1"/>
  <c r="O434" i="42691"/>
  <c r="O812" i="42691" s="1"/>
  <c r="N434" i="42691"/>
  <c r="N812" i="42691" s="1"/>
  <c r="M434" i="42691"/>
  <c r="M812" i="42691" s="1"/>
  <c r="L434" i="42691"/>
  <c r="L812" i="42691" s="1"/>
  <c r="K434" i="42691"/>
  <c r="K812" i="42691" s="1"/>
  <c r="J434" i="42691"/>
  <c r="J812" i="42691" s="1"/>
  <c r="I434" i="42691"/>
  <c r="I812" i="42691" s="1"/>
  <c r="H434" i="42691"/>
  <c r="H812" i="42691" s="1"/>
  <c r="G434" i="42691"/>
  <c r="G812" i="42691" s="1"/>
  <c r="F434" i="42691"/>
  <c r="F812" i="42691" s="1"/>
  <c r="Q431" i="42691"/>
  <c r="P431" i="42691"/>
  <c r="O431" i="42691"/>
  <c r="N431" i="42691"/>
  <c r="M431" i="42691"/>
  <c r="L431" i="42691"/>
  <c r="K431" i="42691"/>
  <c r="J431" i="42691"/>
  <c r="I431" i="42691"/>
  <c r="H431" i="42691"/>
  <c r="G431" i="42691"/>
  <c r="F431" i="42691"/>
  <c r="Q430" i="42691"/>
  <c r="P430" i="42691"/>
  <c r="O430" i="42691"/>
  <c r="N430" i="42691"/>
  <c r="M430" i="42691"/>
  <c r="L430" i="42691"/>
  <c r="K430" i="42691"/>
  <c r="J430" i="42691"/>
  <c r="I430" i="42691"/>
  <c r="H430" i="42691"/>
  <c r="G430" i="42691"/>
  <c r="F430" i="42691"/>
  <c r="Q428" i="42691"/>
  <c r="P428" i="42691"/>
  <c r="O428" i="42691"/>
  <c r="N428" i="42691"/>
  <c r="M428" i="42691"/>
  <c r="L428" i="42691"/>
  <c r="K428" i="42691"/>
  <c r="J428" i="42691"/>
  <c r="I428" i="42691"/>
  <c r="H428" i="42691"/>
  <c r="G428" i="42691"/>
  <c r="F428" i="42691"/>
  <c r="Q425" i="42691"/>
  <c r="P425" i="42691"/>
  <c r="O425" i="42691"/>
  <c r="N425" i="42691"/>
  <c r="M425" i="42691"/>
  <c r="L425" i="42691"/>
  <c r="K425" i="42691"/>
  <c r="J425" i="42691"/>
  <c r="I425" i="42691"/>
  <c r="H425" i="42691"/>
  <c r="G425" i="42691"/>
  <c r="F425" i="42691"/>
  <c r="Q408" i="42691"/>
  <c r="Q811" i="42691" s="1"/>
  <c r="P408" i="42691"/>
  <c r="P811" i="42691" s="1"/>
  <c r="O408" i="42691"/>
  <c r="O811" i="42691" s="1"/>
  <c r="N408" i="42691"/>
  <c r="N811" i="42691" s="1"/>
  <c r="M408" i="42691"/>
  <c r="M811" i="42691" s="1"/>
  <c r="L408" i="42691"/>
  <c r="L811" i="42691" s="1"/>
  <c r="K408" i="42691"/>
  <c r="K811" i="42691" s="1"/>
  <c r="J408" i="42691"/>
  <c r="J811" i="42691" s="1"/>
  <c r="I408" i="42691"/>
  <c r="I811" i="42691" s="1"/>
  <c r="H408" i="42691"/>
  <c r="H811" i="42691" s="1"/>
  <c r="G408" i="42691"/>
  <c r="G811" i="42691" s="1"/>
  <c r="F408" i="42691"/>
  <c r="F811" i="42691" s="1"/>
  <c r="R811" i="42691" s="1"/>
  <c r="Q405" i="42691"/>
  <c r="P405" i="42691"/>
  <c r="O405" i="42691"/>
  <c r="N405" i="42691"/>
  <c r="M405" i="42691"/>
  <c r="L405" i="42691"/>
  <c r="K405" i="42691"/>
  <c r="J405" i="42691"/>
  <c r="I405" i="42691"/>
  <c r="H405" i="42691"/>
  <c r="G405" i="42691"/>
  <c r="F405" i="42691"/>
  <c r="Q404" i="42691"/>
  <c r="P404" i="42691"/>
  <c r="O404" i="42691"/>
  <c r="N404" i="42691"/>
  <c r="M404" i="42691"/>
  <c r="L404" i="42691"/>
  <c r="K404" i="42691"/>
  <c r="J404" i="42691"/>
  <c r="I404" i="42691"/>
  <c r="H404" i="42691"/>
  <c r="G404" i="42691"/>
  <c r="F404" i="42691"/>
  <c r="Q372" i="42691"/>
  <c r="P372" i="42691"/>
  <c r="O372" i="42691"/>
  <c r="N372" i="42691"/>
  <c r="M372" i="42691"/>
  <c r="L372" i="42691"/>
  <c r="K372" i="42691"/>
  <c r="J372" i="42691"/>
  <c r="I372" i="42691"/>
  <c r="H372" i="42691"/>
  <c r="G372" i="42691"/>
  <c r="F372" i="42691"/>
  <c r="R372" i="42691" s="1"/>
  <c r="Q371" i="42691"/>
  <c r="P371" i="42691"/>
  <c r="O371" i="42691"/>
  <c r="N371" i="42691"/>
  <c r="M371" i="42691"/>
  <c r="L371" i="42691"/>
  <c r="K371" i="42691"/>
  <c r="J371" i="42691"/>
  <c r="I371" i="42691"/>
  <c r="H371" i="42691"/>
  <c r="G371" i="42691"/>
  <c r="F371" i="42691"/>
  <c r="R371" i="42691" s="1"/>
  <c r="Q370" i="42691"/>
  <c r="P370" i="42691"/>
  <c r="O370" i="42691"/>
  <c r="N370" i="42691"/>
  <c r="M370" i="42691"/>
  <c r="L370" i="42691"/>
  <c r="K370" i="42691"/>
  <c r="J370" i="42691"/>
  <c r="I370" i="42691"/>
  <c r="H370" i="42691"/>
  <c r="G370" i="42691"/>
  <c r="F370" i="42691"/>
  <c r="R370" i="42691" s="1"/>
  <c r="Q369" i="42691"/>
  <c r="P369" i="42691"/>
  <c r="O369" i="42691"/>
  <c r="N369" i="42691"/>
  <c r="M369" i="42691"/>
  <c r="L369" i="42691"/>
  <c r="K369" i="42691"/>
  <c r="J369" i="42691"/>
  <c r="I369" i="42691"/>
  <c r="H369" i="42691"/>
  <c r="G369" i="42691"/>
  <c r="F369" i="42691"/>
  <c r="R369" i="42691" s="1"/>
  <c r="Q368" i="42691"/>
  <c r="P368" i="42691"/>
  <c r="O368" i="42691"/>
  <c r="N368" i="42691"/>
  <c r="M368" i="42691"/>
  <c r="L368" i="42691"/>
  <c r="K368" i="42691"/>
  <c r="J368" i="42691"/>
  <c r="I368" i="42691"/>
  <c r="H368" i="42691"/>
  <c r="G368" i="42691"/>
  <c r="F368" i="42691"/>
  <c r="Q366" i="42691"/>
  <c r="Q810" i="42691" s="1"/>
  <c r="Q830" i="42691" s="1"/>
  <c r="P366" i="42691"/>
  <c r="P810" i="42691" s="1"/>
  <c r="P830" i="42691" s="1"/>
  <c r="O366" i="42691"/>
  <c r="O810" i="42691" s="1"/>
  <c r="O830" i="42691" s="1"/>
  <c r="N366" i="42691"/>
  <c r="N810" i="42691" s="1"/>
  <c r="N830" i="42691" s="1"/>
  <c r="M366" i="42691"/>
  <c r="M810" i="42691" s="1"/>
  <c r="M830" i="42691" s="1"/>
  <c r="L366" i="42691"/>
  <c r="L810" i="42691" s="1"/>
  <c r="L830" i="42691" s="1"/>
  <c r="K366" i="42691"/>
  <c r="K810" i="42691" s="1"/>
  <c r="K830" i="42691" s="1"/>
  <c r="J366" i="42691"/>
  <c r="J810" i="42691" s="1"/>
  <c r="J830" i="42691" s="1"/>
  <c r="I366" i="42691"/>
  <c r="I810" i="42691" s="1"/>
  <c r="I830" i="42691" s="1"/>
  <c r="H366" i="42691"/>
  <c r="H810" i="42691" s="1"/>
  <c r="H830" i="42691" s="1"/>
  <c r="G366" i="42691"/>
  <c r="G810" i="42691" s="1"/>
  <c r="G830" i="42691" s="1"/>
  <c r="F366" i="42691"/>
  <c r="F810" i="42691" s="1"/>
  <c r="Q359" i="42691"/>
  <c r="Q718" i="42691" s="1"/>
  <c r="Q750" i="42691" s="1"/>
  <c r="Q752" i="42691" s="1"/>
  <c r="P359" i="42691"/>
  <c r="P718" i="42691" s="1"/>
  <c r="P750" i="42691" s="1"/>
  <c r="P752" i="42691" s="1"/>
  <c r="O359" i="42691"/>
  <c r="O718" i="42691" s="1"/>
  <c r="O750" i="42691" s="1"/>
  <c r="O752" i="42691" s="1"/>
  <c r="N359" i="42691"/>
  <c r="N718" i="42691" s="1"/>
  <c r="N750" i="42691" s="1"/>
  <c r="N752" i="42691" s="1"/>
  <c r="M359" i="42691"/>
  <c r="M718" i="42691" s="1"/>
  <c r="M750" i="42691" s="1"/>
  <c r="M752" i="42691" s="1"/>
  <c r="L359" i="42691"/>
  <c r="L718" i="42691" s="1"/>
  <c r="L750" i="42691" s="1"/>
  <c r="L752" i="42691" s="1"/>
  <c r="K359" i="42691"/>
  <c r="K718" i="42691" s="1"/>
  <c r="K750" i="42691" s="1"/>
  <c r="K752" i="42691" s="1"/>
  <c r="J359" i="42691"/>
  <c r="J718" i="42691" s="1"/>
  <c r="J750" i="42691" s="1"/>
  <c r="J752" i="42691" s="1"/>
  <c r="I359" i="42691"/>
  <c r="I718" i="42691" s="1"/>
  <c r="I750" i="42691" s="1"/>
  <c r="I752" i="42691" s="1"/>
  <c r="H359" i="42691"/>
  <c r="H718" i="42691" s="1"/>
  <c r="H750" i="42691" s="1"/>
  <c r="H752" i="42691" s="1"/>
  <c r="G359" i="42691"/>
  <c r="G718" i="42691" s="1"/>
  <c r="G750" i="42691" s="1"/>
  <c r="G752" i="42691" s="1"/>
  <c r="F359" i="42691"/>
  <c r="F718" i="42691" s="1"/>
  <c r="F750" i="42691" s="1"/>
  <c r="Q357" i="42691"/>
  <c r="Q716" i="42691" s="1"/>
  <c r="P357" i="42691"/>
  <c r="P716" i="42691" s="1"/>
  <c r="O357" i="42691"/>
  <c r="O716" i="42691" s="1"/>
  <c r="N357" i="42691"/>
  <c r="N716" i="42691" s="1"/>
  <c r="M357" i="42691"/>
  <c r="M716" i="42691" s="1"/>
  <c r="L357" i="42691"/>
  <c r="L716" i="42691" s="1"/>
  <c r="K357" i="42691"/>
  <c r="K716" i="42691" s="1"/>
  <c r="J357" i="42691"/>
  <c r="J716" i="42691" s="1"/>
  <c r="I357" i="42691"/>
  <c r="I716" i="42691" s="1"/>
  <c r="H357" i="42691"/>
  <c r="H716" i="42691" s="1"/>
  <c r="G357" i="42691"/>
  <c r="G716" i="42691" s="1"/>
  <c r="F357" i="42691"/>
  <c r="F716" i="42691" s="1"/>
  <c r="Q355" i="42691"/>
  <c r="Q714" i="42691" s="1"/>
  <c r="P355" i="42691"/>
  <c r="P714" i="42691" s="1"/>
  <c r="O355" i="42691"/>
  <c r="O714" i="42691" s="1"/>
  <c r="N355" i="42691"/>
  <c r="N714" i="42691" s="1"/>
  <c r="M355" i="42691"/>
  <c r="M714" i="42691" s="1"/>
  <c r="L355" i="42691"/>
  <c r="L714" i="42691" s="1"/>
  <c r="K355" i="42691"/>
  <c r="K714" i="42691" s="1"/>
  <c r="J355" i="42691"/>
  <c r="J714" i="42691" s="1"/>
  <c r="I355" i="42691"/>
  <c r="I714" i="42691" s="1"/>
  <c r="H355" i="42691"/>
  <c r="H714" i="42691" s="1"/>
  <c r="G355" i="42691"/>
  <c r="G714" i="42691" s="1"/>
  <c r="F355" i="42691"/>
  <c r="F714" i="42691" s="1"/>
  <c r="Q354" i="42691"/>
  <c r="Q713" i="42691" s="1"/>
  <c r="Q744" i="42691" s="1"/>
  <c r="P354" i="42691"/>
  <c r="P713" i="42691" s="1"/>
  <c r="P744" i="42691" s="1"/>
  <c r="O354" i="42691"/>
  <c r="O713" i="42691" s="1"/>
  <c r="O744" i="42691" s="1"/>
  <c r="N354" i="42691"/>
  <c r="N713" i="42691" s="1"/>
  <c r="N744" i="42691" s="1"/>
  <c r="M354" i="42691"/>
  <c r="M713" i="42691" s="1"/>
  <c r="M744" i="42691" s="1"/>
  <c r="L354" i="42691"/>
  <c r="L713" i="42691" s="1"/>
  <c r="L744" i="42691" s="1"/>
  <c r="K354" i="42691"/>
  <c r="K713" i="42691" s="1"/>
  <c r="K744" i="42691" s="1"/>
  <c r="J354" i="42691"/>
  <c r="J713" i="42691" s="1"/>
  <c r="J744" i="42691" s="1"/>
  <c r="I354" i="42691"/>
  <c r="I713" i="42691" s="1"/>
  <c r="I744" i="42691" s="1"/>
  <c r="H354" i="42691"/>
  <c r="H713" i="42691" s="1"/>
  <c r="H744" i="42691" s="1"/>
  <c r="G354" i="42691"/>
  <c r="G713" i="42691" s="1"/>
  <c r="G744" i="42691" s="1"/>
  <c r="F354" i="42691"/>
  <c r="F713" i="42691" s="1"/>
  <c r="F744" i="42691" s="1"/>
  <c r="R744" i="42691" s="1"/>
  <c r="Q353" i="42691"/>
  <c r="Q712" i="42691" s="1"/>
  <c r="Q743" i="42691" s="1"/>
  <c r="P353" i="42691"/>
  <c r="P712" i="42691" s="1"/>
  <c r="P743" i="42691" s="1"/>
  <c r="O353" i="42691"/>
  <c r="O712" i="42691" s="1"/>
  <c r="O743" i="42691" s="1"/>
  <c r="N353" i="42691"/>
  <c r="N712" i="42691" s="1"/>
  <c r="N743" i="42691" s="1"/>
  <c r="M353" i="42691"/>
  <c r="M712" i="42691" s="1"/>
  <c r="M743" i="42691" s="1"/>
  <c r="L353" i="42691"/>
  <c r="L712" i="42691" s="1"/>
  <c r="L743" i="42691" s="1"/>
  <c r="K353" i="42691"/>
  <c r="K712" i="42691" s="1"/>
  <c r="K743" i="42691" s="1"/>
  <c r="J353" i="42691"/>
  <c r="J712" i="42691" s="1"/>
  <c r="J743" i="42691" s="1"/>
  <c r="I353" i="42691"/>
  <c r="I712" i="42691" s="1"/>
  <c r="I743" i="42691" s="1"/>
  <c r="H353" i="42691"/>
  <c r="H712" i="42691" s="1"/>
  <c r="H743" i="42691" s="1"/>
  <c r="G353" i="42691"/>
  <c r="G712" i="42691" s="1"/>
  <c r="G743" i="42691" s="1"/>
  <c r="F353" i="42691"/>
  <c r="F712" i="42691" s="1"/>
  <c r="F743" i="42691" s="1"/>
  <c r="R743" i="42691" s="1"/>
  <c r="Q352" i="42691"/>
  <c r="Q711" i="42691" s="1"/>
  <c r="Q742" i="42691" s="1"/>
  <c r="P352" i="42691"/>
  <c r="P711" i="42691" s="1"/>
  <c r="P742" i="42691" s="1"/>
  <c r="O352" i="42691"/>
  <c r="O711" i="42691" s="1"/>
  <c r="O742" i="42691" s="1"/>
  <c r="N352" i="42691"/>
  <c r="N711" i="42691" s="1"/>
  <c r="N742" i="42691" s="1"/>
  <c r="M352" i="42691"/>
  <c r="M711" i="42691" s="1"/>
  <c r="M742" i="42691" s="1"/>
  <c r="L352" i="42691"/>
  <c r="L711" i="42691" s="1"/>
  <c r="L742" i="42691" s="1"/>
  <c r="K352" i="42691"/>
  <c r="K711" i="42691" s="1"/>
  <c r="K742" i="42691" s="1"/>
  <c r="J352" i="42691"/>
  <c r="J711" i="42691" s="1"/>
  <c r="J742" i="42691" s="1"/>
  <c r="I352" i="42691"/>
  <c r="I711" i="42691" s="1"/>
  <c r="I742" i="42691" s="1"/>
  <c r="H352" i="42691"/>
  <c r="H711" i="42691" s="1"/>
  <c r="H742" i="42691" s="1"/>
  <c r="G352" i="42691"/>
  <c r="G711" i="42691" s="1"/>
  <c r="G742" i="42691" s="1"/>
  <c r="F352" i="42691"/>
  <c r="F711" i="42691" s="1"/>
  <c r="F742" i="42691" s="1"/>
  <c r="R742" i="42691" s="1"/>
  <c r="Q351" i="42691"/>
  <c r="Q710" i="42691" s="1"/>
  <c r="Q741" i="42691" s="1"/>
  <c r="P351" i="42691"/>
  <c r="P710" i="42691" s="1"/>
  <c r="P741" i="42691" s="1"/>
  <c r="O351" i="42691"/>
  <c r="O710" i="42691" s="1"/>
  <c r="O741" i="42691" s="1"/>
  <c r="N351" i="42691"/>
  <c r="N710" i="42691" s="1"/>
  <c r="N741" i="42691" s="1"/>
  <c r="M351" i="42691"/>
  <c r="M710" i="42691" s="1"/>
  <c r="M741" i="42691" s="1"/>
  <c r="L351" i="42691"/>
  <c r="L710" i="42691" s="1"/>
  <c r="L741" i="42691" s="1"/>
  <c r="K351" i="42691"/>
  <c r="K710" i="42691" s="1"/>
  <c r="K741" i="42691" s="1"/>
  <c r="J351" i="42691"/>
  <c r="J710" i="42691" s="1"/>
  <c r="J741" i="42691" s="1"/>
  <c r="I351" i="42691"/>
  <c r="I710" i="42691" s="1"/>
  <c r="I741" i="42691" s="1"/>
  <c r="H351" i="42691"/>
  <c r="H710" i="42691" s="1"/>
  <c r="H741" i="42691" s="1"/>
  <c r="G351" i="42691"/>
  <c r="G710" i="42691" s="1"/>
  <c r="G741" i="42691" s="1"/>
  <c r="F351" i="42691"/>
  <c r="F710" i="42691" s="1"/>
  <c r="F741" i="42691" s="1"/>
  <c r="R741" i="42691" s="1"/>
  <c r="Q350" i="42691"/>
  <c r="Q709" i="42691" s="1"/>
  <c r="Q740" i="42691" s="1"/>
  <c r="P350" i="42691"/>
  <c r="P709" i="42691" s="1"/>
  <c r="P740" i="42691" s="1"/>
  <c r="O350" i="42691"/>
  <c r="O709" i="42691" s="1"/>
  <c r="O740" i="42691" s="1"/>
  <c r="N350" i="42691"/>
  <c r="N709" i="42691" s="1"/>
  <c r="N740" i="42691" s="1"/>
  <c r="M350" i="42691"/>
  <c r="M709" i="42691" s="1"/>
  <c r="M740" i="42691" s="1"/>
  <c r="L350" i="42691"/>
  <c r="L709" i="42691" s="1"/>
  <c r="L740" i="42691" s="1"/>
  <c r="K350" i="42691"/>
  <c r="K709" i="42691" s="1"/>
  <c r="K740" i="42691" s="1"/>
  <c r="J350" i="42691"/>
  <c r="J709" i="42691" s="1"/>
  <c r="J740" i="42691" s="1"/>
  <c r="I350" i="42691"/>
  <c r="I709" i="42691" s="1"/>
  <c r="I740" i="42691" s="1"/>
  <c r="H350" i="42691"/>
  <c r="H709" i="42691" s="1"/>
  <c r="H740" i="42691" s="1"/>
  <c r="G350" i="42691"/>
  <c r="G709" i="42691" s="1"/>
  <c r="G740" i="42691" s="1"/>
  <c r="F350" i="42691"/>
  <c r="F709" i="42691" s="1"/>
  <c r="F740" i="42691" s="1"/>
  <c r="Q348" i="42691"/>
  <c r="Q707" i="42691" s="1"/>
  <c r="Q738" i="42691" s="1"/>
  <c r="P348" i="42691"/>
  <c r="P707" i="42691" s="1"/>
  <c r="P738" i="42691" s="1"/>
  <c r="O348" i="42691"/>
  <c r="O707" i="42691" s="1"/>
  <c r="O738" i="42691" s="1"/>
  <c r="N348" i="42691"/>
  <c r="N707" i="42691" s="1"/>
  <c r="N738" i="42691" s="1"/>
  <c r="M348" i="42691"/>
  <c r="M707" i="42691" s="1"/>
  <c r="M738" i="42691" s="1"/>
  <c r="L348" i="42691"/>
  <c r="L707" i="42691" s="1"/>
  <c r="L738" i="42691" s="1"/>
  <c r="K348" i="42691"/>
  <c r="K707" i="42691" s="1"/>
  <c r="K738" i="42691" s="1"/>
  <c r="J348" i="42691"/>
  <c r="J707" i="42691" s="1"/>
  <c r="J738" i="42691" s="1"/>
  <c r="I348" i="42691"/>
  <c r="I707" i="42691" s="1"/>
  <c r="I738" i="42691" s="1"/>
  <c r="H348" i="42691"/>
  <c r="H707" i="42691" s="1"/>
  <c r="H738" i="42691" s="1"/>
  <c r="G348" i="42691"/>
  <c r="G707" i="42691" s="1"/>
  <c r="G738" i="42691" s="1"/>
  <c r="F348" i="42691"/>
  <c r="F707" i="42691" s="1"/>
  <c r="F738" i="42691" s="1"/>
  <c r="Q322" i="42691"/>
  <c r="P322" i="42691"/>
  <c r="O322" i="42691"/>
  <c r="N322" i="42691"/>
  <c r="M322" i="42691"/>
  <c r="L322" i="42691"/>
  <c r="K322" i="42691"/>
  <c r="J322" i="42691"/>
  <c r="I322" i="42691"/>
  <c r="H322" i="42691"/>
  <c r="G322" i="42691"/>
  <c r="F322" i="42691"/>
  <c r="Q320" i="42691"/>
  <c r="Q809" i="42691" s="1"/>
  <c r="Q829" i="42691" s="1"/>
  <c r="P320" i="42691"/>
  <c r="P809" i="42691" s="1"/>
  <c r="P829" i="42691" s="1"/>
  <c r="O320" i="42691"/>
  <c r="O809" i="42691" s="1"/>
  <c r="O829" i="42691" s="1"/>
  <c r="N320" i="42691"/>
  <c r="N809" i="42691" s="1"/>
  <c r="N829" i="42691" s="1"/>
  <c r="M320" i="42691"/>
  <c r="M809" i="42691" s="1"/>
  <c r="M829" i="42691" s="1"/>
  <c r="L320" i="42691"/>
  <c r="L809" i="42691" s="1"/>
  <c r="L829" i="42691" s="1"/>
  <c r="K320" i="42691"/>
  <c r="K809" i="42691" s="1"/>
  <c r="K829" i="42691" s="1"/>
  <c r="J320" i="42691"/>
  <c r="J809" i="42691" s="1"/>
  <c r="J829" i="42691" s="1"/>
  <c r="I320" i="42691"/>
  <c r="I809" i="42691" s="1"/>
  <c r="I829" i="42691" s="1"/>
  <c r="H320" i="42691"/>
  <c r="H809" i="42691" s="1"/>
  <c r="H829" i="42691" s="1"/>
  <c r="G320" i="42691"/>
  <c r="G809" i="42691" s="1"/>
  <c r="G829" i="42691" s="1"/>
  <c r="F320" i="42691"/>
  <c r="F809" i="42691" s="1"/>
  <c r="Q313" i="42691"/>
  <c r="Q672" i="42691" s="1"/>
  <c r="P313" i="42691"/>
  <c r="P672" i="42691" s="1"/>
  <c r="O313" i="42691"/>
  <c r="O672" i="42691" s="1"/>
  <c r="N313" i="42691"/>
  <c r="N672" i="42691" s="1"/>
  <c r="M313" i="42691"/>
  <c r="M672" i="42691" s="1"/>
  <c r="L313" i="42691"/>
  <c r="L672" i="42691" s="1"/>
  <c r="K313" i="42691"/>
  <c r="K672" i="42691" s="1"/>
  <c r="J313" i="42691"/>
  <c r="J672" i="42691" s="1"/>
  <c r="I313" i="42691"/>
  <c r="I672" i="42691" s="1"/>
  <c r="H313" i="42691"/>
  <c r="H672" i="42691" s="1"/>
  <c r="G313" i="42691"/>
  <c r="G672" i="42691" s="1"/>
  <c r="F313" i="42691"/>
  <c r="F672" i="42691" s="1"/>
  <c r="Q311" i="42691"/>
  <c r="Q670" i="42691" s="1"/>
  <c r="P311" i="42691"/>
  <c r="P670" i="42691" s="1"/>
  <c r="O311" i="42691"/>
  <c r="O670" i="42691" s="1"/>
  <c r="N311" i="42691"/>
  <c r="N670" i="42691" s="1"/>
  <c r="M311" i="42691"/>
  <c r="M670" i="42691" s="1"/>
  <c r="L311" i="42691"/>
  <c r="L670" i="42691" s="1"/>
  <c r="K311" i="42691"/>
  <c r="K670" i="42691" s="1"/>
  <c r="J311" i="42691"/>
  <c r="J670" i="42691" s="1"/>
  <c r="I311" i="42691"/>
  <c r="I670" i="42691" s="1"/>
  <c r="H311" i="42691"/>
  <c r="H670" i="42691" s="1"/>
  <c r="G311" i="42691"/>
  <c r="G670" i="42691" s="1"/>
  <c r="F311" i="42691"/>
  <c r="F670" i="42691" s="1"/>
  <c r="Q309" i="42691"/>
  <c r="Q668" i="42691" s="1"/>
  <c r="P309" i="42691"/>
  <c r="P668" i="42691" s="1"/>
  <c r="O309" i="42691"/>
  <c r="O668" i="42691" s="1"/>
  <c r="N309" i="42691"/>
  <c r="N668" i="42691" s="1"/>
  <c r="M309" i="42691"/>
  <c r="M668" i="42691" s="1"/>
  <c r="L309" i="42691"/>
  <c r="L668" i="42691" s="1"/>
  <c r="K309" i="42691"/>
  <c r="K668" i="42691" s="1"/>
  <c r="J309" i="42691"/>
  <c r="J668" i="42691" s="1"/>
  <c r="I309" i="42691"/>
  <c r="I668" i="42691" s="1"/>
  <c r="H309" i="42691"/>
  <c r="H668" i="42691" s="1"/>
  <c r="G309" i="42691"/>
  <c r="G668" i="42691" s="1"/>
  <c r="F309" i="42691"/>
  <c r="F668" i="42691" s="1"/>
  <c r="Q308" i="42691"/>
  <c r="Q667" i="42691" s="1"/>
  <c r="Q690" i="42691" s="1"/>
  <c r="P308" i="42691"/>
  <c r="P667" i="42691" s="1"/>
  <c r="P690" i="42691" s="1"/>
  <c r="O308" i="42691"/>
  <c r="O667" i="42691" s="1"/>
  <c r="O690" i="42691" s="1"/>
  <c r="N308" i="42691"/>
  <c r="N667" i="42691" s="1"/>
  <c r="N690" i="42691" s="1"/>
  <c r="M308" i="42691"/>
  <c r="M667" i="42691" s="1"/>
  <c r="M690" i="42691" s="1"/>
  <c r="L308" i="42691"/>
  <c r="L667" i="42691" s="1"/>
  <c r="L690" i="42691" s="1"/>
  <c r="K308" i="42691"/>
  <c r="K667" i="42691" s="1"/>
  <c r="K690" i="42691" s="1"/>
  <c r="J308" i="42691"/>
  <c r="J667" i="42691" s="1"/>
  <c r="J690" i="42691" s="1"/>
  <c r="I308" i="42691"/>
  <c r="I667" i="42691" s="1"/>
  <c r="I690" i="42691" s="1"/>
  <c r="H308" i="42691"/>
  <c r="H667" i="42691" s="1"/>
  <c r="H690" i="42691" s="1"/>
  <c r="G308" i="42691"/>
  <c r="G667" i="42691" s="1"/>
  <c r="G690" i="42691" s="1"/>
  <c r="F308" i="42691"/>
  <c r="F667" i="42691" s="1"/>
  <c r="F690" i="42691" s="1"/>
  <c r="Q306" i="42691"/>
  <c r="Q665" i="42691" s="1"/>
  <c r="Q688" i="42691" s="1"/>
  <c r="P306" i="42691"/>
  <c r="P665" i="42691" s="1"/>
  <c r="P688" i="42691" s="1"/>
  <c r="O306" i="42691"/>
  <c r="O665" i="42691" s="1"/>
  <c r="O688" i="42691" s="1"/>
  <c r="N306" i="42691"/>
  <c r="N665" i="42691" s="1"/>
  <c r="N688" i="42691" s="1"/>
  <c r="M306" i="42691"/>
  <c r="M665" i="42691" s="1"/>
  <c r="M688" i="42691" s="1"/>
  <c r="L306" i="42691"/>
  <c r="L665" i="42691" s="1"/>
  <c r="L688" i="42691" s="1"/>
  <c r="K306" i="42691"/>
  <c r="K665" i="42691" s="1"/>
  <c r="K688" i="42691" s="1"/>
  <c r="J306" i="42691"/>
  <c r="J665" i="42691" s="1"/>
  <c r="J688" i="42691" s="1"/>
  <c r="I306" i="42691"/>
  <c r="I665" i="42691" s="1"/>
  <c r="I688" i="42691" s="1"/>
  <c r="H306" i="42691"/>
  <c r="H665" i="42691" s="1"/>
  <c r="H688" i="42691" s="1"/>
  <c r="G306" i="42691"/>
  <c r="G665" i="42691" s="1"/>
  <c r="G688" i="42691" s="1"/>
  <c r="F306" i="42691"/>
  <c r="F665" i="42691" s="1"/>
  <c r="F688" i="42691" s="1"/>
  <c r="Q279" i="42691"/>
  <c r="P279" i="42691"/>
  <c r="O279" i="42691"/>
  <c r="N279" i="42691"/>
  <c r="M279" i="42691"/>
  <c r="L279" i="42691"/>
  <c r="K279" i="42691"/>
  <c r="J279" i="42691"/>
  <c r="I279" i="42691"/>
  <c r="H279" i="42691"/>
  <c r="G279" i="42691"/>
  <c r="F279" i="42691"/>
  <c r="Q278" i="42691"/>
  <c r="P278" i="42691"/>
  <c r="O278" i="42691"/>
  <c r="N278" i="42691"/>
  <c r="M278" i="42691"/>
  <c r="L278" i="42691"/>
  <c r="K278" i="42691"/>
  <c r="J278" i="42691"/>
  <c r="I278" i="42691"/>
  <c r="H278" i="42691"/>
  <c r="G278" i="42691"/>
  <c r="F278" i="42691"/>
  <c r="R278" i="42691" s="1"/>
  <c r="Q276" i="42691"/>
  <c r="Q808" i="42691" s="1"/>
  <c r="Q828" i="42691" s="1"/>
  <c r="P276" i="42691"/>
  <c r="P808" i="42691" s="1"/>
  <c r="P828" i="42691" s="1"/>
  <c r="O276" i="42691"/>
  <c r="O808" i="42691" s="1"/>
  <c r="O828" i="42691" s="1"/>
  <c r="N276" i="42691"/>
  <c r="N808" i="42691" s="1"/>
  <c r="N828" i="42691" s="1"/>
  <c r="M276" i="42691"/>
  <c r="M808" i="42691" s="1"/>
  <c r="M828" i="42691" s="1"/>
  <c r="L276" i="42691"/>
  <c r="L808" i="42691" s="1"/>
  <c r="L828" i="42691" s="1"/>
  <c r="K276" i="42691"/>
  <c r="K808" i="42691" s="1"/>
  <c r="K828" i="42691" s="1"/>
  <c r="J276" i="42691"/>
  <c r="J808" i="42691" s="1"/>
  <c r="J828" i="42691" s="1"/>
  <c r="I276" i="42691"/>
  <c r="I808" i="42691" s="1"/>
  <c r="I828" i="42691" s="1"/>
  <c r="H276" i="42691"/>
  <c r="H808" i="42691" s="1"/>
  <c r="H828" i="42691" s="1"/>
  <c r="G276" i="42691"/>
  <c r="G808" i="42691" s="1"/>
  <c r="G828" i="42691" s="1"/>
  <c r="F276" i="42691"/>
  <c r="F808" i="42691" s="1"/>
  <c r="Q273" i="42691"/>
  <c r="Q632" i="42691" s="1"/>
  <c r="P273" i="42691"/>
  <c r="P632" i="42691" s="1"/>
  <c r="O273" i="42691"/>
  <c r="O632" i="42691" s="1"/>
  <c r="N273" i="42691"/>
  <c r="N632" i="42691" s="1"/>
  <c r="M273" i="42691"/>
  <c r="M632" i="42691" s="1"/>
  <c r="L273" i="42691"/>
  <c r="L632" i="42691" s="1"/>
  <c r="K273" i="42691"/>
  <c r="K632" i="42691" s="1"/>
  <c r="J273" i="42691"/>
  <c r="J632" i="42691" s="1"/>
  <c r="I273" i="42691"/>
  <c r="I632" i="42691" s="1"/>
  <c r="H273" i="42691"/>
  <c r="H632" i="42691" s="1"/>
  <c r="G273" i="42691"/>
  <c r="G632" i="42691" s="1"/>
  <c r="F273" i="42691"/>
  <c r="F632" i="42691" s="1"/>
  <c r="Q269" i="42691"/>
  <c r="Q628" i="42691" s="1"/>
  <c r="P269" i="42691"/>
  <c r="P628" i="42691" s="1"/>
  <c r="O269" i="42691"/>
  <c r="O628" i="42691" s="1"/>
  <c r="N269" i="42691"/>
  <c r="N628" i="42691" s="1"/>
  <c r="M269" i="42691"/>
  <c r="M628" i="42691" s="1"/>
  <c r="L269" i="42691"/>
  <c r="L628" i="42691" s="1"/>
  <c r="K269" i="42691"/>
  <c r="K628" i="42691" s="1"/>
  <c r="J269" i="42691"/>
  <c r="J628" i="42691" s="1"/>
  <c r="I269" i="42691"/>
  <c r="I628" i="42691" s="1"/>
  <c r="H269" i="42691"/>
  <c r="H628" i="42691" s="1"/>
  <c r="G269" i="42691"/>
  <c r="G628" i="42691" s="1"/>
  <c r="F269" i="42691"/>
  <c r="F628" i="42691" s="1"/>
  <c r="Q267" i="42691"/>
  <c r="Q626" i="42691" s="1"/>
  <c r="P267" i="42691"/>
  <c r="P626" i="42691" s="1"/>
  <c r="O267" i="42691"/>
  <c r="O626" i="42691" s="1"/>
  <c r="N267" i="42691"/>
  <c r="N626" i="42691" s="1"/>
  <c r="M267" i="42691"/>
  <c r="M626" i="42691" s="1"/>
  <c r="L267" i="42691"/>
  <c r="L626" i="42691" s="1"/>
  <c r="K267" i="42691"/>
  <c r="K626" i="42691" s="1"/>
  <c r="J267" i="42691"/>
  <c r="J626" i="42691" s="1"/>
  <c r="I267" i="42691"/>
  <c r="I626" i="42691" s="1"/>
  <c r="H267" i="42691"/>
  <c r="H626" i="42691" s="1"/>
  <c r="G267" i="42691"/>
  <c r="G626" i="42691" s="1"/>
  <c r="F267" i="42691"/>
  <c r="F626" i="42691" s="1"/>
  <c r="Q265" i="42691"/>
  <c r="Q624" i="42691" s="1"/>
  <c r="P265" i="42691"/>
  <c r="P624" i="42691" s="1"/>
  <c r="O265" i="42691"/>
  <c r="O624" i="42691" s="1"/>
  <c r="N265" i="42691"/>
  <c r="N624" i="42691" s="1"/>
  <c r="M265" i="42691"/>
  <c r="M624" i="42691" s="1"/>
  <c r="L265" i="42691"/>
  <c r="L624" i="42691" s="1"/>
  <c r="K265" i="42691"/>
  <c r="K624" i="42691" s="1"/>
  <c r="J265" i="42691"/>
  <c r="J624" i="42691" s="1"/>
  <c r="I265" i="42691"/>
  <c r="I624" i="42691" s="1"/>
  <c r="H265" i="42691"/>
  <c r="H624" i="42691" s="1"/>
  <c r="G265" i="42691"/>
  <c r="G624" i="42691" s="1"/>
  <c r="F265" i="42691"/>
  <c r="F624" i="42691" s="1"/>
  <c r="Q264" i="42691"/>
  <c r="Q623" i="42691" s="1"/>
  <c r="Q648" i="42691" s="1"/>
  <c r="P264" i="42691"/>
  <c r="P623" i="42691" s="1"/>
  <c r="P648" i="42691" s="1"/>
  <c r="O264" i="42691"/>
  <c r="O623" i="42691" s="1"/>
  <c r="O648" i="42691" s="1"/>
  <c r="N264" i="42691"/>
  <c r="N623" i="42691" s="1"/>
  <c r="N648" i="42691" s="1"/>
  <c r="M264" i="42691"/>
  <c r="M623" i="42691" s="1"/>
  <c r="M648" i="42691" s="1"/>
  <c r="L264" i="42691"/>
  <c r="L623" i="42691" s="1"/>
  <c r="L648" i="42691" s="1"/>
  <c r="K264" i="42691"/>
  <c r="K623" i="42691" s="1"/>
  <c r="K648" i="42691" s="1"/>
  <c r="J264" i="42691"/>
  <c r="J623" i="42691" s="1"/>
  <c r="J648" i="42691" s="1"/>
  <c r="I264" i="42691"/>
  <c r="I623" i="42691" s="1"/>
  <c r="I648" i="42691" s="1"/>
  <c r="H264" i="42691"/>
  <c r="H623" i="42691" s="1"/>
  <c r="H648" i="42691" s="1"/>
  <c r="G264" i="42691"/>
  <c r="G623" i="42691" s="1"/>
  <c r="G648" i="42691" s="1"/>
  <c r="F264" i="42691"/>
  <c r="F623" i="42691" s="1"/>
  <c r="F648" i="42691" s="1"/>
  <c r="R648" i="42691" s="1"/>
  <c r="Q263" i="42691"/>
  <c r="Q622" i="42691" s="1"/>
  <c r="Q647" i="42691" s="1"/>
  <c r="P263" i="42691"/>
  <c r="P622" i="42691" s="1"/>
  <c r="P647" i="42691" s="1"/>
  <c r="O263" i="42691"/>
  <c r="O622" i="42691" s="1"/>
  <c r="O647" i="42691" s="1"/>
  <c r="N263" i="42691"/>
  <c r="N622" i="42691" s="1"/>
  <c r="N647" i="42691" s="1"/>
  <c r="M263" i="42691"/>
  <c r="M622" i="42691" s="1"/>
  <c r="M647" i="42691" s="1"/>
  <c r="L263" i="42691"/>
  <c r="L622" i="42691" s="1"/>
  <c r="L647" i="42691" s="1"/>
  <c r="K263" i="42691"/>
  <c r="K622" i="42691" s="1"/>
  <c r="K647" i="42691" s="1"/>
  <c r="J263" i="42691"/>
  <c r="J622" i="42691" s="1"/>
  <c r="J647" i="42691" s="1"/>
  <c r="I263" i="42691"/>
  <c r="I622" i="42691" s="1"/>
  <c r="I647" i="42691" s="1"/>
  <c r="H263" i="42691"/>
  <c r="H622" i="42691" s="1"/>
  <c r="H647" i="42691" s="1"/>
  <c r="G263" i="42691"/>
  <c r="G622" i="42691" s="1"/>
  <c r="G647" i="42691" s="1"/>
  <c r="F263" i="42691"/>
  <c r="F622" i="42691" s="1"/>
  <c r="F647" i="42691" s="1"/>
  <c r="Q261" i="42691"/>
  <c r="Q620" i="42691" s="1"/>
  <c r="Q645" i="42691" s="1"/>
  <c r="P261" i="42691"/>
  <c r="P620" i="42691" s="1"/>
  <c r="P645" i="42691" s="1"/>
  <c r="O261" i="42691"/>
  <c r="O620" i="42691" s="1"/>
  <c r="O645" i="42691" s="1"/>
  <c r="N261" i="42691"/>
  <c r="N620" i="42691" s="1"/>
  <c r="N645" i="42691" s="1"/>
  <c r="M261" i="42691"/>
  <c r="M620" i="42691" s="1"/>
  <c r="M645" i="42691" s="1"/>
  <c r="L261" i="42691"/>
  <c r="L620" i="42691" s="1"/>
  <c r="L645" i="42691" s="1"/>
  <c r="K261" i="42691"/>
  <c r="K620" i="42691" s="1"/>
  <c r="K645" i="42691" s="1"/>
  <c r="J261" i="42691"/>
  <c r="J620" i="42691" s="1"/>
  <c r="J645" i="42691" s="1"/>
  <c r="I261" i="42691"/>
  <c r="I620" i="42691" s="1"/>
  <c r="I645" i="42691" s="1"/>
  <c r="H261" i="42691"/>
  <c r="H620" i="42691" s="1"/>
  <c r="H645" i="42691" s="1"/>
  <c r="G261" i="42691"/>
  <c r="G620" i="42691" s="1"/>
  <c r="G645" i="42691" s="1"/>
  <c r="F261" i="42691"/>
  <c r="F620" i="42691" s="1"/>
  <c r="F645" i="42691" s="1"/>
  <c r="O256" i="42691"/>
  <c r="K256" i="42691"/>
  <c r="G256" i="42691"/>
  <c r="Q253" i="42691"/>
  <c r="Q887" i="42691" s="1"/>
  <c r="P253" i="42691"/>
  <c r="P887" i="42691" s="1"/>
  <c r="O253" i="42691"/>
  <c r="O887" i="42691" s="1"/>
  <c r="N253" i="42691"/>
  <c r="N887" i="42691" s="1"/>
  <c r="M253" i="42691"/>
  <c r="M887" i="42691" s="1"/>
  <c r="L253" i="42691"/>
  <c r="L887" i="42691" s="1"/>
  <c r="K253" i="42691"/>
  <c r="K887" i="42691" s="1"/>
  <c r="J253" i="42691"/>
  <c r="J887" i="42691" s="1"/>
  <c r="I253" i="42691"/>
  <c r="I887" i="42691" s="1"/>
  <c r="H253" i="42691"/>
  <c r="H887" i="42691" s="1"/>
  <c r="G253" i="42691"/>
  <c r="G887" i="42691" s="1"/>
  <c r="F253" i="42691"/>
  <c r="F887" i="42691" s="1"/>
  <c r="R887" i="42691" s="1"/>
  <c r="R233" i="42691"/>
  <c r="Q225" i="42691"/>
  <c r="P225" i="42691"/>
  <c r="O225" i="42691"/>
  <c r="N225" i="42691"/>
  <c r="M225" i="42691"/>
  <c r="L225" i="42691"/>
  <c r="K225" i="42691"/>
  <c r="J225" i="42691"/>
  <c r="I225" i="42691"/>
  <c r="H225" i="42691"/>
  <c r="G225" i="42691"/>
  <c r="F225" i="42691"/>
  <c r="Q224" i="42691"/>
  <c r="P224" i="42691"/>
  <c r="O224" i="42691"/>
  <c r="N224" i="42691"/>
  <c r="M224" i="42691"/>
  <c r="L224" i="42691"/>
  <c r="K224" i="42691"/>
  <c r="J224" i="42691"/>
  <c r="I224" i="42691"/>
  <c r="H224" i="42691"/>
  <c r="G224" i="42691"/>
  <c r="F224" i="42691"/>
  <c r="Q223" i="42691"/>
  <c r="P223" i="42691"/>
  <c r="O223" i="42691"/>
  <c r="N223" i="42691"/>
  <c r="M223" i="42691"/>
  <c r="L223" i="42691"/>
  <c r="K223" i="42691"/>
  <c r="J223" i="42691"/>
  <c r="I223" i="42691"/>
  <c r="H223" i="42691"/>
  <c r="G223" i="42691"/>
  <c r="F223" i="42691"/>
  <c r="Q222" i="42691"/>
  <c r="P222" i="42691"/>
  <c r="O222" i="42691"/>
  <c r="N222" i="42691"/>
  <c r="M222" i="42691"/>
  <c r="L222" i="42691"/>
  <c r="K222" i="42691"/>
  <c r="J222" i="42691"/>
  <c r="I222" i="42691"/>
  <c r="H222" i="42691"/>
  <c r="G222" i="42691"/>
  <c r="F222" i="42691"/>
  <c r="Q221" i="42691"/>
  <c r="P221" i="42691"/>
  <c r="O221" i="42691"/>
  <c r="N221" i="42691"/>
  <c r="M221" i="42691"/>
  <c r="L221" i="42691"/>
  <c r="K221" i="42691"/>
  <c r="J221" i="42691"/>
  <c r="I221" i="42691"/>
  <c r="H221" i="42691"/>
  <c r="G221" i="42691"/>
  <c r="F221" i="42691"/>
  <c r="R220" i="42691"/>
  <c r="Q219" i="42691"/>
  <c r="Q807" i="42691" s="1"/>
  <c r="Q834" i="42691" s="1"/>
  <c r="P219" i="42691"/>
  <c r="P807" i="42691" s="1"/>
  <c r="P834" i="42691" s="1"/>
  <c r="O219" i="42691"/>
  <c r="O807" i="42691" s="1"/>
  <c r="O834" i="42691" s="1"/>
  <c r="N219" i="42691"/>
  <c r="N807" i="42691" s="1"/>
  <c r="N834" i="42691" s="1"/>
  <c r="M219" i="42691"/>
  <c r="M807" i="42691" s="1"/>
  <c r="M834" i="42691" s="1"/>
  <c r="L219" i="42691"/>
  <c r="L807" i="42691" s="1"/>
  <c r="L834" i="42691" s="1"/>
  <c r="K219" i="42691"/>
  <c r="K807" i="42691" s="1"/>
  <c r="K834" i="42691" s="1"/>
  <c r="J219" i="42691"/>
  <c r="J807" i="42691" s="1"/>
  <c r="J834" i="42691" s="1"/>
  <c r="I219" i="42691"/>
  <c r="I807" i="42691" s="1"/>
  <c r="I834" i="42691" s="1"/>
  <c r="H219" i="42691"/>
  <c r="H807" i="42691" s="1"/>
  <c r="H834" i="42691" s="1"/>
  <c r="G219" i="42691"/>
  <c r="G807" i="42691" s="1"/>
  <c r="G834" i="42691" s="1"/>
  <c r="F219" i="42691"/>
  <c r="F807" i="42691" s="1"/>
  <c r="Q215" i="42691"/>
  <c r="Q575" i="42691" s="1"/>
  <c r="P215" i="42691"/>
  <c r="P575" i="42691" s="1"/>
  <c r="O215" i="42691"/>
  <c r="O575" i="42691" s="1"/>
  <c r="N215" i="42691"/>
  <c r="N575" i="42691" s="1"/>
  <c r="M215" i="42691"/>
  <c r="M575" i="42691" s="1"/>
  <c r="L215" i="42691"/>
  <c r="L575" i="42691" s="1"/>
  <c r="K215" i="42691"/>
  <c r="K575" i="42691" s="1"/>
  <c r="J215" i="42691"/>
  <c r="J575" i="42691" s="1"/>
  <c r="I215" i="42691"/>
  <c r="I575" i="42691" s="1"/>
  <c r="H215" i="42691"/>
  <c r="H575" i="42691" s="1"/>
  <c r="G215" i="42691"/>
  <c r="G575" i="42691" s="1"/>
  <c r="F215" i="42691"/>
  <c r="F575" i="42691" s="1"/>
  <c r="Q213" i="42691"/>
  <c r="Q573" i="42691" s="1"/>
  <c r="P213" i="42691"/>
  <c r="O213" i="42691"/>
  <c r="O573" i="42691" s="1"/>
  <c r="N213" i="42691"/>
  <c r="M213" i="42691"/>
  <c r="M573" i="42691" s="1"/>
  <c r="L213" i="42691"/>
  <c r="K213" i="42691"/>
  <c r="K573" i="42691" s="1"/>
  <c r="J213" i="42691"/>
  <c r="I213" i="42691"/>
  <c r="I573" i="42691" s="1"/>
  <c r="H213" i="42691"/>
  <c r="G213" i="42691"/>
  <c r="G573" i="42691" s="1"/>
  <c r="F213" i="42691"/>
  <c r="Q212" i="42691"/>
  <c r="Q572" i="42691" s="1"/>
  <c r="Q598" i="42691" s="1"/>
  <c r="P212" i="42691"/>
  <c r="P572" i="42691" s="1"/>
  <c r="P598" i="42691" s="1"/>
  <c r="O212" i="42691"/>
  <c r="O572" i="42691" s="1"/>
  <c r="O598" i="42691" s="1"/>
  <c r="N212" i="42691"/>
  <c r="N572" i="42691" s="1"/>
  <c r="N598" i="42691" s="1"/>
  <c r="M212" i="42691"/>
  <c r="M572" i="42691" s="1"/>
  <c r="M598" i="42691" s="1"/>
  <c r="L212" i="42691"/>
  <c r="L572" i="42691" s="1"/>
  <c r="L598" i="42691" s="1"/>
  <c r="K212" i="42691"/>
  <c r="K572" i="42691" s="1"/>
  <c r="K598" i="42691" s="1"/>
  <c r="J212" i="42691"/>
  <c r="J572" i="42691" s="1"/>
  <c r="J598" i="42691" s="1"/>
  <c r="I212" i="42691"/>
  <c r="I572" i="42691" s="1"/>
  <c r="I598" i="42691" s="1"/>
  <c r="H212" i="42691"/>
  <c r="H572" i="42691" s="1"/>
  <c r="H598" i="42691" s="1"/>
  <c r="G212" i="42691"/>
  <c r="G572" i="42691" s="1"/>
  <c r="G598" i="42691" s="1"/>
  <c r="F212" i="42691"/>
  <c r="F572" i="42691" s="1"/>
  <c r="F598" i="42691" s="1"/>
  <c r="R598" i="42691" s="1"/>
  <c r="Q211" i="42691"/>
  <c r="Q571" i="42691" s="1"/>
  <c r="Q597" i="42691" s="1"/>
  <c r="P211" i="42691"/>
  <c r="P237" i="42691" s="1"/>
  <c r="O211" i="42691"/>
  <c r="O571" i="42691" s="1"/>
  <c r="O597" i="42691" s="1"/>
  <c r="N211" i="42691"/>
  <c r="N237" i="42691" s="1"/>
  <c r="M211" i="42691"/>
  <c r="M571" i="42691" s="1"/>
  <c r="M597" i="42691" s="1"/>
  <c r="L211" i="42691"/>
  <c r="L237" i="42691" s="1"/>
  <c r="K211" i="42691"/>
  <c r="K571" i="42691" s="1"/>
  <c r="K597" i="42691" s="1"/>
  <c r="J211" i="42691"/>
  <c r="J237" i="42691" s="1"/>
  <c r="I211" i="42691"/>
  <c r="I571" i="42691" s="1"/>
  <c r="I597" i="42691" s="1"/>
  <c r="H211" i="42691"/>
  <c r="H237" i="42691" s="1"/>
  <c r="G211" i="42691"/>
  <c r="G571" i="42691" s="1"/>
  <c r="G597" i="42691" s="1"/>
  <c r="F211" i="42691"/>
  <c r="F237" i="42691" s="1"/>
  <c r="Q210" i="42691"/>
  <c r="Q570" i="42691" s="1"/>
  <c r="Q596" i="42691" s="1"/>
  <c r="P210" i="42691"/>
  <c r="P570" i="42691" s="1"/>
  <c r="P596" i="42691" s="1"/>
  <c r="O210" i="42691"/>
  <c r="O570" i="42691" s="1"/>
  <c r="O596" i="42691" s="1"/>
  <c r="N210" i="42691"/>
  <c r="N570" i="42691" s="1"/>
  <c r="N596" i="42691" s="1"/>
  <c r="M210" i="42691"/>
  <c r="M570" i="42691" s="1"/>
  <c r="M596" i="42691" s="1"/>
  <c r="L210" i="42691"/>
  <c r="L570" i="42691" s="1"/>
  <c r="L596" i="42691" s="1"/>
  <c r="K210" i="42691"/>
  <c r="K570" i="42691" s="1"/>
  <c r="K596" i="42691" s="1"/>
  <c r="J210" i="42691"/>
  <c r="J570" i="42691" s="1"/>
  <c r="J596" i="42691" s="1"/>
  <c r="I210" i="42691"/>
  <c r="I570" i="42691" s="1"/>
  <c r="I596" i="42691" s="1"/>
  <c r="H210" i="42691"/>
  <c r="H570" i="42691" s="1"/>
  <c r="H596" i="42691" s="1"/>
  <c r="G210" i="42691"/>
  <c r="G570" i="42691" s="1"/>
  <c r="G596" i="42691" s="1"/>
  <c r="F210" i="42691"/>
  <c r="F570" i="42691" s="1"/>
  <c r="F596" i="42691" s="1"/>
  <c r="R596" i="42691" s="1"/>
  <c r="Q209" i="42691"/>
  <c r="Q569" i="42691" s="1"/>
  <c r="Q595" i="42691" s="1"/>
  <c r="P209" i="42691"/>
  <c r="P235" i="42691" s="1"/>
  <c r="O209" i="42691"/>
  <c r="O569" i="42691" s="1"/>
  <c r="O595" i="42691" s="1"/>
  <c r="N209" i="42691"/>
  <c r="N235" i="42691" s="1"/>
  <c r="M209" i="42691"/>
  <c r="M569" i="42691" s="1"/>
  <c r="M595" i="42691" s="1"/>
  <c r="L209" i="42691"/>
  <c r="L235" i="42691" s="1"/>
  <c r="K209" i="42691"/>
  <c r="K569" i="42691" s="1"/>
  <c r="K595" i="42691" s="1"/>
  <c r="J209" i="42691"/>
  <c r="J235" i="42691" s="1"/>
  <c r="I209" i="42691"/>
  <c r="I569" i="42691" s="1"/>
  <c r="I595" i="42691" s="1"/>
  <c r="H209" i="42691"/>
  <c r="H235" i="42691" s="1"/>
  <c r="G209" i="42691"/>
  <c r="G569" i="42691" s="1"/>
  <c r="G595" i="42691" s="1"/>
  <c r="F209" i="42691"/>
  <c r="F235" i="42691" s="1"/>
  <c r="Q208" i="42691"/>
  <c r="Q568" i="42691" s="1"/>
  <c r="Q594" i="42691" s="1"/>
  <c r="P208" i="42691"/>
  <c r="P568" i="42691" s="1"/>
  <c r="P594" i="42691" s="1"/>
  <c r="O208" i="42691"/>
  <c r="O568" i="42691" s="1"/>
  <c r="O594" i="42691" s="1"/>
  <c r="N208" i="42691"/>
  <c r="N568" i="42691" s="1"/>
  <c r="N594" i="42691" s="1"/>
  <c r="M208" i="42691"/>
  <c r="M568" i="42691" s="1"/>
  <c r="M594" i="42691" s="1"/>
  <c r="L208" i="42691"/>
  <c r="L568" i="42691" s="1"/>
  <c r="L594" i="42691" s="1"/>
  <c r="K208" i="42691"/>
  <c r="K568" i="42691" s="1"/>
  <c r="K594" i="42691" s="1"/>
  <c r="J208" i="42691"/>
  <c r="J568" i="42691" s="1"/>
  <c r="J594" i="42691" s="1"/>
  <c r="I208" i="42691"/>
  <c r="I568" i="42691" s="1"/>
  <c r="I594" i="42691" s="1"/>
  <c r="H208" i="42691"/>
  <c r="H568" i="42691" s="1"/>
  <c r="H594" i="42691" s="1"/>
  <c r="G208" i="42691"/>
  <c r="G568" i="42691" s="1"/>
  <c r="G594" i="42691" s="1"/>
  <c r="F208" i="42691"/>
  <c r="F568" i="42691" s="1"/>
  <c r="F594" i="42691" s="1"/>
  <c r="Q206" i="42691"/>
  <c r="Q566" i="42691" s="1"/>
  <c r="Q592" i="42691" s="1"/>
  <c r="P206" i="42691"/>
  <c r="P566" i="42691" s="1"/>
  <c r="P592" i="42691" s="1"/>
  <c r="O206" i="42691"/>
  <c r="O566" i="42691" s="1"/>
  <c r="O592" i="42691" s="1"/>
  <c r="N206" i="42691"/>
  <c r="N566" i="42691" s="1"/>
  <c r="N592" i="42691" s="1"/>
  <c r="M206" i="42691"/>
  <c r="M566" i="42691" s="1"/>
  <c r="M592" i="42691" s="1"/>
  <c r="L206" i="42691"/>
  <c r="L566" i="42691" s="1"/>
  <c r="L592" i="42691" s="1"/>
  <c r="K206" i="42691"/>
  <c r="K566" i="42691" s="1"/>
  <c r="K592" i="42691" s="1"/>
  <c r="J206" i="42691"/>
  <c r="J566" i="42691" s="1"/>
  <c r="J592" i="42691" s="1"/>
  <c r="I206" i="42691"/>
  <c r="I566" i="42691" s="1"/>
  <c r="I592" i="42691" s="1"/>
  <c r="H206" i="42691"/>
  <c r="H566" i="42691" s="1"/>
  <c r="H592" i="42691" s="1"/>
  <c r="G206" i="42691"/>
  <c r="G566" i="42691" s="1"/>
  <c r="G592" i="42691" s="1"/>
  <c r="F206" i="42691"/>
  <c r="F566" i="42691" s="1"/>
  <c r="F592" i="42691" s="1"/>
  <c r="R201" i="42691"/>
  <c r="Q184" i="42691"/>
  <c r="P184" i="42691"/>
  <c r="O184" i="42691"/>
  <c r="N184" i="42691"/>
  <c r="M184" i="42691"/>
  <c r="L184" i="42691"/>
  <c r="K184" i="42691"/>
  <c r="J184" i="42691"/>
  <c r="I184" i="42691"/>
  <c r="H184" i="42691"/>
  <c r="G184" i="42691"/>
  <c r="F184" i="42691"/>
  <c r="Q183" i="42691"/>
  <c r="P183" i="42691"/>
  <c r="O183" i="42691"/>
  <c r="N183" i="42691"/>
  <c r="M183" i="42691"/>
  <c r="L183" i="42691"/>
  <c r="K183" i="42691"/>
  <c r="J183" i="42691"/>
  <c r="I183" i="42691"/>
  <c r="H183" i="42691"/>
  <c r="G183" i="42691"/>
  <c r="F183" i="42691"/>
  <c r="Q181" i="42691"/>
  <c r="Q806" i="42691" s="1"/>
  <c r="Q832" i="42691" s="1"/>
  <c r="P181" i="42691"/>
  <c r="P806" i="42691" s="1"/>
  <c r="P832" i="42691" s="1"/>
  <c r="O181" i="42691"/>
  <c r="O806" i="42691" s="1"/>
  <c r="O832" i="42691" s="1"/>
  <c r="N181" i="42691"/>
  <c r="N806" i="42691" s="1"/>
  <c r="N832" i="42691" s="1"/>
  <c r="M181" i="42691"/>
  <c r="M806" i="42691" s="1"/>
  <c r="M832" i="42691" s="1"/>
  <c r="L181" i="42691"/>
  <c r="L806" i="42691" s="1"/>
  <c r="L832" i="42691" s="1"/>
  <c r="K181" i="42691"/>
  <c r="K806" i="42691" s="1"/>
  <c r="K832" i="42691" s="1"/>
  <c r="J181" i="42691"/>
  <c r="J806" i="42691" s="1"/>
  <c r="J832" i="42691" s="1"/>
  <c r="I181" i="42691"/>
  <c r="I806" i="42691" s="1"/>
  <c r="I832" i="42691" s="1"/>
  <c r="H181" i="42691"/>
  <c r="H806" i="42691" s="1"/>
  <c r="H832" i="42691" s="1"/>
  <c r="G181" i="42691"/>
  <c r="G806" i="42691" s="1"/>
  <c r="G832" i="42691" s="1"/>
  <c r="F181" i="42691"/>
  <c r="F806" i="42691" s="1"/>
  <c r="Q177" i="42691"/>
  <c r="Q505" i="42691" s="1"/>
  <c r="P177" i="42691"/>
  <c r="O177" i="42691"/>
  <c r="O505" i="42691" s="1"/>
  <c r="N177" i="42691"/>
  <c r="M177" i="42691"/>
  <c r="M505" i="42691" s="1"/>
  <c r="L177" i="42691"/>
  <c r="K177" i="42691"/>
  <c r="K505" i="42691" s="1"/>
  <c r="J177" i="42691"/>
  <c r="I177" i="42691"/>
  <c r="I505" i="42691" s="1"/>
  <c r="H177" i="42691"/>
  <c r="G177" i="42691"/>
  <c r="G505" i="42691" s="1"/>
  <c r="F177" i="42691"/>
  <c r="Q175" i="42691"/>
  <c r="Q503" i="42691" s="1"/>
  <c r="P175" i="42691"/>
  <c r="P503" i="42691" s="1"/>
  <c r="O175" i="42691"/>
  <c r="O503" i="42691" s="1"/>
  <c r="N175" i="42691"/>
  <c r="N503" i="42691" s="1"/>
  <c r="M175" i="42691"/>
  <c r="M503" i="42691" s="1"/>
  <c r="L175" i="42691"/>
  <c r="L503" i="42691" s="1"/>
  <c r="K175" i="42691"/>
  <c r="K503" i="42691" s="1"/>
  <c r="J175" i="42691"/>
  <c r="J503" i="42691" s="1"/>
  <c r="I175" i="42691"/>
  <c r="I503" i="42691" s="1"/>
  <c r="H175" i="42691"/>
  <c r="H503" i="42691" s="1"/>
  <c r="G175" i="42691"/>
  <c r="G503" i="42691" s="1"/>
  <c r="F175" i="42691"/>
  <c r="F503" i="42691" s="1"/>
  <c r="Q174" i="42691"/>
  <c r="Q502" i="42691" s="1"/>
  <c r="Q522" i="42691" s="1"/>
  <c r="P174" i="42691"/>
  <c r="P194" i="42691" s="1"/>
  <c r="O174" i="42691"/>
  <c r="O502" i="42691" s="1"/>
  <c r="O522" i="42691" s="1"/>
  <c r="N174" i="42691"/>
  <c r="N194" i="42691" s="1"/>
  <c r="M174" i="42691"/>
  <c r="M502" i="42691" s="1"/>
  <c r="M522" i="42691" s="1"/>
  <c r="L174" i="42691"/>
  <c r="L194" i="42691" s="1"/>
  <c r="K174" i="42691"/>
  <c r="K502" i="42691" s="1"/>
  <c r="K522" i="42691" s="1"/>
  <c r="J174" i="42691"/>
  <c r="J194" i="42691" s="1"/>
  <c r="I174" i="42691"/>
  <c r="I502" i="42691" s="1"/>
  <c r="I522" i="42691" s="1"/>
  <c r="H174" i="42691"/>
  <c r="H194" i="42691" s="1"/>
  <c r="G174" i="42691"/>
  <c r="G502" i="42691" s="1"/>
  <c r="G522" i="42691" s="1"/>
  <c r="F174" i="42691"/>
  <c r="F194" i="42691" s="1"/>
  <c r="Q173" i="42691"/>
  <c r="Q501" i="42691" s="1"/>
  <c r="Q521" i="42691" s="1"/>
  <c r="P173" i="42691"/>
  <c r="P501" i="42691" s="1"/>
  <c r="P521" i="42691" s="1"/>
  <c r="O173" i="42691"/>
  <c r="O501" i="42691" s="1"/>
  <c r="O521" i="42691" s="1"/>
  <c r="N173" i="42691"/>
  <c r="N501" i="42691" s="1"/>
  <c r="N521" i="42691" s="1"/>
  <c r="M173" i="42691"/>
  <c r="M501" i="42691" s="1"/>
  <c r="M521" i="42691" s="1"/>
  <c r="L173" i="42691"/>
  <c r="L501" i="42691" s="1"/>
  <c r="L521" i="42691" s="1"/>
  <c r="K173" i="42691"/>
  <c r="K501" i="42691" s="1"/>
  <c r="K521" i="42691" s="1"/>
  <c r="J173" i="42691"/>
  <c r="J501" i="42691" s="1"/>
  <c r="J521" i="42691" s="1"/>
  <c r="I173" i="42691"/>
  <c r="I501" i="42691" s="1"/>
  <c r="I521" i="42691" s="1"/>
  <c r="H173" i="42691"/>
  <c r="H501" i="42691" s="1"/>
  <c r="H521" i="42691" s="1"/>
  <c r="G173" i="42691"/>
  <c r="G501" i="42691" s="1"/>
  <c r="G521" i="42691" s="1"/>
  <c r="F173" i="42691"/>
  <c r="F501" i="42691" s="1"/>
  <c r="F521" i="42691" s="1"/>
  <c r="Q171" i="42691"/>
  <c r="Q499" i="42691" s="1"/>
  <c r="Q519" i="42691" s="1"/>
  <c r="P171" i="42691"/>
  <c r="P191" i="42691" s="1"/>
  <c r="O171" i="42691"/>
  <c r="O499" i="42691" s="1"/>
  <c r="O519" i="42691" s="1"/>
  <c r="N171" i="42691"/>
  <c r="N191" i="42691" s="1"/>
  <c r="M171" i="42691"/>
  <c r="M499" i="42691" s="1"/>
  <c r="M519" i="42691" s="1"/>
  <c r="L171" i="42691"/>
  <c r="L191" i="42691" s="1"/>
  <c r="K171" i="42691"/>
  <c r="K499" i="42691" s="1"/>
  <c r="K519" i="42691" s="1"/>
  <c r="J171" i="42691"/>
  <c r="J191" i="42691" s="1"/>
  <c r="I171" i="42691"/>
  <c r="I499" i="42691" s="1"/>
  <c r="I519" i="42691" s="1"/>
  <c r="H171" i="42691"/>
  <c r="H191" i="42691" s="1"/>
  <c r="G171" i="42691"/>
  <c r="G499" i="42691" s="1"/>
  <c r="G519" i="42691" s="1"/>
  <c r="F171" i="42691"/>
  <c r="F191" i="42691" s="1"/>
  <c r="R157" i="42691"/>
  <c r="Q148" i="42691"/>
  <c r="P148" i="42691"/>
  <c r="O148" i="42691"/>
  <c r="N148" i="42691"/>
  <c r="M148" i="42691"/>
  <c r="L148" i="42691"/>
  <c r="K148" i="42691"/>
  <c r="J148" i="42691"/>
  <c r="I148" i="42691"/>
  <c r="H148" i="42691"/>
  <c r="G148" i="42691"/>
  <c r="F148" i="42691"/>
  <c r="Q147" i="42691"/>
  <c r="P147" i="42691"/>
  <c r="O147" i="42691"/>
  <c r="N147" i="42691"/>
  <c r="M147" i="42691"/>
  <c r="L147" i="42691"/>
  <c r="K147" i="42691"/>
  <c r="J147" i="42691"/>
  <c r="I147" i="42691"/>
  <c r="H147" i="42691"/>
  <c r="G147" i="42691"/>
  <c r="F147" i="42691"/>
  <c r="Q145" i="42691"/>
  <c r="Q805" i="42691" s="1"/>
  <c r="Q831" i="42691" s="1"/>
  <c r="P145" i="42691"/>
  <c r="P805" i="42691" s="1"/>
  <c r="P831" i="42691" s="1"/>
  <c r="O145" i="42691"/>
  <c r="O805" i="42691" s="1"/>
  <c r="O831" i="42691" s="1"/>
  <c r="N145" i="42691"/>
  <c r="N805" i="42691" s="1"/>
  <c r="N831" i="42691" s="1"/>
  <c r="M145" i="42691"/>
  <c r="M805" i="42691" s="1"/>
  <c r="M831" i="42691" s="1"/>
  <c r="L145" i="42691"/>
  <c r="L805" i="42691" s="1"/>
  <c r="L831" i="42691" s="1"/>
  <c r="K145" i="42691"/>
  <c r="K805" i="42691" s="1"/>
  <c r="K831" i="42691" s="1"/>
  <c r="J145" i="42691"/>
  <c r="J805" i="42691" s="1"/>
  <c r="J831" i="42691" s="1"/>
  <c r="I145" i="42691"/>
  <c r="I805" i="42691" s="1"/>
  <c r="I831" i="42691" s="1"/>
  <c r="H145" i="42691"/>
  <c r="H805" i="42691" s="1"/>
  <c r="H831" i="42691" s="1"/>
  <c r="G145" i="42691"/>
  <c r="G805" i="42691" s="1"/>
  <c r="G831" i="42691" s="1"/>
  <c r="F145" i="42691"/>
  <c r="F805" i="42691" s="1"/>
  <c r="Q142" i="42691"/>
  <c r="Q470" i="42691" s="1"/>
  <c r="P142" i="42691"/>
  <c r="P470" i="42691" s="1"/>
  <c r="O142" i="42691"/>
  <c r="O470" i="42691" s="1"/>
  <c r="N142" i="42691"/>
  <c r="N470" i="42691" s="1"/>
  <c r="M142" i="42691"/>
  <c r="M470" i="42691" s="1"/>
  <c r="L142" i="42691"/>
  <c r="L470" i="42691" s="1"/>
  <c r="K142" i="42691"/>
  <c r="K470" i="42691" s="1"/>
  <c r="J142" i="42691"/>
  <c r="J470" i="42691" s="1"/>
  <c r="I142" i="42691"/>
  <c r="I470" i="42691" s="1"/>
  <c r="H142" i="42691"/>
  <c r="H470" i="42691" s="1"/>
  <c r="G142" i="42691"/>
  <c r="G470" i="42691" s="1"/>
  <c r="F142" i="42691"/>
  <c r="F470" i="42691" s="1"/>
  <c r="Q141" i="42691"/>
  <c r="Q469" i="42691" s="1"/>
  <c r="P141" i="42691"/>
  <c r="O141" i="42691"/>
  <c r="O469" i="42691" s="1"/>
  <c r="N141" i="42691"/>
  <c r="M141" i="42691"/>
  <c r="M469" i="42691" s="1"/>
  <c r="L141" i="42691"/>
  <c r="K141" i="42691"/>
  <c r="K469" i="42691" s="1"/>
  <c r="J141" i="42691"/>
  <c r="I141" i="42691"/>
  <c r="I469" i="42691" s="1"/>
  <c r="H141" i="42691"/>
  <c r="G141" i="42691"/>
  <c r="G469" i="42691" s="1"/>
  <c r="F141" i="42691"/>
  <c r="Q140" i="42691"/>
  <c r="Q468" i="42691" s="1"/>
  <c r="P140" i="42691"/>
  <c r="P468" i="42691" s="1"/>
  <c r="O140" i="42691"/>
  <c r="O468" i="42691" s="1"/>
  <c r="N140" i="42691"/>
  <c r="N468" i="42691" s="1"/>
  <c r="M140" i="42691"/>
  <c r="M468" i="42691" s="1"/>
  <c r="L140" i="42691"/>
  <c r="L468" i="42691" s="1"/>
  <c r="K140" i="42691"/>
  <c r="K468" i="42691" s="1"/>
  <c r="J140" i="42691"/>
  <c r="J468" i="42691" s="1"/>
  <c r="I140" i="42691"/>
  <c r="I468" i="42691" s="1"/>
  <c r="H140" i="42691"/>
  <c r="H468" i="42691" s="1"/>
  <c r="G140" i="42691"/>
  <c r="G468" i="42691" s="1"/>
  <c r="F140" i="42691"/>
  <c r="F468" i="42691" s="1"/>
  <c r="Q138" i="42691"/>
  <c r="Q466" i="42691" s="1"/>
  <c r="P138" i="42691"/>
  <c r="O138" i="42691"/>
  <c r="O466" i="42691" s="1"/>
  <c r="N138" i="42691"/>
  <c r="M138" i="42691"/>
  <c r="M466" i="42691" s="1"/>
  <c r="L138" i="42691"/>
  <c r="K138" i="42691"/>
  <c r="K466" i="42691" s="1"/>
  <c r="J138" i="42691"/>
  <c r="I138" i="42691"/>
  <c r="I466" i="42691" s="1"/>
  <c r="H138" i="42691"/>
  <c r="G138" i="42691"/>
  <c r="G466" i="42691" s="1"/>
  <c r="F138" i="42691"/>
  <c r="Q137" i="42691"/>
  <c r="Q465" i="42691" s="1"/>
  <c r="Q486" i="42691" s="1"/>
  <c r="P137" i="42691"/>
  <c r="P465" i="42691" s="1"/>
  <c r="P486" i="42691" s="1"/>
  <c r="O137" i="42691"/>
  <c r="O465" i="42691" s="1"/>
  <c r="O486" i="42691" s="1"/>
  <c r="N137" i="42691"/>
  <c r="M137" i="42691"/>
  <c r="M465" i="42691" s="1"/>
  <c r="M486" i="42691" s="1"/>
  <c r="L137" i="42691"/>
  <c r="L465" i="42691" s="1"/>
  <c r="L486" i="42691" s="1"/>
  <c r="K137" i="42691"/>
  <c r="K465" i="42691" s="1"/>
  <c r="K486" i="42691" s="1"/>
  <c r="J137" i="42691"/>
  <c r="J465" i="42691" s="1"/>
  <c r="J486" i="42691" s="1"/>
  <c r="I137" i="42691"/>
  <c r="I465" i="42691" s="1"/>
  <c r="I486" i="42691" s="1"/>
  <c r="H137" i="42691"/>
  <c r="H465" i="42691" s="1"/>
  <c r="H486" i="42691" s="1"/>
  <c r="G137" i="42691"/>
  <c r="G465" i="42691" s="1"/>
  <c r="G486" i="42691" s="1"/>
  <c r="F137" i="42691"/>
  <c r="F465" i="42691" s="1"/>
  <c r="F486" i="42691" s="1"/>
  <c r="Q135" i="42691"/>
  <c r="Q463" i="42691" s="1"/>
  <c r="Q483" i="42691" s="1"/>
  <c r="P135" i="42691"/>
  <c r="P463" i="42691" s="1"/>
  <c r="P483" i="42691" s="1"/>
  <c r="O135" i="42691"/>
  <c r="O463" i="42691" s="1"/>
  <c r="O483" i="42691" s="1"/>
  <c r="N135" i="42691"/>
  <c r="N463" i="42691" s="1"/>
  <c r="N483" i="42691" s="1"/>
  <c r="M135" i="42691"/>
  <c r="M463" i="42691" s="1"/>
  <c r="M483" i="42691" s="1"/>
  <c r="L135" i="42691"/>
  <c r="L463" i="42691" s="1"/>
  <c r="L483" i="42691" s="1"/>
  <c r="K135" i="42691"/>
  <c r="K463" i="42691" s="1"/>
  <c r="K483" i="42691" s="1"/>
  <c r="J135" i="42691"/>
  <c r="J463" i="42691" s="1"/>
  <c r="J483" i="42691" s="1"/>
  <c r="I135" i="42691"/>
  <c r="I463" i="42691" s="1"/>
  <c r="I483" i="42691" s="1"/>
  <c r="H135" i="42691"/>
  <c r="H463" i="42691" s="1"/>
  <c r="H483" i="42691" s="1"/>
  <c r="G135" i="42691"/>
  <c r="G463" i="42691" s="1"/>
  <c r="G483" i="42691" s="1"/>
  <c r="F135" i="42691"/>
  <c r="F463" i="42691" s="1"/>
  <c r="F483" i="42691" s="1"/>
  <c r="R118" i="42691"/>
  <c r="Q109" i="42691"/>
  <c r="P109" i="42691"/>
  <c r="O109" i="42691"/>
  <c r="N109" i="42691"/>
  <c r="M109" i="42691"/>
  <c r="L109" i="42691"/>
  <c r="K109" i="42691"/>
  <c r="J109" i="42691"/>
  <c r="I109" i="42691"/>
  <c r="H109" i="42691"/>
  <c r="G109" i="42691"/>
  <c r="F109" i="42691"/>
  <c r="R109" i="42691" s="1"/>
  <c r="Q108" i="42691"/>
  <c r="P108" i="42691"/>
  <c r="O108" i="42691"/>
  <c r="N108" i="42691"/>
  <c r="M108" i="42691"/>
  <c r="L108" i="42691"/>
  <c r="K108" i="42691"/>
  <c r="J108" i="42691"/>
  <c r="I108" i="42691"/>
  <c r="H108" i="42691"/>
  <c r="G108" i="42691"/>
  <c r="F108" i="42691"/>
  <c r="Q106" i="42691"/>
  <c r="Q804" i="42691" s="1"/>
  <c r="Q827" i="42691" s="1"/>
  <c r="P106" i="42691"/>
  <c r="P804" i="42691" s="1"/>
  <c r="P827" i="42691" s="1"/>
  <c r="O106" i="42691"/>
  <c r="O804" i="42691" s="1"/>
  <c r="O827" i="42691" s="1"/>
  <c r="N106" i="42691"/>
  <c r="N804" i="42691" s="1"/>
  <c r="N827" i="42691" s="1"/>
  <c r="M106" i="42691"/>
  <c r="M804" i="42691" s="1"/>
  <c r="M827" i="42691" s="1"/>
  <c r="L106" i="42691"/>
  <c r="L804" i="42691" s="1"/>
  <c r="L827" i="42691" s="1"/>
  <c r="K106" i="42691"/>
  <c r="K804" i="42691" s="1"/>
  <c r="K827" i="42691" s="1"/>
  <c r="J106" i="42691"/>
  <c r="J804" i="42691" s="1"/>
  <c r="J827" i="42691" s="1"/>
  <c r="I106" i="42691"/>
  <c r="I804" i="42691" s="1"/>
  <c r="I827" i="42691" s="1"/>
  <c r="H106" i="42691"/>
  <c r="H804" i="42691" s="1"/>
  <c r="H827" i="42691" s="1"/>
  <c r="G106" i="42691"/>
  <c r="G804" i="42691" s="1"/>
  <c r="G827" i="42691" s="1"/>
  <c r="F106" i="42691"/>
  <c r="F804" i="42691" s="1"/>
  <c r="Q101" i="42691"/>
  <c r="Q429" i="42691" s="1"/>
  <c r="P101" i="42691"/>
  <c r="P429" i="42691" s="1"/>
  <c r="O101" i="42691"/>
  <c r="O429" i="42691" s="1"/>
  <c r="N101" i="42691"/>
  <c r="N429" i="42691" s="1"/>
  <c r="M101" i="42691"/>
  <c r="M429" i="42691" s="1"/>
  <c r="L101" i="42691"/>
  <c r="L429" i="42691" s="1"/>
  <c r="K101" i="42691"/>
  <c r="K429" i="42691" s="1"/>
  <c r="J101" i="42691"/>
  <c r="J429" i="42691" s="1"/>
  <c r="I101" i="42691"/>
  <c r="I429" i="42691" s="1"/>
  <c r="H101" i="42691"/>
  <c r="H429" i="42691" s="1"/>
  <c r="G101" i="42691"/>
  <c r="G429" i="42691" s="1"/>
  <c r="F101" i="42691"/>
  <c r="F429" i="42691" s="1"/>
  <c r="Q99" i="42691"/>
  <c r="P99" i="42691"/>
  <c r="P427" i="42691" s="1"/>
  <c r="O99" i="42691"/>
  <c r="N99" i="42691"/>
  <c r="N427" i="42691" s="1"/>
  <c r="M99" i="42691"/>
  <c r="L99" i="42691"/>
  <c r="L427" i="42691" s="1"/>
  <c r="K99" i="42691"/>
  <c r="J99" i="42691"/>
  <c r="J427" i="42691" s="1"/>
  <c r="I99" i="42691"/>
  <c r="H99" i="42691"/>
  <c r="H427" i="42691" s="1"/>
  <c r="G99" i="42691"/>
  <c r="F99" i="42691"/>
  <c r="F427" i="42691" s="1"/>
  <c r="Q96" i="42691"/>
  <c r="Q424" i="42691" s="1"/>
  <c r="P96" i="42691"/>
  <c r="P424" i="42691" s="1"/>
  <c r="O96" i="42691"/>
  <c r="O424" i="42691" s="1"/>
  <c r="N96" i="42691"/>
  <c r="N424" i="42691" s="1"/>
  <c r="M96" i="42691"/>
  <c r="M424" i="42691" s="1"/>
  <c r="L96" i="42691"/>
  <c r="L424" i="42691" s="1"/>
  <c r="K96" i="42691"/>
  <c r="K424" i="42691" s="1"/>
  <c r="J96" i="42691"/>
  <c r="J424" i="42691" s="1"/>
  <c r="I96" i="42691"/>
  <c r="I424" i="42691" s="1"/>
  <c r="H96" i="42691"/>
  <c r="H424" i="42691" s="1"/>
  <c r="G96" i="42691"/>
  <c r="G424" i="42691" s="1"/>
  <c r="F96" i="42691"/>
  <c r="F424" i="42691" s="1"/>
  <c r="Q95" i="42691"/>
  <c r="Q119" i="42691" s="1"/>
  <c r="P95" i="42691"/>
  <c r="P423" i="42691" s="1"/>
  <c r="P447" i="42691" s="1"/>
  <c r="O95" i="42691"/>
  <c r="O119" i="42691" s="1"/>
  <c r="N95" i="42691"/>
  <c r="N423" i="42691" s="1"/>
  <c r="N447" i="42691" s="1"/>
  <c r="M95" i="42691"/>
  <c r="M119" i="42691" s="1"/>
  <c r="L95" i="42691"/>
  <c r="L423" i="42691" s="1"/>
  <c r="L447" i="42691" s="1"/>
  <c r="K95" i="42691"/>
  <c r="K119" i="42691" s="1"/>
  <c r="J95" i="42691"/>
  <c r="J423" i="42691" s="1"/>
  <c r="J447" i="42691" s="1"/>
  <c r="I95" i="42691"/>
  <c r="I119" i="42691" s="1"/>
  <c r="H95" i="42691"/>
  <c r="H423" i="42691" s="1"/>
  <c r="H447" i="42691" s="1"/>
  <c r="G95" i="42691"/>
  <c r="G119" i="42691" s="1"/>
  <c r="F95" i="42691"/>
  <c r="F423" i="42691" s="1"/>
  <c r="F447" i="42691" s="1"/>
  <c r="Q93" i="42691"/>
  <c r="Q116" i="42691" s="1"/>
  <c r="P93" i="42691"/>
  <c r="P421" i="42691" s="1"/>
  <c r="P444" i="42691" s="1"/>
  <c r="O93" i="42691"/>
  <c r="O116" i="42691" s="1"/>
  <c r="N93" i="42691"/>
  <c r="N421" i="42691" s="1"/>
  <c r="N444" i="42691" s="1"/>
  <c r="M93" i="42691"/>
  <c r="M116" i="42691" s="1"/>
  <c r="L93" i="42691"/>
  <c r="L421" i="42691" s="1"/>
  <c r="L444" i="42691" s="1"/>
  <c r="K93" i="42691"/>
  <c r="K116" i="42691" s="1"/>
  <c r="J93" i="42691"/>
  <c r="J421" i="42691" s="1"/>
  <c r="J444" i="42691" s="1"/>
  <c r="I93" i="42691"/>
  <c r="I116" i="42691" s="1"/>
  <c r="H93" i="42691"/>
  <c r="H421" i="42691" s="1"/>
  <c r="H444" i="42691" s="1"/>
  <c r="G93" i="42691"/>
  <c r="G116" i="42691" s="1"/>
  <c r="F93" i="42691"/>
  <c r="F421" i="42691" s="1"/>
  <c r="F444" i="42691" s="1"/>
  <c r="Q80" i="42691"/>
  <c r="Q803" i="42691" s="1"/>
  <c r="Q826" i="42691" s="1"/>
  <c r="P80" i="42691"/>
  <c r="P803" i="42691" s="1"/>
  <c r="P826" i="42691" s="1"/>
  <c r="O80" i="42691"/>
  <c r="O803" i="42691" s="1"/>
  <c r="O826" i="42691" s="1"/>
  <c r="N80" i="42691"/>
  <c r="N803" i="42691" s="1"/>
  <c r="N826" i="42691" s="1"/>
  <c r="M80" i="42691"/>
  <c r="M803" i="42691" s="1"/>
  <c r="M826" i="42691" s="1"/>
  <c r="L80" i="42691"/>
  <c r="L803" i="42691" s="1"/>
  <c r="L826" i="42691" s="1"/>
  <c r="K80" i="42691"/>
  <c r="K803" i="42691" s="1"/>
  <c r="K826" i="42691" s="1"/>
  <c r="J80" i="42691"/>
  <c r="J803" i="42691" s="1"/>
  <c r="J826" i="42691" s="1"/>
  <c r="I80" i="42691"/>
  <c r="I803" i="42691" s="1"/>
  <c r="I826" i="42691" s="1"/>
  <c r="H80" i="42691"/>
  <c r="H803" i="42691" s="1"/>
  <c r="H826" i="42691" s="1"/>
  <c r="G80" i="42691"/>
  <c r="G803" i="42691" s="1"/>
  <c r="G826" i="42691" s="1"/>
  <c r="F80" i="42691"/>
  <c r="F803" i="42691" s="1"/>
  <c r="Q75" i="42691"/>
  <c r="Q403" i="42691" s="1"/>
  <c r="P75" i="42691"/>
  <c r="O75" i="42691"/>
  <c r="O403" i="42691" s="1"/>
  <c r="N75" i="42691"/>
  <c r="M75" i="42691"/>
  <c r="M403" i="42691" s="1"/>
  <c r="L75" i="42691"/>
  <c r="K75" i="42691"/>
  <c r="K403" i="42691" s="1"/>
  <c r="J75" i="42691"/>
  <c r="I75" i="42691"/>
  <c r="I403" i="42691" s="1"/>
  <c r="H75" i="42691"/>
  <c r="G75" i="42691"/>
  <c r="G403" i="42691" s="1"/>
  <c r="F75" i="42691"/>
  <c r="Q74" i="42691"/>
  <c r="Q402" i="42691" s="1"/>
  <c r="Q412" i="42691" s="1"/>
  <c r="P74" i="42691"/>
  <c r="P402" i="42691" s="1"/>
  <c r="P412" i="42691" s="1"/>
  <c r="O74" i="42691"/>
  <c r="O402" i="42691" s="1"/>
  <c r="O412" i="42691" s="1"/>
  <c r="N74" i="42691"/>
  <c r="N402" i="42691" s="1"/>
  <c r="N412" i="42691" s="1"/>
  <c r="M74" i="42691"/>
  <c r="M402" i="42691" s="1"/>
  <c r="M412" i="42691" s="1"/>
  <c r="L74" i="42691"/>
  <c r="L402" i="42691" s="1"/>
  <c r="L412" i="42691" s="1"/>
  <c r="K74" i="42691"/>
  <c r="K402" i="42691" s="1"/>
  <c r="K412" i="42691" s="1"/>
  <c r="J74" i="42691"/>
  <c r="J402" i="42691" s="1"/>
  <c r="J412" i="42691" s="1"/>
  <c r="I74" i="42691"/>
  <c r="I402" i="42691" s="1"/>
  <c r="I412" i="42691" s="1"/>
  <c r="H74" i="42691"/>
  <c r="H402" i="42691" s="1"/>
  <c r="H412" i="42691" s="1"/>
  <c r="G74" i="42691"/>
  <c r="G402" i="42691" s="1"/>
  <c r="G412" i="42691" s="1"/>
  <c r="F74" i="42691"/>
  <c r="F402" i="42691" s="1"/>
  <c r="F412" i="42691" s="1"/>
  <c r="O70" i="42691"/>
  <c r="O935" i="42691" s="1"/>
  <c r="O970" i="42691" s="1"/>
  <c r="K70" i="42691"/>
  <c r="K935" i="42691" s="1"/>
  <c r="K970" i="42691" s="1"/>
  <c r="G70" i="42691"/>
  <c r="G935" i="42691" s="1"/>
  <c r="G970" i="42691" s="1"/>
  <c r="Q67" i="42691"/>
  <c r="Q886" i="42691" s="1"/>
  <c r="P67" i="42691"/>
  <c r="P886" i="42691" s="1"/>
  <c r="O67" i="42691"/>
  <c r="O886" i="42691" s="1"/>
  <c r="N67" i="42691"/>
  <c r="N886" i="42691" s="1"/>
  <c r="M67" i="42691"/>
  <c r="M886" i="42691" s="1"/>
  <c r="L67" i="42691"/>
  <c r="L886" i="42691" s="1"/>
  <c r="K67" i="42691"/>
  <c r="K886" i="42691" s="1"/>
  <c r="J67" i="42691"/>
  <c r="J886" i="42691" s="1"/>
  <c r="I67" i="42691"/>
  <c r="I886" i="42691" s="1"/>
  <c r="H67" i="42691"/>
  <c r="H886" i="42691" s="1"/>
  <c r="G67" i="42691"/>
  <c r="G886" i="42691" s="1"/>
  <c r="F67" i="42691"/>
  <c r="F886" i="42691" s="1"/>
  <c r="Q51" i="42691"/>
  <c r="Q802" i="42691" s="1"/>
  <c r="Q825" i="42691" s="1"/>
  <c r="P51" i="42691"/>
  <c r="P802" i="42691" s="1"/>
  <c r="P825" i="42691" s="1"/>
  <c r="O51" i="42691"/>
  <c r="O802" i="42691" s="1"/>
  <c r="O825" i="42691" s="1"/>
  <c r="N51" i="42691"/>
  <c r="N802" i="42691" s="1"/>
  <c r="N825" i="42691" s="1"/>
  <c r="M51" i="42691"/>
  <c r="M802" i="42691" s="1"/>
  <c r="M825" i="42691" s="1"/>
  <c r="L51" i="42691"/>
  <c r="L802" i="42691" s="1"/>
  <c r="L825" i="42691" s="1"/>
  <c r="K51" i="42691"/>
  <c r="K802" i="42691" s="1"/>
  <c r="K825" i="42691" s="1"/>
  <c r="J51" i="42691"/>
  <c r="J802" i="42691" s="1"/>
  <c r="J825" i="42691" s="1"/>
  <c r="I51" i="42691"/>
  <c r="I802" i="42691" s="1"/>
  <c r="I825" i="42691" s="1"/>
  <c r="H51" i="42691"/>
  <c r="H802" i="42691" s="1"/>
  <c r="H825" i="42691" s="1"/>
  <c r="G51" i="42691"/>
  <c r="G802" i="42691" s="1"/>
  <c r="G825" i="42691" s="1"/>
  <c r="F51" i="42691"/>
  <c r="F802" i="42691" s="1"/>
  <c r="Q47" i="42691"/>
  <c r="P47" i="42691"/>
  <c r="O47" i="42691"/>
  <c r="N47" i="42691"/>
  <c r="M47" i="42691"/>
  <c r="L47" i="42691"/>
  <c r="K47" i="42691"/>
  <c r="J47" i="42691"/>
  <c r="I47" i="42691"/>
  <c r="H47" i="42691"/>
  <c r="G47" i="42691"/>
  <c r="F47" i="42691"/>
  <c r="Q46" i="42691"/>
  <c r="Q55" i="42691" s="1"/>
  <c r="P46" i="42691"/>
  <c r="P55" i="42691" s="1"/>
  <c r="O46" i="42691"/>
  <c r="O55" i="42691" s="1"/>
  <c r="N46" i="42691"/>
  <c r="N55" i="42691" s="1"/>
  <c r="M46" i="42691"/>
  <c r="M55" i="42691" s="1"/>
  <c r="L46" i="42691"/>
  <c r="L55" i="42691" s="1"/>
  <c r="K46" i="42691"/>
  <c r="K55" i="42691" s="1"/>
  <c r="J46" i="42691"/>
  <c r="J55" i="42691" s="1"/>
  <c r="I46" i="42691"/>
  <c r="I55" i="42691" s="1"/>
  <c r="H46" i="42691"/>
  <c r="H55" i="42691" s="1"/>
  <c r="G46" i="42691"/>
  <c r="G55" i="42691" s="1"/>
  <c r="F46" i="42691"/>
  <c r="F55" i="42691" s="1"/>
  <c r="Q33" i="42691"/>
  <c r="Q801" i="42691" s="1"/>
  <c r="P33" i="42691"/>
  <c r="P801" i="42691" s="1"/>
  <c r="O33" i="42691"/>
  <c r="O801" i="42691" s="1"/>
  <c r="N33" i="42691"/>
  <c r="N801" i="42691" s="1"/>
  <c r="M33" i="42691"/>
  <c r="M801" i="42691" s="1"/>
  <c r="L33" i="42691"/>
  <c r="L801" i="42691" s="1"/>
  <c r="K33" i="42691"/>
  <c r="K801" i="42691" s="1"/>
  <c r="J33" i="42691"/>
  <c r="J801" i="42691" s="1"/>
  <c r="I33" i="42691"/>
  <c r="I801" i="42691" s="1"/>
  <c r="H33" i="42691"/>
  <c r="H801" i="42691" s="1"/>
  <c r="G33" i="42691"/>
  <c r="G801" i="42691" s="1"/>
  <c r="F33" i="42691"/>
  <c r="F801" i="42691" s="1"/>
  <c r="Q28" i="42691"/>
  <c r="P28" i="42691"/>
  <c r="O28" i="42691"/>
  <c r="N28" i="42691"/>
  <c r="M28" i="42691"/>
  <c r="L28" i="42691"/>
  <c r="K28" i="42691"/>
  <c r="J28" i="42691"/>
  <c r="I28" i="42691"/>
  <c r="H28" i="42691"/>
  <c r="G28" i="42691"/>
  <c r="F28" i="42691"/>
  <c r="Q27" i="42691"/>
  <c r="Q37" i="42691" s="1"/>
  <c r="P27" i="42691"/>
  <c r="P37" i="42691" s="1"/>
  <c r="O27" i="42691"/>
  <c r="O37" i="42691" s="1"/>
  <c r="N27" i="42691"/>
  <c r="N37" i="42691" s="1"/>
  <c r="M27" i="42691"/>
  <c r="M37" i="42691" s="1"/>
  <c r="L27" i="42691"/>
  <c r="L37" i="42691" s="1"/>
  <c r="K27" i="42691"/>
  <c r="K37" i="42691" s="1"/>
  <c r="J27" i="42691"/>
  <c r="J37" i="42691" s="1"/>
  <c r="I27" i="42691"/>
  <c r="I37" i="42691" s="1"/>
  <c r="H27" i="42691"/>
  <c r="H37" i="42691" s="1"/>
  <c r="G27" i="42691"/>
  <c r="G37" i="42691" s="1"/>
  <c r="F27" i="42691"/>
  <c r="F37" i="42691" s="1"/>
  <c r="Q9" i="42691"/>
  <c r="P9" i="42691"/>
  <c r="O9" i="42691"/>
  <c r="N9" i="42691"/>
  <c r="M9" i="42691"/>
  <c r="L9" i="42691"/>
  <c r="K9" i="42691"/>
  <c r="J9" i="42691"/>
  <c r="I9" i="42691"/>
  <c r="H9" i="42691"/>
  <c r="G9" i="42691"/>
  <c r="F9" i="42691"/>
  <c r="Q6" i="42691"/>
  <c r="P6" i="42691"/>
  <c r="O6" i="42691"/>
  <c r="N6" i="42691"/>
  <c r="M6" i="42691"/>
  <c r="L6" i="42691"/>
  <c r="K6" i="42691"/>
  <c r="J6" i="42691"/>
  <c r="I6" i="42691"/>
  <c r="H6" i="42691"/>
  <c r="G6" i="42691"/>
  <c r="F6" i="42691"/>
  <c r="B4" i="42691"/>
  <c r="B2" i="42691"/>
  <c r="B1" i="42691"/>
  <c r="R960" i="42690"/>
  <c r="R952" i="42690"/>
  <c r="P926" i="42690"/>
  <c r="F926" i="42690"/>
  <c r="Q903" i="42690"/>
  <c r="P903" i="42690"/>
  <c r="O903" i="42690"/>
  <c r="N903" i="42690"/>
  <c r="M903" i="42690"/>
  <c r="L903" i="42690"/>
  <c r="K903" i="42690"/>
  <c r="J903" i="42690"/>
  <c r="I903" i="42690"/>
  <c r="H903" i="42690"/>
  <c r="G903" i="42690"/>
  <c r="F903" i="42690"/>
  <c r="Q790" i="42690"/>
  <c r="P790" i="42690"/>
  <c r="O790" i="42690"/>
  <c r="N790" i="42690"/>
  <c r="M790" i="42690"/>
  <c r="L790" i="42690"/>
  <c r="K790" i="42690"/>
  <c r="J790" i="42690"/>
  <c r="I790" i="42690"/>
  <c r="H790" i="42690"/>
  <c r="G790" i="42690"/>
  <c r="F790" i="42690"/>
  <c r="Q789" i="42690"/>
  <c r="P789" i="42690"/>
  <c r="O789" i="42690"/>
  <c r="N789" i="42690"/>
  <c r="M789" i="42690"/>
  <c r="L789" i="42690"/>
  <c r="K789" i="42690"/>
  <c r="J789" i="42690"/>
  <c r="I789" i="42690"/>
  <c r="H789" i="42690"/>
  <c r="G789" i="42690"/>
  <c r="F789" i="42690"/>
  <c r="Q788" i="42690"/>
  <c r="P788" i="42690"/>
  <c r="O788" i="42690"/>
  <c r="N788" i="42690"/>
  <c r="M788" i="42690"/>
  <c r="L788" i="42690"/>
  <c r="K788" i="42690"/>
  <c r="J788" i="42690"/>
  <c r="I788" i="42690"/>
  <c r="H788" i="42690"/>
  <c r="G788" i="42690"/>
  <c r="F788" i="42690"/>
  <c r="Q787" i="42690"/>
  <c r="P787" i="42690"/>
  <c r="O787" i="42690"/>
  <c r="N787" i="42690"/>
  <c r="M787" i="42690"/>
  <c r="L787" i="42690"/>
  <c r="K787" i="42690"/>
  <c r="J787" i="42690"/>
  <c r="I787" i="42690"/>
  <c r="H787" i="42690"/>
  <c r="G787" i="42690"/>
  <c r="F787" i="42690"/>
  <c r="Q786" i="42690"/>
  <c r="P786" i="42690"/>
  <c r="O786" i="42690"/>
  <c r="N786" i="42690"/>
  <c r="M786" i="42690"/>
  <c r="L786" i="42690"/>
  <c r="K786" i="42690"/>
  <c r="J786" i="42690"/>
  <c r="I786" i="42690"/>
  <c r="H786" i="42690"/>
  <c r="G786" i="42690"/>
  <c r="F786" i="42690"/>
  <c r="Q781" i="42690"/>
  <c r="Q904" i="42690" s="1"/>
  <c r="Q917" i="42690" s="1"/>
  <c r="P781" i="42690"/>
  <c r="P793" i="42690" s="1"/>
  <c r="O781" i="42690"/>
  <c r="O904" i="42690" s="1"/>
  <c r="O917" i="42690" s="1"/>
  <c r="N781" i="42690"/>
  <c r="N793" i="42690" s="1"/>
  <c r="M781" i="42690"/>
  <c r="M904" i="42690" s="1"/>
  <c r="M917" i="42690" s="1"/>
  <c r="L781" i="42690"/>
  <c r="L793" i="42690" s="1"/>
  <c r="K781" i="42690"/>
  <c r="K904" i="42690" s="1"/>
  <c r="K917" i="42690" s="1"/>
  <c r="J781" i="42690"/>
  <c r="J793" i="42690" s="1"/>
  <c r="I781" i="42690"/>
  <c r="I904" i="42690" s="1"/>
  <c r="I917" i="42690" s="1"/>
  <c r="H781" i="42690"/>
  <c r="H793" i="42690" s="1"/>
  <c r="G781" i="42690"/>
  <c r="G904" i="42690" s="1"/>
  <c r="G917" i="42690" s="1"/>
  <c r="F781" i="42690"/>
  <c r="F793" i="42690" s="1"/>
  <c r="R778" i="42690"/>
  <c r="R777" i="42690"/>
  <c r="R776" i="42690"/>
  <c r="R775" i="42690"/>
  <c r="R774" i="42690"/>
  <c r="Q772" i="42690"/>
  <c r="Q820" i="42690" s="1"/>
  <c r="Q835" i="42690" s="1"/>
  <c r="P772" i="42690"/>
  <c r="P820" i="42690" s="1"/>
  <c r="P835" i="42690" s="1"/>
  <c r="O772" i="42690"/>
  <c r="O820" i="42690" s="1"/>
  <c r="O835" i="42690" s="1"/>
  <c r="N772" i="42690"/>
  <c r="N820" i="42690" s="1"/>
  <c r="N835" i="42690" s="1"/>
  <c r="M772" i="42690"/>
  <c r="M820" i="42690" s="1"/>
  <c r="M835" i="42690" s="1"/>
  <c r="L772" i="42690"/>
  <c r="L820" i="42690" s="1"/>
  <c r="L835" i="42690" s="1"/>
  <c r="K772" i="42690"/>
  <c r="K820" i="42690" s="1"/>
  <c r="K835" i="42690" s="1"/>
  <c r="J772" i="42690"/>
  <c r="J820" i="42690" s="1"/>
  <c r="J835" i="42690" s="1"/>
  <c r="I772" i="42690"/>
  <c r="I820" i="42690" s="1"/>
  <c r="I835" i="42690" s="1"/>
  <c r="H772" i="42690"/>
  <c r="H820" i="42690" s="1"/>
  <c r="H835" i="42690" s="1"/>
  <c r="G772" i="42690"/>
  <c r="G820" i="42690" s="1"/>
  <c r="G835" i="42690" s="1"/>
  <c r="F772" i="42690"/>
  <c r="F820" i="42690" s="1"/>
  <c r="Q753" i="42690"/>
  <c r="P753" i="42690"/>
  <c r="O753" i="42690"/>
  <c r="N753" i="42690"/>
  <c r="M753" i="42690"/>
  <c r="L753" i="42690"/>
  <c r="K753" i="42690"/>
  <c r="J753" i="42690"/>
  <c r="I753" i="42690"/>
  <c r="H753" i="42690"/>
  <c r="G753" i="42690"/>
  <c r="F753" i="42690"/>
  <c r="R753" i="42690" s="1"/>
  <c r="R749" i="42690"/>
  <c r="R734" i="42690"/>
  <c r="R731" i="42690"/>
  <c r="R730" i="42690"/>
  <c r="R729" i="42690"/>
  <c r="R728" i="42690"/>
  <c r="R727" i="42690"/>
  <c r="Q725" i="42690"/>
  <c r="Q819" i="42690" s="1"/>
  <c r="P725" i="42690"/>
  <c r="P819" i="42690" s="1"/>
  <c r="O725" i="42690"/>
  <c r="O819" i="42690" s="1"/>
  <c r="N725" i="42690"/>
  <c r="N819" i="42690" s="1"/>
  <c r="M725" i="42690"/>
  <c r="M819" i="42690" s="1"/>
  <c r="L725" i="42690"/>
  <c r="L819" i="42690" s="1"/>
  <c r="K725" i="42690"/>
  <c r="K819" i="42690" s="1"/>
  <c r="J725" i="42690"/>
  <c r="J819" i="42690" s="1"/>
  <c r="I725" i="42690"/>
  <c r="I819" i="42690" s="1"/>
  <c r="H725" i="42690"/>
  <c r="H819" i="42690" s="1"/>
  <c r="G725" i="42690"/>
  <c r="G819" i="42690" s="1"/>
  <c r="F725" i="42690"/>
  <c r="Q722" i="42690"/>
  <c r="P722" i="42690"/>
  <c r="O722" i="42690"/>
  <c r="N722" i="42690"/>
  <c r="M722" i="42690"/>
  <c r="L722" i="42690"/>
  <c r="K722" i="42690"/>
  <c r="J722" i="42690"/>
  <c r="I722" i="42690"/>
  <c r="H722" i="42690"/>
  <c r="G722" i="42690"/>
  <c r="F722" i="42690"/>
  <c r="Q719" i="42690"/>
  <c r="Q751" i="42690" s="1"/>
  <c r="P719" i="42690"/>
  <c r="P751" i="42690" s="1"/>
  <c r="O719" i="42690"/>
  <c r="O751" i="42690" s="1"/>
  <c r="N719" i="42690"/>
  <c r="N751" i="42690" s="1"/>
  <c r="M719" i="42690"/>
  <c r="M751" i="42690" s="1"/>
  <c r="L719" i="42690"/>
  <c r="L751" i="42690" s="1"/>
  <c r="K719" i="42690"/>
  <c r="K751" i="42690" s="1"/>
  <c r="J719" i="42690"/>
  <c r="J751" i="42690" s="1"/>
  <c r="I719" i="42690"/>
  <c r="I751" i="42690" s="1"/>
  <c r="H719" i="42690"/>
  <c r="H751" i="42690" s="1"/>
  <c r="G719" i="42690"/>
  <c r="G751" i="42690" s="1"/>
  <c r="F719" i="42690"/>
  <c r="F751" i="42690" s="1"/>
  <c r="Q718" i="42690"/>
  <c r="Q750" i="42690" s="1"/>
  <c r="Q752" i="42690" s="1"/>
  <c r="P718" i="42690"/>
  <c r="P750" i="42690" s="1"/>
  <c r="P752" i="42690" s="1"/>
  <c r="O718" i="42690"/>
  <c r="O750" i="42690" s="1"/>
  <c r="O752" i="42690" s="1"/>
  <c r="N718" i="42690"/>
  <c r="N750" i="42690" s="1"/>
  <c r="N752" i="42690" s="1"/>
  <c r="M718" i="42690"/>
  <c r="M750" i="42690" s="1"/>
  <c r="M752" i="42690" s="1"/>
  <c r="L718" i="42690"/>
  <c r="L750" i="42690" s="1"/>
  <c r="L752" i="42690" s="1"/>
  <c r="K718" i="42690"/>
  <c r="K750" i="42690" s="1"/>
  <c r="K752" i="42690" s="1"/>
  <c r="J718" i="42690"/>
  <c r="J750" i="42690" s="1"/>
  <c r="J752" i="42690" s="1"/>
  <c r="I718" i="42690"/>
  <c r="I750" i="42690" s="1"/>
  <c r="I752" i="42690" s="1"/>
  <c r="H718" i="42690"/>
  <c r="H750" i="42690" s="1"/>
  <c r="H752" i="42690" s="1"/>
  <c r="G718" i="42690"/>
  <c r="G750" i="42690" s="1"/>
  <c r="G752" i="42690" s="1"/>
  <c r="F718" i="42690"/>
  <c r="F750" i="42690" s="1"/>
  <c r="Q716" i="42690"/>
  <c r="P716" i="42690"/>
  <c r="O716" i="42690"/>
  <c r="N716" i="42690"/>
  <c r="M716" i="42690"/>
  <c r="L716" i="42690"/>
  <c r="K716" i="42690"/>
  <c r="J716" i="42690"/>
  <c r="I716" i="42690"/>
  <c r="H716" i="42690"/>
  <c r="G716" i="42690"/>
  <c r="F716" i="42690"/>
  <c r="Q714" i="42690"/>
  <c r="P714" i="42690"/>
  <c r="O714" i="42690"/>
  <c r="N714" i="42690"/>
  <c r="M714" i="42690"/>
  <c r="L714" i="42690"/>
  <c r="K714" i="42690"/>
  <c r="J714" i="42690"/>
  <c r="I714" i="42690"/>
  <c r="H714" i="42690"/>
  <c r="G714" i="42690"/>
  <c r="F714" i="42690"/>
  <c r="Q713" i="42690"/>
  <c r="Q744" i="42690" s="1"/>
  <c r="P713" i="42690"/>
  <c r="P744" i="42690" s="1"/>
  <c r="O713" i="42690"/>
  <c r="O744" i="42690" s="1"/>
  <c r="N713" i="42690"/>
  <c r="N744" i="42690" s="1"/>
  <c r="M713" i="42690"/>
  <c r="M744" i="42690" s="1"/>
  <c r="L713" i="42690"/>
  <c r="L744" i="42690" s="1"/>
  <c r="K713" i="42690"/>
  <c r="K744" i="42690" s="1"/>
  <c r="J713" i="42690"/>
  <c r="J744" i="42690" s="1"/>
  <c r="I713" i="42690"/>
  <c r="I744" i="42690" s="1"/>
  <c r="H713" i="42690"/>
  <c r="H744" i="42690" s="1"/>
  <c r="G713" i="42690"/>
  <c r="G744" i="42690" s="1"/>
  <c r="F713" i="42690"/>
  <c r="F744" i="42690" s="1"/>
  <c r="Q712" i="42690"/>
  <c r="Q743" i="42690" s="1"/>
  <c r="P712" i="42690"/>
  <c r="P743" i="42690" s="1"/>
  <c r="O712" i="42690"/>
  <c r="O743" i="42690" s="1"/>
  <c r="N712" i="42690"/>
  <c r="N743" i="42690" s="1"/>
  <c r="M712" i="42690"/>
  <c r="M743" i="42690" s="1"/>
  <c r="L712" i="42690"/>
  <c r="L743" i="42690" s="1"/>
  <c r="K712" i="42690"/>
  <c r="K743" i="42690" s="1"/>
  <c r="J712" i="42690"/>
  <c r="J743" i="42690" s="1"/>
  <c r="I712" i="42690"/>
  <c r="I743" i="42690" s="1"/>
  <c r="H712" i="42690"/>
  <c r="H743" i="42690" s="1"/>
  <c r="G712" i="42690"/>
  <c r="G743" i="42690" s="1"/>
  <c r="F712" i="42690"/>
  <c r="F743" i="42690" s="1"/>
  <c r="Q711" i="42690"/>
  <c r="Q742" i="42690" s="1"/>
  <c r="P711" i="42690"/>
  <c r="P742" i="42690" s="1"/>
  <c r="O711" i="42690"/>
  <c r="O742" i="42690" s="1"/>
  <c r="N711" i="42690"/>
  <c r="N742" i="42690" s="1"/>
  <c r="M711" i="42690"/>
  <c r="M742" i="42690" s="1"/>
  <c r="L711" i="42690"/>
  <c r="L742" i="42690" s="1"/>
  <c r="K711" i="42690"/>
  <c r="K742" i="42690" s="1"/>
  <c r="J711" i="42690"/>
  <c r="J742" i="42690" s="1"/>
  <c r="I711" i="42690"/>
  <c r="I742" i="42690" s="1"/>
  <c r="H711" i="42690"/>
  <c r="H742" i="42690" s="1"/>
  <c r="G711" i="42690"/>
  <c r="G742" i="42690" s="1"/>
  <c r="F711" i="42690"/>
  <c r="F742" i="42690" s="1"/>
  <c r="Q710" i="42690"/>
  <c r="Q741" i="42690" s="1"/>
  <c r="P710" i="42690"/>
  <c r="P741" i="42690" s="1"/>
  <c r="O710" i="42690"/>
  <c r="O741" i="42690" s="1"/>
  <c r="N710" i="42690"/>
  <c r="N741" i="42690" s="1"/>
  <c r="M710" i="42690"/>
  <c r="M741" i="42690" s="1"/>
  <c r="L710" i="42690"/>
  <c r="L741" i="42690" s="1"/>
  <c r="K710" i="42690"/>
  <c r="K741" i="42690" s="1"/>
  <c r="J710" i="42690"/>
  <c r="J741" i="42690" s="1"/>
  <c r="I710" i="42690"/>
  <c r="I741" i="42690" s="1"/>
  <c r="H710" i="42690"/>
  <c r="H741" i="42690" s="1"/>
  <c r="G710" i="42690"/>
  <c r="G741" i="42690" s="1"/>
  <c r="F710" i="42690"/>
  <c r="F741" i="42690" s="1"/>
  <c r="Q709" i="42690"/>
  <c r="Q740" i="42690" s="1"/>
  <c r="P709" i="42690"/>
  <c r="P740" i="42690" s="1"/>
  <c r="O709" i="42690"/>
  <c r="O740" i="42690" s="1"/>
  <c r="N709" i="42690"/>
  <c r="N740" i="42690" s="1"/>
  <c r="M709" i="42690"/>
  <c r="M740" i="42690" s="1"/>
  <c r="L709" i="42690"/>
  <c r="L740" i="42690" s="1"/>
  <c r="K709" i="42690"/>
  <c r="K740" i="42690" s="1"/>
  <c r="J709" i="42690"/>
  <c r="J740" i="42690" s="1"/>
  <c r="I709" i="42690"/>
  <c r="I740" i="42690" s="1"/>
  <c r="H709" i="42690"/>
  <c r="H740" i="42690" s="1"/>
  <c r="G709" i="42690"/>
  <c r="G740" i="42690" s="1"/>
  <c r="F709" i="42690"/>
  <c r="F740" i="42690" s="1"/>
  <c r="Q707" i="42690"/>
  <c r="Q738" i="42690" s="1"/>
  <c r="P707" i="42690"/>
  <c r="P738" i="42690" s="1"/>
  <c r="O707" i="42690"/>
  <c r="O738" i="42690" s="1"/>
  <c r="N707" i="42690"/>
  <c r="N738" i="42690" s="1"/>
  <c r="M707" i="42690"/>
  <c r="M738" i="42690" s="1"/>
  <c r="L707" i="42690"/>
  <c r="L738" i="42690" s="1"/>
  <c r="K707" i="42690"/>
  <c r="K738" i="42690" s="1"/>
  <c r="J707" i="42690"/>
  <c r="J738" i="42690" s="1"/>
  <c r="I707" i="42690"/>
  <c r="I738" i="42690" s="1"/>
  <c r="H707" i="42690"/>
  <c r="H738" i="42690" s="1"/>
  <c r="G707" i="42690"/>
  <c r="G738" i="42690" s="1"/>
  <c r="F707" i="42690"/>
  <c r="F738" i="42690" s="1"/>
  <c r="Q699" i="42690"/>
  <c r="P699" i="42690"/>
  <c r="O699" i="42690"/>
  <c r="N699" i="42690"/>
  <c r="M699" i="42690"/>
  <c r="L699" i="42690"/>
  <c r="K699" i="42690"/>
  <c r="J699" i="42690"/>
  <c r="I699" i="42690"/>
  <c r="H699" i="42690"/>
  <c r="G699" i="42690"/>
  <c r="F699" i="42690"/>
  <c r="R695" i="42690"/>
  <c r="Q684" i="42690"/>
  <c r="Q902" i="42690" s="1"/>
  <c r="P684" i="42690"/>
  <c r="P902" i="42690" s="1"/>
  <c r="O684" i="42690"/>
  <c r="O902" i="42690" s="1"/>
  <c r="N684" i="42690"/>
  <c r="N902" i="42690" s="1"/>
  <c r="M684" i="42690"/>
  <c r="M902" i="42690" s="1"/>
  <c r="L684" i="42690"/>
  <c r="L902" i="42690" s="1"/>
  <c r="K684" i="42690"/>
  <c r="K902" i="42690" s="1"/>
  <c r="J684" i="42690"/>
  <c r="J902" i="42690" s="1"/>
  <c r="I684" i="42690"/>
  <c r="I902" i="42690" s="1"/>
  <c r="H684" i="42690"/>
  <c r="H902" i="42690" s="1"/>
  <c r="G684" i="42690"/>
  <c r="G902" i="42690" s="1"/>
  <c r="F684" i="42690"/>
  <c r="F902" i="42690" s="1"/>
  <c r="R681" i="42690"/>
  <c r="Q679" i="42690"/>
  <c r="Q818" i="42690" s="1"/>
  <c r="P679" i="42690"/>
  <c r="P818" i="42690" s="1"/>
  <c r="O679" i="42690"/>
  <c r="O818" i="42690" s="1"/>
  <c r="N679" i="42690"/>
  <c r="N818" i="42690" s="1"/>
  <c r="M679" i="42690"/>
  <c r="M818" i="42690" s="1"/>
  <c r="L679" i="42690"/>
  <c r="L818" i="42690" s="1"/>
  <c r="K679" i="42690"/>
  <c r="K818" i="42690" s="1"/>
  <c r="J679" i="42690"/>
  <c r="J818" i="42690" s="1"/>
  <c r="I679" i="42690"/>
  <c r="I818" i="42690" s="1"/>
  <c r="H679" i="42690"/>
  <c r="H818" i="42690" s="1"/>
  <c r="G679" i="42690"/>
  <c r="G818" i="42690" s="1"/>
  <c r="F679" i="42690"/>
  <c r="F818" i="42690" s="1"/>
  <c r="Q676" i="42690"/>
  <c r="P676" i="42690"/>
  <c r="O676" i="42690"/>
  <c r="N676" i="42690"/>
  <c r="M676" i="42690"/>
  <c r="L676" i="42690"/>
  <c r="K676" i="42690"/>
  <c r="J676" i="42690"/>
  <c r="I676" i="42690"/>
  <c r="H676" i="42690"/>
  <c r="G676" i="42690"/>
  <c r="F676" i="42690"/>
  <c r="Q673" i="42690"/>
  <c r="Q697" i="42690" s="1"/>
  <c r="P673" i="42690"/>
  <c r="P697" i="42690" s="1"/>
  <c r="O673" i="42690"/>
  <c r="O697" i="42690" s="1"/>
  <c r="N673" i="42690"/>
  <c r="N697" i="42690" s="1"/>
  <c r="M673" i="42690"/>
  <c r="M697" i="42690" s="1"/>
  <c r="L673" i="42690"/>
  <c r="L697" i="42690" s="1"/>
  <c r="K673" i="42690"/>
  <c r="K697" i="42690" s="1"/>
  <c r="J673" i="42690"/>
  <c r="J697" i="42690" s="1"/>
  <c r="I673" i="42690"/>
  <c r="I697" i="42690" s="1"/>
  <c r="H673" i="42690"/>
  <c r="H697" i="42690" s="1"/>
  <c r="G673" i="42690"/>
  <c r="G697" i="42690" s="1"/>
  <c r="F673" i="42690"/>
  <c r="F697" i="42690" s="1"/>
  <c r="Q672" i="42690"/>
  <c r="Q696" i="42690" s="1"/>
  <c r="P672" i="42690"/>
  <c r="P696" i="42690" s="1"/>
  <c r="P698" i="42690" s="1"/>
  <c r="O672" i="42690"/>
  <c r="O696" i="42690" s="1"/>
  <c r="N672" i="42690"/>
  <c r="N696" i="42690" s="1"/>
  <c r="N698" i="42690" s="1"/>
  <c r="M672" i="42690"/>
  <c r="M696" i="42690" s="1"/>
  <c r="L672" i="42690"/>
  <c r="L696" i="42690" s="1"/>
  <c r="L698" i="42690" s="1"/>
  <c r="K672" i="42690"/>
  <c r="K696" i="42690" s="1"/>
  <c r="J672" i="42690"/>
  <c r="J696" i="42690" s="1"/>
  <c r="J698" i="42690" s="1"/>
  <c r="I672" i="42690"/>
  <c r="I696" i="42690" s="1"/>
  <c r="H672" i="42690"/>
  <c r="H696" i="42690" s="1"/>
  <c r="H698" i="42690" s="1"/>
  <c r="G672" i="42690"/>
  <c r="G696" i="42690" s="1"/>
  <c r="F672" i="42690"/>
  <c r="F696" i="42690" s="1"/>
  <c r="Q670" i="42690"/>
  <c r="P670" i="42690"/>
  <c r="O670" i="42690"/>
  <c r="N670" i="42690"/>
  <c r="M670" i="42690"/>
  <c r="L670" i="42690"/>
  <c r="K670" i="42690"/>
  <c r="J670" i="42690"/>
  <c r="I670" i="42690"/>
  <c r="H670" i="42690"/>
  <c r="G670" i="42690"/>
  <c r="F670" i="42690"/>
  <c r="Q668" i="42690"/>
  <c r="P668" i="42690"/>
  <c r="O668" i="42690"/>
  <c r="N668" i="42690"/>
  <c r="M668" i="42690"/>
  <c r="L668" i="42690"/>
  <c r="K668" i="42690"/>
  <c r="J668" i="42690"/>
  <c r="I668" i="42690"/>
  <c r="H668" i="42690"/>
  <c r="G668" i="42690"/>
  <c r="F668" i="42690"/>
  <c r="Q667" i="42690"/>
  <c r="Q690" i="42690" s="1"/>
  <c r="P667" i="42690"/>
  <c r="P690" i="42690" s="1"/>
  <c r="O667" i="42690"/>
  <c r="O690" i="42690" s="1"/>
  <c r="N667" i="42690"/>
  <c r="N690" i="42690" s="1"/>
  <c r="M667" i="42690"/>
  <c r="M690" i="42690" s="1"/>
  <c r="L667" i="42690"/>
  <c r="L690" i="42690" s="1"/>
  <c r="K667" i="42690"/>
  <c r="K690" i="42690" s="1"/>
  <c r="J667" i="42690"/>
  <c r="J690" i="42690" s="1"/>
  <c r="I667" i="42690"/>
  <c r="I690" i="42690" s="1"/>
  <c r="H667" i="42690"/>
  <c r="H690" i="42690" s="1"/>
  <c r="G667" i="42690"/>
  <c r="G690" i="42690" s="1"/>
  <c r="F667" i="42690"/>
  <c r="F690" i="42690" s="1"/>
  <c r="Q665" i="42690"/>
  <c r="Q688" i="42690" s="1"/>
  <c r="P665" i="42690"/>
  <c r="P688" i="42690" s="1"/>
  <c r="O665" i="42690"/>
  <c r="O688" i="42690" s="1"/>
  <c r="N665" i="42690"/>
  <c r="N688" i="42690" s="1"/>
  <c r="M665" i="42690"/>
  <c r="M688" i="42690" s="1"/>
  <c r="L665" i="42690"/>
  <c r="L688" i="42690" s="1"/>
  <c r="K665" i="42690"/>
  <c r="K688" i="42690" s="1"/>
  <c r="J665" i="42690"/>
  <c r="J688" i="42690" s="1"/>
  <c r="I665" i="42690"/>
  <c r="I688" i="42690" s="1"/>
  <c r="H665" i="42690"/>
  <c r="H688" i="42690" s="1"/>
  <c r="G665" i="42690"/>
  <c r="G688" i="42690" s="1"/>
  <c r="F665" i="42690"/>
  <c r="F688" i="42690" s="1"/>
  <c r="Q657" i="42690"/>
  <c r="P657" i="42690"/>
  <c r="O657" i="42690"/>
  <c r="N657" i="42690"/>
  <c r="M657" i="42690"/>
  <c r="L657" i="42690"/>
  <c r="K657" i="42690"/>
  <c r="J657" i="42690"/>
  <c r="I657" i="42690"/>
  <c r="H657" i="42690"/>
  <c r="G657" i="42690"/>
  <c r="F657" i="42690"/>
  <c r="R653" i="42690"/>
  <c r="Q641" i="42690"/>
  <c r="Q901" i="42690" s="1"/>
  <c r="P641" i="42690"/>
  <c r="P901" i="42690" s="1"/>
  <c r="O641" i="42690"/>
  <c r="O901" i="42690" s="1"/>
  <c r="N641" i="42690"/>
  <c r="N901" i="42690" s="1"/>
  <c r="M641" i="42690"/>
  <c r="M901" i="42690" s="1"/>
  <c r="L641" i="42690"/>
  <c r="L901" i="42690" s="1"/>
  <c r="K641" i="42690"/>
  <c r="K901" i="42690" s="1"/>
  <c r="J641" i="42690"/>
  <c r="J901" i="42690" s="1"/>
  <c r="I641" i="42690"/>
  <c r="I901" i="42690" s="1"/>
  <c r="H641" i="42690"/>
  <c r="H901" i="42690" s="1"/>
  <c r="G641" i="42690"/>
  <c r="G901" i="42690" s="1"/>
  <c r="F641" i="42690"/>
  <c r="F901" i="42690" s="1"/>
  <c r="R638" i="42690"/>
  <c r="R637" i="42690"/>
  <c r="Q635" i="42690"/>
  <c r="Q817" i="42690" s="1"/>
  <c r="P635" i="42690"/>
  <c r="P817" i="42690" s="1"/>
  <c r="O635" i="42690"/>
  <c r="O817" i="42690" s="1"/>
  <c r="N635" i="42690"/>
  <c r="N817" i="42690" s="1"/>
  <c r="M635" i="42690"/>
  <c r="M817" i="42690" s="1"/>
  <c r="L635" i="42690"/>
  <c r="L817" i="42690" s="1"/>
  <c r="K635" i="42690"/>
  <c r="K817" i="42690" s="1"/>
  <c r="J635" i="42690"/>
  <c r="J817" i="42690" s="1"/>
  <c r="I635" i="42690"/>
  <c r="I817" i="42690" s="1"/>
  <c r="H635" i="42690"/>
  <c r="H817" i="42690" s="1"/>
  <c r="G635" i="42690"/>
  <c r="G817" i="42690" s="1"/>
  <c r="F635" i="42690"/>
  <c r="R635" i="42690" s="1"/>
  <c r="Q632" i="42690"/>
  <c r="P632" i="42690"/>
  <c r="O632" i="42690"/>
  <c r="N632" i="42690"/>
  <c r="M632" i="42690"/>
  <c r="L632" i="42690"/>
  <c r="K632" i="42690"/>
  <c r="J632" i="42690"/>
  <c r="I632" i="42690"/>
  <c r="H632" i="42690"/>
  <c r="G632" i="42690"/>
  <c r="F632" i="42690"/>
  <c r="Q629" i="42690"/>
  <c r="Q655" i="42690" s="1"/>
  <c r="P629" i="42690"/>
  <c r="P655" i="42690" s="1"/>
  <c r="O629" i="42690"/>
  <c r="O655" i="42690" s="1"/>
  <c r="N629" i="42690"/>
  <c r="N655" i="42690" s="1"/>
  <c r="M629" i="42690"/>
  <c r="M655" i="42690" s="1"/>
  <c r="L629" i="42690"/>
  <c r="L655" i="42690" s="1"/>
  <c r="K629" i="42690"/>
  <c r="K655" i="42690" s="1"/>
  <c r="J629" i="42690"/>
  <c r="J655" i="42690" s="1"/>
  <c r="I629" i="42690"/>
  <c r="I655" i="42690" s="1"/>
  <c r="H629" i="42690"/>
  <c r="H655" i="42690" s="1"/>
  <c r="G629" i="42690"/>
  <c r="G655" i="42690" s="1"/>
  <c r="F629" i="42690"/>
  <c r="F655" i="42690" s="1"/>
  <c r="Q628" i="42690"/>
  <c r="Q654" i="42690" s="1"/>
  <c r="Q656" i="42690" s="1"/>
  <c r="P628" i="42690"/>
  <c r="P654" i="42690" s="1"/>
  <c r="P656" i="42690" s="1"/>
  <c r="O628" i="42690"/>
  <c r="O654" i="42690" s="1"/>
  <c r="O656" i="42690" s="1"/>
  <c r="N628" i="42690"/>
  <c r="N654" i="42690" s="1"/>
  <c r="N656" i="42690" s="1"/>
  <c r="M628" i="42690"/>
  <c r="M654" i="42690" s="1"/>
  <c r="M656" i="42690" s="1"/>
  <c r="L628" i="42690"/>
  <c r="L654" i="42690" s="1"/>
  <c r="L656" i="42690" s="1"/>
  <c r="K628" i="42690"/>
  <c r="K654" i="42690" s="1"/>
  <c r="K656" i="42690" s="1"/>
  <c r="J628" i="42690"/>
  <c r="J654" i="42690" s="1"/>
  <c r="J656" i="42690" s="1"/>
  <c r="I628" i="42690"/>
  <c r="I654" i="42690" s="1"/>
  <c r="I656" i="42690" s="1"/>
  <c r="H628" i="42690"/>
  <c r="H654" i="42690" s="1"/>
  <c r="H656" i="42690" s="1"/>
  <c r="G628" i="42690"/>
  <c r="G654" i="42690" s="1"/>
  <c r="G656" i="42690" s="1"/>
  <c r="F628" i="42690"/>
  <c r="F654" i="42690" s="1"/>
  <c r="Q626" i="42690"/>
  <c r="P626" i="42690"/>
  <c r="O626" i="42690"/>
  <c r="N626" i="42690"/>
  <c r="M626" i="42690"/>
  <c r="L626" i="42690"/>
  <c r="K626" i="42690"/>
  <c r="J626" i="42690"/>
  <c r="I626" i="42690"/>
  <c r="H626" i="42690"/>
  <c r="G626" i="42690"/>
  <c r="F626" i="42690"/>
  <c r="Q624" i="42690"/>
  <c r="P624" i="42690"/>
  <c r="O624" i="42690"/>
  <c r="N624" i="42690"/>
  <c r="M624" i="42690"/>
  <c r="L624" i="42690"/>
  <c r="K624" i="42690"/>
  <c r="J624" i="42690"/>
  <c r="I624" i="42690"/>
  <c r="H624" i="42690"/>
  <c r="G624" i="42690"/>
  <c r="F624" i="42690"/>
  <c r="Q623" i="42690"/>
  <c r="Q648" i="42690" s="1"/>
  <c r="P623" i="42690"/>
  <c r="P648" i="42690" s="1"/>
  <c r="O623" i="42690"/>
  <c r="O648" i="42690" s="1"/>
  <c r="N623" i="42690"/>
  <c r="N648" i="42690" s="1"/>
  <c r="M623" i="42690"/>
  <c r="M648" i="42690" s="1"/>
  <c r="L623" i="42690"/>
  <c r="L648" i="42690" s="1"/>
  <c r="K623" i="42690"/>
  <c r="K648" i="42690" s="1"/>
  <c r="J623" i="42690"/>
  <c r="J648" i="42690" s="1"/>
  <c r="I623" i="42690"/>
  <c r="I648" i="42690" s="1"/>
  <c r="H623" i="42690"/>
  <c r="H648" i="42690" s="1"/>
  <c r="G623" i="42690"/>
  <c r="G648" i="42690" s="1"/>
  <c r="F623" i="42690"/>
  <c r="F648" i="42690" s="1"/>
  <c r="Q622" i="42690"/>
  <c r="Q647" i="42690" s="1"/>
  <c r="P622" i="42690"/>
  <c r="P647" i="42690" s="1"/>
  <c r="O622" i="42690"/>
  <c r="O647" i="42690" s="1"/>
  <c r="N622" i="42690"/>
  <c r="N647" i="42690" s="1"/>
  <c r="M622" i="42690"/>
  <c r="M647" i="42690" s="1"/>
  <c r="L622" i="42690"/>
  <c r="L647" i="42690" s="1"/>
  <c r="K622" i="42690"/>
  <c r="K647" i="42690" s="1"/>
  <c r="J622" i="42690"/>
  <c r="J647" i="42690" s="1"/>
  <c r="I622" i="42690"/>
  <c r="I647" i="42690" s="1"/>
  <c r="H622" i="42690"/>
  <c r="H647" i="42690" s="1"/>
  <c r="G622" i="42690"/>
  <c r="G647" i="42690" s="1"/>
  <c r="F622" i="42690"/>
  <c r="F647" i="42690" s="1"/>
  <c r="Q620" i="42690"/>
  <c r="Q645" i="42690" s="1"/>
  <c r="P620" i="42690"/>
  <c r="P645" i="42690" s="1"/>
  <c r="O620" i="42690"/>
  <c r="O645" i="42690" s="1"/>
  <c r="N620" i="42690"/>
  <c r="N645" i="42690" s="1"/>
  <c r="M620" i="42690"/>
  <c r="M645" i="42690" s="1"/>
  <c r="L620" i="42690"/>
  <c r="L645" i="42690" s="1"/>
  <c r="K620" i="42690"/>
  <c r="K645" i="42690" s="1"/>
  <c r="J620" i="42690"/>
  <c r="J645" i="42690" s="1"/>
  <c r="I620" i="42690"/>
  <c r="I645" i="42690" s="1"/>
  <c r="H620" i="42690"/>
  <c r="H645" i="42690" s="1"/>
  <c r="G620" i="42690"/>
  <c r="G645" i="42690" s="1"/>
  <c r="F620" i="42690"/>
  <c r="F645" i="42690" s="1"/>
  <c r="Q613" i="42690"/>
  <c r="Q888" i="42690" s="1"/>
  <c r="P613" i="42690"/>
  <c r="P888" i="42690" s="1"/>
  <c r="O613" i="42690"/>
  <c r="O888" i="42690" s="1"/>
  <c r="N613" i="42690"/>
  <c r="N888" i="42690" s="1"/>
  <c r="M613" i="42690"/>
  <c r="M888" i="42690" s="1"/>
  <c r="L613" i="42690"/>
  <c r="L888" i="42690" s="1"/>
  <c r="K613" i="42690"/>
  <c r="K888" i="42690" s="1"/>
  <c r="J613" i="42690"/>
  <c r="J888" i="42690" s="1"/>
  <c r="I613" i="42690"/>
  <c r="I888" i="42690" s="1"/>
  <c r="H613" i="42690"/>
  <c r="H888" i="42690" s="1"/>
  <c r="G613" i="42690"/>
  <c r="G888" i="42690" s="1"/>
  <c r="F613" i="42690"/>
  <c r="R613" i="42690" s="1"/>
  <c r="G610" i="42690"/>
  <c r="G616" i="42690" s="1"/>
  <c r="Q603" i="42690"/>
  <c r="P603" i="42690"/>
  <c r="O603" i="42690"/>
  <c r="N603" i="42690"/>
  <c r="M603" i="42690"/>
  <c r="L603" i="42690"/>
  <c r="K603" i="42690"/>
  <c r="J603" i="42690"/>
  <c r="I603" i="42690"/>
  <c r="H603" i="42690"/>
  <c r="G603" i="42690"/>
  <c r="F603" i="42690"/>
  <c r="R603" i="42690" s="1"/>
  <c r="Q588" i="42690"/>
  <c r="Q900" i="42690" s="1"/>
  <c r="P588" i="42690"/>
  <c r="P900" i="42690" s="1"/>
  <c r="O588" i="42690"/>
  <c r="O900" i="42690" s="1"/>
  <c r="N588" i="42690"/>
  <c r="N900" i="42690" s="1"/>
  <c r="M588" i="42690"/>
  <c r="M900" i="42690" s="1"/>
  <c r="L588" i="42690"/>
  <c r="L900" i="42690" s="1"/>
  <c r="K588" i="42690"/>
  <c r="K900" i="42690" s="1"/>
  <c r="J588" i="42690"/>
  <c r="J900" i="42690" s="1"/>
  <c r="I588" i="42690"/>
  <c r="I900" i="42690" s="1"/>
  <c r="H588" i="42690"/>
  <c r="H900" i="42690" s="1"/>
  <c r="G588" i="42690"/>
  <c r="G900" i="42690" s="1"/>
  <c r="F588" i="42690"/>
  <c r="F900" i="42690" s="1"/>
  <c r="R585" i="42690"/>
  <c r="R584" i="42690"/>
  <c r="R583" i="42690"/>
  <c r="R582" i="42690"/>
  <c r="R581" i="42690"/>
  <c r="Q579" i="42690"/>
  <c r="Q816" i="42690" s="1"/>
  <c r="P579" i="42690"/>
  <c r="P816" i="42690" s="1"/>
  <c r="O579" i="42690"/>
  <c r="O816" i="42690" s="1"/>
  <c r="N579" i="42690"/>
  <c r="N816" i="42690" s="1"/>
  <c r="M579" i="42690"/>
  <c r="M816" i="42690" s="1"/>
  <c r="L579" i="42690"/>
  <c r="L816" i="42690" s="1"/>
  <c r="K579" i="42690"/>
  <c r="K816" i="42690" s="1"/>
  <c r="J579" i="42690"/>
  <c r="J816" i="42690" s="1"/>
  <c r="I579" i="42690"/>
  <c r="I816" i="42690" s="1"/>
  <c r="H579" i="42690"/>
  <c r="H816" i="42690" s="1"/>
  <c r="G579" i="42690"/>
  <c r="G816" i="42690" s="1"/>
  <c r="F579" i="42690"/>
  <c r="F816" i="42690" s="1"/>
  <c r="R816" i="42690" s="1"/>
  <c r="Q575" i="42690"/>
  <c r="Q602" i="42690" s="1"/>
  <c r="P575" i="42690"/>
  <c r="P602" i="42690" s="1"/>
  <c r="O575" i="42690"/>
  <c r="O602" i="42690" s="1"/>
  <c r="N575" i="42690"/>
  <c r="N602" i="42690" s="1"/>
  <c r="M575" i="42690"/>
  <c r="M602" i="42690" s="1"/>
  <c r="L575" i="42690"/>
  <c r="L602" i="42690" s="1"/>
  <c r="K575" i="42690"/>
  <c r="K602" i="42690" s="1"/>
  <c r="J575" i="42690"/>
  <c r="J602" i="42690" s="1"/>
  <c r="I575" i="42690"/>
  <c r="I602" i="42690" s="1"/>
  <c r="H575" i="42690"/>
  <c r="H602" i="42690" s="1"/>
  <c r="G575" i="42690"/>
  <c r="G602" i="42690" s="1"/>
  <c r="F575" i="42690"/>
  <c r="F602" i="42690" s="1"/>
  <c r="R602" i="42690" s="1"/>
  <c r="Q574" i="42690"/>
  <c r="P574" i="42690"/>
  <c r="O574" i="42690"/>
  <c r="N574" i="42690"/>
  <c r="M574" i="42690"/>
  <c r="L574" i="42690"/>
  <c r="K574" i="42690"/>
  <c r="J574" i="42690"/>
  <c r="I574" i="42690"/>
  <c r="H574" i="42690"/>
  <c r="G574" i="42690"/>
  <c r="F574" i="42690"/>
  <c r="Q573" i="42690"/>
  <c r="P573" i="42690"/>
  <c r="O573" i="42690"/>
  <c r="N573" i="42690"/>
  <c r="M573" i="42690"/>
  <c r="L573" i="42690"/>
  <c r="K573" i="42690"/>
  <c r="J573" i="42690"/>
  <c r="I573" i="42690"/>
  <c r="H573" i="42690"/>
  <c r="G573" i="42690"/>
  <c r="F573" i="42690"/>
  <c r="Q572" i="42690"/>
  <c r="Q598" i="42690" s="1"/>
  <c r="P572" i="42690"/>
  <c r="P598" i="42690" s="1"/>
  <c r="O572" i="42690"/>
  <c r="O598" i="42690" s="1"/>
  <c r="N572" i="42690"/>
  <c r="N598" i="42690" s="1"/>
  <c r="M572" i="42690"/>
  <c r="M598" i="42690" s="1"/>
  <c r="L572" i="42690"/>
  <c r="L598" i="42690" s="1"/>
  <c r="K572" i="42690"/>
  <c r="K598" i="42690" s="1"/>
  <c r="J572" i="42690"/>
  <c r="J598" i="42690" s="1"/>
  <c r="I572" i="42690"/>
  <c r="I598" i="42690" s="1"/>
  <c r="H572" i="42690"/>
  <c r="H598" i="42690" s="1"/>
  <c r="G572" i="42690"/>
  <c r="G598" i="42690" s="1"/>
  <c r="F572" i="42690"/>
  <c r="F598" i="42690" s="1"/>
  <c r="R598" i="42690" s="1"/>
  <c r="Q571" i="42690"/>
  <c r="Q597" i="42690" s="1"/>
  <c r="P571" i="42690"/>
  <c r="P597" i="42690" s="1"/>
  <c r="O571" i="42690"/>
  <c r="O597" i="42690" s="1"/>
  <c r="N571" i="42690"/>
  <c r="N597" i="42690" s="1"/>
  <c r="M571" i="42690"/>
  <c r="M597" i="42690" s="1"/>
  <c r="L571" i="42690"/>
  <c r="L597" i="42690" s="1"/>
  <c r="K571" i="42690"/>
  <c r="K597" i="42690" s="1"/>
  <c r="J571" i="42690"/>
  <c r="J597" i="42690" s="1"/>
  <c r="I571" i="42690"/>
  <c r="I597" i="42690" s="1"/>
  <c r="H571" i="42690"/>
  <c r="H597" i="42690" s="1"/>
  <c r="G571" i="42690"/>
  <c r="G597" i="42690" s="1"/>
  <c r="F571" i="42690"/>
  <c r="F597" i="42690" s="1"/>
  <c r="Q570" i="42690"/>
  <c r="Q596" i="42690" s="1"/>
  <c r="P570" i="42690"/>
  <c r="P596" i="42690" s="1"/>
  <c r="O570" i="42690"/>
  <c r="O596" i="42690" s="1"/>
  <c r="N570" i="42690"/>
  <c r="N596" i="42690" s="1"/>
  <c r="M570" i="42690"/>
  <c r="M596" i="42690" s="1"/>
  <c r="L570" i="42690"/>
  <c r="L596" i="42690" s="1"/>
  <c r="K570" i="42690"/>
  <c r="K596" i="42690" s="1"/>
  <c r="J570" i="42690"/>
  <c r="J596" i="42690" s="1"/>
  <c r="I570" i="42690"/>
  <c r="I596" i="42690" s="1"/>
  <c r="H570" i="42690"/>
  <c r="H596" i="42690" s="1"/>
  <c r="G570" i="42690"/>
  <c r="G596" i="42690" s="1"/>
  <c r="F570" i="42690"/>
  <c r="F596" i="42690" s="1"/>
  <c r="R596" i="42690" s="1"/>
  <c r="Q569" i="42690"/>
  <c r="Q595" i="42690" s="1"/>
  <c r="P569" i="42690"/>
  <c r="P595" i="42690" s="1"/>
  <c r="O569" i="42690"/>
  <c r="O595" i="42690" s="1"/>
  <c r="N569" i="42690"/>
  <c r="N595" i="42690" s="1"/>
  <c r="M569" i="42690"/>
  <c r="M595" i="42690" s="1"/>
  <c r="L569" i="42690"/>
  <c r="L595" i="42690" s="1"/>
  <c r="K569" i="42690"/>
  <c r="K595" i="42690" s="1"/>
  <c r="J569" i="42690"/>
  <c r="J595" i="42690" s="1"/>
  <c r="I569" i="42690"/>
  <c r="I595" i="42690" s="1"/>
  <c r="H569" i="42690"/>
  <c r="H595" i="42690" s="1"/>
  <c r="G569" i="42690"/>
  <c r="G595" i="42690" s="1"/>
  <c r="F569" i="42690"/>
  <c r="F595" i="42690" s="1"/>
  <c r="Q568" i="42690"/>
  <c r="Q594" i="42690" s="1"/>
  <c r="P568" i="42690"/>
  <c r="P594" i="42690" s="1"/>
  <c r="O568" i="42690"/>
  <c r="O594" i="42690" s="1"/>
  <c r="N568" i="42690"/>
  <c r="N594" i="42690" s="1"/>
  <c r="M568" i="42690"/>
  <c r="M594" i="42690" s="1"/>
  <c r="L568" i="42690"/>
  <c r="L594" i="42690" s="1"/>
  <c r="K568" i="42690"/>
  <c r="K594" i="42690" s="1"/>
  <c r="J568" i="42690"/>
  <c r="J594" i="42690" s="1"/>
  <c r="I568" i="42690"/>
  <c r="I594" i="42690" s="1"/>
  <c r="H568" i="42690"/>
  <c r="H594" i="42690" s="1"/>
  <c r="G568" i="42690"/>
  <c r="G594" i="42690" s="1"/>
  <c r="F568" i="42690"/>
  <c r="F594" i="42690" s="1"/>
  <c r="Q566" i="42690"/>
  <c r="Q592" i="42690" s="1"/>
  <c r="P566" i="42690"/>
  <c r="P592" i="42690" s="1"/>
  <c r="O566" i="42690"/>
  <c r="O592" i="42690" s="1"/>
  <c r="N566" i="42690"/>
  <c r="N592" i="42690" s="1"/>
  <c r="M566" i="42690"/>
  <c r="M592" i="42690" s="1"/>
  <c r="L566" i="42690"/>
  <c r="L592" i="42690" s="1"/>
  <c r="K566" i="42690"/>
  <c r="K592" i="42690" s="1"/>
  <c r="J566" i="42690"/>
  <c r="J592" i="42690" s="1"/>
  <c r="I566" i="42690"/>
  <c r="I592" i="42690" s="1"/>
  <c r="H566" i="42690"/>
  <c r="H592" i="42690" s="1"/>
  <c r="G566" i="42690"/>
  <c r="G592" i="42690" s="1"/>
  <c r="F566" i="42690"/>
  <c r="F592" i="42690" s="1"/>
  <c r="Q559" i="42690"/>
  <c r="P559" i="42690"/>
  <c r="O559" i="42690"/>
  <c r="N559" i="42690"/>
  <c r="M559" i="42690"/>
  <c r="L559" i="42690"/>
  <c r="K559" i="42690"/>
  <c r="J559" i="42690"/>
  <c r="I559" i="42690"/>
  <c r="H559" i="42690"/>
  <c r="G559" i="42690"/>
  <c r="F559" i="42690"/>
  <c r="R559" i="42690" s="1"/>
  <c r="Q554" i="42690"/>
  <c r="P554" i="42690"/>
  <c r="O554" i="42690"/>
  <c r="N554" i="42690"/>
  <c r="M554" i="42690"/>
  <c r="L554" i="42690"/>
  <c r="K554" i="42690"/>
  <c r="J554" i="42690"/>
  <c r="I554" i="42690"/>
  <c r="H554" i="42690"/>
  <c r="G554" i="42690"/>
  <c r="F554" i="42690"/>
  <c r="Q548" i="42690"/>
  <c r="Q558" i="42690" s="1"/>
  <c r="P548" i="42690"/>
  <c r="P899" i="42690" s="1"/>
  <c r="P915" i="42690" s="1"/>
  <c r="O548" i="42690"/>
  <c r="O558" i="42690" s="1"/>
  <c r="N548" i="42690"/>
  <c r="N899" i="42690" s="1"/>
  <c r="N915" i="42690" s="1"/>
  <c r="M548" i="42690"/>
  <c r="M558" i="42690" s="1"/>
  <c r="L548" i="42690"/>
  <c r="L899" i="42690" s="1"/>
  <c r="L915" i="42690" s="1"/>
  <c r="K548" i="42690"/>
  <c r="K558" i="42690" s="1"/>
  <c r="J548" i="42690"/>
  <c r="J899" i="42690" s="1"/>
  <c r="J915" i="42690" s="1"/>
  <c r="I548" i="42690"/>
  <c r="I558" i="42690" s="1"/>
  <c r="H548" i="42690"/>
  <c r="H899" i="42690" s="1"/>
  <c r="H915" i="42690" s="1"/>
  <c r="G548" i="42690"/>
  <c r="G558" i="42690" s="1"/>
  <c r="F548" i="42690"/>
  <c r="F899" i="42690" s="1"/>
  <c r="R545" i="42690"/>
  <c r="Q543" i="42690"/>
  <c r="Q815" i="42690" s="1"/>
  <c r="Q833" i="42690" s="1"/>
  <c r="P543" i="42690"/>
  <c r="P552" i="42690" s="1"/>
  <c r="O543" i="42690"/>
  <c r="O815" i="42690" s="1"/>
  <c r="O833" i="42690" s="1"/>
  <c r="N543" i="42690"/>
  <c r="N552" i="42690" s="1"/>
  <c r="M543" i="42690"/>
  <c r="M815" i="42690" s="1"/>
  <c r="M833" i="42690" s="1"/>
  <c r="L543" i="42690"/>
  <c r="L552" i="42690" s="1"/>
  <c r="K543" i="42690"/>
  <c r="K815" i="42690" s="1"/>
  <c r="K833" i="42690" s="1"/>
  <c r="J543" i="42690"/>
  <c r="J552" i="42690" s="1"/>
  <c r="I543" i="42690"/>
  <c r="I815" i="42690" s="1"/>
  <c r="I833" i="42690" s="1"/>
  <c r="H543" i="42690"/>
  <c r="H552" i="42690" s="1"/>
  <c r="G543" i="42690"/>
  <c r="G815" i="42690" s="1"/>
  <c r="G833" i="42690" s="1"/>
  <c r="F543" i="42690"/>
  <c r="F552" i="42690" s="1"/>
  <c r="Q527" i="42690"/>
  <c r="P527" i="42690"/>
  <c r="O527" i="42690"/>
  <c r="N527" i="42690"/>
  <c r="M527" i="42690"/>
  <c r="L527" i="42690"/>
  <c r="K527" i="42690"/>
  <c r="J527" i="42690"/>
  <c r="I527" i="42690"/>
  <c r="H527" i="42690"/>
  <c r="G527" i="42690"/>
  <c r="F527" i="42690"/>
  <c r="Q515" i="42690"/>
  <c r="Q898" i="42690" s="1"/>
  <c r="P515" i="42690"/>
  <c r="P898" i="42690" s="1"/>
  <c r="O515" i="42690"/>
  <c r="O898" i="42690" s="1"/>
  <c r="N515" i="42690"/>
  <c r="N898" i="42690" s="1"/>
  <c r="M515" i="42690"/>
  <c r="M898" i="42690" s="1"/>
  <c r="L515" i="42690"/>
  <c r="L898" i="42690" s="1"/>
  <c r="K515" i="42690"/>
  <c r="K898" i="42690" s="1"/>
  <c r="J515" i="42690"/>
  <c r="J898" i="42690" s="1"/>
  <c r="I515" i="42690"/>
  <c r="I898" i="42690" s="1"/>
  <c r="H515" i="42690"/>
  <c r="H898" i="42690" s="1"/>
  <c r="G515" i="42690"/>
  <c r="G898" i="42690" s="1"/>
  <c r="F515" i="42690"/>
  <c r="R512" i="42690"/>
  <c r="R511" i="42690"/>
  <c r="Q509" i="42690"/>
  <c r="Q814" i="42690" s="1"/>
  <c r="P509" i="42690"/>
  <c r="P814" i="42690" s="1"/>
  <c r="O509" i="42690"/>
  <c r="O814" i="42690" s="1"/>
  <c r="N509" i="42690"/>
  <c r="N814" i="42690" s="1"/>
  <c r="M509" i="42690"/>
  <c r="M814" i="42690" s="1"/>
  <c r="L509" i="42690"/>
  <c r="L814" i="42690" s="1"/>
  <c r="K509" i="42690"/>
  <c r="K814" i="42690" s="1"/>
  <c r="J509" i="42690"/>
  <c r="J814" i="42690" s="1"/>
  <c r="I509" i="42690"/>
  <c r="I814" i="42690" s="1"/>
  <c r="H509" i="42690"/>
  <c r="H814" i="42690" s="1"/>
  <c r="G509" i="42690"/>
  <c r="G814" i="42690" s="1"/>
  <c r="F509" i="42690"/>
  <c r="F814" i="42690" s="1"/>
  <c r="Q505" i="42690"/>
  <c r="Q526" i="42690" s="1"/>
  <c r="P505" i="42690"/>
  <c r="P526" i="42690" s="1"/>
  <c r="O505" i="42690"/>
  <c r="O526" i="42690" s="1"/>
  <c r="N505" i="42690"/>
  <c r="N526" i="42690" s="1"/>
  <c r="M505" i="42690"/>
  <c r="M526" i="42690" s="1"/>
  <c r="L505" i="42690"/>
  <c r="L526" i="42690" s="1"/>
  <c r="K505" i="42690"/>
  <c r="K526" i="42690" s="1"/>
  <c r="J505" i="42690"/>
  <c r="J526" i="42690" s="1"/>
  <c r="I505" i="42690"/>
  <c r="I526" i="42690" s="1"/>
  <c r="H505" i="42690"/>
  <c r="H526" i="42690" s="1"/>
  <c r="G505" i="42690"/>
  <c r="G526" i="42690" s="1"/>
  <c r="F505" i="42690"/>
  <c r="F526" i="42690" s="1"/>
  <c r="Q504" i="42690"/>
  <c r="P504" i="42690"/>
  <c r="O504" i="42690"/>
  <c r="N504" i="42690"/>
  <c r="M504" i="42690"/>
  <c r="L504" i="42690"/>
  <c r="K504" i="42690"/>
  <c r="J504" i="42690"/>
  <c r="I504" i="42690"/>
  <c r="H504" i="42690"/>
  <c r="G504" i="42690"/>
  <c r="F504" i="42690"/>
  <c r="Q503" i="42690"/>
  <c r="P503" i="42690"/>
  <c r="O503" i="42690"/>
  <c r="N503" i="42690"/>
  <c r="M503" i="42690"/>
  <c r="L503" i="42690"/>
  <c r="K503" i="42690"/>
  <c r="J503" i="42690"/>
  <c r="I503" i="42690"/>
  <c r="H503" i="42690"/>
  <c r="G503" i="42690"/>
  <c r="F503" i="42690"/>
  <c r="Q502" i="42690"/>
  <c r="Q522" i="42690" s="1"/>
  <c r="P502" i="42690"/>
  <c r="P522" i="42690" s="1"/>
  <c r="O502" i="42690"/>
  <c r="O522" i="42690" s="1"/>
  <c r="N502" i="42690"/>
  <c r="N522" i="42690" s="1"/>
  <c r="M502" i="42690"/>
  <c r="M522" i="42690" s="1"/>
  <c r="L502" i="42690"/>
  <c r="L522" i="42690" s="1"/>
  <c r="K502" i="42690"/>
  <c r="K522" i="42690" s="1"/>
  <c r="J502" i="42690"/>
  <c r="J522" i="42690" s="1"/>
  <c r="I502" i="42690"/>
  <c r="I522" i="42690" s="1"/>
  <c r="H502" i="42690"/>
  <c r="H522" i="42690" s="1"/>
  <c r="G502" i="42690"/>
  <c r="G522" i="42690" s="1"/>
  <c r="F502" i="42690"/>
  <c r="F522" i="42690" s="1"/>
  <c r="Q501" i="42690"/>
  <c r="Q521" i="42690" s="1"/>
  <c r="P501" i="42690"/>
  <c r="P521" i="42690" s="1"/>
  <c r="O501" i="42690"/>
  <c r="O521" i="42690" s="1"/>
  <c r="N501" i="42690"/>
  <c r="N521" i="42690" s="1"/>
  <c r="M501" i="42690"/>
  <c r="M521" i="42690" s="1"/>
  <c r="L501" i="42690"/>
  <c r="L521" i="42690" s="1"/>
  <c r="K501" i="42690"/>
  <c r="K521" i="42690" s="1"/>
  <c r="J501" i="42690"/>
  <c r="J521" i="42690" s="1"/>
  <c r="I501" i="42690"/>
  <c r="I521" i="42690" s="1"/>
  <c r="H501" i="42690"/>
  <c r="H521" i="42690" s="1"/>
  <c r="G501" i="42690"/>
  <c r="G521" i="42690" s="1"/>
  <c r="F501" i="42690"/>
  <c r="F521" i="42690" s="1"/>
  <c r="Q499" i="42690"/>
  <c r="Q519" i="42690" s="1"/>
  <c r="P499" i="42690"/>
  <c r="P519" i="42690" s="1"/>
  <c r="O499" i="42690"/>
  <c r="O519" i="42690" s="1"/>
  <c r="N499" i="42690"/>
  <c r="N519" i="42690" s="1"/>
  <c r="M499" i="42690"/>
  <c r="M519" i="42690" s="1"/>
  <c r="L499" i="42690"/>
  <c r="L519" i="42690" s="1"/>
  <c r="K499" i="42690"/>
  <c r="K519" i="42690" s="1"/>
  <c r="J499" i="42690"/>
  <c r="J519" i="42690" s="1"/>
  <c r="I499" i="42690"/>
  <c r="I519" i="42690" s="1"/>
  <c r="H499" i="42690"/>
  <c r="H519" i="42690" s="1"/>
  <c r="G499" i="42690"/>
  <c r="G519" i="42690" s="1"/>
  <c r="F499" i="42690"/>
  <c r="F519" i="42690" s="1"/>
  <c r="R485" i="42690"/>
  <c r="Q479" i="42690"/>
  <c r="Q897" i="42690" s="1"/>
  <c r="P479" i="42690"/>
  <c r="P897" i="42690" s="1"/>
  <c r="O479" i="42690"/>
  <c r="O897" i="42690" s="1"/>
  <c r="N479" i="42690"/>
  <c r="N897" i="42690" s="1"/>
  <c r="M479" i="42690"/>
  <c r="M897" i="42690" s="1"/>
  <c r="L479" i="42690"/>
  <c r="L897" i="42690" s="1"/>
  <c r="K479" i="42690"/>
  <c r="K897" i="42690" s="1"/>
  <c r="J479" i="42690"/>
  <c r="J897" i="42690" s="1"/>
  <c r="I479" i="42690"/>
  <c r="I897" i="42690" s="1"/>
  <c r="H479" i="42690"/>
  <c r="H897" i="42690" s="1"/>
  <c r="G479" i="42690"/>
  <c r="G897" i="42690" s="1"/>
  <c r="F479" i="42690"/>
  <c r="F897" i="42690" s="1"/>
  <c r="R897" i="42690" s="1"/>
  <c r="R476" i="42690"/>
  <c r="R475" i="42690"/>
  <c r="Q473" i="42690"/>
  <c r="Q813" i="42690" s="1"/>
  <c r="P473" i="42690"/>
  <c r="P813" i="42690" s="1"/>
  <c r="O473" i="42690"/>
  <c r="O813" i="42690" s="1"/>
  <c r="N473" i="42690"/>
  <c r="N813" i="42690" s="1"/>
  <c r="M473" i="42690"/>
  <c r="M813" i="42690" s="1"/>
  <c r="L473" i="42690"/>
  <c r="L813" i="42690" s="1"/>
  <c r="K473" i="42690"/>
  <c r="K813" i="42690" s="1"/>
  <c r="J473" i="42690"/>
  <c r="J813" i="42690" s="1"/>
  <c r="I473" i="42690"/>
  <c r="I813" i="42690" s="1"/>
  <c r="H473" i="42690"/>
  <c r="H813" i="42690" s="1"/>
  <c r="G473" i="42690"/>
  <c r="G813" i="42690" s="1"/>
  <c r="F473" i="42690"/>
  <c r="F813" i="42690" s="1"/>
  <c r="R813" i="42690" s="1"/>
  <c r="Q470" i="42690"/>
  <c r="P470" i="42690"/>
  <c r="O470" i="42690"/>
  <c r="N470" i="42690"/>
  <c r="M470" i="42690"/>
  <c r="L470" i="42690"/>
  <c r="K470" i="42690"/>
  <c r="J470" i="42690"/>
  <c r="I470" i="42690"/>
  <c r="H470" i="42690"/>
  <c r="G470" i="42690"/>
  <c r="F470" i="42690"/>
  <c r="Q469" i="42690"/>
  <c r="Q491" i="42690" s="1"/>
  <c r="P469" i="42690"/>
  <c r="P491" i="42690" s="1"/>
  <c r="O469" i="42690"/>
  <c r="O491" i="42690" s="1"/>
  <c r="N469" i="42690"/>
  <c r="N491" i="42690" s="1"/>
  <c r="M469" i="42690"/>
  <c r="M491" i="42690" s="1"/>
  <c r="L469" i="42690"/>
  <c r="L491" i="42690" s="1"/>
  <c r="K469" i="42690"/>
  <c r="K491" i="42690" s="1"/>
  <c r="J469" i="42690"/>
  <c r="J491" i="42690" s="1"/>
  <c r="I469" i="42690"/>
  <c r="I491" i="42690" s="1"/>
  <c r="H469" i="42690"/>
  <c r="H491" i="42690" s="1"/>
  <c r="G469" i="42690"/>
  <c r="G491" i="42690" s="1"/>
  <c r="F469" i="42690"/>
  <c r="F491" i="42690" s="1"/>
  <c r="R491" i="42690" s="1"/>
  <c r="Q468" i="42690"/>
  <c r="P468" i="42690"/>
  <c r="O468" i="42690"/>
  <c r="N468" i="42690"/>
  <c r="M468" i="42690"/>
  <c r="L468" i="42690"/>
  <c r="K468" i="42690"/>
  <c r="J468" i="42690"/>
  <c r="I468" i="42690"/>
  <c r="H468" i="42690"/>
  <c r="G468" i="42690"/>
  <c r="F468" i="42690"/>
  <c r="Q467" i="42690"/>
  <c r="P467" i="42690"/>
  <c r="O467" i="42690"/>
  <c r="N467" i="42690"/>
  <c r="M467" i="42690"/>
  <c r="L467" i="42690"/>
  <c r="K467" i="42690"/>
  <c r="J467" i="42690"/>
  <c r="I467" i="42690"/>
  <c r="H467" i="42690"/>
  <c r="G467" i="42690"/>
  <c r="F467" i="42690"/>
  <c r="Q466" i="42690"/>
  <c r="P466" i="42690"/>
  <c r="O466" i="42690"/>
  <c r="N466" i="42690"/>
  <c r="M466" i="42690"/>
  <c r="L466" i="42690"/>
  <c r="K466" i="42690"/>
  <c r="J466" i="42690"/>
  <c r="I466" i="42690"/>
  <c r="H466" i="42690"/>
  <c r="G466" i="42690"/>
  <c r="F466" i="42690"/>
  <c r="Q465" i="42690"/>
  <c r="Q486" i="42690" s="1"/>
  <c r="P465" i="42690"/>
  <c r="P486" i="42690" s="1"/>
  <c r="O465" i="42690"/>
  <c r="O486" i="42690" s="1"/>
  <c r="N465" i="42690"/>
  <c r="N486" i="42690" s="1"/>
  <c r="M465" i="42690"/>
  <c r="M486" i="42690" s="1"/>
  <c r="L465" i="42690"/>
  <c r="L486" i="42690" s="1"/>
  <c r="K465" i="42690"/>
  <c r="K486" i="42690" s="1"/>
  <c r="J465" i="42690"/>
  <c r="J486" i="42690" s="1"/>
  <c r="I465" i="42690"/>
  <c r="I486" i="42690" s="1"/>
  <c r="H465" i="42690"/>
  <c r="H486" i="42690" s="1"/>
  <c r="G465" i="42690"/>
  <c r="G486" i="42690" s="1"/>
  <c r="F465" i="42690"/>
  <c r="F486" i="42690" s="1"/>
  <c r="Q463" i="42690"/>
  <c r="Q483" i="42690" s="1"/>
  <c r="P463" i="42690"/>
  <c r="P483" i="42690" s="1"/>
  <c r="O463" i="42690"/>
  <c r="O483" i="42690" s="1"/>
  <c r="N463" i="42690"/>
  <c r="N483" i="42690" s="1"/>
  <c r="M463" i="42690"/>
  <c r="M483" i="42690" s="1"/>
  <c r="L463" i="42690"/>
  <c r="L483" i="42690" s="1"/>
  <c r="K463" i="42690"/>
  <c r="K483" i="42690" s="1"/>
  <c r="J463" i="42690"/>
  <c r="J483" i="42690" s="1"/>
  <c r="I463" i="42690"/>
  <c r="I483" i="42690" s="1"/>
  <c r="H463" i="42690"/>
  <c r="H483" i="42690" s="1"/>
  <c r="G463" i="42690"/>
  <c r="G483" i="42690" s="1"/>
  <c r="F463" i="42690"/>
  <c r="F483" i="42690" s="1"/>
  <c r="R446" i="42690"/>
  <c r="Q440" i="42690"/>
  <c r="Q896" i="42690" s="1"/>
  <c r="P440" i="42690"/>
  <c r="P896" i="42690" s="1"/>
  <c r="O440" i="42690"/>
  <c r="O896" i="42690" s="1"/>
  <c r="N440" i="42690"/>
  <c r="N896" i="42690" s="1"/>
  <c r="M440" i="42690"/>
  <c r="M896" i="42690" s="1"/>
  <c r="L440" i="42690"/>
  <c r="L896" i="42690" s="1"/>
  <c r="K440" i="42690"/>
  <c r="K896" i="42690" s="1"/>
  <c r="J440" i="42690"/>
  <c r="J896" i="42690" s="1"/>
  <c r="I440" i="42690"/>
  <c r="I896" i="42690" s="1"/>
  <c r="H440" i="42690"/>
  <c r="H896" i="42690" s="1"/>
  <c r="G440" i="42690"/>
  <c r="G896" i="42690" s="1"/>
  <c r="F440" i="42690"/>
  <c r="F896" i="42690" s="1"/>
  <c r="R437" i="42690"/>
  <c r="R436" i="42690"/>
  <c r="Q434" i="42690"/>
  <c r="P434" i="42690"/>
  <c r="P812" i="42690" s="1"/>
  <c r="O434" i="42690"/>
  <c r="N434" i="42690"/>
  <c r="N812" i="42690" s="1"/>
  <c r="M434" i="42690"/>
  <c r="L434" i="42690"/>
  <c r="L812" i="42690" s="1"/>
  <c r="K434" i="42690"/>
  <c r="J434" i="42690"/>
  <c r="J812" i="42690" s="1"/>
  <c r="I434" i="42690"/>
  <c r="H434" i="42690"/>
  <c r="H812" i="42690" s="1"/>
  <c r="G434" i="42690"/>
  <c r="F434" i="42690"/>
  <c r="F812" i="42690" s="1"/>
  <c r="Q431" i="42690"/>
  <c r="P431" i="42690"/>
  <c r="O431" i="42690"/>
  <c r="N431" i="42690"/>
  <c r="M431" i="42690"/>
  <c r="L431" i="42690"/>
  <c r="K431" i="42690"/>
  <c r="J431" i="42690"/>
  <c r="I431" i="42690"/>
  <c r="H431" i="42690"/>
  <c r="G431" i="42690"/>
  <c r="F431" i="42690"/>
  <c r="Q429" i="42690"/>
  <c r="P429" i="42690"/>
  <c r="O429" i="42690"/>
  <c r="N429" i="42690"/>
  <c r="M429" i="42690"/>
  <c r="L429" i="42690"/>
  <c r="K429" i="42690"/>
  <c r="J429" i="42690"/>
  <c r="I429" i="42690"/>
  <c r="H429" i="42690"/>
  <c r="G429" i="42690"/>
  <c r="F429" i="42690"/>
  <c r="Q428" i="42690"/>
  <c r="Q453" i="42690" s="1"/>
  <c r="P428" i="42690"/>
  <c r="O428" i="42690"/>
  <c r="O453" i="42690" s="1"/>
  <c r="N428" i="42690"/>
  <c r="M428" i="42690"/>
  <c r="M453" i="42690" s="1"/>
  <c r="L428" i="42690"/>
  <c r="K428" i="42690"/>
  <c r="K453" i="42690" s="1"/>
  <c r="J428" i="42690"/>
  <c r="I428" i="42690"/>
  <c r="I453" i="42690" s="1"/>
  <c r="H428" i="42690"/>
  <c r="G428" i="42690"/>
  <c r="G453" i="42690" s="1"/>
  <c r="F428" i="42690"/>
  <c r="Q427" i="42690"/>
  <c r="Q452" i="42690" s="1"/>
  <c r="Q454" i="42690" s="1"/>
  <c r="P427" i="42690"/>
  <c r="P452" i="42690" s="1"/>
  <c r="O427" i="42690"/>
  <c r="O452" i="42690" s="1"/>
  <c r="O454" i="42690" s="1"/>
  <c r="N427" i="42690"/>
  <c r="N452" i="42690" s="1"/>
  <c r="M427" i="42690"/>
  <c r="M452" i="42690" s="1"/>
  <c r="M454" i="42690" s="1"/>
  <c r="L427" i="42690"/>
  <c r="L452" i="42690" s="1"/>
  <c r="K427" i="42690"/>
  <c r="K452" i="42690" s="1"/>
  <c r="K454" i="42690" s="1"/>
  <c r="J427" i="42690"/>
  <c r="J452" i="42690" s="1"/>
  <c r="I427" i="42690"/>
  <c r="I452" i="42690" s="1"/>
  <c r="I454" i="42690" s="1"/>
  <c r="H427" i="42690"/>
  <c r="H452" i="42690" s="1"/>
  <c r="G427" i="42690"/>
  <c r="G452" i="42690" s="1"/>
  <c r="G454" i="42690" s="1"/>
  <c r="F427" i="42690"/>
  <c r="F452" i="42690" s="1"/>
  <c r="Q424" i="42690"/>
  <c r="P424" i="42690"/>
  <c r="O424" i="42690"/>
  <c r="N424" i="42690"/>
  <c r="M424" i="42690"/>
  <c r="L424" i="42690"/>
  <c r="K424" i="42690"/>
  <c r="J424" i="42690"/>
  <c r="I424" i="42690"/>
  <c r="H424" i="42690"/>
  <c r="G424" i="42690"/>
  <c r="F424" i="42690"/>
  <c r="Q423" i="42690"/>
  <c r="Q447" i="42690" s="1"/>
  <c r="P423" i="42690"/>
  <c r="P447" i="42690" s="1"/>
  <c r="O423" i="42690"/>
  <c r="O447" i="42690" s="1"/>
  <c r="N423" i="42690"/>
  <c r="N447" i="42690" s="1"/>
  <c r="M423" i="42690"/>
  <c r="M447" i="42690" s="1"/>
  <c r="L423" i="42690"/>
  <c r="L447" i="42690" s="1"/>
  <c r="K423" i="42690"/>
  <c r="K447" i="42690" s="1"/>
  <c r="J423" i="42690"/>
  <c r="J447" i="42690" s="1"/>
  <c r="I423" i="42690"/>
  <c r="I447" i="42690" s="1"/>
  <c r="H423" i="42690"/>
  <c r="H447" i="42690" s="1"/>
  <c r="G423" i="42690"/>
  <c r="G447" i="42690" s="1"/>
  <c r="F423" i="42690"/>
  <c r="F447" i="42690" s="1"/>
  <c r="Q421" i="42690"/>
  <c r="Q444" i="42690" s="1"/>
  <c r="P421" i="42690"/>
  <c r="P444" i="42690" s="1"/>
  <c r="O421" i="42690"/>
  <c r="O444" i="42690" s="1"/>
  <c r="N421" i="42690"/>
  <c r="N444" i="42690" s="1"/>
  <c r="M421" i="42690"/>
  <c r="M444" i="42690" s="1"/>
  <c r="L421" i="42690"/>
  <c r="L444" i="42690" s="1"/>
  <c r="K421" i="42690"/>
  <c r="K444" i="42690" s="1"/>
  <c r="J421" i="42690"/>
  <c r="J444" i="42690" s="1"/>
  <c r="I421" i="42690"/>
  <c r="I444" i="42690" s="1"/>
  <c r="H421" i="42690"/>
  <c r="H444" i="42690" s="1"/>
  <c r="G421" i="42690"/>
  <c r="G444" i="42690" s="1"/>
  <c r="F421" i="42690"/>
  <c r="F444" i="42690" s="1"/>
  <c r="Q408" i="42690"/>
  <c r="Q811" i="42690" s="1"/>
  <c r="P408" i="42690"/>
  <c r="P811" i="42690" s="1"/>
  <c r="O408" i="42690"/>
  <c r="O811" i="42690" s="1"/>
  <c r="N408" i="42690"/>
  <c r="N811" i="42690" s="1"/>
  <c r="M408" i="42690"/>
  <c r="M811" i="42690" s="1"/>
  <c r="L408" i="42690"/>
  <c r="L811" i="42690" s="1"/>
  <c r="K408" i="42690"/>
  <c r="K811" i="42690" s="1"/>
  <c r="J408" i="42690"/>
  <c r="J811" i="42690" s="1"/>
  <c r="I408" i="42690"/>
  <c r="I811" i="42690" s="1"/>
  <c r="H408" i="42690"/>
  <c r="H811" i="42690" s="1"/>
  <c r="G408" i="42690"/>
  <c r="G811" i="42690" s="1"/>
  <c r="F408" i="42690"/>
  <c r="F811" i="42690" s="1"/>
  <c r="Q403" i="42690"/>
  <c r="P403" i="42690"/>
  <c r="O403" i="42690"/>
  <c r="N403" i="42690"/>
  <c r="M403" i="42690"/>
  <c r="L403" i="42690"/>
  <c r="K403" i="42690"/>
  <c r="J403" i="42690"/>
  <c r="I403" i="42690"/>
  <c r="H403" i="42690"/>
  <c r="G403" i="42690"/>
  <c r="F403" i="42690"/>
  <c r="Q402" i="42690"/>
  <c r="Q412" i="42690" s="1"/>
  <c r="P402" i="42690"/>
  <c r="P412" i="42690" s="1"/>
  <c r="O402" i="42690"/>
  <c r="O412" i="42690" s="1"/>
  <c r="N402" i="42690"/>
  <c r="N412" i="42690" s="1"/>
  <c r="M402" i="42690"/>
  <c r="M412" i="42690" s="1"/>
  <c r="L402" i="42690"/>
  <c r="L412" i="42690" s="1"/>
  <c r="K402" i="42690"/>
  <c r="K412" i="42690" s="1"/>
  <c r="J402" i="42690"/>
  <c r="J412" i="42690" s="1"/>
  <c r="I402" i="42690"/>
  <c r="I412" i="42690" s="1"/>
  <c r="H402" i="42690"/>
  <c r="H412" i="42690" s="1"/>
  <c r="G402" i="42690"/>
  <c r="G412" i="42690" s="1"/>
  <c r="F402" i="42690"/>
  <c r="F412" i="42690" s="1"/>
  <c r="Q394" i="42690"/>
  <c r="P394" i="42690"/>
  <c r="O394" i="42690"/>
  <c r="N394" i="42690"/>
  <c r="M394" i="42690"/>
  <c r="L394" i="42690"/>
  <c r="K394" i="42690"/>
  <c r="J394" i="42690"/>
  <c r="I394" i="42690"/>
  <c r="H394" i="42690"/>
  <c r="G394" i="42690"/>
  <c r="F394" i="42690"/>
  <c r="Q385" i="42690"/>
  <c r="P385" i="42690"/>
  <c r="O385" i="42690"/>
  <c r="N385" i="42690"/>
  <c r="M385" i="42690"/>
  <c r="L385" i="42690"/>
  <c r="K385" i="42690"/>
  <c r="J385" i="42690"/>
  <c r="I385" i="42690"/>
  <c r="H385" i="42690"/>
  <c r="G385" i="42690"/>
  <c r="F385" i="42690"/>
  <c r="Q384" i="42690"/>
  <c r="P384" i="42690"/>
  <c r="O384" i="42690"/>
  <c r="N384" i="42690"/>
  <c r="M384" i="42690"/>
  <c r="L384" i="42690"/>
  <c r="K384" i="42690"/>
  <c r="J384" i="42690"/>
  <c r="I384" i="42690"/>
  <c r="H384" i="42690"/>
  <c r="G384" i="42690"/>
  <c r="F384" i="42690"/>
  <c r="Q383" i="42690"/>
  <c r="P383" i="42690"/>
  <c r="O383" i="42690"/>
  <c r="N383" i="42690"/>
  <c r="M383" i="42690"/>
  <c r="L383" i="42690"/>
  <c r="K383" i="42690"/>
  <c r="J383" i="42690"/>
  <c r="I383" i="42690"/>
  <c r="H383" i="42690"/>
  <c r="G383" i="42690"/>
  <c r="F383" i="42690"/>
  <c r="Q382" i="42690"/>
  <c r="P382" i="42690"/>
  <c r="O382" i="42690"/>
  <c r="N382" i="42690"/>
  <c r="M382" i="42690"/>
  <c r="L382" i="42690"/>
  <c r="K382" i="42690"/>
  <c r="J382" i="42690"/>
  <c r="I382" i="42690"/>
  <c r="H382" i="42690"/>
  <c r="G382" i="42690"/>
  <c r="F382" i="42690"/>
  <c r="Q381" i="42690"/>
  <c r="P381" i="42690"/>
  <c r="O381" i="42690"/>
  <c r="N381" i="42690"/>
  <c r="M381" i="42690"/>
  <c r="L381" i="42690"/>
  <c r="K381" i="42690"/>
  <c r="J381" i="42690"/>
  <c r="I381" i="42690"/>
  <c r="H381" i="42690"/>
  <c r="G381" i="42690"/>
  <c r="F381" i="42690"/>
  <c r="Q375" i="42690"/>
  <c r="Q392" i="42690" s="1"/>
  <c r="P375" i="42690"/>
  <c r="P895" i="42690" s="1"/>
  <c r="P912" i="42690" s="1"/>
  <c r="O375" i="42690"/>
  <c r="O392" i="42690" s="1"/>
  <c r="N375" i="42690"/>
  <c r="N895" i="42690" s="1"/>
  <c r="N912" i="42690" s="1"/>
  <c r="M375" i="42690"/>
  <c r="M392" i="42690" s="1"/>
  <c r="L375" i="42690"/>
  <c r="L895" i="42690" s="1"/>
  <c r="L912" i="42690" s="1"/>
  <c r="K375" i="42690"/>
  <c r="K392" i="42690" s="1"/>
  <c r="J375" i="42690"/>
  <c r="J895" i="42690" s="1"/>
  <c r="J912" i="42690" s="1"/>
  <c r="I375" i="42690"/>
  <c r="I392" i="42690" s="1"/>
  <c r="H375" i="42690"/>
  <c r="H895" i="42690" s="1"/>
  <c r="H912" i="42690" s="1"/>
  <c r="G375" i="42690"/>
  <c r="G392" i="42690" s="1"/>
  <c r="F375" i="42690"/>
  <c r="F895" i="42690" s="1"/>
  <c r="R372" i="42690"/>
  <c r="R371" i="42690"/>
  <c r="R370" i="42690"/>
  <c r="R369" i="42690"/>
  <c r="R368" i="42690"/>
  <c r="Q366" i="42690"/>
  <c r="Q810" i="42690" s="1"/>
  <c r="Q830" i="42690" s="1"/>
  <c r="P366" i="42690"/>
  <c r="P810" i="42690" s="1"/>
  <c r="P830" i="42690" s="1"/>
  <c r="O366" i="42690"/>
  <c r="O810" i="42690" s="1"/>
  <c r="O830" i="42690" s="1"/>
  <c r="N366" i="42690"/>
  <c r="N810" i="42690" s="1"/>
  <c r="N830" i="42690" s="1"/>
  <c r="M366" i="42690"/>
  <c r="M810" i="42690" s="1"/>
  <c r="M830" i="42690" s="1"/>
  <c r="L366" i="42690"/>
  <c r="L810" i="42690" s="1"/>
  <c r="L830" i="42690" s="1"/>
  <c r="K366" i="42690"/>
  <c r="K810" i="42690" s="1"/>
  <c r="K830" i="42690" s="1"/>
  <c r="J366" i="42690"/>
  <c r="J810" i="42690" s="1"/>
  <c r="J830" i="42690" s="1"/>
  <c r="I366" i="42690"/>
  <c r="I810" i="42690" s="1"/>
  <c r="I830" i="42690" s="1"/>
  <c r="H366" i="42690"/>
  <c r="H810" i="42690" s="1"/>
  <c r="H830" i="42690" s="1"/>
  <c r="G366" i="42690"/>
  <c r="G810" i="42690" s="1"/>
  <c r="G830" i="42690" s="1"/>
  <c r="F366" i="42690"/>
  <c r="F810" i="42690" s="1"/>
  <c r="Q362" i="42690"/>
  <c r="Q721" i="42690" s="1"/>
  <c r="P362" i="42690"/>
  <c r="P721" i="42690" s="1"/>
  <c r="O362" i="42690"/>
  <c r="O721" i="42690" s="1"/>
  <c r="N362" i="42690"/>
  <c r="N721" i="42690" s="1"/>
  <c r="M362" i="42690"/>
  <c r="M721" i="42690" s="1"/>
  <c r="L362" i="42690"/>
  <c r="L721" i="42690" s="1"/>
  <c r="K362" i="42690"/>
  <c r="K721" i="42690" s="1"/>
  <c r="J362" i="42690"/>
  <c r="J721" i="42690" s="1"/>
  <c r="I362" i="42690"/>
  <c r="I721" i="42690" s="1"/>
  <c r="H362" i="42690"/>
  <c r="H721" i="42690" s="1"/>
  <c r="G362" i="42690"/>
  <c r="G721" i="42690" s="1"/>
  <c r="F362" i="42690"/>
  <c r="F721" i="42690" s="1"/>
  <c r="Q356" i="42690"/>
  <c r="Q715" i="42690" s="1"/>
  <c r="P356" i="42690"/>
  <c r="P715" i="42690" s="1"/>
  <c r="O356" i="42690"/>
  <c r="O715" i="42690" s="1"/>
  <c r="N356" i="42690"/>
  <c r="N715" i="42690" s="1"/>
  <c r="M356" i="42690"/>
  <c r="M715" i="42690" s="1"/>
  <c r="L356" i="42690"/>
  <c r="L715" i="42690" s="1"/>
  <c r="K356" i="42690"/>
  <c r="K715" i="42690" s="1"/>
  <c r="J356" i="42690"/>
  <c r="J715" i="42690" s="1"/>
  <c r="I356" i="42690"/>
  <c r="I715" i="42690" s="1"/>
  <c r="H356" i="42690"/>
  <c r="H715" i="42690" s="1"/>
  <c r="G356" i="42690"/>
  <c r="G715" i="42690" s="1"/>
  <c r="F356" i="42690"/>
  <c r="F715" i="42690" s="1"/>
  <c r="Q340" i="42690"/>
  <c r="P340" i="42690"/>
  <c r="O340" i="42690"/>
  <c r="N340" i="42690"/>
  <c r="M340" i="42690"/>
  <c r="L340" i="42690"/>
  <c r="K340" i="42690"/>
  <c r="J340" i="42690"/>
  <c r="I340" i="42690"/>
  <c r="H340" i="42690"/>
  <c r="G340" i="42690"/>
  <c r="F340" i="42690"/>
  <c r="Q331" i="42690"/>
  <c r="P331" i="42690"/>
  <c r="O331" i="42690"/>
  <c r="N331" i="42690"/>
  <c r="M331" i="42690"/>
  <c r="L331" i="42690"/>
  <c r="K331" i="42690"/>
  <c r="J331" i="42690"/>
  <c r="I331" i="42690"/>
  <c r="H331" i="42690"/>
  <c r="G331" i="42690"/>
  <c r="F331" i="42690"/>
  <c r="Q325" i="42690"/>
  <c r="P325" i="42690"/>
  <c r="P337" i="42690" s="1"/>
  <c r="O325" i="42690"/>
  <c r="N325" i="42690"/>
  <c r="N337" i="42690" s="1"/>
  <c r="M325" i="42690"/>
  <c r="L325" i="42690"/>
  <c r="L337" i="42690" s="1"/>
  <c r="K325" i="42690"/>
  <c r="J325" i="42690"/>
  <c r="J337" i="42690" s="1"/>
  <c r="I325" i="42690"/>
  <c r="H325" i="42690"/>
  <c r="H337" i="42690" s="1"/>
  <c r="G325" i="42690"/>
  <c r="F325" i="42690"/>
  <c r="F337" i="42690" s="1"/>
  <c r="R322" i="42690"/>
  <c r="Q320" i="42690"/>
  <c r="P320" i="42690"/>
  <c r="P329" i="42690" s="1"/>
  <c r="O320" i="42690"/>
  <c r="N320" i="42690"/>
  <c r="N329" i="42690" s="1"/>
  <c r="M320" i="42690"/>
  <c r="L320" i="42690"/>
  <c r="L329" i="42690" s="1"/>
  <c r="K320" i="42690"/>
  <c r="J320" i="42690"/>
  <c r="J329" i="42690" s="1"/>
  <c r="I320" i="42690"/>
  <c r="I809" i="42690" s="1"/>
  <c r="I829" i="42690" s="1"/>
  <c r="H320" i="42690"/>
  <c r="H329" i="42690" s="1"/>
  <c r="G320" i="42690"/>
  <c r="G809" i="42690" s="1"/>
  <c r="G829" i="42690" s="1"/>
  <c r="F320" i="42690"/>
  <c r="F329" i="42690" s="1"/>
  <c r="Q316" i="42690"/>
  <c r="Q675" i="42690" s="1"/>
  <c r="P316" i="42690"/>
  <c r="O316" i="42690"/>
  <c r="O675" i="42690" s="1"/>
  <c r="N316" i="42690"/>
  <c r="M316" i="42690"/>
  <c r="M675" i="42690" s="1"/>
  <c r="L316" i="42690"/>
  <c r="K316" i="42690"/>
  <c r="K675" i="42690" s="1"/>
  <c r="J316" i="42690"/>
  <c r="I316" i="42690"/>
  <c r="I675" i="42690" s="1"/>
  <c r="H316" i="42690"/>
  <c r="G316" i="42690"/>
  <c r="G675" i="42690" s="1"/>
  <c r="F316" i="42690"/>
  <c r="Q310" i="42690"/>
  <c r="Q669" i="42690" s="1"/>
  <c r="P310" i="42690"/>
  <c r="O310" i="42690"/>
  <c r="O669" i="42690" s="1"/>
  <c r="N310" i="42690"/>
  <c r="M310" i="42690"/>
  <c r="M669" i="42690" s="1"/>
  <c r="L310" i="42690"/>
  <c r="K310" i="42690"/>
  <c r="K669" i="42690" s="1"/>
  <c r="J310" i="42690"/>
  <c r="I310" i="42690"/>
  <c r="I669" i="42690" s="1"/>
  <c r="H310" i="42690"/>
  <c r="G310" i="42690"/>
  <c r="G669" i="42690" s="1"/>
  <c r="F310" i="42690"/>
  <c r="Q298" i="42690"/>
  <c r="P298" i="42690"/>
  <c r="O298" i="42690"/>
  <c r="N298" i="42690"/>
  <c r="M298" i="42690"/>
  <c r="L298" i="42690"/>
  <c r="K298" i="42690"/>
  <c r="J298" i="42690"/>
  <c r="I298" i="42690"/>
  <c r="H298" i="42690"/>
  <c r="G298" i="42690"/>
  <c r="F298" i="42690"/>
  <c r="R298" i="42690" s="1"/>
  <c r="Q289" i="42690"/>
  <c r="P289" i="42690"/>
  <c r="O289" i="42690"/>
  <c r="N289" i="42690"/>
  <c r="M289" i="42690"/>
  <c r="L289" i="42690"/>
  <c r="K289" i="42690"/>
  <c r="J289" i="42690"/>
  <c r="I289" i="42690"/>
  <c r="H289" i="42690"/>
  <c r="G289" i="42690"/>
  <c r="F289" i="42690"/>
  <c r="Q288" i="42690"/>
  <c r="P288" i="42690"/>
  <c r="O288" i="42690"/>
  <c r="N288" i="42690"/>
  <c r="M288" i="42690"/>
  <c r="L288" i="42690"/>
  <c r="K288" i="42690"/>
  <c r="J288" i="42690"/>
  <c r="I288" i="42690"/>
  <c r="H288" i="42690"/>
  <c r="G288" i="42690"/>
  <c r="F288" i="42690"/>
  <c r="R288" i="42690" s="1"/>
  <c r="Q282" i="42690"/>
  <c r="Q296" i="42690" s="1"/>
  <c r="P282" i="42690"/>
  <c r="P893" i="42690" s="1"/>
  <c r="P910" i="42690" s="1"/>
  <c r="O282" i="42690"/>
  <c r="O296" i="42690" s="1"/>
  <c r="N282" i="42690"/>
  <c r="N893" i="42690" s="1"/>
  <c r="N910" i="42690" s="1"/>
  <c r="M282" i="42690"/>
  <c r="M296" i="42690" s="1"/>
  <c r="L282" i="42690"/>
  <c r="L893" i="42690" s="1"/>
  <c r="L910" i="42690" s="1"/>
  <c r="K282" i="42690"/>
  <c r="K296" i="42690" s="1"/>
  <c r="J282" i="42690"/>
  <c r="J893" i="42690" s="1"/>
  <c r="J910" i="42690" s="1"/>
  <c r="I282" i="42690"/>
  <c r="I296" i="42690" s="1"/>
  <c r="H282" i="42690"/>
  <c r="H893" i="42690" s="1"/>
  <c r="H910" i="42690" s="1"/>
  <c r="G282" i="42690"/>
  <c r="G296" i="42690" s="1"/>
  <c r="F282" i="42690"/>
  <c r="F893" i="42690" s="1"/>
  <c r="R279" i="42690"/>
  <c r="R278" i="42690"/>
  <c r="Q276" i="42690"/>
  <c r="Q286" i="42690" s="1"/>
  <c r="P276" i="42690"/>
  <c r="P808" i="42690" s="1"/>
  <c r="P828" i="42690" s="1"/>
  <c r="O276" i="42690"/>
  <c r="O286" i="42690" s="1"/>
  <c r="N276" i="42690"/>
  <c r="N808" i="42690" s="1"/>
  <c r="N828" i="42690" s="1"/>
  <c r="M276" i="42690"/>
  <c r="M286" i="42690" s="1"/>
  <c r="L276" i="42690"/>
  <c r="L808" i="42690" s="1"/>
  <c r="L828" i="42690" s="1"/>
  <c r="K276" i="42690"/>
  <c r="K286" i="42690" s="1"/>
  <c r="J276" i="42690"/>
  <c r="J808" i="42690" s="1"/>
  <c r="J828" i="42690" s="1"/>
  <c r="I276" i="42690"/>
  <c r="I286" i="42690" s="1"/>
  <c r="H276" i="42690"/>
  <c r="H808" i="42690" s="1"/>
  <c r="H828" i="42690" s="1"/>
  <c r="G276" i="42690"/>
  <c r="G286" i="42690" s="1"/>
  <c r="F276" i="42690"/>
  <c r="F808" i="42690" s="1"/>
  <c r="Q272" i="42690"/>
  <c r="Q631" i="42690" s="1"/>
  <c r="P272" i="42690"/>
  <c r="P631" i="42690" s="1"/>
  <c r="O272" i="42690"/>
  <c r="O631" i="42690" s="1"/>
  <c r="N272" i="42690"/>
  <c r="N631" i="42690" s="1"/>
  <c r="M272" i="42690"/>
  <c r="M631" i="42690" s="1"/>
  <c r="L272" i="42690"/>
  <c r="L631" i="42690" s="1"/>
  <c r="K272" i="42690"/>
  <c r="K631" i="42690" s="1"/>
  <c r="J272" i="42690"/>
  <c r="J631" i="42690" s="1"/>
  <c r="I272" i="42690"/>
  <c r="I631" i="42690" s="1"/>
  <c r="H272" i="42690"/>
  <c r="H631" i="42690" s="1"/>
  <c r="G272" i="42690"/>
  <c r="G631" i="42690" s="1"/>
  <c r="F272" i="42690"/>
  <c r="F631" i="42690" s="1"/>
  <c r="Q266" i="42690"/>
  <c r="Q625" i="42690" s="1"/>
  <c r="P266" i="42690"/>
  <c r="P625" i="42690" s="1"/>
  <c r="O266" i="42690"/>
  <c r="O625" i="42690" s="1"/>
  <c r="N266" i="42690"/>
  <c r="N625" i="42690" s="1"/>
  <c r="M266" i="42690"/>
  <c r="M625" i="42690" s="1"/>
  <c r="L266" i="42690"/>
  <c r="L625" i="42690" s="1"/>
  <c r="K266" i="42690"/>
  <c r="K625" i="42690" s="1"/>
  <c r="J266" i="42690"/>
  <c r="J625" i="42690" s="1"/>
  <c r="I266" i="42690"/>
  <c r="I625" i="42690" s="1"/>
  <c r="H266" i="42690"/>
  <c r="H625" i="42690" s="1"/>
  <c r="G266" i="42690"/>
  <c r="G625" i="42690" s="1"/>
  <c r="F266" i="42690"/>
  <c r="F625" i="42690" s="1"/>
  <c r="Q253" i="42690"/>
  <c r="Q887" i="42690" s="1"/>
  <c r="P253" i="42690"/>
  <c r="P887" i="42690" s="1"/>
  <c r="O253" i="42690"/>
  <c r="O887" i="42690" s="1"/>
  <c r="N253" i="42690"/>
  <c r="N887" i="42690" s="1"/>
  <c r="M253" i="42690"/>
  <c r="M887" i="42690" s="1"/>
  <c r="L253" i="42690"/>
  <c r="L887" i="42690" s="1"/>
  <c r="K253" i="42690"/>
  <c r="K887" i="42690" s="1"/>
  <c r="J253" i="42690"/>
  <c r="J887" i="42690" s="1"/>
  <c r="I253" i="42690"/>
  <c r="I887" i="42690" s="1"/>
  <c r="H253" i="42690"/>
  <c r="H887" i="42690" s="1"/>
  <c r="G253" i="42690"/>
  <c r="G887" i="42690" s="1"/>
  <c r="F253" i="42690"/>
  <c r="F887" i="42690" s="1"/>
  <c r="Q243" i="42690"/>
  <c r="P243" i="42690"/>
  <c r="O243" i="42690"/>
  <c r="N243" i="42690"/>
  <c r="M243" i="42690"/>
  <c r="L243" i="42690"/>
  <c r="K243" i="42690"/>
  <c r="J243" i="42690"/>
  <c r="I243" i="42690"/>
  <c r="H243" i="42690"/>
  <c r="G243" i="42690"/>
  <c r="F243" i="42690"/>
  <c r="R243" i="42690" s="1"/>
  <c r="Q238" i="42690"/>
  <c r="P238" i="42690"/>
  <c r="O238" i="42690"/>
  <c r="N238" i="42690"/>
  <c r="M238" i="42690"/>
  <c r="L238" i="42690"/>
  <c r="K238" i="42690"/>
  <c r="J238" i="42690"/>
  <c r="I238" i="42690"/>
  <c r="H238" i="42690"/>
  <c r="G238" i="42690"/>
  <c r="F238" i="42690"/>
  <c r="R238" i="42690" s="1"/>
  <c r="Q237" i="42690"/>
  <c r="P237" i="42690"/>
  <c r="O237" i="42690"/>
  <c r="N237" i="42690"/>
  <c r="M237" i="42690"/>
  <c r="L237" i="42690"/>
  <c r="K237" i="42690"/>
  <c r="J237" i="42690"/>
  <c r="I237" i="42690"/>
  <c r="H237" i="42690"/>
  <c r="G237" i="42690"/>
  <c r="F237" i="42690"/>
  <c r="R237" i="42690" s="1"/>
  <c r="Q236" i="42690"/>
  <c r="P236" i="42690"/>
  <c r="O236" i="42690"/>
  <c r="N236" i="42690"/>
  <c r="M236" i="42690"/>
  <c r="L236" i="42690"/>
  <c r="K236" i="42690"/>
  <c r="J236" i="42690"/>
  <c r="I236" i="42690"/>
  <c r="H236" i="42690"/>
  <c r="G236" i="42690"/>
  <c r="F236" i="42690"/>
  <c r="R236" i="42690" s="1"/>
  <c r="Q235" i="42690"/>
  <c r="P235" i="42690"/>
  <c r="O235" i="42690"/>
  <c r="N235" i="42690"/>
  <c r="M235" i="42690"/>
  <c r="L235" i="42690"/>
  <c r="K235" i="42690"/>
  <c r="J235" i="42690"/>
  <c r="I235" i="42690"/>
  <c r="H235" i="42690"/>
  <c r="G235" i="42690"/>
  <c r="F235" i="42690"/>
  <c r="R235" i="42690" s="1"/>
  <c r="Q234" i="42690"/>
  <c r="P234" i="42690"/>
  <c r="O234" i="42690"/>
  <c r="N234" i="42690"/>
  <c r="M234" i="42690"/>
  <c r="L234" i="42690"/>
  <c r="K234" i="42690"/>
  <c r="J234" i="42690"/>
  <c r="I234" i="42690"/>
  <c r="H234" i="42690"/>
  <c r="G234" i="42690"/>
  <c r="F234" i="42690"/>
  <c r="R233" i="42690"/>
  <c r="Q228" i="42690"/>
  <c r="Q892" i="42690" s="1"/>
  <c r="Q916" i="42690" s="1"/>
  <c r="P228" i="42690"/>
  <c r="P892" i="42690" s="1"/>
  <c r="P916" i="42690" s="1"/>
  <c r="O228" i="42690"/>
  <c r="O892" i="42690" s="1"/>
  <c r="O916" i="42690" s="1"/>
  <c r="N228" i="42690"/>
  <c r="N892" i="42690" s="1"/>
  <c r="N916" i="42690" s="1"/>
  <c r="M228" i="42690"/>
  <c r="M892" i="42690" s="1"/>
  <c r="M916" i="42690" s="1"/>
  <c r="L228" i="42690"/>
  <c r="L892" i="42690" s="1"/>
  <c r="L916" i="42690" s="1"/>
  <c r="K228" i="42690"/>
  <c r="K892" i="42690" s="1"/>
  <c r="K916" i="42690" s="1"/>
  <c r="J228" i="42690"/>
  <c r="J892" i="42690" s="1"/>
  <c r="J916" i="42690" s="1"/>
  <c r="I228" i="42690"/>
  <c r="I892" i="42690" s="1"/>
  <c r="I916" i="42690" s="1"/>
  <c r="H228" i="42690"/>
  <c r="H892" i="42690" s="1"/>
  <c r="H916" i="42690" s="1"/>
  <c r="G228" i="42690"/>
  <c r="G892" i="42690" s="1"/>
  <c r="G916" i="42690" s="1"/>
  <c r="F228" i="42690"/>
  <c r="R225" i="42690"/>
  <c r="R224" i="42690"/>
  <c r="R223" i="42690"/>
  <c r="R222" i="42690"/>
  <c r="R221" i="42690"/>
  <c r="R220" i="42690"/>
  <c r="Q219" i="42690"/>
  <c r="Q807" i="42690" s="1"/>
  <c r="Q834" i="42690" s="1"/>
  <c r="P219" i="42690"/>
  <c r="P807" i="42690" s="1"/>
  <c r="P834" i="42690" s="1"/>
  <c r="O219" i="42690"/>
  <c r="O807" i="42690" s="1"/>
  <c r="O834" i="42690" s="1"/>
  <c r="N219" i="42690"/>
  <c r="N807" i="42690" s="1"/>
  <c r="N834" i="42690" s="1"/>
  <c r="M219" i="42690"/>
  <c r="M807" i="42690" s="1"/>
  <c r="M834" i="42690" s="1"/>
  <c r="L219" i="42690"/>
  <c r="L807" i="42690" s="1"/>
  <c r="L834" i="42690" s="1"/>
  <c r="K219" i="42690"/>
  <c r="K807" i="42690" s="1"/>
  <c r="K834" i="42690" s="1"/>
  <c r="J219" i="42690"/>
  <c r="J807" i="42690" s="1"/>
  <c r="J834" i="42690" s="1"/>
  <c r="I219" i="42690"/>
  <c r="I807" i="42690" s="1"/>
  <c r="I834" i="42690" s="1"/>
  <c r="H219" i="42690"/>
  <c r="H807" i="42690" s="1"/>
  <c r="H834" i="42690" s="1"/>
  <c r="G219" i="42690"/>
  <c r="G807" i="42690" s="1"/>
  <c r="G834" i="42690" s="1"/>
  <c r="F219" i="42690"/>
  <c r="F807" i="42690" s="1"/>
  <c r="Q199" i="42690"/>
  <c r="P199" i="42690"/>
  <c r="O199" i="42690"/>
  <c r="N199" i="42690"/>
  <c r="M199" i="42690"/>
  <c r="L199" i="42690"/>
  <c r="K199" i="42690"/>
  <c r="J199" i="42690"/>
  <c r="I199" i="42690"/>
  <c r="H199" i="42690"/>
  <c r="G199" i="42690"/>
  <c r="F199" i="42690"/>
  <c r="Q194" i="42690"/>
  <c r="P194" i="42690"/>
  <c r="O194" i="42690"/>
  <c r="N194" i="42690"/>
  <c r="M194" i="42690"/>
  <c r="L194" i="42690"/>
  <c r="K194" i="42690"/>
  <c r="J194" i="42690"/>
  <c r="I194" i="42690"/>
  <c r="H194" i="42690"/>
  <c r="G194" i="42690"/>
  <c r="F194" i="42690"/>
  <c r="Q193" i="42690"/>
  <c r="P193" i="42690"/>
  <c r="O193" i="42690"/>
  <c r="N193" i="42690"/>
  <c r="M193" i="42690"/>
  <c r="L193" i="42690"/>
  <c r="K193" i="42690"/>
  <c r="J193" i="42690"/>
  <c r="I193" i="42690"/>
  <c r="H193" i="42690"/>
  <c r="G193" i="42690"/>
  <c r="F193" i="42690"/>
  <c r="R193" i="42690" s="1"/>
  <c r="Q187" i="42690"/>
  <c r="Q198" i="42690" s="1"/>
  <c r="P187" i="42690"/>
  <c r="P891" i="42690" s="1"/>
  <c r="P914" i="42690" s="1"/>
  <c r="O187" i="42690"/>
  <c r="O198" i="42690" s="1"/>
  <c r="N187" i="42690"/>
  <c r="N891" i="42690" s="1"/>
  <c r="N914" i="42690" s="1"/>
  <c r="M187" i="42690"/>
  <c r="M198" i="42690" s="1"/>
  <c r="L187" i="42690"/>
  <c r="L891" i="42690" s="1"/>
  <c r="L914" i="42690" s="1"/>
  <c r="K187" i="42690"/>
  <c r="K198" i="42690" s="1"/>
  <c r="J187" i="42690"/>
  <c r="J891" i="42690" s="1"/>
  <c r="J914" i="42690" s="1"/>
  <c r="I187" i="42690"/>
  <c r="I198" i="42690" s="1"/>
  <c r="H187" i="42690"/>
  <c r="H891" i="42690" s="1"/>
  <c r="H914" i="42690" s="1"/>
  <c r="G187" i="42690"/>
  <c r="G198" i="42690" s="1"/>
  <c r="F187" i="42690"/>
  <c r="F891" i="42690" s="1"/>
  <c r="R184" i="42690"/>
  <c r="R183" i="42690"/>
  <c r="Q181" i="42690"/>
  <c r="Q191" i="42690" s="1"/>
  <c r="P181" i="42690"/>
  <c r="P806" i="42690" s="1"/>
  <c r="P832" i="42690" s="1"/>
  <c r="O181" i="42690"/>
  <c r="O191" i="42690" s="1"/>
  <c r="N181" i="42690"/>
  <c r="N806" i="42690" s="1"/>
  <c r="N832" i="42690" s="1"/>
  <c r="M181" i="42690"/>
  <c r="M191" i="42690" s="1"/>
  <c r="L181" i="42690"/>
  <c r="L806" i="42690" s="1"/>
  <c r="L832" i="42690" s="1"/>
  <c r="K181" i="42690"/>
  <c r="K191" i="42690" s="1"/>
  <c r="J181" i="42690"/>
  <c r="J806" i="42690" s="1"/>
  <c r="J832" i="42690" s="1"/>
  <c r="I181" i="42690"/>
  <c r="I191" i="42690" s="1"/>
  <c r="H181" i="42690"/>
  <c r="H806" i="42690" s="1"/>
  <c r="H832" i="42690" s="1"/>
  <c r="G181" i="42690"/>
  <c r="G191" i="42690" s="1"/>
  <c r="F181" i="42690"/>
  <c r="F806" i="42690" s="1"/>
  <c r="Q158" i="42690"/>
  <c r="P158" i="42690"/>
  <c r="O158" i="42690"/>
  <c r="N158" i="42690"/>
  <c r="M158" i="42690"/>
  <c r="L158" i="42690"/>
  <c r="K158" i="42690"/>
  <c r="J158" i="42690"/>
  <c r="I158" i="42690"/>
  <c r="H158" i="42690"/>
  <c r="G158" i="42690"/>
  <c r="F158" i="42690"/>
  <c r="R157" i="42690"/>
  <c r="Q151" i="42690"/>
  <c r="Q890" i="42690" s="1"/>
  <c r="Q913" i="42690" s="1"/>
  <c r="P151" i="42690"/>
  <c r="P890" i="42690" s="1"/>
  <c r="P913" i="42690" s="1"/>
  <c r="O151" i="42690"/>
  <c r="O890" i="42690" s="1"/>
  <c r="O913" i="42690" s="1"/>
  <c r="N151" i="42690"/>
  <c r="N890" i="42690" s="1"/>
  <c r="N913" i="42690" s="1"/>
  <c r="M151" i="42690"/>
  <c r="M890" i="42690" s="1"/>
  <c r="M913" i="42690" s="1"/>
  <c r="L151" i="42690"/>
  <c r="L890" i="42690" s="1"/>
  <c r="L913" i="42690" s="1"/>
  <c r="K151" i="42690"/>
  <c r="K890" i="42690" s="1"/>
  <c r="K913" i="42690" s="1"/>
  <c r="J151" i="42690"/>
  <c r="J890" i="42690" s="1"/>
  <c r="J913" i="42690" s="1"/>
  <c r="I151" i="42690"/>
  <c r="I890" i="42690" s="1"/>
  <c r="I913" i="42690" s="1"/>
  <c r="H151" i="42690"/>
  <c r="H890" i="42690" s="1"/>
  <c r="H913" i="42690" s="1"/>
  <c r="G151" i="42690"/>
  <c r="G890" i="42690" s="1"/>
  <c r="G913" i="42690" s="1"/>
  <c r="F151" i="42690"/>
  <c r="F163" i="42690" s="1"/>
  <c r="R148" i="42690"/>
  <c r="R147" i="42690"/>
  <c r="Q145" i="42690"/>
  <c r="Q805" i="42690" s="1"/>
  <c r="Q831" i="42690" s="1"/>
  <c r="P145" i="42690"/>
  <c r="P155" i="42690" s="1"/>
  <c r="O145" i="42690"/>
  <c r="O805" i="42690" s="1"/>
  <c r="O831" i="42690" s="1"/>
  <c r="N145" i="42690"/>
  <c r="N155" i="42690" s="1"/>
  <c r="M145" i="42690"/>
  <c r="M805" i="42690" s="1"/>
  <c r="M831" i="42690" s="1"/>
  <c r="L145" i="42690"/>
  <c r="L155" i="42690" s="1"/>
  <c r="K145" i="42690"/>
  <c r="K805" i="42690" s="1"/>
  <c r="K831" i="42690" s="1"/>
  <c r="J145" i="42690"/>
  <c r="J155" i="42690" s="1"/>
  <c r="I145" i="42690"/>
  <c r="I805" i="42690" s="1"/>
  <c r="I831" i="42690" s="1"/>
  <c r="H145" i="42690"/>
  <c r="H155" i="42690" s="1"/>
  <c r="G145" i="42690"/>
  <c r="G805" i="42690" s="1"/>
  <c r="G831" i="42690" s="1"/>
  <c r="F145" i="42690"/>
  <c r="F155" i="42690" s="1"/>
  <c r="Q119" i="42690"/>
  <c r="P119" i="42690"/>
  <c r="O119" i="42690"/>
  <c r="N119" i="42690"/>
  <c r="M119" i="42690"/>
  <c r="L119" i="42690"/>
  <c r="K119" i="42690"/>
  <c r="J119" i="42690"/>
  <c r="I119" i="42690"/>
  <c r="H119" i="42690"/>
  <c r="G119" i="42690"/>
  <c r="F119" i="42690"/>
  <c r="Q112" i="42690"/>
  <c r="Q125" i="42690" s="1"/>
  <c r="P112" i="42690"/>
  <c r="P889" i="42690" s="1"/>
  <c r="P909" i="42690" s="1"/>
  <c r="O112" i="42690"/>
  <c r="O125" i="42690" s="1"/>
  <c r="N112" i="42690"/>
  <c r="N889" i="42690" s="1"/>
  <c r="N909" i="42690" s="1"/>
  <c r="M112" i="42690"/>
  <c r="M125" i="42690" s="1"/>
  <c r="L112" i="42690"/>
  <c r="L889" i="42690" s="1"/>
  <c r="L909" i="42690" s="1"/>
  <c r="K112" i="42690"/>
  <c r="K125" i="42690" s="1"/>
  <c r="J112" i="42690"/>
  <c r="J889" i="42690" s="1"/>
  <c r="J909" i="42690" s="1"/>
  <c r="I112" i="42690"/>
  <c r="I125" i="42690" s="1"/>
  <c r="H112" i="42690"/>
  <c r="H889" i="42690" s="1"/>
  <c r="H909" i="42690" s="1"/>
  <c r="G112" i="42690"/>
  <c r="G125" i="42690" s="1"/>
  <c r="F112" i="42690"/>
  <c r="F889" i="42690" s="1"/>
  <c r="R109" i="42690"/>
  <c r="R108" i="42690"/>
  <c r="Q106" i="42690"/>
  <c r="Q116" i="42690" s="1"/>
  <c r="P106" i="42690"/>
  <c r="P804" i="42690" s="1"/>
  <c r="P827" i="42690" s="1"/>
  <c r="O106" i="42690"/>
  <c r="O116" i="42690" s="1"/>
  <c r="N106" i="42690"/>
  <c r="N804" i="42690" s="1"/>
  <c r="N827" i="42690" s="1"/>
  <c r="M106" i="42690"/>
  <c r="M116" i="42690" s="1"/>
  <c r="L106" i="42690"/>
  <c r="L804" i="42690" s="1"/>
  <c r="L827" i="42690" s="1"/>
  <c r="K106" i="42690"/>
  <c r="K116" i="42690" s="1"/>
  <c r="J106" i="42690"/>
  <c r="J804" i="42690" s="1"/>
  <c r="J827" i="42690" s="1"/>
  <c r="I106" i="42690"/>
  <c r="I116" i="42690" s="1"/>
  <c r="H106" i="42690"/>
  <c r="H804" i="42690" s="1"/>
  <c r="H827" i="42690" s="1"/>
  <c r="G106" i="42690"/>
  <c r="G116" i="42690" s="1"/>
  <c r="F106" i="42690"/>
  <c r="F804" i="42690" s="1"/>
  <c r="Q102" i="42690"/>
  <c r="Q430" i="42690" s="1"/>
  <c r="P102" i="42690"/>
  <c r="P430" i="42690" s="1"/>
  <c r="O102" i="42690"/>
  <c r="O430" i="42690" s="1"/>
  <c r="N102" i="42690"/>
  <c r="N430" i="42690" s="1"/>
  <c r="M102" i="42690"/>
  <c r="M430" i="42690" s="1"/>
  <c r="L102" i="42690"/>
  <c r="L430" i="42690" s="1"/>
  <c r="K102" i="42690"/>
  <c r="K430" i="42690" s="1"/>
  <c r="J102" i="42690"/>
  <c r="J430" i="42690" s="1"/>
  <c r="I102" i="42690"/>
  <c r="I430" i="42690" s="1"/>
  <c r="H102" i="42690"/>
  <c r="H430" i="42690" s="1"/>
  <c r="G102" i="42690"/>
  <c r="G430" i="42690" s="1"/>
  <c r="F102" i="42690"/>
  <c r="F430" i="42690" s="1"/>
  <c r="Q97" i="42690"/>
  <c r="P97" i="42690"/>
  <c r="P425" i="42690" s="1"/>
  <c r="O97" i="42690"/>
  <c r="N97" i="42690"/>
  <c r="N425" i="42690" s="1"/>
  <c r="M97" i="42690"/>
  <c r="L97" i="42690"/>
  <c r="L425" i="42690" s="1"/>
  <c r="K97" i="42690"/>
  <c r="J97" i="42690"/>
  <c r="J425" i="42690" s="1"/>
  <c r="I97" i="42690"/>
  <c r="H97" i="42690"/>
  <c r="H425" i="42690" s="1"/>
  <c r="G97" i="42690"/>
  <c r="F97" i="42690"/>
  <c r="F425" i="42690" s="1"/>
  <c r="Q80" i="42690"/>
  <c r="Q803" i="42690" s="1"/>
  <c r="Q826" i="42690" s="1"/>
  <c r="P80" i="42690"/>
  <c r="P803" i="42690" s="1"/>
  <c r="P826" i="42690" s="1"/>
  <c r="O80" i="42690"/>
  <c r="O803" i="42690" s="1"/>
  <c r="O826" i="42690" s="1"/>
  <c r="N80" i="42690"/>
  <c r="N803" i="42690" s="1"/>
  <c r="N826" i="42690" s="1"/>
  <c r="M80" i="42690"/>
  <c r="M803" i="42690" s="1"/>
  <c r="M826" i="42690" s="1"/>
  <c r="L80" i="42690"/>
  <c r="L803" i="42690" s="1"/>
  <c r="L826" i="42690" s="1"/>
  <c r="K80" i="42690"/>
  <c r="K803" i="42690" s="1"/>
  <c r="K826" i="42690" s="1"/>
  <c r="J80" i="42690"/>
  <c r="J803" i="42690" s="1"/>
  <c r="J826" i="42690" s="1"/>
  <c r="I80" i="42690"/>
  <c r="I803" i="42690" s="1"/>
  <c r="I826" i="42690" s="1"/>
  <c r="H80" i="42690"/>
  <c r="H803" i="42690" s="1"/>
  <c r="H826" i="42690" s="1"/>
  <c r="G80" i="42690"/>
  <c r="G803" i="42690" s="1"/>
  <c r="G826" i="42690" s="1"/>
  <c r="F80" i="42690"/>
  <c r="F803" i="42690" s="1"/>
  <c r="Q77" i="42690"/>
  <c r="Q405" i="42690" s="1"/>
  <c r="P77" i="42690"/>
  <c r="P405" i="42690" s="1"/>
  <c r="O77" i="42690"/>
  <c r="O405" i="42690" s="1"/>
  <c r="N77" i="42690"/>
  <c r="N405" i="42690" s="1"/>
  <c r="M77" i="42690"/>
  <c r="M405" i="42690" s="1"/>
  <c r="L77" i="42690"/>
  <c r="L405" i="42690" s="1"/>
  <c r="K77" i="42690"/>
  <c r="K405" i="42690" s="1"/>
  <c r="J77" i="42690"/>
  <c r="J405" i="42690" s="1"/>
  <c r="I77" i="42690"/>
  <c r="I405" i="42690" s="1"/>
  <c r="H77" i="42690"/>
  <c r="H405" i="42690" s="1"/>
  <c r="G77" i="42690"/>
  <c r="G405" i="42690" s="1"/>
  <c r="F77" i="42690"/>
  <c r="F405" i="42690" s="1"/>
  <c r="Q76" i="42690"/>
  <c r="Q404" i="42690" s="1"/>
  <c r="P76" i="42690"/>
  <c r="P404" i="42690" s="1"/>
  <c r="O76" i="42690"/>
  <c r="O404" i="42690" s="1"/>
  <c r="N76" i="42690"/>
  <c r="N404" i="42690" s="1"/>
  <c r="M76" i="42690"/>
  <c r="M404" i="42690" s="1"/>
  <c r="L76" i="42690"/>
  <c r="L404" i="42690" s="1"/>
  <c r="K76" i="42690"/>
  <c r="K404" i="42690" s="1"/>
  <c r="J76" i="42690"/>
  <c r="J404" i="42690" s="1"/>
  <c r="I76" i="42690"/>
  <c r="I404" i="42690" s="1"/>
  <c r="H76" i="42690"/>
  <c r="H404" i="42690" s="1"/>
  <c r="G76" i="42690"/>
  <c r="G404" i="42690" s="1"/>
  <c r="F76" i="42690"/>
  <c r="F404" i="42690" s="1"/>
  <c r="Q67" i="42690"/>
  <c r="Q886" i="42690" s="1"/>
  <c r="P67" i="42690"/>
  <c r="P70" i="42690" s="1"/>
  <c r="O67" i="42690"/>
  <c r="O886" i="42690" s="1"/>
  <c r="N67" i="42690"/>
  <c r="N70" i="42690" s="1"/>
  <c r="M67" i="42690"/>
  <c r="M886" i="42690" s="1"/>
  <c r="L67" i="42690"/>
  <c r="L70" i="42690" s="1"/>
  <c r="K67" i="42690"/>
  <c r="K886" i="42690" s="1"/>
  <c r="J67" i="42690"/>
  <c r="J70" i="42690" s="1"/>
  <c r="I67" i="42690"/>
  <c r="I886" i="42690" s="1"/>
  <c r="H67" i="42690"/>
  <c r="H70" i="42690" s="1"/>
  <c r="G67" i="42690"/>
  <c r="G886" i="42690" s="1"/>
  <c r="F67" i="42690"/>
  <c r="F70" i="42690" s="1"/>
  <c r="Q51" i="42690"/>
  <c r="Q802" i="42690" s="1"/>
  <c r="Q825" i="42690" s="1"/>
  <c r="P51" i="42690"/>
  <c r="P802" i="42690" s="1"/>
  <c r="P825" i="42690" s="1"/>
  <c r="O51" i="42690"/>
  <c r="O802" i="42690" s="1"/>
  <c r="O825" i="42690" s="1"/>
  <c r="N51" i="42690"/>
  <c r="N802" i="42690" s="1"/>
  <c r="N825" i="42690" s="1"/>
  <c r="M51" i="42690"/>
  <c r="M802" i="42690" s="1"/>
  <c r="M825" i="42690" s="1"/>
  <c r="L51" i="42690"/>
  <c r="L802" i="42690" s="1"/>
  <c r="L825" i="42690" s="1"/>
  <c r="K51" i="42690"/>
  <c r="K802" i="42690" s="1"/>
  <c r="K825" i="42690" s="1"/>
  <c r="J51" i="42690"/>
  <c r="J802" i="42690" s="1"/>
  <c r="J825" i="42690" s="1"/>
  <c r="I51" i="42690"/>
  <c r="I802" i="42690" s="1"/>
  <c r="I825" i="42690" s="1"/>
  <c r="H51" i="42690"/>
  <c r="H802" i="42690" s="1"/>
  <c r="H825" i="42690" s="1"/>
  <c r="G51" i="42690"/>
  <c r="G802" i="42690" s="1"/>
  <c r="G825" i="42690" s="1"/>
  <c r="F51" i="42690"/>
  <c r="F802" i="42690" s="1"/>
  <c r="Q48" i="42690"/>
  <c r="P48" i="42690"/>
  <c r="O48" i="42690"/>
  <c r="N48" i="42690"/>
  <c r="M48" i="42690"/>
  <c r="L48" i="42690"/>
  <c r="K48" i="42690"/>
  <c r="J48" i="42690"/>
  <c r="I48" i="42690"/>
  <c r="H48" i="42690"/>
  <c r="G48" i="42690"/>
  <c r="F48" i="42690"/>
  <c r="Q33" i="42690"/>
  <c r="Q801" i="42690" s="1"/>
  <c r="P33" i="42690"/>
  <c r="P801" i="42690" s="1"/>
  <c r="O33" i="42690"/>
  <c r="O801" i="42690" s="1"/>
  <c r="N33" i="42690"/>
  <c r="N801" i="42690" s="1"/>
  <c r="M33" i="42690"/>
  <c r="M801" i="42690" s="1"/>
  <c r="L33" i="42690"/>
  <c r="L801" i="42690" s="1"/>
  <c r="K33" i="42690"/>
  <c r="K801" i="42690" s="1"/>
  <c r="J33" i="42690"/>
  <c r="J801" i="42690" s="1"/>
  <c r="I33" i="42690"/>
  <c r="I801" i="42690" s="1"/>
  <c r="H33" i="42690"/>
  <c r="H801" i="42690" s="1"/>
  <c r="G33" i="42690"/>
  <c r="G801" i="42690" s="1"/>
  <c r="F33" i="42690"/>
  <c r="F801" i="42690" s="1"/>
  <c r="Q30" i="42690"/>
  <c r="P30" i="42690"/>
  <c r="O30" i="42690"/>
  <c r="N30" i="42690"/>
  <c r="M30" i="42690"/>
  <c r="L30" i="42690"/>
  <c r="K30" i="42690"/>
  <c r="J30" i="42690"/>
  <c r="I30" i="42690"/>
  <c r="H30" i="42690"/>
  <c r="G30" i="42690"/>
  <c r="F30" i="42690"/>
  <c r="Q29" i="42690"/>
  <c r="P29" i="42690"/>
  <c r="O29" i="42690"/>
  <c r="N29" i="42690"/>
  <c r="M29" i="42690"/>
  <c r="L29" i="42690"/>
  <c r="K29" i="42690"/>
  <c r="J29" i="42690"/>
  <c r="I29" i="42690"/>
  <c r="H29" i="42690"/>
  <c r="G29" i="42690"/>
  <c r="F29" i="42690"/>
  <c r="Q11" i="42690"/>
  <c r="P11" i="42690"/>
  <c r="O11" i="42690"/>
  <c r="N11" i="42690"/>
  <c r="M11" i="42690"/>
  <c r="L11" i="42690"/>
  <c r="K11" i="42690"/>
  <c r="J11" i="42690"/>
  <c r="I11" i="42690"/>
  <c r="H11" i="42690"/>
  <c r="G11" i="42690"/>
  <c r="F11" i="42690"/>
  <c r="Q10" i="42690"/>
  <c r="P10" i="42690"/>
  <c r="O10" i="42690"/>
  <c r="N10" i="42690"/>
  <c r="M10" i="42690"/>
  <c r="L10" i="42690"/>
  <c r="K10" i="42690"/>
  <c r="J10" i="42690"/>
  <c r="I10" i="42690"/>
  <c r="H10" i="42690"/>
  <c r="G10" i="42690"/>
  <c r="F10" i="42690"/>
  <c r="Q6" i="42690"/>
  <c r="P6" i="42690"/>
  <c r="O6" i="42690"/>
  <c r="N6" i="42690"/>
  <c r="M6" i="42690"/>
  <c r="L6" i="42690"/>
  <c r="K6" i="42690"/>
  <c r="J6" i="42690"/>
  <c r="I6" i="42690"/>
  <c r="H6" i="42690"/>
  <c r="G6" i="42690"/>
  <c r="F6" i="42690"/>
  <c r="B4" i="42690"/>
  <c r="B2" i="42690"/>
  <c r="B1" i="42690"/>
  <c r="R971" i="42689"/>
  <c r="R963" i="42689"/>
  <c r="Q937" i="42689"/>
  <c r="Q926" i="42690" s="1"/>
  <c r="G937" i="42689"/>
  <c r="H937" i="42689" s="1"/>
  <c r="Q914" i="42689"/>
  <c r="P914" i="42689"/>
  <c r="O914" i="42689"/>
  <c r="N914" i="42689"/>
  <c r="M914" i="42689"/>
  <c r="L914" i="42689"/>
  <c r="K914" i="42689"/>
  <c r="J914" i="42689"/>
  <c r="I914" i="42689"/>
  <c r="H914" i="42689"/>
  <c r="G914" i="42689"/>
  <c r="F914" i="42689"/>
  <c r="R914" i="42689" s="1"/>
  <c r="Q801" i="42689"/>
  <c r="P801" i="42689"/>
  <c r="O801" i="42689"/>
  <c r="N801" i="42689"/>
  <c r="M801" i="42689"/>
  <c r="L801" i="42689"/>
  <c r="K801" i="42689"/>
  <c r="J801" i="42689"/>
  <c r="I801" i="42689"/>
  <c r="H801" i="42689"/>
  <c r="G801" i="42689"/>
  <c r="F801" i="42689"/>
  <c r="R801" i="42689" s="1"/>
  <c r="Q800" i="42689"/>
  <c r="P800" i="42689"/>
  <c r="O800" i="42689"/>
  <c r="N800" i="42689"/>
  <c r="M800" i="42689"/>
  <c r="L800" i="42689"/>
  <c r="K800" i="42689"/>
  <c r="J800" i="42689"/>
  <c r="I800" i="42689"/>
  <c r="H800" i="42689"/>
  <c r="G800" i="42689"/>
  <c r="F800" i="42689"/>
  <c r="R800" i="42689" s="1"/>
  <c r="Q799" i="42689"/>
  <c r="P799" i="42689"/>
  <c r="O799" i="42689"/>
  <c r="N799" i="42689"/>
  <c r="M799" i="42689"/>
  <c r="L799" i="42689"/>
  <c r="K799" i="42689"/>
  <c r="J799" i="42689"/>
  <c r="I799" i="42689"/>
  <c r="H799" i="42689"/>
  <c r="G799" i="42689"/>
  <c r="F799" i="42689"/>
  <c r="R799" i="42689" s="1"/>
  <c r="Q798" i="42689"/>
  <c r="P798" i="42689"/>
  <c r="O798" i="42689"/>
  <c r="N798" i="42689"/>
  <c r="M798" i="42689"/>
  <c r="L798" i="42689"/>
  <c r="K798" i="42689"/>
  <c r="J798" i="42689"/>
  <c r="I798" i="42689"/>
  <c r="H798" i="42689"/>
  <c r="G798" i="42689"/>
  <c r="F798" i="42689"/>
  <c r="R798" i="42689" s="1"/>
  <c r="Q797" i="42689"/>
  <c r="P797" i="42689"/>
  <c r="O797" i="42689"/>
  <c r="N797" i="42689"/>
  <c r="M797" i="42689"/>
  <c r="L797" i="42689"/>
  <c r="K797" i="42689"/>
  <c r="J797" i="42689"/>
  <c r="I797" i="42689"/>
  <c r="H797" i="42689"/>
  <c r="G797" i="42689"/>
  <c r="F797" i="42689"/>
  <c r="Q792" i="42689"/>
  <c r="P792" i="42689"/>
  <c r="P804" i="42689" s="1"/>
  <c r="O792" i="42689"/>
  <c r="N792" i="42689"/>
  <c r="N804" i="42689" s="1"/>
  <c r="M792" i="42689"/>
  <c r="L792" i="42689"/>
  <c r="L804" i="42689" s="1"/>
  <c r="K792" i="42689"/>
  <c r="J792" i="42689"/>
  <c r="J804" i="42689" s="1"/>
  <c r="I792" i="42689"/>
  <c r="H792" i="42689"/>
  <c r="H804" i="42689" s="1"/>
  <c r="G792" i="42689"/>
  <c r="F792" i="42689"/>
  <c r="F804" i="42689" s="1"/>
  <c r="R789" i="42689"/>
  <c r="R788" i="42689"/>
  <c r="R787" i="42689"/>
  <c r="R786" i="42689"/>
  <c r="R785" i="42689"/>
  <c r="Q783" i="42689"/>
  <c r="P783" i="42689"/>
  <c r="P831" i="42689" s="1"/>
  <c r="P846" i="42689" s="1"/>
  <c r="O783" i="42689"/>
  <c r="N783" i="42689"/>
  <c r="N831" i="42689" s="1"/>
  <c r="N846" i="42689" s="1"/>
  <c r="M783" i="42689"/>
  <c r="L783" i="42689"/>
  <c r="L831" i="42689" s="1"/>
  <c r="L846" i="42689" s="1"/>
  <c r="K783" i="42689"/>
  <c r="J783" i="42689"/>
  <c r="J831" i="42689" s="1"/>
  <c r="J846" i="42689" s="1"/>
  <c r="I783" i="42689"/>
  <c r="H783" i="42689"/>
  <c r="H831" i="42689" s="1"/>
  <c r="H846" i="42689" s="1"/>
  <c r="G783" i="42689"/>
  <c r="F783" i="42689"/>
  <c r="F795" i="42689" s="1"/>
  <c r="Q764" i="42689"/>
  <c r="P764" i="42689"/>
  <c r="O764" i="42689"/>
  <c r="N764" i="42689"/>
  <c r="M764" i="42689"/>
  <c r="L764" i="42689"/>
  <c r="K764" i="42689"/>
  <c r="J764" i="42689"/>
  <c r="I764" i="42689"/>
  <c r="H764" i="42689"/>
  <c r="G764" i="42689"/>
  <c r="F764" i="42689"/>
  <c r="R760" i="42689"/>
  <c r="R745" i="42689"/>
  <c r="R742" i="42689"/>
  <c r="R741" i="42689"/>
  <c r="R740" i="42689"/>
  <c r="R739" i="42689"/>
  <c r="R738" i="42689"/>
  <c r="Q736" i="42689"/>
  <c r="Q830" i="42689" s="1"/>
  <c r="P736" i="42689"/>
  <c r="P830" i="42689" s="1"/>
  <c r="O736" i="42689"/>
  <c r="O830" i="42689" s="1"/>
  <c r="N736" i="42689"/>
  <c r="N830" i="42689" s="1"/>
  <c r="M736" i="42689"/>
  <c r="M830" i="42689" s="1"/>
  <c r="L736" i="42689"/>
  <c r="L830" i="42689" s="1"/>
  <c r="K736" i="42689"/>
  <c r="K830" i="42689" s="1"/>
  <c r="J736" i="42689"/>
  <c r="J830" i="42689" s="1"/>
  <c r="I736" i="42689"/>
  <c r="I830" i="42689" s="1"/>
  <c r="H736" i="42689"/>
  <c r="H830" i="42689" s="1"/>
  <c r="G736" i="42689"/>
  <c r="G830" i="42689" s="1"/>
  <c r="F736" i="42689"/>
  <c r="F830" i="42689" s="1"/>
  <c r="Q733" i="42689"/>
  <c r="P733" i="42689"/>
  <c r="O733" i="42689"/>
  <c r="N733" i="42689"/>
  <c r="M733" i="42689"/>
  <c r="L733" i="42689"/>
  <c r="K733" i="42689"/>
  <c r="J733" i="42689"/>
  <c r="I733" i="42689"/>
  <c r="H733" i="42689"/>
  <c r="G733" i="42689"/>
  <c r="F733" i="42689"/>
  <c r="Q732" i="42689"/>
  <c r="P732" i="42689"/>
  <c r="O732" i="42689"/>
  <c r="N732" i="42689"/>
  <c r="M732" i="42689"/>
  <c r="L732" i="42689"/>
  <c r="K732" i="42689"/>
  <c r="J732" i="42689"/>
  <c r="I732" i="42689"/>
  <c r="H732" i="42689"/>
  <c r="G732" i="42689"/>
  <c r="F732" i="42689"/>
  <c r="Q730" i="42689"/>
  <c r="Q762" i="42689" s="1"/>
  <c r="P730" i="42689"/>
  <c r="P762" i="42689" s="1"/>
  <c r="O730" i="42689"/>
  <c r="O762" i="42689" s="1"/>
  <c r="N730" i="42689"/>
  <c r="N762" i="42689" s="1"/>
  <c r="M730" i="42689"/>
  <c r="M762" i="42689" s="1"/>
  <c r="L730" i="42689"/>
  <c r="L762" i="42689" s="1"/>
  <c r="K730" i="42689"/>
  <c r="K762" i="42689" s="1"/>
  <c r="J730" i="42689"/>
  <c r="J762" i="42689" s="1"/>
  <c r="I730" i="42689"/>
  <c r="I762" i="42689" s="1"/>
  <c r="H730" i="42689"/>
  <c r="H762" i="42689" s="1"/>
  <c r="G730" i="42689"/>
  <c r="G762" i="42689" s="1"/>
  <c r="F730" i="42689"/>
  <c r="F762" i="42689" s="1"/>
  <c r="Q729" i="42689"/>
  <c r="Q761" i="42689" s="1"/>
  <c r="Q763" i="42689" s="1"/>
  <c r="P729" i="42689"/>
  <c r="P761" i="42689" s="1"/>
  <c r="O729" i="42689"/>
  <c r="O761" i="42689" s="1"/>
  <c r="O763" i="42689" s="1"/>
  <c r="N729" i="42689"/>
  <c r="N761" i="42689" s="1"/>
  <c r="M729" i="42689"/>
  <c r="M761" i="42689" s="1"/>
  <c r="M763" i="42689" s="1"/>
  <c r="L729" i="42689"/>
  <c r="L761" i="42689" s="1"/>
  <c r="K729" i="42689"/>
  <c r="K761" i="42689" s="1"/>
  <c r="K763" i="42689" s="1"/>
  <c r="J729" i="42689"/>
  <c r="J761" i="42689" s="1"/>
  <c r="I729" i="42689"/>
  <c r="I761" i="42689" s="1"/>
  <c r="I763" i="42689" s="1"/>
  <c r="H729" i="42689"/>
  <c r="H761" i="42689" s="1"/>
  <c r="G729" i="42689"/>
  <c r="G761" i="42689" s="1"/>
  <c r="G763" i="42689" s="1"/>
  <c r="F729" i="42689"/>
  <c r="F761" i="42689" s="1"/>
  <c r="Q727" i="42689"/>
  <c r="P727" i="42689"/>
  <c r="O727" i="42689"/>
  <c r="N727" i="42689"/>
  <c r="M727" i="42689"/>
  <c r="L727" i="42689"/>
  <c r="K727" i="42689"/>
  <c r="J727" i="42689"/>
  <c r="I727" i="42689"/>
  <c r="H727" i="42689"/>
  <c r="G727" i="42689"/>
  <c r="F727" i="42689"/>
  <c r="Q726" i="42689"/>
  <c r="P726" i="42689"/>
  <c r="O726" i="42689"/>
  <c r="N726" i="42689"/>
  <c r="M726" i="42689"/>
  <c r="L726" i="42689"/>
  <c r="K726" i="42689"/>
  <c r="J726" i="42689"/>
  <c r="I726" i="42689"/>
  <c r="H726" i="42689"/>
  <c r="G726" i="42689"/>
  <c r="F726" i="42689"/>
  <c r="Q725" i="42689"/>
  <c r="P725" i="42689"/>
  <c r="O725" i="42689"/>
  <c r="N725" i="42689"/>
  <c r="M725" i="42689"/>
  <c r="L725" i="42689"/>
  <c r="K725" i="42689"/>
  <c r="J725" i="42689"/>
  <c r="I725" i="42689"/>
  <c r="H725" i="42689"/>
  <c r="G725" i="42689"/>
  <c r="F725" i="42689"/>
  <c r="Q724" i="42689"/>
  <c r="Q755" i="42689" s="1"/>
  <c r="P724" i="42689"/>
  <c r="P755" i="42689" s="1"/>
  <c r="O724" i="42689"/>
  <c r="O755" i="42689" s="1"/>
  <c r="N724" i="42689"/>
  <c r="N755" i="42689" s="1"/>
  <c r="M724" i="42689"/>
  <c r="M755" i="42689" s="1"/>
  <c r="L724" i="42689"/>
  <c r="L755" i="42689" s="1"/>
  <c r="K724" i="42689"/>
  <c r="K755" i="42689" s="1"/>
  <c r="J724" i="42689"/>
  <c r="J755" i="42689" s="1"/>
  <c r="I724" i="42689"/>
  <c r="I755" i="42689" s="1"/>
  <c r="H724" i="42689"/>
  <c r="H755" i="42689" s="1"/>
  <c r="G724" i="42689"/>
  <c r="G755" i="42689" s="1"/>
  <c r="F724" i="42689"/>
  <c r="F755" i="42689" s="1"/>
  <c r="Q723" i="42689"/>
  <c r="Q754" i="42689" s="1"/>
  <c r="P723" i="42689"/>
  <c r="P754" i="42689" s="1"/>
  <c r="O723" i="42689"/>
  <c r="O754" i="42689" s="1"/>
  <c r="N723" i="42689"/>
  <c r="N754" i="42689" s="1"/>
  <c r="M723" i="42689"/>
  <c r="M754" i="42689" s="1"/>
  <c r="L723" i="42689"/>
  <c r="L754" i="42689" s="1"/>
  <c r="K723" i="42689"/>
  <c r="K754" i="42689" s="1"/>
  <c r="J723" i="42689"/>
  <c r="J754" i="42689" s="1"/>
  <c r="I723" i="42689"/>
  <c r="I754" i="42689" s="1"/>
  <c r="H723" i="42689"/>
  <c r="H754" i="42689" s="1"/>
  <c r="G723" i="42689"/>
  <c r="G754" i="42689" s="1"/>
  <c r="F723" i="42689"/>
  <c r="F754" i="42689" s="1"/>
  <c r="Q722" i="42689"/>
  <c r="Q753" i="42689" s="1"/>
  <c r="P722" i="42689"/>
  <c r="P753" i="42689" s="1"/>
  <c r="O722" i="42689"/>
  <c r="O753" i="42689" s="1"/>
  <c r="N722" i="42689"/>
  <c r="N753" i="42689" s="1"/>
  <c r="M722" i="42689"/>
  <c r="M753" i="42689" s="1"/>
  <c r="L722" i="42689"/>
  <c r="L753" i="42689" s="1"/>
  <c r="K722" i="42689"/>
  <c r="K753" i="42689" s="1"/>
  <c r="J722" i="42689"/>
  <c r="J753" i="42689" s="1"/>
  <c r="I722" i="42689"/>
  <c r="I753" i="42689" s="1"/>
  <c r="H722" i="42689"/>
  <c r="H753" i="42689" s="1"/>
  <c r="G722" i="42689"/>
  <c r="G753" i="42689" s="1"/>
  <c r="F722" i="42689"/>
  <c r="F753" i="42689" s="1"/>
  <c r="Q721" i="42689"/>
  <c r="Q752" i="42689" s="1"/>
  <c r="P721" i="42689"/>
  <c r="P752" i="42689" s="1"/>
  <c r="O721" i="42689"/>
  <c r="O752" i="42689" s="1"/>
  <c r="N721" i="42689"/>
  <c r="N752" i="42689" s="1"/>
  <c r="M721" i="42689"/>
  <c r="M752" i="42689" s="1"/>
  <c r="L721" i="42689"/>
  <c r="L752" i="42689" s="1"/>
  <c r="K721" i="42689"/>
  <c r="K752" i="42689" s="1"/>
  <c r="J721" i="42689"/>
  <c r="J752" i="42689" s="1"/>
  <c r="I721" i="42689"/>
  <c r="I752" i="42689" s="1"/>
  <c r="H721" i="42689"/>
  <c r="H752" i="42689" s="1"/>
  <c r="G721" i="42689"/>
  <c r="G752" i="42689" s="1"/>
  <c r="F721" i="42689"/>
  <c r="F752" i="42689" s="1"/>
  <c r="Q720" i="42689"/>
  <c r="Q751" i="42689" s="1"/>
  <c r="P720" i="42689"/>
  <c r="P751" i="42689" s="1"/>
  <c r="O720" i="42689"/>
  <c r="O751" i="42689" s="1"/>
  <c r="N720" i="42689"/>
  <c r="N751" i="42689" s="1"/>
  <c r="M720" i="42689"/>
  <c r="M751" i="42689" s="1"/>
  <c r="L720" i="42689"/>
  <c r="L751" i="42689" s="1"/>
  <c r="K720" i="42689"/>
  <c r="K751" i="42689" s="1"/>
  <c r="J720" i="42689"/>
  <c r="J751" i="42689" s="1"/>
  <c r="I720" i="42689"/>
  <c r="I751" i="42689" s="1"/>
  <c r="H720" i="42689"/>
  <c r="H751" i="42689" s="1"/>
  <c r="G720" i="42689"/>
  <c r="G751" i="42689" s="1"/>
  <c r="F720" i="42689"/>
  <c r="F751" i="42689" s="1"/>
  <c r="Q718" i="42689"/>
  <c r="Q749" i="42689" s="1"/>
  <c r="P718" i="42689"/>
  <c r="P749" i="42689" s="1"/>
  <c r="O718" i="42689"/>
  <c r="O749" i="42689" s="1"/>
  <c r="N718" i="42689"/>
  <c r="N749" i="42689" s="1"/>
  <c r="M718" i="42689"/>
  <c r="M749" i="42689" s="1"/>
  <c r="L718" i="42689"/>
  <c r="L749" i="42689" s="1"/>
  <c r="K718" i="42689"/>
  <c r="K749" i="42689" s="1"/>
  <c r="J718" i="42689"/>
  <c r="J749" i="42689" s="1"/>
  <c r="I718" i="42689"/>
  <c r="I749" i="42689" s="1"/>
  <c r="H718" i="42689"/>
  <c r="H749" i="42689" s="1"/>
  <c r="G718" i="42689"/>
  <c r="G749" i="42689" s="1"/>
  <c r="F718" i="42689"/>
  <c r="F749" i="42689" s="1"/>
  <c r="Q710" i="42689"/>
  <c r="P710" i="42689"/>
  <c r="O710" i="42689"/>
  <c r="N710" i="42689"/>
  <c r="M710" i="42689"/>
  <c r="L710" i="42689"/>
  <c r="K710" i="42689"/>
  <c r="J710" i="42689"/>
  <c r="I710" i="42689"/>
  <c r="H710" i="42689"/>
  <c r="G710" i="42689"/>
  <c r="F710" i="42689"/>
  <c r="R706" i="42689"/>
  <c r="Q695" i="42689"/>
  <c r="P695" i="42689"/>
  <c r="O695" i="42689"/>
  <c r="N695" i="42689"/>
  <c r="M695" i="42689"/>
  <c r="L695" i="42689"/>
  <c r="K695" i="42689"/>
  <c r="J695" i="42689"/>
  <c r="I695" i="42689"/>
  <c r="H695" i="42689"/>
  <c r="G695" i="42689"/>
  <c r="F695" i="42689"/>
  <c r="R692" i="42689"/>
  <c r="Q690" i="42689"/>
  <c r="Q829" i="42689" s="1"/>
  <c r="P690" i="42689"/>
  <c r="P829" i="42689" s="1"/>
  <c r="O690" i="42689"/>
  <c r="O829" i="42689" s="1"/>
  <c r="N690" i="42689"/>
  <c r="N829" i="42689" s="1"/>
  <c r="M690" i="42689"/>
  <c r="M829" i="42689" s="1"/>
  <c r="L690" i="42689"/>
  <c r="L829" i="42689" s="1"/>
  <c r="K690" i="42689"/>
  <c r="K829" i="42689" s="1"/>
  <c r="J690" i="42689"/>
  <c r="J829" i="42689" s="1"/>
  <c r="I690" i="42689"/>
  <c r="I829" i="42689" s="1"/>
  <c r="H690" i="42689"/>
  <c r="H829" i="42689" s="1"/>
  <c r="G690" i="42689"/>
  <c r="G829" i="42689" s="1"/>
  <c r="F690" i="42689"/>
  <c r="F829" i="42689" s="1"/>
  <c r="R829" i="42689" s="1"/>
  <c r="Q687" i="42689"/>
  <c r="P687" i="42689"/>
  <c r="O687" i="42689"/>
  <c r="N687" i="42689"/>
  <c r="M687" i="42689"/>
  <c r="L687" i="42689"/>
  <c r="K687" i="42689"/>
  <c r="J687" i="42689"/>
  <c r="I687" i="42689"/>
  <c r="H687" i="42689"/>
  <c r="G687" i="42689"/>
  <c r="F687" i="42689"/>
  <c r="Q686" i="42689"/>
  <c r="P686" i="42689"/>
  <c r="O686" i="42689"/>
  <c r="N686" i="42689"/>
  <c r="M686" i="42689"/>
  <c r="L686" i="42689"/>
  <c r="K686" i="42689"/>
  <c r="J686" i="42689"/>
  <c r="I686" i="42689"/>
  <c r="H686" i="42689"/>
  <c r="G686" i="42689"/>
  <c r="F686" i="42689"/>
  <c r="Q684" i="42689"/>
  <c r="Q708" i="42689" s="1"/>
  <c r="P684" i="42689"/>
  <c r="P708" i="42689" s="1"/>
  <c r="O684" i="42689"/>
  <c r="O708" i="42689" s="1"/>
  <c r="N684" i="42689"/>
  <c r="N708" i="42689" s="1"/>
  <c r="M684" i="42689"/>
  <c r="M708" i="42689" s="1"/>
  <c r="L684" i="42689"/>
  <c r="L708" i="42689" s="1"/>
  <c r="K684" i="42689"/>
  <c r="K708" i="42689" s="1"/>
  <c r="J684" i="42689"/>
  <c r="J708" i="42689" s="1"/>
  <c r="I684" i="42689"/>
  <c r="I708" i="42689" s="1"/>
  <c r="H684" i="42689"/>
  <c r="H708" i="42689" s="1"/>
  <c r="G684" i="42689"/>
  <c r="G708" i="42689" s="1"/>
  <c r="F684" i="42689"/>
  <c r="F708" i="42689" s="1"/>
  <c r="Q683" i="42689"/>
  <c r="Q707" i="42689" s="1"/>
  <c r="P683" i="42689"/>
  <c r="P707" i="42689" s="1"/>
  <c r="P709" i="42689" s="1"/>
  <c r="O683" i="42689"/>
  <c r="O707" i="42689" s="1"/>
  <c r="N683" i="42689"/>
  <c r="N707" i="42689" s="1"/>
  <c r="N709" i="42689" s="1"/>
  <c r="M683" i="42689"/>
  <c r="M707" i="42689" s="1"/>
  <c r="L683" i="42689"/>
  <c r="L707" i="42689" s="1"/>
  <c r="L709" i="42689" s="1"/>
  <c r="K683" i="42689"/>
  <c r="K707" i="42689" s="1"/>
  <c r="J683" i="42689"/>
  <c r="J707" i="42689" s="1"/>
  <c r="J709" i="42689" s="1"/>
  <c r="I683" i="42689"/>
  <c r="I707" i="42689" s="1"/>
  <c r="H683" i="42689"/>
  <c r="H707" i="42689" s="1"/>
  <c r="H709" i="42689" s="1"/>
  <c r="G683" i="42689"/>
  <c r="G707" i="42689" s="1"/>
  <c r="F683" i="42689"/>
  <c r="F707" i="42689" s="1"/>
  <c r="Q681" i="42689"/>
  <c r="P681" i="42689"/>
  <c r="O681" i="42689"/>
  <c r="N681" i="42689"/>
  <c r="M681" i="42689"/>
  <c r="L681" i="42689"/>
  <c r="K681" i="42689"/>
  <c r="J681" i="42689"/>
  <c r="I681" i="42689"/>
  <c r="H681" i="42689"/>
  <c r="G681" i="42689"/>
  <c r="F681" i="42689"/>
  <c r="Q680" i="42689"/>
  <c r="P680" i="42689"/>
  <c r="O680" i="42689"/>
  <c r="N680" i="42689"/>
  <c r="M680" i="42689"/>
  <c r="L680" i="42689"/>
  <c r="K680" i="42689"/>
  <c r="J680" i="42689"/>
  <c r="I680" i="42689"/>
  <c r="H680" i="42689"/>
  <c r="G680" i="42689"/>
  <c r="F680" i="42689"/>
  <c r="Q679" i="42689"/>
  <c r="P679" i="42689"/>
  <c r="O679" i="42689"/>
  <c r="N679" i="42689"/>
  <c r="M679" i="42689"/>
  <c r="L679" i="42689"/>
  <c r="K679" i="42689"/>
  <c r="J679" i="42689"/>
  <c r="I679" i="42689"/>
  <c r="H679" i="42689"/>
  <c r="G679" i="42689"/>
  <c r="F679" i="42689"/>
  <c r="Q678" i="42689"/>
  <c r="Q701" i="42689" s="1"/>
  <c r="P678" i="42689"/>
  <c r="P701" i="42689" s="1"/>
  <c r="O678" i="42689"/>
  <c r="O701" i="42689" s="1"/>
  <c r="N678" i="42689"/>
  <c r="N701" i="42689" s="1"/>
  <c r="M678" i="42689"/>
  <c r="M701" i="42689" s="1"/>
  <c r="L678" i="42689"/>
  <c r="L701" i="42689" s="1"/>
  <c r="K678" i="42689"/>
  <c r="K701" i="42689" s="1"/>
  <c r="J678" i="42689"/>
  <c r="J701" i="42689" s="1"/>
  <c r="I678" i="42689"/>
  <c r="I701" i="42689" s="1"/>
  <c r="H678" i="42689"/>
  <c r="H701" i="42689" s="1"/>
  <c r="G678" i="42689"/>
  <c r="G701" i="42689" s="1"/>
  <c r="F678" i="42689"/>
  <c r="F701" i="42689" s="1"/>
  <c r="Q676" i="42689"/>
  <c r="Q699" i="42689" s="1"/>
  <c r="P676" i="42689"/>
  <c r="P699" i="42689" s="1"/>
  <c r="O676" i="42689"/>
  <c r="O699" i="42689" s="1"/>
  <c r="N676" i="42689"/>
  <c r="N699" i="42689" s="1"/>
  <c r="M676" i="42689"/>
  <c r="M699" i="42689" s="1"/>
  <c r="L676" i="42689"/>
  <c r="L699" i="42689" s="1"/>
  <c r="K676" i="42689"/>
  <c r="K699" i="42689" s="1"/>
  <c r="J676" i="42689"/>
  <c r="J699" i="42689" s="1"/>
  <c r="I676" i="42689"/>
  <c r="I699" i="42689" s="1"/>
  <c r="H676" i="42689"/>
  <c r="H699" i="42689" s="1"/>
  <c r="G676" i="42689"/>
  <c r="G699" i="42689" s="1"/>
  <c r="F676" i="42689"/>
  <c r="F699" i="42689" s="1"/>
  <c r="Q668" i="42689"/>
  <c r="P668" i="42689"/>
  <c r="O668" i="42689"/>
  <c r="N668" i="42689"/>
  <c r="M668" i="42689"/>
  <c r="L668" i="42689"/>
  <c r="K668" i="42689"/>
  <c r="J668" i="42689"/>
  <c r="I668" i="42689"/>
  <c r="H668" i="42689"/>
  <c r="G668" i="42689"/>
  <c r="F668" i="42689"/>
  <c r="R664" i="42689"/>
  <c r="Q652" i="42689"/>
  <c r="P652" i="42689"/>
  <c r="O652" i="42689"/>
  <c r="N652" i="42689"/>
  <c r="M652" i="42689"/>
  <c r="L652" i="42689"/>
  <c r="K652" i="42689"/>
  <c r="J652" i="42689"/>
  <c r="I652" i="42689"/>
  <c r="H652" i="42689"/>
  <c r="G652" i="42689"/>
  <c r="F652" i="42689"/>
  <c r="R649" i="42689"/>
  <c r="R648" i="42689"/>
  <c r="Q646" i="42689"/>
  <c r="Q828" i="42689" s="1"/>
  <c r="P646" i="42689"/>
  <c r="P828" i="42689" s="1"/>
  <c r="O646" i="42689"/>
  <c r="O828" i="42689" s="1"/>
  <c r="N646" i="42689"/>
  <c r="N828" i="42689" s="1"/>
  <c r="M646" i="42689"/>
  <c r="M828" i="42689" s="1"/>
  <c r="L646" i="42689"/>
  <c r="L828" i="42689" s="1"/>
  <c r="K646" i="42689"/>
  <c r="K828" i="42689" s="1"/>
  <c r="J646" i="42689"/>
  <c r="J828" i="42689" s="1"/>
  <c r="I646" i="42689"/>
  <c r="I828" i="42689" s="1"/>
  <c r="H646" i="42689"/>
  <c r="H828" i="42689" s="1"/>
  <c r="G646" i="42689"/>
  <c r="G828" i="42689" s="1"/>
  <c r="F646" i="42689"/>
  <c r="F828" i="42689" s="1"/>
  <c r="Q643" i="42689"/>
  <c r="P643" i="42689"/>
  <c r="O643" i="42689"/>
  <c r="N643" i="42689"/>
  <c r="M643" i="42689"/>
  <c r="L643" i="42689"/>
  <c r="K643" i="42689"/>
  <c r="J643" i="42689"/>
  <c r="I643" i="42689"/>
  <c r="H643" i="42689"/>
  <c r="G643" i="42689"/>
  <c r="F643" i="42689"/>
  <c r="Q642" i="42689"/>
  <c r="P642" i="42689"/>
  <c r="O642" i="42689"/>
  <c r="N642" i="42689"/>
  <c r="M642" i="42689"/>
  <c r="L642" i="42689"/>
  <c r="K642" i="42689"/>
  <c r="J642" i="42689"/>
  <c r="I642" i="42689"/>
  <c r="H642" i="42689"/>
  <c r="G642" i="42689"/>
  <c r="F642" i="42689"/>
  <c r="Q640" i="42689"/>
  <c r="Q666" i="42689" s="1"/>
  <c r="P640" i="42689"/>
  <c r="O640" i="42689"/>
  <c r="O666" i="42689" s="1"/>
  <c r="N640" i="42689"/>
  <c r="M640" i="42689"/>
  <c r="M666" i="42689" s="1"/>
  <c r="L640" i="42689"/>
  <c r="K640" i="42689"/>
  <c r="K666" i="42689" s="1"/>
  <c r="J640" i="42689"/>
  <c r="I640" i="42689"/>
  <c r="I666" i="42689" s="1"/>
  <c r="H640" i="42689"/>
  <c r="G640" i="42689"/>
  <c r="G666" i="42689" s="1"/>
  <c r="F640" i="42689"/>
  <c r="Q639" i="42689"/>
  <c r="Q665" i="42689" s="1"/>
  <c r="Q667" i="42689" s="1"/>
  <c r="P639" i="42689"/>
  <c r="P665" i="42689" s="1"/>
  <c r="O639" i="42689"/>
  <c r="O665" i="42689" s="1"/>
  <c r="O667" i="42689" s="1"/>
  <c r="N639" i="42689"/>
  <c r="N665" i="42689" s="1"/>
  <c r="M639" i="42689"/>
  <c r="M665" i="42689" s="1"/>
  <c r="M667" i="42689" s="1"/>
  <c r="L639" i="42689"/>
  <c r="L665" i="42689" s="1"/>
  <c r="K639" i="42689"/>
  <c r="K665" i="42689" s="1"/>
  <c r="K667" i="42689" s="1"/>
  <c r="J639" i="42689"/>
  <c r="J665" i="42689" s="1"/>
  <c r="I639" i="42689"/>
  <c r="I665" i="42689" s="1"/>
  <c r="I667" i="42689" s="1"/>
  <c r="H639" i="42689"/>
  <c r="H665" i="42689" s="1"/>
  <c r="G639" i="42689"/>
  <c r="G665" i="42689" s="1"/>
  <c r="G667" i="42689" s="1"/>
  <c r="F639" i="42689"/>
  <c r="F665" i="42689" s="1"/>
  <c r="Q637" i="42689"/>
  <c r="P637" i="42689"/>
  <c r="O637" i="42689"/>
  <c r="N637" i="42689"/>
  <c r="M637" i="42689"/>
  <c r="L637" i="42689"/>
  <c r="K637" i="42689"/>
  <c r="J637" i="42689"/>
  <c r="I637" i="42689"/>
  <c r="H637" i="42689"/>
  <c r="G637" i="42689"/>
  <c r="F637" i="42689"/>
  <c r="Q636" i="42689"/>
  <c r="P636" i="42689"/>
  <c r="O636" i="42689"/>
  <c r="N636" i="42689"/>
  <c r="M636" i="42689"/>
  <c r="L636" i="42689"/>
  <c r="K636" i="42689"/>
  <c r="J636" i="42689"/>
  <c r="I636" i="42689"/>
  <c r="H636" i="42689"/>
  <c r="G636" i="42689"/>
  <c r="F636" i="42689"/>
  <c r="Q635" i="42689"/>
  <c r="P635" i="42689"/>
  <c r="O635" i="42689"/>
  <c r="N635" i="42689"/>
  <c r="M635" i="42689"/>
  <c r="L635" i="42689"/>
  <c r="K635" i="42689"/>
  <c r="J635" i="42689"/>
  <c r="I635" i="42689"/>
  <c r="H635" i="42689"/>
  <c r="G635" i="42689"/>
  <c r="F635" i="42689"/>
  <c r="Q634" i="42689"/>
  <c r="Q659" i="42689" s="1"/>
  <c r="P634" i="42689"/>
  <c r="P659" i="42689" s="1"/>
  <c r="O634" i="42689"/>
  <c r="O659" i="42689" s="1"/>
  <c r="N634" i="42689"/>
  <c r="N659" i="42689" s="1"/>
  <c r="M634" i="42689"/>
  <c r="M659" i="42689" s="1"/>
  <c r="L634" i="42689"/>
  <c r="L659" i="42689" s="1"/>
  <c r="K634" i="42689"/>
  <c r="K659" i="42689" s="1"/>
  <c r="J634" i="42689"/>
  <c r="J659" i="42689" s="1"/>
  <c r="I634" i="42689"/>
  <c r="I659" i="42689" s="1"/>
  <c r="H634" i="42689"/>
  <c r="H659" i="42689" s="1"/>
  <c r="G634" i="42689"/>
  <c r="G659" i="42689" s="1"/>
  <c r="F634" i="42689"/>
  <c r="F659" i="42689" s="1"/>
  <c r="Q633" i="42689"/>
  <c r="Q658" i="42689" s="1"/>
  <c r="P633" i="42689"/>
  <c r="P658" i="42689" s="1"/>
  <c r="O633" i="42689"/>
  <c r="O658" i="42689" s="1"/>
  <c r="N633" i="42689"/>
  <c r="N658" i="42689" s="1"/>
  <c r="M633" i="42689"/>
  <c r="M658" i="42689" s="1"/>
  <c r="L633" i="42689"/>
  <c r="L658" i="42689" s="1"/>
  <c r="K633" i="42689"/>
  <c r="K658" i="42689" s="1"/>
  <c r="J633" i="42689"/>
  <c r="J658" i="42689" s="1"/>
  <c r="I633" i="42689"/>
  <c r="I658" i="42689" s="1"/>
  <c r="H633" i="42689"/>
  <c r="H658" i="42689" s="1"/>
  <c r="G633" i="42689"/>
  <c r="G658" i="42689" s="1"/>
  <c r="F633" i="42689"/>
  <c r="F658" i="42689" s="1"/>
  <c r="Q631" i="42689"/>
  <c r="Q656" i="42689" s="1"/>
  <c r="P631" i="42689"/>
  <c r="P656" i="42689" s="1"/>
  <c r="O631" i="42689"/>
  <c r="O656" i="42689" s="1"/>
  <c r="N631" i="42689"/>
  <c r="N656" i="42689" s="1"/>
  <c r="M631" i="42689"/>
  <c r="M656" i="42689" s="1"/>
  <c r="L631" i="42689"/>
  <c r="L656" i="42689" s="1"/>
  <c r="K631" i="42689"/>
  <c r="K656" i="42689" s="1"/>
  <c r="J631" i="42689"/>
  <c r="J656" i="42689" s="1"/>
  <c r="I631" i="42689"/>
  <c r="I656" i="42689" s="1"/>
  <c r="H631" i="42689"/>
  <c r="H656" i="42689" s="1"/>
  <c r="G631" i="42689"/>
  <c r="G656" i="42689" s="1"/>
  <c r="F631" i="42689"/>
  <c r="F656" i="42689" s="1"/>
  <c r="Q624" i="42689"/>
  <c r="Q899" i="42689" s="1"/>
  <c r="P624" i="42689"/>
  <c r="P899" i="42689" s="1"/>
  <c r="O624" i="42689"/>
  <c r="O899" i="42689" s="1"/>
  <c r="N624" i="42689"/>
  <c r="N899" i="42689" s="1"/>
  <c r="M624" i="42689"/>
  <c r="M899" i="42689" s="1"/>
  <c r="L624" i="42689"/>
  <c r="L899" i="42689" s="1"/>
  <c r="K624" i="42689"/>
  <c r="K899" i="42689" s="1"/>
  <c r="J624" i="42689"/>
  <c r="J899" i="42689" s="1"/>
  <c r="I624" i="42689"/>
  <c r="I899" i="42689" s="1"/>
  <c r="H624" i="42689"/>
  <c r="H899" i="42689" s="1"/>
  <c r="G624" i="42689"/>
  <c r="G899" i="42689" s="1"/>
  <c r="F624" i="42689"/>
  <c r="F899" i="42689" s="1"/>
  <c r="G621" i="42689"/>
  <c r="G627" i="42689" s="1"/>
  <c r="Q614" i="42689"/>
  <c r="P614" i="42689"/>
  <c r="O614" i="42689"/>
  <c r="N614" i="42689"/>
  <c r="M614" i="42689"/>
  <c r="L614" i="42689"/>
  <c r="K614" i="42689"/>
  <c r="J614" i="42689"/>
  <c r="I614" i="42689"/>
  <c r="H614" i="42689"/>
  <c r="G614" i="42689"/>
  <c r="F614" i="42689"/>
  <c r="Q599" i="42689"/>
  <c r="P599" i="42689"/>
  <c r="O599" i="42689"/>
  <c r="N599" i="42689"/>
  <c r="M599" i="42689"/>
  <c r="L599" i="42689"/>
  <c r="K599" i="42689"/>
  <c r="J599" i="42689"/>
  <c r="I599" i="42689"/>
  <c r="H599" i="42689"/>
  <c r="G599" i="42689"/>
  <c r="F599" i="42689"/>
  <c r="R596" i="42689"/>
  <c r="R595" i="42689"/>
  <c r="R594" i="42689"/>
  <c r="R593" i="42689"/>
  <c r="R592" i="42689"/>
  <c r="Q590" i="42689"/>
  <c r="Q827" i="42689" s="1"/>
  <c r="P590" i="42689"/>
  <c r="P827" i="42689" s="1"/>
  <c r="O590" i="42689"/>
  <c r="O827" i="42689" s="1"/>
  <c r="N590" i="42689"/>
  <c r="N827" i="42689" s="1"/>
  <c r="M590" i="42689"/>
  <c r="M827" i="42689" s="1"/>
  <c r="L590" i="42689"/>
  <c r="L827" i="42689" s="1"/>
  <c r="K590" i="42689"/>
  <c r="K827" i="42689" s="1"/>
  <c r="J590" i="42689"/>
  <c r="J827" i="42689" s="1"/>
  <c r="I590" i="42689"/>
  <c r="I827" i="42689" s="1"/>
  <c r="H590" i="42689"/>
  <c r="H827" i="42689" s="1"/>
  <c r="G590" i="42689"/>
  <c r="G827" i="42689" s="1"/>
  <c r="F590" i="42689"/>
  <c r="F827" i="42689" s="1"/>
  <c r="R827" i="42689" s="1"/>
  <c r="Q586" i="42689"/>
  <c r="P586" i="42689"/>
  <c r="P613" i="42689" s="1"/>
  <c r="O586" i="42689"/>
  <c r="N586" i="42689"/>
  <c r="N613" i="42689" s="1"/>
  <c r="M586" i="42689"/>
  <c r="L586" i="42689"/>
  <c r="L613" i="42689" s="1"/>
  <c r="K586" i="42689"/>
  <c r="J586" i="42689"/>
  <c r="J613" i="42689" s="1"/>
  <c r="I586" i="42689"/>
  <c r="H586" i="42689"/>
  <c r="H613" i="42689" s="1"/>
  <c r="G586" i="42689"/>
  <c r="F586" i="42689"/>
  <c r="F613" i="42689" s="1"/>
  <c r="Q585" i="42689"/>
  <c r="P585" i="42689"/>
  <c r="O585" i="42689"/>
  <c r="N585" i="42689"/>
  <c r="M585" i="42689"/>
  <c r="L585" i="42689"/>
  <c r="K585" i="42689"/>
  <c r="J585" i="42689"/>
  <c r="I585" i="42689"/>
  <c r="H585" i="42689"/>
  <c r="G585" i="42689"/>
  <c r="F585" i="42689"/>
  <c r="Q584" i="42689"/>
  <c r="P584" i="42689"/>
  <c r="O584" i="42689"/>
  <c r="N584" i="42689"/>
  <c r="M584" i="42689"/>
  <c r="L584" i="42689"/>
  <c r="K584" i="42689"/>
  <c r="J584" i="42689"/>
  <c r="I584" i="42689"/>
  <c r="H584" i="42689"/>
  <c r="G584" i="42689"/>
  <c r="F584" i="42689"/>
  <c r="Q583" i="42689"/>
  <c r="Q609" i="42689" s="1"/>
  <c r="P583" i="42689"/>
  <c r="P609" i="42689" s="1"/>
  <c r="O583" i="42689"/>
  <c r="O609" i="42689" s="1"/>
  <c r="N583" i="42689"/>
  <c r="N609" i="42689" s="1"/>
  <c r="M583" i="42689"/>
  <c r="M609" i="42689" s="1"/>
  <c r="L583" i="42689"/>
  <c r="L609" i="42689" s="1"/>
  <c r="K583" i="42689"/>
  <c r="K609" i="42689" s="1"/>
  <c r="J583" i="42689"/>
  <c r="J609" i="42689" s="1"/>
  <c r="I583" i="42689"/>
  <c r="I609" i="42689" s="1"/>
  <c r="H583" i="42689"/>
  <c r="H609" i="42689" s="1"/>
  <c r="G583" i="42689"/>
  <c r="G609" i="42689" s="1"/>
  <c r="F583" i="42689"/>
  <c r="F609" i="42689" s="1"/>
  <c r="R609" i="42689" s="1"/>
  <c r="Q582" i="42689"/>
  <c r="Q608" i="42689" s="1"/>
  <c r="P582" i="42689"/>
  <c r="P608" i="42689" s="1"/>
  <c r="O582" i="42689"/>
  <c r="O608" i="42689" s="1"/>
  <c r="N582" i="42689"/>
  <c r="N608" i="42689" s="1"/>
  <c r="M582" i="42689"/>
  <c r="M608" i="42689" s="1"/>
  <c r="L582" i="42689"/>
  <c r="L608" i="42689" s="1"/>
  <c r="K582" i="42689"/>
  <c r="K608" i="42689" s="1"/>
  <c r="J582" i="42689"/>
  <c r="J608" i="42689" s="1"/>
  <c r="I582" i="42689"/>
  <c r="I608" i="42689" s="1"/>
  <c r="H582" i="42689"/>
  <c r="H608" i="42689" s="1"/>
  <c r="G582" i="42689"/>
  <c r="G608" i="42689" s="1"/>
  <c r="F582" i="42689"/>
  <c r="F608" i="42689" s="1"/>
  <c r="Q581" i="42689"/>
  <c r="Q607" i="42689" s="1"/>
  <c r="P581" i="42689"/>
  <c r="P607" i="42689" s="1"/>
  <c r="O581" i="42689"/>
  <c r="O607" i="42689" s="1"/>
  <c r="N581" i="42689"/>
  <c r="N607" i="42689" s="1"/>
  <c r="M581" i="42689"/>
  <c r="M607" i="42689" s="1"/>
  <c r="L581" i="42689"/>
  <c r="L607" i="42689" s="1"/>
  <c r="K581" i="42689"/>
  <c r="K607" i="42689" s="1"/>
  <c r="J581" i="42689"/>
  <c r="J607" i="42689" s="1"/>
  <c r="I581" i="42689"/>
  <c r="I607" i="42689" s="1"/>
  <c r="H581" i="42689"/>
  <c r="H607" i="42689" s="1"/>
  <c r="G581" i="42689"/>
  <c r="G607" i="42689" s="1"/>
  <c r="F581" i="42689"/>
  <c r="F607" i="42689" s="1"/>
  <c r="R607" i="42689" s="1"/>
  <c r="Q580" i="42689"/>
  <c r="Q606" i="42689" s="1"/>
  <c r="P580" i="42689"/>
  <c r="P606" i="42689" s="1"/>
  <c r="O580" i="42689"/>
  <c r="O606" i="42689" s="1"/>
  <c r="N580" i="42689"/>
  <c r="N606" i="42689" s="1"/>
  <c r="M580" i="42689"/>
  <c r="M606" i="42689" s="1"/>
  <c r="L580" i="42689"/>
  <c r="L606" i="42689" s="1"/>
  <c r="K580" i="42689"/>
  <c r="K606" i="42689" s="1"/>
  <c r="J580" i="42689"/>
  <c r="J606" i="42689" s="1"/>
  <c r="I580" i="42689"/>
  <c r="I606" i="42689" s="1"/>
  <c r="H580" i="42689"/>
  <c r="H606" i="42689" s="1"/>
  <c r="G580" i="42689"/>
  <c r="G606" i="42689" s="1"/>
  <c r="F580" i="42689"/>
  <c r="F606" i="42689" s="1"/>
  <c r="Q579" i="42689"/>
  <c r="Q605" i="42689" s="1"/>
  <c r="P579" i="42689"/>
  <c r="P605" i="42689" s="1"/>
  <c r="O579" i="42689"/>
  <c r="O605" i="42689" s="1"/>
  <c r="N579" i="42689"/>
  <c r="N605" i="42689" s="1"/>
  <c r="M579" i="42689"/>
  <c r="M605" i="42689" s="1"/>
  <c r="L579" i="42689"/>
  <c r="L605" i="42689" s="1"/>
  <c r="K579" i="42689"/>
  <c r="K605" i="42689" s="1"/>
  <c r="J579" i="42689"/>
  <c r="J605" i="42689" s="1"/>
  <c r="I579" i="42689"/>
  <c r="I605" i="42689" s="1"/>
  <c r="H579" i="42689"/>
  <c r="H605" i="42689" s="1"/>
  <c r="G579" i="42689"/>
  <c r="G605" i="42689" s="1"/>
  <c r="F579" i="42689"/>
  <c r="F605" i="42689" s="1"/>
  <c r="Q577" i="42689"/>
  <c r="Q603" i="42689" s="1"/>
  <c r="P577" i="42689"/>
  <c r="P603" i="42689" s="1"/>
  <c r="O577" i="42689"/>
  <c r="O603" i="42689" s="1"/>
  <c r="N577" i="42689"/>
  <c r="N603" i="42689" s="1"/>
  <c r="M577" i="42689"/>
  <c r="M603" i="42689" s="1"/>
  <c r="L577" i="42689"/>
  <c r="L603" i="42689" s="1"/>
  <c r="K577" i="42689"/>
  <c r="K603" i="42689" s="1"/>
  <c r="J577" i="42689"/>
  <c r="J603" i="42689" s="1"/>
  <c r="I577" i="42689"/>
  <c r="I603" i="42689" s="1"/>
  <c r="H577" i="42689"/>
  <c r="H603" i="42689" s="1"/>
  <c r="G577" i="42689"/>
  <c r="G603" i="42689" s="1"/>
  <c r="F577" i="42689"/>
  <c r="F603" i="42689" s="1"/>
  <c r="Q570" i="42689"/>
  <c r="P570" i="42689"/>
  <c r="O570" i="42689"/>
  <c r="N570" i="42689"/>
  <c r="M570" i="42689"/>
  <c r="L570" i="42689"/>
  <c r="K570" i="42689"/>
  <c r="J570" i="42689"/>
  <c r="I570" i="42689"/>
  <c r="H570" i="42689"/>
  <c r="G570" i="42689"/>
  <c r="F570" i="42689"/>
  <c r="Q565" i="42689"/>
  <c r="P565" i="42689"/>
  <c r="O565" i="42689"/>
  <c r="N565" i="42689"/>
  <c r="M565" i="42689"/>
  <c r="L565" i="42689"/>
  <c r="K565" i="42689"/>
  <c r="J565" i="42689"/>
  <c r="I565" i="42689"/>
  <c r="H565" i="42689"/>
  <c r="G565" i="42689"/>
  <c r="F565" i="42689"/>
  <c r="Q559" i="42689"/>
  <c r="P559" i="42689"/>
  <c r="O559" i="42689"/>
  <c r="N559" i="42689"/>
  <c r="M559" i="42689"/>
  <c r="L559" i="42689"/>
  <c r="K559" i="42689"/>
  <c r="J559" i="42689"/>
  <c r="I559" i="42689"/>
  <c r="H559" i="42689"/>
  <c r="G559" i="42689"/>
  <c r="F559" i="42689"/>
  <c r="R556" i="42689"/>
  <c r="Q554" i="42689"/>
  <c r="Q826" i="42689" s="1"/>
  <c r="Q844" i="42689" s="1"/>
  <c r="P554" i="42689"/>
  <c r="P826" i="42689" s="1"/>
  <c r="P844" i="42689" s="1"/>
  <c r="O554" i="42689"/>
  <c r="O826" i="42689" s="1"/>
  <c r="O844" i="42689" s="1"/>
  <c r="N554" i="42689"/>
  <c r="N826" i="42689" s="1"/>
  <c r="N844" i="42689" s="1"/>
  <c r="M554" i="42689"/>
  <c r="M826" i="42689" s="1"/>
  <c r="M844" i="42689" s="1"/>
  <c r="L554" i="42689"/>
  <c r="L826" i="42689" s="1"/>
  <c r="L844" i="42689" s="1"/>
  <c r="K554" i="42689"/>
  <c r="K826" i="42689" s="1"/>
  <c r="K844" i="42689" s="1"/>
  <c r="J554" i="42689"/>
  <c r="J826" i="42689" s="1"/>
  <c r="J844" i="42689" s="1"/>
  <c r="I554" i="42689"/>
  <c r="I826" i="42689" s="1"/>
  <c r="I844" i="42689" s="1"/>
  <c r="H554" i="42689"/>
  <c r="H826" i="42689" s="1"/>
  <c r="H844" i="42689" s="1"/>
  <c r="G554" i="42689"/>
  <c r="G826" i="42689" s="1"/>
  <c r="G844" i="42689" s="1"/>
  <c r="F554" i="42689"/>
  <c r="F826" i="42689" s="1"/>
  <c r="Q538" i="42689"/>
  <c r="P538" i="42689"/>
  <c r="O538" i="42689"/>
  <c r="N538" i="42689"/>
  <c r="M538" i="42689"/>
  <c r="L538" i="42689"/>
  <c r="K538" i="42689"/>
  <c r="J538" i="42689"/>
  <c r="I538" i="42689"/>
  <c r="H538" i="42689"/>
  <c r="G538" i="42689"/>
  <c r="F538" i="42689"/>
  <c r="Q526" i="42689"/>
  <c r="P526" i="42689"/>
  <c r="O526" i="42689"/>
  <c r="N526" i="42689"/>
  <c r="M526" i="42689"/>
  <c r="L526" i="42689"/>
  <c r="K526" i="42689"/>
  <c r="J526" i="42689"/>
  <c r="I526" i="42689"/>
  <c r="H526" i="42689"/>
  <c r="G526" i="42689"/>
  <c r="F526" i="42689"/>
  <c r="R523" i="42689"/>
  <c r="R522" i="42689"/>
  <c r="Q520" i="42689"/>
  <c r="Q825" i="42689" s="1"/>
  <c r="P520" i="42689"/>
  <c r="P825" i="42689" s="1"/>
  <c r="O520" i="42689"/>
  <c r="O825" i="42689" s="1"/>
  <c r="N520" i="42689"/>
  <c r="N825" i="42689" s="1"/>
  <c r="M520" i="42689"/>
  <c r="M825" i="42689" s="1"/>
  <c r="L520" i="42689"/>
  <c r="L825" i="42689" s="1"/>
  <c r="K520" i="42689"/>
  <c r="K825" i="42689" s="1"/>
  <c r="J520" i="42689"/>
  <c r="J825" i="42689" s="1"/>
  <c r="I520" i="42689"/>
  <c r="I825" i="42689" s="1"/>
  <c r="H520" i="42689"/>
  <c r="H825" i="42689" s="1"/>
  <c r="G520" i="42689"/>
  <c r="G825" i="42689" s="1"/>
  <c r="F520" i="42689"/>
  <c r="F825" i="42689" s="1"/>
  <c r="Q516" i="42689"/>
  <c r="Q537" i="42689" s="1"/>
  <c r="P516" i="42689"/>
  <c r="P537" i="42689" s="1"/>
  <c r="O516" i="42689"/>
  <c r="O537" i="42689" s="1"/>
  <c r="N516" i="42689"/>
  <c r="N537" i="42689" s="1"/>
  <c r="M516" i="42689"/>
  <c r="M537" i="42689" s="1"/>
  <c r="L516" i="42689"/>
  <c r="L537" i="42689" s="1"/>
  <c r="K516" i="42689"/>
  <c r="K537" i="42689" s="1"/>
  <c r="J516" i="42689"/>
  <c r="J537" i="42689" s="1"/>
  <c r="I516" i="42689"/>
  <c r="I537" i="42689" s="1"/>
  <c r="H516" i="42689"/>
  <c r="H537" i="42689" s="1"/>
  <c r="G516" i="42689"/>
  <c r="G537" i="42689" s="1"/>
  <c r="F516" i="42689"/>
  <c r="F537" i="42689" s="1"/>
  <c r="Q515" i="42689"/>
  <c r="P515" i="42689"/>
  <c r="O515" i="42689"/>
  <c r="N515" i="42689"/>
  <c r="M515" i="42689"/>
  <c r="L515" i="42689"/>
  <c r="K515" i="42689"/>
  <c r="J515" i="42689"/>
  <c r="I515" i="42689"/>
  <c r="H515" i="42689"/>
  <c r="G515" i="42689"/>
  <c r="F515" i="42689"/>
  <c r="Q514" i="42689"/>
  <c r="P514" i="42689"/>
  <c r="O514" i="42689"/>
  <c r="N514" i="42689"/>
  <c r="M514" i="42689"/>
  <c r="L514" i="42689"/>
  <c r="K514" i="42689"/>
  <c r="J514" i="42689"/>
  <c r="I514" i="42689"/>
  <c r="H514" i="42689"/>
  <c r="G514" i="42689"/>
  <c r="F514" i="42689"/>
  <c r="Q513" i="42689"/>
  <c r="Q533" i="42689" s="1"/>
  <c r="P513" i="42689"/>
  <c r="P533" i="42689" s="1"/>
  <c r="O513" i="42689"/>
  <c r="O533" i="42689" s="1"/>
  <c r="N513" i="42689"/>
  <c r="N533" i="42689" s="1"/>
  <c r="M513" i="42689"/>
  <c r="M533" i="42689" s="1"/>
  <c r="L513" i="42689"/>
  <c r="L533" i="42689" s="1"/>
  <c r="K513" i="42689"/>
  <c r="K533" i="42689" s="1"/>
  <c r="J513" i="42689"/>
  <c r="J533" i="42689" s="1"/>
  <c r="I513" i="42689"/>
  <c r="I533" i="42689" s="1"/>
  <c r="H513" i="42689"/>
  <c r="H533" i="42689" s="1"/>
  <c r="G513" i="42689"/>
  <c r="G533" i="42689" s="1"/>
  <c r="F513" i="42689"/>
  <c r="F533" i="42689" s="1"/>
  <c r="Q512" i="42689"/>
  <c r="Q532" i="42689" s="1"/>
  <c r="P512" i="42689"/>
  <c r="P532" i="42689" s="1"/>
  <c r="O512" i="42689"/>
  <c r="O532" i="42689" s="1"/>
  <c r="N512" i="42689"/>
  <c r="N532" i="42689" s="1"/>
  <c r="M512" i="42689"/>
  <c r="M532" i="42689" s="1"/>
  <c r="L512" i="42689"/>
  <c r="L532" i="42689" s="1"/>
  <c r="K512" i="42689"/>
  <c r="K532" i="42689" s="1"/>
  <c r="J512" i="42689"/>
  <c r="J532" i="42689" s="1"/>
  <c r="I512" i="42689"/>
  <c r="I532" i="42689" s="1"/>
  <c r="H512" i="42689"/>
  <c r="H532" i="42689" s="1"/>
  <c r="G512" i="42689"/>
  <c r="G532" i="42689" s="1"/>
  <c r="F512" i="42689"/>
  <c r="F532" i="42689" s="1"/>
  <c r="Q510" i="42689"/>
  <c r="Q530" i="42689" s="1"/>
  <c r="P510" i="42689"/>
  <c r="P530" i="42689" s="1"/>
  <c r="O510" i="42689"/>
  <c r="O530" i="42689" s="1"/>
  <c r="N510" i="42689"/>
  <c r="N530" i="42689" s="1"/>
  <c r="M510" i="42689"/>
  <c r="M530" i="42689" s="1"/>
  <c r="L510" i="42689"/>
  <c r="L530" i="42689" s="1"/>
  <c r="K510" i="42689"/>
  <c r="K530" i="42689" s="1"/>
  <c r="J510" i="42689"/>
  <c r="J530" i="42689" s="1"/>
  <c r="I510" i="42689"/>
  <c r="I530" i="42689" s="1"/>
  <c r="H510" i="42689"/>
  <c r="H530" i="42689" s="1"/>
  <c r="G510" i="42689"/>
  <c r="G530" i="42689" s="1"/>
  <c r="F510" i="42689"/>
  <c r="F530" i="42689" s="1"/>
  <c r="R496" i="42689"/>
  <c r="Q490" i="42689"/>
  <c r="P490" i="42689"/>
  <c r="O490" i="42689"/>
  <c r="N490" i="42689"/>
  <c r="M490" i="42689"/>
  <c r="L490" i="42689"/>
  <c r="K490" i="42689"/>
  <c r="J490" i="42689"/>
  <c r="I490" i="42689"/>
  <c r="H490" i="42689"/>
  <c r="G490" i="42689"/>
  <c r="F490" i="42689"/>
  <c r="R487" i="42689"/>
  <c r="R486" i="42689"/>
  <c r="Q484" i="42689"/>
  <c r="Q824" i="42689" s="1"/>
  <c r="P484" i="42689"/>
  <c r="P824" i="42689" s="1"/>
  <c r="O484" i="42689"/>
  <c r="O824" i="42689" s="1"/>
  <c r="N484" i="42689"/>
  <c r="N824" i="42689" s="1"/>
  <c r="M484" i="42689"/>
  <c r="M824" i="42689" s="1"/>
  <c r="L484" i="42689"/>
  <c r="L824" i="42689" s="1"/>
  <c r="K484" i="42689"/>
  <c r="K824" i="42689" s="1"/>
  <c r="J484" i="42689"/>
  <c r="J824" i="42689" s="1"/>
  <c r="I484" i="42689"/>
  <c r="I824" i="42689" s="1"/>
  <c r="H484" i="42689"/>
  <c r="H824" i="42689" s="1"/>
  <c r="G484" i="42689"/>
  <c r="G824" i="42689" s="1"/>
  <c r="F484" i="42689"/>
  <c r="F824" i="42689" s="1"/>
  <c r="R824" i="42689" s="1"/>
  <c r="Q481" i="42689"/>
  <c r="P481" i="42689"/>
  <c r="O481" i="42689"/>
  <c r="N481" i="42689"/>
  <c r="M481" i="42689"/>
  <c r="L481" i="42689"/>
  <c r="K481" i="42689"/>
  <c r="J481" i="42689"/>
  <c r="I481" i="42689"/>
  <c r="H481" i="42689"/>
  <c r="G481" i="42689"/>
  <c r="F481" i="42689"/>
  <c r="Q480" i="42689"/>
  <c r="Q502" i="42689" s="1"/>
  <c r="P480" i="42689"/>
  <c r="P502" i="42689" s="1"/>
  <c r="O480" i="42689"/>
  <c r="O502" i="42689" s="1"/>
  <c r="N480" i="42689"/>
  <c r="N502" i="42689" s="1"/>
  <c r="M480" i="42689"/>
  <c r="M502" i="42689" s="1"/>
  <c r="L480" i="42689"/>
  <c r="L502" i="42689" s="1"/>
  <c r="K480" i="42689"/>
  <c r="K502" i="42689" s="1"/>
  <c r="J480" i="42689"/>
  <c r="J502" i="42689" s="1"/>
  <c r="I480" i="42689"/>
  <c r="I502" i="42689" s="1"/>
  <c r="H480" i="42689"/>
  <c r="H502" i="42689" s="1"/>
  <c r="G480" i="42689"/>
  <c r="G502" i="42689" s="1"/>
  <c r="F480" i="42689"/>
  <c r="F502" i="42689" s="1"/>
  <c r="R502" i="42689" s="1"/>
  <c r="Q479" i="42689"/>
  <c r="P479" i="42689"/>
  <c r="O479" i="42689"/>
  <c r="N479" i="42689"/>
  <c r="M479" i="42689"/>
  <c r="L479" i="42689"/>
  <c r="K479" i="42689"/>
  <c r="J479" i="42689"/>
  <c r="I479" i="42689"/>
  <c r="H479" i="42689"/>
  <c r="G479" i="42689"/>
  <c r="F479" i="42689"/>
  <c r="Q478" i="42689"/>
  <c r="P478" i="42689"/>
  <c r="O478" i="42689"/>
  <c r="N478" i="42689"/>
  <c r="M478" i="42689"/>
  <c r="L478" i="42689"/>
  <c r="K478" i="42689"/>
  <c r="J478" i="42689"/>
  <c r="I478" i="42689"/>
  <c r="H478" i="42689"/>
  <c r="G478" i="42689"/>
  <c r="F478" i="42689"/>
  <c r="Q477" i="42689"/>
  <c r="P477" i="42689"/>
  <c r="O477" i="42689"/>
  <c r="N477" i="42689"/>
  <c r="M477" i="42689"/>
  <c r="L477" i="42689"/>
  <c r="K477" i="42689"/>
  <c r="J477" i="42689"/>
  <c r="I477" i="42689"/>
  <c r="H477" i="42689"/>
  <c r="G477" i="42689"/>
  <c r="F477" i="42689"/>
  <c r="Q476" i="42689"/>
  <c r="Q497" i="42689" s="1"/>
  <c r="P476" i="42689"/>
  <c r="P497" i="42689" s="1"/>
  <c r="O476" i="42689"/>
  <c r="O497" i="42689" s="1"/>
  <c r="N476" i="42689"/>
  <c r="N497" i="42689" s="1"/>
  <c r="M476" i="42689"/>
  <c r="M497" i="42689" s="1"/>
  <c r="L476" i="42689"/>
  <c r="L497" i="42689" s="1"/>
  <c r="K476" i="42689"/>
  <c r="K497" i="42689" s="1"/>
  <c r="J476" i="42689"/>
  <c r="J497" i="42689" s="1"/>
  <c r="I476" i="42689"/>
  <c r="I497" i="42689" s="1"/>
  <c r="H476" i="42689"/>
  <c r="H497" i="42689" s="1"/>
  <c r="G476" i="42689"/>
  <c r="G497" i="42689" s="1"/>
  <c r="F476" i="42689"/>
  <c r="F497" i="42689" s="1"/>
  <c r="Q474" i="42689"/>
  <c r="Q494" i="42689" s="1"/>
  <c r="P474" i="42689"/>
  <c r="P494" i="42689" s="1"/>
  <c r="O474" i="42689"/>
  <c r="O494" i="42689" s="1"/>
  <c r="N474" i="42689"/>
  <c r="N494" i="42689" s="1"/>
  <c r="M474" i="42689"/>
  <c r="M494" i="42689" s="1"/>
  <c r="L474" i="42689"/>
  <c r="L494" i="42689" s="1"/>
  <c r="K474" i="42689"/>
  <c r="K494" i="42689" s="1"/>
  <c r="J474" i="42689"/>
  <c r="J494" i="42689" s="1"/>
  <c r="I474" i="42689"/>
  <c r="I494" i="42689" s="1"/>
  <c r="H474" i="42689"/>
  <c r="H494" i="42689" s="1"/>
  <c r="G474" i="42689"/>
  <c r="G494" i="42689" s="1"/>
  <c r="F474" i="42689"/>
  <c r="F494" i="42689" s="1"/>
  <c r="N466" i="42689"/>
  <c r="J466" i="42689"/>
  <c r="F466" i="42689"/>
  <c r="R457" i="42689"/>
  <c r="Q451" i="42689"/>
  <c r="P451" i="42689"/>
  <c r="O451" i="42689"/>
  <c r="N451" i="42689"/>
  <c r="M451" i="42689"/>
  <c r="L451" i="42689"/>
  <c r="K451" i="42689"/>
  <c r="J451" i="42689"/>
  <c r="I451" i="42689"/>
  <c r="H451" i="42689"/>
  <c r="G451" i="42689"/>
  <c r="F451" i="42689"/>
  <c r="R448" i="42689"/>
  <c r="R447" i="42689"/>
  <c r="Q445" i="42689"/>
  <c r="Q823" i="42689" s="1"/>
  <c r="P445" i="42689"/>
  <c r="P823" i="42689" s="1"/>
  <c r="O445" i="42689"/>
  <c r="O823" i="42689" s="1"/>
  <c r="N445" i="42689"/>
  <c r="N823" i="42689" s="1"/>
  <c r="M445" i="42689"/>
  <c r="M823" i="42689" s="1"/>
  <c r="L445" i="42689"/>
  <c r="L823" i="42689" s="1"/>
  <c r="K445" i="42689"/>
  <c r="K823" i="42689" s="1"/>
  <c r="J445" i="42689"/>
  <c r="J823" i="42689" s="1"/>
  <c r="I445" i="42689"/>
  <c r="I823" i="42689" s="1"/>
  <c r="H445" i="42689"/>
  <c r="H823" i="42689" s="1"/>
  <c r="G445" i="42689"/>
  <c r="G823" i="42689" s="1"/>
  <c r="F445" i="42689"/>
  <c r="F823" i="42689" s="1"/>
  <c r="Q442" i="42689"/>
  <c r="P442" i="42689"/>
  <c r="O442" i="42689"/>
  <c r="N442" i="42689"/>
  <c r="M442" i="42689"/>
  <c r="L442" i="42689"/>
  <c r="K442" i="42689"/>
  <c r="J442" i="42689"/>
  <c r="I442" i="42689"/>
  <c r="H442" i="42689"/>
  <c r="G442" i="42689"/>
  <c r="F442" i="42689"/>
  <c r="Q441" i="42689"/>
  <c r="P441" i="42689"/>
  <c r="O441" i="42689"/>
  <c r="N441" i="42689"/>
  <c r="M441" i="42689"/>
  <c r="L441" i="42689"/>
  <c r="K441" i="42689"/>
  <c r="J441" i="42689"/>
  <c r="I441" i="42689"/>
  <c r="H441" i="42689"/>
  <c r="G441" i="42689"/>
  <c r="F441" i="42689"/>
  <c r="Q440" i="42689"/>
  <c r="P440" i="42689"/>
  <c r="O440" i="42689"/>
  <c r="N440" i="42689"/>
  <c r="M440" i="42689"/>
  <c r="L440" i="42689"/>
  <c r="K440" i="42689"/>
  <c r="J440" i="42689"/>
  <c r="I440" i="42689"/>
  <c r="H440" i="42689"/>
  <c r="G440" i="42689"/>
  <c r="F440" i="42689"/>
  <c r="Q439" i="42689"/>
  <c r="Q464" i="42689" s="1"/>
  <c r="P439" i="42689"/>
  <c r="O439" i="42689"/>
  <c r="O464" i="42689" s="1"/>
  <c r="N439" i="42689"/>
  <c r="M439" i="42689"/>
  <c r="M464" i="42689" s="1"/>
  <c r="L439" i="42689"/>
  <c r="K439" i="42689"/>
  <c r="K464" i="42689" s="1"/>
  <c r="J439" i="42689"/>
  <c r="I439" i="42689"/>
  <c r="I464" i="42689" s="1"/>
  <c r="H439" i="42689"/>
  <c r="G439" i="42689"/>
  <c r="G464" i="42689" s="1"/>
  <c r="F439" i="42689"/>
  <c r="Q438" i="42689"/>
  <c r="Q463" i="42689" s="1"/>
  <c r="Q465" i="42689" s="1"/>
  <c r="P438" i="42689"/>
  <c r="P463" i="42689" s="1"/>
  <c r="O438" i="42689"/>
  <c r="O463" i="42689" s="1"/>
  <c r="O465" i="42689" s="1"/>
  <c r="N438" i="42689"/>
  <c r="N463" i="42689" s="1"/>
  <c r="M438" i="42689"/>
  <c r="M463" i="42689" s="1"/>
  <c r="M465" i="42689" s="1"/>
  <c r="L438" i="42689"/>
  <c r="L463" i="42689" s="1"/>
  <c r="K438" i="42689"/>
  <c r="K463" i="42689" s="1"/>
  <c r="K465" i="42689" s="1"/>
  <c r="J438" i="42689"/>
  <c r="J463" i="42689" s="1"/>
  <c r="I438" i="42689"/>
  <c r="I463" i="42689" s="1"/>
  <c r="I465" i="42689" s="1"/>
  <c r="H438" i="42689"/>
  <c r="H463" i="42689" s="1"/>
  <c r="G438" i="42689"/>
  <c r="G463" i="42689" s="1"/>
  <c r="G465" i="42689" s="1"/>
  <c r="F438" i="42689"/>
  <c r="F463" i="42689" s="1"/>
  <c r="Q436" i="42689"/>
  <c r="P436" i="42689"/>
  <c r="O436" i="42689"/>
  <c r="N436" i="42689"/>
  <c r="M436" i="42689"/>
  <c r="L436" i="42689"/>
  <c r="K436" i="42689"/>
  <c r="J436" i="42689"/>
  <c r="I436" i="42689"/>
  <c r="H436" i="42689"/>
  <c r="G436" i="42689"/>
  <c r="F436" i="42689"/>
  <c r="Q435" i="42689"/>
  <c r="P435" i="42689"/>
  <c r="O435" i="42689"/>
  <c r="N435" i="42689"/>
  <c r="M435" i="42689"/>
  <c r="L435" i="42689"/>
  <c r="K435" i="42689"/>
  <c r="J435" i="42689"/>
  <c r="I435" i="42689"/>
  <c r="H435" i="42689"/>
  <c r="G435" i="42689"/>
  <c r="F435" i="42689"/>
  <c r="Q434" i="42689"/>
  <c r="Q458" i="42689" s="1"/>
  <c r="P434" i="42689"/>
  <c r="P458" i="42689" s="1"/>
  <c r="O434" i="42689"/>
  <c r="O458" i="42689" s="1"/>
  <c r="N434" i="42689"/>
  <c r="N458" i="42689" s="1"/>
  <c r="M434" i="42689"/>
  <c r="M458" i="42689" s="1"/>
  <c r="L434" i="42689"/>
  <c r="L458" i="42689" s="1"/>
  <c r="K434" i="42689"/>
  <c r="K458" i="42689" s="1"/>
  <c r="J434" i="42689"/>
  <c r="J458" i="42689" s="1"/>
  <c r="I434" i="42689"/>
  <c r="I458" i="42689" s="1"/>
  <c r="H434" i="42689"/>
  <c r="H458" i="42689" s="1"/>
  <c r="G434" i="42689"/>
  <c r="G458" i="42689" s="1"/>
  <c r="F434" i="42689"/>
  <c r="F458" i="42689" s="1"/>
  <c r="Q432" i="42689"/>
  <c r="Q455" i="42689" s="1"/>
  <c r="P432" i="42689"/>
  <c r="P455" i="42689" s="1"/>
  <c r="O432" i="42689"/>
  <c r="O455" i="42689" s="1"/>
  <c r="N432" i="42689"/>
  <c r="N455" i="42689" s="1"/>
  <c r="M432" i="42689"/>
  <c r="M455" i="42689" s="1"/>
  <c r="L432" i="42689"/>
  <c r="L455" i="42689" s="1"/>
  <c r="K432" i="42689"/>
  <c r="K455" i="42689" s="1"/>
  <c r="J432" i="42689"/>
  <c r="J455" i="42689" s="1"/>
  <c r="I432" i="42689"/>
  <c r="I455" i="42689" s="1"/>
  <c r="H432" i="42689"/>
  <c r="H455" i="42689" s="1"/>
  <c r="G432" i="42689"/>
  <c r="G455" i="42689" s="1"/>
  <c r="F432" i="42689"/>
  <c r="F455" i="42689" s="1"/>
  <c r="Q419" i="42689"/>
  <c r="Q822" i="42689" s="1"/>
  <c r="P419" i="42689"/>
  <c r="P822" i="42689" s="1"/>
  <c r="O419" i="42689"/>
  <c r="O822" i="42689" s="1"/>
  <c r="N419" i="42689"/>
  <c r="N822" i="42689" s="1"/>
  <c r="M419" i="42689"/>
  <c r="M822" i="42689" s="1"/>
  <c r="L419" i="42689"/>
  <c r="L822" i="42689" s="1"/>
  <c r="K419" i="42689"/>
  <c r="K822" i="42689" s="1"/>
  <c r="J419" i="42689"/>
  <c r="J822" i="42689" s="1"/>
  <c r="I419" i="42689"/>
  <c r="I822" i="42689" s="1"/>
  <c r="H419" i="42689"/>
  <c r="H822" i="42689" s="1"/>
  <c r="G419" i="42689"/>
  <c r="G822" i="42689" s="1"/>
  <c r="F419" i="42689"/>
  <c r="F822" i="42689" s="1"/>
  <c r="Q416" i="42689"/>
  <c r="P416" i="42689"/>
  <c r="O416" i="42689"/>
  <c r="N416" i="42689"/>
  <c r="M416" i="42689"/>
  <c r="L416" i="42689"/>
  <c r="K416" i="42689"/>
  <c r="J416" i="42689"/>
  <c r="I416" i="42689"/>
  <c r="H416" i="42689"/>
  <c r="G416" i="42689"/>
  <c r="F416" i="42689"/>
  <c r="Q415" i="42689"/>
  <c r="P415" i="42689"/>
  <c r="O415" i="42689"/>
  <c r="N415" i="42689"/>
  <c r="M415" i="42689"/>
  <c r="L415" i="42689"/>
  <c r="K415" i="42689"/>
  <c r="J415" i="42689"/>
  <c r="I415" i="42689"/>
  <c r="H415" i="42689"/>
  <c r="G415" i="42689"/>
  <c r="F415" i="42689"/>
  <c r="Q414" i="42689"/>
  <c r="P414" i="42689"/>
  <c r="O414" i="42689"/>
  <c r="N414" i="42689"/>
  <c r="M414" i="42689"/>
  <c r="L414" i="42689"/>
  <c r="K414" i="42689"/>
  <c r="J414" i="42689"/>
  <c r="I414" i="42689"/>
  <c r="H414" i="42689"/>
  <c r="G414" i="42689"/>
  <c r="F414" i="42689"/>
  <c r="Q413" i="42689"/>
  <c r="Q423" i="42689" s="1"/>
  <c r="P413" i="42689"/>
  <c r="P423" i="42689" s="1"/>
  <c r="O413" i="42689"/>
  <c r="O423" i="42689" s="1"/>
  <c r="N413" i="42689"/>
  <c r="N423" i="42689" s="1"/>
  <c r="M413" i="42689"/>
  <c r="M423" i="42689" s="1"/>
  <c r="L413" i="42689"/>
  <c r="L423" i="42689" s="1"/>
  <c r="K413" i="42689"/>
  <c r="K423" i="42689" s="1"/>
  <c r="J413" i="42689"/>
  <c r="J423" i="42689" s="1"/>
  <c r="I413" i="42689"/>
  <c r="I423" i="42689" s="1"/>
  <c r="H413" i="42689"/>
  <c r="H423" i="42689" s="1"/>
  <c r="G413" i="42689"/>
  <c r="G423" i="42689" s="1"/>
  <c r="F413" i="42689"/>
  <c r="F423" i="42689" s="1"/>
  <c r="Q405" i="42689"/>
  <c r="P405" i="42689"/>
  <c r="O405" i="42689"/>
  <c r="N405" i="42689"/>
  <c r="M405" i="42689"/>
  <c r="L405" i="42689"/>
  <c r="K405" i="42689"/>
  <c r="J405" i="42689"/>
  <c r="I405" i="42689"/>
  <c r="H405" i="42689"/>
  <c r="G405" i="42689"/>
  <c r="F405" i="42689"/>
  <c r="Q396" i="42689"/>
  <c r="P396" i="42689"/>
  <c r="O396" i="42689"/>
  <c r="N396" i="42689"/>
  <c r="M396" i="42689"/>
  <c r="L396" i="42689"/>
  <c r="K396" i="42689"/>
  <c r="J396" i="42689"/>
  <c r="I396" i="42689"/>
  <c r="H396" i="42689"/>
  <c r="G396" i="42689"/>
  <c r="F396" i="42689"/>
  <c r="Q395" i="42689"/>
  <c r="P395" i="42689"/>
  <c r="O395" i="42689"/>
  <c r="N395" i="42689"/>
  <c r="M395" i="42689"/>
  <c r="L395" i="42689"/>
  <c r="K395" i="42689"/>
  <c r="J395" i="42689"/>
  <c r="I395" i="42689"/>
  <c r="H395" i="42689"/>
  <c r="G395" i="42689"/>
  <c r="F395" i="42689"/>
  <c r="Q394" i="42689"/>
  <c r="P394" i="42689"/>
  <c r="O394" i="42689"/>
  <c r="N394" i="42689"/>
  <c r="M394" i="42689"/>
  <c r="L394" i="42689"/>
  <c r="K394" i="42689"/>
  <c r="J394" i="42689"/>
  <c r="I394" i="42689"/>
  <c r="H394" i="42689"/>
  <c r="G394" i="42689"/>
  <c r="F394" i="42689"/>
  <c r="Q393" i="42689"/>
  <c r="P393" i="42689"/>
  <c r="O393" i="42689"/>
  <c r="N393" i="42689"/>
  <c r="M393" i="42689"/>
  <c r="L393" i="42689"/>
  <c r="K393" i="42689"/>
  <c r="J393" i="42689"/>
  <c r="I393" i="42689"/>
  <c r="H393" i="42689"/>
  <c r="G393" i="42689"/>
  <c r="F393" i="42689"/>
  <c r="Q392" i="42689"/>
  <c r="P392" i="42689"/>
  <c r="O392" i="42689"/>
  <c r="N392" i="42689"/>
  <c r="M392" i="42689"/>
  <c r="L392" i="42689"/>
  <c r="K392" i="42689"/>
  <c r="J392" i="42689"/>
  <c r="I392" i="42689"/>
  <c r="H392" i="42689"/>
  <c r="G392" i="42689"/>
  <c r="F392" i="42689"/>
  <c r="Q390" i="42689"/>
  <c r="M390" i="42689"/>
  <c r="I390" i="42689"/>
  <c r="Q386" i="42689"/>
  <c r="Q402" i="42689" s="1"/>
  <c r="P386" i="42689"/>
  <c r="O386" i="42689"/>
  <c r="O402" i="42689" s="1"/>
  <c r="N386" i="42689"/>
  <c r="M386" i="42689"/>
  <c r="M402" i="42689" s="1"/>
  <c r="L386" i="42689"/>
  <c r="K386" i="42689"/>
  <c r="K402" i="42689" s="1"/>
  <c r="J386" i="42689"/>
  <c r="I386" i="42689"/>
  <c r="I402" i="42689" s="1"/>
  <c r="H386" i="42689"/>
  <c r="G386" i="42689"/>
  <c r="G402" i="42689" s="1"/>
  <c r="F386" i="42689"/>
  <c r="R383" i="42689"/>
  <c r="R382" i="42689"/>
  <c r="R381" i="42689"/>
  <c r="R380" i="42689"/>
  <c r="R379" i="42689"/>
  <c r="Q377" i="42689"/>
  <c r="Q821" i="42689" s="1"/>
  <c r="Q841" i="42689" s="1"/>
  <c r="P377" i="42689"/>
  <c r="P821" i="42689" s="1"/>
  <c r="P841" i="42689" s="1"/>
  <c r="O377" i="42689"/>
  <c r="O821" i="42689" s="1"/>
  <c r="O841" i="42689" s="1"/>
  <c r="N377" i="42689"/>
  <c r="N821" i="42689" s="1"/>
  <c r="N841" i="42689" s="1"/>
  <c r="M377" i="42689"/>
  <c r="M821" i="42689" s="1"/>
  <c r="M841" i="42689" s="1"/>
  <c r="L377" i="42689"/>
  <c r="L821" i="42689" s="1"/>
  <c r="L841" i="42689" s="1"/>
  <c r="K377" i="42689"/>
  <c r="K821" i="42689" s="1"/>
  <c r="K841" i="42689" s="1"/>
  <c r="J377" i="42689"/>
  <c r="J821" i="42689" s="1"/>
  <c r="J841" i="42689" s="1"/>
  <c r="I377" i="42689"/>
  <c r="I821" i="42689" s="1"/>
  <c r="I841" i="42689" s="1"/>
  <c r="H377" i="42689"/>
  <c r="H821" i="42689" s="1"/>
  <c r="H841" i="42689" s="1"/>
  <c r="G377" i="42689"/>
  <c r="G821" i="42689" s="1"/>
  <c r="G841" i="42689" s="1"/>
  <c r="F377" i="42689"/>
  <c r="F821" i="42689" s="1"/>
  <c r="Q351" i="42689"/>
  <c r="P351" i="42689"/>
  <c r="O351" i="42689"/>
  <c r="N351" i="42689"/>
  <c r="M351" i="42689"/>
  <c r="L351" i="42689"/>
  <c r="K351" i="42689"/>
  <c r="J351" i="42689"/>
  <c r="I351" i="42689"/>
  <c r="H351" i="42689"/>
  <c r="G351" i="42689"/>
  <c r="F351" i="42689"/>
  <c r="O348" i="42689"/>
  <c r="K348" i="42689"/>
  <c r="G348" i="42689"/>
  <c r="Q342" i="42689"/>
  <c r="P342" i="42689"/>
  <c r="O342" i="42689"/>
  <c r="N342" i="42689"/>
  <c r="M342" i="42689"/>
  <c r="L342" i="42689"/>
  <c r="K342" i="42689"/>
  <c r="J342" i="42689"/>
  <c r="I342" i="42689"/>
  <c r="H342" i="42689"/>
  <c r="G342" i="42689"/>
  <c r="F342" i="42689"/>
  <c r="Q336" i="42689"/>
  <c r="Q348" i="42689" s="1"/>
  <c r="P336" i="42689"/>
  <c r="O336" i="42689"/>
  <c r="N336" i="42689"/>
  <c r="M336" i="42689"/>
  <c r="M348" i="42689" s="1"/>
  <c r="L336" i="42689"/>
  <c r="K336" i="42689"/>
  <c r="J336" i="42689"/>
  <c r="I336" i="42689"/>
  <c r="I348" i="42689" s="1"/>
  <c r="H336" i="42689"/>
  <c r="G336" i="42689"/>
  <c r="F336" i="42689"/>
  <c r="R333" i="42689"/>
  <c r="Q331" i="42689"/>
  <c r="Q820" i="42689" s="1"/>
  <c r="Q840" i="42689" s="1"/>
  <c r="P331" i="42689"/>
  <c r="P820" i="42689" s="1"/>
  <c r="P840" i="42689" s="1"/>
  <c r="O331" i="42689"/>
  <c r="O820" i="42689" s="1"/>
  <c r="O840" i="42689" s="1"/>
  <c r="N331" i="42689"/>
  <c r="N820" i="42689" s="1"/>
  <c r="N840" i="42689" s="1"/>
  <c r="M331" i="42689"/>
  <c r="M820" i="42689" s="1"/>
  <c r="M840" i="42689" s="1"/>
  <c r="L331" i="42689"/>
  <c r="L820" i="42689" s="1"/>
  <c r="L840" i="42689" s="1"/>
  <c r="K331" i="42689"/>
  <c r="K820" i="42689" s="1"/>
  <c r="K840" i="42689" s="1"/>
  <c r="J331" i="42689"/>
  <c r="J820" i="42689" s="1"/>
  <c r="J840" i="42689" s="1"/>
  <c r="I331" i="42689"/>
  <c r="I820" i="42689" s="1"/>
  <c r="I840" i="42689" s="1"/>
  <c r="H331" i="42689"/>
  <c r="H820" i="42689" s="1"/>
  <c r="H840" i="42689" s="1"/>
  <c r="G331" i="42689"/>
  <c r="G820" i="42689" s="1"/>
  <c r="G840" i="42689" s="1"/>
  <c r="F331" i="42689"/>
  <c r="F820" i="42689" s="1"/>
  <c r="Q309" i="42689"/>
  <c r="P309" i="42689"/>
  <c r="O309" i="42689"/>
  <c r="N309" i="42689"/>
  <c r="M309" i="42689"/>
  <c r="L309" i="42689"/>
  <c r="K309" i="42689"/>
  <c r="J309" i="42689"/>
  <c r="I309" i="42689"/>
  <c r="H309" i="42689"/>
  <c r="G309" i="42689"/>
  <c r="F309" i="42689"/>
  <c r="P307" i="42689"/>
  <c r="L307" i="42689"/>
  <c r="H307" i="42689"/>
  <c r="Q300" i="42689"/>
  <c r="P300" i="42689"/>
  <c r="O300" i="42689"/>
  <c r="N300" i="42689"/>
  <c r="M300" i="42689"/>
  <c r="L300" i="42689"/>
  <c r="K300" i="42689"/>
  <c r="J300" i="42689"/>
  <c r="I300" i="42689"/>
  <c r="H300" i="42689"/>
  <c r="G300" i="42689"/>
  <c r="F300" i="42689"/>
  <c r="Q299" i="42689"/>
  <c r="P299" i="42689"/>
  <c r="O299" i="42689"/>
  <c r="N299" i="42689"/>
  <c r="M299" i="42689"/>
  <c r="L299" i="42689"/>
  <c r="K299" i="42689"/>
  <c r="J299" i="42689"/>
  <c r="I299" i="42689"/>
  <c r="H299" i="42689"/>
  <c r="G299" i="42689"/>
  <c r="F299" i="42689"/>
  <c r="Q293" i="42689"/>
  <c r="P293" i="42689"/>
  <c r="O293" i="42689"/>
  <c r="N293" i="42689"/>
  <c r="N307" i="42689" s="1"/>
  <c r="M293" i="42689"/>
  <c r="L293" i="42689"/>
  <c r="K293" i="42689"/>
  <c r="J293" i="42689"/>
  <c r="J307" i="42689" s="1"/>
  <c r="I293" i="42689"/>
  <c r="H293" i="42689"/>
  <c r="G293" i="42689"/>
  <c r="F293" i="42689"/>
  <c r="F307" i="42689" s="1"/>
  <c r="R290" i="42689"/>
  <c r="R289" i="42689"/>
  <c r="Q287" i="42689"/>
  <c r="Q819" i="42689" s="1"/>
  <c r="Q839" i="42689" s="1"/>
  <c r="P287" i="42689"/>
  <c r="P819" i="42689" s="1"/>
  <c r="P839" i="42689" s="1"/>
  <c r="O287" i="42689"/>
  <c r="O819" i="42689" s="1"/>
  <c r="O839" i="42689" s="1"/>
  <c r="N287" i="42689"/>
  <c r="N819" i="42689" s="1"/>
  <c r="N839" i="42689" s="1"/>
  <c r="M287" i="42689"/>
  <c r="M819" i="42689" s="1"/>
  <c r="M839" i="42689" s="1"/>
  <c r="L287" i="42689"/>
  <c r="L819" i="42689" s="1"/>
  <c r="L839" i="42689" s="1"/>
  <c r="K287" i="42689"/>
  <c r="K819" i="42689" s="1"/>
  <c r="K839" i="42689" s="1"/>
  <c r="J287" i="42689"/>
  <c r="J819" i="42689" s="1"/>
  <c r="J839" i="42689" s="1"/>
  <c r="I287" i="42689"/>
  <c r="I819" i="42689" s="1"/>
  <c r="I839" i="42689" s="1"/>
  <c r="H287" i="42689"/>
  <c r="H819" i="42689" s="1"/>
  <c r="H839" i="42689" s="1"/>
  <c r="G287" i="42689"/>
  <c r="G819" i="42689" s="1"/>
  <c r="G839" i="42689" s="1"/>
  <c r="F287" i="42689"/>
  <c r="F819" i="42689" s="1"/>
  <c r="Q264" i="42689"/>
  <c r="Q898" i="42689" s="1"/>
  <c r="P264" i="42689"/>
  <c r="P898" i="42689" s="1"/>
  <c r="O264" i="42689"/>
  <c r="O898" i="42689" s="1"/>
  <c r="N264" i="42689"/>
  <c r="N898" i="42689" s="1"/>
  <c r="M264" i="42689"/>
  <c r="M898" i="42689" s="1"/>
  <c r="L264" i="42689"/>
  <c r="L898" i="42689" s="1"/>
  <c r="K264" i="42689"/>
  <c r="K898" i="42689" s="1"/>
  <c r="J264" i="42689"/>
  <c r="J898" i="42689" s="1"/>
  <c r="I264" i="42689"/>
  <c r="I898" i="42689" s="1"/>
  <c r="H264" i="42689"/>
  <c r="H898" i="42689" s="1"/>
  <c r="G264" i="42689"/>
  <c r="G898" i="42689" s="1"/>
  <c r="F264" i="42689"/>
  <c r="F898" i="42689" s="1"/>
  <c r="Q254" i="42689"/>
  <c r="P254" i="42689"/>
  <c r="O254" i="42689"/>
  <c r="N254" i="42689"/>
  <c r="M254" i="42689"/>
  <c r="L254" i="42689"/>
  <c r="K254" i="42689"/>
  <c r="J254" i="42689"/>
  <c r="I254" i="42689"/>
  <c r="H254" i="42689"/>
  <c r="G254" i="42689"/>
  <c r="F254" i="42689"/>
  <c r="Q249" i="42689"/>
  <c r="P249" i="42689"/>
  <c r="O249" i="42689"/>
  <c r="N249" i="42689"/>
  <c r="M249" i="42689"/>
  <c r="L249" i="42689"/>
  <c r="K249" i="42689"/>
  <c r="J249" i="42689"/>
  <c r="I249" i="42689"/>
  <c r="H249" i="42689"/>
  <c r="G249" i="42689"/>
  <c r="F249" i="42689"/>
  <c r="Q248" i="42689"/>
  <c r="P248" i="42689"/>
  <c r="O248" i="42689"/>
  <c r="N248" i="42689"/>
  <c r="M248" i="42689"/>
  <c r="L248" i="42689"/>
  <c r="K248" i="42689"/>
  <c r="J248" i="42689"/>
  <c r="I248" i="42689"/>
  <c r="H248" i="42689"/>
  <c r="G248" i="42689"/>
  <c r="F248" i="42689"/>
  <c r="Q247" i="42689"/>
  <c r="P247" i="42689"/>
  <c r="O247" i="42689"/>
  <c r="N247" i="42689"/>
  <c r="M247" i="42689"/>
  <c r="L247" i="42689"/>
  <c r="K247" i="42689"/>
  <c r="J247" i="42689"/>
  <c r="I247" i="42689"/>
  <c r="H247" i="42689"/>
  <c r="G247" i="42689"/>
  <c r="F247" i="42689"/>
  <c r="Q246" i="42689"/>
  <c r="P246" i="42689"/>
  <c r="O246" i="42689"/>
  <c r="N246" i="42689"/>
  <c r="M246" i="42689"/>
  <c r="L246" i="42689"/>
  <c r="K246" i="42689"/>
  <c r="J246" i="42689"/>
  <c r="I246" i="42689"/>
  <c r="H246" i="42689"/>
  <c r="G246" i="42689"/>
  <c r="F246" i="42689"/>
  <c r="Q245" i="42689"/>
  <c r="P245" i="42689"/>
  <c r="O245" i="42689"/>
  <c r="N245" i="42689"/>
  <c r="M245" i="42689"/>
  <c r="L245" i="42689"/>
  <c r="K245" i="42689"/>
  <c r="J245" i="42689"/>
  <c r="I245" i="42689"/>
  <c r="H245" i="42689"/>
  <c r="G245" i="42689"/>
  <c r="F245" i="42689"/>
  <c r="R244" i="42689"/>
  <c r="Q239" i="42689"/>
  <c r="P239" i="42689"/>
  <c r="P253" i="42689" s="1"/>
  <c r="O239" i="42689"/>
  <c r="N239" i="42689"/>
  <c r="N253" i="42689" s="1"/>
  <c r="M239" i="42689"/>
  <c r="L239" i="42689"/>
  <c r="L253" i="42689" s="1"/>
  <c r="K239" i="42689"/>
  <c r="J239" i="42689"/>
  <c r="J253" i="42689" s="1"/>
  <c r="I239" i="42689"/>
  <c r="H239" i="42689"/>
  <c r="H253" i="42689" s="1"/>
  <c r="G239" i="42689"/>
  <c r="F239" i="42689"/>
  <c r="F253" i="42689" s="1"/>
  <c r="R236" i="42689"/>
  <c r="R235" i="42689"/>
  <c r="R234" i="42689"/>
  <c r="R233" i="42689"/>
  <c r="R232" i="42689"/>
  <c r="R231" i="42689"/>
  <c r="Q230" i="42689"/>
  <c r="Q818" i="42689" s="1"/>
  <c r="Q845" i="42689" s="1"/>
  <c r="P230" i="42689"/>
  <c r="P818" i="42689" s="1"/>
  <c r="P845" i="42689" s="1"/>
  <c r="O230" i="42689"/>
  <c r="O818" i="42689" s="1"/>
  <c r="O845" i="42689" s="1"/>
  <c r="N230" i="42689"/>
  <c r="N818" i="42689" s="1"/>
  <c r="N845" i="42689" s="1"/>
  <c r="M230" i="42689"/>
  <c r="M818" i="42689" s="1"/>
  <c r="M845" i="42689" s="1"/>
  <c r="L230" i="42689"/>
  <c r="L818" i="42689" s="1"/>
  <c r="L845" i="42689" s="1"/>
  <c r="K230" i="42689"/>
  <c r="K818" i="42689" s="1"/>
  <c r="K845" i="42689" s="1"/>
  <c r="J230" i="42689"/>
  <c r="J818" i="42689" s="1"/>
  <c r="J845" i="42689" s="1"/>
  <c r="I230" i="42689"/>
  <c r="I818" i="42689" s="1"/>
  <c r="I845" i="42689" s="1"/>
  <c r="H230" i="42689"/>
  <c r="H818" i="42689" s="1"/>
  <c r="H845" i="42689" s="1"/>
  <c r="G230" i="42689"/>
  <c r="G818" i="42689" s="1"/>
  <c r="G845" i="42689" s="1"/>
  <c r="F230" i="42689"/>
  <c r="F818" i="42689" s="1"/>
  <c r="Q210" i="42689"/>
  <c r="P210" i="42689"/>
  <c r="O210" i="42689"/>
  <c r="N210" i="42689"/>
  <c r="M210" i="42689"/>
  <c r="L210" i="42689"/>
  <c r="K210" i="42689"/>
  <c r="J210" i="42689"/>
  <c r="I210" i="42689"/>
  <c r="H210" i="42689"/>
  <c r="G210" i="42689"/>
  <c r="F210" i="42689"/>
  <c r="Q205" i="42689"/>
  <c r="P205" i="42689"/>
  <c r="O205" i="42689"/>
  <c r="N205" i="42689"/>
  <c r="M205" i="42689"/>
  <c r="L205" i="42689"/>
  <c r="K205" i="42689"/>
  <c r="J205" i="42689"/>
  <c r="I205" i="42689"/>
  <c r="H205" i="42689"/>
  <c r="G205" i="42689"/>
  <c r="F205" i="42689"/>
  <c r="Q204" i="42689"/>
  <c r="P204" i="42689"/>
  <c r="O204" i="42689"/>
  <c r="N204" i="42689"/>
  <c r="M204" i="42689"/>
  <c r="L204" i="42689"/>
  <c r="K204" i="42689"/>
  <c r="J204" i="42689"/>
  <c r="I204" i="42689"/>
  <c r="H204" i="42689"/>
  <c r="G204" i="42689"/>
  <c r="F204" i="42689"/>
  <c r="R204" i="42689" s="1"/>
  <c r="Q198" i="42689"/>
  <c r="P198" i="42689"/>
  <c r="P209" i="42689" s="1"/>
  <c r="O198" i="42689"/>
  <c r="N198" i="42689"/>
  <c r="N209" i="42689" s="1"/>
  <c r="M198" i="42689"/>
  <c r="L198" i="42689"/>
  <c r="L209" i="42689" s="1"/>
  <c r="K198" i="42689"/>
  <c r="J198" i="42689"/>
  <c r="J209" i="42689" s="1"/>
  <c r="I198" i="42689"/>
  <c r="H198" i="42689"/>
  <c r="H209" i="42689" s="1"/>
  <c r="G198" i="42689"/>
  <c r="F198" i="42689"/>
  <c r="F209" i="42689" s="1"/>
  <c r="R195" i="42689"/>
  <c r="R194" i="42689"/>
  <c r="Q192" i="42689"/>
  <c r="Q817" i="42689" s="1"/>
  <c r="Q843" i="42689" s="1"/>
  <c r="P192" i="42689"/>
  <c r="P817" i="42689" s="1"/>
  <c r="P843" i="42689" s="1"/>
  <c r="O192" i="42689"/>
  <c r="O817" i="42689" s="1"/>
  <c r="O843" i="42689" s="1"/>
  <c r="N192" i="42689"/>
  <c r="N817" i="42689" s="1"/>
  <c r="N843" i="42689" s="1"/>
  <c r="M192" i="42689"/>
  <c r="M817" i="42689" s="1"/>
  <c r="M843" i="42689" s="1"/>
  <c r="L192" i="42689"/>
  <c r="L817" i="42689" s="1"/>
  <c r="L843" i="42689" s="1"/>
  <c r="K192" i="42689"/>
  <c r="K817" i="42689" s="1"/>
  <c r="K843" i="42689" s="1"/>
  <c r="J192" i="42689"/>
  <c r="J817" i="42689" s="1"/>
  <c r="J843" i="42689" s="1"/>
  <c r="I192" i="42689"/>
  <c r="I817" i="42689" s="1"/>
  <c r="I843" i="42689" s="1"/>
  <c r="H192" i="42689"/>
  <c r="H817" i="42689" s="1"/>
  <c r="H843" i="42689" s="1"/>
  <c r="G192" i="42689"/>
  <c r="G817" i="42689" s="1"/>
  <c r="G843" i="42689" s="1"/>
  <c r="F192" i="42689"/>
  <c r="F817" i="42689" s="1"/>
  <c r="N174" i="42689"/>
  <c r="J174" i="42689"/>
  <c r="F174" i="42689"/>
  <c r="Q169" i="42689"/>
  <c r="P169" i="42689"/>
  <c r="O169" i="42689"/>
  <c r="N169" i="42689"/>
  <c r="M169" i="42689"/>
  <c r="L169" i="42689"/>
  <c r="K169" i="42689"/>
  <c r="J169" i="42689"/>
  <c r="I169" i="42689"/>
  <c r="H169" i="42689"/>
  <c r="G169" i="42689"/>
  <c r="F169" i="42689"/>
  <c r="R168" i="42689"/>
  <c r="Q162" i="42689"/>
  <c r="P162" i="42689"/>
  <c r="P174" i="42689" s="1"/>
  <c r="O162" i="42689"/>
  <c r="N162" i="42689"/>
  <c r="M162" i="42689"/>
  <c r="L162" i="42689"/>
  <c r="L174" i="42689" s="1"/>
  <c r="K162" i="42689"/>
  <c r="J162" i="42689"/>
  <c r="I162" i="42689"/>
  <c r="H162" i="42689"/>
  <c r="H174" i="42689" s="1"/>
  <c r="G162" i="42689"/>
  <c r="F162" i="42689"/>
  <c r="R159" i="42689"/>
  <c r="R158" i="42689"/>
  <c r="Q156" i="42689"/>
  <c r="Q816" i="42689" s="1"/>
  <c r="Q842" i="42689" s="1"/>
  <c r="P156" i="42689"/>
  <c r="P816" i="42689" s="1"/>
  <c r="P842" i="42689" s="1"/>
  <c r="O156" i="42689"/>
  <c r="O816" i="42689" s="1"/>
  <c r="O842" i="42689" s="1"/>
  <c r="N156" i="42689"/>
  <c r="N816" i="42689" s="1"/>
  <c r="N842" i="42689" s="1"/>
  <c r="M156" i="42689"/>
  <c r="M816" i="42689" s="1"/>
  <c r="M842" i="42689" s="1"/>
  <c r="L156" i="42689"/>
  <c r="L816" i="42689" s="1"/>
  <c r="L842" i="42689" s="1"/>
  <c r="K156" i="42689"/>
  <c r="K816" i="42689" s="1"/>
  <c r="K842" i="42689" s="1"/>
  <c r="J156" i="42689"/>
  <c r="J816" i="42689" s="1"/>
  <c r="J842" i="42689" s="1"/>
  <c r="I156" i="42689"/>
  <c r="I816" i="42689" s="1"/>
  <c r="I842" i="42689" s="1"/>
  <c r="H156" i="42689"/>
  <c r="H816" i="42689" s="1"/>
  <c r="H842" i="42689" s="1"/>
  <c r="G156" i="42689"/>
  <c r="G816" i="42689" s="1"/>
  <c r="G842" i="42689" s="1"/>
  <c r="F156" i="42689"/>
  <c r="F816" i="42689" s="1"/>
  <c r="Q130" i="42689"/>
  <c r="P130" i="42689"/>
  <c r="O130" i="42689"/>
  <c r="N130" i="42689"/>
  <c r="M130" i="42689"/>
  <c r="L130" i="42689"/>
  <c r="K130" i="42689"/>
  <c r="J130" i="42689"/>
  <c r="I130" i="42689"/>
  <c r="H130" i="42689"/>
  <c r="G130" i="42689"/>
  <c r="F130" i="42689"/>
  <c r="P127" i="42689"/>
  <c r="L127" i="42689"/>
  <c r="H127" i="42689"/>
  <c r="Q123" i="42689"/>
  <c r="Q135" i="42689" s="1"/>
  <c r="P123" i="42689"/>
  <c r="O123" i="42689"/>
  <c r="O135" i="42689" s="1"/>
  <c r="N123" i="42689"/>
  <c r="M123" i="42689"/>
  <c r="M135" i="42689" s="1"/>
  <c r="L123" i="42689"/>
  <c r="K123" i="42689"/>
  <c r="K135" i="42689" s="1"/>
  <c r="J123" i="42689"/>
  <c r="I123" i="42689"/>
  <c r="I135" i="42689" s="1"/>
  <c r="H123" i="42689"/>
  <c r="G123" i="42689"/>
  <c r="G135" i="42689" s="1"/>
  <c r="F123" i="42689"/>
  <c r="R120" i="42689"/>
  <c r="R119" i="42689"/>
  <c r="Q117" i="42689"/>
  <c r="Q815" i="42689" s="1"/>
  <c r="Q838" i="42689" s="1"/>
  <c r="P117" i="42689"/>
  <c r="P815" i="42689" s="1"/>
  <c r="P838" i="42689" s="1"/>
  <c r="O117" i="42689"/>
  <c r="O815" i="42689" s="1"/>
  <c r="O838" i="42689" s="1"/>
  <c r="N117" i="42689"/>
  <c r="N815" i="42689" s="1"/>
  <c r="N838" i="42689" s="1"/>
  <c r="M117" i="42689"/>
  <c r="M815" i="42689" s="1"/>
  <c r="M838" i="42689" s="1"/>
  <c r="L117" i="42689"/>
  <c r="L815" i="42689" s="1"/>
  <c r="L838" i="42689" s="1"/>
  <c r="K117" i="42689"/>
  <c r="K815" i="42689" s="1"/>
  <c r="K838" i="42689" s="1"/>
  <c r="J117" i="42689"/>
  <c r="J815" i="42689" s="1"/>
  <c r="J838" i="42689" s="1"/>
  <c r="I117" i="42689"/>
  <c r="I815" i="42689" s="1"/>
  <c r="I838" i="42689" s="1"/>
  <c r="H117" i="42689"/>
  <c r="H815" i="42689" s="1"/>
  <c r="H838" i="42689" s="1"/>
  <c r="G117" i="42689"/>
  <c r="G815" i="42689" s="1"/>
  <c r="G838" i="42689" s="1"/>
  <c r="F117" i="42689"/>
  <c r="F815" i="42689" s="1"/>
  <c r="Q91" i="42689"/>
  <c r="Q814" i="42689" s="1"/>
  <c r="Q837" i="42689" s="1"/>
  <c r="P91" i="42689"/>
  <c r="P814" i="42689" s="1"/>
  <c r="P837" i="42689" s="1"/>
  <c r="O91" i="42689"/>
  <c r="O814" i="42689" s="1"/>
  <c r="O837" i="42689" s="1"/>
  <c r="N91" i="42689"/>
  <c r="N814" i="42689" s="1"/>
  <c r="N837" i="42689" s="1"/>
  <c r="M91" i="42689"/>
  <c r="M814" i="42689" s="1"/>
  <c r="M837" i="42689" s="1"/>
  <c r="L91" i="42689"/>
  <c r="L814" i="42689" s="1"/>
  <c r="L837" i="42689" s="1"/>
  <c r="K91" i="42689"/>
  <c r="K814" i="42689" s="1"/>
  <c r="K837" i="42689" s="1"/>
  <c r="J91" i="42689"/>
  <c r="J814" i="42689" s="1"/>
  <c r="J837" i="42689" s="1"/>
  <c r="I91" i="42689"/>
  <c r="I814" i="42689" s="1"/>
  <c r="I837" i="42689" s="1"/>
  <c r="H91" i="42689"/>
  <c r="H814" i="42689" s="1"/>
  <c r="H837" i="42689" s="1"/>
  <c r="G91" i="42689"/>
  <c r="G814" i="42689" s="1"/>
  <c r="G837" i="42689" s="1"/>
  <c r="F91" i="42689"/>
  <c r="F814" i="42689" s="1"/>
  <c r="Q78" i="42689"/>
  <c r="Q897" i="42689" s="1"/>
  <c r="P78" i="42689"/>
  <c r="P897" i="42689" s="1"/>
  <c r="O78" i="42689"/>
  <c r="O897" i="42689" s="1"/>
  <c r="N78" i="42689"/>
  <c r="N897" i="42689" s="1"/>
  <c r="M78" i="42689"/>
  <c r="M897" i="42689" s="1"/>
  <c r="L78" i="42689"/>
  <c r="L897" i="42689" s="1"/>
  <c r="K78" i="42689"/>
  <c r="K897" i="42689" s="1"/>
  <c r="J78" i="42689"/>
  <c r="J897" i="42689" s="1"/>
  <c r="I78" i="42689"/>
  <c r="I897" i="42689" s="1"/>
  <c r="H78" i="42689"/>
  <c r="H897" i="42689" s="1"/>
  <c r="G78" i="42689"/>
  <c r="G897" i="42689" s="1"/>
  <c r="F78" i="42689"/>
  <c r="F897" i="42689" s="1"/>
  <c r="Q62" i="42689"/>
  <c r="Q813" i="42689" s="1"/>
  <c r="Q836" i="42689" s="1"/>
  <c r="P62" i="42689"/>
  <c r="P813" i="42689" s="1"/>
  <c r="P836" i="42689" s="1"/>
  <c r="O62" i="42689"/>
  <c r="O813" i="42689" s="1"/>
  <c r="O836" i="42689" s="1"/>
  <c r="N62" i="42689"/>
  <c r="N813" i="42689" s="1"/>
  <c r="N836" i="42689" s="1"/>
  <c r="M62" i="42689"/>
  <c r="M813" i="42689" s="1"/>
  <c r="M836" i="42689" s="1"/>
  <c r="L62" i="42689"/>
  <c r="L813" i="42689" s="1"/>
  <c r="L836" i="42689" s="1"/>
  <c r="K62" i="42689"/>
  <c r="K813" i="42689" s="1"/>
  <c r="K836" i="42689" s="1"/>
  <c r="J62" i="42689"/>
  <c r="J813" i="42689" s="1"/>
  <c r="J836" i="42689" s="1"/>
  <c r="I62" i="42689"/>
  <c r="I813" i="42689" s="1"/>
  <c r="I836" i="42689" s="1"/>
  <c r="H62" i="42689"/>
  <c r="H813" i="42689" s="1"/>
  <c r="H836" i="42689" s="1"/>
  <c r="G62" i="42689"/>
  <c r="G813" i="42689" s="1"/>
  <c r="G836" i="42689" s="1"/>
  <c r="F62" i="42689"/>
  <c r="F813" i="42689" s="1"/>
  <c r="Q44" i="42689"/>
  <c r="Q812" i="42689" s="1"/>
  <c r="P44" i="42689"/>
  <c r="P812" i="42689" s="1"/>
  <c r="O44" i="42689"/>
  <c r="O812" i="42689" s="1"/>
  <c r="N44" i="42689"/>
  <c r="N812" i="42689" s="1"/>
  <c r="M44" i="42689"/>
  <c r="M812" i="42689" s="1"/>
  <c r="L44" i="42689"/>
  <c r="L812" i="42689" s="1"/>
  <c r="K44" i="42689"/>
  <c r="K812" i="42689" s="1"/>
  <c r="J44" i="42689"/>
  <c r="J812" i="42689" s="1"/>
  <c r="I44" i="42689"/>
  <c r="I812" i="42689" s="1"/>
  <c r="H44" i="42689"/>
  <c r="H812" i="42689" s="1"/>
  <c r="G44" i="42689"/>
  <c r="G812" i="42689" s="1"/>
  <c r="F44" i="42689"/>
  <c r="F812" i="42689" s="1"/>
  <c r="Q20" i="42689"/>
  <c r="Q29" i="42689" s="1"/>
  <c r="P20" i="42689"/>
  <c r="P29" i="42689" s="1"/>
  <c r="O20" i="42689"/>
  <c r="O29" i="42689" s="1"/>
  <c r="N20" i="42689"/>
  <c r="N29" i="42689" s="1"/>
  <c r="M20" i="42689"/>
  <c r="M29" i="42689" s="1"/>
  <c r="L20" i="42689"/>
  <c r="L29" i="42689" s="1"/>
  <c r="K20" i="42689"/>
  <c r="K29" i="42689" s="1"/>
  <c r="J20" i="42689"/>
  <c r="J29" i="42689" s="1"/>
  <c r="I20" i="42689"/>
  <c r="I29" i="42689" s="1"/>
  <c r="H20" i="42689"/>
  <c r="H29" i="42689" s="1"/>
  <c r="G20" i="42689"/>
  <c r="G29" i="42689" s="1"/>
  <c r="F20" i="42689"/>
  <c r="F29" i="42689" s="1"/>
  <c r="Q19" i="42689"/>
  <c r="Q28" i="42689" s="1"/>
  <c r="P19" i="42689"/>
  <c r="P28" i="42689" s="1"/>
  <c r="O19" i="42689"/>
  <c r="O28" i="42689" s="1"/>
  <c r="N19" i="42689"/>
  <c r="N28" i="42689" s="1"/>
  <c r="M19" i="42689"/>
  <c r="M28" i="42689" s="1"/>
  <c r="L19" i="42689"/>
  <c r="L28" i="42689" s="1"/>
  <c r="K19" i="42689"/>
  <c r="K28" i="42689" s="1"/>
  <c r="J19" i="42689"/>
  <c r="J28" i="42689" s="1"/>
  <c r="I19" i="42689"/>
  <c r="I28" i="42689" s="1"/>
  <c r="H19" i="42689"/>
  <c r="H28" i="42689" s="1"/>
  <c r="G19" i="42689"/>
  <c r="G28" i="42689" s="1"/>
  <c r="F19" i="42689"/>
  <c r="F28" i="42689" s="1"/>
  <c r="Q18" i="42689"/>
  <c r="Q21" i="42689" s="1"/>
  <c r="P18" i="42689"/>
  <c r="P27" i="42689" s="1"/>
  <c r="P30" i="42689" s="1"/>
  <c r="O18" i="42689"/>
  <c r="O21" i="42689" s="1"/>
  <c r="N18" i="42689"/>
  <c r="N27" i="42689" s="1"/>
  <c r="N30" i="42689" s="1"/>
  <c r="M18" i="42689"/>
  <c r="M21" i="42689" s="1"/>
  <c r="L18" i="42689"/>
  <c r="L27" i="42689" s="1"/>
  <c r="L30" i="42689" s="1"/>
  <c r="K18" i="42689"/>
  <c r="K21" i="42689" s="1"/>
  <c r="J18" i="42689"/>
  <c r="J27" i="42689" s="1"/>
  <c r="J30" i="42689" s="1"/>
  <c r="I18" i="42689"/>
  <c r="I21" i="42689" s="1"/>
  <c r="H18" i="42689"/>
  <c r="H27" i="42689" s="1"/>
  <c r="H30" i="42689" s="1"/>
  <c r="G18" i="42689"/>
  <c r="G21" i="42689" s="1"/>
  <c r="F18" i="42689"/>
  <c r="F27" i="42689" s="1"/>
  <c r="Q6" i="42689"/>
  <c r="P6" i="42689"/>
  <c r="O6" i="42689"/>
  <c r="N6" i="42689"/>
  <c r="M6" i="42689"/>
  <c r="L6" i="42689"/>
  <c r="K6" i="42689"/>
  <c r="J6" i="42689"/>
  <c r="I6" i="42689"/>
  <c r="H6" i="42689"/>
  <c r="G6" i="42689"/>
  <c r="F6" i="42689"/>
  <c r="B4" i="42689"/>
  <c r="B2" i="42689"/>
  <c r="B1" i="42689"/>
  <c r="M48" i="42688"/>
  <c r="L48" i="42688"/>
  <c r="K48" i="42688"/>
  <c r="J48" i="42688"/>
  <c r="I48" i="42688"/>
  <c r="H48" i="42688"/>
  <c r="G48" i="42688"/>
  <c r="F48" i="42688"/>
  <c r="E48" i="42688"/>
  <c r="D48" i="42688"/>
  <c r="C48" i="42688"/>
  <c r="B48" i="42688"/>
  <c r="M47" i="42688"/>
  <c r="L47" i="42688"/>
  <c r="K47" i="42688"/>
  <c r="J47" i="42688"/>
  <c r="I47" i="42688"/>
  <c r="H47" i="42688"/>
  <c r="G47" i="42688"/>
  <c r="F47" i="42688"/>
  <c r="E47" i="42688"/>
  <c r="D47" i="42688"/>
  <c r="C47" i="42688"/>
  <c r="B47" i="42688"/>
  <c r="M46" i="42688"/>
  <c r="L46" i="42688"/>
  <c r="K46" i="42688"/>
  <c r="J46" i="42688"/>
  <c r="I46" i="42688"/>
  <c r="H46" i="42688"/>
  <c r="G46" i="42688"/>
  <c r="F46" i="42688"/>
  <c r="E46" i="42688"/>
  <c r="D46" i="42688"/>
  <c r="C46" i="42688"/>
  <c r="B46" i="42688"/>
  <c r="M45" i="42688"/>
  <c r="L45" i="42688"/>
  <c r="K45" i="42688"/>
  <c r="J45" i="42688"/>
  <c r="I45" i="42688"/>
  <c r="H45" i="42688"/>
  <c r="G45" i="42688"/>
  <c r="F45" i="42688"/>
  <c r="E45" i="42688"/>
  <c r="D45" i="42688"/>
  <c r="C45" i="42688"/>
  <c r="B45" i="42688"/>
  <c r="M44" i="42688"/>
  <c r="L44" i="42688"/>
  <c r="K44" i="42688"/>
  <c r="J44" i="42688"/>
  <c r="I44" i="42688"/>
  <c r="H44" i="42688"/>
  <c r="G44" i="42688"/>
  <c r="F44" i="42688"/>
  <c r="E44" i="42688"/>
  <c r="D44" i="42688"/>
  <c r="C44" i="42688"/>
  <c r="B44" i="42688"/>
  <c r="M43" i="42688"/>
  <c r="L43" i="42688"/>
  <c r="K43" i="42688"/>
  <c r="J43" i="42688"/>
  <c r="I43" i="42688"/>
  <c r="H43" i="42688"/>
  <c r="G43" i="42688"/>
  <c r="F43" i="42688"/>
  <c r="E43" i="42688"/>
  <c r="D43" i="42688"/>
  <c r="C43" i="42688"/>
  <c r="B43" i="42688"/>
  <c r="M42" i="42688"/>
  <c r="L42" i="42688"/>
  <c r="K42" i="42688"/>
  <c r="J42" i="42688"/>
  <c r="I42" i="42688"/>
  <c r="H42" i="42688"/>
  <c r="G42" i="42688"/>
  <c r="F42" i="42688"/>
  <c r="E42" i="42688"/>
  <c r="D42" i="42688"/>
  <c r="C42" i="42688"/>
  <c r="B42" i="42688"/>
  <c r="M41" i="42688"/>
  <c r="L41" i="42688"/>
  <c r="K41" i="42688"/>
  <c r="J41" i="42688"/>
  <c r="I41" i="42688"/>
  <c r="H41" i="42688"/>
  <c r="G41" i="42688"/>
  <c r="F41" i="42688"/>
  <c r="E41" i="42688"/>
  <c r="D41" i="42688"/>
  <c r="C41" i="42688"/>
  <c r="B41" i="42688"/>
  <c r="M40" i="42688"/>
  <c r="L40" i="42688"/>
  <c r="K40" i="42688"/>
  <c r="J40" i="42688"/>
  <c r="I40" i="42688"/>
  <c r="H40" i="42688"/>
  <c r="G40" i="42688"/>
  <c r="F40" i="42688"/>
  <c r="E40" i="42688"/>
  <c r="D40" i="42688"/>
  <c r="C40" i="42688"/>
  <c r="B40" i="42688"/>
  <c r="M39" i="42688"/>
  <c r="L39" i="42688"/>
  <c r="K39" i="42688"/>
  <c r="J39" i="42688"/>
  <c r="I39" i="42688"/>
  <c r="H39" i="42688"/>
  <c r="G39" i="42688"/>
  <c r="F39" i="42688"/>
  <c r="E39" i="42688"/>
  <c r="D39" i="42688"/>
  <c r="C39" i="42688"/>
  <c r="B39" i="42688"/>
  <c r="M38" i="42688"/>
  <c r="M49" i="42688" s="1"/>
  <c r="L38" i="42688"/>
  <c r="L49" i="42688" s="1"/>
  <c r="K38" i="42688"/>
  <c r="K49" i="42688" s="1"/>
  <c r="J38" i="42688"/>
  <c r="J49" i="42688" s="1"/>
  <c r="I38" i="42688"/>
  <c r="I49" i="42688" s="1"/>
  <c r="H38" i="42688"/>
  <c r="H49" i="42688" s="1"/>
  <c r="G38" i="42688"/>
  <c r="G49" i="42688" s="1"/>
  <c r="F38" i="42688"/>
  <c r="F49" i="42688" s="1"/>
  <c r="E38" i="42688"/>
  <c r="E49" i="42688" s="1"/>
  <c r="D38" i="42688"/>
  <c r="D49" i="42688" s="1"/>
  <c r="C38" i="42688"/>
  <c r="C49" i="42688" s="1"/>
  <c r="B38" i="42688"/>
  <c r="B49" i="42688" s="1"/>
  <c r="N32" i="42688"/>
  <c r="M31" i="42688"/>
  <c r="M34" i="42688" s="1"/>
  <c r="L31" i="42688"/>
  <c r="L33" i="42688" s="1"/>
  <c r="K31" i="42688"/>
  <c r="K34" i="42688" s="1"/>
  <c r="J31" i="42688"/>
  <c r="J33" i="42688" s="1"/>
  <c r="I31" i="42688"/>
  <c r="I34" i="42688" s="1"/>
  <c r="H31" i="42688"/>
  <c r="H33" i="42688" s="1"/>
  <c r="G31" i="42688"/>
  <c r="G34" i="42688" s="1"/>
  <c r="F31" i="42688"/>
  <c r="F33" i="42688" s="1"/>
  <c r="E31" i="42688"/>
  <c r="E34" i="42688" s="1"/>
  <c r="D31" i="42688"/>
  <c r="D33" i="42688" s="1"/>
  <c r="C31" i="42688"/>
  <c r="C34" i="42688" s="1"/>
  <c r="B31" i="42688"/>
  <c r="B33" i="42688" s="1"/>
  <c r="N30" i="42688"/>
  <c r="O30" i="42688" s="1"/>
  <c r="O48" i="42688" s="1"/>
  <c r="N29" i="42688"/>
  <c r="O29" i="42688" s="1"/>
  <c r="N28" i="42688"/>
  <c r="O28" i="42688" s="1"/>
  <c r="N27" i="42688"/>
  <c r="O27" i="42688" s="1"/>
  <c r="N26" i="42688"/>
  <c r="O26" i="42688" s="1"/>
  <c r="O46" i="42688" s="1"/>
  <c r="N25" i="42688"/>
  <c r="O25" i="42688" s="1"/>
  <c r="N24" i="42688"/>
  <c r="O24" i="42688" s="1"/>
  <c r="N23" i="42688"/>
  <c r="O23" i="42688" s="1"/>
  <c r="N22" i="42688"/>
  <c r="O22" i="42688" s="1"/>
  <c r="N21" i="42688"/>
  <c r="O21" i="42688" s="1"/>
  <c r="N20" i="42688"/>
  <c r="O20" i="42688" s="1"/>
  <c r="N19" i="42688"/>
  <c r="O19" i="42688" s="1"/>
  <c r="N18" i="42688"/>
  <c r="O18" i="42688" s="1"/>
  <c r="N17" i="42688"/>
  <c r="O17" i="42688" s="1"/>
  <c r="N16" i="42688"/>
  <c r="O16" i="42688" s="1"/>
  <c r="O43" i="42688" s="1"/>
  <c r="N15" i="42688"/>
  <c r="O15" i="42688" s="1"/>
  <c r="O42" i="42688" s="1"/>
  <c r="N14" i="42688"/>
  <c r="O14" i="42688" s="1"/>
  <c r="O45" i="42688" s="1"/>
  <c r="N13" i="42688"/>
  <c r="O13" i="42688" s="1"/>
  <c r="O41" i="42688" s="1"/>
  <c r="N12" i="42688"/>
  <c r="O12" i="42688" s="1"/>
  <c r="N11" i="42688"/>
  <c r="O11" i="42688" s="1"/>
  <c r="O44" i="42688" s="1"/>
  <c r="N10" i="42688"/>
  <c r="O10" i="42688" s="1"/>
  <c r="O40" i="42688" s="1"/>
  <c r="N9" i="42688"/>
  <c r="O9" i="42688" s="1"/>
  <c r="N8" i="42688"/>
  <c r="O8" i="42688" s="1"/>
  <c r="N7" i="42688"/>
  <c r="O7" i="42688" s="1"/>
  <c r="N6" i="42688"/>
  <c r="O6" i="42688" s="1"/>
  <c r="M5" i="42688"/>
  <c r="L5" i="42688"/>
  <c r="K5" i="42688"/>
  <c r="J5" i="42688"/>
  <c r="I5" i="42688"/>
  <c r="H5" i="42688"/>
  <c r="G5" i="42688"/>
  <c r="F5" i="42688"/>
  <c r="E5" i="42688"/>
  <c r="D5" i="42688"/>
  <c r="C5" i="42688"/>
  <c r="B5" i="42688"/>
  <c r="A2" i="42688"/>
  <c r="Q75" i="42687"/>
  <c r="Q82" i="42687" s="1"/>
  <c r="P75" i="42687"/>
  <c r="P82" i="42687" s="1"/>
  <c r="O75" i="42687"/>
  <c r="O82" i="42687" s="1"/>
  <c r="N75" i="42687"/>
  <c r="N82" i="42687" s="1"/>
  <c r="M75" i="42687"/>
  <c r="M82" i="42687" s="1"/>
  <c r="L75" i="42687"/>
  <c r="L82" i="42687" s="1"/>
  <c r="K75" i="42687"/>
  <c r="K82" i="42687" s="1"/>
  <c r="J75" i="42687"/>
  <c r="J82" i="42687" s="1"/>
  <c r="I75" i="42687"/>
  <c r="I82" i="42687" s="1"/>
  <c r="H75" i="42687"/>
  <c r="H82" i="42687" s="1"/>
  <c r="G75" i="42687"/>
  <c r="G82" i="42687" s="1"/>
  <c r="F75" i="42687"/>
  <c r="F82" i="42687" s="1"/>
  <c r="Q74" i="42687"/>
  <c r="Q81" i="42687" s="1"/>
  <c r="P74" i="42687"/>
  <c r="P81" i="42687" s="1"/>
  <c r="O74" i="42687"/>
  <c r="O81" i="42687" s="1"/>
  <c r="N74" i="42687"/>
  <c r="N81" i="42687" s="1"/>
  <c r="M74" i="42687"/>
  <c r="M81" i="42687" s="1"/>
  <c r="L74" i="42687"/>
  <c r="L81" i="42687" s="1"/>
  <c r="K74" i="42687"/>
  <c r="K81" i="42687" s="1"/>
  <c r="J74" i="42687"/>
  <c r="J81" i="42687" s="1"/>
  <c r="I74" i="42687"/>
  <c r="I81" i="42687" s="1"/>
  <c r="H74" i="42687"/>
  <c r="H81" i="42687" s="1"/>
  <c r="G74" i="42687"/>
  <c r="G81" i="42687" s="1"/>
  <c r="F74" i="42687"/>
  <c r="F81" i="42687" s="1"/>
  <c r="Q73" i="42687"/>
  <c r="Q80" i="42687" s="1"/>
  <c r="P73" i="42687"/>
  <c r="P80" i="42687" s="1"/>
  <c r="O73" i="42687"/>
  <c r="O80" i="42687" s="1"/>
  <c r="N73" i="42687"/>
  <c r="N80" i="42687" s="1"/>
  <c r="M73" i="42687"/>
  <c r="M80" i="42687" s="1"/>
  <c r="L73" i="42687"/>
  <c r="L80" i="42687" s="1"/>
  <c r="K73" i="42687"/>
  <c r="K80" i="42687" s="1"/>
  <c r="J73" i="42687"/>
  <c r="J80" i="42687" s="1"/>
  <c r="I73" i="42687"/>
  <c r="I80" i="42687" s="1"/>
  <c r="H73" i="42687"/>
  <c r="H80" i="42687" s="1"/>
  <c r="G73" i="42687"/>
  <c r="G80" i="42687" s="1"/>
  <c r="F73" i="42687"/>
  <c r="F80" i="42687" s="1"/>
  <c r="Q72" i="42687"/>
  <c r="Q76" i="42687" s="1"/>
  <c r="Q89" i="42687" s="1"/>
  <c r="P72" i="42687"/>
  <c r="P79" i="42687" s="1"/>
  <c r="P83" i="42687" s="1"/>
  <c r="P95" i="42687" s="1"/>
  <c r="O72" i="42687"/>
  <c r="O76" i="42687" s="1"/>
  <c r="O89" i="42687" s="1"/>
  <c r="N72" i="42687"/>
  <c r="N79" i="42687" s="1"/>
  <c r="N83" i="42687" s="1"/>
  <c r="N95" i="42687" s="1"/>
  <c r="M72" i="42687"/>
  <c r="M76" i="42687" s="1"/>
  <c r="M89" i="42687" s="1"/>
  <c r="L72" i="42687"/>
  <c r="L79" i="42687" s="1"/>
  <c r="L83" i="42687" s="1"/>
  <c r="L95" i="42687" s="1"/>
  <c r="K72" i="42687"/>
  <c r="K76" i="42687" s="1"/>
  <c r="K89" i="42687" s="1"/>
  <c r="J72" i="42687"/>
  <c r="J79" i="42687" s="1"/>
  <c r="J83" i="42687" s="1"/>
  <c r="J95" i="42687" s="1"/>
  <c r="I72" i="42687"/>
  <c r="I76" i="42687" s="1"/>
  <c r="I89" i="42687" s="1"/>
  <c r="H72" i="42687"/>
  <c r="H79" i="42687" s="1"/>
  <c r="H83" i="42687" s="1"/>
  <c r="H95" i="42687" s="1"/>
  <c r="G72" i="42687"/>
  <c r="G76" i="42687" s="1"/>
  <c r="G89" i="42687" s="1"/>
  <c r="F72" i="42687"/>
  <c r="F79" i="42687" s="1"/>
  <c r="Q51" i="42687"/>
  <c r="Q61" i="42687" s="1"/>
  <c r="P51" i="42687"/>
  <c r="P61" i="42687" s="1"/>
  <c r="O51" i="42687"/>
  <c r="O61" i="42687" s="1"/>
  <c r="N51" i="42687"/>
  <c r="N61" i="42687" s="1"/>
  <c r="M51" i="42687"/>
  <c r="M61" i="42687" s="1"/>
  <c r="L51" i="42687"/>
  <c r="L61" i="42687" s="1"/>
  <c r="K51" i="42687"/>
  <c r="K61" i="42687" s="1"/>
  <c r="J51" i="42687"/>
  <c r="J61" i="42687" s="1"/>
  <c r="I51" i="42687"/>
  <c r="I61" i="42687" s="1"/>
  <c r="H51" i="42687"/>
  <c r="H61" i="42687" s="1"/>
  <c r="G51" i="42687"/>
  <c r="G61" i="42687" s="1"/>
  <c r="F51" i="42687"/>
  <c r="F61" i="42687" s="1"/>
  <c r="Q50" i="42687"/>
  <c r="Q60" i="42687" s="1"/>
  <c r="P50" i="42687"/>
  <c r="P60" i="42687" s="1"/>
  <c r="O50" i="42687"/>
  <c r="O60" i="42687" s="1"/>
  <c r="N50" i="42687"/>
  <c r="N60" i="42687" s="1"/>
  <c r="M50" i="42687"/>
  <c r="M60" i="42687" s="1"/>
  <c r="L50" i="42687"/>
  <c r="L60" i="42687" s="1"/>
  <c r="K50" i="42687"/>
  <c r="K60" i="42687" s="1"/>
  <c r="J50" i="42687"/>
  <c r="J60" i="42687" s="1"/>
  <c r="I50" i="42687"/>
  <c r="I60" i="42687" s="1"/>
  <c r="H50" i="42687"/>
  <c r="H60" i="42687" s="1"/>
  <c r="G50" i="42687"/>
  <c r="G60" i="42687" s="1"/>
  <c r="F50" i="42687"/>
  <c r="Q49" i="42687"/>
  <c r="Q59" i="42687" s="1"/>
  <c r="P49" i="42687"/>
  <c r="P59" i="42687" s="1"/>
  <c r="O49" i="42687"/>
  <c r="O59" i="42687" s="1"/>
  <c r="N49" i="42687"/>
  <c r="N59" i="42687" s="1"/>
  <c r="M49" i="42687"/>
  <c r="M59" i="42687" s="1"/>
  <c r="L49" i="42687"/>
  <c r="L59" i="42687" s="1"/>
  <c r="K49" i="42687"/>
  <c r="K59" i="42687" s="1"/>
  <c r="J49" i="42687"/>
  <c r="J59" i="42687" s="1"/>
  <c r="I49" i="42687"/>
  <c r="I59" i="42687" s="1"/>
  <c r="H49" i="42687"/>
  <c r="H59" i="42687" s="1"/>
  <c r="G49" i="42687"/>
  <c r="G59" i="42687" s="1"/>
  <c r="F49" i="42687"/>
  <c r="F59" i="42687" s="1"/>
  <c r="Q48" i="42687"/>
  <c r="Q58" i="42687" s="1"/>
  <c r="P48" i="42687"/>
  <c r="P58" i="42687" s="1"/>
  <c r="O48" i="42687"/>
  <c r="O58" i="42687" s="1"/>
  <c r="N48" i="42687"/>
  <c r="N58" i="42687" s="1"/>
  <c r="M48" i="42687"/>
  <c r="M58" i="42687" s="1"/>
  <c r="L48" i="42687"/>
  <c r="L58" i="42687" s="1"/>
  <c r="K48" i="42687"/>
  <c r="K58" i="42687" s="1"/>
  <c r="J48" i="42687"/>
  <c r="J58" i="42687" s="1"/>
  <c r="I48" i="42687"/>
  <c r="I58" i="42687" s="1"/>
  <c r="H48" i="42687"/>
  <c r="H58" i="42687" s="1"/>
  <c r="G48" i="42687"/>
  <c r="G58" i="42687" s="1"/>
  <c r="F48" i="42687"/>
  <c r="Q47" i="42687"/>
  <c r="Q57" i="42687" s="1"/>
  <c r="P47" i="42687"/>
  <c r="P57" i="42687" s="1"/>
  <c r="O47" i="42687"/>
  <c r="O57" i="42687" s="1"/>
  <c r="N47" i="42687"/>
  <c r="N57" i="42687" s="1"/>
  <c r="M47" i="42687"/>
  <c r="M57" i="42687" s="1"/>
  <c r="L47" i="42687"/>
  <c r="L57" i="42687" s="1"/>
  <c r="K47" i="42687"/>
  <c r="K57" i="42687" s="1"/>
  <c r="J47" i="42687"/>
  <c r="J57" i="42687" s="1"/>
  <c r="I47" i="42687"/>
  <c r="I57" i="42687" s="1"/>
  <c r="H47" i="42687"/>
  <c r="H57" i="42687" s="1"/>
  <c r="G47" i="42687"/>
  <c r="G57" i="42687" s="1"/>
  <c r="F47" i="42687"/>
  <c r="F57" i="42687" s="1"/>
  <c r="Q46" i="42687"/>
  <c r="Q56" i="42687" s="1"/>
  <c r="P46" i="42687"/>
  <c r="P56" i="42687" s="1"/>
  <c r="O46" i="42687"/>
  <c r="O56" i="42687" s="1"/>
  <c r="N46" i="42687"/>
  <c r="N56" i="42687" s="1"/>
  <c r="M46" i="42687"/>
  <c r="M56" i="42687" s="1"/>
  <c r="L46" i="42687"/>
  <c r="L56" i="42687" s="1"/>
  <c r="K46" i="42687"/>
  <c r="K56" i="42687" s="1"/>
  <c r="J46" i="42687"/>
  <c r="J56" i="42687" s="1"/>
  <c r="I46" i="42687"/>
  <c r="I56" i="42687" s="1"/>
  <c r="H46" i="42687"/>
  <c r="H56" i="42687" s="1"/>
  <c r="G46" i="42687"/>
  <c r="G56" i="42687" s="1"/>
  <c r="F46" i="42687"/>
  <c r="Q45" i="42687"/>
  <c r="Q55" i="42687" s="1"/>
  <c r="Q62" i="42687" s="1"/>
  <c r="Q94" i="42687" s="1"/>
  <c r="P45" i="42687"/>
  <c r="P52" i="42687" s="1"/>
  <c r="P88" i="42687" s="1"/>
  <c r="O45" i="42687"/>
  <c r="O55" i="42687" s="1"/>
  <c r="O62" i="42687" s="1"/>
  <c r="O94" i="42687" s="1"/>
  <c r="N45" i="42687"/>
  <c r="N52" i="42687" s="1"/>
  <c r="N88" i="42687" s="1"/>
  <c r="M45" i="42687"/>
  <c r="M55" i="42687" s="1"/>
  <c r="M62" i="42687" s="1"/>
  <c r="M94" i="42687" s="1"/>
  <c r="L45" i="42687"/>
  <c r="L52" i="42687" s="1"/>
  <c r="L88" i="42687" s="1"/>
  <c r="K45" i="42687"/>
  <c r="K55" i="42687" s="1"/>
  <c r="K62" i="42687" s="1"/>
  <c r="K94" i="42687" s="1"/>
  <c r="J45" i="42687"/>
  <c r="J52" i="42687" s="1"/>
  <c r="J88" i="42687" s="1"/>
  <c r="I45" i="42687"/>
  <c r="I55" i="42687" s="1"/>
  <c r="I62" i="42687" s="1"/>
  <c r="I94" i="42687" s="1"/>
  <c r="H45" i="42687"/>
  <c r="H52" i="42687" s="1"/>
  <c r="H88" i="42687" s="1"/>
  <c r="G45" i="42687"/>
  <c r="G55" i="42687" s="1"/>
  <c r="G62" i="42687" s="1"/>
  <c r="G94" i="42687" s="1"/>
  <c r="F45" i="42687"/>
  <c r="F52" i="42687" s="1"/>
  <c r="F88" i="42687" s="1"/>
  <c r="L30" i="42687"/>
  <c r="P28" i="42687"/>
  <c r="H28" i="42687"/>
  <c r="P26" i="42687"/>
  <c r="L26" i="42687"/>
  <c r="H26" i="42687"/>
  <c r="Q22" i="42687"/>
  <c r="Q31" i="42687" s="1"/>
  <c r="P22" i="42687"/>
  <c r="P31" i="42687" s="1"/>
  <c r="O22" i="42687"/>
  <c r="O31" i="42687" s="1"/>
  <c r="N22" i="42687"/>
  <c r="N31" i="42687" s="1"/>
  <c r="M22" i="42687"/>
  <c r="M31" i="42687" s="1"/>
  <c r="L22" i="42687"/>
  <c r="L31" i="42687" s="1"/>
  <c r="K22" i="42687"/>
  <c r="K31" i="42687" s="1"/>
  <c r="J22" i="42687"/>
  <c r="J31" i="42687" s="1"/>
  <c r="I22" i="42687"/>
  <c r="I31" i="42687" s="1"/>
  <c r="H22" i="42687"/>
  <c r="H31" i="42687" s="1"/>
  <c r="G22" i="42687"/>
  <c r="G31" i="42687" s="1"/>
  <c r="F22" i="42687"/>
  <c r="F31" i="42687" s="1"/>
  <c r="Q21" i="42687"/>
  <c r="Q30" i="42687" s="1"/>
  <c r="P21" i="42687"/>
  <c r="P30" i="42687" s="1"/>
  <c r="O21" i="42687"/>
  <c r="O30" i="42687" s="1"/>
  <c r="N21" i="42687"/>
  <c r="N30" i="42687" s="1"/>
  <c r="M21" i="42687"/>
  <c r="M30" i="42687" s="1"/>
  <c r="L21" i="42687"/>
  <c r="K21" i="42687"/>
  <c r="K30" i="42687" s="1"/>
  <c r="J21" i="42687"/>
  <c r="J30" i="42687" s="1"/>
  <c r="I21" i="42687"/>
  <c r="I30" i="42687" s="1"/>
  <c r="H21" i="42687"/>
  <c r="H30" i="42687" s="1"/>
  <c r="G21" i="42687"/>
  <c r="G30" i="42687" s="1"/>
  <c r="F21" i="42687"/>
  <c r="Q20" i="42687"/>
  <c r="Q29" i="42687" s="1"/>
  <c r="P20" i="42687"/>
  <c r="P29" i="42687" s="1"/>
  <c r="O20" i="42687"/>
  <c r="O29" i="42687" s="1"/>
  <c r="N20" i="42687"/>
  <c r="N29" i="42687" s="1"/>
  <c r="M20" i="42687"/>
  <c r="M29" i="42687" s="1"/>
  <c r="L20" i="42687"/>
  <c r="L29" i="42687" s="1"/>
  <c r="K20" i="42687"/>
  <c r="K29" i="42687" s="1"/>
  <c r="J20" i="42687"/>
  <c r="J29" i="42687" s="1"/>
  <c r="I20" i="42687"/>
  <c r="I29" i="42687" s="1"/>
  <c r="H20" i="42687"/>
  <c r="H29" i="42687" s="1"/>
  <c r="G20" i="42687"/>
  <c r="G29" i="42687" s="1"/>
  <c r="F20" i="42687"/>
  <c r="F29" i="42687" s="1"/>
  <c r="Q19" i="42687"/>
  <c r="Q28" i="42687" s="1"/>
  <c r="P19" i="42687"/>
  <c r="O19" i="42687"/>
  <c r="O28" i="42687" s="1"/>
  <c r="N19" i="42687"/>
  <c r="N28" i="42687" s="1"/>
  <c r="M19" i="42687"/>
  <c r="M28" i="42687" s="1"/>
  <c r="L19" i="42687"/>
  <c r="L28" i="42687" s="1"/>
  <c r="K19" i="42687"/>
  <c r="K28" i="42687" s="1"/>
  <c r="J19" i="42687"/>
  <c r="J28" i="42687" s="1"/>
  <c r="I19" i="42687"/>
  <c r="I28" i="42687" s="1"/>
  <c r="H19" i="42687"/>
  <c r="G19" i="42687"/>
  <c r="G28" i="42687" s="1"/>
  <c r="F19" i="42687"/>
  <c r="Q18" i="42687"/>
  <c r="Q27" i="42687" s="1"/>
  <c r="P18" i="42687"/>
  <c r="P27" i="42687" s="1"/>
  <c r="O18" i="42687"/>
  <c r="O27" i="42687" s="1"/>
  <c r="N18" i="42687"/>
  <c r="N27" i="42687" s="1"/>
  <c r="M18" i="42687"/>
  <c r="M27" i="42687" s="1"/>
  <c r="L18" i="42687"/>
  <c r="L27" i="42687" s="1"/>
  <c r="K18" i="42687"/>
  <c r="K27" i="42687" s="1"/>
  <c r="J18" i="42687"/>
  <c r="J27" i="42687" s="1"/>
  <c r="I18" i="42687"/>
  <c r="I27" i="42687" s="1"/>
  <c r="H18" i="42687"/>
  <c r="H27" i="42687" s="1"/>
  <c r="G18" i="42687"/>
  <c r="G27" i="42687" s="1"/>
  <c r="F18" i="42687"/>
  <c r="F27" i="42687" s="1"/>
  <c r="Q17" i="42687"/>
  <c r="Q26" i="42687" s="1"/>
  <c r="Q32" i="42687" s="1"/>
  <c r="Q93" i="42687" s="1"/>
  <c r="P17" i="42687"/>
  <c r="P23" i="42687" s="1"/>
  <c r="P87" i="42687" s="1"/>
  <c r="O17" i="42687"/>
  <c r="O26" i="42687" s="1"/>
  <c r="O32" i="42687" s="1"/>
  <c r="O93" i="42687" s="1"/>
  <c r="N17" i="42687"/>
  <c r="N23" i="42687" s="1"/>
  <c r="N87" i="42687" s="1"/>
  <c r="M17" i="42687"/>
  <c r="M26" i="42687" s="1"/>
  <c r="M32" i="42687" s="1"/>
  <c r="M93" i="42687" s="1"/>
  <c r="L17" i="42687"/>
  <c r="L23" i="42687" s="1"/>
  <c r="L87" i="42687" s="1"/>
  <c r="K17" i="42687"/>
  <c r="K26" i="42687" s="1"/>
  <c r="K32" i="42687" s="1"/>
  <c r="K93" i="42687" s="1"/>
  <c r="J17" i="42687"/>
  <c r="J23" i="42687" s="1"/>
  <c r="J87" i="42687" s="1"/>
  <c r="I17" i="42687"/>
  <c r="I26" i="42687" s="1"/>
  <c r="I32" i="42687" s="1"/>
  <c r="I93" i="42687" s="1"/>
  <c r="H17" i="42687"/>
  <c r="H23" i="42687" s="1"/>
  <c r="H87" i="42687" s="1"/>
  <c r="G17" i="42687"/>
  <c r="G26" i="42687" s="1"/>
  <c r="G32" i="42687" s="1"/>
  <c r="G93" i="42687" s="1"/>
  <c r="F17" i="42687"/>
  <c r="F23" i="42687" s="1"/>
  <c r="F87" i="42687" s="1"/>
  <c r="Q6" i="42687"/>
  <c r="P6" i="42687"/>
  <c r="O6" i="42687"/>
  <c r="N6" i="42687"/>
  <c r="M6" i="42687"/>
  <c r="L6" i="42687"/>
  <c r="K6" i="42687"/>
  <c r="J6" i="42687"/>
  <c r="I6" i="42687"/>
  <c r="H6" i="42687"/>
  <c r="G6" i="42687"/>
  <c r="F6" i="42687"/>
  <c r="B4" i="42687"/>
  <c r="B2" i="42687"/>
  <c r="B1" i="42687"/>
  <c r="O81" i="42686"/>
  <c r="K81" i="42686"/>
  <c r="G81" i="42686"/>
  <c r="O79" i="42686"/>
  <c r="O83" i="42686" s="1"/>
  <c r="O95" i="42686" s="1"/>
  <c r="K79" i="42686"/>
  <c r="K83" i="42686" s="1"/>
  <c r="K95" i="42686" s="1"/>
  <c r="G79" i="42686"/>
  <c r="G83" i="42686" s="1"/>
  <c r="G95" i="42686" s="1"/>
  <c r="Q75" i="42686"/>
  <c r="Q82" i="42686" s="1"/>
  <c r="P75" i="42686"/>
  <c r="P82" i="42686" s="1"/>
  <c r="O75" i="42686"/>
  <c r="O82" i="42686" s="1"/>
  <c r="N75" i="42686"/>
  <c r="N82" i="42686" s="1"/>
  <c r="M75" i="42686"/>
  <c r="M82" i="42686" s="1"/>
  <c r="L75" i="42686"/>
  <c r="L82" i="42686" s="1"/>
  <c r="K75" i="42686"/>
  <c r="K82" i="42686" s="1"/>
  <c r="J75" i="42686"/>
  <c r="J82" i="42686" s="1"/>
  <c r="I75" i="42686"/>
  <c r="I82" i="42686" s="1"/>
  <c r="H75" i="42686"/>
  <c r="H82" i="42686" s="1"/>
  <c r="G75" i="42686"/>
  <c r="G82" i="42686" s="1"/>
  <c r="F75" i="42686"/>
  <c r="R75" i="42686" s="1"/>
  <c r="Q74" i="42686"/>
  <c r="Q81" i="42686" s="1"/>
  <c r="P74" i="42686"/>
  <c r="P81" i="42686" s="1"/>
  <c r="O74" i="42686"/>
  <c r="N74" i="42686"/>
  <c r="N81" i="42686" s="1"/>
  <c r="M74" i="42686"/>
  <c r="M81" i="42686" s="1"/>
  <c r="L74" i="42686"/>
  <c r="L81" i="42686" s="1"/>
  <c r="K74" i="42686"/>
  <c r="J74" i="42686"/>
  <c r="J81" i="42686" s="1"/>
  <c r="I74" i="42686"/>
  <c r="I81" i="42686" s="1"/>
  <c r="H74" i="42686"/>
  <c r="H81" i="42686" s="1"/>
  <c r="G74" i="42686"/>
  <c r="F74" i="42686"/>
  <c r="F81" i="42686" s="1"/>
  <c r="Q73" i="42686"/>
  <c r="Q80" i="42686" s="1"/>
  <c r="P73" i="42686"/>
  <c r="P80" i="42686" s="1"/>
  <c r="O73" i="42686"/>
  <c r="O80" i="42686" s="1"/>
  <c r="N73" i="42686"/>
  <c r="N80" i="42686" s="1"/>
  <c r="M73" i="42686"/>
  <c r="M80" i="42686" s="1"/>
  <c r="L73" i="42686"/>
  <c r="L80" i="42686" s="1"/>
  <c r="K73" i="42686"/>
  <c r="K80" i="42686" s="1"/>
  <c r="J73" i="42686"/>
  <c r="J80" i="42686" s="1"/>
  <c r="I73" i="42686"/>
  <c r="I80" i="42686" s="1"/>
  <c r="H73" i="42686"/>
  <c r="H80" i="42686" s="1"/>
  <c r="G73" i="42686"/>
  <c r="G80" i="42686" s="1"/>
  <c r="F73" i="42686"/>
  <c r="R73" i="42686" s="1"/>
  <c r="Q72" i="42686"/>
  <c r="Q76" i="42686" s="1"/>
  <c r="Q89" i="42686" s="1"/>
  <c r="P72" i="42686"/>
  <c r="P79" i="42686" s="1"/>
  <c r="O72" i="42686"/>
  <c r="O76" i="42686" s="1"/>
  <c r="O89" i="42686" s="1"/>
  <c r="N72" i="42686"/>
  <c r="N79" i="42686" s="1"/>
  <c r="M72" i="42686"/>
  <c r="M76" i="42686" s="1"/>
  <c r="M89" i="42686" s="1"/>
  <c r="L72" i="42686"/>
  <c r="L79" i="42686" s="1"/>
  <c r="K72" i="42686"/>
  <c r="K76" i="42686" s="1"/>
  <c r="K89" i="42686" s="1"/>
  <c r="J72" i="42686"/>
  <c r="J79" i="42686" s="1"/>
  <c r="I72" i="42686"/>
  <c r="I76" i="42686" s="1"/>
  <c r="I89" i="42686" s="1"/>
  <c r="H72" i="42686"/>
  <c r="H79" i="42686" s="1"/>
  <c r="G72" i="42686"/>
  <c r="G76" i="42686" s="1"/>
  <c r="G89" i="42686" s="1"/>
  <c r="F72" i="42686"/>
  <c r="F79" i="42686" s="1"/>
  <c r="Q51" i="42686"/>
  <c r="Q61" i="42686" s="1"/>
  <c r="P51" i="42686"/>
  <c r="P61" i="42686" s="1"/>
  <c r="O51" i="42686"/>
  <c r="O61" i="42686" s="1"/>
  <c r="N51" i="42686"/>
  <c r="N61" i="42686" s="1"/>
  <c r="M51" i="42686"/>
  <c r="M61" i="42686" s="1"/>
  <c r="L51" i="42686"/>
  <c r="L61" i="42686" s="1"/>
  <c r="K51" i="42686"/>
  <c r="K61" i="42686" s="1"/>
  <c r="J51" i="42686"/>
  <c r="J61" i="42686" s="1"/>
  <c r="I51" i="42686"/>
  <c r="I61" i="42686" s="1"/>
  <c r="H51" i="42686"/>
  <c r="H61" i="42686" s="1"/>
  <c r="G51" i="42686"/>
  <c r="G61" i="42686" s="1"/>
  <c r="F51" i="42686"/>
  <c r="F61" i="42686" s="1"/>
  <c r="R61" i="42686" s="1"/>
  <c r="Q50" i="42686"/>
  <c r="Q60" i="42686" s="1"/>
  <c r="P50" i="42686"/>
  <c r="P60" i="42686" s="1"/>
  <c r="O50" i="42686"/>
  <c r="O60" i="42686" s="1"/>
  <c r="N50" i="42686"/>
  <c r="N60" i="42686" s="1"/>
  <c r="M50" i="42686"/>
  <c r="M60" i="42686" s="1"/>
  <c r="L50" i="42686"/>
  <c r="L60" i="42686" s="1"/>
  <c r="K50" i="42686"/>
  <c r="K60" i="42686" s="1"/>
  <c r="J50" i="42686"/>
  <c r="J60" i="42686" s="1"/>
  <c r="I50" i="42686"/>
  <c r="I60" i="42686" s="1"/>
  <c r="H50" i="42686"/>
  <c r="H60" i="42686" s="1"/>
  <c r="G50" i="42686"/>
  <c r="G60" i="42686" s="1"/>
  <c r="F50" i="42686"/>
  <c r="F60" i="42686" s="1"/>
  <c r="R60" i="42686" s="1"/>
  <c r="Q49" i="42686"/>
  <c r="Q59" i="42686" s="1"/>
  <c r="P49" i="42686"/>
  <c r="P59" i="42686" s="1"/>
  <c r="O49" i="42686"/>
  <c r="O59" i="42686" s="1"/>
  <c r="N49" i="42686"/>
  <c r="N59" i="42686" s="1"/>
  <c r="M49" i="42686"/>
  <c r="M59" i="42686" s="1"/>
  <c r="L49" i="42686"/>
  <c r="L59" i="42686" s="1"/>
  <c r="K49" i="42686"/>
  <c r="K59" i="42686" s="1"/>
  <c r="J49" i="42686"/>
  <c r="J59" i="42686" s="1"/>
  <c r="I49" i="42686"/>
  <c r="I59" i="42686" s="1"/>
  <c r="H49" i="42686"/>
  <c r="H59" i="42686" s="1"/>
  <c r="G49" i="42686"/>
  <c r="G59" i="42686" s="1"/>
  <c r="F49" i="42686"/>
  <c r="F59" i="42686" s="1"/>
  <c r="R59" i="42686" s="1"/>
  <c r="Q48" i="42686"/>
  <c r="Q58" i="42686" s="1"/>
  <c r="P48" i="42686"/>
  <c r="P58" i="42686" s="1"/>
  <c r="O48" i="42686"/>
  <c r="O58" i="42686" s="1"/>
  <c r="N48" i="42686"/>
  <c r="N58" i="42686" s="1"/>
  <c r="M48" i="42686"/>
  <c r="M58" i="42686" s="1"/>
  <c r="L48" i="42686"/>
  <c r="L58" i="42686" s="1"/>
  <c r="K48" i="42686"/>
  <c r="K58" i="42686" s="1"/>
  <c r="J48" i="42686"/>
  <c r="J58" i="42686" s="1"/>
  <c r="I48" i="42686"/>
  <c r="I58" i="42686" s="1"/>
  <c r="H48" i="42686"/>
  <c r="H58" i="42686" s="1"/>
  <c r="G48" i="42686"/>
  <c r="G58" i="42686" s="1"/>
  <c r="F48" i="42686"/>
  <c r="F58" i="42686" s="1"/>
  <c r="R58" i="42686" s="1"/>
  <c r="Q47" i="42686"/>
  <c r="Q57" i="42686" s="1"/>
  <c r="P47" i="42686"/>
  <c r="P57" i="42686" s="1"/>
  <c r="O47" i="42686"/>
  <c r="O57" i="42686" s="1"/>
  <c r="N47" i="42686"/>
  <c r="N57" i="42686" s="1"/>
  <c r="M47" i="42686"/>
  <c r="M57" i="42686" s="1"/>
  <c r="L47" i="42686"/>
  <c r="L57" i="42686" s="1"/>
  <c r="K47" i="42686"/>
  <c r="K57" i="42686" s="1"/>
  <c r="J47" i="42686"/>
  <c r="J57" i="42686" s="1"/>
  <c r="I47" i="42686"/>
  <c r="I57" i="42686" s="1"/>
  <c r="H47" i="42686"/>
  <c r="H57" i="42686" s="1"/>
  <c r="G47" i="42686"/>
  <c r="G57" i="42686" s="1"/>
  <c r="F47" i="42686"/>
  <c r="F57" i="42686" s="1"/>
  <c r="R57" i="42686" s="1"/>
  <c r="Q46" i="42686"/>
  <c r="Q56" i="42686" s="1"/>
  <c r="P46" i="42686"/>
  <c r="P56" i="42686" s="1"/>
  <c r="O46" i="42686"/>
  <c r="O56" i="42686" s="1"/>
  <c r="N46" i="42686"/>
  <c r="N56" i="42686" s="1"/>
  <c r="M46" i="42686"/>
  <c r="M56" i="42686" s="1"/>
  <c r="L46" i="42686"/>
  <c r="L56" i="42686" s="1"/>
  <c r="K46" i="42686"/>
  <c r="K56" i="42686" s="1"/>
  <c r="J46" i="42686"/>
  <c r="J56" i="42686" s="1"/>
  <c r="I46" i="42686"/>
  <c r="I56" i="42686" s="1"/>
  <c r="H46" i="42686"/>
  <c r="H56" i="42686" s="1"/>
  <c r="G46" i="42686"/>
  <c r="G56" i="42686" s="1"/>
  <c r="F46" i="42686"/>
  <c r="F56" i="42686" s="1"/>
  <c r="R56" i="42686" s="1"/>
  <c r="Q45" i="42686"/>
  <c r="Q55" i="42686" s="1"/>
  <c r="Q62" i="42686" s="1"/>
  <c r="Q94" i="42686" s="1"/>
  <c r="P45" i="42686"/>
  <c r="P52" i="42686" s="1"/>
  <c r="P88" i="42686" s="1"/>
  <c r="O45" i="42686"/>
  <c r="O55" i="42686" s="1"/>
  <c r="O62" i="42686" s="1"/>
  <c r="O94" i="42686" s="1"/>
  <c r="N45" i="42686"/>
  <c r="N52" i="42686" s="1"/>
  <c r="N88" i="42686" s="1"/>
  <c r="M45" i="42686"/>
  <c r="M55" i="42686" s="1"/>
  <c r="M62" i="42686" s="1"/>
  <c r="M94" i="42686" s="1"/>
  <c r="L45" i="42686"/>
  <c r="L52" i="42686" s="1"/>
  <c r="L88" i="42686" s="1"/>
  <c r="K45" i="42686"/>
  <c r="K55" i="42686" s="1"/>
  <c r="K62" i="42686" s="1"/>
  <c r="K94" i="42686" s="1"/>
  <c r="J45" i="42686"/>
  <c r="J52" i="42686" s="1"/>
  <c r="J88" i="42686" s="1"/>
  <c r="I45" i="42686"/>
  <c r="I55" i="42686" s="1"/>
  <c r="I62" i="42686" s="1"/>
  <c r="I94" i="42686" s="1"/>
  <c r="H45" i="42686"/>
  <c r="H52" i="42686" s="1"/>
  <c r="H88" i="42686" s="1"/>
  <c r="G45" i="42686"/>
  <c r="G55" i="42686" s="1"/>
  <c r="G62" i="42686" s="1"/>
  <c r="G94" i="42686" s="1"/>
  <c r="F45" i="42686"/>
  <c r="F52" i="42686" s="1"/>
  <c r="F88" i="42686" s="1"/>
  <c r="O30" i="42686"/>
  <c r="K30" i="42686"/>
  <c r="G30" i="42686"/>
  <c r="O28" i="42686"/>
  <c r="K28" i="42686"/>
  <c r="G28" i="42686"/>
  <c r="O26" i="42686"/>
  <c r="O32" i="42686" s="1"/>
  <c r="O93" i="42686" s="1"/>
  <c r="O96" i="42686" s="1"/>
  <c r="K26" i="42686"/>
  <c r="K32" i="42686" s="1"/>
  <c r="K93" i="42686" s="1"/>
  <c r="K96" i="42686" s="1"/>
  <c r="G26" i="42686"/>
  <c r="G32" i="42686" s="1"/>
  <c r="G93" i="42686" s="1"/>
  <c r="G96" i="42686" s="1"/>
  <c r="Q22" i="42686"/>
  <c r="Q31" i="42686" s="1"/>
  <c r="P22" i="42686"/>
  <c r="P31" i="42686" s="1"/>
  <c r="O22" i="42686"/>
  <c r="O31" i="42686" s="1"/>
  <c r="N22" i="42686"/>
  <c r="N31" i="42686" s="1"/>
  <c r="M22" i="42686"/>
  <c r="M31" i="42686" s="1"/>
  <c r="L22" i="42686"/>
  <c r="L31" i="42686" s="1"/>
  <c r="K22" i="42686"/>
  <c r="K31" i="42686" s="1"/>
  <c r="J22" i="42686"/>
  <c r="J31" i="42686" s="1"/>
  <c r="I22" i="42686"/>
  <c r="I31" i="42686" s="1"/>
  <c r="H22" i="42686"/>
  <c r="H31" i="42686" s="1"/>
  <c r="G22" i="42686"/>
  <c r="G31" i="42686" s="1"/>
  <c r="F22" i="42686"/>
  <c r="R22" i="42686" s="1"/>
  <c r="Q21" i="42686"/>
  <c r="Q30" i="42686" s="1"/>
  <c r="P21" i="42686"/>
  <c r="P30" i="42686" s="1"/>
  <c r="O21" i="42686"/>
  <c r="N21" i="42686"/>
  <c r="N30" i="42686" s="1"/>
  <c r="M21" i="42686"/>
  <c r="M30" i="42686" s="1"/>
  <c r="L21" i="42686"/>
  <c r="L30" i="42686" s="1"/>
  <c r="K21" i="42686"/>
  <c r="J21" i="42686"/>
  <c r="J30" i="42686" s="1"/>
  <c r="I21" i="42686"/>
  <c r="I30" i="42686" s="1"/>
  <c r="H21" i="42686"/>
  <c r="H30" i="42686" s="1"/>
  <c r="G21" i="42686"/>
  <c r="F21" i="42686"/>
  <c r="F30" i="42686" s="1"/>
  <c r="Q20" i="42686"/>
  <c r="Q29" i="42686" s="1"/>
  <c r="P20" i="42686"/>
  <c r="P29" i="42686" s="1"/>
  <c r="O20" i="42686"/>
  <c r="O29" i="42686" s="1"/>
  <c r="N20" i="42686"/>
  <c r="N29" i="42686" s="1"/>
  <c r="M20" i="42686"/>
  <c r="M29" i="42686" s="1"/>
  <c r="L20" i="42686"/>
  <c r="L29" i="42686" s="1"/>
  <c r="K20" i="42686"/>
  <c r="K29" i="42686" s="1"/>
  <c r="J20" i="42686"/>
  <c r="J29" i="42686" s="1"/>
  <c r="I20" i="42686"/>
  <c r="I29" i="42686" s="1"/>
  <c r="H20" i="42686"/>
  <c r="H29" i="42686" s="1"/>
  <c r="G20" i="42686"/>
  <c r="G29" i="42686" s="1"/>
  <c r="F20" i="42686"/>
  <c r="R20" i="42686" s="1"/>
  <c r="Q19" i="42686"/>
  <c r="Q28" i="42686" s="1"/>
  <c r="P19" i="42686"/>
  <c r="P28" i="42686" s="1"/>
  <c r="O19" i="42686"/>
  <c r="N19" i="42686"/>
  <c r="N28" i="42686" s="1"/>
  <c r="M19" i="42686"/>
  <c r="M28" i="42686" s="1"/>
  <c r="L19" i="42686"/>
  <c r="L28" i="42686" s="1"/>
  <c r="K19" i="42686"/>
  <c r="J19" i="42686"/>
  <c r="J28" i="42686" s="1"/>
  <c r="I19" i="42686"/>
  <c r="I28" i="42686" s="1"/>
  <c r="H19" i="42686"/>
  <c r="H28" i="42686" s="1"/>
  <c r="G19" i="42686"/>
  <c r="F19" i="42686"/>
  <c r="F28" i="42686" s="1"/>
  <c r="Q18" i="42686"/>
  <c r="Q27" i="42686" s="1"/>
  <c r="P18" i="42686"/>
  <c r="P27" i="42686" s="1"/>
  <c r="O18" i="42686"/>
  <c r="O27" i="42686" s="1"/>
  <c r="N18" i="42686"/>
  <c r="N27" i="42686" s="1"/>
  <c r="M18" i="42686"/>
  <c r="M27" i="42686" s="1"/>
  <c r="L18" i="42686"/>
  <c r="L27" i="42686" s="1"/>
  <c r="K18" i="42686"/>
  <c r="K27" i="42686" s="1"/>
  <c r="J18" i="42686"/>
  <c r="J27" i="42686" s="1"/>
  <c r="I18" i="42686"/>
  <c r="I27" i="42686" s="1"/>
  <c r="H18" i="42686"/>
  <c r="H27" i="42686" s="1"/>
  <c r="G18" i="42686"/>
  <c r="G27" i="42686" s="1"/>
  <c r="F18" i="42686"/>
  <c r="R18" i="42686" s="1"/>
  <c r="Q17" i="42686"/>
  <c r="Q23" i="42686" s="1"/>
  <c r="Q87" i="42686" s="1"/>
  <c r="P17" i="42686"/>
  <c r="P26" i="42686" s="1"/>
  <c r="O17" i="42686"/>
  <c r="O23" i="42686" s="1"/>
  <c r="O87" i="42686" s="1"/>
  <c r="N17" i="42686"/>
  <c r="N26" i="42686" s="1"/>
  <c r="M17" i="42686"/>
  <c r="M23" i="42686" s="1"/>
  <c r="M87" i="42686" s="1"/>
  <c r="L17" i="42686"/>
  <c r="L26" i="42686" s="1"/>
  <c r="K17" i="42686"/>
  <c r="K23" i="42686" s="1"/>
  <c r="K87" i="42686" s="1"/>
  <c r="J17" i="42686"/>
  <c r="J26" i="42686" s="1"/>
  <c r="I17" i="42686"/>
  <c r="I23" i="42686" s="1"/>
  <c r="I87" i="42686" s="1"/>
  <c r="H17" i="42686"/>
  <c r="H26" i="42686" s="1"/>
  <c r="G17" i="42686"/>
  <c r="G23" i="42686" s="1"/>
  <c r="G87" i="42686" s="1"/>
  <c r="F17" i="42686"/>
  <c r="F26" i="42686" s="1"/>
  <c r="Q6" i="42686"/>
  <c r="P6" i="42686"/>
  <c r="O6" i="42686"/>
  <c r="N6" i="42686"/>
  <c r="M6" i="42686"/>
  <c r="L6" i="42686"/>
  <c r="K6" i="42686"/>
  <c r="J6" i="42686"/>
  <c r="I6" i="42686"/>
  <c r="H6" i="42686"/>
  <c r="G6" i="42686"/>
  <c r="F6" i="42686"/>
  <c r="B4" i="42686"/>
  <c r="B2" i="42686"/>
  <c r="B1" i="42686"/>
  <c r="Q82" i="42685"/>
  <c r="P82" i="42685"/>
  <c r="O82" i="42685"/>
  <c r="N82" i="42685"/>
  <c r="M82" i="42685"/>
  <c r="L82" i="42685"/>
  <c r="K82" i="42685"/>
  <c r="J82" i="42685"/>
  <c r="I82" i="42685"/>
  <c r="H82" i="42685"/>
  <c r="G82" i="42685"/>
  <c r="F82" i="42685"/>
  <c r="Q81" i="42685"/>
  <c r="P81" i="42685"/>
  <c r="O81" i="42685"/>
  <c r="N81" i="42685"/>
  <c r="M81" i="42685"/>
  <c r="L81" i="42685"/>
  <c r="K81" i="42685"/>
  <c r="J81" i="42685"/>
  <c r="I81" i="42685"/>
  <c r="H81" i="42685"/>
  <c r="G81" i="42685"/>
  <c r="F81" i="42685"/>
  <c r="Q80" i="42685"/>
  <c r="P80" i="42685"/>
  <c r="O80" i="42685"/>
  <c r="N80" i="42685"/>
  <c r="M80" i="42685"/>
  <c r="L80" i="42685"/>
  <c r="K80" i="42685"/>
  <c r="J80" i="42685"/>
  <c r="I80" i="42685"/>
  <c r="H80" i="42685"/>
  <c r="G80" i="42685"/>
  <c r="F80" i="42685"/>
  <c r="Q79" i="42685"/>
  <c r="Q83" i="42685" s="1"/>
  <c r="Q95" i="42685" s="1"/>
  <c r="P79" i="42685"/>
  <c r="P83" i="42685" s="1"/>
  <c r="P95" i="42685" s="1"/>
  <c r="O79" i="42685"/>
  <c r="O83" i="42685" s="1"/>
  <c r="O95" i="42685" s="1"/>
  <c r="N79" i="42685"/>
  <c r="N83" i="42685" s="1"/>
  <c r="N95" i="42685" s="1"/>
  <c r="M79" i="42685"/>
  <c r="M83" i="42685" s="1"/>
  <c r="M95" i="42685" s="1"/>
  <c r="L79" i="42685"/>
  <c r="L83" i="42685" s="1"/>
  <c r="L95" i="42685" s="1"/>
  <c r="K79" i="42685"/>
  <c r="K83" i="42685" s="1"/>
  <c r="K95" i="42685" s="1"/>
  <c r="J79" i="42685"/>
  <c r="J83" i="42685" s="1"/>
  <c r="J95" i="42685" s="1"/>
  <c r="I79" i="42685"/>
  <c r="I83" i="42685" s="1"/>
  <c r="I95" i="42685" s="1"/>
  <c r="H79" i="42685"/>
  <c r="H83" i="42685" s="1"/>
  <c r="H95" i="42685" s="1"/>
  <c r="G79" i="42685"/>
  <c r="G83" i="42685" s="1"/>
  <c r="G95" i="42685" s="1"/>
  <c r="F79" i="42685"/>
  <c r="F83" i="42685" s="1"/>
  <c r="F95" i="42685" s="1"/>
  <c r="Q76" i="42685"/>
  <c r="Q89" i="42685" s="1"/>
  <c r="P76" i="42685"/>
  <c r="P89" i="42685" s="1"/>
  <c r="O76" i="42685"/>
  <c r="O89" i="42685" s="1"/>
  <c r="N76" i="42685"/>
  <c r="N89" i="42685" s="1"/>
  <c r="M76" i="42685"/>
  <c r="M89" i="42685" s="1"/>
  <c r="L76" i="42685"/>
  <c r="L89" i="42685" s="1"/>
  <c r="K76" i="42685"/>
  <c r="K89" i="42685" s="1"/>
  <c r="J76" i="42685"/>
  <c r="J89" i="42685" s="1"/>
  <c r="I76" i="42685"/>
  <c r="I89" i="42685" s="1"/>
  <c r="H76" i="42685"/>
  <c r="H89" i="42685" s="1"/>
  <c r="G76" i="42685"/>
  <c r="G89" i="42685" s="1"/>
  <c r="F76" i="42685"/>
  <c r="F89" i="42685" s="1"/>
  <c r="R75" i="42685"/>
  <c r="R74" i="42685"/>
  <c r="R73" i="42685"/>
  <c r="R72" i="42685"/>
  <c r="Q61" i="42685"/>
  <c r="P61" i="42685"/>
  <c r="O61" i="42685"/>
  <c r="N61" i="42685"/>
  <c r="M61" i="42685"/>
  <c r="L61" i="42685"/>
  <c r="K61" i="42685"/>
  <c r="J61" i="42685"/>
  <c r="I61" i="42685"/>
  <c r="H61" i="42685"/>
  <c r="G61" i="42685"/>
  <c r="F61" i="42685"/>
  <c r="Q60" i="42685"/>
  <c r="P60" i="42685"/>
  <c r="O60" i="42685"/>
  <c r="N60" i="42685"/>
  <c r="M60" i="42685"/>
  <c r="L60" i="42685"/>
  <c r="K60" i="42685"/>
  <c r="J60" i="42685"/>
  <c r="I60" i="42685"/>
  <c r="H60" i="42685"/>
  <c r="G60" i="42685"/>
  <c r="F60" i="42685"/>
  <c r="Q59" i="42685"/>
  <c r="P59" i="42685"/>
  <c r="O59" i="42685"/>
  <c r="N59" i="42685"/>
  <c r="M59" i="42685"/>
  <c r="L59" i="42685"/>
  <c r="K59" i="42685"/>
  <c r="J59" i="42685"/>
  <c r="I59" i="42685"/>
  <c r="H59" i="42685"/>
  <c r="G59" i="42685"/>
  <c r="F59" i="42685"/>
  <c r="Q58" i="42685"/>
  <c r="P58" i="42685"/>
  <c r="O58" i="42685"/>
  <c r="N58" i="42685"/>
  <c r="M58" i="42685"/>
  <c r="L58" i="42685"/>
  <c r="K58" i="42685"/>
  <c r="J58" i="42685"/>
  <c r="I58" i="42685"/>
  <c r="H58" i="42685"/>
  <c r="G58" i="42685"/>
  <c r="F58" i="42685"/>
  <c r="Q57" i="42685"/>
  <c r="P57" i="42685"/>
  <c r="O57" i="42685"/>
  <c r="N57" i="42685"/>
  <c r="M57" i="42685"/>
  <c r="L57" i="42685"/>
  <c r="K57" i="42685"/>
  <c r="J57" i="42685"/>
  <c r="I57" i="42685"/>
  <c r="H57" i="42685"/>
  <c r="G57" i="42685"/>
  <c r="F57" i="42685"/>
  <c r="Q56" i="42685"/>
  <c r="P56" i="42685"/>
  <c r="O56" i="42685"/>
  <c r="N56" i="42685"/>
  <c r="M56" i="42685"/>
  <c r="L56" i="42685"/>
  <c r="K56" i="42685"/>
  <c r="J56" i="42685"/>
  <c r="I56" i="42685"/>
  <c r="H56" i="42685"/>
  <c r="G56" i="42685"/>
  <c r="F56" i="42685"/>
  <c r="Q55" i="42685"/>
  <c r="Q62" i="42685" s="1"/>
  <c r="Q94" i="42685" s="1"/>
  <c r="P55" i="42685"/>
  <c r="O55" i="42685"/>
  <c r="O62" i="42685" s="1"/>
  <c r="O94" i="42685" s="1"/>
  <c r="N55" i="42685"/>
  <c r="M55" i="42685"/>
  <c r="M62" i="42685" s="1"/>
  <c r="M94" i="42685" s="1"/>
  <c r="L55" i="42685"/>
  <c r="K55" i="42685"/>
  <c r="K62" i="42685" s="1"/>
  <c r="K94" i="42685" s="1"/>
  <c r="J55" i="42685"/>
  <c r="I55" i="42685"/>
  <c r="I62" i="42685" s="1"/>
  <c r="I94" i="42685" s="1"/>
  <c r="H55" i="42685"/>
  <c r="G55" i="42685"/>
  <c r="G62" i="42685" s="1"/>
  <c r="G94" i="42685" s="1"/>
  <c r="F55" i="42685"/>
  <c r="Q52" i="42685"/>
  <c r="Q88" i="42685" s="1"/>
  <c r="P52" i="42685"/>
  <c r="P88" i="42685" s="1"/>
  <c r="O52" i="42685"/>
  <c r="O88" i="42685" s="1"/>
  <c r="N52" i="42685"/>
  <c r="N88" i="42685" s="1"/>
  <c r="M52" i="42685"/>
  <c r="M88" i="42685" s="1"/>
  <c r="L52" i="42685"/>
  <c r="L88" i="42685" s="1"/>
  <c r="K52" i="42685"/>
  <c r="K88" i="42685" s="1"/>
  <c r="J52" i="42685"/>
  <c r="J88" i="42685" s="1"/>
  <c r="I52" i="42685"/>
  <c r="I88" i="42685" s="1"/>
  <c r="H52" i="42685"/>
  <c r="H88" i="42685" s="1"/>
  <c r="G52" i="42685"/>
  <c r="G88" i="42685" s="1"/>
  <c r="F52" i="42685"/>
  <c r="F88" i="42685" s="1"/>
  <c r="R51" i="42685"/>
  <c r="R50" i="42685"/>
  <c r="R49" i="42685"/>
  <c r="R48" i="42685"/>
  <c r="R47" i="42685"/>
  <c r="R46" i="42685"/>
  <c r="R45" i="42685"/>
  <c r="Q31" i="42685"/>
  <c r="P31" i="42685"/>
  <c r="O31" i="42685"/>
  <c r="N31" i="42685"/>
  <c r="M31" i="42685"/>
  <c r="L31" i="42685"/>
  <c r="K31" i="42685"/>
  <c r="J31" i="42685"/>
  <c r="I31" i="42685"/>
  <c r="H31" i="42685"/>
  <c r="G31" i="42685"/>
  <c r="F31" i="42685"/>
  <c r="R31" i="42685" s="1"/>
  <c r="Q30" i="42685"/>
  <c r="P30" i="42685"/>
  <c r="O30" i="42685"/>
  <c r="N30" i="42685"/>
  <c r="M30" i="42685"/>
  <c r="L30" i="42685"/>
  <c r="K30" i="42685"/>
  <c r="J30" i="42685"/>
  <c r="I30" i="42685"/>
  <c r="H30" i="42685"/>
  <c r="G30" i="42685"/>
  <c r="F30" i="42685"/>
  <c r="R30" i="42685" s="1"/>
  <c r="Q29" i="42685"/>
  <c r="P29" i="42685"/>
  <c r="O29" i="42685"/>
  <c r="N29" i="42685"/>
  <c r="M29" i="42685"/>
  <c r="L29" i="42685"/>
  <c r="K29" i="42685"/>
  <c r="J29" i="42685"/>
  <c r="I29" i="42685"/>
  <c r="H29" i="42685"/>
  <c r="G29" i="42685"/>
  <c r="F29" i="42685"/>
  <c r="R29" i="42685" s="1"/>
  <c r="Q28" i="42685"/>
  <c r="P28" i="42685"/>
  <c r="O28" i="42685"/>
  <c r="N28" i="42685"/>
  <c r="M28" i="42685"/>
  <c r="L28" i="42685"/>
  <c r="K28" i="42685"/>
  <c r="J28" i="42685"/>
  <c r="I28" i="42685"/>
  <c r="H28" i="42685"/>
  <c r="G28" i="42685"/>
  <c r="F28" i="42685"/>
  <c r="R28" i="42685" s="1"/>
  <c r="Q27" i="42685"/>
  <c r="P27" i="42685"/>
  <c r="O27" i="42685"/>
  <c r="N27" i="42685"/>
  <c r="M27" i="42685"/>
  <c r="L27" i="42685"/>
  <c r="K27" i="42685"/>
  <c r="J27" i="42685"/>
  <c r="I27" i="42685"/>
  <c r="H27" i="42685"/>
  <c r="G27" i="42685"/>
  <c r="F27" i="42685"/>
  <c r="R27" i="42685" s="1"/>
  <c r="Q26" i="42685"/>
  <c r="Q32" i="42685" s="1"/>
  <c r="Q93" i="42685" s="1"/>
  <c r="P26" i="42685"/>
  <c r="P32" i="42685" s="1"/>
  <c r="P93" i="42685" s="1"/>
  <c r="O26" i="42685"/>
  <c r="O32" i="42685" s="1"/>
  <c r="O93" i="42685" s="1"/>
  <c r="N26" i="42685"/>
  <c r="N32" i="42685" s="1"/>
  <c r="N93" i="42685" s="1"/>
  <c r="M26" i="42685"/>
  <c r="M32" i="42685" s="1"/>
  <c r="M93" i="42685" s="1"/>
  <c r="L26" i="42685"/>
  <c r="L32" i="42685" s="1"/>
  <c r="L93" i="42685" s="1"/>
  <c r="K26" i="42685"/>
  <c r="K32" i="42685" s="1"/>
  <c r="K93" i="42685" s="1"/>
  <c r="J26" i="42685"/>
  <c r="J32" i="42685" s="1"/>
  <c r="J93" i="42685" s="1"/>
  <c r="I26" i="42685"/>
  <c r="I32" i="42685" s="1"/>
  <c r="I93" i="42685" s="1"/>
  <c r="H26" i="42685"/>
  <c r="H32" i="42685" s="1"/>
  <c r="H93" i="42685" s="1"/>
  <c r="G26" i="42685"/>
  <c r="G32" i="42685" s="1"/>
  <c r="G93" i="42685" s="1"/>
  <c r="F26" i="42685"/>
  <c r="F32" i="42685" s="1"/>
  <c r="F93" i="42685" s="1"/>
  <c r="Q23" i="42685"/>
  <c r="Q87" i="42685" s="1"/>
  <c r="P23" i="42685"/>
  <c r="P87" i="42685" s="1"/>
  <c r="P90" i="42685" s="1"/>
  <c r="O23" i="42685"/>
  <c r="O87" i="42685" s="1"/>
  <c r="N23" i="42685"/>
  <c r="N87" i="42685" s="1"/>
  <c r="N90" i="42685" s="1"/>
  <c r="M23" i="42685"/>
  <c r="M87" i="42685" s="1"/>
  <c r="L23" i="42685"/>
  <c r="L87" i="42685" s="1"/>
  <c r="L90" i="42685" s="1"/>
  <c r="K23" i="42685"/>
  <c r="K87" i="42685" s="1"/>
  <c r="J23" i="42685"/>
  <c r="J87" i="42685" s="1"/>
  <c r="J90" i="42685" s="1"/>
  <c r="I23" i="42685"/>
  <c r="I87" i="42685" s="1"/>
  <c r="H23" i="42685"/>
  <c r="H87" i="42685" s="1"/>
  <c r="H90" i="42685" s="1"/>
  <c r="G23" i="42685"/>
  <c r="G87" i="42685" s="1"/>
  <c r="F23" i="42685"/>
  <c r="F87" i="42685" s="1"/>
  <c r="F90" i="42685" s="1"/>
  <c r="R22" i="42685"/>
  <c r="R21" i="42685"/>
  <c r="R20" i="42685"/>
  <c r="R19" i="42685"/>
  <c r="R18" i="42685"/>
  <c r="R17" i="42685"/>
  <c r="R23" i="42685" s="1"/>
  <c r="R87" i="42685" s="1"/>
  <c r="Q6" i="42685"/>
  <c r="P6" i="42685"/>
  <c r="O6" i="42685"/>
  <c r="N6" i="42685"/>
  <c r="M6" i="42685"/>
  <c r="L6" i="42685"/>
  <c r="K6" i="42685"/>
  <c r="J6" i="42685"/>
  <c r="I6" i="42685"/>
  <c r="H6" i="42685"/>
  <c r="G6" i="42685"/>
  <c r="F6" i="42685"/>
  <c r="B4" i="42685"/>
  <c r="B2" i="42685"/>
  <c r="B1" i="42685"/>
  <c r="Q51" i="42684"/>
  <c r="P51" i="42684"/>
  <c r="O51" i="42684"/>
  <c r="N51" i="42684"/>
  <c r="M51" i="42684"/>
  <c r="L51" i="42684"/>
  <c r="K51" i="42684"/>
  <c r="J51" i="42684"/>
  <c r="I51" i="42684"/>
  <c r="H51" i="42684"/>
  <c r="G51" i="42684"/>
  <c r="F51" i="42684"/>
  <c r="P41" i="42684"/>
  <c r="P43" i="42684" s="1"/>
  <c r="L41" i="42684"/>
  <c r="L43" i="42684" s="1"/>
  <c r="H41" i="42684"/>
  <c r="H43" i="42684" s="1"/>
  <c r="R40" i="42684"/>
  <c r="N16" i="42684"/>
  <c r="J16" i="42684"/>
  <c r="F16" i="42684"/>
  <c r="Q6" i="42684"/>
  <c r="P6" i="42684"/>
  <c r="O6" i="42684"/>
  <c r="N6" i="42684"/>
  <c r="M6" i="42684"/>
  <c r="L6" i="42684"/>
  <c r="K6" i="42684"/>
  <c r="J6" i="42684"/>
  <c r="I6" i="42684"/>
  <c r="H6" i="42684"/>
  <c r="G6" i="42684"/>
  <c r="F6" i="42684"/>
  <c r="B4" i="42684"/>
  <c r="B2" i="42684"/>
  <c r="B1" i="42684"/>
  <c r="P99" i="42683"/>
  <c r="Q52" i="42684" s="1"/>
  <c r="O99" i="42683"/>
  <c r="P52" i="42684" s="1"/>
  <c r="N99" i="42683"/>
  <c r="O52" i="42684" s="1"/>
  <c r="M99" i="42683"/>
  <c r="N52" i="42684" s="1"/>
  <c r="L99" i="42683"/>
  <c r="M52" i="42684" s="1"/>
  <c r="K99" i="42683"/>
  <c r="L52" i="42684" s="1"/>
  <c r="J99" i="42683"/>
  <c r="K52" i="42684" s="1"/>
  <c r="I99" i="42683"/>
  <c r="J52" i="42684" s="1"/>
  <c r="H99" i="42683"/>
  <c r="I52" i="42684" s="1"/>
  <c r="G99" i="42683"/>
  <c r="H52" i="42684" s="1"/>
  <c r="F99" i="42683"/>
  <c r="G52" i="42684" s="1"/>
  <c r="E99" i="42683"/>
  <c r="F52" i="42684" s="1"/>
  <c r="G91" i="42683"/>
  <c r="P90" i="42683"/>
  <c r="L90" i="42683"/>
  <c r="H90" i="42683"/>
  <c r="O89" i="42683"/>
  <c r="K89" i="42683"/>
  <c r="G89" i="42683"/>
  <c r="P88" i="42683"/>
  <c r="L88" i="42683"/>
  <c r="H88" i="42683"/>
  <c r="O87" i="42683"/>
  <c r="K87" i="42683"/>
  <c r="G87" i="42683"/>
  <c r="P86" i="42683"/>
  <c r="Q420" i="42689" s="1"/>
  <c r="L86" i="42683"/>
  <c r="M420" i="42689" s="1"/>
  <c r="H86" i="42683"/>
  <c r="I420" i="42689" s="1"/>
  <c r="P83" i="42683"/>
  <c r="Q30" i="42684" s="1"/>
  <c r="O83" i="42683"/>
  <c r="P30" i="42684" s="1"/>
  <c r="N83" i="42683"/>
  <c r="O30" i="42684" s="1"/>
  <c r="M83" i="42683"/>
  <c r="N30" i="42684" s="1"/>
  <c r="L83" i="42683"/>
  <c r="M30" i="42684" s="1"/>
  <c r="K83" i="42683"/>
  <c r="L30" i="42684" s="1"/>
  <c r="J83" i="42683"/>
  <c r="K30" i="42684" s="1"/>
  <c r="I83" i="42683"/>
  <c r="J30" i="42684" s="1"/>
  <c r="H83" i="42683"/>
  <c r="I30" i="42684" s="1"/>
  <c r="G83" i="42683"/>
  <c r="H30" i="42684" s="1"/>
  <c r="F83" i="42683"/>
  <c r="G30" i="42684" s="1"/>
  <c r="E83" i="42683"/>
  <c r="F30" i="42684" s="1"/>
  <c r="P82" i="42683"/>
  <c r="Q41" i="42684" s="1"/>
  <c r="Q43" i="42684" s="1"/>
  <c r="O82" i="42683"/>
  <c r="N82" i="42683"/>
  <c r="O41" i="42684" s="1"/>
  <c r="O43" i="42684" s="1"/>
  <c r="M82" i="42683"/>
  <c r="N41" i="42684" s="1"/>
  <c r="N43" i="42684" s="1"/>
  <c r="L82" i="42683"/>
  <c r="M41" i="42684" s="1"/>
  <c r="M43" i="42684" s="1"/>
  <c r="K82" i="42683"/>
  <c r="J82" i="42683"/>
  <c r="K41" i="42684" s="1"/>
  <c r="K43" i="42684" s="1"/>
  <c r="I82" i="42683"/>
  <c r="J41" i="42684" s="1"/>
  <c r="J43" i="42684" s="1"/>
  <c r="H82" i="42683"/>
  <c r="I41" i="42684" s="1"/>
  <c r="I43" i="42684" s="1"/>
  <c r="G82" i="42683"/>
  <c r="F82" i="42683"/>
  <c r="G41" i="42684" s="1"/>
  <c r="G43" i="42684" s="1"/>
  <c r="E82" i="42683"/>
  <c r="P81" i="42683"/>
  <c r="Q29" i="42684" s="1"/>
  <c r="O81" i="42683"/>
  <c r="P29" i="42684" s="1"/>
  <c r="N81" i="42683"/>
  <c r="O29" i="42684" s="1"/>
  <c r="M81" i="42683"/>
  <c r="N29" i="42684" s="1"/>
  <c r="L81" i="42683"/>
  <c r="M29" i="42684" s="1"/>
  <c r="K81" i="42683"/>
  <c r="L29" i="42684" s="1"/>
  <c r="J81" i="42683"/>
  <c r="K29" i="42684" s="1"/>
  <c r="I81" i="42683"/>
  <c r="J29" i="42684" s="1"/>
  <c r="H81" i="42683"/>
  <c r="I29" i="42684" s="1"/>
  <c r="G81" i="42683"/>
  <c r="H29" i="42684" s="1"/>
  <c r="F81" i="42683"/>
  <c r="G29" i="42684" s="1"/>
  <c r="E81" i="42683"/>
  <c r="F29" i="42684" s="1"/>
  <c r="P80" i="42683"/>
  <c r="Q28" i="42684" s="1"/>
  <c r="O80" i="42683"/>
  <c r="P28" i="42684" s="1"/>
  <c r="P32" i="42684" s="1"/>
  <c r="N80" i="42683"/>
  <c r="O28" i="42684" s="1"/>
  <c r="M80" i="42683"/>
  <c r="N28" i="42684" s="1"/>
  <c r="N32" i="42684" s="1"/>
  <c r="L80" i="42683"/>
  <c r="M28" i="42684" s="1"/>
  <c r="K80" i="42683"/>
  <c r="L28" i="42684" s="1"/>
  <c r="L32" i="42684" s="1"/>
  <c r="J80" i="42683"/>
  <c r="K28" i="42684" s="1"/>
  <c r="I80" i="42683"/>
  <c r="J28" i="42684" s="1"/>
  <c r="J32" i="42684" s="1"/>
  <c r="H80" i="42683"/>
  <c r="I28" i="42684" s="1"/>
  <c r="G80" i="42683"/>
  <c r="H28" i="42684" s="1"/>
  <c r="H32" i="42684" s="1"/>
  <c r="F80" i="42683"/>
  <c r="G28" i="42684" s="1"/>
  <c r="E80" i="42683"/>
  <c r="F28" i="42684" s="1"/>
  <c r="P66" i="42683"/>
  <c r="Q17" i="42684" s="1"/>
  <c r="O66" i="42683"/>
  <c r="P17" i="42684" s="1"/>
  <c r="N66" i="42683"/>
  <c r="O17" i="42684" s="1"/>
  <c r="M66" i="42683"/>
  <c r="N17" i="42684" s="1"/>
  <c r="L66" i="42683"/>
  <c r="M17" i="42684" s="1"/>
  <c r="K66" i="42683"/>
  <c r="L17" i="42684" s="1"/>
  <c r="J66" i="42683"/>
  <c r="K17" i="42684" s="1"/>
  <c r="I66" i="42683"/>
  <c r="J17" i="42684" s="1"/>
  <c r="H66" i="42683"/>
  <c r="I17" i="42684" s="1"/>
  <c r="G66" i="42683"/>
  <c r="H17" i="42684" s="1"/>
  <c r="F66" i="42683"/>
  <c r="G17" i="42684" s="1"/>
  <c r="E66" i="42683"/>
  <c r="F17" i="42684" s="1"/>
  <c r="P65" i="42683"/>
  <c r="Q16" i="42684" s="1"/>
  <c r="O65" i="42683"/>
  <c r="P16" i="42684" s="1"/>
  <c r="N65" i="42683"/>
  <c r="O16" i="42684" s="1"/>
  <c r="M65" i="42683"/>
  <c r="L65" i="42683"/>
  <c r="M16" i="42684" s="1"/>
  <c r="K65" i="42683"/>
  <c r="L16" i="42684" s="1"/>
  <c r="J65" i="42683"/>
  <c r="K16" i="42684" s="1"/>
  <c r="I65" i="42683"/>
  <c r="H65" i="42683"/>
  <c r="I16" i="42684" s="1"/>
  <c r="G65" i="42683"/>
  <c r="H16" i="42684" s="1"/>
  <c r="F65" i="42683"/>
  <c r="G16" i="42684" s="1"/>
  <c r="E65" i="42683"/>
  <c r="P64" i="42683"/>
  <c r="Q59" i="42684" s="1"/>
  <c r="O64" i="42683"/>
  <c r="P15" i="42684" s="1"/>
  <c r="N64" i="42683"/>
  <c r="O59" i="42684" s="1"/>
  <c r="M64" i="42683"/>
  <c r="N15" i="42684" s="1"/>
  <c r="L64" i="42683"/>
  <c r="M59" i="42684" s="1"/>
  <c r="K64" i="42683"/>
  <c r="L15" i="42684" s="1"/>
  <c r="J64" i="42683"/>
  <c r="K59" i="42684" s="1"/>
  <c r="I64" i="42683"/>
  <c r="J15" i="42684" s="1"/>
  <c r="H64" i="42683"/>
  <c r="I59" i="42684" s="1"/>
  <c r="G64" i="42683"/>
  <c r="H15" i="42684" s="1"/>
  <c r="F64" i="42683"/>
  <c r="G59" i="42684" s="1"/>
  <c r="E64" i="42683"/>
  <c r="F15" i="42684" s="1"/>
  <c r="Q50" i="42683"/>
  <c r="P49" i="42683"/>
  <c r="P51" i="42683" s="1"/>
  <c r="O49" i="42683"/>
  <c r="O51" i="42683" s="1"/>
  <c r="N49" i="42683"/>
  <c r="N51" i="42683" s="1"/>
  <c r="M49" i="42683"/>
  <c r="M51" i="42683" s="1"/>
  <c r="L49" i="42683"/>
  <c r="L51" i="42683" s="1"/>
  <c r="K49" i="42683"/>
  <c r="K51" i="42683" s="1"/>
  <c r="J49" i="42683"/>
  <c r="J51" i="42683" s="1"/>
  <c r="I49" i="42683"/>
  <c r="I51" i="42683" s="1"/>
  <c r="H49" i="42683"/>
  <c r="H51" i="42683" s="1"/>
  <c r="G49" i="42683"/>
  <c r="G51" i="42683" s="1"/>
  <c r="F49" i="42683"/>
  <c r="F51" i="42683" s="1"/>
  <c r="E49" i="42683"/>
  <c r="E51" i="42683" s="1"/>
  <c r="Q47" i="42683"/>
  <c r="A47" i="42683"/>
  <c r="Q46" i="42683"/>
  <c r="A46" i="42683"/>
  <c r="Q45" i="42683"/>
  <c r="A45" i="42683"/>
  <c r="Q44" i="42683"/>
  <c r="A44" i="42683"/>
  <c r="Q43" i="42683"/>
  <c r="A43" i="42683"/>
  <c r="Q42" i="42683"/>
  <c r="A42" i="42683"/>
  <c r="Q41" i="42683"/>
  <c r="A41" i="42683"/>
  <c r="Q40" i="42683"/>
  <c r="A40" i="42683"/>
  <c r="P60" i="42683" s="1"/>
  <c r="A39" i="42683"/>
  <c r="Q38" i="42683"/>
  <c r="A38" i="42683"/>
  <c r="Q37" i="42683"/>
  <c r="A37" i="42683"/>
  <c r="A36" i="42683"/>
  <c r="Q35" i="42683"/>
  <c r="Q34" i="42683"/>
  <c r="A34" i="42683"/>
  <c r="Q33" i="42683"/>
  <c r="A33" i="42683"/>
  <c r="Q32" i="42683"/>
  <c r="A32" i="42683"/>
  <c r="Q31" i="42683"/>
  <c r="A31" i="42683"/>
  <c r="Q30" i="42683"/>
  <c r="A30" i="42683"/>
  <c r="Q29" i="42683"/>
  <c r="A29" i="42683"/>
  <c r="Q28" i="42683"/>
  <c r="A28" i="42683"/>
  <c r="Q27" i="42683"/>
  <c r="A27" i="42683"/>
  <c r="Q26" i="42683"/>
  <c r="A26" i="42683"/>
  <c r="Q25" i="42683"/>
  <c r="A25" i="42683"/>
  <c r="Q24" i="42683"/>
  <c r="A24" i="42683"/>
  <c r="Q23" i="42683"/>
  <c r="A23" i="42683"/>
  <c r="Q22" i="42683"/>
  <c r="Q49" i="42683" s="1"/>
  <c r="Q51" i="42683" s="1"/>
  <c r="A22" i="42683"/>
  <c r="O96" i="42683" s="1"/>
  <c r="A21" i="42683"/>
  <c r="Q20" i="42683"/>
  <c r="A20" i="42683"/>
  <c r="Q19" i="42683"/>
  <c r="A19" i="42683"/>
  <c r="Q18" i="42683"/>
  <c r="A18" i="42683"/>
  <c r="Q17" i="42683"/>
  <c r="A17" i="42683"/>
  <c r="Q16" i="42683"/>
  <c r="A16" i="42683"/>
  <c r="Q15" i="42683"/>
  <c r="A15" i="42683"/>
  <c r="Q14" i="42683"/>
  <c r="A14" i="42683"/>
  <c r="Q13" i="42683"/>
  <c r="A13" i="42683"/>
  <c r="Q12" i="42683"/>
  <c r="A12" i="42683"/>
  <c r="Q11" i="42683"/>
  <c r="A11" i="42683"/>
  <c r="Q10" i="42683"/>
  <c r="A10" i="42683"/>
  <c r="Q9" i="42683"/>
  <c r="A9" i="42683"/>
  <c r="Q8" i="42683"/>
  <c r="A8" i="42683"/>
  <c r="Q7" i="42683"/>
  <c r="A7" i="42683"/>
  <c r="Q6" i="42683"/>
  <c r="A6" i="42683"/>
  <c r="Q5" i="42683"/>
  <c r="A5" i="42683"/>
  <c r="P78" i="42683" s="1"/>
  <c r="P4" i="42683"/>
  <c r="O4" i="42683"/>
  <c r="N4" i="42683"/>
  <c r="M4" i="42683"/>
  <c r="L4" i="42683"/>
  <c r="K4" i="42683"/>
  <c r="J4" i="42683"/>
  <c r="I4" i="42683"/>
  <c r="H4" i="42683"/>
  <c r="G4" i="42683"/>
  <c r="F4" i="42683"/>
  <c r="E4" i="42683"/>
  <c r="B2" i="42683"/>
  <c r="N194" i="42682"/>
  <c r="M194" i="42682"/>
  <c r="L194" i="42682"/>
  <c r="K194" i="42682"/>
  <c r="J194" i="42682"/>
  <c r="I194" i="42682"/>
  <c r="H194" i="42682"/>
  <c r="G194" i="42682"/>
  <c r="F194" i="42682"/>
  <c r="E194" i="42682"/>
  <c r="D194" i="42682"/>
  <c r="C194" i="42682"/>
  <c r="O193" i="42682"/>
  <c r="O192" i="42682"/>
  <c r="O191" i="42682"/>
  <c r="O190" i="42682"/>
  <c r="O189" i="42682"/>
  <c r="O188" i="42682"/>
  <c r="O187" i="42682"/>
  <c r="O186" i="42682"/>
  <c r="O185" i="42682"/>
  <c r="O184" i="42682"/>
  <c r="F363" i="42698" s="1"/>
  <c r="O183" i="42682"/>
  <c r="N178" i="42682"/>
  <c r="M178" i="42682"/>
  <c r="L178" i="42682"/>
  <c r="K178" i="42682"/>
  <c r="J178" i="42682"/>
  <c r="I178" i="42682"/>
  <c r="H178" i="42682"/>
  <c r="G178" i="42682"/>
  <c r="F178" i="42682"/>
  <c r="E178" i="42682"/>
  <c r="D178" i="42682"/>
  <c r="C178" i="42682"/>
  <c r="O177" i="42682"/>
  <c r="O176" i="42682"/>
  <c r="O175" i="42682"/>
  <c r="O174" i="42682"/>
  <c r="O173" i="42682"/>
  <c r="O172" i="42682"/>
  <c r="O171" i="42682"/>
  <c r="O170" i="42682"/>
  <c r="O169" i="42682"/>
  <c r="O168" i="42682"/>
  <c r="O167" i="42682"/>
  <c r="O166" i="42682"/>
  <c r="O165" i="42682"/>
  <c r="O164" i="42682"/>
  <c r="O163" i="42682"/>
  <c r="O162" i="42682"/>
  <c r="O178" i="42682" s="1"/>
  <c r="N158" i="42682"/>
  <c r="M158" i="42682"/>
  <c r="L158" i="42682"/>
  <c r="K158" i="42682"/>
  <c r="J158" i="42682"/>
  <c r="I158" i="42682"/>
  <c r="H158" i="42682"/>
  <c r="G158" i="42682"/>
  <c r="F158" i="42682"/>
  <c r="E158" i="42682"/>
  <c r="D158" i="42682"/>
  <c r="C158" i="42682"/>
  <c r="O157" i="42682"/>
  <c r="O156" i="42682"/>
  <c r="O155" i="42682"/>
  <c r="O154" i="42682"/>
  <c r="O153" i="42682"/>
  <c r="O152" i="42682"/>
  <c r="O151" i="42682"/>
  <c r="O150" i="42682"/>
  <c r="O149" i="42682"/>
  <c r="O148" i="42682"/>
  <c r="O147" i="42682"/>
  <c r="O146" i="42682"/>
  <c r="O145" i="42682"/>
  <c r="O144" i="42682"/>
  <c r="O143" i="42682"/>
  <c r="O142" i="42682"/>
  <c r="O141" i="42682"/>
  <c r="O140" i="42682"/>
  <c r="O139" i="42682"/>
  <c r="O138" i="42682"/>
  <c r="O158" i="42682" s="1"/>
  <c r="N132" i="42682"/>
  <c r="M132" i="42682"/>
  <c r="L132" i="42682"/>
  <c r="K132" i="42682"/>
  <c r="J132" i="42682"/>
  <c r="I132" i="42682"/>
  <c r="H132" i="42682"/>
  <c r="G132" i="42682"/>
  <c r="F132" i="42682"/>
  <c r="E132" i="42682"/>
  <c r="D132" i="42682"/>
  <c r="C132" i="42682"/>
  <c r="O131" i="42682"/>
  <c r="O130" i="42682"/>
  <c r="O132" i="42682" s="1"/>
  <c r="O129" i="42682"/>
  <c r="N122" i="42682"/>
  <c r="M122" i="42682"/>
  <c r="L122" i="42682"/>
  <c r="K122" i="42682"/>
  <c r="J122" i="42682"/>
  <c r="I122" i="42682"/>
  <c r="H122" i="42682"/>
  <c r="G122" i="42682"/>
  <c r="F122" i="42682"/>
  <c r="E122" i="42682"/>
  <c r="D122" i="42682"/>
  <c r="C122" i="42682"/>
  <c r="O121" i="42682"/>
  <c r="O120" i="42682"/>
  <c r="O119" i="42682"/>
  <c r="O116" i="42682"/>
  <c r="O86" i="42682"/>
  <c r="J15" i="42699" s="1"/>
  <c r="O79" i="42682"/>
  <c r="O57" i="42682"/>
  <c r="O33" i="42682"/>
  <c r="G13" i="42699" s="1"/>
  <c r="O31" i="42682"/>
  <c r="N31" i="42682"/>
  <c r="M31" i="42682"/>
  <c r="L31" i="42682"/>
  <c r="K31" i="42682"/>
  <c r="J31" i="42682"/>
  <c r="I31" i="42682"/>
  <c r="H31" i="42682"/>
  <c r="G31" i="42682"/>
  <c r="F31" i="42682"/>
  <c r="E31" i="42682"/>
  <c r="D31" i="42682"/>
  <c r="C31" i="42682"/>
  <c r="O14" i="42682"/>
  <c r="N14" i="42682"/>
  <c r="M14" i="42682"/>
  <c r="L14" i="42682"/>
  <c r="K14" i="42682"/>
  <c r="J14" i="42682"/>
  <c r="I14" i="42682"/>
  <c r="H14" i="42682"/>
  <c r="G14" i="42682"/>
  <c r="F14" i="42682"/>
  <c r="E14" i="42682"/>
  <c r="D14" i="42682"/>
  <c r="C14" i="42682"/>
  <c r="B2" i="42682"/>
  <c r="I32" i="42684" l="1"/>
  <c r="M32" i="42684"/>
  <c r="O32" i="42684"/>
  <c r="K15" i="42684"/>
  <c r="I54" i="42684"/>
  <c r="O54" i="42684"/>
  <c r="J32" i="42686"/>
  <c r="J93" i="42686" s="1"/>
  <c r="N32" i="42686"/>
  <c r="N93" i="42686" s="1"/>
  <c r="R30" i="42686"/>
  <c r="F27" i="42686"/>
  <c r="R27" i="42686" s="1"/>
  <c r="F31" i="42686"/>
  <c r="R31" i="42686" s="1"/>
  <c r="H83" i="42686"/>
  <c r="H95" i="42686" s="1"/>
  <c r="N83" i="42686"/>
  <c r="N95" i="42686" s="1"/>
  <c r="R81" i="42686"/>
  <c r="F80" i="42686"/>
  <c r="R80" i="42686" s="1"/>
  <c r="F82" i="42686"/>
  <c r="R82" i="42686" s="1"/>
  <c r="G32" i="42684"/>
  <c r="K32" i="42684"/>
  <c r="Q32" i="42684"/>
  <c r="G15" i="42684"/>
  <c r="O15" i="42684"/>
  <c r="G54" i="42684"/>
  <c r="K54" i="42684"/>
  <c r="M54" i="42684"/>
  <c r="Q54" i="42684"/>
  <c r="H32" i="42686"/>
  <c r="H93" i="42686" s="1"/>
  <c r="L32" i="42686"/>
  <c r="L93" i="42686" s="1"/>
  <c r="P32" i="42686"/>
  <c r="P93" i="42686" s="1"/>
  <c r="R28" i="42686"/>
  <c r="F29" i="42686"/>
  <c r="R29" i="42686" s="1"/>
  <c r="J83" i="42686"/>
  <c r="J95" i="42686" s="1"/>
  <c r="L83" i="42686"/>
  <c r="L95" i="42686" s="1"/>
  <c r="P83" i="42686"/>
  <c r="P95" i="42686" s="1"/>
  <c r="H32" i="42687"/>
  <c r="H93" i="42687" s="1"/>
  <c r="L32" i="42687"/>
  <c r="L93" i="42687" s="1"/>
  <c r="P32" i="42687"/>
  <c r="P93" i="42687" s="1"/>
  <c r="O122" i="42682"/>
  <c r="Q65" i="42683"/>
  <c r="R17" i="42684"/>
  <c r="Q82" i="42683"/>
  <c r="R30" i="42684"/>
  <c r="F86" i="42683"/>
  <c r="J86" i="42683"/>
  <c r="N86" i="42683"/>
  <c r="E87" i="42683"/>
  <c r="I87" i="42683"/>
  <c r="M87" i="42683"/>
  <c r="F88" i="42683"/>
  <c r="J88" i="42683"/>
  <c r="N88" i="42683"/>
  <c r="E89" i="42683"/>
  <c r="I89" i="42683"/>
  <c r="M89" i="42683"/>
  <c r="F90" i="42683"/>
  <c r="G651" i="42689" s="1"/>
  <c r="J90" i="42683"/>
  <c r="N90" i="42683"/>
  <c r="E91" i="42683"/>
  <c r="R52" i="42684"/>
  <c r="I15" i="42684"/>
  <c r="M15" i="42684"/>
  <c r="Q15" i="42684"/>
  <c r="F41" i="42684"/>
  <c r="F43" i="42684" s="1"/>
  <c r="R52" i="42685"/>
  <c r="R88" i="42685" s="1"/>
  <c r="R90" i="42685" s="1"/>
  <c r="R55" i="42685"/>
  <c r="F62" i="42685"/>
  <c r="F94" i="42685" s="1"/>
  <c r="H62" i="42685"/>
  <c r="H94" i="42685" s="1"/>
  <c r="H96" i="42685" s="1"/>
  <c r="J62" i="42685"/>
  <c r="J94" i="42685" s="1"/>
  <c r="J96" i="42685" s="1"/>
  <c r="L62" i="42685"/>
  <c r="L94" i="42685" s="1"/>
  <c r="L96" i="42685" s="1"/>
  <c r="N62" i="42685"/>
  <c r="N94" i="42685" s="1"/>
  <c r="N96" i="42685" s="1"/>
  <c r="P62" i="42685"/>
  <c r="P94" i="42685" s="1"/>
  <c r="P96" i="42685" s="1"/>
  <c r="R57" i="42685"/>
  <c r="R58" i="42685"/>
  <c r="R59" i="42685"/>
  <c r="R60" i="42685"/>
  <c r="R61" i="42685"/>
  <c r="R76" i="42685"/>
  <c r="R89" i="42685" s="1"/>
  <c r="R80" i="42685"/>
  <c r="R81" i="42685"/>
  <c r="R82" i="42685"/>
  <c r="I26" i="42686"/>
  <c r="M26" i="42686"/>
  <c r="Q26" i="42686"/>
  <c r="I79" i="42686"/>
  <c r="M79" i="42686"/>
  <c r="Q79" i="42686"/>
  <c r="R19" i="42687"/>
  <c r="R21" i="42687"/>
  <c r="F30" i="42687"/>
  <c r="F26" i="42687"/>
  <c r="J26" i="42687"/>
  <c r="N26" i="42687"/>
  <c r="F28" i="42687"/>
  <c r="I79" i="42687"/>
  <c r="M79" i="42687"/>
  <c r="Q79" i="42687"/>
  <c r="C33" i="42688"/>
  <c r="G33" i="42688"/>
  <c r="K33" i="42688"/>
  <c r="I81" i="42689"/>
  <c r="M81" i="42689"/>
  <c r="Q81" i="42689"/>
  <c r="I166" i="42689"/>
  <c r="M166" i="42689"/>
  <c r="Q166" i="42689"/>
  <c r="I267" i="42689"/>
  <c r="M267" i="42689"/>
  <c r="Q267" i="42689"/>
  <c r="G340" i="42689"/>
  <c r="K340" i="42689"/>
  <c r="O340" i="42689"/>
  <c r="G563" i="42689"/>
  <c r="K563" i="42689"/>
  <c r="O563" i="42689"/>
  <c r="R606" i="42689"/>
  <c r="R608" i="42689"/>
  <c r="F627" i="42689"/>
  <c r="R708" i="42689"/>
  <c r="H763" i="42689"/>
  <c r="J763" i="42689"/>
  <c r="L763" i="42689"/>
  <c r="N763" i="42689"/>
  <c r="P763" i="42689"/>
  <c r="J795" i="42689"/>
  <c r="N795" i="42689"/>
  <c r="I70" i="42690"/>
  <c r="M70" i="42690"/>
  <c r="Q70" i="42690"/>
  <c r="H116" i="42690"/>
  <c r="L116" i="42690"/>
  <c r="P116" i="42690"/>
  <c r="I124" i="42690"/>
  <c r="M124" i="42690"/>
  <c r="Q124" i="42690"/>
  <c r="I155" i="42690"/>
  <c r="M155" i="42690"/>
  <c r="Q155" i="42690"/>
  <c r="J163" i="42690"/>
  <c r="N163" i="42690"/>
  <c r="F198" i="42690"/>
  <c r="J198" i="42690"/>
  <c r="N198" i="42690"/>
  <c r="R199" i="42690"/>
  <c r="R228" i="42690"/>
  <c r="H242" i="42690"/>
  <c r="L242" i="42690"/>
  <c r="P242" i="42690"/>
  <c r="I256" i="42690"/>
  <c r="M256" i="42690"/>
  <c r="Q256" i="42690"/>
  <c r="H296" i="42690"/>
  <c r="L296" i="42690"/>
  <c r="P296" i="42690"/>
  <c r="K809" i="42690"/>
  <c r="K829" i="42690" s="1"/>
  <c r="K329" i="42690"/>
  <c r="M809" i="42690"/>
  <c r="M829" i="42690" s="1"/>
  <c r="M329" i="42690"/>
  <c r="O809" i="42690"/>
  <c r="O829" i="42690" s="1"/>
  <c r="O329" i="42690"/>
  <c r="Q809" i="42690"/>
  <c r="Q829" i="42690" s="1"/>
  <c r="Q329" i="42690"/>
  <c r="G329" i="42690"/>
  <c r="R46" i="42687"/>
  <c r="R48" i="42687"/>
  <c r="R50" i="42687"/>
  <c r="F56" i="42687"/>
  <c r="F58" i="42687"/>
  <c r="F60" i="42687"/>
  <c r="R81" i="42687"/>
  <c r="G79" i="42687"/>
  <c r="K79" i="42687"/>
  <c r="O79" i="42687"/>
  <c r="E33" i="42688"/>
  <c r="I33" i="42688"/>
  <c r="M33" i="42688"/>
  <c r="G81" i="42689"/>
  <c r="K81" i="42689"/>
  <c r="O81" i="42689"/>
  <c r="F127" i="42689"/>
  <c r="J127" i="42689"/>
  <c r="N127" i="42689"/>
  <c r="G166" i="42689"/>
  <c r="K166" i="42689"/>
  <c r="O166" i="42689"/>
  <c r="R246" i="42689"/>
  <c r="R247" i="42689"/>
  <c r="R248" i="42689"/>
  <c r="R249" i="42689"/>
  <c r="R898" i="42689"/>
  <c r="G267" i="42689"/>
  <c r="K267" i="42689"/>
  <c r="O267" i="42689"/>
  <c r="R299" i="42689"/>
  <c r="I340" i="42689"/>
  <c r="M340" i="42689"/>
  <c r="Q340" i="42689"/>
  <c r="G390" i="42689"/>
  <c r="K390" i="42689"/>
  <c r="O390" i="42689"/>
  <c r="R393" i="42689"/>
  <c r="R394" i="42689"/>
  <c r="R395" i="42689"/>
  <c r="R396" i="42689"/>
  <c r="R822" i="42689"/>
  <c r="H466" i="42689"/>
  <c r="L466" i="42689"/>
  <c r="P466" i="42689"/>
  <c r="R825" i="42689"/>
  <c r="I563" i="42689"/>
  <c r="M563" i="42689"/>
  <c r="Q563" i="42689"/>
  <c r="G613" i="42689"/>
  <c r="R613" i="42689" s="1"/>
  <c r="I613" i="42689"/>
  <c r="K613" i="42689"/>
  <c r="M613" i="42689"/>
  <c r="O613" i="42689"/>
  <c r="Q613" i="42689"/>
  <c r="G709" i="42689"/>
  <c r="I709" i="42689"/>
  <c r="K709" i="42689"/>
  <c r="M709" i="42689"/>
  <c r="O709" i="42689"/>
  <c r="Q709" i="42689"/>
  <c r="R783" i="42689"/>
  <c r="H795" i="42689"/>
  <c r="L795" i="42689"/>
  <c r="P795" i="42689"/>
  <c r="G70" i="42690"/>
  <c r="K70" i="42690"/>
  <c r="O70" i="42690"/>
  <c r="F116" i="42690"/>
  <c r="J116" i="42690"/>
  <c r="N116" i="42690"/>
  <c r="G124" i="42690"/>
  <c r="K124" i="42690"/>
  <c r="O124" i="42690"/>
  <c r="R151" i="42690"/>
  <c r="G155" i="42690"/>
  <c r="K155" i="42690"/>
  <c r="O155" i="42690"/>
  <c r="H163" i="42690"/>
  <c r="L163" i="42690"/>
  <c r="P163" i="42690"/>
  <c r="H198" i="42690"/>
  <c r="L198" i="42690"/>
  <c r="P198" i="42690"/>
  <c r="F242" i="42690"/>
  <c r="J242" i="42690"/>
  <c r="N242" i="42690"/>
  <c r="G256" i="42690"/>
  <c r="K256" i="42690"/>
  <c r="O256" i="42690"/>
  <c r="F296" i="42690"/>
  <c r="J296" i="42690"/>
  <c r="N296" i="42690"/>
  <c r="G894" i="42690"/>
  <c r="G911" i="42690" s="1"/>
  <c r="G337" i="42690"/>
  <c r="I894" i="42690"/>
  <c r="I911" i="42690" s="1"/>
  <c r="I337" i="42690"/>
  <c r="K894" i="42690"/>
  <c r="K911" i="42690" s="1"/>
  <c r="K337" i="42690"/>
  <c r="M894" i="42690"/>
  <c r="M911" i="42690" s="1"/>
  <c r="M337" i="42690"/>
  <c r="O894" i="42690"/>
  <c r="O911" i="42690" s="1"/>
  <c r="O337" i="42690"/>
  <c r="Q894" i="42690"/>
  <c r="Q911" i="42690" s="1"/>
  <c r="Q337" i="42690"/>
  <c r="I329" i="42690"/>
  <c r="G379" i="42690"/>
  <c r="K379" i="42690"/>
  <c r="O379" i="42690"/>
  <c r="R382" i="42690"/>
  <c r="R383" i="42690"/>
  <c r="R384" i="42690"/>
  <c r="R385" i="42690"/>
  <c r="G391" i="42690"/>
  <c r="K391" i="42690"/>
  <c r="O391" i="42690"/>
  <c r="R394" i="42690"/>
  <c r="H455" i="42690"/>
  <c r="L455" i="42690"/>
  <c r="P455" i="42690"/>
  <c r="R515" i="42690"/>
  <c r="R527" i="42690"/>
  <c r="I552" i="42690"/>
  <c r="M552" i="42690"/>
  <c r="Q552" i="42690"/>
  <c r="G698" i="42690"/>
  <c r="I698" i="42690"/>
  <c r="K698" i="42690"/>
  <c r="M698" i="42690"/>
  <c r="O698" i="42690"/>
  <c r="Q698" i="42690"/>
  <c r="I784" i="42690"/>
  <c r="M784" i="42690"/>
  <c r="Q784" i="42690"/>
  <c r="I793" i="42690"/>
  <c r="M793" i="42690"/>
  <c r="Q793" i="42690"/>
  <c r="S960" i="42690"/>
  <c r="F116" i="42691"/>
  <c r="J116" i="42691"/>
  <c r="N116" i="42691"/>
  <c r="H119" i="42691"/>
  <c r="L119" i="42691"/>
  <c r="P119" i="42691"/>
  <c r="H155" i="42691"/>
  <c r="L155" i="42691"/>
  <c r="P155" i="42691"/>
  <c r="F158" i="42691"/>
  <c r="J158" i="42691"/>
  <c r="P158" i="42691"/>
  <c r="R340" i="42690"/>
  <c r="I379" i="42690"/>
  <c r="M379" i="42690"/>
  <c r="Q379" i="42690"/>
  <c r="I391" i="42690"/>
  <c r="M391" i="42690"/>
  <c r="Q391" i="42690"/>
  <c r="G455" i="42690"/>
  <c r="I455" i="42690"/>
  <c r="K455" i="42690"/>
  <c r="M455" i="42690"/>
  <c r="O455" i="42690"/>
  <c r="Q455" i="42690"/>
  <c r="F455" i="42690"/>
  <c r="J455" i="42690"/>
  <c r="N455" i="42690"/>
  <c r="G552" i="42690"/>
  <c r="K552" i="42690"/>
  <c r="O552" i="42690"/>
  <c r="R595" i="42690"/>
  <c r="R597" i="42690"/>
  <c r="F616" i="42690"/>
  <c r="R657" i="42690"/>
  <c r="R697" i="42690"/>
  <c r="R818" i="42690"/>
  <c r="R699" i="42690"/>
  <c r="R742" i="42690"/>
  <c r="R744" i="42690"/>
  <c r="R751" i="42690"/>
  <c r="R725" i="42690"/>
  <c r="G784" i="42690"/>
  <c r="K784" i="42690"/>
  <c r="O784" i="42690"/>
  <c r="R787" i="42690"/>
  <c r="R788" i="42690"/>
  <c r="R789" i="42690"/>
  <c r="R790" i="42690"/>
  <c r="G793" i="42690"/>
  <c r="R793" i="42690" s="1"/>
  <c r="K793" i="42690"/>
  <c r="O793" i="42690"/>
  <c r="R903" i="42690"/>
  <c r="S952" i="42690"/>
  <c r="I70" i="42691"/>
  <c r="M70" i="42691"/>
  <c r="Q70" i="42691"/>
  <c r="H116" i="42691"/>
  <c r="L116" i="42691"/>
  <c r="P116" i="42691"/>
  <c r="F119" i="42691"/>
  <c r="J119" i="42691"/>
  <c r="N119" i="42691"/>
  <c r="N465" i="42691"/>
  <c r="N486" i="42691" s="1"/>
  <c r="N158" i="42691"/>
  <c r="R147" i="42691"/>
  <c r="R148" i="42691"/>
  <c r="F155" i="42691"/>
  <c r="J155" i="42691"/>
  <c r="N155" i="42691"/>
  <c r="H158" i="42691"/>
  <c r="L158" i="42691"/>
  <c r="G235" i="42691"/>
  <c r="R235" i="42691" s="1"/>
  <c r="I235" i="42691"/>
  <c r="K235" i="42691"/>
  <c r="M235" i="42691"/>
  <c r="O235" i="42691"/>
  <c r="Q235" i="42691"/>
  <c r="G237" i="42691"/>
  <c r="R237" i="42691" s="1"/>
  <c r="I237" i="42691"/>
  <c r="K237" i="42691"/>
  <c r="M237" i="42691"/>
  <c r="O237" i="42691"/>
  <c r="Q237" i="42691"/>
  <c r="F786" i="42691"/>
  <c r="H786" i="42691"/>
  <c r="J786" i="42691"/>
  <c r="L786" i="42691"/>
  <c r="N786" i="42691"/>
  <c r="P786" i="42691"/>
  <c r="H787" i="42691"/>
  <c r="J787" i="42691"/>
  <c r="L787" i="42691"/>
  <c r="N787" i="42691"/>
  <c r="P787" i="42691"/>
  <c r="F788" i="42691"/>
  <c r="H788" i="42691"/>
  <c r="J788" i="42691"/>
  <c r="L788" i="42691"/>
  <c r="N788" i="42691"/>
  <c r="P788" i="42691"/>
  <c r="H789" i="42691"/>
  <c r="J789" i="42691"/>
  <c r="L789" i="42691"/>
  <c r="N789" i="42691"/>
  <c r="P789" i="42691"/>
  <c r="F790" i="42691"/>
  <c r="H790" i="42691"/>
  <c r="J790" i="42691"/>
  <c r="L790" i="42691"/>
  <c r="N790" i="42691"/>
  <c r="P790" i="42691"/>
  <c r="F116" i="42692"/>
  <c r="J116" i="42692"/>
  <c r="N116" i="42692"/>
  <c r="H119" i="42692"/>
  <c r="L119" i="42692"/>
  <c r="P119" i="42692"/>
  <c r="H155" i="42692"/>
  <c r="L155" i="42692"/>
  <c r="P155" i="42692"/>
  <c r="I256" i="42692"/>
  <c r="M256" i="42692"/>
  <c r="Q256" i="42692"/>
  <c r="I329" i="42692"/>
  <c r="M329" i="42692"/>
  <c r="Q329" i="42692"/>
  <c r="P134" i="42696"/>
  <c r="Q26" i="42699"/>
  <c r="Q31" i="42699" s="1"/>
  <c r="G15" i="42701"/>
  <c r="G19" i="42701"/>
  <c r="G21" i="42701"/>
  <c r="D15" i="42702"/>
  <c r="R184" i="42691"/>
  <c r="R221" i="42691"/>
  <c r="R222" i="42691"/>
  <c r="R223" i="42691"/>
  <c r="R224" i="42691"/>
  <c r="R225" i="42691"/>
  <c r="I256" i="42691"/>
  <c r="M256" i="42691"/>
  <c r="Q256" i="42691"/>
  <c r="R813" i="42691"/>
  <c r="R475" i="42691"/>
  <c r="G787" i="42691"/>
  <c r="I787" i="42691"/>
  <c r="K787" i="42691"/>
  <c r="M787" i="42691"/>
  <c r="O787" i="42691"/>
  <c r="Q787" i="42691"/>
  <c r="G788" i="42691"/>
  <c r="I788" i="42691"/>
  <c r="K788" i="42691"/>
  <c r="M788" i="42691"/>
  <c r="O788" i="42691"/>
  <c r="Q788" i="42691"/>
  <c r="G789" i="42691"/>
  <c r="I789" i="42691"/>
  <c r="K789" i="42691"/>
  <c r="M789" i="42691"/>
  <c r="O789" i="42691"/>
  <c r="Q789" i="42691"/>
  <c r="G790" i="42691"/>
  <c r="I790" i="42691"/>
  <c r="K790" i="42691"/>
  <c r="M790" i="42691"/>
  <c r="O790" i="42691"/>
  <c r="Q790" i="42691"/>
  <c r="I70" i="42692"/>
  <c r="M70" i="42692"/>
  <c r="Q70" i="42692"/>
  <c r="H116" i="42692"/>
  <c r="L116" i="42692"/>
  <c r="P116" i="42692"/>
  <c r="F119" i="42692"/>
  <c r="J119" i="42692"/>
  <c r="N119" i="42692"/>
  <c r="R147" i="42697"/>
  <c r="F155" i="42692"/>
  <c r="J155" i="42692"/>
  <c r="N155" i="42692"/>
  <c r="H158" i="42692"/>
  <c r="L158" i="42692"/>
  <c r="P158" i="42692"/>
  <c r="R887" i="42692"/>
  <c r="G256" i="42692"/>
  <c r="G935" i="42692" s="1"/>
  <c r="G970" i="42692" s="1"/>
  <c r="K256" i="42692"/>
  <c r="K935" i="42692" s="1"/>
  <c r="K970" i="42692" s="1"/>
  <c r="O256" i="42692"/>
  <c r="O935" i="42692" s="1"/>
  <c r="O970" i="42692" s="1"/>
  <c r="R279" i="42697"/>
  <c r="G329" i="42692"/>
  <c r="K329" i="42692"/>
  <c r="O329" i="42692"/>
  <c r="F331" i="42692"/>
  <c r="N331" i="42692"/>
  <c r="G455" i="42692"/>
  <c r="I455" i="42692"/>
  <c r="K455" i="42692"/>
  <c r="M455" i="42692"/>
  <c r="O455" i="42692"/>
  <c r="Q455" i="42692"/>
  <c r="R476" i="42697"/>
  <c r="I616" i="42692"/>
  <c r="R616" i="42692" s="1"/>
  <c r="M616" i="42692"/>
  <c r="Q616" i="42692"/>
  <c r="H37" i="42693"/>
  <c r="B41" i="42693"/>
  <c r="F298" i="42697" s="1"/>
  <c r="N48" i="42694"/>
  <c r="F726" i="42698" s="1"/>
  <c r="P24" i="42695"/>
  <c r="P37" i="42695"/>
  <c r="R491" i="42697"/>
  <c r="F332" i="42698" s="1"/>
  <c r="R243" i="42697"/>
  <c r="F272" i="42698" s="1"/>
  <c r="D23" i="42720"/>
  <c r="D24" i="42720"/>
  <c r="R989" i="42692"/>
  <c r="R989" i="42691"/>
  <c r="I409" i="42692"/>
  <c r="I848" i="42692" s="1"/>
  <c r="I859" i="42689"/>
  <c r="I409" i="42691"/>
  <c r="I848" i="42691" s="1"/>
  <c r="I424" i="42689"/>
  <c r="M409" i="42692"/>
  <c r="M848" i="42692" s="1"/>
  <c r="M859" i="42689"/>
  <c r="M409" i="42691"/>
  <c r="M848" i="42691" s="1"/>
  <c r="M424" i="42689"/>
  <c r="Q409" i="42692"/>
  <c r="Q848" i="42692" s="1"/>
  <c r="Q859" i="42689"/>
  <c r="Q409" i="42691"/>
  <c r="Q848" i="42691" s="1"/>
  <c r="Q424" i="42689"/>
  <c r="G19" i="42684"/>
  <c r="G56" i="42684" s="1"/>
  <c r="K19" i="42684"/>
  <c r="K56" i="42684" s="1"/>
  <c r="O19" i="42684"/>
  <c r="O56" i="42684" s="1"/>
  <c r="R16" i="42684"/>
  <c r="R93" i="42685"/>
  <c r="F96" i="42685"/>
  <c r="F32" i="42686"/>
  <c r="F93" i="42686" s="1"/>
  <c r="R26" i="42686"/>
  <c r="R32" i="42686" s="1"/>
  <c r="F83" i="42686"/>
  <c r="F95" i="42686" s="1"/>
  <c r="R79" i="42686"/>
  <c r="R83" i="42686" s="1"/>
  <c r="I83" i="42687"/>
  <c r="I95" i="42687" s="1"/>
  <c r="I96" i="42687" s="1"/>
  <c r="M83" i="42687"/>
  <c r="M95" i="42687" s="1"/>
  <c r="M96" i="42687" s="1"/>
  <c r="Q83" i="42687"/>
  <c r="Q95" i="42687" s="1"/>
  <c r="Q96" i="42687" s="1"/>
  <c r="O38" i="42688"/>
  <c r="O31" i="42688"/>
  <c r="O34" i="42688" s="1"/>
  <c r="G809" i="42689"/>
  <c r="G23" i="42689"/>
  <c r="G851" i="42689" s="1"/>
  <c r="G34" i="42689"/>
  <c r="G31" i="42689"/>
  <c r="G958" i="42689" s="1"/>
  <c r="I809" i="42689"/>
  <c r="I23" i="42689"/>
  <c r="I851" i="42689" s="1"/>
  <c r="I34" i="42689"/>
  <c r="I31" i="42689"/>
  <c r="I958" i="42689" s="1"/>
  <c r="K809" i="42689"/>
  <c r="K23" i="42689"/>
  <c r="K851" i="42689" s="1"/>
  <c r="K34" i="42689"/>
  <c r="K31" i="42689"/>
  <c r="K958" i="42689" s="1"/>
  <c r="M809" i="42689"/>
  <c r="M23" i="42689"/>
  <c r="M851" i="42689" s="1"/>
  <c r="M34" i="42689"/>
  <c r="M31" i="42689"/>
  <c r="M958" i="42689" s="1"/>
  <c r="O809" i="42689"/>
  <c r="O23" i="42689"/>
  <c r="O851" i="42689" s="1"/>
  <c r="O34" i="42689"/>
  <c r="O31" i="42689"/>
  <c r="O958" i="42689" s="1"/>
  <c r="Q809" i="42689"/>
  <c r="Q23" i="42689"/>
  <c r="Q851" i="42689" s="1"/>
  <c r="Q34" i="42689"/>
  <c r="Q31" i="42689"/>
  <c r="Q958" i="42689" s="1"/>
  <c r="I425" i="42689"/>
  <c r="I426" i="42689" s="1"/>
  <c r="M425" i="42689"/>
  <c r="M426" i="42689" s="1"/>
  <c r="Q425" i="42689"/>
  <c r="Q426" i="42689" s="1"/>
  <c r="I428" i="42689"/>
  <c r="M428" i="42689"/>
  <c r="Q428" i="42689"/>
  <c r="R494" i="42689"/>
  <c r="R497" i="42689"/>
  <c r="R603" i="42689"/>
  <c r="R605" i="42689"/>
  <c r="G662" i="42689"/>
  <c r="G669" i="42689" s="1"/>
  <c r="G663" i="42689"/>
  <c r="G672" i="42689"/>
  <c r="R699" i="42689"/>
  <c r="R701" i="42689"/>
  <c r="F709" i="42689"/>
  <c r="R709" i="42689" s="1"/>
  <c r="R707" i="42689"/>
  <c r="R751" i="42689"/>
  <c r="R753" i="42689"/>
  <c r="R755" i="42689"/>
  <c r="F763" i="42689"/>
  <c r="R763" i="42689" s="1"/>
  <c r="R761" i="42689"/>
  <c r="R752" i="42689"/>
  <c r="R754" i="42689"/>
  <c r="F723" i="42698"/>
  <c r="R986" i="42692"/>
  <c r="R986" i="42691"/>
  <c r="O24" i="42696"/>
  <c r="Q227" i="42690"/>
  <c r="Q238" i="42689"/>
  <c r="N29" i="42696"/>
  <c r="P780" i="42690"/>
  <c r="P791" i="42689"/>
  <c r="R15" i="42684"/>
  <c r="F19" i="42684"/>
  <c r="H19" i="42684"/>
  <c r="J19" i="42684"/>
  <c r="L19" i="42684"/>
  <c r="N19" i="42684"/>
  <c r="P19" i="42684"/>
  <c r="R28" i="42684"/>
  <c r="F32" i="42684"/>
  <c r="R32" i="42684" s="1"/>
  <c r="R29" i="42684"/>
  <c r="G861" i="42689"/>
  <c r="G650" i="42689"/>
  <c r="I19" i="42684"/>
  <c r="I56" i="42684" s="1"/>
  <c r="M19" i="42684"/>
  <c r="M56" i="42684" s="1"/>
  <c r="Q19" i="42684"/>
  <c r="Q56" i="42684" s="1"/>
  <c r="R43" i="42684"/>
  <c r="F16" i="42699" s="1"/>
  <c r="F14" i="42701" s="1"/>
  <c r="F54" i="42684"/>
  <c r="H54" i="42684"/>
  <c r="J54" i="42684"/>
  <c r="L54" i="42684"/>
  <c r="N54" i="42684"/>
  <c r="P54" i="42684"/>
  <c r="G90" i="42685"/>
  <c r="I90" i="42685"/>
  <c r="K90" i="42685"/>
  <c r="M90" i="42685"/>
  <c r="O90" i="42685"/>
  <c r="Q90" i="42685"/>
  <c r="G96" i="42685"/>
  <c r="I96" i="42685"/>
  <c r="K96" i="42685"/>
  <c r="M96" i="42685"/>
  <c r="O96" i="42685"/>
  <c r="Q96" i="42685"/>
  <c r="R94" i="42685"/>
  <c r="R95" i="42685"/>
  <c r="I32" i="42686"/>
  <c r="I93" i="42686" s="1"/>
  <c r="M32" i="42686"/>
  <c r="M93" i="42686" s="1"/>
  <c r="M96" i="42686" s="1"/>
  <c r="Q32" i="42686"/>
  <c r="Q93" i="42686" s="1"/>
  <c r="I83" i="42686"/>
  <c r="I95" i="42686" s="1"/>
  <c r="M83" i="42686"/>
  <c r="M95" i="42686" s="1"/>
  <c r="Q83" i="42686"/>
  <c r="Q95" i="42686" s="1"/>
  <c r="R27" i="42687"/>
  <c r="S27" i="42687" s="1"/>
  <c r="R29" i="42687"/>
  <c r="S29" i="42687" s="1"/>
  <c r="R31" i="42687"/>
  <c r="S31" i="42687" s="1"/>
  <c r="F32" i="42687"/>
  <c r="F93" i="42687" s="1"/>
  <c r="J32" i="42687"/>
  <c r="J93" i="42687" s="1"/>
  <c r="N32" i="42687"/>
  <c r="N93" i="42687" s="1"/>
  <c r="R28" i="42687"/>
  <c r="S28" i="42687" s="1"/>
  <c r="R30" i="42687"/>
  <c r="S30" i="42687" s="1"/>
  <c r="R57" i="42687"/>
  <c r="S57" i="42687" s="1"/>
  <c r="R59" i="42687"/>
  <c r="S59" i="42687" s="1"/>
  <c r="R61" i="42687"/>
  <c r="S61" i="42687" s="1"/>
  <c r="R56" i="42687"/>
  <c r="S56" i="42687" s="1"/>
  <c r="R58" i="42687"/>
  <c r="S58" i="42687" s="1"/>
  <c r="R60" i="42687"/>
  <c r="S60" i="42687" s="1"/>
  <c r="F83" i="42687"/>
  <c r="F95" i="42687" s="1"/>
  <c r="R79" i="42687"/>
  <c r="R80" i="42687"/>
  <c r="S80" i="42687" s="1"/>
  <c r="S81" i="42687"/>
  <c r="R82" i="42687"/>
  <c r="S82" i="42687" s="1"/>
  <c r="G83" i="42687"/>
  <c r="G95" i="42687" s="1"/>
  <c r="G96" i="42687" s="1"/>
  <c r="K83" i="42687"/>
  <c r="K95" i="42687" s="1"/>
  <c r="K96" i="42687" s="1"/>
  <c r="O83" i="42687"/>
  <c r="O95" i="42687" s="1"/>
  <c r="O96" i="42687" s="1"/>
  <c r="O39" i="42688"/>
  <c r="O47" i="42688"/>
  <c r="C50" i="42688"/>
  <c r="E50" i="42688"/>
  <c r="G50" i="42688"/>
  <c r="I50" i="42688"/>
  <c r="K50" i="42688"/>
  <c r="M50" i="42688"/>
  <c r="F30" i="42689"/>
  <c r="H941" i="42689"/>
  <c r="J941" i="42689"/>
  <c r="L941" i="42689"/>
  <c r="N941" i="42689"/>
  <c r="P941" i="42689"/>
  <c r="R28" i="42689"/>
  <c r="R29" i="42689"/>
  <c r="R423" i="42689"/>
  <c r="R455" i="42689"/>
  <c r="R458" i="42689"/>
  <c r="R463" i="42689"/>
  <c r="R530" i="42689"/>
  <c r="R532" i="42689"/>
  <c r="R533" i="42689"/>
  <c r="R537" i="42689"/>
  <c r="R656" i="42689"/>
  <c r="R659" i="42689"/>
  <c r="R665" i="42689"/>
  <c r="R762" i="42689"/>
  <c r="H14" i="42697"/>
  <c r="F9" i="42696"/>
  <c r="H14" i="42692"/>
  <c r="H14" i="42691"/>
  <c r="H14" i="42690"/>
  <c r="L14" i="42697"/>
  <c r="J9" i="42696"/>
  <c r="L14" i="42692"/>
  <c r="L14" i="42691"/>
  <c r="L14" i="42690"/>
  <c r="P14" i="42697"/>
  <c r="N9" i="42696"/>
  <c r="P14" i="42692"/>
  <c r="P14" i="42691"/>
  <c r="P14" i="42690"/>
  <c r="G986" i="42697"/>
  <c r="G986" i="42692"/>
  <c r="G986" i="42691"/>
  <c r="G986" i="42690"/>
  <c r="G997" i="42689"/>
  <c r="K986" i="42697"/>
  <c r="K986" i="42692"/>
  <c r="K986" i="42691"/>
  <c r="K986" i="42690"/>
  <c r="K997" i="42689"/>
  <c r="O986" i="42697"/>
  <c r="O986" i="42692"/>
  <c r="O986" i="42691"/>
  <c r="O986" i="42690"/>
  <c r="O997" i="42689"/>
  <c r="H989" i="42697"/>
  <c r="H989" i="42692"/>
  <c r="H989" i="42691"/>
  <c r="H989" i="42690"/>
  <c r="H1000" i="42689"/>
  <c r="L989" i="42697"/>
  <c r="L989" i="42692"/>
  <c r="L989" i="42691"/>
  <c r="L989" i="42690"/>
  <c r="L1000" i="42689"/>
  <c r="P989" i="42697"/>
  <c r="P989" i="42692"/>
  <c r="P989" i="42691"/>
  <c r="P989" i="42690"/>
  <c r="P1000" i="42689"/>
  <c r="O194" i="42682"/>
  <c r="F55" i="42683"/>
  <c r="J55" i="42683"/>
  <c r="N55" i="42683"/>
  <c r="E56" i="42683"/>
  <c r="I56" i="42683"/>
  <c r="M56" i="42683"/>
  <c r="H57" i="42683"/>
  <c r="G10" i="42696" s="1"/>
  <c r="L57" i="42683"/>
  <c r="K10" i="42696" s="1"/>
  <c r="P57" i="42683"/>
  <c r="O10" i="42696" s="1"/>
  <c r="G58" i="42683"/>
  <c r="K58" i="42683"/>
  <c r="O58" i="42683"/>
  <c r="F59" i="42683"/>
  <c r="J59" i="42683"/>
  <c r="N59" i="42683"/>
  <c r="E60" i="42683"/>
  <c r="K60" i="42683"/>
  <c r="O60" i="42683"/>
  <c r="Q64" i="42683"/>
  <c r="F69" i="42683"/>
  <c r="J69" i="42683"/>
  <c r="N69" i="42683"/>
  <c r="G70" i="42683"/>
  <c r="K70" i="42683"/>
  <c r="O70" i="42683"/>
  <c r="F71" i="42683"/>
  <c r="J71" i="42683"/>
  <c r="N71" i="42683"/>
  <c r="E72" i="42683"/>
  <c r="I72" i="42683"/>
  <c r="M72" i="42683"/>
  <c r="H73" i="42683"/>
  <c r="L73" i="42683"/>
  <c r="P73" i="42683"/>
  <c r="G74" i="42683"/>
  <c r="K74" i="42683"/>
  <c r="O74" i="42683"/>
  <c r="F75" i="42683"/>
  <c r="J75" i="42683"/>
  <c r="N75" i="42683"/>
  <c r="E76" i="42683"/>
  <c r="I76" i="42683"/>
  <c r="M76" i="42683"/>
  <c r="H77" i="42683"/>
  <c r="L77" i="42683"/>
  <c r="P77" i="42683"/>
  <c r="G78" i="42683"/>
  <c r="K78" i="42683"/>
  <c r="O78" i="42683"/>
  <c r="Q81" i="42683"/>
  <c r="E17" i="42696"/>
  <c r="G409" i="42690"/>
  <c r="I17" i="42696"/>
  <c r="K409" i="42690"/>
  <c r="M17" i="42696"/>
  <c r="O409" i="42690"/>
  <c r="D18" i="42696"/>
  <c r="F439" i="42690"/>
  <c r="H18" i="42696"/>
  <c r="J439" i="42690"/>
  <c r="L18" i="42696"/>
  <c r="N439" i="42690"/>
  <c r="E25" i="42696"/>
  <c r="E170" i="42696" s="1"/>
  <c r="G478" i="42697" s="1"/>
  <c r="G478" i="42690"/>
  <c r="I25" i="42696"/>
  <c r="I170" i="42696" s="1"/>
  <c r="K478" i="42697" s="1"/>
  <c r="K478" i="42690"/>
  <c r="G19" i="42696"/>
  <c r="G167" i="42696" s="1"/>
  <c r="I640" i="42697" s="1"/>
  <c r="I640" i="42690"/>
  <c r="I19" i="42696"/>
  <c r="I167" i="42696" s="1"/>
  <c r="K640" i="42697" s="1"/>
  <c r="K640" i="42690"/>
  <c r="K19" i="42696"/>
  <c r="K167" i="42696" s="1"/>
  <c r="M640" i="42697" s="1"/>
  <c r="M640" i="42690"/>
  <c r="M19" i="42696"/>
  <c r="M167" i="42696" s="1"/>
  <c r="O640" i="42697" s="1"/>
  <c r="O640" i="42690"/>
  <c r="O19" i="42696"/>
  <c r="O167" i="42696" s="1"/>
  <c r="Q640" i="42697" s="1"/>
  <c r="Q640" i="42690"/>
  <c r="D26" i="42696"/>
  <c r="F514" i="42690"/>
  <c r="F26" i="42696"/>
  <c r="F171" i="42696" s="1"/>
  <c r="H514" i="42697" s="1"/>
  <c r="H514" i="42690"/>
  <c r="I91" i="42683"/>
  <c r="K91" i="42683"/>
  <c r="M91" i="42683"/>
  <c r="O91" i="42683"/>
  <c r="F92" i="42683"/>
  <c r="H92" i="42683"/>
  <c r="J92" i="42683"/>
  <c r="L92" i="42683"/>
  <c r="N92" i="42683"/>
  <c r="P92" i="42683"/>
  <c r="E93" i="42683"/>
  <c r="G93" i="42683"/>
  <c r="I93" i="42683"/>
  <c r="K93" i="42683"/>
  <c r="M93" i="42683"/>
  <c r="O93" i="42683"/>
  <c r="F94" i="42683"/>
  <c r="H94" i="42683"/>
  <c r="J94" i="42683"/>
  <c r="L94" i="42683"/>
  <c r="N94" i="42683"/>
  <c r="P94" i="42683"/>
  <c r="E95" i="42683"/>
  <c r="G95" i="42683"/>
  <c r="I95" i="42683"/>
  <c r="K95" i="42683"/>
  <c r="M95" i="42683"/>
  <c r="O95" i="42683"/>
  <c r="F96" i="42683"/>
  <c r="H96" i="42683"/>
  <c r="J96" i="42683"/>
  <c r="L96" i="42683"/>
  <c r="N96" i="42683"/>
  <c r="P96" i="42683"/>
  <c r="Q99" i="42683"/>
  <c r="R41" i="42684"/>
  <c r="R51" i="42684"/>
  <c r="F59" i="42684"/>
  <c r="F60" i="42684" s="1"/>
  <c r="H59" i="42684"/>
  <c r="H60" i="42684" s="1"/>
  <c r="J59" i="42684"/>
  <c r="J60" i="42684" s="1"/>
  <c r="L59" i="42684"/>
  <c r="L60" i="42684" s="1"/>
  <c r="N59" i="42684"/>
  <c r="N60" i="42684" s="1"/>
  <c r="P59" i="42684"/>
  <c r="P60" i="42684" s="1"/>
  <c r="G60" i="42684"/>
  <c r="I60" i="42684"/>
  <c r="K60" i="42684"/>
  <c r="M60" i="42684"/>
  <c r="O60" i="42684"/>
  <c r="Q60" i="42684"/>
  <c r="R26" i="42685"/>
  <c r="R32" i="42685" s="1"/>
  <c r="R56" i="42685"/>
  <c r="R62" i="42685" s="1"/>
  <c r="R79" i="42685"/>
  <c r="R83" i="42685" s="1"/>
  <c r="R17" i="42686"/>
  <c r="R19" i="42686"/>
  <c r="R21" i="42686"/>
  <c r="F23" i="42686"/>
  <c r="F87" i="42686" s="1"/>
  <c r="H23" i="42686"/>
  <c r="H87" i="42686" s="1"/>
  <c r="J23" i="42686"/>
  <c r="J87" i="42686" s="1"/>
  <c r="L23" i="42686"/>
  <c r="L87" i="42686" s="1"/>
  <c r="N23" i="42686"/>
  <c r="N87" i="42686" s="1"/>
  <c r="P23" i="42686"/>
  <c r="P87" i="42686" s="1"/>
  <c r="R45" i="42686"/>
  <c r="R47" i="42686"/>
  <c r="R49" i="42686"/>
  <c r="R51" i="42686"/>
  <c r="G52" i="42686"/>
  <c r="G88" i="42686" s="1"/>
  <c r="G90" i="42686" s="1"/>
  <c r="I52" i="42686"/>
  <c r="I88" i="42686" s="1"/>
  <c r="I90" i="42686" s="1"/>
  <c r="K52" i="42686"/>
  <c r="K88" i="42686" s="1"/>
  <c r="K90" i="42686" s="1"/>
  <c r="M52" i="42686"/>
  <c r="M88" i="42686" s="1"/>
  <c r="M90" i="42686" s="1"/>
  <c r="O52" i="42686"/>
  <c r="O88" i="42686" s="1"/>
  <c r="O90" i="42686" s="1"/>
  <c r="Q52" i="42686"/>
  <c r="Q88" i="42686" s="1"/>
  <c r="Q90" i="42686" s="1"/>
  <c r="F55" i="42686"/>
  <c r="H55" i="42686"/>
  <c r="H62" i="42686" s="1"/>
  <c r="H94" i="42686" s="1"/>
  <c r="H96" i="42686" s="1"/>
  <c r="J55" i="42686"/>
  <c r="J62" i="42686" s="1"/>
  <c r="J94" i="42686" s="1"/>
  <c r="J96" i="42686" s="1"/>
  <c r="L55" i="42686"/>
  <c r="L62" i="42686" s="1"/>
  <c r="L94" i="42686" s="1"/>
  <c r="L96" i="42686" s="1"/>
  <c r="N55" i="42686"/>
  <c r="N62" i="42686" s="1"/>
  <c r="N94" i="42686" s="1"/>
  <c r="N96" i="42686" s="1"/>
  <c r="P55" i="42686"/>
  <c r="P62" i="42686" s="1"/>
  <c r="P94" i="42686" s="1"/>
  <c r="P96" i="42686" s="1"/>
  <c r="R72" i="42686"/>
  <c r="R74" i="42686"/>
  <c r="F76" i="42686"/>
  <c r="F89" i="42686" s="1"/>
  <c r="H76" i="42686"/>
  <c r="H89" i="42686" s="1"/>
  <c r="J76" i="42686"/>
  <c r="J89" i="42686" s="1"/>
  <c r="L76" i="42686"/>
  <c r="L89" i="42686" s="1"/>
  <c r="N76" i="42686"/>
  <c r="N89" i="42686" s="1"/>
  <c r="P76" i="42686"/>
  <c r="P89" i="42686" s="1"/>
  <c r="R18" i="42687"/>
  <c r="R20" i="42687"/>
  <c r="R22" i="42687"/>
  <c r="G23" i="42687"/>
  <c r="G87" i="42687" s="1"/>
  <c r="I23" i="42687"/>
  <c r="I87" i="42687" s="1"/>
  <c r="K23" i="42687"/>
  <c r="K87" i="42687" s="1"/>
  <c r="M23" i="42687"/>
  <c r="M87" i="42687" s="1"/>
  <c r="O23" i="42687"/>
  <c r="O87" i="42687" s="1"/>
  <c r="Q23" i="42687"/>
  <c r="Q87" i="42687" s="1"/>
  <c r="R26" i="42687"/>
  <c r="R45" i="42687"/>
  <c r="R47" i="42687"/>
  <c r="R49" i="42687"/>
  <c r="R51" i="42687"/>
  <c r="G52" i="42687"/>
  <c r="G88" i="42687" s="1"/>
  <c r="I52" i="42687"/>
  <c r="I88" i="42687" s="1"/>
  <c r="K52" i="42687"/>
  <c r="K88" i="42687" s="1"/>
  <c r="M52" i="42687"/>
  <c r="M88" i="42687" s="1"/>
  <c r="O52" i="42687"/>
  <c r="O88" i="42687" s="1"/>
  <c r="Q52" i="42687"/>
  <c r="Q88" i="42687" s="1"/>
  <c r="F55" i="42687"/>
  <c r="H55" i="42687"/>
  <c r="H62" i="42687" s="1"/>
  <c r="H94" i="42687" s="1"/>
  <c r="H96" i="42687" s="1"/>
  <c r="J55" i="42687"/>
  <c r="J62" i="42687" s="1"/>
  <c r="J94" i="42687" s="1"/>
  <c r="L55" i="42687"/>
  <c r="L62" i="42687" s="1"/>
  <c r="L94" i="42687" s="1"/>
  <c r="L96" i="42687" s="1"/>
  <c r="N55" i="42687"/>
  <c r="N62" i="42687" s="1"/>
  <c r="N94" i="42687" s="1"/>
  <c r="P55" i="42687"/>
  <c r="P62" i="42687" s="1"/>
  <c r="P94" i="42687" s="1"/>
  <c r="P96" i="42687" s="1"/>
  <c r="R72" i="42687"/>
  <c r="R74" i="42687"/>
  <c r="F76" i="42687"/>
  <c r="F89" i="42687" s="1"/>
  <c r="F90" i="42687" s="1"/>
  <c r="H76" i="42687"/>
  <c r="H89" i="42687" s="1"/>
  <c r="H90" i="42687" s="1"/>
  <c r="J76" i="42687"/>
  <c r="J89" i="42687" s="1"/>
  <c r="J90" i="42687" s="1"/>
  <c r="L76" i="42687"/>
  <c r="L89" i="42687" s="1"/>
  <c r="L90" i="42687" s="1"/>
  <c r="N76" i="42687"/>
  <c r="N89" i="42687" s="1"/>
  <c r="N90" i="42687" s="1"/>
  <c r="P76" i="42687"/>
  <c r="P89" i="42687" s="1"/>
  <c r="P90" i="42687" s="1"/>
  <c r="N31" i="42688"/>
  <c r="B34" i="42688"/>
  <c r="B50" i="42688" s="1"/>
  <c r="D34" i="42688"/>
  <c r="D50" i="42688" s="1"/>
  <c r="F34" i="42688"/>
  <c r="F50" i="42688" s="1"/>
  <c r="H34" i="42688"/>
  <c r="H50" i="42688" s="1"/>
  <c r="J34" i="42688"/>
  <c r="J50" i="42688" s="1"/>
  <c r="L34" i="42688"/>
  <c r="L50" i="42688" s="1"/>
  <c r="N38" i="42688"/>
  <c r="N39" i="42688"/>
  <c r="N40" i="42688"/>
  <c r="N41" i="42688"/>
  <c r="N42" i="42688"/>
  <c r="N43" i="42688"/>
  <c r="N44" i="42688"/>
  <c r="N45" i="42688"/>
  <c r="N46" i="42688"/>
  <c r="N47" i="42688"/>
  <c r="N48" i="42688"/>
  <c r="R19" i="42689"/>
  <c r="F21" i="42689"/>
  <c r="H21" i="42689"/>
  <c r="J21" i="42689"/>
  <c r="L21" i="42689"/>
  <c r="N21" i="42689"/>
  <c r="P21" i="42689"/>
  <c r="G27" i="42689"/>
  <c r="G30" i="42689" s="1"/>
  <c r="I27" i="42689"/>
  <c r="I30" i="42689" s="1"/>
  <c r="K27" i="42689"/>
  <c r="K30" i="42689" s="1"/>
  <c r="M27" i="42689"/>
  <c r="M30" i="42689" s="1"/>
  <c r="O27" i="42689"/>
  <c r="O30" i="42689" s="1"/>
  <c r="Q27" i="42689"/>
  <c r="Q30" i="42689" s="1"/>
  <c r="R812" i="42689"/>
  <c r="F835" i="42689"/>
  <c r="H832" i="42689"/>
  <c r="H835" i="42689"/>
  <c r="H847" i="42689" s="1"/>
  <c r="J832" i="42689"/>
  <c r="J835" i="42689"/>
  <c r="J847" i="42689" s="1"/>
  <c r="L832" i="42689"/>
  <c r="L835" i="42689"/>
  <c r="L847" i="42689" s="1"/>
  <c r="N832" i="42689"/>
  <c r="N835" i="42689"/>
  <c r="N847" i="42689" s="1"/>
  <c r="P832" i="42689"/>
  <c r="P835" i="42689"/>
  <c r="P847" i="42689" s="1"/>
  <c r="R44" i="42689"/>
  <c r="F48" i="42689"/>
  <c r="H48" i="42689"/>
  <c r="J48" i="42689"/>
  <c r="L48" i="42689"/>
  <c r="N48" i="42689"/>
  <c r="P48" i="42689"/>
  <c r="G66" i="42689"/>
  <c r="I66" i="42689"/>
  <c r="K66" i="42689"/>
  <c r="M66" i="42689"/>
  <c r="O66" i="42689"/>
  <c r="Q66" i="42689"/>
  <c r="F919" i="42689"/>
  <c r="R897" i="42689"/>
  <c r="H919" i="42689"/>
  <c r="J919" i="42689"/>
  <c r="L919" i="42689"/>
  <c r="N919" i="42689"/>
  <c r="P919" i="42689"/>
  <c r="R78" i="42689"/>
  <c r="G946" i="42689"/>
  <c r="G981" i="42689" s="1"/>
  <c r="R814" i="42689"/>
  <c r="F837" i="42689"/>
  <c r="R837" i="42689" s="1"/>
  <c r="R91" i="42689"/>
  <c r="F95" i="42689"/>
  <c r="H95" i="42689"/>
  <c r="J95" i="42689"/>
  <c r="L95" i="42689"/>
  <c r="N95" i="42689"/>
  <c r="P95" i="42689"/>
  <c r="F112" i="42692"/>
  <c r="F112" i="42691"/>
  <c r="F900" i="42689"/>
  <c r="H112" i="42692"/>
  <c r="H112" i="42691"/>
  <c r="H900" i="42689"/>
  <c r="J112" i="42692"/>
  <c r="J112" i="42691"/>
  <c r="J900" i="42689"/>
  <c r="L112" i="42692"/>
  <c r="L112" i="42691"/>
  <c r="L900" i="42689"/>
  <c r="N112" i="42692"/>
  <c r="N112" i="42691"/>
  <c r="N900" i="42689"/>
  <c r="P112" i="42692"/>
  <c r="P112" i="42691"/>
  <c r="P900" i="42689"/>
  <c r="R123" i="42689"/>
  <c r="G124" i="42689"/>
  <c r="G138" i="42689" s="1"/>
  <c r="I124" i="42689"/>
  <c r="I138" i="42689" s="1"/>
  <c r="K124" i="42689"/>
  <c r="K138" i="42689" s="1"/>
  <c r="M124" i="42689"/>
  <c r="M138" i="42689" s="1"/>
  <c r="O124" i="42689"/>
  <c r="O138" i="42689" s="1"/>
  <c r="Q124" i="42689"/>
  <c r="Q138" i="42689" s="1"/>
  <c r="F136" i="42689"/>
  <c r="H136" i="42689"/>
  <c r="J136" i="42689"/>
  <c r="L136" i="42689"/>
  <c r="N136" i="42689"/>
  <c r="P136" i="42689"/>
  <c r="F842" i="42689"/>
  <c r="R842" i="42689" s="1"/>
  <c r="R816" i="42689"/>
  <c r="R156" i="42689"/>
  <c r="G151" i="42692"/>
  <c r="G151" i="42691"/>
  <c r="G890" i="42691" s="1"/>
  <c r="G901" i="42689"/>
  <c r="I151" i="42692"/>
  <c r="I151" i="42691"/>
  <c r="I890" i="42691" s="1"/>
  <c r="I901" i="42689"/>
  <c r="K151" i="42692"/>
  <c r="K151" i="42691"/>
  <c r="K890" i="42691" s="1"/>
  <c r="K901" i="42689"/>
  <c r="M151" i="42692"/>
  <c r="M151" i="42691"/>
  <c r="M890" i="42691" s="1"/>
  <c r="M901" i="42689"/>
  <c r="O151" i="42692"/>
  <c r="O151" i="42691"/>
  <c r="O890" i="42691" s="1"/>
  <c r="O901" i="42689"/>
  <c r="Q151" i="42692"/>
  <c r="Q151" i="42691"/>
  <c r="Q890" i="42691" s="1"/>
  <c r="Q901" i="42689"/>
  <c r="F163" i="42689"/>
  <c r="H163" i="42689"/>
  <c r="H175" i="42689" s="1"/>
  <c r="J163" i="42689"/>
  <c r="J175" i="42689" s="1"/>
  <c r="L163" i="42689"/>
  <c r="L175" i="42689" s="1"/>
  <c r="N163" i="42689"/>
  <c r="N175" i="42689" s="1"/>
  <c r="P163" i="42689"/>
  <c r="P175" i="42689" s="1"/>
  <c r="F843" i="42689"/>
  <c r="R843" i="42689" s="1"/>
  <c r="R817" i="42689"/>
  <c r="R192" i="42689"/>
  <c r="G187" i="42692"/>
  <c r="G187" i="42691"/>
  <c r="G891" i="42691" s="1"/>
  <c r="G902" i="42689"/>
  <c r="I187" i="42692"/>
  <c r="I187" i="42691"/>
  <c r="I891" i="42691" s="1"/>
  <c r="I902" i="42689"/>
  <c r="K187" i="42692"/>
  <c r="K187" i="42691"/>
  <c r="K891" i="42691" s="1"/>
  <c r="K902" i="42689"/>
  <c r="M187" i="42692"/>
  <c r="M187" i="42691"/>
  <c r="M891" i="42691" s="1"/>
  <c r="M902" i="42689"/>
  <c r="O187" i="42692"/>
  <c r="O187" i="42691"/>
  <c r="O891" i="42691" s="1"/>
  <c r="O902" i="42689"/>
  <c r="Q187" i="42692"/>
  <c r="Q187" i="42691"/>
  <c r="Q891" i="42691" s="1"/>
  <c r="Q902" i="42689"/>
  <c r="F202" i="42689"/>
  <c r="H202" i="42689"/>
  <c r="J202" i="42689"/>
  <c r="L202" i="42689"/>
  <c r="N202" i="42689"/>
  <c r="P202" i="42689"/>
  <c r="R205" i="42689"/>
  <c r="G199" i="42692"/>
  <c r="G199" i="42691"/>
  <c r="I199" i="42692"/>
  <c r="I199" i="42691"/>
  <c r="K199" i="42692"/>
  <c r="K199" i="42691"/>
  <c r="M199" i="42692"/>
  <c r="M199" i="42691"/>
  <c r="O199" i="42692"/>
  <c r="O199" i="42691"/>
  <c r="Q199" i="42692"/>
  <c r="Q199" i="42691"/>
  <c r="R818" i="42689"/>
  <c r="F845" i="42689"/>
  <c r="R845" i="42689" s="1"/>
  <c r="R230" i="42689"/>
  <c r="G228" i="42692"/>
  <c r="G228" i="42691"/>
  <c r="G892" i="42691" s="1"/>
  <c r="G903" i="42689"/>
  <c r="I228" i="42692"/>
  <c r="I228" i="42691"/>
  <c r="I892" i="42691" s="1"/>
  <c r="I903" i="42689"/>
  <c r="K228" i="42692"/>
  <c r="K228" i="42691"/>
  <c r="K892" i="42691" s="1"/>
  <c r="K903" i="42689"/>
  <c r="M228" i="42692"/>
  <c r="M228" i="42691"/>
  <c r="M892" i="42691" s="1"/>
  <c r="M903" i="42689"/>
  <c r="O228" i="42692"/>
  <c r="O228" i="42691"/>
  <c r="O892" i="42691" s="1"/>
  <c r="O903" i="42689"/>
  <c r="Q228" i="42692"/>
  <c r="Q228" i="42691"/>
  <c r="Q892" i="42691" s="1"/>
  <c r="Q903" i="42689"/>
  <c r="F243" i="42689"/>
  <c r="H243" i="42689"/>
  <c r="J243" i="42689"/>
  <c r="L243" i="42689"/>
  <c r="N243" i="42689"/>
  <c r="P243" i="42689"/>
  <c r="R245" i="42689"/>
  <c r="G243" i="42692"/>
  <c r="G243" i="42691"/>
  <c r="I243" i="42692"/>
  <c r="I243" i="42691"/>
  <c r="K243" i="42692"/>
  <c r="K243" i="42691"/>
  <c r="M243" i="42692"/>
  <c r="M243" i="42691"/>
  <c r="O243" i="42692"/>
  <c r="O243" i="42691"/>
  <c r="Q243" i="42692"/>
  <c r="Q243" i="42691"/>
  <c r="R264" i="42689"/>
  <c r="F839" i="42689"/>
  <c r="R839" i="42689" s="1"/>
  <c r="R819" i="42689"/>
  <c r="R287" i="42689"/>
  <c r="G282" i="42692"/>
  <c r="G904" i="42689"/>
  <c r="G282" i="42691"/>
  <c r="I282" i="42692"/>
  <c r="I904" i="42689"/>
  <c r="I282" i="42691"/>
  <c r="K282" i="42692"/>
  <c r="K904" i="42689"/>
  <c r="K282" i="42691"/>
  <c r="M282" i="42692"/>
  <c r="M904" i="42689"/>
  <c r="M282" i="42691"/>
  <c r="O282" i="42692"/>
  <c r="O904" i="42689"/>
  <c r="O282" i="42691"/>
  <c r="Q282" i="42692"/>
  <c r="Q904" i="42689"/>
  <c r="Q282" i="42691"/>
  <c r="F297" i="42689"/>
  <c r="H297" i="42689"/>
  <c r="J297" i="42689"/>
  <c r="L297" i="42689"/>
  <c r="N297" i="42689"/>
  <c r="P297" i="42689"/>
  <c r="R300" i="42689"/>
  <c r="G306" i="42689"/>
  <c r="I306" i="42689"/>
  <c r="K306" i="42689"/>
  <c r="M306" i="42689"/>
  <c r="O306" i="42689"/>
  <c r="Q306" i="42689"/>
  <c r="F298" i="42692"/>
  <c r="F298" i="42691"/>
  <c r="H298" i="42692"/>
  <c r="H298" i="42691"/>
  <c r="J298" i="42692"/>
  <c r="J298" i="42691"/>
  <c r="L298" i="42692"/>
  <c r="L298" i="42691"/>
  <c r="N298" i="42692"/>
  <c r="N298" i="42691"/>
  <c r="P298" i="42692"/>
  <c r="P298" i="42691"/>
  <c r="R309" i="42689"/>
  <c r="F840" i="42689"/>
  <c r="R840" i="42689" s="1"/>
  <c r="R820" i="42689"/>
  <c r="R331" i="42689"/>
  <c r="F325" i="42692"/>
  <c r="F905" i="42689"/>
  <c r="F325" i="42691"/>
  <c r="H325" i="42692"/>
  <c r="H905" i="42689"/>
  <c r="H325" i="42691"/>
  <c r="J325" i="42692"/>
  <c r="J905" i="42689"/>
  <c r="J325" i="42691"/>
  <c r="L325" i="42692"/>
  <c r="L905" i="42689"/>
  <c r="L325" i="42691"/>
  <c r="N325" i="42692"/>
  <c r="N905" i="42689"/>
  <c r="N325" i="42691"/>
  <c r="P325" i="42692"/>
  <c r="P905" i="42689"/>
  <c r="P325" i="42691"/>
  <c r="R336" i="42689"/>
  <c r="R342" i="42689"/>
  <c r="F349" i="42689"/>
  <c r="H349" i="42689"/>
  <c r="J349" i="42689"/>
  <c r="L349" i="42689"/>
  <c r="N349" i="42689"/>
  <c r="P349" i="42689"/>
  <c r="F340" i="42692"/>
  <c r="F340" i="42691"/>
  <c r="H340" i="42692"/>
  <c r="H340" i="42691"/>
  <c r="J340" i="42692"/>
  <c r="J340" i="42691"/>
  <c r="L340" i="42692"/>
  <c r="L340" i="42691"/>
  <c r="N340" i="42692"/>
  <c r="N340" i="42691"/>
  <c r="P340" i="42692"/>
  <c r="P340" i="42691"/>
  <c r="R351" i="42689"/>
  <c r="F841" i="42689"/>
  <c r="R841" i="42689" s="1"/>
  <c r="R821" i="42689"/>
  <c r="R377" i="42689"/>
  <c r="F375" i="42692"/>
  <c r="F375" i="42691"/>
  <c r="F906" i="42689"/>
  <c r="H375" i="42692"/>
  <c r="H375" i="42691"/>
  <c r="H906" i="42689"/>
  <c r="H923" i="42689" s="1"/>
  <c r="J375" i="42692"/>
  <c r="J375" i="42691"/>
  <c r="J906" i="42689"/>
  <c r="J923" i="42689" s="1"/>
  <c r="L375" i="42692"/>
  <c r="L375" i="42691"/>
  <c r="L906" i="42689"/>
  <c r="L923" i="42689" s="1"/>
  <c r="N375" i="42692"/>
  <c r="N375" i="42691"/>
  <c r="N906" i="42689"/>
  <c r="N923" i="42689" s="1"/>
  <c r="P375" i="42692"/>
  <c r="P375" i="42691"/>
  <c r="P906" i="42689"/>
  <c r="P923" i="42689" s="1"/>
  <c r="R386" i="42689"/>
  <c r="R392" i="42689"/>
  <c r="F403" i="42689"/>
  <c r="H403" i="42689"/>
  <c r="J403" i="42689"/>
  <c r="L403" i="42689"/>
  <c r="N403" i="42689"/>
  <c r="P403" i="42689"/>
  <c r="F394" i="42692"/>
  <c r="F394" i="42691"/>
  <c r="H394" i="42692"/>
  <c r="H394" i="42691"/>
  <c r="J394" i="42692"/>
  <c r="J394" i="42691"/>
  <c r="L394" i="42692"/>
  <c r="L394" i="42691"/>
  <c r="N394" i="42692"/>
  <c r="N394" i="42691"/>
  <c r="P394" i="42692"/>
  <c r="P394" i="42691"/>
  <c r="R405" i="42689"/>
  <c r="R419" i="42689"/>
  <c r="G420" i="42689"/>
  <c r="K420" i="42689"/>
  <c r="K425" i="42689" s="1"/>
  <c r="O420" i="42689"/>
  <c r="F440" i="42692"/>
  <c r="F907" i="42689"/>
  <c r="F440" i="42691"/>
  <c r="H440" i="42692"/>
  <c r="H896" i="42692" s="1"/>
  <c r="H907" i="42689"/>
  <c r="H440" i="42691"/>
  <c r="H896" i="42691" s="1"/>
  <c r="J440" i="42692"/>
  <c r="J896" i="42692" s="1"/>
  <c r="J907" i="42689"/>
  <c r="J440" i="42691"/>
  <c r="J896" i="42691" s="1"/>
  <c r="L440" i="42692"/>
  <c r="L896" i="42692" s="1"/>
  <c r="L907" i="42689"/>
  <c r="L440" i="42691"/>
  <c r="L896" i="42691" s="1"/>
  <c r="N440" i="42692"/>
  <c r="N896" i="42692" s="1"/>
  <c r="N907" i="42689"/>
  <c r="N440" i="42691"/>
  <c r="N896" i="42691" s="1"/>
  <c r="P440" i="42692"/>
  <c r="P896" i="42692" s="1"/>
  <c r="P907" i="42689"/>
  <c r="P440" i="42691"/>
  <c r="P896" i="42691" s="1"/>
  <c r="R451" i="42689"/>
  <c r="F464" i="42689"/>
  <c r="H464" i="42689"/>
  <c r="H465" i="42689" s="1"/>
  <c r="J464" i="42689"/>
  <c r="J465" i="42689" s="1"/>
  <c r="L464" i="42689"/>
  <c r="L465" i="42689" s="1"/>
  <c r="N464" i="42689"/>
  <c r="N465" i="42689" s="1"/>
  <c r="P464" i="42689"/>
  <c r="P465" i="42689" s="1"/>
  <c r="R484" i="42689"/>
  <c r="G479" i="42692"/>
  <c r="G897" i="42692" s="1"/>
  <c r="G908" i="42689"/>
  <c r="G479" i="42691"/>
  <c r="G897" i="42691" s="1"/>
  <c r="I479" i="42692"/>
  <c r="I897" i="42692" s="1"/>
  <c r="I908" i="42689"/>
  <c r="I479" i="42691"/>
  <c r="I897" i="42691" s="1"/>
  <c r="K479" i="42692"/>
  <c r="K897" i="42692" s="1"/>
  <c r="K908" i="42689"/>
  <c r="K479" i="42691"/>
  <c r="K897" i="42691" s="1"/>
  <c r="M479" i="42692"/>
  <c r="M897" i="42692" s="1"/>
  <c r="M908" i="42689"/>
  <c r="M479" i="42691"/>
  <c r="M897" i="42691" s="1"/>
  <c r="O479" i="42692"/>
  <c r="O897" i="42692" s="1"/>
  <c r="O908" i="42689"/>
  <c r="O479" i="42691"/>
  <c r="O897" i="42691" s="1"/>
  <c r="Q479" i="42692"/>
  <c r="Q897" i="42692" s="1"/>
  <c r="Q908" i="42689"/>
  <c r="Q479" i="42691"/>
  <c r="Q897" i="42691" s="1"/>
  <c r="F491" i="42689"/>
  <c r="H491" i="42689"/>
  <c r="H503" i="42689" s="1"/>
  <c r="J491" i="42689"/>
  <c r="J503" i="42689" s="1"/>
  <c r="L491" i="42689"/>
  <c r="L503" i="42689" s="1"/>
  <c r="N491" i="42689"/>
  <c r="N503" i="42689" s="1"/>
  <c r="P491" i="42689"/>
  <c r="P503" i="42689" s="1"/>
  <c r="R520" i="42689"/>
  <c r="F525" i="42689"/>
  <c r="H525" i="42689"/>
  <c r="G515" i="42692"/>
  <c r="G898" i="42692" s="1"/>
  <c r="G515" i="42691"/>
  <c r="G898" i="42691" s="1"/>
  <c r="G909" i="42689"/>
  <c r="I515" i="42692"/>
  <c r="I898" i="42692" s="1"/>
  <c r="I515" i="42691"/>
  <c r="I898" i="42691" s="1"/>
  <c r="I909" i="42689"/>
  <c r="K515" i="42692"/>
  <c r="K898" i="42692" s="1"/>
  <c r="K515" i="42691"/>
  <c r="K898" i="42691" s="1"/>
  <c r="K909" i="42689"/>
  <c r="M515" i="42692"/>
  <c r="M898" i="42692" s="1"/>
  <c r="M515" i="42691"/>
  <c r="M898" i="42691" s="1"/>
  <c r="M909" i="42689"/>
  <c r="O515" i="42692"/>
  <c r="O898" i="42692" s="1"/>
  <c r="O515" i="42691"/>
  <c r="O898" i="42691" s="1"/>
  <c r="O909" i="42689"/>
  <c r="Q515" i="42692"/>
  <c r="Q898" i="42692" s="1"/>
  <c r="Q515" i="42691"/>
  <c r="Q898" i="42691" s="1"/>
  <c r="Q909" i="42689"/>
  <c r="G527" i="42692"/>
  <c r="G527" i="42691"/>
  <c r="I527" i="42692"/>
  <c r="I527" i="42691"/>
  <c r="K527" i="42692"/>
  <c r="K527" i="42691"/>
  <c r="M527" i="42692"/>
  <c r="M527" i="42691"/>
  <c r="O527" i="42692"/>
  <c r="O527" i="42691"/>
  <c r="Q527" i="42692"/>
  <c r="Q527" i="42691"/>
  <c r="F844" i="42689"/>
  <c r="R844" i="42689" s="1"/>
  <c r="R826" i="42689"/>
  <c r="R554" i="42689"/>
  <c r="F548" i="42692"/>
  <c r="F548" i="42691"/>
  <c r="F910" i="42689"/>
  <c r="H548" i="42692"/>
  <c r="H548" i="42691"/>
  <c r="H899" i="42691" s="1"/>
  <c r="H915" i="42691" s="1"/>
  <c r="H910" i="42689"/>
  <c r="H926" i="42689" s="1"/>
  <c r="J548" i="42692"/>
  <c r="J548" i="42691"/>
  <c r="J899" i="42691" s="1"/>
  <c r="J915" i="42691" s="1"/>
  <c r="J910" i="42689"/>
  <c r="J926" i="42689" s="1"/>
  <c r="L548" i="42692"/>
  <c r="L548" i="42691"/>
  <c r="L899" i="42691" s="1"/>
  <c r="L915" i="42691" s="1"/>
  <c r="L910" i="42689"/>
  <c r="L926" i="42689" s="1"/>
  <c r="N548" i="42692"/>
  <c r="N548" i="42691"/>
  <c r="N899" i="42691" s="1"/>
  <c r="N915" i="42691" s="1"/>
  <c r="N910" i="42689"/>
  <c r="N926" i="42689" s="1"/>
  <c r="P548" i="42692"/>
  <c r="P548" i="42691"/>
  <c r="P899" i="42691" s="1"/>
  <c r="P915" i="42691" s="1"/>
  <c r="P910" i="42689"/>
  <c r="P926" i="42689" s="1"/>
  <c r="R559" i="42689"/>
  <c r="R565" i="42689"/>
  <c r="F569" i="42689"/>
  <c r="H569" i="42689"/>
  <c r="J569" i="42689"/>
  <c r="L569" i="42689"/>
  <c r="N569" i="42689"/>
  <c r="P569" i="42689"/>
  <c r="G559" i="42692"/>
  <c r="G559" i="42691"/>
  <c r="I559" i="42692"/>
  <c r="I559" i="42691"/>
  <c r="K559" i="42692"/>
  <c r="K559" i="42691"/>
  <c r="M559" i="42692"/>
  <c r="M559" i="42691"/>
  <c r="O559" i="42692"/>
  <c r="O559" i="42691"/>
  <c r="Q559" i="42692"/>
  <c r="Q559" i="42691"/>
  <c r="R590" i="42689"/>
  <c r="F588" i="42692"/>
  <c r="F588" i="42691"/>
  <c r="F911" i="42689"/>
  <c r="H588" i="42692"/>
  <c r="H900" i="42692" s="1"/>
  <c r="H588" i="42691"/>
  <c r="H900" i="42691" s="1"/>
  <c r="H911" i="42689"/>
  <c r="J588" i="42692"/>
  <c r="J900" i="42692" s="1"/>
  <c r="J588" i="42691"/>
  <c r="J900" i="42691" s="1"/>
  <c r="J911" i="42689"/>
  <c r="L588" i="42692"/>
  <c r="L900" i="42692" s="1"/>
  <c r="L588" i="42691"/>
  <c r="L900" i="42691" s="1"/>
  <c r="L911" i="42689"/>
  <c r="N588" i="42692"/>
  <c r="N900" i="42692" s="1"/>
  <c r="N588" i="42691"/>
  <c r="N900" i="42691" s="1"/>
  <c r="N911" i="42689"/>
  <c r="P588" i="42692"/>
  <c r="P900" i="42692" s="1"/>
  <c r="P588" i="42691"/>
  <c r="P900" i="42691" s="1"/>
  <c r="P911" i="42689"/>
  <c r="R599" i="42689"/>
  <c r="G603" i="42692"/>
  <c r="G603" i="42691"/>
  <c r="I603" i="42692"/>
  <c r="I603" i="42691"/>
  <c r="K603" i="42692"/>
  <c r="K603" i="42691"/>
  <c r="M603" i="42692"/>
  <c r="M603" i="42691"/>
  <c r="O603" i="42692"/>
  <c r="O603" i="42691"/>
  <c r="Q603" i="42692"/>
  <c r="Q603" i="42691"/>
  <c r="I651" i="42689"/>
  <c r="K651" i="42689"/>
  <c r="M651" i="42689"/>
  <c r="O651" i="42689"/>
  <c r="Q651" i="42689"/>
  <c r="F641" i="42692"/>
  <c r="F641" i="42691"/>
  <c r="F912" i="42689"/>
  <c r="H641" i="42692"/>
  <c r="H901" i="42692" s="1"/>
  <c r="H641" i="42691"/>
  <c r="H901" i="42691" s="1"/>
  <c r="H912" i="42689"/>
  <c r="J641" i="42692"/>
  <c r="J901" i="42692" s="1"/>
  <c r="J641" i="42691"/>
  <c r="J901" i="42691" s="1"/>
  <c r="J912" i="42689"/>
  <c r="L641" i="42692"/>
  <c r="L901" i="42692" s="1"/>
  <c r="L641" i="42691"/>
  <c r="L901" i="42691" s="1"/>
  <c r="L912" i="42689"/>
  <c r="N641" i="42692"/>
  <c r="N901" i="42692" s="1"/>
  <c r="N641" i="42691"/>
  <c r="N901" i="42691" s="1"/>
  <c r="N912" i="42689"/>
  <c r="P641" i="42692"/>
  <c r="P901" i="42692" s="1"/>
  <c r="P641" i="42691"/>
  <c r="P901" i="42691" s="1"/>
  <c r="P912" i="42689"/>
  <c r="R652" i="42689"/>
  <c r="R658" i="42689"/>
  <c r="F666" i="42689"/>
  <c r="H666" i="42689"/>
  <c r="H667" i="42689" s="1"/>
  <c r="J666" i="42689"/>
  <c r="J667" i="42689" s="1"/>
  <c r="L666" i="42689"/>
  <c r="L667" i="42689" s="1"/>
  <c r="N666" i="42689"/>
  <c r="N667" i="42689" s="1"/>
  <c r="P666" i="42689"/>
  <c r="P667" i="42689" s="1"/>
  <c r="F657" i="42692"/>
  <c r="F657" i="42691"/>
  <c r="H657" i="42692"/>
  <c r="H657" i="42691"/>
  <c r="J657" i="42692"/>
  <c r="J657" i="42691"/>
  <c r="L657" i="42692"/>
  <c r="L657" i="42691"/>
  <c r="N657" i="42692"/>
  <c r="N657" i="42691"/>
  <c r="P657" i="42692"/>
  <c r="P657" i="42691"/>
  <c r="R668" i="42689"/>
  <c r="R690" i="42689"/>
  <c r="F684" i="42692"/>
  <c r="F684" i="42691"/>
  <c r="F913" i="42689"/>
  <c r="H684" i="42692"/>
  <c r="H902" i="42692" s="1"/>
  <c r="H684" i="42691"/>
  <c r="H902" i="42691" s="1"/>
  <c r="H913" i="42689"/>
  <c r="J684" i="42692"/>
  <c r="J902" i="42692" s="1"/>
  <c r="J684" i="42691"/>
  <c r="J902" i="42691" s="1"/>
  <c r="J913" i="42689"/>
  <c r="L684" i="42692"/>
  <c r="L902" i="42692" s="1"/>
  <c r="L684" i="42691"/>
  <c r="L902" i="42691" s="1"/>
  <c r="L913" i="42689"/>
  <c r="N684" i="42692"/>
  <c r="N902" i="42692" s="1"/>
  <c r="N684" i="42691"/>
  <c r="N902" i="42691" s="1"/>
  <c r="N913" i="42689"/>
  <c r="P684" i="42692"/>
  <c r="P902" i="42692" s="1"/>
  <c r="P684" i="42691"/>
  <c r="P902" i="42691" s="1"/>
  <c r="P913" i="42689"/>
  <c r="R695" i="42689"/>
  <c r="G699" i="42692"/>
  <c r="G699" i="42691"/>
  <c r="I699" i="42692"/>
  <c r="I699" i="42691"/>
  <c r="K699" i="42692"/>
  <c r="K699" i="42691"/>
  <c r="M699" i="42692"/>
  <c r="M699" i="42691"/>
  <c r="O699" i="42692"/>
  <c r="O699" i="42691"/>
  <c r="Q699" i="42692"/>
  <c r="Q699" i="42691"/>
  <c r="R749" i="42689"/>
  <c r="F753" i="42692"/>
  <c r="F753" i="42691"/>
  <c r="H753" i="42692"/>
  <c r="H753" i="42691"/>
  <c r="J753" i="42692"/>
  <c r="J753" i="42691"/>
  <c r="L753" i="42692"/>
  <c r="L753" i="42691"/>
  <c r="N753" i="42692"/>
  <c r="N753" i="42691"/>
  <c r="P753" i="42692"/>
  <c r="P753" i="42691"/>
  <c r="R764" i="42689"/>
  <c r="H926" i="42690"/>
  <c r="I937" i="42689"/>
  <c r="G824" i="42690"/>
  <c r="I824" i="42690"/>
  <c r="K824" i="42690"/>
  <c r="M824" i="42690"/>
  <c r="O824" i="42690"/>
  <c r="Q824" i="42690"/>
  <c r="G908" i="42690"/>
  <c r="I908" i="42690"/>
  <c r="K908" i="42690"/>
  <c r="M908" i="42690"/>
  <c r="O908" i="42690"/>
  <c r="Q908" i="42690"/>
  <c r="G414" i="42690"/>
  <c r="K414" i="42690"/>
  <c r="O414" i="42690"/>
  <c r="G417" i="42690"/>
  <c r="K417" i="42690"/>
  <c r="O417" i="42690"/>
  <c r="I126" i="42690"/>
  <c r="M126" i="42690"/>
  <c r="Q126" i="42690"/>
  <c r="F832" i="42690"/>
  <c r="F834" i="42690"/>
  <c r="R807" i="42690"/>
  <c r="R834" i="42690" s="1"/>
  <c r="I651" i="42690"/>
  <c r="I658" i="42690" s="1"/>
  <c r="K651" i="42690"/>
  <c r="K658" i="42690" s="1"/>
  <c r="M651" i="42690"/>
  <c r="M658" i="42690" s="1"/>
  <c r="O651" i="42690"/>
  <c r="O658" i="42690" s="1"/>
  <c r="Q651" i="42690"/>
  <c r="Q658" i="42690" s="1"/>
  <c r="I661" i="42690"/>
  <c r="K661" i="42690"/>
  <c r="M661" i="42690"/>
  <c r="O661" i="42690"/>
  <c r="Q661" i="42690"/>
  <c r="R337" i="42690"/>
  <c r="R810" i="42690"/>
  <c r="I393" i="42690"/>
  <c r="M393" i="42690"/>
  <c r="Q393" i="42690"/>
  <c r="R455" i="42690"/>
  <c r="R483" i="42690"/>
  <c r="R486" i="42690"/>
  <c r="F915" i="42690"/>
  <c r="R592" i="42690"/>
  <c r="R594" i="42690"/>
  <c r="I652" i="42690"/>
  <c r="K652" i="42690"/>
  <c r="M652" i="42690"/>
  <c r="O652" i="42690"/>
  <c r="Q652" i="42690"/>
  <c r="R688" i="42690"/>
  <c r="R690" i="42690"/>
  <c r="F698" i="42690"/>
  <c r="R698" i="42690" s="1"/>
  <c r="R696" i="42690"/>
  <c r="R740" i="42690"/>
  <c r="F752" i="42690"/>
  <c r="R752" i="42690" s="1"/>
  <c r="R750" i="42690"/>
  <c r="R741" i="42690"/>
  <c r="R743" i="42690"/>
  <c r="I413" i="42691"/>
  <c r="M413" i="42691"/>
  <c r="Q413" i="42691"/>
  <c r="R483" i="42691"/>
  <c r="R486" i="42691"/>
  <c r="G526" i="42691"/>
  <c r="I526" i="42691"/>
  <c r="K526" i="42691"/>
  <c r="M526" i="42691"/>
  <c r="O526" i="42691"/>
  <c r="Q526" i="42691"/>
  <c r="R592" i="42691"/>
  <c r="R594" i="42691"/>
  <c r="F602" i="42691"/>
  <c r="H602" i="42691"/>
  <c r="J602" i="42691"/>
  <c r="L602" i="42691"/>
  <c r="N602" i="42691"/>
  <c r="P602" i="42691"/>
  <c r="F453" i="42691"/>
  <c r="H453" i="42691"/>
  <c r="J453" i="42691"/>
  <c r="L453" i="42691"/>
  <c r="N453" i="42691"/>
  <c r="P453" i="42691"/>
  <c r="R552" i="42691"/>
  <c r="R554" i="42691"/>
  <c r="F558" i="42691"/>
  <c r="H558" i="42691"/>
  <c r="J558" i="42691"/>
  <c r="L558" i="42691"/>
  <c r="N558" i="42691"/>
  <c r="P558" i="42691"/>
  <c r="F14" i="42697"/>
  <c r="D9" i="42696"/>
  <c r="F14" i="42692"/>
  <c r="F14" i="42691"/>
  <c r="F14" i="42690"/>
  <c r="J14" i="42697"/>
  <c r="H9" i="42696"/>
  <c r="J14" i="42692"/>
  <c r="J14" i="42691"/>
  <c r="J14" i="42690"/>
  <c r="N14" i="42697"/>
  <c r="L9" i="42696"/>
  <c r="N14" i="42692"/>
  <c r="N14" i="42691"/>
  <c r="N14" i="42690"/>
  <c r="I986" i="42697"/>
  <c r="I986" i="42692"/>
  <c r="I986" i="42691"/>
  <c r="I986" i="42690"/>
  <c r="I997" i="42689"/>
  <c r="M986" i="42697"/>
  <c r="M986" i="42692"/>
  <c r="M986" i="42691"/>
  <c r="M986" i="42690"/>
  <c r="M997" i="42689"/>
  <c r="Q986" i="42697"/>
  <c r="Q986" i="42692"/>
  <c r="Q986" i="42691"/>
  <c r="Q986" i="42690"/>
  <c r="Q997" i="42689"/>
  <c r="F989" i="42697"/>
  <c r="F989" i="42692"/>
  <c r="F989" i="42691"/>
  <c r="F989" i="42690"/>
  <c r="F1000" i="42689"/>
  <c r="J989" i="42697"/>
  <c r="J989" i="42692"/>
  <c r="J989" i="42691"/>
  <c r="J989" i="42690"/>
  <c r="J1000" i="42689"/>
  <c r="N989" i="42697"/>
  <c r="N989" i="42692"/>
  <c r="N989" i="42691"/>
  <c r="N989" i="42690"/>
  <c r="N1000" i="42689"/>
  <c r="H55" i="42683"/>
  <c r="L55" i="42683"/>
  <c r="P55" i="42683"/>
  <c r="G56" i="42683"/>
  <c r="K56" i="42683"/>
  <c r="O56" i="42683"/>
  <c r="F57" i="42683"/>
  <c r="E10" i="42696" s="1"/>
  <c r="J57" i="42683"/>
  <c r="I10" i="42696" s="1"/>
  <c r="N57" i="42683"/>
  <c r="M10" i="42696" s="1"/>
  <c r="E58" i="42683"/>
  <c r="I58" i="42683"/>
  <c r="M58" i="42683"/>
  <c r="H59" i="42683"/>
  <c r="L59" i="42683"/>
  <c r="P59" i="42683"/>
  <c r="G60" i="42683"/>
  <c r="I60" i="42683"/>
  <c r="M60" i="42683"/>
  <c r="Q66" i="42683"/>
  <c r="H69" i="42683"/>
  <c r="L69" i="42683"/>
  <c r="P69" i="42683"/>
  <c r="E70" i="42683"/>
  <c r="I70" i="42683"/>
  <c r="M70" i="42683"/>
  <c r="H71" i="42683"/>
  <c r="L71" i="42683"/>
  <c r="P71" i="42683"/>
  <c r="G72" i="42683"/>
  <c r="K72" i="42683"/>
  <c r="O72" i="42683"/>
  <c r="F73" i="42683"/>
  <c r="J73" i="42683"/>
  <c r="N73" i="42683"/>
  <c r="E74" i="42683"/>
  <c r="I74" i="42683"/>
  <c r="M74" i="42683"/>
  <c r="H75" i="42683"/>
  <c r="L75" i="42683"/>
  <c r="P75" i="42683"/>
  <c r="G76" i="42683"/>
  <c r="K76" i="42683"/>
  <c r="O76" i="42683"/>
  <c r="F77" i="42683"/>
  <c r="J77" i="42683"/>
  <c r="N77" i="42683"/>
  <c r="E78" i="42683"/>
  <c r="I78" i="42683"/>
  <c r="M78" i="42683"/>
  <c r="Q83" i="42683"/>
  <c r="G17" i="42696"/>
  <c r="I409" i="42690"/>
  <c r="K17" i="42696"/>
  <c r="M409" i="42690"/>
  <c r="O17" i="42696"/>
  <c r="Q409" i="42690"/>
  <c r="F18" i="42696"/>
  <c r="H439" i="42690"/>
  <c r="J18" i="42696"/>
  <c r="L439" i="42690"/>
  <c r="N18" i="42696"/>
  <c r="P439" i="42690"/>
  <c r="G25" i="42696"/>
  <c r="G170" i="42696" s="1"/>
  <c r="I478" i="42697" s="1"/>
  <c r="I478" i="42690"/>
  <c r="K25" i="42696"/>
  <c r="K170" i="42696" s="1"/>
  <c r="M478" i="42697" s="1"/>
  <c r="M478" i="42690"/>
  <c r="M25" i="42696"/>
  <c r="M170" i="42696" s="1"/>
  <c r="O478" i="42697" s="1"/>
  <c r="O478" i="42690"/>
  <c r="O25" i="42696"/>
  <c r="O170" i="42696" s="1"/>
  <c r="Q478" i="42697" s="1"/>
  <c r="Q478" i="42690"/>
  <c r="E19" i="42696"/>
  <c r="E167" i="42696" s="1"/>
  <c r="G640" i="42697" s="1"/>
  <c r="G640" i="42690"/>
  <c r="O100" i="42682"/>
  <c r="G14" i="42697"/>
  <c r="E9" i="42696"/>
  <c r="G14" i="42692"/>
  <c r="G14" i="42691"/>
  <c r="G14" i="42690"/>
  <c r="I14" i="42697"/>
  <c r="G9" i="42696"/>
  <c r="I14" i="42692"/>
  <c r="I14" i="42691"/>
  <c r="I14" i="42690"/>
  <c r="K14" i="42697"/>
  <c r="I9" i="42696"/>
  <c r="K14" i="42692"/>
  <c r="K14" i="42691"/>
  <c r="K14" i="42690"/>
  <c r="M14" i="42697"/>
  <c r="K9" i="42696"/>
  <c r="M14" i="42692"/>
  <c r="M14" i="42691"/>
  <c r="M14" i="42690"/>
  <c r="O14" i="42697"/>
  <c r="M9" i="42696"/>
  <c r="O14" i="42692"/>
  <c r="O14" i="42691"/>
  <c r="O14" i="42690"/>
  <c r="Q14" i="42697"/>
  <c r="O9" i="42696"/>
  <c r="Q14" i="42692"/>
  <c r="Q14" i="42691"/>
  <c r="Q14" i="42690"/>
  <c r="F986" i="42697"/>
  <c r="F986" i="42692"/>
  <c r="F986" i="42691"/>
  <c r="F986" i="42690"/>
  <c r="F997" i="42689"/>
  <c r="H986" i="42697"/>
  <c r="H986" i="42692"/>
  <c r="H986" i="42691"/>
  <c r="H986" i="42690"/>
  <c r="H997" i="42689"/>
  <c r="J986" i="42697"/>
  <c r="J986" i="42692"/>
  <c r="J986" i="42691"/>
  <c r="J986" i="42690"/>
  <c r="J997" i="42689"/>
  <c r="L986" i="42697"/>
  <c r="L986" i="42692"/>
  <c r="L986" i="42691"/>
  <c r="L986" i="42690"/>
  <c r="L997" i="42689"/>
  <c r="N986" i="42697"/>
  <c r="N986" i="42692"/>
  <c r="N986" i="42691"/>
  <c r="N986" i="42690"/>
  <c r="N997" i="42689"/>
  <c r="P986" i="42697"/>
  <c r="P986" i="42692"/>
  <c r="P986" i="42691"/>
  <c r="P986" i="42690"/>
  <c r="P997" i="42689"/>
  <c r="G989" i="42697"/>
  <c r="G989" i="42692"/>
  <c r="G989" i="42691"/>
  <c r="G989" i="42690"/>
  <c r="G1000" i="42689"/>
  <c r="I989" i="42697"/>
  <c r="I989" i="42692"/>
  <c r="I989" i="42691"/>
  <c r="I989" i="42690"/>
  <c r="I1000" i="42689"/>
  <c r="K989" i="42697"/>
  <c r="K989" i="42692"/>
  <c r="K989" i="42691"/>
  <c r="K989" i="42690"/>
  <c r="K1000" i="42689"/>
  <c r="M989" i="42697"/>
  <c r="M989" i="42692"/>
  <c r="M989" i="42691"/>
  <c r="M989" i="42690"/>
  <c r="M1000" i="42689"/>
  <c r="O989" i="42697"/>
  <c r="O989" i="42692"/>
  <c r="O989" i="42691"/>
  <c r="O989" i="42690"/>
  <c r="O1000" i="42689"/>
  <c r="Q989" i="42697"/>
  <c r="Q989" i="42692"/>
  <c r="Q989" i="42691"/>
  <c r="Q989" i="42690"/>
  <c r="Q1000" i="42689"/>
  <c r="E55" i="42683"/>
  <c r="G55" i="42683"/>
  <c r="I55" i="42683"/>
  <c r="K55" i="42683"/>
  <c r="M55" i="42683"/>
  <c r="O55" i="42683"/>
  <c r="F56" i="42683"/>
  <c r="H56" i="42683"/>
  <c r="J56" i="42683"/>
  <c r="L56" i="42683"/>
  <c r="N56" i="42683"/>
  <c r="P56" i="42683"/>
  <c r="E57" i="42683"/>
  <c r="G57" i="42683"/>
  <c r="F10" i="42696" s="1"/>
  <c r="I57" i="42683"/>
  <c r="H10" i="42696" s="1"/>
  <c r="K57" i="42683"/>
  <c r="J10" i="42696" s="1"/>
  <c r="M57" i="42683"/>
  <c r="L10" i="42696" s="1"/>
  <c r="O57" i="42683"/>
  <c r="N10" i="42696" s="1"/>
  <c r="F58" i="42683"/>
  <c r="H58" i="42683"/>
  <c r="J58" i="42683"/>
  <c r="L58" i="42683"/>
  <c r="N58" i="42683"/>
  <c r="P58" i="42683"/>
  <c r="E59" i="42683"/>
  <c r="G59" i="42683"/>
  <c r="I59" i="42683"/>
  <c r="K59" i="42683"/>
  <c r="M59" i="42683"/>
  <c r="O59" i="42683"/>
  <c r="F60" i="42683"/>
  <c r="H60" i="42683"/>
  <c r="J60" i="42683"/>
  <c r="L60" i="42683"/>
  <c r="N60" i="42683"/>
  <c r="E69" i="42683"/>
  <c r="G69" i="42683"/>
  <c r="I69" i="42683"/>
  <c r="K69" i="42683"/>
  <c r="M69" i="42683"/>
  <c r="O69" i="42683"/>
  <c r="F70" i="42683"/>
  <c r="H70" i="42683"/>
  <c r="J70" i="42683"/>
  <c r="L70" i="42683"/>
  <c r="N70" i="42683"/>
  <c r="P70" i="42683"/>
  <c r="E71" i="42683"/>
  <c r="G71" i="42683"/>
  <c r="I71" i="42683"/>
  <c r="K71" i="42683"/>
  <c r="M71" i="42683"/>
  <c r="O71" i="42683"/>
  <c r="F72" i="42683"/>
  <c r="H72" i="42683"/>
  <c r="J72" i="42683"/>
  <c r="L72" i="42683"/>
  <c r="N72" i="42683"/>
  <c r="P72" i="42683"/>
  <c r="E73" i="42683"/>
  <c r="G73" i="42683"/>
  <c r="I73" i="42683"/>
  <c r="K73" i="42683"/>
  <c r="M73" i="42683"/>
  <c r="O73" i="42683"/>
  <c r="F74" i="42683"/>
  <c r="H74" i="42683"/>
  <c r="J74" i="42683"/>
  <c r="L74" i="42683"/>
  <c r="N74" i="42683"/>
  <c r="P74" i="42683"/>
  <c r="E75" i="42683"/>
  <c r="G75" i="42683"/>
  <c r="I75" i="42683"/>
  <c r="K75" i="42683"/>
  <c r="M75" i="42683"/>
  <c r="O75" i="42683"/>
  <c r="F76" i="42683"/>
  <c r="H76" i="42683"/>
  <c r="J76" i="42683"/>
  <c r="L76" i="42683"/>
  <c r="N76" i="42683"/>
  <c r="P76" i="42683"/>
  <c r="E77" i="42683"/>
  <c r="G77" i="42683"/>
  <c r="I77" i="42683"/>
  <c r="K77" i="42683"/>
  <c r="M77" i="42683"/>
  <c r="O77" i="42683"/>
  <c r="F78" i="42683"/>
  <c r="H78" i="42683"/>
  <c r="J78" i="42683"/>
  <c r="L78" i="42683"/>
  <c r="N78" i="42683"/>
  <c r="Q80" i="42683"/>
  <c r="E86" i="42683"/>
  <c r="G86" i="42683"/>
  <c r="I86" i="42683"/>
  <c r="K86" i="42683"/>
  <c r="M86" i="42683"/>
  <c r="O86" i="42683"/>
  <c r="F87" i="42683"/>
  <c r="H87" i="42683"/>
  <c r="J87" i="42683"/>
  <c r="L87" i="42683"/>
  <c r="N87" i="42683"/>
  <c r="P87" i="42683"/>
  <c r="E88" i="42683"/>
  <c r="G88" i="42683"/>
  <c r="I88" i="42683"/>
  <c r="K88" i="42683"/>
  <c r="M88" i="42683"/>
  <c r="O88" i="42683"/>
  <c r="F89" i="42683"/>
  <c r="H89" i="42683"/>
  <c r="J89" i="42683"/>
  <c r="L89" i="42683"/>
  <c r="N89" i="42683"/>
  <c r="P89" i="42683"/>
  <c r="E90" i="42683"/>
  <c r="G90" i="42683"/>
  <c r="I90" i="42683"/>
  <c r="K90" i="42683"/>
  <c r="M90" i="42683"/>
  <c r="O90" i="42683"/>
  <c r="F91" i="42683"/>
  <c r="H91" i="42683"/>
  <c r="J91" i="42683"/>
  <c r="L91" i="42683"/>
  <c r="N91" i="42683"/>
  <c r="P91" i="42683"/>
  <c r="E92" i="42683"/>
  <c r="G92" i="42683"/>
  <c r="I92" i="42683"/>
  <c r="K92" i="42683"/>
  <c r="M92" i="42683"/>
  <c r="O92" i="42683"/>
  <c r="F93" i="42683"/>
  <c r="H93" i="42683"/>
  <c r="J93" i="42683"/>
  <c r="L93" i="42683"/>
  <c r="N93" i="42683"/>
  <c r="P93" i="42683"/>
  <c r="E94" i="42683"/>
  <c r="G94" i="42683"/>
  <c r="I94" i="42683"/>
  <c r="K94" i="42683"/>
  <c r="M94" i="42683"/>
  <c r="O94" i="42683"/>
  <c r="F95" i="42683"/>
  <c r="H95" i="42683"/>
  <c r="J95" i="42683"/>
  <c r="L95" i="42683"/>
  <c r="N95" i="42683"/>
  <c r="P95" i="42683"/>
  <c r="E96" i="42683"/>
  <c r="G96" i="42683"/>
  <c r="I96" i="42683"/>
  <c r="K96" i="42683"/>
  <c r="M96" i="42683"/>
  <c r="R46" i="42686"/>
  <c r="R48" i="42686"/>
  <c r="R50" i="42686"/>
  <c r="R17" i="42687"/>
  <c r="R23" i="42687" s="1"/>
  <c r="R87" i="42687" s="1"/>
  <c r="R73" i="42687"/>
  <c r="R75" i="42687"/>
  <c r="R18" i="42689"/>
  <c r="R20" i="42689"/>
  <c r="G835" i="42689"/>
  <c r="I835" i="42689"/>
  <c r="K835" i="42689"/>
  <c r="M835" i="42689"/>
  <c r="O835" i="42689"/>
  <c r="Q835" i="42689"/>
  <c r="G48" i="42689"/>
  <c r="I48" i="42689"/>
  <c r="K48" i="42689"/>
  <c r="M48" i="42689"/>
  <c r="O48" i="42689"/>
  <c r="Q48" i="42689"/>
  <c r="F836" i="42689"/>
  <c r="R836" i="42689" s="1"/>
  <c r="R813" i="42689"/>
  <c r="R62" i="42689"/>
  <c r="F66" i="42689"/>
  <c r="H66" i="42689"/>
  <c r="J66" i="42689"/>
  <c r="L66" i="42689"/>
  <c r="N66" i="42689"/>
  <c r="P66" i="42689"/>
  <c r="G919" i="42689"/>
  <c r="I919" i="42689"/>
  <c r="K919" i="42689"/>
  <c r="M919" i="42689"/>
  <c r="O919" i="42689"/>
  <c r="Q919" i="42689"/>
  <c r="F81" i="42689"/>
  <c r="H81" i="42689"/>
  <c r="J81" i="42689"/>
  <c r="L81" i="42689"/>
  <c r="N81" i="42689"/>
  <c r="P81" i="42689"/>
  <c r="G95" i="42689"/>
  <c r="I95" i="42689"/>
  <c r="K95" i="42689"/>
  <c r="M95" i="42689"/>
  <c r="O95" i="42689"/>
  <c r="Q95" i="42689"/>
  <c r="F838" i="42689"/>
  <c r="R838" i="42689" s="1"/>
  <c r="R815" i="42689"/>
  <c r="R117" i="42689"/>
  <c r="G112" i="42692"/>
  <c r="G112" i="42691"/>
  <c r="G900" i="42689"/>
  <c r="I112" i="42692"/>
  <c r="I112" i="42691"/>
  <c r="I900" i="42689"/>
  <c r="K112" i="42692"/>
  <c r="K112" i="42691"/>
  <c r="K900" i="42689"/>
  <c r="M112" i="42692"/>
  <c r="M112" i="42691"/>
  <c r="M900" i="42689"/>
  <c r="O112" i="42692"/>
  <c r="O112" i="42691"/>
  <c r="O900" i="42689"/>
  <c r="Q112" i="42692"/>
  <c r="Q112" i="42691"/>
  <c r="Q900" i="42689"/>
  <c r="F124" i="42689"/>
  <c r="H124" i="42689"/>
  <c r="H138" i="42689" s="1"/>
  <c r="J124" i="42689"/>
  <c r="J138" i="42689" s="1"/>
  <c r="L124" i="42689"/>
  <c r="L138" i="42689" s="1"/>
  <c r="N124" i="42689"/>
  <c r="N138" i="42689" s="1"/>
  <c r="P124" i="42689"/>
  <c r="P138" i="42689" s="1"/>
  <c r="G127" i="42689"/>
  <c r="I127" i="42689"/>
  <c r="K127" i="42689"/>
  <c r="M127" i="42689"/>
  <c r="O127" i="42689"/>
  <c r="Q127" i="42689"/>
  <c r="R130" i="42689"/>
  <c r="F135" i="42689"/>
  <c r="H135" i="42689"/>
  <c r="H137" i="42689" s="1"/>
  <c r="J135" i="42689"/>
  <c r="J137" i="42689" s="1"/>
  <c r="L135" i="42689"/>
  <c r="L137" i="42689" s="1"/>
  <c r="N135" i="42689"/>
  <c r="N137" i="42689" s="1"/>
  <c r="P135" i="42689"/>
  <c r="P137" i="42689" s="1"/>
  <c r="G136" i="42689"/>
  <c r="G137" i="42689" s="1"/>
  <c r="I136" i="42689"/>
  <c r="I137" i="42689" s="1"/>
  <c r="K136" i="42689"/>
  <c r="K137" i="42689" s="1"/>
  <c r="M136" i="42689"/>
  <c r="M137" i="42689" s="1"/>
  <c r="O136" i="42689"/>
  <c r="O137" i="42689" s="1"/>
  <c r="Q136" i="42689"/>
  <c r="Q137" i="42689" s="1"/>
  <c r="F151" i="42692"/>
  <c r="F901" i="42689"/>
  <c r="F151" i="42691"/>
  <c r="F163" i="42691" s="1"/>
  <c r="H151" i="42692"/>
  <c r="H901" i="42689"/>
  <c r="H151" i="42691"/>
  <c r="H890" i="42691" s="1"/>
  <c r="J151" i="42692"/>
  <c r="J901" i="42689"/>
  <c r="J151" i="42691"/>
  <c r="J890" i="42691" s="1"/>
  <c r="L151" i="42692"/>
  <c r="L901" i="42689"/>
  <c r="L151" i="42691"/>
  <c r="L890" i="42691" s="1"/>
  <c r="N151" i="42692"/>
  <c r="N901" i="42689"/>
  <c r="N151" i="42691"/>
  <c r="N890" i="42691" s="1"/>
  <c r="P151" i="42692"/>
  <c r="P901" i="42689"/>
  <c r="P151" i="42691"/>
  <c r="P890" i="42691" s="1"/>
  <c r="R162" i="42689"/>
  <c r="G163" i="42689"/>
  <c r="G175" i="42689" s="1"/>
  <c r="I163" i="42689"/>
  <c r="I175" i="42689" s="1"/>
  <c r="K163" i="42689"/>
  <c r="K175" i="42689" s="1"/>
  <c r="M163" i="42689"/>
  <c r="M175" i="42689" s="1"/>
  <c r="O163" i="42689"/>
  <c r="O175" i="42689" s="1"/>
  <c r="Q163" i="42689"/>
  <c r="Q175" i="42689" s="1"/>
  <c r="F166" i="42689"/>
  <c r="H166" i="42689"/>
  <c r="J166" i="42689"/>
  <c r="L166" i="42689"/>
  <c r="N166" i="42689"/>
  <c r="P166" i="42689"/>
  <c r="R169" i="42689"/>
  <c r="G174" i="42689"/>
  <c r="I174" i="42689"/>
  <c r="K174" i="42689"/>
  <c r="M174" i="42689"/>
  <c r="O174" i="42689"/>
  <c r="Q174" i="42689"/>
  <c r="F187" i="42692"/>
  <c r="F187" i="42691"/>
  <c r="F902" i="42689"/>
  <c r="H187" i="42692"/>
  <c r="H187" i="42691"/>
  <c r="H891" i="42691" s="1"/>
  <c r="H902" i="42689"/>
  <c r="J187" i="42692"/>
  <c r="J187" i="42691"/>
  <c r="J891" i="42691" s="1"/>
  <c r="J902" i="42689"/>
  <c r="L187" i="42692"/>
  <c r="L187" i="42691"/>
  <c r="L891" i="42691" s="1"/>
  <c r="L902" i="42689"/>
  <c r="N187" i="42692"/>
  <c r="N187" i="42691"/>
  <c r="N891" i="42691" s="1"/>
  <c r="N902" i="42689"/>
  <c r="P187" i="42692"/>
  <c r="P187" i="42691"/>
  <c r="P891" i="42691" s="1"/>
  <c r="P902" i="42689"/>
  <c r="R198" i="42689"/>
  <c r="G202" i="42689"/>
  <c r="I202" i="42689"/>
  <c r="K202" i="42689"/>
  <c r="M202" i="42689"/>
  <c r="O202" i="42689"/>
  <c r="Q202" i="42689"/>
  <c r="G209" i="42689"/>
  <c r="I209" i="42689"/>
  <c r="K209" i="42689"/>
  <c r="M209" i="42689"/>
  <c r="O209" i="42689"/>
  <c r="Q209" i="42689"/>
  <c r="F199" i="42692"/>
  <c r="F199" i="42691"/>
  <c r="H199" i="42692"/>
  <c r="H199" i="42691"/>
  <c r="J199" i="42692"/>
  <c r="J199" i="42691"/>
  <c r="L199" i="42692"/>
  <c r="L199" i="42691"/>
  <c r="N199" i="42692"/>
  <c r="N199" i="42691"/>
  <c r="P199" i="42692"/>
  <c r="P199" i="42691"/>
  <c r="R210" i="42689"/>
  <c r="F228" i="42692"/>
  <c r="F228" i="42691"/>
  <c r="F903" i="42689"/>
  <c r="H228" i="42692"/>
  <c r="H228" i="42691"/>
  <c r="H892" i="42691" s="1"/>
  <c r="H916" i="42691" s="1"/>
  <c r="H903" i="42689"/>
  <c r="H927" i="42689" s="1"/>
  <c r="J228" i="42692"/>
  <c r="J228" i="42691"/>
  <c r="J892" i="42691" s="1"/>
  <c r="J916" i="42691" s="1"/>
  <c r="J903" i="42689"/>
  <c r="J927" i="42689" s="1"/>
  <c r="L228" i="42692"/>
  <c r="L228" i="42691"/>
  <c r="L892" i="42691" s="1"/>
  <c r="L916" i="42691" s="1"/>
  <c r="L903" i="42689"/>
  <c r="L927" i="42689" s="1"/>
  <c r="N228" i="42692"/>
  <c r="N228" i="42691"/>
  <c r="N892" i="42691" s="1"/>
  <c r="N916" i="42691" s="1"/>
  <c r="N903" i="42689"/>
  <c r="N927" i="42689" s="1"/>
  <c r="P228" i="42692"/>
  <c r="P228" i="42691"/>
  <c r="P892" i="42691" s="1"/>
  <c r="P916" i="42691" s="1"/>
  <c r="P903" i="42689"/>
  <c r="P927" i="42689" s="1"/>
  <c r="R239" i="42689"/>
  <c r="G243" i="42689"/>
  <c r="I243" i="42689"/>
  <c r="K243" i="42689"/>
  <c r="M243" i="42689"/>
  <c r="O243" i="42689"/>
  <c r="Q243" i="42689"/>
  <c r="G253" i="42689"/>
  <c r="I253" i="42689"/>
  <c r="K253" i="42689"/>
  <c r="M253" i="42689"/>
  <c r="O253" i="42689"/>
  <c r="Q253" i="42689"/>
  <c r="F243" i="42692"/>
  <c r="F243" i="42691"/>
  <c r="H243" i="42692"/>
  <c r="H243" i="42691"/>
  <c r="J243" i="42692"/>
  <c r="J243" i="42691"/>
  <c r="L243" i="42692"/>
  <c r="L243" i="42691"/>
  <c r="N243" i="42692"/>
  <c r="N243" i="42691"/>
  <c r="P243" i="42692"/>
  <c r="P243" i="42691"/>
  <c r="R254" i="42689"/>
  <c r="F267" i="42689"/>
  <c r="H267" i="42689"/>
  <c r="J267" i="42689"/>
  <c r="L267" i="42689"/>
  <c r="N267" i="42689"/>
  <c r="P267" i="42689"/>
  <c r="F282" i="42692"/>
  <c r="F282" i="42691"/>
  <c r="F904" i="42689"/>
  <c r="H282" i="42692"/>
  <c r="H282" i="42691"/>
  <c r="H904" i="42689"/>
  <c r="H921" i="42689" s="1"/>
  <c r="J282" i="42692"/>
  <c r="J282" i="42691"/>
  <c r="J904" i="42689"/>
  <c r="J921" i="42689" s="1"/>
  <c r="L282" i="42692"/>
  <c r="L282" i="42691"/>
  <c r="L904" i="42689"/>
  <c r="L921" i="42689" s="1"/>
  <c r="N282" i="42692"/>
  <c r="N282" i="42691"/>
  <c r="N904" i="42689"/>
  <c r="N921" i="42689" s="1"/>
  <c r="P282" i="42692"/>
  <c r="P282" i="42691"/>
  <c r="P904" i="42689"/>
  <c r="P921" i="42689" s="1"/>
  <c r="R293" i="42689"/>
  <c r="G297" i="42689"/>
  <c r="I297" i="42689"/>
  <c r="K297" i="42689"/>
  <c r="M297" i="42689"/>
  <c r="O297" i="42689"/>
  <c r="Q297" i="42689"/>
  <c r="F306" i="42689"/>
  <c r="H306" i="42689"/>
  <c r="H308" i="42689" s="1"/>
  <c r="J306" i="42689"/>
  <c r="J308" i="42689" s="1"/>
  <c r="L306" i="42689"/>
  <c r="L308" i="42689" s="1"/>
  <c r="N306" i="42689"/>
  <c r="N308" i="42689" s="1"/>
  <c r="P306" i="42689"/>
  <c r="P308" i="42689" s="1"/>
  <c r="G307" i="42689"/>
  <c r="I307" i="42689"/>
  <c r="K307" i="42689"/>
  <c r="M307" i="42689"/>
  <c r="O307" i="42689"/>
  <c r="Q307" i="42689"/>
  <c r="G298" i="42692"/>
  <c r="G298" i="42691"/>
  <c r="I298" i="42692"/>
  <c r="I298" i="42691"/>
  <c r="K298" i="42692"/>
  <c r="K298" i="42691"/>
  <c r="M298" i="42692"/>
  <c r="M298" i="42691"/>
  <c r="O298" i="42692"/>
  <c r="O298" i="42691"/>
  <c r="Q298" i="42692"/>
  <c r="Q298" i="42691"/>
  <c r="G325" i="42692"/>
  <c r="G325" i="42691"/>
  <c r="G905" i="42689"/>
  <c r="I325" i="42692"/>
  <c r="I325" i="42691"/>
  <c r="I905" i="42689"/>
  <c r="K325" i="42692"/>
  <c r="K325" i="42691"/>
  <c r="K905" i="42689"/>
  <c r="M325" i="42692"/>
  <c r="M325" i="42691"/>
  <c r="M905" i="42689"/>
  <c r="O325" i="42692"/>
  <c r="O325" i="42691"/>
  <c r="O905" i="42689"/>
  <c r="Q325" i="42692"/>
  <c r="Q325" i="42691"/>
  <c r="Q905" i="42689"/>
  <c r="F340" i="42689"/>
  <c r="H340" i="42689"/>
  <c r="J340" i="42689"/>
  <c r="L340" i="42689"/>
  <c r="N340" i="42689"/>
  <c r="P340" i="42689"/>
  <c r="F348" i="42689"/>
  <c r="H348" i="42689"/>
  <c r="H350" i="42689" s="1"/>
  <c r="J348" i="42689"/>
  <c r="J350" i="42689" s="1"/>
  <c r="L348" i="42689"/>
  <c r="L350" i="42689" s="1"/>
  <c r="N348" i="42689"/>
  <c r="N350" i="42689" s="1"/>
  <c r="P348" i="42689"/>
  <c r="P350" i="42689" s="1"/>
  <c r="G349" i="42689"/>
  <c r="G350" i="42689" s="1"/>
  <c r="I349" i="42689"/>
  <c r="I350" i="42689" s="1"/>
  <c r="K349" i="42689"/>
  <c r="K350" i="42689" s="1"/>
  <c r="M349" i="42689"/>
  <c r="M350" i="42689" s="1"/>
  <c r="O349" i="42689"/>
  <c r="O350" i="42689" s="1"/>
  <c r="Q349" i="42689"/>
  <c r="Q350" i="42689" s="1"/>
  <c r="G340" i="42692"/>
  <c r="G340" i="42691"/>
  <c r="I340" i="42692"/>
  <c r="I340" i="42691"/>
  <c r="K340" i="42692"/>
  <c r="K340" i="42691"/>
  <c r="M340" i="42692"/>
  <c r="M340" i="42691"/>
  <c r="O340" i="42692"/>
  <c r="O340" i="42691"/>
  <c r="Q340" i="42692"/>
  <c r="Q340" i="42691"/>
  <c r="G375" i="42692"/>
  <c r="G375" i="42691"/>
  <c r="G906" i="42689"/>
  <c r="G923" i="42689" s="1"/>
  <c r="I375" i="42692"/>
  <c r="I375" i="42691"/>
  <c r="I906" i="42689"/>
  <c r="I923" i="42689" s="1"/>
  <c r="K375" i="42692"/>
  <c r="K375" i="42691"/>
  <c r="K906" i="42689"/>
  <c r="K923" i="42689" s="1"/>
  <c r="M375" i="42692"/>
  <c r="M375" i="42691"/>
  <c r="M906" i="42689"/>
  <c r="M923" i="42689" s="1"/>
  <c r="O375" i="42692"/>
  <c r="O375" i="42691"/>
  <c r="O906" i="42689"/>
  <c r="O923" i="42689" s="1"/>
  <c r="Q375" i="42692"/>
  <c r="Q375" i="42691"/>
  <c r="Q906" i="42689"/>
  <c r="Q923" i="42689" s="1"/>
  <c r="F390" i="42689"/>
  <c r="H390" i="42689"/>
  <c r="J390" i="42689"/>
  <c r="L390" i="42689"/>
  <c r="N390" i="42689"/>
  <c r="P390" i="42689"/>
  <c r="F402" i="42689"/>
  <c r="H402" i="42689"/>
  <c r="H404" i="42689" s="1"/>
  <c r="J402" i="42689"/>
  <c r="J404" i="42689" s="1"/>
  <c r="L402" i="42689"/>
  <c r="L404" i="42689" s="1"/>
  <c r="N402" i="42689"/>
  <c r="N404" i="42689" s="1"/>
  <c r="P402" i="42689"/>
  <c r="P404" i="42689" s="1"/>
  <c r="G403" i="42689"/>
  <c r="G404" i="42689" s="1"/>
  <c r="I403" i="42689"/>
  <c r="I404" i="42689" s="1"/>
  <c r="K403" i="42689"/>
  <c r="K404" i="42689" s="1"/>
  <c r="M403" i="42689"/>
  <c r="M404" i="42689" s="1"/>
  <c r="O403" i="42689"/>
  <c r="O404" i="42689" s="1"/>
  <c r="Q403" i="42689"/>
  <c r="Q404" i="42689" s="1"/>
  <c r="G394" i="42692"/>
  <c r="G394" i="42691"/>
  <c r="I394" i="42692"/>
  <c r="I394" i="42691"/>
  <c r="K394" i="42692"/>
  <c r="K394" i="42691"/>
  <c r="M394" i="42692"/>
  <c r="M394" i="42691"/>
  <c r="O394" i="42692"/>
  <c r="O394" i="42691"/>
  <c r="Q394" i="42692"/>
  <c r="Q394" i="42691"/>
  <c r="R823" i="42689"/>
  <c r="R445" i="42689"/>
  <c r="F450" i="42689"/>
  <c r="H450" i="42689"/>
  <c r="H470" i="42689" s="1"/>
  <c r="J450" i="42689"/>
  <c r="L450" i="42689"/>
  <c r="L470" i="42689" s="1"/>
  <c r="N450" i="42689"/>
  <c r="P450" i="42689"/>
  <c r="P470" i="42689" s="1"/>
  <c r="G440" i="42692"/>
  <c r="G896" i="42692" s="1"/>
  <c r="G440" i="42691"/>
  <c r="G896" i="42691" s="1"/>
  <c r="G907" i="42689"/>
  <c r="I440" i="42692"/>
  <c r="I896" i="42692" s="1"/>
  <c r="I440" i="42691"/>
  <c r="I896" i="42691" s="1"/>
  <c r="I907" i="42689"/>
  <c r="K440" i="42692"/>
  <c r="K896" i="42692" s="1"/>
  <c r="K440" i="42691"/>
  <c r="K896" i="42691" s="1"/>
  <c r="K907" i="42689"/>
  <c r="M440" i="42692"/>
  <c r="M896" i="42692" s="1"/>
  <c r="M440" i="42691"/>
  <c r="M896" i="42691" s="1"/>
  <c r="M907" i="42689"/>
  <c r="O440" i="42692"/>
  <c r="O896" i="42692" s="1"/>
  <c r="O440" i="42691"/>
  <c r="O896" i="42691" s="1"/>
  <c r="O907" i="42689"/>
  <c r="Q440" i="42692"/>
  <c r="Q896" i="42692" s="1"/>
  <c r="Q440" i="42691"/>
  <c r="Q896" i="42691" s="1"/>
  <c r="Q907" i="42689"/>
  <c r="G466" i="42689"/>
  <c r="I466" i="42689"/>
  <c r="K466" i="42689"/>
  <c r="M466" i="42689"/>
  <c r="O466" i="42689"/>
  <c r="Q466" i="42689"/>
  <c r="G489" i="42689"/>
  <c r="I489" i="42689"/>
  <c r="I500" i="42689" s="1"/>
  <c r="I506" i="42689" s="1"/>
  <c r="K489" i="42689"/>
  <c r="M489" i="42689"/>
  <c r="M500" i="42689" s="1"/>
  <c r="M506" i="42689" s="1"/>
  <c r="O489" i="42689"/>
  <c r="Q489" i="42689"/>
  <c r="Q500" i="42689" s="1"/>
  <c r="Q506" i="42689" s="1"/>
  <c r="F479" i="42692"/>
  <c r="F479" i="42691"/>
  <c r="F908" i="42689"/>
  <c r="H479" i="42692"/>
  <c r="H897" i="42692" s="1"/>
  <c r="H479" i="42691"/>
  <c r="H897" i="42691" s="1"/>
  <c r="H908" i="42689"/>
  <c r="J479" i="42692"/>
  <c r="J897" i="42692" s="1"/>
  <c r="J479" i="42691"/>
  <c r="J897" i="42691" s="1"/>
  <c r="J908" i="42689"/>
  <c r="L479" i="42692"/>
  <c r="L897" i="42692" s="1"/>
  <c r="L479" i="42691"/>
  <c r="L897" i="42691" s="1"/>
  <c r="L908" i="42689"/>
  <c r="N479" i="42692"/>
  <c r="N897" i="42692" s="1"/>
  <c r="N479" i="42691"/>
  <c r="N897" i="42691" s="1"/>
  <c r="N908" i="42689"/>
  <c r="P479" i="42692"/>
  <c r="P897" i="42692" s="1"/>
  <c r="P479" i="42691"/>
  <c r="P897" i="42691" s="1"/>
  <c r="P908" i="42689"/>
  <c r="R490" i="42689"/>
  <c r="G491" i="42689"/>
  <c r="G503" i="42689" s="1"/>
  <c r="I491" i="42689"/>
  <c r="I503" i="42689" s="1"/>
  <c r="K491" i="42689"/>
  <c r="K503" i="42689" s="1"/>
  <c r="M491" i="42689"/>
  <c r="M503" i="42689" s="1"/>
  <c r="O491" i="42689"/>
  <c r="O503" i="42689" s="1"/>
  <c r="Q491" i="42689"/>
  <c r="Q503" i="42689" s="1"/>
  <c r="F515" i="42692"/>
  <c r="F515" i="42691"/>
  <c r="F909" i="42689"/>
  <c r="H515" i="42692"/>
  <c r="H898" i="42692" s="1"/>
  <c r="H515" i="42691"/>
  <c r="H898" i="42691" s="1"/>
  <c r="H909" i="42689"/>
  <c r="J515" i="42692"/>
  <c r="J898" i="42692" s="1"/>
  <c r="J515" i="42691"/>
  <c r="J898" i="42691" s="1"/>
  <c r="J909" i="42689"/>
  <c r="L515" i="42692"/>
  <c r="L898" i="42692" s="1"/>
  <c r="L515" i="42691"/>
  <c r="L898" i="42691" s="1"/>
  <c r="L909" i="42689"/>
  <c r="N515" i="42692"/>
  <c r="N898" i="42692" s="1"/>
  <c r="N515" i="42691"/>
  <c r="N898" i="42691" s="1"/>
  <c r="N909" i="42689"/>
  <c r="P515" i="42692"/>
  <c r="P898" i="42692" s="1"/>
  <c r="P515" i="42691"/>
  <c r="P898" i="42691" s="1"/>
  <c r="P909" i="42689"/>
  <c r="R526" i="42689"/>
  <c r="F527" i="42692"/>
  <c r="F527" i="42691"/>
  <c r="H527" i="42692"/>
  <c r="H527" i="42691"/>
  <c r="J527" i="42692"/>
  <c r="J527" i="42691"/>
  <c r="L527" i="42692"/>
  <c r="L527" i="42691"/>
  <c r="N527" i="42692"/>
  <c r="N527" i="42691"/>
  <c r="P527" i="42692"/>
  <c r="P527" i="42691"/>
  <c r="R538" i="42689"/>
  <c r="G548" i="42692"/>
  <c r="G548" i="42691"/>
  <c r="G899" i="42691" s="1"/>
  <c r="G915" i="42691" s="1"/>
  <c r="G910" i="42689"/>
  <c r="G926" i="42689" s="1"/>
  <c r="I548" i="42692"/>
  <c r="I548" i="42691"/>
  <c r="I899" i="42691" s="1"/>
  <c r="I915" i="42691" s="1"/>
  <c r="I910" i="42689"/>
  <c r="I926" i="42689" s="1"/>
  <c r="K548" i="42692"/>
  <c r="K548" i="42691"/>
  <c r="K899" i="42691" s="1"/>
  <c r="K915" i="42691" s="1"/>
  <c r="K910" i="42689"/>
  <c r="K926" i="42689" s="1"/>
  <c r="M548" i="42692"/>
  <c r="M548" i="42691"/>
  <c r="M899" i="42691" s="1"/>
  <c r="M915" i="42691" s="1"/>
  <c r="M910" i="42689"/>
  <c r="M926" i="42689" s="1"/>
  <c r="O548" i="42692"/>
  <c r="O548" i="42691"/>
  <c r="O899" i="42691" s="1"/>
  <c r="O915" i="42691" s="1"/>
  <c r="O910" i="42689"/>
  <c r="O926" i="42689" s="1"/>
  <c r="Q548" i="42692"/>
  <c r="Q548" i="42691"/>
  <c r="Q899" i="42691" s="1"/>
  <c r="Q915" i="42691" s="1"/>
  <c r="Q910" i="42689"/>
  <c r="Q926" i="42689" s="1"/>
  <c r="F563" i="42689"/>
  <c r="H563" i="42689"/>
  <c r="J563" i="42689"/>
  <c r="L563" i="42689"/>
  <c r="N563" i="42689"/>
  <c r="P563" i="42689"/>
  <c r="G569" i="42689"/>
  <c r="I569" i="42689"/>
  <c r="K569" i="42689"/>
  <c r="M569" i="42689"/>
  <c r="O569" i="42689"/>
  <c r="Q569" i="42689"/>
  <c r="F559" i="42692"/>
  <c r="F559" i="42691"/>
  <c r="H559" i="42692"/>
  <c r="H559" i="42691"/>
  <c r="J559" i="42692"/>
  <c r="J559" i="42691"/>
  <c r="L559" i="42692"/>
  <c r="L559" i="42691"/>
  <c r="N559" i="42692"/>
  <c r="N559" i="42691"/>
  <c r="P559" i="42692"/>
  <c r="P559" i="42691"/>
  <c r="R570" i="42689"/>
  <c r="G588" i="42692"/>
  <c r="G900" i="42692" s="1"/>
  <c r="G588" i="42691"/>
  <c r="G900" i="42691" s="1"/>
  <c r="G911" i="42689"/>
  <c r="I588" i="42692"/>
  <c r="I900" i="42692" s="1"/>
  <c r="I588" i="42691"/>
  <c r="I900" i="42691" s="1"/>
  <c r="I911" i="42689"/>
  <c r="K588" i="42692"/>
  <c r="K900" i="42692" s="1"/>
  <c r="K588" i="42691"/>
  <c r="K900" i="42691" s="1"/>
  <c r="K911" i="42689"/>
  <c r="M588" i="42692"/>
  <c r="M900" i="42692" s="1"/>
  <c r="M588" i="42691"/>
  <c r="M900" i="42691" s="1"/>
  <c r="M911" i="42689"/>
  <c r="O588" i="42692"/>
  <c r="O900" i="42692" s="1"/>
  <c r="O588" i="42691"/>
  <c r="O900" i="42691" s="1"/>
  <c r="O911" i="42689"/>
  <c r="Q588" i="42692"/>
  <c r="Q900" i="42692" s="1"/>
  <c r="Q588" i="42691"/>
  <c r="Q900" i="42691" s="1"/>
  <c r="Q911" i="42689"/>
  <c r="F603" i="42692"/>
  <c r="F603" i="42691"/>
  <c r="H603" i="42692"/>
  <c r="H603" i="42691"/>
  <c r="J603" i="42692"/>
  <c r="J603" i="42691"/>
  <c r="L603" i="42692"/>
  <c r="L603" i="42691"/>
  <c r="N603" i="42692"/>
  <c r="N603" i="42691"/>
  <c r="P603" i="42692"/>
  <c r="P603" i="42691"/>
  <c r="R614" i="42689"/>
  <c r="H621" i="42689"/>
  <c r="R899" i="42689"/>
  <c r="R624" i="42689"/>
  <c r="R828" i="42689"/>
  <c r="R646" i="42689"/>
  <c r="G641" i="42692"/>
  <c r="G901" i="42692" s="1"/>
  <c r="G641" i="42691"/>
  <c r="G901" i="42691" s="1"/>
  <c r="G912" i="42689"/>
  <c r="I641" i="42692"/>
  <c r="I901" i="42692" s="1"/>
  <c r="I641" i="42691"/>
  <c r="I901" i="42691" s="1"/>
  <c r="I912" i="42689"/>
  <c r="K641" i="42692"/>
  <c r="K901" i="42692" s="1"/>
  <c r="K641" i="42691"/>
  <c r="K901" i="42691" s="1"/>
  <c r="K912" i="42689"/>
  <c r="M641" i="42692"/>
  <c r="M901" i="42692" s="1"/>
  <c r="M641" i="42691"/>
  <c r="M901" i="42691" s="1"/>
  <c r="M912" i="42689"/>
  <c r="O641" i="42692"/>
  <c r="O901" i="42692" s="1"/>
  <c r="O641" i="42691"/>
  <c r="O901" i="42691" s="1"/>
  <c r="O912" i="42689"/>
  <c r="Q641" i="42692"/>
  <c r="Q901" i="42692" s="1"/>
  <c r="Q641" i="42691"/>
  <c r="Q901" i="42691" s="1"/>
  <c r="Q912" i="42689"/>
  <c r="G657" i="42692"/>
  <c r="G657" i="42691"/>
  <c r="I657" i="42692"/>
  <c r="I657" i="42691"/>
  <c r="K657" i="42692"/>
  <c r="K657" i="42691"/>
  <c r="M657" i="42692"/>
  <c r="M657" i="42691"/>
  <c r="O657" i="42692"/>
  <c r="O657" i="42691"/>
  <c r="Q657" i="42692"/>
  <c r="Q657" i="42691"/>
  <c r="G684" i="42692"/>
  <c r="G902" i="42692" s="1"/>
  <c r="G684" i="42691"/>
  <c r="G902" i="42691" s="1"/>
  <c r="G913" i="42689"/>
  <c r="I684" i="42692"/>
  <c r="I902" i="42692" s="1"/>
  <c r="I684" i="42691"/>
  <c r="I902" i="42691" s="1"/>
  <c r="I913" i="42689"/>
  <c r="K684" i="42692"/>
  <c r="K902" i="42692" s="1"/>
  <c r="K684" i="42691"/>
  <c r="K902" i="42691" s="1"/>
  <c r="K913" i="42689"/>
  <c r="M684" i="42692"/>
  <c r="M902" i="42692" s="1"/>
  <c r="M684" i="42691"/>
  <c r="M902" i="42691" s="1"/>
  <c r="M913" i="42689"/>
  <c r="O684" i="42692"/>
  <c r="O902" i="42692" s="1"/>
  <c r="O684" i="42691"/>
  <c r="O902" i="42691" s="1"/>
  <c r="O913" i="42689"/>
  <c r="Q684" i="42692"/>
  <c r="Q902" i="42692" s="1"/>
  <c r="Q684" i="42691"/>
  <c r="Q902" i="42691" s="1"/>
  <c r="Q913" i="42689"/>
  <c r="F699" i="42692"/>
  <c r="F699" i="42691"/>
  <c r="H699" i="42692"/>
  <c r="H699" i="42691"/>
  <c r="J699" i="42692"/>
  <c r="J699" i="42691"/>
  <c r="L699" i="42692"/>
  <c r="L699" i="42691"/>
  <c r="N699" i="42692"/>
  <c r="N699" i="42691"/>
  <c r="P699" i="42692"/>
  <c r="P699" i="42691"/>
  <c r="R710" i="42689"/>
  <c r="R830" i="42689"/>
  <c r="R736" i="42689"/>
  <c r="G753" i="42692"/>
  <c r="G753" i="42691"/>
  <c r="I753" i="42692"/>
  <c r="I753" i="42691"/>
  <c r="K753" i="42692"/>
  <c r="K753" i="42691"/>
  <c r="M753" i="42692"/>
  <c r="M753" i="42691"/>
  <c r="O753" i="42692"/>
  <c r="O753" i="42691"/>
  <c r="Q753" i="42692"/>
  <c r="Q753" i="42691"/>
  <c r="G831" i="42689"/>
  <c r="G846" i="42689" s="1"/>
  <c r="G795" i="42689"/>
  <c r="I831" i="42689"/>
  <c r="I846" i="42689" s="1"/>
  <c r="I795" i="42689"/>
  <c r="K831" i="42689"/>
  <c r="K846" i="42689" s="1"/>
  <c r="K795" i="42689"/>
  <c r="M831" i="42689"/>
  <c r="M846" i="42689" s="1"/>
  <c r="M795" i="42689"/>
  <c r="O831" i="42689"/>
  <c r="O846" i="42689" s="1"/>
  <c r="O795" i="42689"/>
  <c r="Q831" i="42689"/>
  <c r="Q846" i="42689" s="1"/>
  <c r="Q795" i="42689"/>
  <c r="G781" i="42692"/>
  <c r="G781" i="42691"/>
  <c r="G904" i="42691" s="1"/>
  <c r="G917" i="42691" s="1"/>
  <c r="G804" i="42689"/>
  <c r="G915" i="42689"/>
  <c r="G928" i="42689" s="1"/>
  <c r="I781" i="42692"/>
  <c r="I781" i="42691"/>
  <c r="I904" i="42691" s="1"/>
  <c r="I917" i="42691" s="1"/>
  <c r="I804" i="42689"/>
  <c r="I915" i="42689"/>
  <c r="I928" i="42689" s="1"/>
  <c r="K781" i="42692"/>
  <c r="K781" i="42691"/>
  <c r="K904" i="42691" s="1"/>
  <c r="K917" i="42691" s="1"/>
  <c r="K804" i="42689"/>
  <c r="K915" i="42689"/>
  <c r="K928" i="42689" s="1"/>
  <c r="M781" i="42692"/>
  <c r="M781" i="42691"/>
  <c r="M904" i="42691" s="1"/>
  <c r="M917" i="42691" s="1"/>
  <c r="M804" i="42689"/>
  <c r="M915" i="42689"/>
  <c r="M928" i="42689" s="1"/>
  <c r="O781" i="42692"/>
  <c r="O781" i="42691"/>
  <c r="O904" i="42691" s="1"/>
  <c r="O917" i="42691" s="1"/>
  <c r="O804" i="42689"/>
  <c r="O915" i="42689"/>
  <c r="O928" i="42689" s="1"/>
  <c r="Q781" i="42692"/>
  <c r="Q781" i="42691"/>
  <c r="Q904" i="42691" s="1"/>
  <c r="Q917" i="42691" s="1"/>
  <c r="Q804" i="42689"/>
  <c r="Q915" i="42689"/>
  <c r="Q928" i="42689" s="1"/>
  <c r="F20" i="42690"/>
  <c r="H20" i="42690"/>
  <c r="H947" i="42690" s="1"/>
  <c r="J20" i="42690"/>
  <c r="J947" i="42690" s="1"/>
  <c r="L20" i="42690"/>
  <c r="L947" i="42690" s="1"/>
  <c r="N20" i="42690"/>
  <c r="N947" i="42690" s="1"/>
  <c r="P20" i="42690"/>
  <c r="P947" i="42690" s="1"/>
  <c r="F824" i="42690"/>
  <c r="R801" i="42690"/>
  <c r="H824" i="42690"/>
  <c r="J824" i="42690"/>
  <c r="L824" i="42690"/>
  <c r="N824" i="42690"/>
  <c r="P824" i="42690"/>
  <c r="R802" i="42690"/>
  <c r="R825" i="42690" s="1"/>
  <c r="F825" i="42690"/>
  <c r="R70" i="42690"/>
  <c r="F826" i="42690"/>
  <c r="R803" i="42690"/>
  <c r="F450" i="42690"/>
  <c r="H450" i="42690"/>
  <c r="J450" i="42690"/>
  <c r="L450" i="42690"/>
  <c r="N450" i="42690"/>
  <c r="P450" i="42690"/>
  <c r="F459" i="42690"/>
  <c r="H459" i="42690"/>
  <c r="J459" i="42690"/>
  <c r="L459" i="42690"/>
  <c r="N459" i="42690"/>
  <c r="P459" i="42690"/>
  <c r="F827" i="42690"/>
  <c r="F909" i="42690"/>
  <c r="G126" i="42690"/>
  <c r="K126" i="42690"/>
  <c r="O126" i="42690"/>
  <c r="R155" i="42690"/>
  <c r="R887" i="42690"/>
  <c r="F910" i="42690"/>
  <c r="R296" i="42690"/>
  <c r="R329" i="42690"/>
  <c r="F912" i="42690"/>
  <c r="G393" i="42690"/>
  <c r="K393" i="42690"/>
  <c r="O393" i="42690"/>
  <c r="R412" i="42690"/>
  <c r="R811" i="42690"/>
  <c r="R444" i="42690"/>
  <c r="R447" i="42690"/>
  <c r="R452" i="42690"/>
  <c r="R896" i="42690"/>
  <c r="G489" i="42690"/>
  <c r="G495" i="42690" s="1"/>
  <c r="I489" i="42690"/>
  <c r="I495" i="42690" s="1"/>
  <c r="K489" i="42690"/>
  <c r="K495" i="42690" s="1"/>
  <c r="M489" i="42690"/>
  <c r="M495" i="42690" s="1"/>
  <c r="O489" i="42690"/>
  <c r="O495" i="42690" s="1"/>
  <c r="Q489" i="42690"/>
  <c r="Q495" i="42690" s="1"/>
  <c r="R519" i="42690"/>
  <c r="R521" i="42690"/>
  <c r="R522" i="42690"/>
  <c r="F525" i="42690"/>
  <c r="H525" i="42690"/>
  <c r="H530" i="42690" s="1"/>
  <c r="R526" i="42690"/>
  <c r="R814" i="42690"/>
  <c r="R552" i="42690"/>
  <c r="R900" i="42690"/>
  <c r="R645" i="42690"/>
  <c r="R648" i="42690"/>
  <c r="F656" i="42690"/>
  <c r="R654" i="42690"/>
  <c r="R655" i="42690"/>
  <c r="R901" i="42690"/>
  <c r="R902" i="42690"/>
  <c r="R820" i="42690"/>
  <c r="R835" i="42690" s="1"/>
  <c r="F835" i="42690"/>
  <c r="F19" i="42691"/>
  <c r="H19" i="42691"/>
  <c r="J19" i="42691"/>
  <c r="L19" i="42691"/>
  <c r="N19" i="42691"/>
  <c r="P19" i="42691"/>
  <c r="R37" i="42691"/>
  <c r="R55" i="42691"/>
  <c r="R412" i="42691"/>
  <c r="F452" i="42691"/>
  <c r="H452" i="42691"/>
  <c r="H454" i="42691" s="1"/>
  <c r="J452" i="42691"/>
  <c r="J454" i="42691" s="1"/>
  <c r="L452" i="42691"/>
  <c r="L454" i="42691" s="1"/>
  <c r="N452" i="42691"/>
  <c r="N454" i="42691" s="1"/>
  <c r="P452" i="42691"/>
  <c r="P454" i="42691" s="1"/>
  <c r="G491" i="42691"/>
  <c r="I491" i="42691"/>
  <c r="K491" i="42691"/>
  <c r="M491" i="42691"/>
  <c r="O491" i="42691"/>
  <c r="Q491" i="42691"/>
  <c r="R521" i="42691"/>
  <c r="F198" i="42691"/>
  <c r="H198" i="42691"/>
  <c r="J198" i="42691"/>
  <c r="L198" i="42691"/>
  <c r="N198" i="42691"/>
  <c r="P198" i="42691"/>
  <c r="G602" i="42691"/>
  <c r="K602" i="42691"/>
  <c r="O602" i="42691"/>
  <c r="I414" i="42691"/>
  <c r="M414" i="42691"/>
  <c r="Q414" i="42691"/>
  <c r="I417" i="42691"/>
  <c r="M417" i="42691"/>
  <c r="Q417" i="42691"/>
  <c r="G453" i="42691"/>
  <c r="I453" i="42691"/>
  <c r="K453" i="42691"/>
  <c r="M453" i="42691"/>
  <c r="O453" i="42691"/>
  <c r="Q453" i="42691"/>
  <c r="G558" i="42691"/>
  <c r="I558" i="42691"/>
  <c r="K558" i="42691"/>
  <c r="M558" i="42691"/>
  <c r="O558" i="42691"/>
  <c r="Q558" i="42691"/>
  <c r="R795" i="42689"/>
  <c r="F831" i="42689"/>
  <c r="R33" i="42690"/>
  <c r="F37" i="42690"/>
  <c r="H37" i="42690"/>
  <c r="J37" i="42690"/>
  <c r="L37" i="42690"/>
  <c r="N37" i="42690"/>
  <c r="P37" i="42690"/>
  <c r="G55" i="42690"/>
  <c r="I55" i="42690"/>
  <c r="K55" i="42690"/>
  <c r="M55" i="42690"/>
  <c r="O55" i="42690"/>
  <c r="Q55" i="42690"/>
  <c r="R67" i="42690"/>
  <c r="R80" i="42690"/>
  <c r="F84" i="42690"/>
  <c r="H84" i="42690"/>
  <c r="J84" i="42690"/>
  <c r="L84" i="42690"/>
  <c r="N84" i="42690"/>
  <c r="P84" i="42690"/>
  <c r="R112" i="42690"/>
  <c r="G113" i="42690"/>
  <c r="G127" i="42690" s="1"/>
  <c r="I113" i="42690"/>
  <c r="I127" i="42690" s="1"/>
  <c r="K113" i="42690"/>
  <c r="K127" i="42690" s="1"/>
  <c r="M113" i="42690"/>
  <c r="M127" i="42690" s="1"/>
  <c r="O113" i="42690"/>
  <c r="O127" i="42690" s="1"/>
  <c r="Q113" i="42690"/>
  <c r="Q127" i="42690" s="1"/>
  <c r="R116" i="42690"/>
  <c r="F125" i="42690"/>
  <c r="H125" i="42690"/>
  <c r="J125" i="42690"/>
  <c r="L125" i="42690"/>
  <c r="N125" i="42690"/>
  <c r="P125" i="42690"/>
  <c r="R145" i="42690"/>
  <c r="F152" i="42690"/>
  <c r="H152" i="42690"/>
  <c r="H164" i="42690" s="1"/>
  <c r="J152" i="42690"/>
  <c r="J164" i="42690" s="1"/>
  <c r="L152" i="42690"/>
  <c r="L164" i="42690" s="1"/>
  <c r="N152" i="42690"/>
  <c r="N164" i="42690" s="1"/>
  <c r="P152" i="42690"/>
  <c r="P164" i="42690" s="1"/>
  <c r="R181" i="42690"/>
  <c r="F191" i="42690"/>
  <c r="H191" i="42690"/>
  <c r="J191" i="42690"/>
  <c r="L191" i="42690"/>
  <c r="N191" i="42690"/>
  <c r="P191" i="42690"/>
  <c r="R194" i="42690"/>
  <c r="R219" i="42690"/>
  <c r="F232" i="42690"/>
  <c r="H232" i="42690"/>
  <c r="J232" i="42690"/>
  <c r="L232" i="42690"/>
  <c r="N232" i="42690"/>
  <c r="P232" i="42690"/>
  <c r="R234" i="42690"/>
  <c r="R253" i="42690"/>
  <c r="R276" i="42690"/>
  <c r="F286" i="42690"/>
  <c r="H286" i="42690"/>
  <c r="J286" i="42690"/>
  <c r="L286" i="42690"/>
  <c r="N286" i="42690"/>
  <c r="P286" i="42690"/>
  <c r="R289" i="42690"/>
  <c r="G295" i="42690"/>
  <c r="G297" i="42690" s="1"/>
  <c r="I295" i="42690"/>
  <c r="I297" i="42690" s="1"/>
  <c r="K295" i="42690"/>
  <c r="K297" i="42690" s="1"/>
  <c r="M295" i="42690"/>
  <c r="M297" i="42690" s="1"/>
  <c r="O295" i="42690"/>
  <c r="O297" i="42690" s="1"/>
  <c r="Q295" i="42690"/>
  <c r="Q297" i="42690" s="1"/>
  <c r="R320" i="42690"/>
  <c r="R325" i="42690"/>
  <c r="R331" i="42690"/>
  <c r="F338" i="42690"/>
  <c r="H338" i="42690"/>
  <c r="H339" i="42690" s="1"/>
  <c r="J338" i="42690"/>
  <c r="J339" i="42690" s="1"/>
  <c r="L338" i="42690"/>
  <c r="L339" i="42690" s="1"/>
  <c r="N338" i="42690"/>
  <c r="N339" i="42690" s="1"/>
  <c r="P338" i="42690"/>
  <c r="P339" i="42690" s="1"/>
  <c r="R366" i="42690"/>
  <c r="R375" i="42690"/>
  <c r="R381" i="42690"/>
  <c r="F392" i="42690"/>
  <c r="H392" i="42690"/>
  <c r="J392" i="42690"/>
  <c r="L392" i="42690"/>
  <c r="N392" i="42690"/>
  <c r="P392" i="42690"/>
  <c r="R408" i="42690"/>
  <c r="G425" i="42690"/>
  <c r="I425" i="42690"/>
  <c r="K425" i="42690"/>
  <c r="M425" i="42690"/>
  <c r="O425" i="42690"/>
  <c r="Q425" i="42690"/>
  <c r="R440" i="42690"/>
  <c r="F453" i="42690"/>
  <c r="H453" i="42690"/>
  <c r="H454" i="42690" s="1"/>
  <c r="J453" i="42690"/>
  <c r="J454" i="42690" s="1"/>
  <c r="L453" i="42690"/>
  <c r="L454" i="42690" s="1"/>
  <c r="N453" i="42690"/>
  <c r="N454" i="42690" s="1"/>
  <c r="P453" i="42690"/>
  <c r="P454" i="42690" s="1"/>
  <c r="R473" i="42690"/>
  <c r="F480" i="42690"/>
  <c r="H480" i="42690"/>
  <c r="H492" i="42690" s="1"/>
  <c r="J480" i="42690"/>
  <c r="J492" i="42690" s="1"/>
  <c r="L480" i="42690"/>
  <c r="L492" i="42690" s="1"/>
  <c r="N480" i="42690"/>
  <c r="N492" i="42690" s="1"/>
  <c r="P480" i="42690"/>
  <c r="P492" i="42690" s="1"/>
  <c r="R509" i="42690"/>
  <c r="R543" i="42690"/>
  <c r="R548" i="42690"/>
  <c r="R554" i="42690"/>
  <c r="F558" i="42690"/>
  <c r="H558" i="42690"/>
  <c r="J558" i="42690"/>
  <c r="L558" i="42690"/>
  <c r="N558" i="42690"/>
  <c r="P558" i="42690"/>
  <c r="R579" i="42690"/>
  <c r="R588" i="42690"/>
  <c r="R641" i="42690"/>
  <c r="R647" i="42690"/>
  <c r="F669" i="42690"/>
  <c r="H669" i="42690"/>
  <c r="J669" i="42690"/>
  <c r="L669" i="42690"/>
  <c r="N669" i="42690"/>
  <c r="P669" i="42690"/>
  <c r="F675" i="42690"/>
  <c r="H675" i="42690"/>
  <c r="J675" i="42690"/>
  <c r="L675" i="42690"/>
  <c r="N675" i="42690"/>
  <c r="P675" i="42690"/>
  <c r="R679" i="42690"/>
  <c r="R684" i="42690"/>
  <c r="R738" i="42690"/>
  <c r="R772" i="42690"/>
  <c r="R781" i="42690"/>
  <c r="R786" i="42690"/>
  <c r="G804" i="42690"/>
  <c r="I804" i="42690"/>
  <c r="K804" i="42690"/>
  <c r="M804" i="42690"/>
  <c r="O804" i="42690"/>
  <c r="Q804" i="42690"/>
  <c r="F805" i="42690"/>
  <c r="H805" i="42690"/>
  <c r="H831" i="42690" s="1"/>
  <c r="J805" i="42690"/>
  <c r="J831" i="42690" s="1"/>
  <c r="L805" i="42690"/>
  <c r="L831" i="42690" s="1"/>
  <c r="N805" i="42690"/>
  <c r="N831" i="42690" s="1"/>
  <c r="P805" i="42690"/>
  <c r="P831" i="42690" s="1"/>
  <c r="G806" i="42690"/>
  <c r="G832" i="42690" s="1"/>
  <c r="I806" i="42690"/>
  <c r="I832" i="42690" s="1"/>
  <c r="K806" i="42690"/>
  <c r="K832" i="42690" s="1"/>
  <c r="M806" i="42690"/>
  <c r="M832" i="42690" s="1"/>
  <c r="O806" i="42690"/>
  <c r="O832" i="42690" s="1"/>
  <c r="Q806" i="42690"/>
  <c r="Q832" i="42690" s="1"/>
  <c r="G808" i="42690"/>
  <c r="G828" i="42690" s="1"/>
  <c r="I808" i="42690"/>
  <c r="I828" i="42690" s="1"/>
  <c r="K808" i="42690"/>
  <c r="K828" i="42690" s="1"/>
  <c r="M808" i="42690"/>
  <c r="M828" i="42690" s="1"/>
  <c r="O808" i="42690"/>
  <c r="O828" i="42690" s="1"/>
  <c r="Q808" i="42690"/>
  <c r="Q828" i="42690" s="1"/>
  <c r="F809" i="42690"/>
  <c r="H809" i="42690"/>
  <c r="H829" i="42690" s="1"/>
  <c r="J809" i="42690"/>
  <c r="J829" i="42690" s="1"/>
  <c r="L809" i="42690"/>
  <c r="L829" i="42690" s="1"/>
  <c r="N809" i="42690"/>
  <c r="N829" i="42690" s="1"/>
  <c r="P809" i="42690"/>
  <c r="P829" i="42690" s="1"/>
  <c r="G812" i="42690"/>
  <c r="I812" i="42690"/>
  <c r="K812" i="42690"/>
  <c r="M812" i="42690"/>
  <c r="O812" i="42690"/>
  <c r="Q812" i="42690"/>
  <c r="F815" i="42690"/>
  <c r="H815" i="42690"/>
  <c r="H833" i="42690" s="1"/>
  <c r="J815" i="42690"/>
  <c r="J833" i="42690" s="1"/>
  <c r="L815" i="42690"/>
  <c r="L833" i="42690" s="1"/>
  <c r="N815" i="42690"/>
  <c r="N833" i="42690" s="1"/>
  <c r="P815" i="42690"/>
  <c r="P833" i="42690" s="1"/>
  <c r="F817" i="42690"/>
  <c r="R817" i="42690" s="1"/>
  <c r="F819" i="42690"/>
  <c r="R819" i="42690" s="1"/>
  <c r="F886" i="42690"/>
  <c r="H886" i="42690"/>
  <c r="J886" i="42690"/>
  <c r="L886" i="42690"/>
  <c r="N886" i="42690"/>
  <c r="P886" i="42690"/>
  <c r="F888" i="42690"/>
  <c r="R888" i="42690" s="1"/>
  <c r="G889" i="42690"/>
  <c r="G909" i="42690" s="1"/>
  <c r="I889" i="42690"/>
  <c r="I909" i="42690" s="1"/>
  <c r="K889" i="42690"/>
  <c r="K909" i="42690" s="1"/>
  <c r="M889" i="42690"/>
  <c r="M909" i="42690" s="1"/>
  <c r="O889" i="42690"/>
  <c r="O909" i="42690" s="1"/>
  <c r="Q889" i="42690"/>
  <c r="Q909" i="42690" s="1"/>
  <c r="F890" i="42690"/>
  <c r="G891" i="42690"/>
  <c r="G914" i="42690" s="1"/>
  <c r="I891" i="42690"/>
  <c r="I914" i="42690" s="1"/>
  <c r="K891" i="42690"/>
  <c r="K914" i="42690" s="1"/>
  <c r="M891" i="42690"/>
  <c r="M914" i="42690" s="1"/>
  <c r="O891" i="42690"/>
  <c r="O914" i="42690" s="1"/>
  <c r="Q891" i="42690"/>
  <c r="Q914" i="42690" s="1"/>
  <c r="F892" i="42690"/>
  <c r="G893" i="42690"/>
  <c r="G910" i="42690" s="1"/>
  <c r="I893" i="42690"/>
  <c r="I910" i="42690" s="1"/>
  <c r="K893" i="42690"/>
  <c r="K910" i="42690" s="1"/>
  <c r="M893" i="42690"/>
  <c r="M910" i="42690" s="1"/>
  <c r="O893" i="42690"/>
  <c r="O910" i="42690" s="1"/>
  <c r="Q893" i="42690"/>
  <c r="Q910" i="42690" s="1"/>
  <c r="F894" i="42690"/>
  <c r="H894" i="42690"/>
  <c r="H911" i="42690" s="1"/>
  <c r="J894" i="42690"/>
  <c r="J911" i="42690" s="1"/>
  <c r="L894" i="42690"/>
  <c r="L911" i="42690" s="1"/>
  <c r="N894" i="42690"/>
  <c r="N911" i="42690" s="1"/>
  <c r="P894" i="42690"/>
  <c r="P911" i="42690" s="1"/>
  <c r="G895" i="42690"/>
  <c r="G912" i="42690" s="1"/>
  <c r="I895" i="42690"/>
  <c r="I912" i="42690" s="1"/>
  <c r="K895" i="42690"/>
  <c r="K912" i="42690" s="1"/>
  <c r="M895" i="42690"/>
  <c r="M912" i="42690" s="1"/>
  <c r="O895" i="42690"/>
  <c r="O912" i="42690" s="1"/>
  <c r="Q895" i="42690"/>
  <c r="Q912" i="42690" s="1"/>
  <c r="F898" i="42690"/>
  <c r="R898" i="42690" s="1"/>
  <c r="G899" i="42690"/>
  <c r="G915" i="42690" s="1"/>
  <c r="I899" i="42690"/>
  <c r="I915" i="42690" s="1"/>
  <c r="K899" i="42690"/>
  <c r="K915" i="42690" s="1"/>
  <c r="M899" i="42690"/>
  <c r="M915" i="42690" s="1"/>
  <c r="O899" i="42690"/>
  <c r="O915" i="42690" s="1"/>
  <c r="Q899" i="42690"/>
  <c r="Q915" i="42690" s="1"/>
  <c r="F904" i="42690"/>
  <c r="H904" i="42690"/>
  <c r="H917" i="42690" s="1"/>
  <c r="J904" i="42690"/>
  <c r="J917" i="42690" s="1"/>
  <c r="L904" i="42690"/>
  <c r="L917" i="42690" s="1"/>
  <c r="N904" i="42690"/>
  <c r="N917" i="42690" s="1"/>
  <c r="P904" i="42690"/>
  <c r="P917" i="42690" s="1"/>
  <c r="G926" i="42690"/>
  <c r="R801" i="42691"/>
  <c r="F824" i="42691"/>
  <c r="H821" i="42691"/>
  <c r="H987" i="42691" s="1"/>
  <c r="H824" i="42691"/>
  <c r="H836" i="42691" s="1"/>
  <c r="J821" i="42691"/>
  <c r="J987" i="42691" s="1"/>
  <c r="J824" i="42691"/>
  <c r="J836" i="42691" s="1"/>
  <c r="L821" i="42691"/>
  <c r="L987" i="42691" s="1"/>
  <c r="L824" i="42691"/>
  <c r="L836" i="42691" s="1"/>
  <c r="N821" i="42691"/>
  <c r="N987" i="42691" s="1"/>
  <c r="N824" i="42691"/>
  <c r="N836" i="42691" s="1"/>
  <c r="P821" i="42691"/>
  <c r="P987" i="42691" s="1"/>
  <c r="P824" i="42691"/>
  <c r="P836" i="42691" s="1"/>
  <c r="R33" i="42691"/>
  <c r="F908" i="42691"/>
  <c r="R886" i="42691"/>
  <c r="H908" i="42691"/>
  <c r="J908" i="42691"/>
  <c r="L908" i="42691"/>
  <c r="N908" i="42691"/>
  <c r="P908" i="42691"/>
  <c r="R67" i="42691"/>
  <c r="R803" i="42691"/>
  <c r="R826" i="42691" s="1"/>
  <c r="F826" i="42691"/>
  <c r="R80" i="42691"/>
  <c r="F84" i="42691"/>
  <c r="H84" i="42691"/>
  <c r="J84" i="42691"/>
  <c r="L84" i="42691"/>
  <c r="N84" i="42691"/>
  <c r="P84" i="42691"/>
  <c r="R108" i="42691"/>
  <c r="G113" i="42691"/>
  <c r="I113" i="42691"/>
  <c r="K113" i="42691"/>
  <c r="M113" i="42691"/>
  <c r="O113" i="42691"/>
  <c r="Q113" i="42691"/>
  <c r="R116" i="42691"/>
  <c r="R119" i="42691"/>
  <c r="G127" i="42691"/>
  <c r="I127" i="42691"/>
  <c r="K127" i="42691"/>
  <c r="M127" i="42691"/>
  <c r="O127" i="42691"/>
  <c r="Q127" i="42691"/>
  <c r="G152" i="42691"/>
  <c r="I152" i="42691"/>
  <c r="K152" i="42691"/>
  <c r="M152" i="42691"/>
  <c r="O152" i="42691"/>
  <c r="Q152" i="42691"/>
  <c r="G163" i="42691"/>
  <c r="I163" i="42691"/>
  <c r="K163" i="42691"/>
  <c r="M163" i="42691"/>
  <c r="O163" i="42691"/>
  <c r="Q163" i="42691"/>
  <c r="R183" i="42691"/>
  <c r="G191" i="42691"/>
  <c r="I191" i="42691"/>
  <c r="K191" i="42691"/>
  <c r="M191" i="42691"/>
  <c r="O191" i="42691"/>
  <c r="Q191" i="42691"/>
  <c r="F193" i="42691"/>
  <c r="H193" i="42691"/>
  <c r="J193" i="42691"/>
  <c r="L193" i="42691"/>
  <c r="N193" i="42691"/>
  <c r="P193" i="42691"/>
  <c r="G194" i="42691"/>
  <c r="I194" i="42691"/>
  <c r="K194" i="42691"/>
  <c r="M194" i="42691"/>
  <c r="O194" i="42691"/>
  <c r="Q194" i="42691"/>
  <c r="G198" i="42691"/>
  <c r="I198" i="42691"/>
  <c r="K198" i="42691"/>
  <c r="M198" i="42691"/>
  <c r="O198" i="42691"/>
  <c r="Q198" i="42691"/>
  <c r="R807" i="42691"/>
  <c r="R834" i="42691" s="1"/>
  <c r="F834" i="42691"/>
  <c r="R219" i="42691"/>
  <c r="F232" i="42691"/>
  <c r="H232" i="42691"/>
  <c r="J232" i="42691"/>
  <c r="L232" i="42691"/>
  <c r="N232" i="42691"/>
  <c r="P232" i="42691"/>
  <c r="F234" i="42691"/>
  <c r="H234" i="42691"/>
  <c r="J234" i="42691"/>
  <c r="L234" i="42691"/>
  <c r="N234" i="42691"/>
  <c r="P234" i="42691"/>
  <c r="F236" i="42691"/>
  <c r="H236" i="42691"/>
  <c r="J236" i="42691"/>
  <c r="L236" i="42691"/>
  <c r="N236" i="42691"/>
  <c r="P236" i="42691"/>
  <c r="F238" i="42691"/>
  <c r="H238" i="42691"/>
  <c r="J238" i="42691"/>
  <c r="L238" i="42691"/>
  <c r="N238" i="42691"/>
  <c r="P238" i="42691"/>
  <c r="F242" i="42691"/>
  <c r="H242" i="42691"/>
  <c r="J242" i="42691"/>
  <c r="L242" i="42691"/>
  <c r="N242" i="42691"/>
  <c r="P242" i="42691"/>
  <c r="R253" i="42691"/>
  <c r="R645" i="42691"/>
  <c r="R647" i="42691"/>
  <c r="F654" i="42691"/>
  <c r="H654" i="42691"/>
  <c r="J654" i="42691"/>
  <c r="L654" i="42691"/>
  <c r="N654" i="42691"/>
  <c r="P654" i="42691"/>
  <c r="F828" i="42691"/>
  <c r="R808" i="42691"/>
  <c r="R828" i="42691" s="1"/>
  <c r="R276" i="42691"/>
  <c r="R279" i="42691"/>
  <c r="F286" i="42691"/>
  <c r="H286" i="42691"/>
  <c r="J286" i="42691"/>
  <c r="L286" i="42691"/>
  <c r="N286" i="42691"/>
  <c r="P286" i="42691"/>
  <c r="G288" i="42691"/>
  <c r="I288" i="42691"/>
  <c r="K288" i="42691"/>
  <c r="M288" i="42691"/>
  <c r="O288" i="42691"/>
  <c r="Q288" i="42691"/>
  <c r="F289" i="42691"/>
  <c r="H289" i="42691"/>
  <c r="J289" i="42691"/>
  <c r="L289" i="42691"/>
  <c r="N289" i="42691"/>
  <c r="P289" i="42691"/>
  <c r="R688" i="42691"/>
  <c r="R690" i="42691"/>
  <c r="F696" i="42691"/>
  <c r="H696" i="42691"/>
  <c r="J696" i="42691"/>
  <c r="L696" i="42691"/>
  <c r="N696" i="42691"/>
  <c r="P696" i="42691"/>
  <c r="R809" i="42691"/>
  <c r="R320" i="42691"/>
  <c r="G329" i="42691"/>
  <c r="I329" i="42691"/>
  <c r="K329" i="42691"/>
  <c r="M329" i="42691"/>
  <c r="O329" i="42691"/>
  <c r="Q329" i="42691"/>
  <c r="F331" i="42691"/>
  <c r="H331" i="42691"/>
  <c r="J331" i="42691"/>
  <c r="L331" i="42691"/>
  <c r="N331" i="42691"/>
  <c r="P331" i="42691"/>
  <c r="R738" i="42691"/>
  <c r="R740" i="42691"/>
  <c r="F752" i="42691"/>
  <c r="R750" i="42691"/>
  <c r="R752" i="42691" s="1"/>
  <c r="F830" i="42691"/>
  <c r="R810" i="42691"/>
  <c r="R830" i="42691" s="1"/>
  <c r="R366" i="42691"/>
  <c r="G379" i="42691"/>
  <c r="I379" i="42691"/>
  <c r="K379" i="42691"/>
  <c r="M379" i="42691"/>
  <c r="O379" i="42691"/>
  <c r="Q379" i="42691"/>
  <c r="F381" i="42691"/>
  <c r="H381" i="42691"/>
  <c r="J381" i="42691"/>
  <c r="L381" i="42691"/>
  <c r="N381" i="42691"/>
  <c r="P381" i="42691"/>
  <c r="G382" i="42691"/>
  <c r="I382" i="42691"/>
  <c r="K382" i="42691"/>
  <c r="M382" i="42691"/>
  <c r="O382" i="42691"/>
  <c r="Q382" i="42691"/>
  <c r="F383" i="42691"/>
  <c r="H383" i="42691"/>
  <c r="J383" i="42691"/>
  <c r="L383" i="42691"/>
  <c r="N383" i="42691"/>
  <c r="P383" i="42691"/>
  <c r="G384" i="42691"/>
  <c r="I384" i="42691"/>
  <c r="K384" i="42691"/>
  <c r="M384" i="42691"/>
  <c r="O384" i="42691"/>
  <c r="Q384" i="42691"/>
  <c r="F385" i="42691"/>
  <c r="H385" i="42691"/>
  <c r="J385" i="42691"/>
  <c r="L385" i="42691"/>
  <c r="N385" i="42691"/>
  <c r="P385" i="42691"/>
  <c r="G391" i="42691"/>
  <c r="I391" i="42691"/>
  <c r="K391" i="42691"/>
  <c r="M391" i="42691"/>
  <c r="O391" i="42691"/>
  <c r="Q391" i="42691"/>
  <c r="F403" i="42691"/>
  <c r="H403" i="42691"/>
  <c r="J403" i="42691"/>
  <c r="L403" i="42691"/>
  <c r="N403" i="42691"/>
  <c r="P403" i="42691"/>
  <c r="R408" i="42691"/>
  <c r="G421" i="42691"/>
  <c r="G444" i="42691" s="1"/>
  <c r="I421" i="42691"/>
  <c r="I444" i="42691" s="1"/>
  <c r="K421" i="42691"/>
  <c r="K444" i="42691" s="1"/>
  <c r="M421" i="42691"/>
  <c r="M444" i="42691" s="1"/>
  <c r="O421" i="42691"/>
  <c r="O444" i="42691" s="1"/>
  <c r="Q421" i="42691"/>
  <c r="Q444" i="42691" s="1"/>
  <c r="G423" i="42691"/>
  <c r="G447" i="42691" s="1"/>
  <c r="I423" i="42691"/>
  <c r="I447" i="42691" s="1"/>
  <c r="K423" i="42691"/>
  <c r="K447" i="42691" s="1"/>
  <c r="M423" i="42691"/>
  <c r="M447" i="42691" s="1"/>
  <c r="O423" i="42691"/>
  <c r="O447" i="42691" s="1"/>
  <c r="Q423" i="42691"/>
  <c r="Q447" i="42691" s="1"/>
  <c r="G427" i="42691"/>
  <c r="G452" i="42691" s="1"/>
  <c r="I427" i="42691"/>
  <c r="I452" i="42691" s="1"/>
  <c r="I454" i="42691" s="1"/>
  <c r="K427" i="42691"/>
  <c r="K452" i="42691" s="1"/>
  <c r="M427" i="42691"/>
  <c r="M452" i="42691" s="1"/>
  <c r="M454" i="42691" s="1"/>
  <c r="O427" i="42691"/>
  <c r="O452" i="42691" s="1"/>
  <c r="O454" i="42691" s="1"/>
  <c r="Q427" i="42691"/>
  <c r="Q452" i="42691" s="1"/>
  <c r="Q454" i="42691" s="1"/>
  <c r="R436" i="42691"/>
  <c r="F455" i="42691"/>
  <c r="H455" i="42691"/>
  <c r="J455" i="42691"/>
  <c r="L455" i="42691"/>
  <c r="N455" i="42691"/>
  <c r="P455" i="42691"/>
  <c r="F466" i="42691"/>
  <c r="H466" i="42691"/>
  <c r="J466" i="42691"/>
  <c r="L466" i="42691"/>
  <c r="N466" i="42691"/>
  <c r="P466" i="42691"/>
  <c r="F469" i="42691"/>
  <c r="F491" i="42691" s="1"/>
  <c r="H469" i="42691"/>
  <c r="H491" i="42691" s="1"/>
  <c r="J469" i="42691"/>
  <c r="J491" i="42691" s="1"/>
  <c r="L469" i="42691"/>
  <c r="L491" i="42691" s="1"/>
  <c r="N469" i="42691"/>
  <c r="N491" i="42691" s="1"/>
  <c r="P469" i="42691"/>
  <c r="P491" i="42691" s="1"/>
  <c r="R473" i="42691"/>
  <c r="R476" i="42691"/>
  <c r="F480" i="42691"/>
  <c r="H480" i="42691"/>
  <c r="H492" i="42691" s="1"/>
  <c r="J480" i="42691"/>
  <c r="J492" i="42691" s="1"/>
  <c r="L480" i="42691"/>
  <c r="L492" i="42691" s="1"/>
  <c r="N480" i="42691"/>
  <c r="N492" i="42691" s="1"/>
  <c r="P480" i="42691"/>
  <c r="P492" i="42691" s="1"/>
  <c r="F499" i="42691"/>
  <c r="F519" i="42691" s="1"/>
  <c r="H499" i="42691"/>
  <c r="H519" i="42691" s="1"/>
  <c r="J499" i="42691"/>
  <c r="J519" i="42691" s="1"/>
  <c r="L499" i="42691"/>
  <c r="L519" i="42691" s="1"/>
  <c r="N499" i="42691"/>
  <c r="N519" i="42691" s="1"/>
  <c r="P499" i="42691"/>
  <c r="P519" i="42691" s="1"/>
  <c r="F502" i="42691"/>
  <c r="F522" i="42691" s="1"/>
  <c r="H502" i="42691"/>
  <c r="H522" i="42691" s="1"/>
  <c r="J502" i="42691"/>
  <c r="J522" i="42691" s="1"/>
  <c r="L502" i="42691"/>
  <c r="L522" i="42691" s="1"/>
  <c r="N502" i="42691"/>
  <c r="N522" i="42691" s="1"/>
  <c r="P502" i="42691"/>
  <c r="P522" i="42691" s="1"/>
  <c r="F505" i="42691"/>
  <c r="F526" i="42691" s="1"/>
  <c r="H505" i="42691"/>
  <c r="H526" i="42691" s="1"/>
  <c r="J505" i="42691"/>
  <c r="J526" i="42691" s="1"/>
  <c r="L505" i="42691"/>
  <c r="L526" i="42691" s="1"/>
  <c r="N505" i="42691"/>
  <c r="N526" i="42691" s="1"/>
  <c r="P505" i="42691"/>
  <c r="P526" i="42691" s="1"/>
  <c r="R509" i="42691"/>
  <c r="R512" i="42691"/>
  <c r="F833" i="42691"/>
  <c r="R815" i="42691"/>
  <c r="R833" i="42691" s="1"/>
  <c r="R543" i="42691"/>
  <c r="F569" i="42691"/>
  <c r="F595" i="42691" s="1"/>
  <c r="H569" i="42691"/>
  <c r="H595" i="42691" s="1"/>
  <c r="J569" i="42691"/>
  <c r="J595" i="42691" s="1"/>
  <c r="L569" i="42691"/>
  <c r="L595" i="42691" s="1"/>
  <c r="N569" i="42691"/>
  <c r="N595" i="42691" s="1"/>
  <c r="P569" i="42691"/>
  <c r="P595" i="42691" s="1"/>
  <c r="F571" i="42691"/>
  <c r="F597" i="42691" s="1"/>
  <c r="H571" i="42691"/>
  <c r="H597" i="42691" s="1"/>
  <c r="J571" i="42691"/>
  <c r="J597" i="42691" s="1"/>
  <c r="L571" i="42691"/>
  <c r="L597" i="42691" s="1"/>
  <c r="N571" i="42691"/>
  <c r="N597" i="42691" s="1"/>
  <c r="P571" i="42691"/>
  <c r="P597" i="42691" s="1"/>
  <c r="F573" i="42691"/>
  <c r="H573" i="42691"/>
  <c r="J573" i="42691"/>
  <c r="L573" i="42691"/>
  <c r="N573" i="42691"/>
  <c r="P573" i="42691"/>
  <c r="R579" i="42691"/>
  <c r="F655" i="42691"/>
  <c r="H655" i="42691"/>
  <c r="J655" i="42691"/>
  <c r="L655" i="42691"/>
  <c r="N655" i="42691"/>
  <c r="P655" i="42691"/>
  <c r="F697" i="42691"/>
  <c r="H697" i="42691"/>
  <c r="J697" i="42691"/>
  <c r="L697" i="42691"/>
  <c r="N697" i="42691"/>
  <c r="P697" i="42691"/>
  <c r="R784" i="42691"/>
  <c r="S960" i="42691"/>
  <c r="F781" i="42692"/>
  <c r="F781" i="42691"/>
  <c r="H781" i="42692"/>
  <c r="H781" i="42691"/>
  <c r="H904" i="42691" s="1"/>
  <c r="H917" i="42691" s="1"/>
  <c r="J781" i="42692"/>
  <c r="J781" i="42691"/>
  <c r="J904" i="42691" s="1"/>
  <c r="J917" i="42691" s="1"/>
  <c r="L781" i="42692"/>
  <c r="L781" i="42691"/>
  <c r="L904" i="42691" s="1"/>
  <c r="L917" i="42691" s="1"/>
  <c r="N781" i="42692"/>
  <c r="N781" i="42691"/>
  <c r="N904" i="42691" s="1"/>
  <c r="N917" i="42691" s="1"/>
  <c r="P781" i="42692"/>
  <c r="P781" i="42691"/>
  <c r="P904" i="42691" s="1"/>
  <c r="P917" i="42691" s="1"/>
  <c r="R792" i="42689"/>
  <c r="R797" i="42689"/>
  <c r="F915" i="42689"/>
  <c r="H915" i="42689"/>
  <c r="H928" i="42689" s="1"/>
  <c r="J915" i="42689"/>
  <c r="J928" i="42689" s="1"/>
  <c r="L915" i="42689"/>
  <c r="L928" i="42689" s="1"/>
  <c r="N915" i="42689"/>
  <c r="N928" i="42689" s="1"/>
  <c r="P915" i="42689"/>
  <c r="P928" i="42689" s="1"/>
  <c r="G37" i="42690"/>
  <c r="I37" i="42690"/>
  <c r="K37" i="42690"/>
  <c r="M37" i="42690"/>
  <c r="O37" i="42690"/>
  <c r="Q37" i="42690"/>
  <c r="R51" i="42690"/>
  <c r="F55" i="42690"/>
  <c r="H55" i="42690"/>
  <c r="J55" i="42690"/>
  <c r="L55" i="42690"/>
  <c r="N55" i="42690"/>
  <c r="P55" i="42690"/>
  <c r="G84" i="42690"/>
  <c r="I84" i="42690"/>
  <c r="K84" i="42690"/>
  <c r="M84" i="42690"/>
  <c r="O84" i="42690"/>
  <c r="Q84" i="42690"/>
  <c r="R106" i="42690"/>
  <c r="F113" i="42690"/>
  <c r="H113" i="42690"/>
  <c r="H127" i="42690" s="1"/>
  <c r="J113" i="42690"/>
  <c r="J127" i="42690" s="1"/>
  <c r="L113" i="42690"/>
  <c r="L127" i="42690" s="1"/>
  <c r="N113" i="42690"/>
  <c r="N127" i="42690" s="1"/>
  <c r="P113" i="42690"/>
  <c r="P127" i="42690" s="1"/>
  <c r="R119" i="42690"/>
  <c r="F124" i="42690"/>
  <c r="H124" i="42690"/>
  <c r="H126" i="42690" s="1"/>
  <c r="J124" i="42690"/>
  <c r="J126" i="42690" s="1"/>
  <c r="L124" i="42690"/>
  <c r="L126" i="42690" s="1"/>
  <c r="N124" i="42690"/>
  <c r="N126" i="42690" s="1"/>
  <c r="P124" i="42690"/>
  <c r="P126" i="42690" s="1"/>
  <c r="G152" i="42690"/>
  <c r="G164" i="42690" s="1"/>
  <c r="I152" i="42690"/>
  <c r="I164" i="42690" s="1"/>
  <c r="K152" i="42690"/>
  <c r="K164" i="42690" s="1"/>
  <c r="M152" i="42690"/>
  <c r="M164" i="42690" s="1"/>
  <c r="O152" i="42690"/>
  <c r="O164" i="42690" s="1"/>
  <c r="Q152" i="42690"/>
  <c r="Q164" i="42690" s="1"/>
  <c r="R158" i="42690"/>
  <c r="G163" i="42690"/>
  <c r="I163" i="42690"/>
  <c r="K163" i="42690"/>
  <c r="M163" i="42690"/>
  <c r="O163" i="42690"/>
  <c r="Q163" i="42690"/>
  <c r="R187" i="42690"/>
  <c r="G232" i="42690"/>
  <c r="I232" i="42690"/>
  <c r="K232" i="42690"/>
  <c r="M232" i="42690"/>
  <c r="O232" i="42690"/>
  <c r="Q232" i="42690"/>
  <c r="G242" i="42690"/>
  <c r="I242" i="42690"/>
  <c r="K242" i="42690"/>
  <c r="M242" i="42690"/>
  <c r="O242" i="42690"/>
  <c r="Q242" i="42690"/>
  <c r="F256" i="42690"/>
  <c r="H256" i="42690"/>
  <c r="J256" i="42690"/>
  <c r="L256" i="42690"/>
  <c r="N256" i="42690"/>
  <c r="P256" i="42690"/>
  <c r="R282" i="42690"/>
  <c r="F295" i="42690"/>
  <c r="H295" i="42690"/>
  <c r="H297" i="42690" s="1"/>
  <c r="J295" i="42690"/>
  <c r="J297" i="42690" s="1"/>
  <c r="L295" i="42690"/>
  <c r="L297" i="42690" s="1"/>
  <c r="N295" i="42690"/>
  <c r="N297" i="42690" s="1"/>
  <c r="P295" i="42690"/>
  <c r="P297" i="42690" s="1"/>
  <c r="G338" i="42690"/>
  <c r="G339" i="42690" s="1"/>
  <c r="I338" i="42690"/>
  <c r="I339" i="42690" s="1"/>
  <c r="K338" i="42690"/>
  <c r="K339" i="42690" s="1"/>
  <c r="M338" i="42690"/>
  <c r="M339" i="42690" s="1"/>
  <c r="O338" i="42690"/>
  <c r="O339" i="42690" s="1"/>
  <c r="Q338" i="42690"/>
  <c r="Q339" i="42690" s="1"/>
  <c r="F379" i="42690"/>
  <c r="H379" i="42690"/>
  <c r="J379" i="42690"/>
  <c r="L379" i="42690"/>
  <c r="N379" i="42690"/>
  <c r="P379" i="42690"/>
  <c r="F391" i="42690"/>
  <c r="H391" i="42690"/>
  <c r="H393" i="42690" s="1"/>
  <c r="J391" i="42690"/>
  <c r="J393" i="42690" s="1"/>
  <c r="L391" i="42690"/>
  <c r="L393" i="42690" s="1"/>
  <c r="N391" i="42690"/>
  <c r="N393" i="42690" s="1"/>
  <c r="P391" i="42690"/>
  <c r="P393" i="42690" s="1"/>
  <c r="R434" i="42690"/>
  <c r="R479" i="42690"/>
  <c r="G480" i="42690"/>
  <c r="G492" i="42690" s="1"/>
  <c r="I480" i="42690"/>
  <c r="I492" i="42690" s="1"/>
  <c r="K480" i="42690"/>
  <c r="K492" i="42690" s="1"/>
  <c r="M480" i="42690"/>
  <c r="M492" i="42690" s="1"/>
  <c r="O480" i="42690"/>
  <c r="O492" i="42690" s="1"/>
  <c r="Q480" i="42690"/>
  <c r="Q492" i="42690" s="1"/>
  <c r="H610" i="42690"/>
  <c r="F784" i="42690"/>
  <c r="H784" i="42690"/>
  <c r="J784" i="42690"/>
  <c r="L784" i="42690"/>
  <c r="N784" i="42690"/>
  <c r="P784" i="42690"/>
  <c r="G824" i="42691"/>
  <c r="G836" i="42691" s="1"/>
  <c r="G837" i="42691" s="1"/>
  <c r="G821" i="42691"/>
  <c r="G987" i="42691" s="1"/>
  <c r="I824" i="42691"/>
  <c r="I836" i="42691" s="1"/>
  <c r="I837" i="42691" s="1"/>
  <c r="I821" i="42691"/>
  <c r="I987" i="42691" s="1"/>
  <c r="K824" i="42691"/>
  <c r="K836" i="42691" s="1"/>
  <c r="K837" i="42691" s="1"/>
  <c r="K821" i="42691"/>
  <c r="K987" i="42691" s="1"/>
  <c r="M824" i="42691"/>
  <c r="M836" i="42691" s="1"/>
  <c r="M837" i="42691" s="1"/>
  <c r="M821" i="42691"/>
  <c r="M987" i="42691" s="1"/>
  <c r="O824" i="42691"/>
  <c r="O836" i="42691" s="1"/>
  <c r="O837" i="42691" s="1"/>
  <c r="O821" i="42691"/>
  <c r="O987" i="42691" s="1"/>
  <c r="Q824" i="42691"/>
  <c r="Q836" i="42691" s="1"/>
  <c r="Q837" i="42691" s="1"/>
  <c r="Q821" i="42691"/>
  <c r="Q987" i="42691" s="1"/>
  <c r="F825" i="42691"/>
  <c r="R802" i="42691"/>
  <c r="R825" i="42691" s="1"/>
  <c r="R51" i="42691"/>
  <c r="F70" i="42691"/>
  <c r="H70" i="42691"/>
  <c r="J70" i="42691"/>
  <c r="L70" i="42691"/>
  <c r="N70" i="42691"/>
  <c r="P70" i="42691"/>
  <c r="G84" i="42691"/>
  <c r="I84" i="42691"/>
  <c r="K84" i="42691"/>
  <c r="M84" i="42691"/>
  <c r="O84" i="42691"/>
  <c r="Q84" i="42691"/>
  <c r="F827" i="42691"/>
  <c r="R804" i="42691"/>
  <c r="R106" i="42691"/>
  <c r="F113" i="42691"/>
  <c r="H113" i="42691"/>
  <c r="J113" i="42691"/>
  <c r="L113" i="42691"/>
  <c r="N113" i="42691"/>
  <c r="P113" i="42691"/>
  <c r="F127" i="42691"/>
  <c r="H127" i="42691"/>
  <c r="J127" i="42691"/>
  <c r="L127" i="42691"/>
  <c r="N127" i="42691"/>
  <c r="P127" i="42691"/>
  <c r="F831" i="42691"/>
  <c r="R805" i="42691"/>
  <c r="R831" i="42691" s="1"/>
  <c r="R145" i="42691"/>
  <c r="F152" i="42691"/>
  <c r="H152" i="42691"/>
  <c r="H164" i="42691" s="1"/>
  <c r="J152" i="42691"/>
  <c r="J164" i="42691" s="1"/>
  <c r="L152" i="42691"/>
  <c r="L164" i="42691" s="1"/>
  <c r="N152" i="42691"/>
  <c r="N164" i="42691" s="1"/>
  <c r="P152" i="42691"/>
  <c r="P164" i="42691" s="1"/>
  <c r="G155" i="42691"/>
  <c r="I155" i="42691"/>
  <c r="K155" i="42691"/>
  <c r="M155" i="42691"/>
  <c r="O155" i="42691"/>
  <c r="Q155" i="42691"/>
  <c r="G158" i="42691"/>
  <c r="I158" i="42691"/>
  <c r="K158" i="42691"/>
  <c r="M158" i="42691"/>
  <c r="O158" i="42691"/>
  <c r="Q158" i="42691"/>
  <c r="G164" i="42691"/>
  <c r="I164" i="42691"/>
  <c r="K164" i="42691"/>
  <c r="M164" i="42691"/>
  <c r="O164" i="42691"/>
  <c r="Q164" i="42691"/>
  <c r="F832" i="42691"/>
  <c r="R806" i="42691"/>
  <c r="R832" i="42691" s="1"/>
  <c r="R181" i="42691"/>
  <c r="G193" i="42691"/>
  <c r="I193" i="42691"/>
  <c r="K193" i="42691"/>
  <c r="M193" i="42691"/>
  <c r="O193" i="42691"/>
  <c r="Q193" i="42691"/>
  <c r="G232" i="42691"/>
  <c r="I232" i="42691"/>
  <c r="K232" i="42691"/>
  <c r="M232" i="42691"/>
  <c r="O232" i="42691"/>
  <c r="Q232" i="42691"/>
  <c r="G234" i="42691"/>
  <c r="I234" i="42691"/>
  <c r="K234" i="42691"/>
  <c r="M234" i="42691"/>
  <c r="O234" i="42691"/>
  <c r="Q234" i="42691"/>
  <c r="G236" i="42691"/>
  <c r="I236" i="42691"/>
  <c r="K236" i="42691"/>
  <c r="M236" i="42691"/>
  <c r="O236" i="42691"/>
  <c r="Q236" i="42691"/>
  <c r="G238" i="42691"/>
  <c r="I238" i="42691"/>
  <c r="K238" i="42691"/>
  <c r="M238" i="42691"/>
  <c r="O238" i="42691"/>
  <c r="Q238" i="42691"/>
  <c r="G242" i="42691"/>
  <c r="I242" i="42691"/>
  <c r="K242" i="42691"/>
  <c r="M242" i="42691"/>
  <c r="O242" i="42691"/>
  <c r="Q242" i="42691"/>
  <c r="F256" i="42691"/>
  <c r="H256" i="42691"/>
  <c r="J256" i="42691"/>
  <c r="L256" i="42691"/>
  <c r="N256" i="42691"/>
  <c r="P256" i="42691"/>
  <c r="G654" i="42691"/>
  <c r="I654" i="42691"/>
  <c r="K654" i="42691"/>
  <c r="M654" i="42691"/>
  <c r="O654" i="42691"/>
  <c r="Q654" i="42691"/>
  <c r="G286" i="42691"/>
  <c r="I286" i="42691"/>
  <c r="K286" i="42691"/>
  <c r="M286" i="42691"/>
  <c r="O286" i="42691"/>
  <c r="Q286" i="42691"/>
  <c r="F288" i="42691"/>
  <c r="H288" i="42691"/>
  <c r="J288" i="42691"/>
  <c r="L288" i="42691"/>
  <c r="N288" i="42691"/>
  <c r="P288" i="42691"/>
  <c r="G289" i="42691"/>
  <c r="I289" i="42691"/>
  <c r="K289" i="42691"/>
  <c r="M289" i="42691"/>
  <c r="O289" i="42691"/>
  <c r="Q289" i="42691"/>
  <c r="F295" i="42691"/>
  <c r="H295" i="42691"/>
  <c r="J295" i="42691"/>
  <c r="L295" i="42691"/>
  <c r="N295" i="42691"/>
  <c r="P295" i="42691"/>
  <c r="G696" i="42691"/>
  <c r="I696" i="42691"/>
  <c r="K696" i="42691"/>
  <c r="M696" i="42691"/>
  <c r="O696" i="42691"/>
  <c r="Q696" i="42691"/>
  <c r="R322" i="42691"/>
  <c r="F329" i="42691"/>
  <c r="H329" i="42691"/>
  <c r="J329" i="42691"/>
  <c r="L329" i="42691"/>
  <c r="N329" i="42691"/>
  <c r="P329" i="42691"/>
  <c r="G331" i="42691"/>
  <c r="I331" i="42691"/>
  <c r="K331" i="42691"/>
  <c r="M331" i="42691"/>
  <c r="O331" i="42691"/>
  <c r="Q331" i="42691"/>
  <c r="F337" i="42691"/>
  <c r="H337" i="42691"/>
  <c r="J337" i="42691"/>
  <c r="L337" i="42691"/>
  <c r="N337" i="42691"/>
  <c r="P337" i="42691"/>
  <c r="R368" i="42691"/>
  <c r="F379" i="42691"/>
  <c r="H379" i="42691"/>
  <c r="J379" i="42691"/>
  <c r="L379" i="42691"/>
  <c r="N379" i="42691"/>
  <c r="P379" i="42691"/>
  <c r="G381" i="42691"/>
  <c r="I381" i="42691"/>
  <c r="K381" i="42691"/>
  <c r="M381" i="42691"/>
  <c r="O381" i="42691"/>
  <c r="Q381" i="42691"/>
  <c r="F382" i="42691"/>
  <c r="H382" i="42691"/>
  <c r="J382" i="42691"/>
  <c r="L382" i="42691"/>
  <c r="N382" i="42691"/>
  <c r="P382" i="42691"/>
  <c r="G383" i="42691"/>
  <c r="I383" i="42691"/>
  <c r="K383" i="42691"/>
  <c r="M383" i="42691"/>
  <c r="O383" i="42691"/>
  <c r="Q383" i="42691"/>
  <c r="F384" i="42691"/>
  <c r="H384" i="42691"/>
  <c r="J384" i="42691"/>
  <c r="L384" i="42691"/>
  <c r="N384" i="42691"/>
  <c r="P384" i="42691"/>
  <c r="G385" i="42691"/>
  <c r="I385" i="42691"/>
  <c r="K385" i="42691"/>
  <c r="M385" i="42691"/>
  <c r="O385" i="42691"/>
  <c r="Q385" i="42691"/>
  <c r="F391" i="42691"/>
  <c r="H391" i="42691"/>
  <c r="J391" i="42691"/>
  <c r="L391" i="42691"/>
  <c r="N391" i="42691"/>
  <c r="P391" i="42691"/>
  <c r="R812" i="42691"/>
  <c r="R434" i="42691"/>
  <c r="G455" i="42691"/>
  <c r="I455" i="42691"/>
  <c r="K455" i="42691"/>
  <c r="M455" i="42691"/>
  <c r="O455" i="42691"/>
  <c r="Q455" i="42691"/>
  <c r="G480" i="42691"/>
  <c r="G492" i="42691" s="1"/>
  <c r="I480" i="42691"/>
  <c r="I492" i="42691" s="1"/>
  <c r="K480" i="42691"/>
  <c r="K492" i="42691" s="1"/>
  <c r="M480" i="42691"/>
  <c r="M492" i="42691" s="1"/>
  <c r="O480" i="42691"/>
  <c r="O492" i="42691" s="1"/>
  <c r="Q480" i="42691"/>
  <c r="Q492" i="42691" s="1"/>
  <c r="R545" i="42691"/>
  <c r="R581" i="42691"/>
  <c r="G655" i="42691"/>
  <c r="I655" i="42691"/>
  <c r="K655" i="42691"/>
  <c r="M655" i="42691"/>
  <c r="O655" i="42691"/>
  <c r="Q655" i="42691"/>
  <c r="G697" i="42691"/>
  <c r="I697" i="42691"/>
  <c r="K697" i="42691"/>
  <c r="M697" i="42691"/>
  <c r="O697" i="42691"/>
  <c r="Q697" i="42691"/>
  <c r="G793" i="42691"/>
  <c r="I793" i="42691"/>
  <c r="K793" i="42691"/>
  <c r="M793" i="42691"/>
  <c r="O793" i="42691"/>
  <c r="Q793" i="42691"/>
  <c r="S952" i="42691"/>
  <c r="F616" i="42691"/>
  <c r="H616" i="42691"/>
  <c r="J616" i="42691"/>
  <c r="L616" i="42691"/>
  <c r="N616" i="42691"/>
  <c r="P616" i="42691"/>
  <c r="R637" i="42691"/>
  <c r="R681" i="42691"/>
  <c r="R727" i="42691"/>
  <c r="R774" i="42691"/>
  <c r="R776" i="42691"/>
  <c r="R778" i="42691"/>
  <c r="G786" i="42691"/>
  <c r="I786" i="42691"/>
  <c r="K786" i="42691"/>
  <c r="M786" i="42691"/>
  <c r="O786" i="42691"/>
  <c r="Q786" i="42691"/>
  <c r="F787" i="42691"/>
  <c r="R787" i="42691" s="1"/>
  <c r="F789" i="42691"/>
  <c r="R789" i="42691" s="1"/>
  <c r="F818" i="42691"/>
  <c r="R818" i="42691" s="1"/>
  <c r="F820" i="42691"/>
  <c r="G888" i="42691"/>
  <c r="G908" i="42691" s="1"/>
  <c r="I888" i="42691"/>
  <c r="K888" i="42691"/>
  <c r="K908" i="42691" s="1"/>
  <c r="M888" i="42691"/>
  <c r="O888" i="42691"/>
  <c r="O908" i="42691" s="1"/>
  <c r="Q888" i="42691"/>
  <c r="F903" i="42691"/>
  <c r="R903" i="42691" s="1"/>
  <c r="H926" i="42691"/>
  <c r="F20" i="42697"/>
  <c r="H20" i="42697"/>
  <c r="H947" i="42697" s="1"/>
  <c r="J20" i="42697"/>
  <c r="J947" i="42697" s="1"/>
  <c r="L20" i="42697"/>
  <c r="L947" i="42697" s="1"/>
  <c r="N20" i="42697"/>
  <c r="N947" i="42697" s="1"/>
  <c r="P20" i="42697"/>
  <c r="P947" i="42697" s="1"/>
  <c r="F23" i="42697"/>
  <c r="H23" i="42697"/>
  <c r="J23" i="42697"/>
  <c r="L23" i="42697"/>
  <c r="N23" i="42697"/>
  <c r="P23" i="42697"/>
  <c r="F824" i="42692"/>
  <c r="R801" i="42692"/>
  <c r="H824" i="42692"/>
  <c r="J824" i="42692"/>
  <c r="L824" i="42692"/>
  <c r="N824" i="42692"/>
  <c r="P824" i="42692"/>
  <c r="R33" i="42692"/>
  <c r="F37" i="42692"/>
  <c r="H37" i="42692"/>
  <c r="J37" i="42692"/>
  <c r="L37" i="42692"/>
  <c r="N37" i="42692"/>
  <c r="P37" i="42692"/>
  <c r="G55" i="42692"/>
  <c r="I55" i="42692"/>
  <c r="K55" i="42692"/>
  <c r="M55" i="42692"/>
  <c r="O55" i="42692"/>
  <c r="Q55" i="42692"/>
  <c r="R886" i="42692"/>
  <c r="R67" i="42692"/>
  <c r="F76" i="42697"/>
  <c r="F404" i="42692"/>
  <c r="H76" i="42697"/>
  <c r="H404" i="42692"/>
  <c r="J76" i="42697"/>
  <c r="J404" i="42692"/>
  <c r="L76" i="42697"/>
  <c r="L404" i="42692"/>
  <c r="N76" i="42697"/>
  <c r="N404" i="42692"/>
  <c r="P76" i="42697"/>
  <c r="P404" i="42692"/>
  <c r="F77" i="42697"/>
  <c r="F405" i="42692"/>
  <c r="H77" i="42697"/>
  <c r="H405" i="42692"/>
  <c r="J77" i="42697"/>
  <c r="J405" i="42692"/>
  <c r="L77" i="42697"/>
  <c r="L405" i="42692"/>
  <c r="N77" i="42697"/>
  <c r="N405" i="42692"/>
  <c r="P77" i="42697"/>
  <c r="P405" i="42692"/>
  <c r="F826" i="42692"/>
  <c r="R803" i="42692"/>
  <c r="R826" i="42692" s="1"/>
  <c r="R80" i="42692"/>
  <c r="F84" i="42692"/>
  <c r="H84" i="42692"/>
  <c r="J84" i="42692"/>
  <c r="L84" i="42692"/>
  <c r="N84" i="42692"/>
  <c r="P84" i="42692"/>
  <c r="G97" i="42697"/>
  <c r="G425" i="42692"/>
  <c r="I97" i="42697"/>
  <c r="I425" i="42692"/>
  <c r="K97" i="42697"/>
  <c r="K425" i="42692"/>
  <c r="M97" i="42697"/>
  <c r="M425" i="42692"/>
  <c r="O97" i="42697"/>
  <c r="O425" i="42692"/>
  <c r="Q97" i="42697"/>
  <c r="Q425" i="42692"/>
  <c r="G102" i="42697"/>
  <c r="G430" i="42697" s="1"/>
  <c r="G430" i="42692"/>
  <c r="I102" i="42697"/>
  <c r="I430" i="42697" s="1"/>
  <c r="I430" i="42692"/>
  <c r="K102" i="42697"/>
  <c r="K430" i="42697" s="1"/>
  <c r="K430" i="42692"/>
  <c r="M102" i="42697"/>
  <c r="M430" i="42697" s="1"/>
  <c r="M430" i="42692"/>
  <c r="O102" i="42697"/>
  <c r="O430" i="42697" s="1"/>
  <c r="O430" i="42692"/>
  <c r="Q102" i="42697"/>
  <c r="Q430" i="42697" s="1"/>
  <c r="Q430" i="42692"/>
  <c r="R108" i="42692"/>
  <c r="G113" i="42692"/>
  <c r="I113" i="42692"/>
  <c r="K113" i="42692"/>
  <c r="M113" i="42692"/>
  <c r="O113" i="42692"/>
  <c r="Q113" i="42692"/>
  <c r="G127" i="42692"/>
  <c r="I127" i="42692"/>
  <c r="K127" i="42692"/>
  <c r="M127" i="42692"/>
  <c r="O127" i="42692"/>
  <c r="Q127" i="42692"/>
  <c r="R147" i="42692"/>
  <c r="G152" i="42692"/>
  <c r="G164" i="42692" s="1"/>
  <c r="I152" i="42692"/>
  <c r="I164" i="42692" s="1"/>
  <c r="K152" i="42692"/>
  <c r="K164" i="42692" s="1"/>
  <c r="M152" i="42692"/>
  <c r="M164" i="42692" s="1"/>
  <c r="O152" i="42692"/>
  <c r="O164" i="42692" s="1"/>
  <c r="Q152" i="42692"/>
  <c r="Q164" i="42692" s="1"/>
  <c r="R183" i="42692"/>
  <c r="G191" i="42692"/>
  <c r="I191" i="42692"/>
  <c r="K191" i="42692"/>
  <c r="M191" i="42692"/>
  <c r="O191" i="42692"/>
  <c r="Q191" i="42692"/>
  <c r="F193" i="42692"/>
  <c r="H193" i="42692"/>
  <c r="J193" i="42692"/>
  <c r="L193" i="42692"/>
  <c r="N193" i="42692"/>
  <c r="P193" i="42692"/>
  <c r="G194" i="42692"/>
  <c r="I194" i="42692"/>
  <c r="K194" i="42692"/>
  <c r="M194" i="42692"/>
  <c r="O194" i="42692"/>
  <c r="Q194" i="42692"/>
  <c r="F834" i="42692"/>
  <c r="R807" i="42692"/>
  <c r="R834" i="42692" s="1"/>
  <c r="R219" i="42692"/>
  <c r="R221" i="42692"/>
  <c r="R223" i="42692"/>
  <c r="R225" i="42692"/>
  <c r="F232" i="42692"/>
  <c r="H232" i="42692"/>
  <c r="J232" i="42692"/>
  <c r="L232" i="42692"/>
  <c r="N232" i="42692"/>
  <c r="P232" i="42692"/>
  <c r="F234" i="42692"/>
  <c r="H234" i="42692"/>
  <c r="J234" i="42692"/>
  <c r="L234" i="42692"/>
  <c r="N234" i="42692"/>
  <c r="P234" i="42692"/>
  <c r="G235" i="42692"/>
  <c r="I235" i="42692"/>
  <c r="K235" i="42692"/>
  <c r="M235" i="42692"/>
  <c r="O235" i="42692"/>
  <c r="Q235" i="42692"/>
  <c r="F236" i="42692"/>
  <c r="H236" i="42692"/>
  <c r="J236" i="42692"/>
  <c r="L236" i="42692"/>
  <c r="N236" i="42692"/>
  <c r="P236" i="42692"/>
  <c r="G237" i="42692"/>
  <c r="I237" i="42692"/>
  <c r="K237" i="42692"/>
  <c r="M237" i="42692"/>
  <c r="O237" i="42692"/>
  <c r="Q237" i="42692"/>
  <c r="F238" i="42692"/>
  <c r="H238" i="42692"/>
  <c r="J238" i="42692"/>
  <c r="L238" i="42692"/>
  <c r="N238" i="42692"/>
  <c r="P238" i="42692"/>
  <c r="R253" i="42692"/>
  <c r="F266" i="42697"/>
  <c r="F625" i="42692"/>
  <c r="H266" i="42697"/>
  <c r="H625" i="42692"/>
  <c r="J266" i="42697"/>
  <c r="J625" i="42692"/>
  <c r="L266" i="42697"/>
  <c r="L625" i="42692"/>
  <c r="N266" i="42697"/>
  <c r="N625" i="42692"/>
  <c r="P266" i="42697"/>
  <c r="P625" i="42692"/>
  <c r="F272" i="42697"/>
  <c r="F631" i="42692"/>
  <c r="H272" i="42697"/>
  <c r="H631" i="42692"/>
  <c r="J272" i="42697"/>
  <c r="J631" i="42692"/>
  <c r="L272" i="42697"/>
  <c r="L631" i="42692"/>
  <c r="N272" i="42697"/>
  <c r="N631" i="42692"/>
  <c r="P272" i="42697"/>
  <c r="P631" i="42692"/>
  <c r="F828" i="42692"/>
  <c r="R808" i="42692"/>
  <c r="R828" i="42692" s="1"/>
  <c r="R276" i="42692"/>
  <c r="R279" i="42692"/>
  <c r="F286" i="42692"/>
  <c r="H286" i="42692"/>
  <c r="J286" i="42692"/>
  <c r="L286" i="42692"/>
  <c r="N286" i="42692"/>
  <c r="P286" i="42692"/>
  <c r="G288" i="42692"/>
  <c r="I288" i="42692"/>
  <c r="K288" i="42692"/>
  <c r="M288" i="42692"/>
  <c r="O288" i="42692"/>
  <c r="Q288" i="42692"/>
  <c r="F289" i="42692"/>
  <c r="H289" i="42692"/>
  <c r="J289" i="42692"/>
  <c r="L289" i="42692"/>
  <c r="N289" i="42692"/>
  <c r="P289" i="42692"/>
  <c r="F310" i="42697"/>
  <c r="F669" i="42692"/>
  <c r="H310" i="42697"/>
  <c r="H669" i="42692"/>
  <c r="J310" i="42697"/>
  <c r="J669" i="42692"/>
  <c r="L310" i="42697"/>
  <c r="L669" i="42692"/>
  <c r="N310" i="42697"/>
  <c r="N669" i="42692"/>
  <c r="P310" i="42697"/>
  <c r="P669" i="42692"/>
  <c r="F316" i="42697"/>
  <c r="F675" i="42692"/>
  <c r="H316" i="42697"/>
  <c r="H675" i="42692"/>
  <c r="J316" i="42697"/>
  <c r="J675" i="42692"/>
  <c r="L316" i="42697"/>
  <c r="L675" i="42692"/>
  <c r="N316" i="42697"/>
  <c r="N675" i="42692"/>
  <c r="P316" i="42697"/>
  <c r="P675" i="42692"/>
  <c r="F829" i="42692"/>
  <c r="R809" i="42692"/>
  <c r="R829" i="42692" s="1"/>
  <c r="R320" i="42692"/>
  <c r="G322" i="42697"/>
  <c r="G331" i="42692"/>
  <c r="I322" i="42697"/>
  <c r="I331" i="42692"/>
  <c r="K322" i="42697"/>
  <c r="K331" i="42692"/>
  <c r="M322" i="42697"/>
  <c r="M331" i="42692"/>
  <c r="O322" i="42697"/>
  <c r="O331" i="42692"/>
  <c r="Q322" i="42697"/>
  <c r="Q331" i="42692"/>
  <c r="F830" i="42692"/>
  <c r="R810" i="42692"/>
  <c r="R830" i="42692" s="1"/>
  <c r="R412" i="42692"/>
  <c r="R444" i="42692"/>
  <c r="R447" i="42692"/>
  <c r="F452" i="42692"/>
  <c r="H452" i="42692"/>
  <c r="J452" i="42692"/>
  <c r="L452" i="42692"/>
  <c r="N452" i="42692"/>
  <c r="P452" i="42692"/>
  <c r="F453" i="42692"/>
  <c r="H453" i="42692"/>
  <c r="J453" i="42692"/>
  <c r="L453" i="42692"/>
  <c r="N453" i="42692"/>
  <c r="P453" i="42692"/>
  <c r="G491" i="42692"/>
  <c r="I491" i="42692"/>
  <c r="K491" i="42692"/>
  <c r="M491" i="42692"/>
  <c r="O491" i="42692"/>
  <c r="Q491" i="42692"/>
  <c r="R519" i="42692"/>
  <c r="R521" i="42692"/>
  <c r="F526" i="42692"/>
  <c r="H526" i="42692"/>
  <c r="J526" i="42692"/>
  <c r="L526" i="42692"/>
  <c r="N526" i="42692"/>
  <c r="P526" i="42692"/>
  <c r="R592" i="42692"/>
  <c r="R594" i="42692"/>
  <c r="F602" i="42692"/>
  <c r="H602" i="42692"/>
  <c r="J602" i="42692"/>
  <c r="L602" i="42692"/>
  <c r="N602" i="42692"/>
  <c r="P602" i="42692"/>
  <c r="R645" i="42692"/>
  <c r="R647" i="42692"/>
  <c r="F654" i="42692"/>
  <c r="H654" i="42692"/>
  <c r="J654" i="42692"/>
  <c r="L654" i="42692"/>
  <c r="N654" i="42692"/>
  <c r="P654" i="42692"/>
  <c r="F655" i="42692"/>
  <c r="H655" i="42692"/>
  <c r="J655" i="42692"/>
  <c r="L655" i="42692"/>
  <c r="N655" i="42692"/>
  <c r="P655" i="42692"/>
  <c r="R688" i="42692"/>
  <c r="R690" i="42692"/>
  <c r="F696" i="42692"/>
  <c r="H696" i="42692"/>
  <c r="J696" i="42692"/>
  <c r="L696" i="42692"/>
  <c r="N696" i="42692"/>
  <c r="P696" i="42692"/>
  <c r="F697" i="42692"/>
  <c r="H697" i="42692"/>
  <c r="J697" i="42692"/>
  <c r="L697" i="42692"/>
  <c r="N697" i="42692"/>
  <c r="P697" i="42692"/>
  <c r="R738" i="42692"/>
  <c r="R740" i="42692"/>
  <c r="F752" i="42692"/>
  <c r="R750" i="42692"/>
  <c r="R752" i="42692" s="1"/>
  <c r="R820" i="42692"/>
  <c r="R835" i="42692" s="1"/>
  <c r="F835" i="42692"/>
  <c r="J527" i="42697"/>
  <c r="F45" i="42693"/>
  <c r="R613" i="42691"/>
  <c r="R635" i="42691"/>
  <c r="R725" i="42691"/>
  <c r="G20" i="42697"/>
  <c r="G947" i="42697" s="1"/>
  <c r="I20" i="42697"/>
  <c r="I947" i="42697" s="1"/>
  <c r="K20" i="42697"/>
  <c r="K947" i="42697" s="1"/>
  <c r="M20" i="42697"/>
  <c r="M947" i="42697" s="1"/>
  <c r="O20" i="42697"/>
  <c r="O947" i="42697" s="1"/>
  <c r="Q20" i="42697"/>
  <c r="Q947" i="42697" s="1"/>
  <c r="G23" i="42697"/>
  <c r="I23" i="42697"/>
  <c r="K23" i="42697"/>
  <c r="M23" i="42697"/>
  <c r="O23" i="42697"/>
  <c r="Q23" i="42697"/>
  <c r="F20" i="42692"/>
  <c r="H20" i="42692"/>
  <c r="H947" i="42692" s="1"/>
  <c r="J20" i="42692"/>
  <c r="J947" i="42692" s="1"/>
  <c r="L20" i="42692"/>
  <c r="L947" i="42692" s="1"/>
  <c r="N20" i="42692"/>
  <c r="N947" i="42692" s="1"/>
  <c r="P20" i="42692"/>
  <c r="P947" i="42692" s="1"/>
  <c r="F23" i="42692"/>
  <c r="H23" i="42692"/>
  <c r="J23" i="42692"/>
  <c r="L23" i="42692"/>
  <c r="N23" i="42692"/>
  <c r="P23" i="42692"/>
  <c r="G824" i="42692"/>
  <c r="I824" i="42692"/>
  <c r="K824" i="42692"/>
  <c r="M824" i="42692"/>
  <c r="O824" i="42692"/>
  <c r="Q824" i="42692"/>
  <c r="G37" i="42692"/>
  <c r="I37" i="42692"/>
  <c r="K37" i="42692"/>
  <c r="M37" i="42692"/>
  <c r="O37" i="42692"/>
  <c r="Q37" i="42692"/>
  <c r="R802" i="42692"/>
  <c r="R825" i="42692" s="1"/>
  <c r="F825" i="42692"/>
  <c r="R51" i="42692"/>
  <c r="F55" i="42692"/>
  <c r="H55" i="42692"/>
  <c r="J55" i="42692"/>
  <c r="L55" i="42692"/>
  <c r="N55" i="42692"/>
  <c r="P55" i="42692"/>
  <c r="G908" i="42692"/>
  <c r="I908" i="42692"/>
  <c r="K908" i="42692"/>
  <c r="M908" i="42692"/>
  <c r="O908" i="42692"/>
  <c r="Q908" i="42692"/>
  <c r="F70" i="42692"/>
  <c r="H70" i="42692"/>
  <c r="J70" i="42692"/>
  <c r="L70" i="42692"/>
  <c r="N70" i="42692"/>
  <c r="P70" i="42692"/>
  <c r="G76" i="42697"/>
  <c r="G404" i="42692"/>
  <c r="I76" i="42697"/>
  <c r="I404" i="42692"/>
  <c r="I414" i="42692" s="1"/>
  <c r="K76" i="42697"/>
  <c r="K404" i="42692"/>
  <c r="M76" i="42697"/>
  <c r="M404" i="42692"/>
  <c r="M414" i="42692" s="1"/>
  <c r="O76" i="42697"/>
  <c r="O404" i="42692"/>
  <c r="Q76" i="42697"/>
  <c r="Q404" i="42692"/>
  <c r="Q414" i="42692" s="1"/>
  <c r="G77" i="42697"/>
  <c r="G405" i="42692"/>
  <c r="I77" i="42697"/>
  <c r="I405" i="42692"/>
  <c r="I417" i="42692" s="1"/>
  <c r="K77" i="42697"/>
  <c r="K405" i="42692"/>
  <c r="M77" i="42697"/>
  <c r="M405" i="42692"/>
  <c r="M417" i="42692" s="1"/>
  <c r="O77" i="42697"/>
  <c r="O405" i="42692"/>
  <c r="Q77" i="42697"/>
  <c r="Q405" i="42692"/>
  <c r="Q417" i="42692" s="1"/>
  <c r="G84" i="42692"/>
  <c r="I84" i="42692"/>
  <c r="K84" i="42692"/>
  <c r="M84" i="42692"/>
  <c r="O84" i="42692"/>
  <c r="Q84" i="42692"/>
  <c r="F97" i="42697"/>
  <c r="F425" i="42692"/>
  <c r="H97" i="42697"/>
  <c r="H425" i="42692"/>
  <c r="J97" i="42697"/>
  <c r="J425" i="42692"/>
  <c r="L97" i="42697"/>
  <c r="L425" i="42692"/>
  <c r="N97" i="42697"/>
  <c r="N425" i="42692"/>
  <c r="P97" i="42697"/>
  <c r="P425" i="42692"/>
  <c r="F102" i="42697"/>
  <c r="F430" i="42697" s="1"/>
  <c r="F430" i="42692"/>
  <c r="H102" i="42697"/>
  <c r="H430" i="42697" s="1"/>
  <c r="H430" i="42692"/>
  <c r="J102" i="42697"/>
  <c r="J430" i="42697" s="1"/>
  <c r="J430" i="42692"/>
  <c r="L102" i="42697"/>
  <c r="L430" i="42697" s="1"/>
  <c r="L430" i="42692"/>
  <c r="N102" i="42697"/>
  <c r="N430" i="42697" s="1"/>
  <c r="N430" i="42692"/>
  <c r="P102" i="42697"/>
  <c r="P430" i="42697" s="1"/>
  <c r="P430" i="42692"/>
  <c r="R804" i="42692"/>
  <c r="F827" i="42692"/>
  <c r="R106" i="42692"/>
  <c r="R109" i="42697"/>
  <c r="R109" i="42692"/>
  <c r="F113" i="42692"/>
  <c r="H113" i="42692"/>
  <c r="J113" i="42692"/>
  <c r="L113" i="42692"/>
  <c r="N113" i="42692"/>
  <c r="P113" i="42692"/>
  <c r="G116" i="42692"/>
  <c r="I116" i="42692"/>
  <c r="K116" i="42692"/>
  <c r="M116" i="42692"/>
  <c r="O116" i="42692"/>
  <c r="Q116" i="42692"/>
  <c r="G119" i="42692"/>
  <c r="I119" i="42692"/>
  <c r="K119" i="42692"/>
  <c r="M119" i="42692"/>
  <c r="O119" i="42692"/>
  <c r="Q119" i="42692"/>
  <c r="F127" i="42692"/>
  <c r="H127" i="42692"/>
  <c r="J127" i="42692"/>
  <c r="L127" i="42692"/>
  <c r="N127" i="42692"/>
  <c r="P127" i="42692"/>
  <c r="F831" i="42692"/>
  <c r="R805" i="42692"/>
  <c r="R145" i="42692"/>
  <c r="R148" i="42697"/>
  <c r="R148" i="42692"/>
  <c r="F152" i="42692"/>
  <c r="H152" i="42692"/>
  <c r="H164" i="42692" s="1"/>
  <c r="J152" i="42692"/>
  <c r="J164" i="42692" s="1"/>
  <c r="L152" i="42692"/>
  <c r="L164" i="42692" s="1"/>
  <c r="N152" i="42692"/>
  <c r="N164" i="42692" s="1"/>
  <c r="P152" i="42692"/>
  <c r="P164" i="42692" s="1"/>
  <c r="G155" i="42692"/>
  <c r="I155" i="42692"/>
  <c r="K155" i="42692"/>
  <c r="M155" i="42692"/>
  <c r="O155" i="42692"/>
  <c r="Q155" i="42692"/>
  <c r="G158" i="42692"/>
  <c r="I158" i="42692"/>
  <c r="K158" i="42692"/>
  <c r="M158" i="42692"/>
  <c r="O158" i="42692"/>
  <c r="Q158" i="42692"/>
  <c r="F832" i="42692"/>
  <c r="R806" i="42692"/>
  <c r="R832" i="42692" s="1"/>
  <c r="R181" i="42692"/>
  <c r="R184" i="42697"/>
  <c r="R184" i="42692"/>
  <c r="F191" i="42692"/>
  <c r="H191" i="42692"/>
  <c r="J191" i="42692"/>
  <c r="L191" i="42692"/>
  <c r="N191" i="42692"/>
  <c r="P191" i="42692"/>
  <c r="G193" i="42692"/>
  <c r="I193" i="42692"/>
  <c r="K193" i="42692"/>
  <c r="M193" i="42692"/>
  <c r="O193" i="42692"/>
  <c r="Q193" i="42692"/>
  <c r="F194" i="42692"/>
  <c r="H194" i="42692"/>
  <c r="J194" i="42692"/>
  <c r="L194" i="42692"/>
  <c r="N194" i="42692"/>
  <c r="P194" i="42692"/>
  <c r="R222" i="42697"/>
  <c r="R222" i="42692"/>
  <c r="R224" i="42697"/>
  <c r="R224" i="42692"/>
  <c r="G232" i="42692"/>
  <c r="I232" i="42692"/>
  <c r="K232" i="42692"/>
  <c r="M232" i="42692"/>
  <c r="O232" i="42692"/>
  <c r="Q232" i="42692"/>
  <c r="G234" i="42692"/>
  <c r="I234" i="42692"/>
  <c r="K234" i="42692"/>
  <c r="M234" i="42692"/>
  <c r="O234" i="42692"/>
  <c r="Q234" i="42692"/>
  <c r="F235" i="42692"/>
  <c r="H235" i="42692"/>
  <c r="J235" i="42692"/>
  <c r="L235" i="42692"/>
  <c r="N235" i="42692"/>
  <c r="P235" i="42692"/>
  <c r="G236" i="42692"/>
  <c r="I236" i="42692"/>
  <c r="K236" i="42692"/>
  <c r="M236" i="42692"/>
  <c r="O236" i="42692"/>
  <c r="Q236" i="42692"/>
  <c r="F237" i="42692"/>
  <c r="H237" i="42692"/>
  <c r="J237" i="42692"/>
  <c r="L237" i="42692"/>
  <c r="N237" i="42692"/>
  <c r="P237" i="42692"/>
  <c r="G238" i="42692"/>
  <c r="I238" i="42692"/>
  <c r="K238" i="42692"/>
  <c r="M238" i="42692"/>
  <c r="O238" i="42692"/>
  <c r="Q238" i="42692"/>
  <c r="F256" i="42692"/>
  <c r="H256" i="42692"/>
  <c r="J256" i="42692"/>
  <c r="L256" i="42692"/>
  <c r="N256" i="42692"/>
  <c r="P256" i="42692"/>
  <c r="G266" i="42697"/>
  <c r="G625" i="42692"/>
  <c r="I266" i="42697"/>
  <c r="I625" i="42692"/>
  <c r="K266" i="42697"/>
  <c r="K625" i="42692"/>
  <c r="M266" i="42697"/>
  <c r="M625" i="42692"/>
  <c r="O266" i="42697"/>
  <c r="O625" i="42692"/>
  <c r="Q266" i="42697"/>
  <c r="Q625" i="42692"/>
  <c r="G272" i="42697"/>
  <c r="G631" i="42692"/>
  <c r="I272" i="42697"/>
  <c r="I631" i="42692"/>
  <c r="K272" i="42697"/>
  <c r="K631" i="42692"/>
  <c r="M272" i="42697"/>
  <c r="M631" i="42692"/>
  <c r="O272" i="42697"/>
  <c r="O631" i="42692"/>
  <c r="Q272" i="42697"/>
  <c r="Q631" i="42692"/>
  <c r="R278" i="42697"/>
  <c r="R278" i="42692"/>
  <c r="G286" i="42692"/>
  <c r="I286" i="42692"/>
  <c r="K286" i="42692"/>
  <c r="M286" i="42692"/>
  <c r="O286" i="42692"/>
  <c r="Q286" i="42692"/>
  <c r="F288" i="42692"/>
  <c r="H288" i="42692"/>
  <c r="J288" i="42692"/>
  <c r="L288" i="42692"/>
  <c r="N288" i="42692"/>
  <c r="P288" i="42692"/>
  <c r="G289" i="42692"/>
  <c r="I289" i="42692"/>
  <c r="K289" i="42692"/>
  <c r="M289" i="42692"/>
  <c r="O289" i="42692"/>
  <c r="Q289" i="42692"/>
  <c r="G310" i="42697"/>
  <c r="G669" i="42692"/>
  <c r="I310" i="42697"/>
  <c r="I669" i="42692"/>
  <c r="K310" i="42697"/>
  <c r="K669" i="42692"/>
  <c r="M310" i="42697"/>
  <c r="M669" i="42692"/>
  <c r="O310" i="42697"/>
  <c r="O669" i="42692"/>
  <c r="Q310" i="42697"/>
  <c r="Q669" i="42692"/>
  <c r="G316" i="42697"/>
  <c r="G675" i="42692"/>
  <c r="I316" i="42697"/>
  <c r="I675" i="42692"/>
  <c r="K316" i="42697"/>
  <c r="K675" i="42692"/>
  <c r="M316" i="42697"/>
  <c r="M675" i="42692"/>
  <c r="O316" i="42697"/>
  <c r="O675" i="42692"/>
  <c r="Q316" i="42697"/>
  <c r="Q675" i="42692"/>
  <c r="R322" i="42697"/>
  <c r="R322" i="42692"/>
  <c r="F329" i="42692"/>
  <c r="H329" i="42692"/>
  <c r="J329" i="42692"/>
  <c r="L329" i="42692"/>
  <c r="N329" i="42692"/>
  <c r="P329" i="42692"/>
  <c r="H331" i="42692"/>
  <c r="L331" i="42692"/>
  <c r="P331" i="42692"/>
  <c r="I413" i="42692"/>
  <c r="I415" i="42692" s="1"/>
  <c r="M413" i="42692"/>
  <c r="M415" i="42692" s="1"/>
  <c r="Q413" i="42692"/>
  <c r="Q415" i="42692" s="1"/>
  <c r="G452" i="42692"/>
  <c r="I452" i="42692"/>
  <c r="K452" i="42692"/>
  <c r="M452" i="42692"/>
  <c r="O452" i="42692"/>
  <c r="Q452" i="42692"/>
  <c r="G453" i="42692"/>
  <c r="I453" i="42692"/>
  <c r="K453" i="42692"/>
  <c r="M453" i="42692"/>
  <c r="O453" i="42692"/>
  <c r="Q453" i="42692"/>
  <c r="R483" i="42692"/>
  <c r="R486" i="42692"/>
  <c r="F491" i="42692"/>
  <c r="H491" i="42692"/>
  <c r="J491" i="42692"/>
  <c r="L491" i="42692"/>
  <c r="N491" i="42692"/>
  <c r="P491" i="42692"/>
  <c r="R813" i="42692"/>
  <c r="G526" i="42692"/>
  <c r="I526" i="42692"/>
  <c r="K526" i="42692"/>
  <c r="M526" i="42692"/>
  <c r="O526" i="42692"/>
  <c r="Q526" i="42692"/>
  <c r="G602" i="42692"/>
  <c r="I602" i="42692"/>
  <c r="K602" i="42692"/>
  <c r="M602" i="42692"/>
  <c r="O602" i="42692"/>
  <c r="Q602" i="42692"/>
  <c r="G654" i="42692"/>
  <c r="I654" i="42692"/>
  <c r="K654" i="42692"/>
  <c r="M654" i="42692"/>
  <c r="O654" i="42692"/>
  <c r="Q654" i="42692"/>
  <c r="G655" i="42692"/>
  <c r="I655" i="42692"/>
  <c r="K655" i="42692"/>
  <c r="M655" i="42692"/>
  <c r="O655" i="42692"/>
  <c r="Q655" i="42692"/>
  <c r="G696" i="42692"/>
  <c r="I696" i="42692"/>
  <c r="K696" i="42692"/>
  <c r="M696" i="42692"/>
  <c r="O696" i="42692"/>
  <c r="Q696" i="42692"/>
  <c r="G697" i="42692"/>
  <c r="I697" i="42692"/>
  <c r="K697" i="42692"/>
  <c r="M697" i="42692"/>
  <c r="O697" i="42692"/>
  <c r="Q697" i="42692"/>
  <c r="S952" i="42692"/>
  <c r="I527" i="42697"/>
  <c r="E45" i="42693"/>
  <c r="K199" i="42697"/>
  <c r="G45" i="42693"/>
  <c r="L527" i="42697"/>
  <c r="H45" i="42693"/>
  <c r="M298" i="42697"/>
  <c r="I45" i="42693"/>
  <c r="M30" i="42701"/>
  <c r="F715" i="42697"/>
  <c r="H715" i="42697"/>
  <c r="J715" i="42697"/>
  <c r="L715" i="42697"/>
  <c r="N715" i="42697"/>
  <c r="P715" i="42697"/>
  <c r="F721" i="42697"/>
  <c r="H721" i="42697"/>
  <c r="J721" i="42697"/>
  <c r="L721" i="42697"/>
  <c r="N721" i="42697"/>
  <c r="P721" i="42697"/>
  <c r="R366" i="42692"/>
  <c r="R369" i="42692"/>
  <c r="R371" i="42692"/>
  <c r="G379" i="42692"/>
  <c r="I379" i="42692"/>
  <c r="K379" i="42692"/>
  <c r="M379" i="42692"/>
  <c r="O379" i="42692"/>
  <c r="Q379" i="42692"/>
  <c r="F381" i="42692"/>
  <c r="H381" i="42692"/>
  <c r="J381" i="42692"/>
  <c r="L381" i="42692"/>
  <c r="N381" i="42692"/>
  <c r="P381" i="42692"/>
  <c r="G382" i="42692"/>
  <c r="I382" i="42692"/>
  <c r="K382" i="42692"/>
  <c r="M382" i="42692"/>
  <c r="O382" i="42692"/>
  <c r="Q382" i="42692"/>
  <c r="F383" i="42692"/>
  <c r="H383" i="42692"/>
  <c r="J383" i="42692"/>
  <c r="L383" i="42692"/>
  <c r="N383" i="42692"/>
  <c r="P383" i="42692"/>
  <c r="G384" i="42692"/>
  <c r="I384" i="42692"/>
  <c r="K384" i="42692"/>
  <c r="M384" i="42692"/>
  <c r="O384" i="42692"/>
  <c r="Q384" i="42692"/>
  <c r="F385" i="42692"/>
  <c r="H385" i="42692"/>
  <c r="J385" i="42692"/>
  <c r="L385" i="42692"/>
  <c r="N385" i="42692"/>
  <c r="P385" i="42692"/>
  <c r="R408" i="42692"/>
  <c r="R436" i="42692"/>
  <c r="F455" i="42692"/>
  <c r="H455" i="42692"/>
  <c r="J455" i="42692"/>
  <c r="L455" i="42692"/>
  <c r="N455" i="42692"/>
  <c r="P455" i="42692"/>
  <c r="R473" i="42692"/>
  <c r="R476" i="42692"/>
  <c r="F480" i="42692"/>
  <c r="H480" i="42692"/>
  <c r="H492" i="42692" s="1"/>
  <c r="J480" i="42692"/>
  <c r="J492" i="42692" s="1"/>
  <c r="L480" i="42692"/>
  <c r="L492" i="42692" s="1"/>
  <c r="N480" i="42692"/>
  <c r="N492" i="42692" s="1"/>
  <c r="P480" i="42692"/>
  <c r="P492" i="42692" s="1"/>
  <c r="R509" i="42692"/>
  <c r="R512" i="42692"/>
  <c r="R543" i="42692"/>
  <c r="G552" i="42692"/>
  <c r="I552" i="42692"/>
  <c r="K552" i="42692"/>
  <c r="M552" i="42692"/>
  <c r="O552" i="42692"/>
  <c r="Q552" i="42692"/>
  <c r="F554" i="42692"/>
  <c r="H554" i="42692"/>
  <c r="J554" i="42692"/>
  <c r="L554" i="42692"/>
  <c r="N554" i="42692"/>
  <c r="P554" i="42692"/>
  <c r="R579" i="42692"/>
  <c r="R582" i="42692"/>
  <c r="R584" i="42692"/>
  <c r="R613" i="42692"/>
  <c r="R635" i="42692"/>
  <c r="R638" i="42692"/>
  <c r="R679" i="42692"/>
  <c r="F715" i="42692"/>
  <c r="H715" i="42692"/>
  <c r="J715" i="42692"/>
  <c r="L715" i="42692"/>
  <c r="N715" i="42692"/>
  <c r="P715" i="42692"/>
  <c r="F721" i="42692"/>
  <c r="H721" i="42692"/>
  <c r="J721" i="42692"/>
  <c r="L721" i="42692"/>
  <c r="N721" i="42692"/>
  <c r="P721" i="42692"/>
  <c r="R725" i="42692"/>
  <c r="R728" i="42692"/>
  <c r="R730" i="42692"/>
  <c r="R734" i="42692"/>
  <c r="R772" i="42692"/>
  <c r="F787" i="42697"/>
  <c r="R787" i="42697" s="1"/>
  <c r="R775" i="42697"/>
  <c r="R775" i="42692"/>
  <c r="F789" i="42697"/>
  <c r="R789" i="42697" s="1"/>
  <c r="R777" i="42697"/>
  <c r="R777" i="42692"/>
  <c r="G784" i="42692"/>
  <c r="I784" i="42692"/>
  <c r="K784" i="42692"/>
  <c r="M784" i="42692"/>
  <c r="O784" i="42692"/>
  <c r="Q784" i="42692"/>
  <c r="F786" i="42692"/>
  <c r="H786" i="42692"/>
  <c r="J786" i="42692"/>
  <c r="L786" i="42692"/>
  <c r="N786" i="42692"/>
  <c r="P786" i="42692"/>
  <c r="G787" i="42692"/>
  <c r="I787" i="42692"/>
  <c r="K787" i="42692"/>
  <c r="M787" i="42692"/>
  <c r="O787" i="42692"/>
  <c r="Q787" i="42692"/>
  <c r="F788" i="42692"/>
  <c r="H788" i="42692"/>
  <c r="J788" i="42692"/>
  <c r="L788" i="42692"/>
  <c r="N788" i="42692"/>
  <c r="P788" i="42692"/>
  <c r="G789" i="42692"/>
  <c r="I789" i="42692"/>
  <c r="K789" i="42692"/>
  <c r="M789" i="42692"/>
  <c r="O789" i="42692"/>
  <c r="Q789" i="42692"/>
  <c r="F790" i="42692"/>
  <c r="H790" i="42692"/>
  <c r="J790" i="42692"/>
  <c r="L790" i="42692"/>
  <c r="N790" i="42692"/>
  <c r="P790" i="42692"/>
  <c r="G812" i="42692"/>
  <c r="G827" i="42692" s="1"/>
  <c r="I812" i="42692"/>
  <c r="I827" i="42692" s="1"/>
  <c r="K812" i="42692"/>
  <c r="K827" i="42692" s="1"/>
  <c r="M812" i="42692"/>
  <c r="M827" i="42692" s="1"/>
  <c r="O812" i="42692"/>
  <c r="O827" i="42692" s="1"/>
  <c r="Q812" i="42692"/>
  <c r="Q827" i="42692" s="1"/>
  <c r="F815" i="42692"/>
  <c r="F821" i="42692" s="1"/>
  <c r="F987" i="42692" s="1"/>
  <c r="H815" i="42692"/>
  <c r="H833" i="42692" s="1"/>
  <c r="J815" i="42692"/>
  <c r="J833" i="42692" s="1"/>
  <c r="L815" i="42692"/>
  <c r="L833" i="42692" s="1"/>
  <c r="N815" i="42692"/>
  <c r="N833" i="42692" s="1"/>
  <c r="P815" i="42692"/>
  <c r="P833" i="42692" s="1"/>
  <c r="F888" i="42692"/>
  <c r="F908" i="42692" s="1"/>
  <c r="H888" i="42692"/>
  <c r="H908" i="42692" s="1"/>
  <c r="J888" i="42692"/>
  <c r="J908" i="42692" s="1"/>
  <c r="L888" i="42692"/>
  <c r="L908" i="42692" s="1"/>
  <c r="N888" i="42692"/>
  <c r="N908" i="42692" s="1"/>
  <c r="P888" i="42692"/>
  <c r="P908" i="42692" s="1"/>
  <c r="L16" i="42701"/>
  <c r="O20" i="42699"/>
  <c r="L17" i="42701" s="1"/>
  <c r="B9" i="42693"/>
  <c r="R298" i="42697"/>
  <c r="F180" i="42698" s="1"/>
  <c r="C42" i="42693"/>
  <c r="C45" i="42693" s="1"/>
  <c r="P34" i="42696"/>
  <c r="P42" i="42696"/>
  <c r="P50" i="42696"/>
  <c r="P52" i="42696"/>
  <c r="D58" i="42696"/>
  <c r="F58" i="42696"/>
  <c r="H58" i="42696"/>
  <c r="J58" i="42696"/>
  <c r="L58" i="42696"/>
  <c r="N58" i="42696"/>
  <c r="F19" i="42697"/>
  <c r="H19" i="42697"/>
  <c r="J19" i="42697"/>
  <c r="L19" i="42697"/>
  <c r="N19" i="42697"/>
  <c r="P19" i="42697"/>
  <c r="R37" i="42697"/>
  <c r="R55" i="42697"/>
  <c r="F78" i="42698" s="1"/>
  <c r="I118" i="42697"/>
  <c r="G715" i="42697"/>
  <c r="I715" i="42697"/>
  <c r="K715" i="42697"/>
  <c r="M715" i="42697"/>
  <c r="O715" i="42697"/>
  <c r="Q715" i="42697"/>
  <c r="G721" i="42697"/>
  <c r="I721" i="42697"/>
  <c r="K721" i="42697"/>
  <c r="M721" i="42697"/>
  <c r="O721" i="42697"/>
  <c r="Q721" i="42697"/>
  <c r="R368" i="42697"/>
  <c r="R368" i="42692"/>
  <c r="R370" i="42697"/>
  <c r="R370" i="42692"/>
  <c r="R372" i="42697"/>
  <c r="R372" i="42692"/>
  <c r="F379" i="42692"/>
  <c r="H379" i="42692"/>
  <c r="J379" i="42692"/>
  <c r="L379" i="42692"/>
  <c r="N379" i="42692"/>
  <c r="P379" i="42692"/>
  <c r="G381" i="42692"/>
  <c r="I381" i="42692"/>
  <c r="K381" i="42692"/>
  <c r="M381" i="42692"/>
  <c r="O381" i="42692"/>
  <c r="Q381" i="42692"/>
  <c r="F382" i="42692"/>
  <c r="H382" i="42692"/>
  <c r="J382" i="42692"/>
  <c r="L382" i="42692"/>
  <c r="N382" i="42692"/>
  <c r="P382" i="42692"/>
  <c r="G383" i="42692"/>
  <c r="I383" i="42692"/>
  <c r="K383" i="42692"/>
  <c r="M383" i="42692"/>
  <c r="O383" i="42692"/>
  <c r="Q383" i="42692"/>
  <c r="F384" i="42692"/>
  <c r="H384" i="42692"/>
  <c r="J384" i="42692"/>
  <c r="L384" i="42692"/>
  <c r="N384" i="42692"/>
  <c r="P384" i="42692"/>
  <c r="G385" i="42692"/>
  <c r="I385" i="42692"/>
  <c r="K385" i="42692"/>
  <c r="M385" i="42692"/>
  <c r="O385" i="42692"/>
  <c r="Q385" i="42692"/>
  <c r="R434" i="42692"/>
  <c r="R437" i="42697"/>
  <c r="R437" i="42692"/>
  <c r="R475" i="42697"/>
  <c r="R475" i="42692"/>
  <c r="G480" i="42692"/>
  <c r="G492" i="42692" s="1"/>
  <c r="I480" i="42692"/>
  <c r="I492" i="42692" s="1"/>
  <c r="K480" i="42692"/>
  <c r="K492" i="42692" s="1"/>
  <c r="M480" i="42692"/>
  <c r="M492" i="42692" s="1"/>
  <c r="O480" i="42692"/>
  <c r="O492" i="42692" s="1"/>
  <c r="Q480" i="42692"/>
  <c r="Q492" i="42692" s="1"/>
  <c r="R511" i="42697"/>
  <c r="R511" i="42692"/>
  <c r="R545" i="42697"/>
  <c r="R545" i="42692"/>
  <c r="G554" i="42692"/>
  <c r="I554" i="42692"/>
  <c r="K554" i="42692"/>
  <c r="M554" i="42692"/>
  <c r="O554" i="42692"/>
  <c r="Q554" i="42692"/>
  <c r="R581" i="42697"/>
  <c r="R581" i="42692"/>
  <c r="R583" i="42697"/>
  <c r="R583" i="42692"/>
  <c r="R585" i="42697"/>
  <c r="R585" i="42692"/>
  <c r="R637" i="42697"/>
  <c r="R637" i="42692"/>
  <c r="R681" i="42697"/>
  <c r="R681" i="42692"/>
  <c r="G715" i="42692"/>
  <c r="I715" i="42692"/>
  <c r="K715" i="42692"/>
  <c r="M715" i="42692"/>
  <c r="O715" i="42692"/>
  <c r="Q715" i="42692"/>
  <c r="G721" i="42692"/>
  <c r="I721" i="42692"/>
  <c r="K721" i="42692"/>
  <c r="M721" i="42692"/>
  <c r="O721" i="42692"/>
  <c r="Q721" i="42692"/>
  <c r="R727" i="42697"/>
  <c r="R727" i="42692"/>
  <c r="R729" i="42697"/>
  <c r="R729" i="42692"/>
  <c r="R731" i="42697"/>
  <c r="R731" i="42692"/>
  <c r="R774" i="42697"/>
  <c r="F786" i="42697"/>
  <c r="R774" i="42692"/>
  <c r="R776" i="42697"/>
  <c r="F788" i="42697"/>
  <c r="R788" i="42697" s="1"/>
  <c r="R776" i="42692"/>
  <c r="R778" i="42697"/>
  <c r="F790" i="42697"/>
  <c r="R790" i="42697" s="1"/>
  <c r="R778" i="42692"/>
  <c r="F784" i="42692"/>
  <c r="H784" i="42692"/>
  <c r="J784" i="42692"/>
  <c r="L784" i="42692"/>
  <c r="N784" i="42692"/>
  <c r="P784" i="42692"/>
  <c r="G786" i="42692"/>
  <c r="I786" i="42692"/>
  <c r="K786" i="42692"/>
  <c r="M786" i="42692"/>
  <c r="O786" i="42692"/>
  <c r="Q786" i="42692"/>
  <c r="F787" i="42692"/>
  <c r="H787" i="42692"/>
  <c r="J787" i="42692"/>
  <c r="L787" i="42692"/>
  <c r="N787" i="42692"/>
  <c r="P787" i="42692"/>
  <c r="G788" i="42692"/>
  <c r="I788" i="42692"/>
  <c r="K788" i="42692"/>
  <c r="M788" i="42692"/>
  <c r="O788" i="42692"/>
  <c r="Q788" i="42692"/>
  <c r="F789" i="42692"/>
  <c r="H789" i="42692"/>
  <c r="J789" i="42692"/>
  <c r="L789" i="42692"/>
  <c r="N789" i="42692"/>
  <c r="P789" i="42692"/>
  <c r="G790" i="42692"/>
  <c r="I790" i="42692"/>
  <c r="K790" i="42692"/>
  <c r="M790" i="42692"/>
  <c r="O790" i="42692"/>
  <c r="Q790" i="42692"/>
  <c r="S960" i="42692"/>
  <c r="B45" i="42693"/>
  <c r="D45" i="42693"/>
  <c r="E213" i="42696"/>
  <c r="E224" i="42696" s="1"/>
  <c r="G213" i="42696"/>
  <c r="G224" i="42696" s="1"/>
  <c r="I213" i="42696"/>
  <c r="I224" i="42696" s="1"/>
  <c r="K213" i="42696"/>
  <c r="K224" i="42696" s="1"/>
  <c r="M213" i="42696"/>
  <c r="M224" i="42696" s="1"/>
  <c r="O213" i="42696"/>
  <c r="O224" i="42696" s="1"/>
  <c r="D214" i="42696"/>
  <c r="D224" i="42696" s="1"/>
  <c r="F214" i="42696"/>
  <c r="F224" i="42696" s="1"/>
  <c r="F225" i="42696" s="1"/>
  <c r="H214" i="42696"/>
  <c r="H224" i="42696" s="1"/>
  <c r="J214" i="42696"/>
  <c r="J224" i="42696" s="1"/>
  <c r="J225" i="42696" s="1"/>
  <c r="L214" i="42696"/>
  <c r="L224" i="42696" s="1"/>
  <c r="N214" i="42696"/>
  <c r="N224" i="42696" s="1"/>
  <c r="N225" i="42696" s="1"/>
  <c r="P37" i="42696"/>
  <c r="P215" i="42696"/>
  <c r="P39" i="42696"/>
  <c r="P216" i="42696"/>
  <c r="P41" i="42696"/>
  <c r="P218" i="42696"/>
  <c r="P43" i="42696"/>
  <c r="P220" i="42696"/>
  <c r="N220" i="42696"/>
  <c r="P51" i="42696"/>
  <c r="P221" i="42696"/>
  <c r="P55" i="42696"/>
  <c r="P223" i="42696"/>
  <c r="P57" i="42696"/>
  <c r="E58" i="42696"/>
  <c r="G58" i="42696"/>
  <c r="I58" i="42696"/>
  <c r="K58" i="42696"/>
  <c r="M58" i="42696"/>
  <c r="O58" i="42696"/>
  <c r="G19" i="42697"/>
  <c r="I19" i="42697"/>
  <c r="K19" i="42697"/>
  <c r="M19" i="42697"/>
  <c r="O19" i="42697"/>
  <c r="Q19" i="42697"/>
  <c r="G821" i="42697"/>
  <c r="G987" i="42697" s="1"/>
  <c r="G824" i="42697"/>
  <c r="G836" i="42697" s="1"/>
  <c r="G837" i="42697" s="1"/>
  <c r="I821" i="42697"/>
  <c r="I987" i="42697" s="1"/>
  <c r="I824" i="42697"/>
  <c r="I836" i="42697" s="1"/>
  <c r="I837" i="42697" s="1"/>
  <c r="K821" i="42697"/>
  <c r="K987" i="42697" s="1"/>
  <c r="K824" i="42697"/>
  <c r="K836" i="42697" s="1"/>
  <c r="K837" i="42697" s="1"/>
  <c r="M821" i="42697"/>
  <c r="M987" i="42697" s="1"/>
  <c r="M824" i="42697"/>
  <c r="M836" i="42697" s="1"/>
  <c r="M837" i="42697" s="1"/>
  <c r="O821" i="42697"/>
  <c r="O987" i="42697" s="1"/>
  <c r="O824" i="42697"/>
  <c r="O836" i="42697" s="1"/>
  <c r="O837" i="42697" s="1"/>
  <c r="Q821" i="42697"/>
  <c r="Q987" i="42697" s="1"/>
  <c r="Q824" i="42697"/>
  <c r="Q836" i="42697" s="1"/>
  <c r="Q837" i="42697" s="1"/>
  <c r="R802" i="42697"/>
  <c r="R825" i="42697" s="1"/>
  <c r="F825" i="42697"/>
  <c r="R51" i="42697"/>
  <c r="F74" i="42698" s="1"/>
  <c r="F489" i="42698" s="1"/>
  <c r="F512" i="42698" s="1"/>
  <c r="G908" i="42697"/>
  <c r="G918" i="42697" s="1"/>
  <c r="G919" i="42697" s="1"/>
  <c r="G905" i="42697"/>
  <c r="G990" i="42697" s="1"/>
  <c r="I908" i="42697"/>
  <c r="I918" i="42697" s="1"/>
  <c r="I919" i="42697" s="1"/>
  <c r="I905" i="42697"/>
  <c r="I990" i="42697" s="1"/>
  <c r="K908" i="42697"/>
  <c r="K918" i="42697" s="1"/>
  <c r="K919" i="42697" s="1"/>
  <c r="K905" i="42697"/>
  <c r="K990" i="42697" s="1"/>
  <c r="M908" i="42697"/>
  <c r="M918" i="42697" s="1"/>
  <c r="M919" i="42697" s="1"/>
  <c r="M905" i="42697"/>
  <c r="M990" i="42697" s="1"/>
  <c r="O908" i="42697"/>
  <c r="O918" i="42697" s="1"/>
  <c r="O919" i="42697" s="1"/>
  <c r="O905" i="42697"/>
  <c r="O990" i="42697" s="1"/>
  <c r="Q908" i="42697"/>
  <c r="Q918" i="42697" s="1"/>
  <c r="Q919" i="42697" s="1"/>
  <c r="Q905" i="42697"/>
  <c r="Q990" i="42697" s="1"/>
  <c r="F70" i="42697"/>
  <c r="H70" i="42697"/>
  <c r="H935" i="42697" s="1"/>
  <c r="H970" i="42697" s="1"/>
  <c r="J70" i="42697"/>
  <c r="J935" i="42697" s="1"/>
  <c r="J970" i="42697" s="1"/>
  <c r="L70" i="42697"/>
  <c r="L935" i="42697" s="1"/>
  <c r="L970" i="42697" s="1"/>
  <c r="N70" i="42697"/>
  <c r="N935" i="42697" s="1"/>
  <c r="N970" i="42697" s="1"/>
  <c r="P70" i="42697"/>
  <c r="P935" i="42697" s="1"/>
  <c r="P970" i="42697" s="1"/>
  <c r="G84" i="42697"/>
  <c r="I84" i="42697"/>
  <c r="K84" i="42697"/>
  <c r="M84" i="42697"/>
  <c r="O84" i="42697"/>
  <c r="Q84" i="42697"/>
  <c r="R444" i="42697"/>
  <c r="F447" i="42697"/>
  <c r="H447" i="42697"/>
  <c r="J447" i="42697"/>
  <c r="L447" i="42697"/>
  <c r="N447" i="42697"/>
  <c r="P447" i="42697"/>
  <c r="F454" i="42697"/>
  <c r="R452" i="42697"/>
  <c r="R804" i="42697"/>
  <c r="R827" i="42697" s="1"/>
  <c r="F827" i="42697"/>
  <c r="R106" i="42697"/>
  <c r="F113" i="42697"/>
  <c r="F127" i="42697" s="1"/>
  <c r="H113" i="42697"/>
  <c r="H127" i="42697" s="1"/>
  <c r="J113" i="42697"/>
  <c r="J127" i="42697" s="1"/>
  <c r="L113" i="42697"/>
  <c r="L127" i="42697" s="1"/>
  <c r="N113" i="42697"/>
  <c r="N127" i="42697" s="1"/>
  <c r="P113" i="42697"/>
  <c r="P127" i="42697" s="1"/>
  <c r="G116" i="42697"/>
  <c r="I116" i="42697"/>
  <c r="K116" i="42697"/>
  <c r="M116" i="42697"/>
  <c r="O116" i="42697"/>
  <c r="Q116" i="42697"/>
  <c r="G119" i="42697"/>
  <c r="I119" i="42697"/>
  <c r="K119" i="42697"/>
  <c r="M119" i="42697"/>
  <c r="O119" i="42697"/>
  <c r="Q119" i="42697"/>
  <c r="G124" i="42697"/>
  <c r="I124" i="42697"/>
  <c r="K124" i="42697"/>
  <c r="M124" i="42697"/>
  <c r="O124" i="42697"/>
  <c r="Q124" i="42697"/>
  <c r="F125" i="42697"/>
  <c r="H125" i="42697"/>
  <c r="J125" i="42697"/>
  <c r="L125" i="42697"/>
  <c r="N125" i="42697"/>
  <c r="P125" i="42697"/>
  <c r="R483" i="42697"/>
  <c r="F486" i="42697"/>
  <c r="H486" i="42697"/>
  <c r="J486" i="42697"/>
  <c r="L486" i="42697"/>
  <c r="N486" i="42697"/>
  <c r="P486" i="42697"/>
  <c r="F831" i="42697"/>
  <c r="R805" i="42697"/>
  <c r="R145" i="42697"/>
  <c r="F138" i="42698" s="1"/>
  <c r="F495" i="42698" s="1"/>
  <c r="F152" i="42697"/>
  <c r="H152" i="42697"/>
  <c r="J152" i="42697"/>
  <c r="J164" i="42697" s="1"/>
  <c r="L152" i="42697"/>
  <c r="N152" i="42697"/>
  <c r="N164" i="42697" s="1"/>
  <c r="P152" i="42697"/>
  <c r="G155" i="42697"/>
  <c r="I155" i="42697"/>
  <c r="K155" i="42697"/>
  <c r="M155" i="42697"/>
  <c r="O155" i="42697"/>
  <c r="Q155" i="42697"/>
  <c r="G158" i="42697"/>
  <c r="I158" i="42697"/>
  <c r="K158" i="42697"/>
  <c r="M158" i="42697"/>
  <c r="O158" i="42697"/>
  <c r="Q158" i="42697"/>
  <c r="F163" i="42697"/>
  <c r="H163" i="42697"/>
  <c r="J163" i="42697"/>
  <c r="L163" i="42697"/>
  <c r="N163" i="42697"/>
  <c r="P163" i="42697"/>
  <c r="F164" i="42697"/>
  <c r="F521" i="42697"/>
  <c r="H521" i="42697"/>
  <c r="J521" i="42697"/>
  <c r="L521" i="42697"/>
  <c r="N521" i="42697"/>
  <c r="P521" i="42697"/>
  <c r="F194" i="42697"/>
  <c r="H194" i="42697"/>
  <c r="J194" i="42697"/>
  <c r="L194" i="42697"/>
  <c r="N194" i="42697"/>
  <c r="P194" i="42697"/>
  <c r="H525" i="42697"/>
  <c r="H530" i="42697" s="1"/>
  <c r="R199" i="42697"/>
  <c r="F198" i="42698" s="1"/>
  <c r="F234" i="42697"/>
  <c r="H234" i="42697"/>
  <c r="J234" i="42697"/>
  <c r="L234" i="42697"/>
  <c r="N234" i="42697"/>
  <c r="P234" i="42697"/>
  <c r="F595" i="42697"/>
  <c r="H595" i="42697"/>
  <c r="J595" i="42697"/>
  <c r="L595" i="42697"/>
  <c r="N595" i="42697"/>
  <c r="P595" i="42697"/>
  <c r="F236" i="42697"/>
  <c r="H236" i="42697"/>
  <c r="J236" i="42697"/>
  <c r="L236" i="42697"/>
  <c r="N236" i="42697"/>
  <c r="P236" i="42697"/>
  <c r="F597" i="42697"/>
  <c r="H597" i="42697"/>
  <c r="J597" i="42697"/>
  <c r="L597" i="42697"/>
  <c r="N597" i="42697"/>
  <c r="R552" i="42697"/>
  <c r="F554" i="42697"/>
  <c r="H554" i="42697"/>
  <c r="J554" i="42697"/>
  <c r="L554" i="42697"/>
  <c r="N554" i="42697"/>
  <c r="P554" i="42697"/>
  <c r="F824" i="42697"/>
  <c r="F821" i="42697"/>
  <c r="F987" i="42697" s="1"/>
  <c r="R801" i="42697"/>
  <c r="H824" i="42697"/>
  <c r="H836" i="42697" s="1"/>
  <c r="H821" i="42697"/>
  <c r="H987" i="42697" s="1"/>
  <c r="J824" i="42697"/>
  <c r="J836" i="42697" s="1"/>
  <c r="J821" i="42697"/>
  <c r="J987" i="42697" s="1"/>
  <c r="L824" i="42697"/>
  <c r="L836" i="42697" s="1"/>
  <c r="L821" i="42697"/>
  <c r="L987" i="42697" s="1"/>
  <c r="N824" i="42697"/>
  <c r="N836" i="42697" s="1"/>
  <c r="N821" i="42697"/>
  <c r="N987" i="42697" s="1"/>
  <c r="P824" i="42697"/>
  <c r="P836" i="42697" s="1"/>
  <c r="P821" i="42697"/>
  <c r="P987" i="42697" s="1"/>
  <c r="R33" i="42697"/>
  <c r="F60" i="42698" s="1"/>
  <c r="F488" i="42698" s="1"/>
  <c r="R616" i="42697"/>
  <c r="F340" i="42698" s="1"/>
  <c r="F575" i="42698" s="1"/>
  <c r="F908" i="42697"/>
  <c r="F905" i="42697"/>
  <c r="F990" i="42697" s="1"/>
  <c r="R886" i="42697"/>
  <c r="H908" i="42697"/>
  <c r="H918" i="42697" s="1"/>
  <c r="H919" i="42697" s="1"/>
  <c r="H905" i="42697"/>
  <c r="H990" i="42697" s="1"/>
  <c r="J908" i="42697"/>
  <c r="J918" i="42697" s="1"/>
  <c r="J919" i="42697" s="1"/>
  <c r="J905" i="42697"/>
  <c r="J990" i="42697" s="1"/>
  <c r="L908" i="42697"/>
  <c r="L918" i="42697" s="1"/>
  <c r="L919" i="42697" s="1"/>
  <c r="L905" i="42697"/>
  <c r="L990" i="42697" s="1"/>
  <c r="N908" i="42697"/>
  <c r="N918" i="42697" s="1"/>
  <c r="N919" i="42697" s="1"/>
  <c r="N905" i="42697"/>
  <c r="N990" i="42697" s="1"/>
  <c r="P908" i="42697"/>
  <c r="P918" i="42697" s="1"/>
  <c r="P919" i="42697" s="1"/>
  <c r="P905" i="42697"/>
  <c r="P990" i="42697" s="1"/>
  <c r="R67" i="42697"/>
  <c r="G70" i="42697"/>
  <c r="G935" i="42697" s="1"/>
  <c r="G970" i="42697" s="1"/>
  <c r="I70" i="42697"/>
  <c r="I935" i="42697" s="1"/>
  <c r="I970" i="42697" s="1"/>
  <c r="K70" i="42697"/>
  <c r="K935" i="42697" s="1"/>
  <c r="K970" i="42697" s="1"/>
  <c r="M70" i="42697"/>
  <c r="M935" i="42697" s="1"/>
  <c r="M970" i="42697" s="1"/>
  <c r="O70" i="42697"/>
  <c r="O935" i="42697" s="1"/>
  <c r="O970" i="42697" s="1"/>
  <c r="Q70" i="42697"/>
  <c r="Q935" i="42697" s="1"/>
  <c r="Q970" i="42697" s="1"/>
  <c r="R412" i="42697"/>
  <c r="F826" i="42697"/>
  <c r="R803" i="42697"/>
  <c r="R826" i="42697" s="1"/>
  <c r="R80" i="42697"/>
  <c r="F97" i="42698" s="1"/>
  <c r="F490" i="42698" s="1"/>
  <c r="F84" i="42697"/>
  <c r="H84" i="42697"/>
  <c r="J84" i="42697"/>
  <c r="L84" i="42697"/>
  <c r="N84" i="42697"/>
  <c r="P84" i="42697"/>
  <c r="G447" i="42697"/>
  <c r="I447" i="42697"/>
  <c r="K447" i="42697"/>
  <c r="M447" i="42697"/>
  <c r="O447" i="42697"/>
  <c r="Q447" i="42697"/>
  <c r="F112" i="42698"/>
  <c r="Q428" i="42697"/>
  <c r="Q453" i="42697" s="1"/>
  <c r="R453" i="42697" s="1"/>
  <c r="F909" i="42697"/>
  <c r="R909" i="42697" s="1"/>
  <c r="R889" i="42697"/>
  <c r="R112" i="42697"/>
  <c r="F119" i="42698" s="1"/>
  <c r="F576" i="42698" s="1"/>
  <c r="G113" i="42697"/>
  <c r="G127" i="42697" s="1"/>
  <c r="I113" i="42697"/>
  <c r="I127" i="42697" s="1"/>
  <c r="K113" i="42697"/>
  <c r="K127" i="42697" s="1"/>
  <c r="M113" i="42697"/>
  <c r="M127" i="42697" s="1"/>
  <c r="O113" i="42697"/>
  <c r="O127" i="42697" s="1"/>
  <c r="Q113" i="42697"/>
  <c r="Q127" i="42697" s="1"/>
  <c r="F116" i="42697"/>
  <c r="H116" i="42697"/>
  <c r="J116" i="42697"/>
  <c r="L116" i="42697"/>
  <c r="N116" i="42697"/>
  <c r="P116" i="42697"/>
  <c r="F119" i="42697"/>
  <c r="H119" i="42697"/>
  <c r="J119" i="42697"/>
  <c r="L119" i="42697"/>
  <c r="N119" i="42697"/>
  <c r="P119" i="42697"/>
  <c r="F124" i="42697"/>
  <c r="H124" i="42697"/>
  <c r="H126" i="42697" s="1"/>
  <c r="J124" i="42697"/>
  <c r="L124" i="42697"/>
  <c r="L126" i="42697" s="1"/>
  <c r="N124" i="42697"/>
  <c r="P124" i="42697"/>
  <c r="P126" i="42697" s="1"/>
  <c r="G125" i="42697"/>
  <c r="I125" i="42697"/>
  <c r="K125" i="42697"/>
  <c r="M125" i="42697"/>
  <c r="O125" i="42697"/>
  <c r="Q125" i="42697"/>
  <c r="G486" i="42697"/>
  <c r="I486" i="42697"/>
  <c r="K486" i="42697"/>
  <c r="M486" i="42697"/>
  <c r="O486" i="42697"/>
  <c r="Q486" i="42697"/>
  <c r="G489" i="42697"/>
  <c r="G495" i="42697" s="1"/>
  <c r="I489" i="42697"/>
  <c r="I495" i="42697" s="1"/>
  <c r="K489" i="42697"/>
  <c r="K495" i="42697" s="1"/>
  <c r="M489" i="42697"/>
  <c r="M495" i="42697" s="1"/>
  <c r="O489" i="42697"/>
  <c r="O495" i="42697" s="1"/>
  <c r="Q489" i="42697"/>
  <c r="Q495" i="42697" s="1"/>
  <c r="G490" i="42697"/>
  <c r="I490" i="42697"/>
  <c r="K490" i="42697"/>
  <c r="M490" i="42697"/>
  <c r="O490" i="42697"/>
  <c r="Q490" i="42697"/>
  <c r="G470" i="42697"/>
  <c r="I470" i="42697"/>
  <c r="I164" i="42697"/>
  <c r="K470" i="42697"/>
  <c r="M470" i="42697"/>
  <c r="O470" i="42697"/>
  <c r="Q470" i="42697"/>
  <c r="Q164" i="42697"/>
  <c r="F913" i="42697"/>
  <c r="R913" i="42697" s="1"/>
  <c r="R890" i="42697"/>
  <c r="R151" i="42697"/>
  <c r="F140" i="42698" s="1"/>
  <c r="F580" i="42698" s="1"/>
  <c r="G152" i="42697"/>
  <c r="G164" i="42697" s="1"/>
  <c r="I152" i="42697"/>
  <c r="K152" i="42697"/>
  <c r="K164" i="42697" s="1"/>
  <c r="M152" i="42697"/>
  <c r="M164" i="42697" s="1"/>
  <c r="O152" i="42697"/>
  <c r="O164" i="42697" s="1"/>
  <c r="Q152" i="42697"/>
  <c r="F155" i="42697"/>
  <c r="H155" i="42697"/>
  <c r="J155" i="42697"/>
  <c r="L155" i="42697"/>
  <c r="N155" i="42697"/>
  <c r="P155" i="42697"/>
  <c r="F158" i="42697"/>
  <c r="H158" i="42697"/>
  <c r="J158" i="42697"/>
  <c r="L158" i="42697"/>
  <c r="N158" i="42697"/>
  <c r="P158" i="42697"/>
  <c r="G163" i="42697"/>
  <c r="I163" i="42697"/>
  <c r="K163" i="42697"/>
  <c r="M163" i="42697"/>
  <c r="O163" i="42697"/>
  <c r="Q163" i="42697"/>
  <c r="H164" i="42697"/>
  <c r="L164" i="42697"/>
  <c r="P164" i="42697"/>
  <c r="G499" i="42697"/>
  <c r="G519" i="42697" s="1"/>
  <c r="G191" i="42697"/>
  <c r="I499" i="42697"/>
  <c r="I519" i="42697" s="1"/>
  <c r="I191" i="42697"/>
  <c r="K499" i="42697"/>
  <c r="K519" i="42697" s="1"/>
  <c r="K191" i="42697"/>
  <c r="M499" i="42697"/>
  <c r="M519" i="42697" s="1"/>
  <c r="M191" i="42697"/>
  <c r="O499" i="42697"/>
  <c r="O519" i="42697" s="1"/>
  <c r="O191" i="42697"/>
  <c r="Q499" i="42697"/>
  <c r="Q519" i="42697" s="1"/>
  <c r="Q191" i="42697"/>
  <c r="G501" i="42697"/>
  <c r="G521" i="42697" s="1"/>
  <c r="G193" i="42697"/>
  <c r="I501" i="42697"/>
  <c r="I521" i="42697" s="1"/>
  <c r="I193" i="42697"/>
  <c r="K501" i="42697"/>
  <c r="K521" i="42697" s="1"/>
  <c r="K193" i="42697"/>
  <c r="M501" i="42697"/>
  <c r="M521" i="42697" s="1"/>
  <c r="M193" i="42697"/>
  <c r="O501" i="42697"/>
  <c r="O521" i="42697" s="1"/>
  <c r="O193" i="42697"/>
  <c r="Q501" i="42697"/>
  <c r="Q521" i="42697" s="1"/>
  <c r="Q193" i="42697"/>
  <c r="G502" i="42697"/>
  <c r="G522" i="42697" s="1"/>
  <c r="G194" i="42697"/>
  <c r="I502" i="42697"/>
  <c r="I522" i="42697" s="1"/>
  <c r="I194" i="42697"/>
  <c r="K502" i="42697"/>
  <c r="K522" i="42697" s="1"/>
  <c r="K194" i="42697"/>
  <c r="M502" i="42697"/>
  <c r="M522" i="42697" s="1"/>
  <c r="M194" i="42697"/>
  <c r="O502" i="42697"/>
  <c r="O522" i="42697" s="1"/>
  <c r="O194" i="42697"/>
  <c r="Q502" i="42697"/>
  <c r="Q522" i="42697" s="1"/>
  <c r="Q194" i="42697"/>
  <c r="G503" i="42697"/>
  <c r="I503" i="42697"/>
  <c r="K503" i="42697"/>
  <c r="M503" i="42697"/>
  <c r="O503" i="42697"/>
  <c r="Q503" i="42697"/>
  <c r="G504" i="42697"/>
  <c r="I504" i="42697"/>
  <c r="K504" i="42697"/>
  <c r="M504" i="42697"/>
  <c r="O504" i="42697"/>
  <c r="Q504" i="42697"/>
  <c r="G505" i="42697"/>
  <c r="G526" i="42697" s="1"/>
  <c r="G198" i="42697"/>
  <c r="I505" i="42697"/>
  <c r="I526" i="42697" s="1"/>
  <c r="I198" i="42697"/>
  <c r="K505" i="42697"/>
  <c r="K526" i="42697" s="1"/>
  <c r="K198" i="42697"/>
  <c r="M505" i="42697"/>
  <c r="M526" i="42697" s="1"/>
  <c r="M198" i="42697"/>
  <c r="O505" i="42697"/>
  <c r="O526" i="42697" s="1"/>
  <c r="O198" i="42697"/>
  <c r="Q505" i="42697"/>
  <c r="Q526" i="42697" s="1"/>
  <c r="Q198" i="42697"/>
  <c r="G594" i="42697"/>
  <c r="I594" i="42697"/>
  <c r="K594" i="42697"/>
  <c r="M594" i="42697"/>
  <c r="O594" i="42697"/>
  <c r="Q594" i="42697"/>
  <c r="G595" i="42697"/>
  <c r="I595" i="42697"/>
  <c r="K595" i="42697"/>
  <c r="M595" i="42697"/>
  <c r="O595" i="42697"/>
  <c r="Q595" i="42697"/>
  <c r="G596" i="42697"/>
  <c r="I596" i="42697"/>
  <c r="K596" i="42697"/>
  <c r="M596" i="42697"/>
  <c r="O596" i="42697"/>
  <c r="Q596" i="42697"/>
  <c r="G597" i="42697"/>
  <c r="I597" i="42697"/>
  <c r="K597" i="42697"/>
  <c r="M597" i="42697"/>
  <c r="O597" i="42697"/>
  <c r="R256" i="42697"/>
  <c r="F156" i="42698" s="1"/>
  <c r="F574" i="42698" s="1"/>
  <c r="I446" i="42697"/>
  <c r="R527" i="42697"/>
  <c r="F380" i="42698" s="1"/>
  <c r="G554" i="42697"/>
  <c r="I554" i="42697"/>
  <c r="K554" i="42697"/>
  <c r="M554" i="42697"/>
  <c r="O554" i="42697"/>
  <c r="Q554" i="42697"/>
  <c r="F914" i="42697"/>
  <c r="R914" i="42697" s="1"/>
  <c r="R891" i="42697"/>
  <c r="R187" i="42697"/>
  <c r="F191" i="42698" s="1"/>
  <c r="F581" i="42698" s="1"/>
  <c r="F193" i="42697"/>
  <c r="H193" i="42697"/>
  <c r="J193" i="42697"/>
  <c r="L193" i="42697"/>
  <c r="N193" i="42697"/>
  <c r="P193" i="42697"/>
  <c r="P597" i="42697"/>
  <c r="F598" i="42697"/>
  <c r="H598" i="42697"/>
  <c r="J598" i="42697"/>
  <c r="L598" i="42697"/>
  <c r="N598" i="42697"/>
  <c r="P598" i="42697"/>
  <c r="F834" i="42697"/>
  <c r="R807" i="42697"/>
  <c r="R219" i="42697"/>
  <c r="F262" i="42698" s="1"/>
  <c r="F497" i="42698" s="1"/>
  <c r="F916" i="42697"/>
  <c r="R916" i="42697" s="1"/>
  <c r="R892" i="42697"/>
  <c r="R228" i="42697"/>
  <c r="F264" i="42698" s="1"/>
  <c r="F582" i="42698" s="1"/>
  <c r="G232" i="42697"/>
  <c r="I232" i="42697"/>
  <c r="K232" i="42697"/>
  <c r="M232" i="42697"/>
  <c r="O232" i="42697"/>
  <c r="Q232" i="42697"/>
  <c r="G234" i="42697"/>
  <c r="I234" i="42697"/>
  <c r="K234" i="42697"/>
  <c r="M234" i="42697"/>
  <c r="O234" i="42697"/>
  <c r="Q234" i="42697"/>
  <c r="F235" i="42697"/>
  <c r="H235" i="42697"/>
  <c r="J235" i="42697"/>
  <c r="L235" i="42697"/>
  <c r="N235" i="42697"/>
  <c r="P235" i="42697"/>
  <c r="G236" i="42697"/>
  <c r="I236" i="42697"/>
  <c r="K236" i="42697"/>
  <c r="M236" i="42697"/>
  <c r="O236" i="42697"/>
  <c r="Q236" i="42697"/>
  <c r="F237" i="42697"/>
  <c r="H237" i="42697"/>
  <c r="J237" i="42697"/>
  <c r="L237" i="42697"/>
  <c r="N237" i="42697"/>
  <c r="P237" i="42697"/>
  <c r="G238" i="42697"/>
  <c r="I238" i="42697"/>
  <c r="K238" i="42697"/>
  <c r="M238" i="42697"/>
  <c r="O238" i="42697"/>
  <c r="Q238" i="42697"/>
  <c r="G242" i="42697"/>
  <c r="I242" i="42697"/>
  <c r="K242" i="42697"/>
  <c r="M242" i="42697"/>
  <c r="O242" i="42697"/>
  <c r="Q242" i="42697"/>
  <c r="G647" i="42697"/>
  <c r="I647" i="42697"/>
  <c r="K647" i="42697"/>
  <c r="M647" i="42697"/>
  <c r="O647" i="42697"/>
  <c r="Q647" i="42697"/>
  <c r="G648" i="42697"/>
  <c r="I648" i="42697"/>
  <c r="K648" i="42697"/>
  <c r="M648" i="42697"/>
  <c r="O648" i="42697"/>
  <c r="Q648" i="42697"/>
  <c r="G652" i="42697"/>
  <c r="I652" i="42697"/>
  <c r="K652" i="42697"/>
  <c r="M652" i="42697"/>
  <c r="O652" i="42697"/>
  <c r="Q652" i="42697"/>
  <c r="F910" i="42697"/>
  <c r="R910" i="42697" s="1"/>
  <c r="R893" i="42697"/>
  <c r="R282" i="42697"/>
  <c r="F169" i="42698" s="1"/>
  <c r="F577" i="42698" s="1"/>
  <c r="G286" i="42697"/>
  <c r="I286" i="42697"/>
  <c r="K286" i="42697"/>
  <c r="M286" i="42697"/>
  <c r="O286" i="42697"/>
  <c r="Q286" i="42697"/>
  <c r="F288" i="42697"/>
  <c r="H288" i="42697"/>
  <c r="J288" i="42697"/>
  <c r="L288" i="42697"/>
  <c r="N288" i="42697"/>
  <c r="P288" i="42697"/>
  <c r="G289" i="42697"/>
  <c r="I289" i="42697"/>
  <c r="K289" i="42697"/>
  <c r="M289" i="42697"/>
  <c r="O289" i="42697"/>
  <c r="Q289" i="42697"/>
  <c r="F295" i="42697"/>
  <c r="H295" i="42697"/>
  <c r="J295" i="42697"/>
  <c r="L295" i="42697"/>
  <c r="N295" i="42697"/>
  <c r="P295" i="42697"/>
  <c r="G296" i="42697"/>
  <c r="I296" i="42697"/>
  <c r="K296" i="42697"/>
  <c r="M296" i="42697"/>
  <c r="O296" i="42697"/>
  <c r="Q296" i="42697"/>
  <c r="G690" i="42697"/>
  <c r="I690" i="42697"/>
  <c r="K690" i="42697"/>
  <c r="M690" i="42697"/>
  <c r="O690" i="42697"/>
  <c r="Q690" i="42697"/>
  <c r="F329" i="42697"/>
  <c r="H329" i="42697"/>
  <c r="J329" i="42697"/>
  <c r="L329" i="42697"/>
  <c r="N329" i="42697"/>
  <c r="P329" i="42697"/>
  <c r="G331" i="42697"/>
  <c r="I331" i="42697"/>
  <c r="K331" i="42697"/>
  <c r="M331" i="42697"/>
  <c r="O331" i="42697"/>
  <c r="Q331" i="42697"/>
  <c r="F337" i="42697"/>
  <c r="H337" i="42697"/>
  <c r="J337" i="42697"/>
  <c r="L337" i="42697"/>
  <c r="N337" i="42697"/>
  <c r="P337" i="42697"/>
  <c r="G338" i="42697"/>
  <c r="I338" i="42697"/>
  <c r="K338" i="42697"/>
  <c r="M338" i="42697"/>
  <c r="O338" i="42697"/>
  <c r="Q338" i="42697"/>
  <c r="G740" i="42697"/>
  <c r="I740" i="42697"/>
  <c r="K740" i="42697"/>
  <c r="M740" i="42697"/>
  <c r="O740" i="42697"/>
  <c r="Q740" i="42697"/>
  <c r="G741" i="42697"/>
  <c r="I741" i="42697"/>
  <c r="K741" i="42697"/>
  <c r="M741" i="42697"/>
  <c r="O741" i="42697"/>
  <c r="Q741" i="42697"/>
  <c r="G742" i="42697"/>
  <c r="I742" i="42697"/>
  <c r="K742" i="42697"/>
  <c r="M742" i="42697"/>
  <c r="O742" i="42697"/>
  <c r="Q742" i="42697"/>
  <c r="G743" i="42697"/>
  <c r="I743" i="42697"/>
  <c r="K743" i="42697"/>
  <c r="M743" i="42697"/>
  <c r="O743" i="42697"/>
  <c r="Q743" i="42697"/>
  <c r="G744" i="42697"/>
  <c r="I744" i="42697"/>
  <c r="K744" i="42697"/>
  <c r="M744" i="42697"/>
  <c r="O744" i="42697"/>
  <c r="Q744" i="42697"/>
  <c r="F379" i="42697"/>
  <c r="H379" i="42697"/>
  <c r="J379" i="42697"/>
  <c r="L379" i="42697"/>
  <c r="N379" i="42697"/>
  <c r="P379" i="42697"/>
  <c r="G381" i="42697"/>
  <c r="I381" i="42697"/>
  <c r="K381" i="42697"/>
  <c r="M381" i="42697"/>
  <c r="O381" i="42697"/>
  <c r="Q381" i="42697"/>
  <c r="F382" i="42697"/>
  <c r="H382" i="42697"/>
  <c r="J382" i="42697"/>
  <c r="L382" i="42697"/>
  <c r="N382" i="42697"/>
  <c r="P382" i="42697"/>
  <c r="G383" i="42697"/>
  <c r="I383" i="42697"/>
  <c r="K383" i="42697"/>
  <c r="M383" i="42697"/>
  <c r="O383" i="42697"/>
  <c r="Q383" i="42697"/>
  <c r="F384" i="42697"/>
  <c r="H384" i="42697"/>
  <c r="J384" i="42697"/>
  <c r="L384" i="42697"/>
  <c r="N384" i="42697"/>
  <c r="P384" i="42697"/>
  <c r="G385" i="42697"/>
  <c r="I385" i="42697"/>
  <c r="K385" i="42697"/>
  <c r="M385" i="42697"/>
  <c r="O385" i="42697"/>
  <c r="Q385" i="42697"/>
  <c r="F391" i="42697"/>
  <c r="H391" i="42697"/>
  <c r="J391" i="42697"/>
  <c r="L391" i="42697"/>
  <c r="N391" i="42697"/>
  <c r="P391" i="42697"/>
  <c r="G392" i="42697"/>
  <c r="I392" i="42697"/>
  <c r="K392" i="42697"/>
  <c r="M392" i="42697"/>
  <c r="O392" i="42697"/>
  <c r="Q392" i="42697"/>
  <c r="R434" i="42697"/>
  <c r="F441" i="42697"/>
  <c r="F455" i="42697" s="1"/>
  <c r="H441" i="42697"/>
  <c r="H455" i="42697" s="1"/>
  <c r="J441" i="42697"/>
  <c r="J455" i="42697" s="1"/>
  <c r="L441" i="42697"/>
  <c r="L455" i="42697" s="1"/>
  <c r="N441" i="42697"/>
  <c r="N455" i="42697" s="1"/>
  <c r="P441" i="42697"/>
  <c r="P455" i="42697" s="1"/>
  <c r="R473" i="42697"/>
  <c r="F480" i="42697"/>
  <c r="H480" i="42697"/>
  <c r="H492" i="42697" s="1"/>
  <c r="J480" i="42697"/>
  <c r="J492" i="42697" s="1"/>
  <c r="L480" i="42697"/>
  <c r="L492" i="42697" s="1"/>
  <c r="N480" i="42697"/>
  <c r="N492" i="42697" s="1"/>
  <c r="P480" i="42697"/>
  <c r="P492" i="42697" s="1"/>
  <c r="F499" i="42697"/>
  <c r="F519" i="42697" s="1"/>
  <c r="H499" i="42697"/>
  <c r="H519" i="42697" s="1"/>
  <c r="J499" i="42697"/>
  <c r="J519" i="42697" s="1"/>
  <c r="L499" i="42697"/>
  <c r="L519" i="42697" s="1"/>
  <c r="N499" i="42697"/>
  <c r="N519" i="42697" s="1"/>
  <c r="P499" i="42697"/>
  <c r="P519" i="42697" s="1"/>
  <c r="F502" i="42697"/>
  <c r="F522" i="42697" s="1"/>
  <c r="H502" i="42697"/>
  <c r="H522" i="42697" s="1"/>
  <c r="J502" i="42697"/>
  <c r="J522" i="42697" s="1"/>
  <c r="L502" i="42697"/>
  <c r="L522" i="42697" s="1"/>
  <c r="N502" i="42697"/>
  <c r="N522" i="42697" s="1"/>
  <c r="P502" i="42697"/>
  <c r="P522" i="42697" s="1"/>
  <c r="F505" i="42697"/>
  <c r="F526" i="42697" s="1"/>
  <c r="H505" i="42697"/>
  <c r="H526" i="42697" s="1"/>
  <c r="J505" i="42697"/>
  <c r="J526" i="42697" s="1"/>
  <c r="L505" i="42697"/>
  <c r="L526" i="42697" s="1"/>
  <c r="N505" i="42697"/>
  <c r="N526" i="42697" s="1"/>
  <c r="P505" i="42697"/>
  <c r="P526" i="42697" s="1"/>
  <c r="R509" i="42697"/>
  <c r="R543" i="42697"/>
  <c r="F915" i="42697"/>
  <c r="R915" i="42697" s="1"/>
  <c r="R899" i="42697"/>
  <c r="R548" i="42697"/>
  <c r="F416" i="42698" s="1"/>
  <c r="F589" i="42698" s="1"/>
  <c r="F602" i="42698" s="1"/>
  <c r="F558" i="42697"/>
  <c r="H558" i="42697"/>
  <c r="J558" i="42697"/>
  <c r="L558" i="42697"/>
  <c r="N558" i="42697"/>
  <c r="P558" i="42697"/>
  <c r="F566" i="42697"/>
  <c r="F592" i="42697" s="1"/>
  <c r="H566" i="42697"/>
  <c r="H592" i="42697" s="1"/>
  <c r="J566" i="42697"/>
  <c r="J592" i="42697" s="1"/>
  <c r="L566" i="42697"/>
  <c r="L592" i="42697" s="1"/>
  <c r="N566" i="42697"/>
  <c r="N592" i="42697" s="1"/>
  <c r="P566" i="42697"/>
  <c r="P592" i="42697" s="1"/>
  <c r="F568" i="42697"/>
  <c r="F594" i="42697" s="1"/>
  <c r="H568" i="42697"/>
  <c r="H594" i="42697" s="1"/>
  <c r="J568" i="42697"/>
  <c r="J594" i="42697" s="1"/>
  <c r="L568" i="42697"/>
  <c r="L594" i="42697" s="1"/>
  <c r="N568" i="42697"/>
  <c r="N594" i="42697" s="1"/>
  <c r="P568" i="42697"/>
  <c r="P594" i="42697" s="1"/>
  <c r="F570" i="42697"/>
  <c r="F596" i="42697" s="1"/>
  <c r="H570" i="42697"/>
  <c r="H596" i="42697" s="1"/>
  <c r="J570" i="42697"/>
  <c r="J596" i="42697" s="1"/>
  <c r="L570" i="42697"/>
  <c r="L596" i="42697" s="1"/>
  <c r="N570" i="42697"/>
  <c r="N596" i="42697" s="1"/>
  <c r="P570" i="42697"/>
  <c r="P596" i="42697" s="1"/>
  <c r="F832" i="42697"/>
  <c r="R806" i="42697"/>
  <c r="R181" i="42697"/>
  <c r="F189" i="42698" s="1"/>
  <c r="F496" i="42698" s="1"/>
  <c r="Q597" i="42697"/>
  <c r="G598" i="42697"/>
  <c r="I598" i="42697"/>
  <c r="K598" i="42697"/>
  <c r="M598" i="42697"/>
  <c r="O598" i="42697"/>
  <c r="Q598" i="42697"/>
  <c r="G235" i="42697"/>
  <c r="I235" i="42697"/>
  <c r="K235" i="42697"/>
  <c r="M235" i="42697"/>
  <c r="O235" i="42697"/>
  <c r="Q235" i="42697"/>
  <c r="G237" i="42697"/>
  <c r="I237" i="42697"/>
  <c r="K237" i="42697"/>
  <c r="M237" i="42697"/>
  <c r="O237" i="42697"/>
  <c r="Q237" i="42697"/>
  <c r="F238" i="42697"/>
  <c r="H238" i="42697"/>
  <c r="J238" i="42697"/>
  <c r="L238" i="42697"/>
  <c r="N238" i="42697"/>
  <c r="P238" i="42697"/>
  <c r="F242" i="42697"/>
  <c r="H242" i="42697"/>
  <c r="J242" i="42697"/>
  <c r="L242" i="42697"/>
  <c r="N242" i="42697"/>
  <c r="P242" i="42697"/>
  <c r="R887" i="42697"/>
  <c r="S887" i="42697" s="1"/>
  <c r="R253" i="42697"/>
  <c r="R645" i="42697"/>
  <c r="F647" i="42697"/>
  <c r="H647" i="42697"/>
  <c r="J647" i="42697"/>
  <c r="L647" i="42697"/>
  <c r="N647" i="42697"/>
  <c r="P647" i="42697"/>
  <c r="F648" i="42697"/>
  <c r="H648" i="42697"/>
  <c r="J648" i="42697"/>
  <c r="L648" i="42697"/>
  <c r="N648" i="42697"/>
  <c r="P648" i="42697"/>
  <c r="F656" i="42697"/>
  <c r="R654" i="42697"/>
  <c r="R655" i="42697"/>
  <c r="F828" i="42697"/>
  <c r="R808" i="42697"/>
  <c r="R828" i="42697" s="1"/>
  <c r="R276" i="42697"/>
  <c r="F167" i="42698" s="1"/>
  <c r="F492" i="42698" s="1"/>
  <c r="F286" i="42697"/>
  <c r="H286" i="42697"/>
  <c r="J286" i="42697"/>
  <c r="L286" i="42697"/>
  <c r="N286" i="42697"/>
  <c r="P286" i="42697"/>
  <c r="G288" i="42697"/>
  <c r="I288" i="42697"/>
  <c r="K288" i="42697"/>
  <c r="M288" i="42697"/>
  <c r="O288" i="42697"/>
  <c r="Q288" i="42697"/>
  <c r="F289" i="42697"/>
  <c r="H289" i="42697"/>
  <c r="J289" i="42697"/>
  <c r="L289" i="42697"/>
  <c r="N289" i="42697"/>
  <c r="P289" i="42697"/>
  <c r="G295" i="42697"/>
  <c r="G297" i="42697" s="1"/>
  <c r="I295" i="42697"/>
  <c r="K295" i="42697"/>
  <c r="K297" i="42697" s="1"/>
  <c r="M295" i="42697"/>
  <c r="O295" i="42697"/>
  <c r="O297" i="42697" s="1"/>
  <c r="Q295" i="42697"/>
  <c r="F296" i="42697"/>
  <c r="H296" i="42697"/>
  <c r="J296" i="42697"/>
  <c r="L296" i="42697"/>
  <c r="N296" i="42697"/>
  <c r="P296" i="42697"/>
  <c r="R688" i="42697"/>
  <c r="F690" i="42697"/>
  <c r="H690" i="42697"/>
  <c r="J690" i="42697"/>
  <c r="L690" i="42697"/>
  <c r="N690" i="42697"/>
  <c r="P690" i="42697"/>
  <c r="F698" i="42697"/>
  <c r="R696" i="42697"/>
  <c r="R697" i="42697"/>
  <c r="F404" i="42698" s="1"/>
  <c r="F829" i="42697"/>
  <c r="R809" i="42697"/>
  <c r="R829" i="42697" s="1"/>
  <c r="R320" i="42697"/>
  <c r="F212" i="42698" s="1"/>
  <c r="F493" i="42698" s="1"/>
  <c r="F911" i="42697"/>
  <c r="R911" i="42697" s="1"/>
  <c r="R894" i="42697"/>
  <c r="R325" i="42697"/>
  <c r="F214" i="42698" s="1"/>
  <c r="F578" i="42698" s="1"/>
  <c r="G329" i="42697"/>
  <c r="I329" i="42697"/>
  <c r="K329" i="42697"/>
  <c r="M329" i="42697"/>
  <c r="O329" i="42697"/>
  <c r="Q329" i="42697"/>
  <c r="F331" i="42697"/>
  <c r="H331" i="42697"/>
  <c r="J331" i="42697"/>
  <c r="L331" i="42697"/>
  <c r="N331" i="42697"/>
  <c r="P331" i="42697"/>
  <c r="G337" i="42697"/>
  <c r="G339" i="42697" s="1"/>
  <c r="I337" i="42697"/>
  <c r="K337" i="42697"/>
  <c r="K339" i="42697" s="1"/>
  <c r="M337" i="42697"/>
  <c r="O337" i="42697"/>
  <c r="O339" i="42697" s="1"/>
  <c r="Q337" i="42697"/>
  <c r="F338" i="42697"/>
  <c r="H338" i="42697"/>
  <c r="J338" i="42697"/>
  <c r="L338" i="42697"/>
  <c r="N338" i="42697"/>
  <c r="P338" i="42697"/>
  <c r="R738" i="42697"/>
  <c r="F740" i="42697"/>
  <c r="H740" i="42697"/>
  <c r="J740" i="42697"/>
  <c r="L740" i="42697"/>
  <c r="N740" i="42697"/>
  <c r="P740" i="42697"/>
  <c r="F741" i="42697"/>
  <c r="H741" i="42697"/>
  <c r="J741" i="42697"/>
  <c r="L741" i="42697"/>
  <c r="N741" i="42697"/>
  <c r="P741" i="42697"/>
  <c r="F742" i="42697"/>
  <c r="H742" i="42697"/>
  <c r="J742" i="42697"/>
  <c r="L742" i="42697"/>
  <c r="N742" i="42697"/>
  <c r="P742" i="42697"/>
  <c r="F743" i="42697"/>
  <c r="H743" i="42697"/>
  <c r="J743" i="42697"/>
  <c r="L743" i="42697"/>
  <c r="N743" i="42697"/>
  <c r="P743" i="42697"/>
  <c r="F744" i="42697"/>
  <c r="H744" i="42697"/>
  <c r="J744" i="42697"/>
  <c r="L744" i="42697"/>
  <c r="N744" i="42697"/>
  <c r="P744" i="42697"/>
  <c r="F752" i="42697"/>
  <c r="R750" i="42697"/>
  <c r="R751" i="42697"/>
  <c r="F830" i="42697"/>
  <c r="R810" i="42697"/>
  <c r="R830" i="42697" s="1"/>
  <c r="R366" i="42697"/>
  <c r="F240" i="42698" s="1"/>
  <c r="F494" i="42698" s="1"/>
  <c r="F517" i="42698" s="1"/>
  <c r="F912" i="42697"/>
  <c r="R912" i="42697" s="1"/>
  <c r="R895" i="42697"/>
  <c r="R375" i="42697"/>
  <c r="F242" i="42698" s="1"/>
  <c r="F579" i="42698" s="1"/>
  <c r="G379" i="42697"/>
  <c r="I379" i="42697"/>
  <c r="K379" i="42697"/>
  <c r="M379" i="42697"/>
  <c r="O379" i="42697"/>
  <c r="Q379" i="42697"/>
  <c r="F381" i="42697"/>
  <c r="H381" i="42697"/>
  <c r="J381" i="42697"/>
  <c r="L381" i="42697"/>
  <c r="N381" i="42697"/>
  <c r="P381" i="42697"/>
  <c r="G382" i="42697"/>
  <c r="I382" i="42697"/>
  <c r="K382" i="42697"/>
  <c r="M382" i="42697"/>
  <c r="O382" i="42697"/>
  <c r="Q382" i="42697"/>
  <c r="F383" i="42697"/>
  <c r="H383" i="42697"/>
  <c r="J383" i="42697"/>
  <c r="L383" i="42697"/>
  <c r="N383" i="42697"/>
  <c r="P383" i="42697"/>
  <c r="G384" i="42697"/>
  <c r="I384" i="42697"/>
  <c r="K384" i="42697"/>
  <c r="M384" i="42697"/>
  <c r="O384" i="42697"/>
  <c r="Q384" i="42697"/>
  <c r="F385" i="42697"/>
  <c r="H385" i="42697"/>
  <c r="J385" i="42697"/>
  <c r="L385" i="42697"/>
  <c r="N385" i="42697"/>
  <c r="P385" i="42697"/>
  <c r="G391" i="42697"/>
  <c r="G393" i="42697" s="1"/>
  <c r="I391" i="42697"/>
  <c r="K391" i="42697"/>
  <c r="K393" i="42697" s="1"/>
  <c r="M391" i="42697"/>
  <c r="O391" i="42697"/>
  <c r="O393" i="42697" s="1"/>
  <c r="Q391" i="42697"/>
  <c r="F392" i="42697"/>
  <c r="H392" i="42697"/>
  <c r="J392" i="42697"/>
  <c r="L392" i="42697"/>
  <c r="N392" i="42697"/>
  <c r="P392" i="42697"/>
  <c r="R408" i="42697"/>
  <c r="F283" i="42698" s="1"/>
  <c r="F498" i="42698" s="1"/>
  <c r="R440" i="42697"/>
  <c r="F304" i="42698" s="1"/>
  <c r="F583" i="42698" s="1"/>
  <c r="G441" i="42697"/>
  <c r="G455" i="42697" s="1"/>
  <c r="I441" i="42697"/>
  <c r="I455" i="42697" s="1"/>
  <c r="K441" i="42697"/>
  <c r="K455" i="42697" s="1"/>
  <c r="M441" i="42697"/>
  <c r="M455" i="42697" s="1"/>
  <c r="O441" i="42697"/>
  <c r="O455" i="42697" s="1"/>
  <c r="Q441" i="42697"/>
  <c r="Q455" i="42697" s="1"/>
  <c r="R897" i="42697"/>
  <c r="R479" i="42697"/>
  <c r="F324" i="42698" s="1"/>
  <c r="F587" i="42698" s="1"/>
  <c r="G480" i="42697"/>
  <c r="I480" i="42697"/>
  <c r="K480" i="42697"/>
  <c r="M480" i="42697"/>
  <c r="O480" i="42697"/>
  <c r="Q480" i="42697"/>
  <c r="R898" i="42697"/>
  <c r="R515" i="42697"/>
  <c r="F373" i="42698" s="1"/>
  <c r="F588" i="42698" s="1"/>
  <c r="G558" i="42697"/>
  <c r="I558" i="42697"/>
  <c r="K558" i="42697"/>
  <c r="M558" i="42697"/>
  <c r="O558" i="42697"/>
  <c r="Q558" i="42697"/>
  <c r="R635" i="42697"/>
  <c r="F350" i="42698" s="1"/>
  <c r="F500" i="42698" s="1"/>
  <c r="R679" i="42697"/>
  <c r="F393" i="42698" s="1"/>
  <c r="F501" i="42698" s="1"/>
  <c r="R684" i="42697"/>
  <c r="F395" i="42698" s="1"/>
  <c r="F585" i="42698" s="1"/>
  <c r="R725" i="42697"/>
  <c r="F436" i="42698" s="1"/>
  <c r="F502" i="42698" s="1"/>
  <c r="S903" i="42697"/>
  <c r="R734" i="42697"/>
  <c r="F438" i="42698" s="1"/>
  <c r="F586" i="42698" s="1"/>
  <c r="R784" i="42697"/>
  <c r="R820" i="42697"/>
  <c r="R835" i="42697" s="1"/>
  <c r="F835" i="42697"/>
  <c r="R579" i="42697"/>
  <c r="R900" i="42697"/>
  <c r="R588" i="42697"/>
  <c r="F459" i="42698" s="1"/>
  <c r="F590" i="42698" s="1"/>
  <c r="R888" i="42697"/>
  <c r="R613" i="42697"/>
  <c r="R641" i="42697"/>
  <c r="F352" i="42698" s="1"/>
  <c r="F584" i="42698" s="1"/>
  <c r="R772" i="42697"/>
  <c r="F473" i="42698" s="1"/>
  <c r="F507" i="42698" s="1"/>
  <c r="F522" i="42698" s="1"/>
  <c r="F917" i="42697"/>
  <c r="R917" i="42697" s="1"/>
  <c r="R904" i="42697"/>
  <c r="R781" i="42697"/>
  <c r="F475" i="42698" s="1"/>
  <c r="F591" i="42698" s="1"/>
  <c r="F604" i="42698" s="1"/>
  <c r="S952" i="42697"/>
  <c r="F38" i="42698"/>
  <c r="F56" i="42698"/>
  <c r="F111" i="42698"/>
  <c r="F280" i="42698"/>
  <c r="F93" i="42698"/>
  <c r="F161" i="42698"/>
  <c r="F206" i="42698"/>
  <c r="F234" i="42698"/>
  <c r="E12" i="42701"/>
  <c r="E23" i="42701" s="1"/>
  <c r="E26" i="42699"/>
  <c r="H31" i="42699"/>
  <c r="H47" i="42699" s="1"/>
  <c r="H46" i="42699"/>
  <c r="J26" i="42699"/>
  <c r="G13" i="42701"/>
  <c r="M13" i="42701"/>
  <c r="P26" i="42699"/>
  <c r="P31" i="42699" s="1"/>
  <c r="G12" i="42701"/>
  <c r="G26" i="42699"/>
  <c r="G14" i="42701"/>
  <c r="M14" i="42701"/>
  <c r="G16" i="42701"/>
  <c r="G20" i="42701"/>
  <c r="D46" i="42699"/>
  <c r="D11" i="42702"/>
  <c r="D23" i="42701"/>
  <c r="L23" i="42701"/>
  <c r="L28" i="42701" s="1"/>
  <c r="G17" i="42701"/>
  <c r="G22" i="42701"/>
  <c r="M23" i="42701"/>
  <c r="M28" i="42701" s="1"/>
  <c r="D27" i="42701"/>
  <c r="D22" i="42702"/>
  <c r="R648" i="42697" l="1"/>
  <c r="R198" i="42697"/>
  <c r="F197" i="42698" s="1"/>
  <c r="O126" i="42697"/>
  <c r="K126" i="42697"/>
  <c r="G126" i="42697"/>
  <c r="R552" i="42692"/>
  <c r="P935" i="42692"/>
  <c r="P970" i="42692" s="1"/>
  <c r="L935" i="42692"/>
  <c r="L970" i="42692" s="1"/>
  <c r="H935" i="42692"/>
  <c r="H970" i="42692" s="1"/>
  <c r="K821" i="42692"/>
  <c r="K987" i="42692" s="1"/>
  <c r="R163" i="42690"/>
  <c r="R812" i="42690"/>
  <c r="R466" i="42689"/>
  <c r="R307" i="42689"/>
  <c r="R253" i="42689"/>
  <c r="R209" i="42689"/>
  <c r="O847" i="42689"/>
  <c r="K847" i="42689"/>
  <c r="G847" i="42689"/>
  <c r="M415" i="42691"/>
  <c r="Q90" i="42687"/>
  <c r="M90" i="42687"/>
  <c r="I90" i="42687"/>
  <c r="R76" i="42686"/>
  <c r="R89" i="42686" s="1"/>
  <c r="Q935" i="42692"/>
  <c r="Q970" i="42692" s="1"/>
  <c r="I935" i="42692"/>
  <c r="I970" i="42692" s="1"/>
  <c r="R790" i="42691"/>
  <c r="Q935" i="42691"/>
  <c r="Q970" i="42691" s="1"/>
  <c r="I935" i="42691"/>
  <c r="I970" i="42691" s="1"/>
  <c r="G935" i="42690"/>
  <c r="G970" i="42690" s="1"/>
  <c r="R198" i="42690"/>
  <c r="P393" i="42697"/>
  <c r="L393" i="42697"/>
  <c r="H393" i="42697"/>
  <c r="P339" i="42697"/>
  <c r="L339" i="42697"/>
  <c r="H339" i="42697"/>
  <c r="P297" i="42697"/>
  <c r="L297" i="42697"/>
  <c r="H297" i="42697"/>
  <c r="F597" i="42698"/>
  <c r="O26" i="42699"/>
  <c r="O31" i="42699" s="1"/>
  <c r="O821" i="42692"/>
  <c r="O987" i="42692" s="1"/>
  <c r="G821" i="42692"/>
  <c r="G987" i="42692" s="1"/>
  <c r="R242" i="42690"/>
  <c r="N698" i="42691"/>
  <c r="J698" i="42691"/>
  <c r="N656" i="42691"/>
  <c r="J656" i="42691"/>
  <c r="R194" i="42691"/>
  <c r="R656" i="42690"/>
  <c r="N456" i="42690"/>
  <c r="J456" i="42690"/>
  <c r="R804" i="42689"/>
  <c r="R174" i="42689"/>
  <c r="Q847" i="42689"/>
  <c r="M847" i="42689"/>
  <c r="I847" i="42689"/>
  <c r="Q91" i="42683"/>
  <c r="Q89" i="42683"/>
  <c r="Q87" i="42683"/>
  <c r="Q415" i="42691"/>
  <c r="I415" i="42691"/>
  <c r="M935" i="42692"/>
  <c r="M970" i="42692" s="1"/>
  <c r="R788" i="42691"/>
  <c r="M935" i="42691"/>
  <c r="M970" i="42691" s="1"/>
  <c r="D26" i="42720"/>
  <c r="R908" i="42692"/>
  <c r="G23" i="42701"/>
  <c r="F387" i="42698"/>
  <c r="R392" i="42697"/>
  <c r="F446" i="42698"/>
  <c r="R752" i="42697"/>
  <c r="R338" i="42697"/>
  <c r="F516" i="42698"/>
  <c r="F398" i="42698"/>
  <c r="R289" i="42697"/>
  <c r="R647" i="42697"/>
  <c r="F355" i="42698"/>
  <c r="F371" i="42698"/>
  <c r="F504" i="42698" s="1"/>
  <c r="R814" i="42697"/>
  <c r="R832" i="42697" s="1"/>
  <c r="R526" i="42697"/>
  <c r="F379" i="42698" s="1"/>
  <c r="R519" i="42697"/>
  <c r="R480" i="42697"/>
  <c r="R237" i="42697"/>
  <c r="R235" i="42697"/>
  <c r="R598" i="42697"/>
  <c r="F601" i="42698"/>
  <c r="J446" i="42697"/>
  <c r="R158" i="42697"/>
  <c r="R155" i="42697"/>
  <c r="F596" i="42698"/>
  <c r="F297" i="42698"/>
  <c r="F312" i="42698" s="1"/>
  <c r="F127" i="42698"/>
  <c r="F162" i="42698"/>
  <c r="F513" i="42698"/>
  <c r="R824" i="42697"/>
  <c r="F836" i="42697"/>
  <c r="F837" i="42697" s="1"/>
  <c r="R232" i="42697"/>
  <c r="R194" i="42697"/>
  <c r="R521" i="42697"/>
  <c r="R164" i="42697"/>
  <c r="F148" i="42698" s="1"/>
  <c r="R163" i="42697"/>
  <c r="F147" i="42698" s="1"/>
  <c r="R152" i="42697"/>
  <c r="F328" i="42698"/>
  <c r="R125" i="42697"/>
  <c r="F117" i="42698"/>
  <c r="F491" i="42698" s="1"/>
  <c r="R113" i="42697"/>
  <c r="F311" i="42698"/>
  <c r="F313" i="42698" s="1"/>
  <c r="R454" i="42697"/>
  <c r="F307" i="42698"/>
  <c r="F935" i="42697"/>
  <c r="R70" i="42697"/>
  <c r="F88" i="42698" s="1"/>
  <c r="Q930" i="42697"/>
  <c r="Q21" i="42697"/>
  <c r="M930" i="42697"/>
  <c r="M21" i="42697"/>
  <c r="I930" i="42697"/>
  <c r="I21" i="42697"/>
  <c r="O225" i="42696"/>
  <c r="K225" i="42696"/>
  <c r="G225" i="42696"/>
  <c r="R789" i="42692"/>
  <c r="R787" i="42692"/>
  <c r="R784" i="42692"/>
  <c r="J118" i="42697"/>
  <c r="F64" i="42698"/>
  <c r="P930" i="42697"/>
  <c r="P21" i="42697"/>
  <c r="L930" i="42697"/>
  <c r="L21" i="42697"/>
  <c r="H930" i="42697"/>
  <c r="H21" i="42697"/>
  <c r="P58" i="42696"/>
  <c r="L225" i="42696"/>
  <c r="H225" i="42696"/>
  <c r="D225" i="42696"/>
  <c r="R480" i="42692"/>
  <c r="R455" i="42692"/>
  <c r="O698" i="42692"/>
  <c r="K698" i="42692"/>
  <c r="G698" i="42692"/>
  <c r="O656" i="42692"/>
  <c r="K656" i="42692"/>
  <c r="G656" i="42692"/>
  <c r="Q454" i="42692"/>
  <c r="M454" i="42692"/>
  <c r="I454" i="42692"/>
  <c r="R329" i="42692"/>
  <c r="O675" i="42697"/>
  <c r="K675" i="42697"/>
  <c r="G675" i="42697"/>
  <c r="O669" i="42697"/>
  <c r="M669" i="42697"/>
  <c r="K669" i="42697"/>
  <c r="I669" i="42697"/>
  <c r="G669" i="42697"/>
  <c r="R288" i="42692"/>
  <c r="Q631" i="42697"/>
  <c r="O631" i="42697"/>
  <c r="M631" i="42697"/>
  <c r="K631" i="42697"/>
  <c r="I631" i="42697"/>
  <c r="G631" i="42697"/>
  <c r="Q625" i="42697"/>
  <c r="Q651" i="42697" s="1"/>
  <c r="Q658" i="42697" s="1"/>
  <c r="O625" i="42697"/>
  <c r="O651" i="42697" s="1"/>
  <c r="O658" i="42697" s="1"/>
  <c r="M625" i="42697"/>
  <c r="M651" i="42697" s="1"/>
  <c r="M658" i="42697" s="1"/>
  <c r="K625" i="42697"/>
  <c r="K651" i="42697" s="1"/>
  <c r="K658" i="42697" s="1"/>
  <c r="I625" i="42697"/>
  <c r="I651" i="42697" s="1"/>
  <c r="I658" i="42697" s="1"/>
  <c r="G625" i="42697"/>
  <c r="G651" i="42697" s="1"/>
  <c r="G658" i="42697" s="1"/>
  <c r="R256" i="42692"/>
  <c r="R237" i="42692"/>
  <c r="R235" i="42692"/>
  <c r="R194" i="42692"/>
  <c r="R191" i="42692"/>
  <c r="R127" i="42692"/>
  <c r="R113" i="42692"/>
  <c r="Q821" i="42692"/>
  <c r="Q987" i="42692" s="1"/>
  <c r="M821" i="42692"/>
  <c r="M987" i="42692" s="1"/>
  <c r="I821" i="42692"/>
  <c r="I987" i="42692" s="1"/>
  <c r="F947" i="42692"/>
  <c r="P698" i="42692"/>
  <c r="L698" i="42692"/>
  <c r="H698" i="42692"/>
  <c r="P656" i="42692"/>
  <c r="L656" i="42692"/>
  <c r="H656" i="42692"/>
  <c r="R526" i="42692"/>
  <c r="R812" i="42692"/>
  <c r="R453" i="42692"/>
  <c r="N454" i="42692"/>
  <c r="J454" i="42692"/>
  <c r="F454" i="42692"/>
  <c r="R452" i="42692"/>
  <c r="R454" i="42692" s="1"/>
  <c r="R331" i="42692"/>
  <c r="P675" i="42697"/>
  <c r="L675" i="42697"/>
  <c r="H675" i="42697"/>
  <c r="P669" i="42697"/>
  <c r="L669" i="42697"/>
  <c r="H669" i="42697"/>
  <c r="R238" i="42692"/>
  <c r="R236" i="42692"/>
  <c r="R234" i="42692"/>
  <c r="R232" i="42692"/>
  <c r="R193" i="42692"/>
  <c r="R158" i="42692"/>
  <c r="R116" i="42692"/>
  <c r="Q425" i="42697"/>
  <c r="O425" i="42697"/>
  <c r="M425" i="42697"/>
  <c r="K425" i="42697"/>
  <c r="I425" i="42697"/>
  <c r="G425" i="42697"/>
  <c r="R84" i="42692"/>
  <c r="P836" i="42692"/>
  <c r="N836" i="42692"/>
  <c r="L836" i="42692"/>
  <c r="J836" i="42692"/>
  <c r="H836" i="42692"/>
  <c r="H926" i="42692"/>
  <c r="I926" i="42691"/>
  <c r="F835" i="42691"/>
  <c r="R820" i="42691"/>
  <c r="R835" i="42691" s="1"/>
  <c r="R391" i="42691"/>
  <c r="R384" i="42691"/>
  <c r="R382" i="42691"/>
  <c r="R379" i="42691"/>
  <c r="O698" i="42691"/>
  <c r="K698" i="42691"/>
  <c r="G698" i="42691"/>
  <c r="R288" i="42691"/>
  <c r="O656" i="42691"/>
  <c r="K656" i="42691"/>
  <c r="G656" i="42691"/>
  <c r="R256" i="42691"/>
  <c r="R127" i="42691"/>
  <c r="R113" i="42691"/>
  <c r="R827" i="42691"/>
  <c r="P935" i="42691"/>
  <c r="P970" i="42691" s="1"/>
  <c r="L935" i="42691"/>
  <c r="L970" i="42691" s="1"/>
  <c r="H935" i="42691"/>
  <c r="H970" i="42691" s="1"/>
  <c r="Q908" i="42691"/>
  <c r="M908" i="42691"/>
  <c r="I908" i="42691"/>
  <c r="R784" i="42690"/>
  <c r="R256" i="42690"/>
  <c r="F126" i="42690"/>
  <c r="R124" i="42690"/>
  <c r="R55" i="42690"/>
  <c r="F904" i="42691"/>
  <c r="R781" i="42691"/>
  <c r="N793" i="42691"/>
  <c r="J793" i="42691"/>
  <c r="F793" i="42691"/>
  <c r="R888" i="42691"/>
  <c r="R526" i="42691"/>
  <c r="R522" i="42691"/>
  <c r="R519" i="42691"/>
  <c r="R480" i="42691"/>
  <c r="R491" i="42691"/>
  <c r="R455" i="42691"/>
  <c r="R385" i="42691"/>
  <c r="R383" i="42691"/>
  <c r="R381" i="42691"/>
  <c r="F829" i="42691"/>
  <c r="F698" i="42691"/>
  <c r="R696" i="42691"/>
  <c r="R289" i="42691"/>
  <c r="R286" i="42691"/>
  <c r="F656" i="42691"/>
  <c r="R654" i="42691"/>
  <c r="R193" i="42691"/>
  <c r="R158" i="42691"/>
  <c r="R84" i="42691"/>
  <c r="R821" i="42691"/>
  <c r="R987" i="42691" s="1"/>
  <c r="R824" i="42691"/>
  <c r="F917" i="42690"/>
  <c r="R917" i="42690" s="1"/>
  <c r="R904" i="42690"/>
  <c r="F916" i="42690"/>
  <c r="R916" i="42690" s="1"/>
  <c r="R892" i="42690"/>
  <c r="N905" i="42690"/>
  <c r="N990" i="42690" s="1"/>
  <c r="N908" i="42690"/>
  <c r="N918" i="42690" s="1"/>
  <c r="J905" i="42690"/>
  <c r="J990" i="42690" s="1"/>
  <c r="J908" i="42690"/>
  <c r="J918" i="42690" s="1"/>
  <c r="F905" i="42690"/>
  <c r="F990" i="42690" s="1"/>
  <c r="F908" i="42690"/>
  <c r="R886" i="42690"/>
  <c r="F833" i="42690"/>
  <c r="R815" i="42690"/>
  <c r="R833" i="42690" s="1"/>
  <c r="F829" i="42690"/>
  <c r="R809" i="42690"/>
  <c r="R829" i="42690" s="1"/>
  <c r="F831" i="42690"/>
  <c r="R805" i="42690"/>
  <c r="R831" i="42690" s="1"/>
  <c r="O827" i="42690"/>
  <c r="K827" i="42690"/>
  <c r="G827" i="42690"/>
  <c r="R558" i="42690"/>
  <c r="R480" i="42690"/>
  <c r="R338" i="42690"/>
  <c r="R286" i="42690"/>
  <c r="F164" i="42690"/>
  <c r="R164" i="42690" s="1"/>
  <c r="R152" i="42690"/>
  <c r="R198" i="42691"/>
  <c r="N930" i="42691"/>
  <c r="J930" i="42691"/>
  <c r="F930" i="42691"/>
  <c r="R912" i="42690"/>
  <c r="R910" i="42690"/>
  <c r="R808" i="42690"/>
  <c r="R828" i="42690" s="1"/>
  <c r="R889" i="42690"/>
  <c r="R804" i="42690"/>
  <c r="R827" i="42690" s="1"/>
  <c r="F456" i="42690"/>
  <c r="F935" i="42690"/>
  <c r="P821" i="42690"/>
  <c r="P987" i="42690" s="1"/>
  <c r="N821" i="42690"/>
  <c r="N987" i="42690" s="1"/>
  <c r="L821" i="42690"/>
  <c r="L987" i="42690" s="1"/>
  <c r="J821" i="42690"/>
  <c r="J987" i="42690" s="1"/>
  <c r="H821" i="42690"/>
  <c r="H987" i="42690" s="1"/>
  <c r="R824" i="42690"/>
  <c r="F947" i="42690"/>
  <c r="R699" i="42692"/>
  <c r="R603" i="42692"/>
  <c r="R559" i="42691"/>
  <c r="Q558" i="42692"/>
  <c r="Q899" i="42692"/>
  <c r="Q915" i="42692" s="1"/>
  <c r="M558" i="42692"/>
  <c r="M899" i="42692"/>
  <c r="M915" i="42692" s="1"/>
  <c r="I558" i="42692"/>
  <c r="I899" i="42692"/>
  <c r="I915" i="42692" s="1"/>
  <c r="R527" i="42692"/>
  <c r="F898" i="42691"/>
  <c r="R898" i="42691" s="1"/>
  <c r="R515" i="42691"/>
  <c r="R908" i="42689"/>
  <c r="F897" i="42692"/>
  <c r="R897" i="42692" s="1"/>
  <c r="R479" i="42692"/>
  <c r="O870" i="42689"/>
  <c r="O501" i="42689"/>
  <c r="O488" i="42689"/>
  <c r="K870" i="42689"/>
  <c r="K501" i="42689"/>
  <c r="K488" i="42689"/>
  <c r="G870" i="42689"/>
  <c r="G501" i="42689"/>
  <c r="G488" i="42689"/>
  <c r="N860" i="42689"/>
  <c r="N461" i="42689"/>
  <c r="N467" i="42689" s="1"/>
  <c r="N449" i="42689"/>
  <c r="J860" i="42689"/>
  <c r="J461" i="42689"/>
  <c r="J467" i="42689" s="1"/>
  <c r="J449" i="42689"/>
  <c r="F860" i="42689"/>
  <c r="F461" i="42689"/>
  <c r="F449" i="42689"/>
  <c r="F404" i="42689"/>
  <c r="R402" i="42689"/>
  <c r="R390" i="42689"/>
  <c r="Q895" i="42691"/>
  <c r="Q912" i="42691" s="1"/>
  <c r="Q392" i="42691"/>
  <c r="O392" i="42692"/>
  <c r="O895" i="42692"/>
  <c r="O912" i="42692" s="1"/>
  <c r="O391" i="42692"/>
  <c r="O393" i="42692" s="1"/>
  <c r="M895" i="42691"/>
  <c r="M912" i="42691" s="1"/>
  <c r="M392" i="42691"/>
  <c r="K392" i="42692"/>
  <c r="K895" i="42692"/>
  <c r="K912" i="42692" s="1"/>
  <c r="K391" i="42692"/>
  <c r="K393" i="42692" s="1"/>
  <c r="I895" i="42691"/>
  <c r="I912" i="42691" s="1"/>
  <c r="I392" i="42691"/>
  <c r="G392" i="42692"/>
  <c r="G895" i="42692"/>
  <c r="G912" i="42692" s="1"/>
  <c r="G391" i="42692"/>
  <c r="G393" i="42692" s="1"/>
  <c r="F350" i="42689"/>
  <c r="R348" i="42689"/>
  <c r="R340" i="42689"/>
  <c r="Q894" i="42691"/>
  <c r="Q911" i="42691" s="1"/>
  <c r="Q338" i="42691"/>
  <c r="Q337" i="42691"/>
  <c r="Q339" i="42691" s="1"/>
  <c r="O922" i="42689"/>
  <c r="O894" i="42692"/>
  <c r="O911" i="42692" s="1"/>
  <c r="O338" i="42692"/>
  <c r="O337" i="42692"/>
  <c r="O339" i="42692" s="1"/>
  <c r="M894" i="42691"/>
  <c r="M911" i="42691" s="1"/>
  <c r="M338" i="42691"/>
  <c r="M337" i="42691"/>
  <c r="K922" i="42689"/>
  <c r="K894" i="42692"/>
  <c r="K911" i="42692" s="1"/>
  <c r="K338" i="42692"/>
  <c r="K337" i="42692"/>
  <c r="I894" i="42691"/>
  <c r="I911" i="42691" s="1"/>
  <c r="I338" i="42691"/>
  <c r="I337" i="42691"/>
  <c r="I339" i="42691" s="1"/>
  <c r="G922" i="42689"/>
  <c r="G894" i="42692"/>
  <c r="G911" i="42692" s="1"/>
  <c r="G338" i="42692"/>
  <c r="G337" i="42692"/>
  <c r="G339" i="42692" s="1"/>
  <c r="F308" i="42689"/>
  <c r="R306" i="42689"/>
  <c r="R308" i="42689" s="1"/>
  <c r="P893" i="42692"/>
  <c r="P910" i="42692" s="1"/>
  <c r="P295" i="42692"/>
  <c r="P297" i="42692" s="1"/>
  <c r="P296" i="42692"/>
  <c r="N893" i="42691"/>
  <c r="N910" i="42691" s="1"/>
  <c r="N296" i="42691"/>
  <c r="N297" i="42691" s="1"/>
  <c r="L893" i="42692"/>
  <c r="L910" i="42692" s="1"/>
  <c r="L295" i="42692"/>
  <c r="L296" i="42692"/>
  <c r="J893" i="42691"/>
  <c r="J910" i="42691" s="1"/>
  <c r="J296" i="42691"/>
  <c r="J297" i="42691" s="1"/>
  <c r="H893" i="42692"/>
  <c r="H910" i="42692" s="1"/>
  <c r="H295" i="42692"/>
  <c r="H297" i="42692" s="1"/>
  <c r="H296" i="42692"/>
  <c r="F893" i="42691"/>
  <c r="R282" i="42691"/>
  <c r="F296" i="42691"/>
  <c r="R243" i="42692"/>
  <c r="P892" i="42692"/>
  <c r="P916" i="42692" s="1"/>
  <c r="P242" i="42692"/>
  <c r="L892" i="42692"/>
  <c r="L916" i="42692" s="1"/>
  <c r="L242" i="42692"/>
  <c r="H892" i="42692"/>
  <c r="H916" i="42692" s="1"/>
  <c r="H242" i="42692"/>
  <c r="F892" i="42691"/>
  <c r="R228" i="42691"/>
  <c r="R199" i="42692"/>
  <c r="P925" i="42689"/>
  <c r="P891" i="42692"/>
  <c r="P914" i="42692" s="1"/>
  <c r="P198" i="42692"/>
  <c r="N914" i="42691"/>
  <c r="L925" i="42689"/>
  <c r="L891" i="42692"/>
  <c r="L914" i="42692" s="1"/>
  <c r="L198" i="42692"/>
  <c r="J914" i="42691"/>
  <c r="H925" i="42689"/>
  <c r="H891" i="42692"/>
  <c r="H914" i="42692" s="1"/>
  <c r="H198" i="42692"/>
  <c r="F891" i="42691"/>
  <c r="R187" i="42691"/>
  <c r="R166" i="42689"/>
  <c r="P913" i="42691"/>
  <c r="P890" i="42692"/>
  <c r="P913" i="42692" s="1"/>
  <c r="P163" i="42692"/>
  <c r="N924" i="42689"/>
  <c r="L913" i="42691"/>
  <c r="L890" i="42692"/>
  <c r="L913" i="42692" s="1"/>
  <c r="L163" i="42692"/>
  <c r="J924" i="42689"/>
  <c r="H913" i="42691"/>
  <c r="H890" i="42692"/>
  <c r="H913" i="42692" s="1"/>
  <c r="H163" i="42692"/>
  <c r="R901" i="42689"/>
  <c r="F924" i="42689"/>
  <c r="R124" i="42689"/>
  <c r="F138" i="42689"/>
  <c r="R138" i="42689" s="1"/>
  <c r="Q889" i="42691"/>
  <c r="Q909" i="42691" s="1"/>
  <c r="Q125" i="42691"/>
  <c r="O920" i="42689"/>
  <c r="O889" i="42692"/>
  <c r="O124" i="42692"/>
  <c r="O125" i="42692"/>
  <c r="M889" i="42691"/>
  <c r="M909" i="42691" s="1"/>
  <c r="M125" i="42691"/>
  <c r="K920" i="42689"/>
  <c r="K889" i="42692"/>
  <c r="K124" i="42692"/>
  <c r="K125" i="42692"/>
  <c r="I889" i="42691"/>
  <c r="I909" i="42691" s="1"/>
  <c r="I125" i="42691"/>
  <c r="G920" i="42689"/>
  <c r="G889" i="42692"/>
  <c r="G124" i="42692"/>
  <c r="G125" i="42692"/>
  <c r="J29" i="42696"/>
  <c r="L780" i="42690"/>
  <c r="L791" i="42689"/>
  <c r="F29" i="42696"/>
  <c r="H780" i="42690"/>
  <c r="H791" i="42689"/>
  <c r="O28" i="42696"/>
  <c r="O173" i="42696" s="1"/>
  <c r="Q587" i="42697" s="1"/>
  <c r="Q587" i="42690"/>
  <c r="Q598" i="42689"/>
  <c r="K28" i="42696"/>
  <c r="K173" i="42696" s="1"/>
  <c r="M587" i="42697" s="1"/>
  <c r="M587" i="42690"/>
  <c r="M598" i="42689"/>
  <c r="G28" i="42696"/>
  <c r="G173" i="42696" s="1"/>
  <c r="I587" i="42697" s="1"/>
  <c r="I587" i="42690"/>
  <c r="I598" i="42689"/>
  <c r="N21" i="42696"/>
  <c r="N169" i="42696" s="1"/>
  <c r="P733" i="42697" s="1"/>
  <c r="P757" i="42697" s="1"/>
  <c r="P733" i="42690"/>
  <c r="P744" i="42689"/>
  <c r="J21" i="42696"/>
  <c r="J169" i="42696" s="1"/>
  <c r="L733" i="42697" s="1"/>
  <c r="L733" i="42690"/>
  <c r="L744" i="42689"/>
  <c r="F21" i="42696"/>
  <c r="F169" i="42696" s="1"/>
  <c r="H733" i="42697" s="1"/>
  <c r="H757" i="42697" s="1"/>
  <c r="H733" i="42690"/>
  <c r="H744" i="42689"/>
  <c r="O27" i="42696"/>
  <c r="Q547" i="42690"/>
  <c r="Q558" i="42689"/>
  <c r="K27" i="42696"/>
  <c r="M547" i="42690"/>
  <c r="M558" i="42689"/>
  <c r="G27" i="42696"/>
  <c r="I547" i="42690"/>
  <c r="I558" i="42689"/>
  <c r="N20" i="42696"/>
  <c r="N168" i="42696" s="1"/>
  <c r="P683" i="42697" s="1"/>
  <c r="P683" i="42690"/>
  <c r="P694" i="42689"/>
  <c r="J20" i="42696"/>
  <c r="J168" i="42696" s="1"/>
  <c r="L683" i="42697" s="1"/>
  <c r="L683" i="42690"/>
  <c r="L694" i="42689"/>
  <c r="F20" i="42696"/>
  <c r="F168" i="42696" s="1"/>
  <c r="H683" i="42697" s="1"/>
  <c r="H683" i="42690"/>
  <c r="H694" i="42689"/>
  <c r="O26" i="42696"/>
  <c r="O171" i="42696" s="1"/>
  <c r="Q514" i="42697" s="1"/>
  <c r="Q514" i="42690"/>
  <c r="Q525" i="42689"/>
  <c r="K26" i="42696"/>
  <c r="K171" i="42696" s="1"/>
  <c r="M514" i="42697" s="1"/>
  <c r="M514" i="42690"/>
  <c r="M525" i="42689"/>
  <c r="G26" i="42696"/>
  <c r="G171" i="42696" s="1"/>
  <c r="I514" i="42697" s="1"/>
  <c r="I514" i="42690"/>
  <c r="I525" i="42689"/>
  <c r="N19" i="42696"/>
  <c r="N167" i="42696" s="1"/>
  <c r="P640" i="42697" s="1"/>
  <c r="P640" i="42690"/>
  <c r="P651" i="42689"/>
  <c r="J19" i="42696"/>
  <c r="J167" i="42696" s="1"/>
  <c r="L640" i="42697" s="1"/>
  <c r="L640" i="42690"/>
  <c r="L651" i="42689"/>
  <c r="F19" i="42696"/>
  <c r="F167" i="42696" s="1"/>
  <c r="H640" i="42697" s="1"/>
  <c r="H640" i="42690"/>
  <c r="H651" i="42689"/>
  <c r="N25" i="42696"/>
  <c r="N170" i="42696" s="1"/>
  <c r="P478" i="42697" s="1"/>
  <c r="P478" i="42690"/>
  <c r="P489" i="42689"/>
  <c r="J25" i="42696"/>
  <c r="J170" i="42696" s="1"/>
  <c r="L478" i="42697" s="1"/>
  <c r="L478" i="42690"/>
  <c r="L489" i="42689"/>
  <c r="F25" i="42696"/>
  <c r="F170" i="42696" s="1"/>
  <c r="H478" i="42697" s="1"/>
  <c r="H478" i="42690"/>
  <c r="H489" i="42689"/>
  <c r="O18" i="42696"/>
  <c r="Q439" i="42690"/>
  <c r="Q450" i="42689"/>
  <c r="K18" i="42696"/>
  <c r="M439" i="42690"/>
  <c r="M450" i="42689"/>
  <c r="G18" i="42696"/>
  <c r="I439" i="42690"/>
  <c r="I450" i="42689"/>
  <c r="N17" i="42696"/>
  <c r="P409" i="42690"/>
  <c r="P420" i="42689"/>
  <c r="J17" i="42696"/>
  <c r="L409" i="42690"/>
  <c r="L420" i="42689"/>
  <c r="F17" i="42696"/>
  <c r="H409" i="42690"/>
  <c r="H420" i="42689"/>
  <c r="K24" i="42696"/>
  <c r="M227" i="42690"/>
  <c r="M238" i="42689"/>
  <c r="G24" i="42696"/>
  <c r="I227" i="42690"/>
  <c r="I238" i="42689"/>
  <c r="N16" i="42696"/>
  <c r="P374" i="42690"/>
  <c r="P385" i="42689"/>
  <c r="J16" i="42696"/>
  <c r="L374" i="42690"/>
  <c r="L385" i="42689"/>
  <c r="F16" i="42696"/>
  <c r="H374" i="42690"/>
  <c r="H385" i="42689"/>
  <c r="O15" i="42696"/>
  <c r="Q324" i="42690"/>
  <c r="Q335" i="42689"/>
  <c r="K15" i="42696"/>
  <c r="M324" i="42690"/>
  <c r="M335" i="42689"/>
  <c r="G15" i="42696"/>
  <c r="I324" i="42690"/>
  <c r="I335" i="42689"/>
  <c r="N23" i="42696"/>
  <c r="P186" i="42690"/>
  <c r="P197" i="42689"/>
  <c r="J23" i="42696"/>
  <c r="L186" i="42690"/>
  <c r="L197" i="42689"/>
  <c r="F23" i="42696"/>
  <c r="H186" i="42690"/>
  <c r="H197" i="42689"/>
  <c r="O14" i="42696"/>
  <c r="Q281" i="42690"/>
  <c r="Q292" i="42689"/>
  <c r="K14" i="42696"/>
  <c r="M281" i="42690"/>
  <c r="M292" i="42689"/>
  <c r="G14" i="42696"/>
  <c r="I281" i="42690"/>
  <c r="I292" i="42689"/>
  <c r="N22" i="42696"/>
  <c r="P150" i="42690"/>
  <c r="P161" i="42689"/>
  <c r="J22" i="42696"/>
  <c r="L150" i="42690"/>
  <c r="L161" i="42689"/>
  <c r="F22" i="42696"/>
  <c r="H150" i="42690"/>
  <c r="H161" i="42689"/>
  <c r="O13" i="42696"/>
  <c r="Q111" i="42690"/>
  <c r="Q122" i="42689"/>
  <c r="K13" i="42696"/>
  <c r="M111" i="42690"/>
  <c r="M122" i="42689"/>
  <c r="G13" i="42696"/>
  <c r="I111" i="42690"/>
  <c r="I122" i="42689"/>
  <c r="N12" i="42696"/>
  <c r="P81" i="42690"/>
  <c r="P92" i="42689"/>
  <c r="J12" i="42696"/>
  <c r="L81" i="42690"/>
  <c r="L92" i="42689"/>
  <c r="F12" i="42696"/>
  <c r="H81" i="42690"/>
  <c r="H92" i="42689"/>
  <c r="L11" i="42696"/>
  <c r="L164" i="42696" s="1"/>
  <c r="N52" i="42690"/>
  <c r="N63" i="42689"/>
  <c r="H11" i="42696"/>
  <c r="H164" i="42696" s="1"/>
  <c r="J52" i="42690"/>
  <c r="J63" i="42689"/>
  <c r="D11" i="42696"/>
  <c r="F52" i="42690"/>
  <c r="Q59" i="42683"/>
  <c r="F63" i="42689"/>
  <c r="L61" i="42696"/>
  <c r="L92" i="42696" s="1"/>
  <c r="L104" i="42696" s="1"/>
  <c r="H61" i="42696"/>
  <c r="H92" i="42696" s="1"/>
  <c r="H104" i="42696" s="1"/>
  <c r="D10" i="42696"/>
  <c r="Q57" i="42683"/>
  <c r="N62" i="42683"/>
  <c r="J62" i="42683"/>
  <c r="F62" i="42683"/>
  <c r="M101" i="42683"/>
  <c r="I101" i="42683"/>
  <c r="E101" i="42683"/>
  <c r="Q55" i="42683"/>
  <c r="R997" i="42689"/>
  <c r="R986" i="42697"/>
  <c r="Q798" i="42691"/>
  <c r="Q23" i="42691"/>
  <c r="Q20" i="42691"/>
  <c r="Q947" i="42691" s="1"/>
  <c r="Q16" i="42691"/>
  <c r="Q840" i="42691" s="1"/>
  <c r="O163" i="42696"/>
  <c r="O19" i="42690"/>
  <c r="O798" i="42690"/>
  <c r="O23" i="42690"/>
  <c r="O20" i="42690"/>
  <c r="O947" i="42690" s="1"/>
  <c r="O16" i="42690"/>
  <c r="O840" i="42690" s="1"/>
  <c r="O798" i="42692"/>
  <c r="O19" i="42692"/>
  <c r="O23" i="42692"/>
  <c r="O20" i="42692"/>
  <c r="O947" i="42692" s="1"/>
  <c r="O16" i="42692"/>
  <c r="O840" i="42692" s="1"/>
  <c r="O798" i="42697"/>
  <c r="O16" i="42697"/>
  <c r="O840" i="42697" s="1"/>
  <c r="M798" i="42691"/>
  <c r="M23" i="42691"/>
  <c r="M20" i="42691"/>
  <c r="M947" i="42691" s="1"/>
  <c r="M16" i="42691"/>
  <c r="M840" i="42691" s="1"/>
  <c r="K163" i="42696"/>
  <c r="K19" i="42690"/>
  <c r="K798" i="42690"/>
  <c r="K23" i="42690"/>
  <c r="K20" i="42690"/>
  <c r="K947" i="42690" s="1"/>
  <c r="K16" i="42690"/>
  <c r="K840" i="42690" s="1"/>
  <c r="K798" i="42692"/>
  <c r="K19" i="42692"/>
  <c r="K23" i="42692"/>
  <c r="K20" i="42692"/>
  <c r="K947" i="42692" s="1"/>
  <c r="K16" i="42692"/>
  <c r="K840" i="42692" s="1"/>
  <c r="K798" i="42697"/>
  <c r="K16" i="42697"/>
  <c r="K840" i="42697" s="1"/>
  <c r="I798" i="42691"/>
  <c r="I23" i="42691"/>
  <c r="I20" i="42691"/>
  <c r="I947" i="42691" s="1"/>
  <c r="I16" i="42691"/>
  <c r="I840" i="42691" s="1"/>
  <c r="G163" i="42696"/>
  <c r="G19" i="42690"/>
  <c r="G798" i="42690"/>
  <c r="G23" i="42690"/>
  <c r="G20" i="42690"/>
  <c r="G947" i="42690" s="1"/>
  <c r="G16" i="42690"/>
  <c r="G840" i="42690" s="1"/>
  <c r="G798" i="42692"/>
  <c r="G19" i="42692"/>
  <c r="G23" i="42692"/>
  <c r="G20" i="42692"/>
  <c r="G947" i="42692" s="1"/>
  <c r="G16" i="42692"/>
  <c r="G840" i="42692" s="1"/>
  <c r="G798" i="42697"/>
  <c r="G16" i="42697"/>
  <c r="G840" i="42697" s="1"/>
  <c r="G639" i="42690"/>
  <c r="G649" i="42690" s="1"/>
  <c r="G650" i="42690" s="1"/>
  <c r="G850" i="42690"/>
  <c r="Q859" i="42690"/>
  <c r="Q490" i="42690"/>
  <c r="Q477" i="42690"/>
  <c r="Q487" i="42690" s="1"/>
  <c r="Q488" i="42690" s="1"/>
  <c r="O859" i="42690"/>
  <c r="O490" i="42690"/>
  <c r="O477" i="42690"/>
  <c r="O487" i="42690" s="1"/>
  <c r="O488" i="42690" s="1"/>
  <c r="M859" i="42690"/>
  <c r="M490" i="42690"/>
  <c r="M477" i="42690"/>
  <c r="M487" i="42690" s="1"/>
  <c r="M488" i="42690" s="1"/>
  <c r="I859" i="42690"/>
  <c r="I490" i="42690"/>
  <c r="I477" i="42690"/>
  <c r="I487" i="42690" s="1"/>
  <c r="I488" i="42690" s="1"/>
  <c r="N64" i="42696"/>
  <c r="N100" i="42696" s="1"/>
  <c r="N112" i="42696" s="1"/>
  <c r="N125" i="42696" s="1"/>
  <c r="J64" i="42696"/>
  <c r="J100" i="42696" s="1"/>
  <c r="J112" i="42696" s="1"/>
  <c r="J125" i="42696" s="1"/>
  <c r="F64" i="42696"/>
  <c r="F100" i="42696" s="1"/>
  <c r="F112" i="42696" s="1"/>
  <c r="F125" i="42696" s="1"/>
  <c r="O71" i="42696"/>
  <c r="O99" i="42696" s="1"/>
  <c r="O111" i="42696" s="1"/>
  <c r="O124" i="42696" s="1"/>
  <c r="K71" i="42696"/>
  <c r="K99" i="42696" s="1"/>
  <c r="K111" i="42696" s="1"/>
  <c r="K124" i="42696" s="1"/>
  <c r="G71" i="42696"/>
  <c r="G99" i="42696" s="1"/>
  <c r="G111" i="42696" s="1"/>
  <c r="G124" i="42696" s="1"/>
  <c r="L24" i="42696"/>
  <c r="N227" i="42690"/>
  <c r="N238" i="42689"/>
  <c r="D24" i="42696"/>
  <c r="F227" i="42690"/>
  <c r="Q78" i="42683"/>
  <c r="F238" i="42689"/>
  <c r="I16" i="42696"/>
  <c r="K374" i="42690"/>
  <c r="K385" i="42689"/>
  <c r="N15" i="42696"/>
  <c r="P324" i="42690"/>
  <c r="P335" i="42689"/>
  <c r="F15" i="42696"/>
  <c r="H324" i="42690"/>
  <c r="H335" i="42689"/>
  <c r="K23" i="42696"/>
  <c r="M186" i="42690"/>
  <c r="M197" i="42689"/>
  <c r="L14" i="42696"/>
  <c r="N281" i="42690"/>
  <c r="N292" i="42689"/>
  <c r="D14" i="42696"/>
  <c r="F281" i="42690"/>
  <c r="Q74" i="42683"/>
  <c r="F292" i="42689"/>
  <c r="K22" i="42696"/>
  <c r="M150" i="42690"/>
  <c r="M161" i="42689"/>
  <c r="L13" i="42696"/>
  <c r="N111" i="42690"/>
  <c r="N122" i="42689"/>
  <c r="D13" i="42696"/>
  <c r="F111" i="42690"/>
  <c r="F122" i="42689"/>
  <c r="Q70" i="42683"/>
  <c r="E12" i="42700" s="1"/>
  <c r="K12" i="42696"/>
  <c r="M81" i="42690"/>
  <c r="M92" i="42689"/>
  <c r="O11" i="42696"/>
  <c r="O164" i="42696" s="1"/>
  <c r="Q52" i="42690"/>
  <c r="Q63" i="42689"/>
  <c r="G11" i="42696"/>
  <c r="G164" i="42696" s="1"/>
  <c r="I52" i="42690"/>
  <c r="I63" i="42689"/>
  <c r="M61" i="42696"/>
  <c r="M92" i="42696" s="1"/>
  <c r="M104" i="42696" s="1"/>
  <c r="E61" i="42696"/>
  <c r="E92" i="42696" s="1"/>
  <c r="E104" i="42696" s="1"/>
  <c r="K62" i="42683"/>
  <c r="P101" i="42683"/>
  <c r="H101" i="42683"/>
  <c r="R989" i="42690"/>
  <c r="N798" i="42691"/>
  <c r="N23" i="42691"/>
  <c r="N20" i="42691"/>
  <c r="N947" i="42691" s="1"/>
  <c r="N16" i="42691"/>
  <c r="N840" i="42691" s="1"/>
  <c r="L163" i="42696"/>
  <c r="J798" i="42690"/>
  <c r="J23" i="42690"/>
  <c r="J16" i="42690"/>
  <c r="J840" i="42690" s="1"/>
  <c r="J19" i="42690"/>
  <c r="J798" i="42692"/>
  <c r="J16" i="42692"/>
  <c r="J840" i="42692" s="1"/>
  <c r="J19" i="42692"/>
  <c r="J798" i="42697"/>
  <c r="J16" i="42697"/>
  <c r="J840" i="42697" s="1"/>
  <c r="F798" i="42691"/>
  <c r="F23" i="42691"/>
  <c r="F20" i="42691"/>
  <c r="F21" i="42691" s="1"/>
  <c r="F16" i="42691"/>
  <c r="R14" i="42691"/>
  <c r="D163" i="42696"/>
  <c r="P9" i="42696"/>
  <c r="R453" i="42691"/>
  <c r="F492" i="42691"/>
  <c r="R492" i="42691" s="1"/>
  <c r="N163" i="42691"/>
  <c r="J163" i="42691"/>
  <c r="Q124" i="42691"/>
  <c r="Q126" i="42691" s="1"/>
  <c r="M124" i="42691"/>
  <c r="M126" i="42691" s="1"/>
  <c r="I124" i="42691"/>
  <c r="I126" i="42691" s="1"/>
  <c r="Q19" i="42691"/>
  <c r="M19" i="42691"/>
  <c r="I19" i="42691"/>
  <c r="G652" i="42690"/>
  <c r="R899" i="42690"/>
  <c r="F492" i="42690"/>
  <c r="R492" i="42690" s="1"/>
  <c r="F830" i="42690"/>
  <c r="R339" i="42690"/>
  <c r="G661" i="42690"/>
  <c r="G651" i="42690"/>
  <c r="G658" i="42690" s="1"/>
  <c r="R891" i="42690"/>
  <c r="Q905" i="42690"/>
  <c r="Q990" i="42690" s="1"/>
  <c r="O905" i="42690"/>
  <c r="O990" i="42690" s="1"/>
  <c r="M905" i="42690"/>
  <c r="M990" i="42690" s="1"/>
  <c r="K905" i="42690"/>
  <c r="K990" i="42690" s="1"/>
  <c r="I905" i="42690"/>
  <c r="I990" i="42690" s="1"/>
  <c r="G905" i="42690"/>
  <c r="G990" i="42690" s="1"/>
  <c r="O836" i="42690"/>
  <c r="K836" i="42690"/>
  <c r="G836" i="42690"/>
  <c r="J937" i="42689"/>
  <c r="I926" i="42690"/>
  <c r="R753" i="42692"/>
  <c r="R913" i="42689"/>
  <c r="F902" i="42692"/>
  <c r="R902" i="42692" s="1"/>
  <c r="S902" i="42697" s="1"/>
  <c r="R684" i="42692"/>
  <c r="R657" i="42692"/>
  <c r="R666" i="42689"/>
  <c r="R912" i="42689"/>
  <c r="F901" i="42692"/>
  <c r="R901" i="42692" s="1"/>
  <c r="S901" i="42697" s="1"/>
  <c r="R641" i="42692"/>
  <c r="O861" i="42689"/>
  <c r="O650" i="42689"/>
  <c r="K861" i="42689"/>
  <c r="K650" i="42689"/>
  <c r="R911" i="42689"/>
  <c r="F900" i="42692"/>
  <c r="R900" i="42692" s="1"/>
  <c r="S900" i="42697" s="1"/>
  <c r="R588" i="42692"/>
  <c r="P899" i="42692"/>
  <c r="P915" i="42692" s="1"/>
  <c r="P558" i="42692"/>
  <c r="L899" i="42692"/>
  <c r="L915" i="42692" s="1"/>
  <c r="L558" i="42692"/>
  <c r="H899" i="42692"/>
  <c r="H915" i="42692" s="1"/>
  <c r="H558" i="42692"/>
  <c r="F899" i="42691"/>
  <c r="R548" i="42691"/>
  <c r="F871" i="42689"/>
  <c r="F524" i="42689"/>
  <c r="R464" i="42689"/>
  <c r="R907" i="42689"/>
  <c r="O409" i="42692"/>
  <c r="O859" i="42689"/>
  <c r="O409" i="42691"/>
  <c r="O424" i="42689"/>
  <c r="G409" i="42692"/>
  <c r="G859" i="42689"/>
  <c r="G409" i="42691"/>
  <c r="G424" i="42689"/>
  <c r="R394" i="42692"/>
  <c r="R403" i="42689"/>
  <c r="P895" i="42691"/>
  <c r="P912" i="42691" s="1"/>
  <c r="P392" i="42691"/>
  <c r="N895" i="42692"/>
  <c r="N912" i="42692" s="1"/>
  <c r="N391" i="42692"/>
  <c r="N392" i="42692"/>
  <c r="L895" i="42691"/>
  <c r="L912" i="42691" s="1"/>
  <c r="L392" i="42691"/>
  <c r="J895" i="42692"/>
  <c r="J912" i="42692" s="1"/>
  <c r="J391" i="42692"/>
  <c r="J393" i="42692" s="1"/>
  <c r="J392" i="42692"/>
  <c r="H895" i="42691"/>
  <c r="H912" i="42691" s="1"/>
  <c r="H392" i="42691"/>
  <c r="F923" i="42689"/>
  <c r="R923" i="42689" s="1"/>
  <c r="R906" i="42689"/>
  <c r="F895" i="42692"/>
  <c r="F391" i="42692"/>
  <c r="F392" i="42692"/>
  <c r="R375" i="42692"/>
  <c r="R340" i="42692"/>
  <c r="R349" i="42689"/>
  <c r="P922" i="42689"/>
  <c r="N894" i="42691"/>
  <c r="N911" i="42691" s="1"/>
  <c r="N338" i="42691"/>
  <c r="N337" i="42692"/>
  <c r="N894" i="42692"/>
  <c r="N911" i="42692" s="1"/>
  <c r="N338" i="42692"/>
  <c r="L922" i="42689"/>
  <c r="J894" i="42691"/>
  <c r="J911" i="42691" s="1"/>
  <c r="J338" i="42691"/>
  <c r="J337" i="42692"/>
  <c r="J894" i="42692"/>
  <c r="J911" i="42692" s="1"/>
  <c r="J338" i="42692"/>
  <c r="H922" i="42689"/>
  <c r="F894" i="42691"/>
  <c r="F338" i="42691"/>
  <c r="R325" i="42691"/>
  <c r="F337" i="42692"/>
  <c r="F894" i="42692"/>
  <c r="F338" i="42692"/>
  <c r="R325" i="42692"/>
  <c r="R298" i="42692"/>
  <c r="O308" i="42689"/>
  <c r="K308" i="42689"/>
  <c r="G308" i="42689"/>
  <c r="Q893" i="42691"/>
  <c r="Q910" i="42691" s="1"/>
  <c r="Q296" i="42691"/>
  <c r="Q295" i="42691"/>
  <c r="Q297" i="42691" s="1"/>
  <c r="Q893" i="42692"/>
  <c r="Q910" i="42692" s="1"/>
  <c r="Q296" i="42692"/>
  <c r="Q295" i="42692"/>
  <c r="O921" i="42689"/>
  <c r="M893" i="42691"/>
  <c r="M910" i="42691" s="1"/>
  <c r="M296" i="42691"/>
  <c r="M295" i="42691"/>
  <c r="M893" i="42692"/>
  <c r="M910" i="42692" s="1"/>
  <c r="M296" i="42692"/>
  <c r="M295" i="42692"/>
  <c r="M297" i="42692" s="1"/>
  <c r="K921" i="42689"/>
  <c r="I893" i="42691"/>
  <c r="I910" i="42691" s="1"/>
  <c r="I296" i="42691"/>
  <c r="I295" i="42691"/>
  <c r="I297" i="42691" s="1"/>
  <c r="I893" i="42692"/>
  <c r="I910" i="42692" s="1"/>
  <c r="I296" i="42692"/>
  <c r="I295" i="42692"/>
  <c r="G921" i="42689"/>
  <c r="R243" i="42689"/>
  <c r="Q916" i="42691"/>
  <c r="O927" i="42689"/>
  <c r="O892" i="42692"/>
  <c r="O916" i="42692" s="1"/>
  <c r="O242" i="42692"/>
  <c r="M916" i="42691"/>
  <c r="K927" i="42689"/>
  <c r="K892" i="42692"/>
  <c r="K916" i="42692" s="1"/>
  <c r="K242" i="42692"/>
  <c r="I916" i="42691"/>
  <c r="G927" i="42689"/>
  <c r="G892" i="42692"/>
  <c r="G916" i="42692" s="1"/>
  <c r="G242" i="42692"/>
  <c r="R202" i="42689"/>
  <c r="Q914" i="42691"/>
  <c r="O925" i="42689"/>
  <c r="O891" i="42692"/>
  <c r="O914" i="42692" s="1"/>
  <c r="O198" i="42692"/>
  <c r="M914" i="42691"/>
  <c r="K925" i="42689"/>
  <c r="K891" i="42692"/>
  <c r="K914" i="42692" s="1"/>
  <c r="K198" i="42692"/>
  <c r="I914" i="42691"/>
  <c r="G925" i="42689"/>
  <c r="G891" i="42692"/>
  <c r="G914" i="42692" s="1"/>
  <c r="G198" i="42692"/>
  <c r="Q924" i="42689"/>
  <c r="Q890" i="42692"/>
  <c r="Q913" i="42692" s="1"/>
  <c r="Q163" i="42692"/>
  <c r="O913" i="42691"/>
  <c r="M924" i="42689"/>
  <c r="M890" i="42692"/>
  <c r="M913" i="42692" s="1"/>
  <c r="M163" i="42692"/>
  <c r="K913" i="42691"/>
  <c r="I924" i="42689"/>
  <c r="I890" i="42692"/>
  <c r="I913" i="42692" s="1"/>
  <c r="I163" i="42692"/>
  <c r="G913" i="42691"/>
  <c r="R136" i="42689"/>
  <c r="P889" i="42691"/>
  <c r="P125" i="42691"/>
  <c r="P124" i="42691"/>
  <c r="P126" i="42691" s="1"/>
  <c r="N920" i="42689"/>
  <c r="N889" i="42692"/>
  <c r="N909" i="42692" s="1"/>
  <c r="N125" i="42692"/>
  <c r="N124" i="42692"/>
  <c r="N126" i="42692" s="1"/>
  <c r="L889" i="42691"/>
  <c r="L125" i="42691"/>
  <c r="L124" i="42691"/>
  <c r="J920" i="42689"/>
  <c r="J889" i="42692"/>
  <c r="J909" i="42692" s="1"/>
  <c r="J125" i="42692"/>
  <c r="J124" i="42692"/>
  <c r="H889" i="42691"/>
  <c r="H125" i="42691"/>
  <c r="H124" i="42691"/>
  <c r="H126" i="42691" s="1"/>
  <c r="F920" i="42689"/>
  <c r="R900" i="42689"/>
  <c r="F889" i="42692"/>
  <c r="F125" i="42692"/>
  <c r="F124" i="42692"/>
  <c r="R112" i="42692"/>
  <c r="R95" i="42689"/>
  <c r="P998" i="42689"/>
  <c r="N998" i="42689"/>
  <c r="L998" i="42689"/>
  <c r="J998" i="42689"/>
  <c r="H998" i="42689"/>
  <c r="Q941" i="42689"/>
  <c r="Q32" i="42689"/>
  <c r="M941" i="42689"/>
  <c r="M32" i="42689"/>
  <c r="I941" i="42689"/>
  <c r="I32" i="42689"/>
  <c r="P809" i="42689"/>
  <c r="P34" i="42689"/>
  <c r="P31" i="42689"/>
  <c r="P23" i="42689"/>
  <c r="P851" i="42689" s="1"/>
  <c r="L809" i="42689"/>
  <c r="L34" i="42689"/>
  <c r="L31" i="42689"/>
  <c r="L23" i="42689"/>
  <c r="L851" i="42689" s="1"/>
  <c r="H809" i="42689"/>
  <c r="H34" i="42689"/>
  <c r="H31" i="42689"/>
  <c r="H23" i="42689"/>
  <c r="H851" i="42689" s="1"/>
  <c r="N33" i="42688"/>
  <c r="N34" i="42688"/>
  <c r="R76" i="42687"/>
  <c r="R89" i="42687" s="1"/>
  <c r="F62" i="42687"/>
  <c r="F94" i="42687" s="1"/>
  <c r="R94" i="42687" s="1"/>
  <c r="R55" i="42687"/>
  <c r="R52" i="42687"/>
  <c r="R88" i="42687" s="1"/>
  <c r="F62" i="42686"/>
  <c r="F94" i="42686" s="1"/>
  <c r="R94" i="42686" s="1"/>
  <c r="R55" i="42686"/>
  <c r="R62" i="42686" s="1"/>
  <c r="R52" i="42686"/>
  <c r="R88" i="42686" s="1"/>
  <c r="N90" i="42686"/>
  <c r="J90" i="42686"/>
  <c r="F90" i="42686"/>
  <c r="O29" i="42696"/>
  <c r="Q791" i="42689"/>
  <c r="Q780" i="42690"/>
  <c r="K29" i="42696"/>
  <c r="M791" i="42689"/>
  <c r="M780" i="42690"/>
  <c r="G29" i="42696"/>
  <c r="I791" i="42689"/>
  <c r="I780" i="42690"/>
  <c r="N28" i="42696"/>
  <c r="N173" i="42696" s="1"/>
  <c r="P587" i="42697" s="1"/>
  <c r="P587" i="42690"/>
  <c r="P598" i="42689"/>
  <c r="J28" i="42696"/>
  <c r="J173" i="42696" s="1"/>
  <c r="L587" i="42697" s="1"/>
  <c r="L587" i="42690"/>
  <c r="L598" i="42689"/>
  <c r="F28" i="42696"/>
  <c r="F173" i="42696" s="1"/>
  <c r="H587" i="42697" s="1"/>
  <c r="H587" i="42690"/>
  <c r="H598" i="42689"/>
  <c r="O21" i="42696"/>
  <c r="O169" i="42696" s="1"/>
  <c r="Q733" i="42697" s="1"/>
  <c r="Q733" i="42690"/>
  <c r="Q744" i="42689"/>
  <c r="K21" i="42696"/>
  <c r="K169" i="42696" s="1"/>
  <c r="M733" i="42697" s="1"/>
  <c r="M733" i="42690"/>
  <c r="M744" i="42689"/>
  <c r="G21" i="42696"/>
  <c r="G169" i="42696" s="1"/>
  <c r="I733" i="42697" s="1"/>
  <c r="I733" i="42690"/>
  <c r="I744" i="42689"/>
  <c r="N27" i="42696"/>
  <c r="P547" i="42690"/>
  <c r="P558" i="42689"/>
  <c r="J27" i="42696"/>
  <c r="L547" i="42690"/>
  <c r="L558" i="42689"/>
  <c r="F27" i="42696"/>
  <c r="H547" i="42690"/>
  <c r="H558" i="42689"/>
  <c r="O20" i="42696"/>
  <c r="O168" i="42696" s="1"/>
  <c r="Q683" i="42697" s="1"/>
  <c r="Q683" i="42690"/>
  <c r="Q694" i="42689"/>
  <c r="K20" i="42696"/>
  <c r="K168" i="42696" s="1"/>
  <c r="M683" i="42697" s="1"/>
  <c r="M683" i="42690"/>
  <c r="M694" i="42689"/>
  <c r="G20" i="42696"/>
  <c r="G168" i="42696" s="1"/>
  <c r="I683" i="42697" s="1"/>
  <c r="I683" i="42690"/>
  <c r="I694" i="42689"/>
  <c r="L26" i="42696"/>
  <c r="L171" i="42696" s="1"/>
  <c r="N514" i="42697" s="1"/>
  <c r="N514" i="42690"/>
  <c r="N525" i="42689"/>
  <c r="H26" i="42696"/>
  <c r="H171" i="42696" s="1"/>
  <c r="J514" i="42697" s="1"/>
  <c r="J514" i="42690"/>
  <c r="J525" i="42689"/>
  <c r="H860" i="42697"/>
  <c r="H513" i="42697"/>
  <c r="H523" i="42697" s="1"/>
  <c r="D171" i="42696"/>
  <c r="Q850" i="42697"/>
  <c r="Q661" i="42697"/>
  <c r="Q639" i="42697"/>
  <c r="Q649" i="42697" s="1"/>
  <c r="O850" i="42697"/>
  <c r="O661" i="42697"/>
  <c r="O639" i="42697"/>
  <c r="O649" i="42697" s="1"/>
  <c r="O650" i="42697" s="1"/>
  <c r="O659" i="42697" s="1"/>
  <c r="M850" i="42697"/>
  <c r="M661" i="42697"/>
  <c r="M639" i="42697"/>
  <c r="M649" i="42697" s="1"/>
  <c r="K850" i="42697"/>
  <c r="K661" i="42697"/>
  <c r="K639" i="42697"/>
  <c r="K649" i="42697" s="1"/>
  <c r="K650" i="42697" s="1"/>
  <c r="K659" i="42697" s="1"/>
  <c r="I850" i="42697"/>
  <c r="I661" i="42697"/>
  <c r="I639" i="42697"/>
  <c r="I649" i="42697" s="1"/>
  <c r="K859" i="42697"/>
  <c r="K477" i="42697"/>
  <c r="K487" i="42697" s="1"/>
  <c r="G859" i="42697"/>
  <c r="G477" i="42697"/>
  <c r="G487" i="42697" s="1"/>
  <c r="L64" i="42696"/>
  <c r="L100" i="42696" s="1"/>
  <c r="L112" i="42696" s="1"/>
  <c r="L125" i="42696" s="1"/>
  <c r="H64" i="42696"/>
  <c r="H100" i="42696" s="1"/>
  <c r="H112" i="42696" s="1"/>
  <c r="H125" i="42696" s="1"/>
  <c r="D64" i="42696"/>
  <c r="M71" i="42696"/>
  <c r="M99" i="42696" s="1"/>
  <c r="M111" i="42696" s="1"/>
  <c r="M124" i="42696" s="1"/>
  <c r="I71" i="42696"/>
  <c r="I99" i="42696" s="1"/>
  <c r="I111" i="42696" s="1"/>
  <c r="I124" i="42696" s="1"/>
  <c r="E71" i="42696"/>
  <c r="E99" i="42696" s="1"/>
  <c r="E111" i="42696" s="1"/>
  <c r="E124" i="42696" s="1"/>
  <c r="N24" i="42696"/>
  <c r="P227" i="42690"/>
  <c r="P238" i="42689"/>
  <c r="F24" i="42696"/>
  <c r="H227" i="42690"/>
  <c r="H238" i="42689"/>
  <c r="K16" i="42696"/>
  <c r="M374" i="42690"/>
  <c r="M385" i="42689"/>
  <c r="L15" i="42696"/>
  <c r="N324" i="42690"/>
  <c r="N335" i="42689"/>
  <c r="D15" i="42696"/>
  <c r="F324" i="42690"/>
  <c r="F335" i="42689"/>
  <c r="Q76" i="42683"/>
  <c r="I23" i="42696"/>
  <c r="K186" i="42690"/>
  <c r="K197" i="42689"/>
  <c r="N14" i="42696"/>
  <c r="P281" i="42690"/>
  <c r="P292" i="42689"/>
  <c r="F14" i="42696"/>
  <c r="H281" i="42690"/>
  <c r="H292" i="42689"/>
  <c r="Q72" i="42683"/>
  <c r="I22" i="42696"/>
  <c r="K150" i="42690"/>
  <c r="K161" i="42689"/>
  <c r="N13" i="42696"/>
  <c r="P111" i="42690"/>
  <c r="P122" i="42689"/>
  <c r="F13" i="42696"/>
  <c r="H111" i="42690"/>
  <c r="H122" i="42689"/>
  <c r="I12" i="42696"/>
  <c r="K81" i="42690"/>
  <c r="K92" i="42689"/>
  <c r="R59" i="42684"/>
  <c r="M11" i="42696"/>
  <c r="M164" i="42696" s="1"/>
  <c r="O52" i="42690"/>
  <c r="O63" i="42689"/>
  <c r="E11" i="42696"/>
  <c r="E164" i="42696" s="1"/>
  <c r="G52" i="42690"/>
  <c r="G63" i="42689"/>
  <c r="O61" i="42696"/>
  <c r="O92" i="42696" s="1"/>
  <c r="O104" i="42696" s="1"/>
  <c r="G61" i="42696"/>
  <c r="G92" i="42696" s="1"/>
  <c r="G104" i="42696" s="1"/>
  <c r="I62" i="42683"/>
  <c r="N101" i="42683"/>
  <c r="F101" i="42683"/>
  <c r="P798" i="42690"/>
  <c r="P23" i="42690"/>
  <c r="P16" i="42690"/>
  <c r="P840" i="42690" s="1"/>
  <c r="P19" i="42690"/>
  <c r="P798" i="42692"/>
  <c r="P16" i="42692"/>
  <c r="P840" i="42692" s="1"/>
  <c r="P19" i="42692"/>
  <c r="P798" i="42697"/>
  <c r="P16" i="42697"/>
  <c r="P840" i="42697" s="1"/>
  <c r="L798" i="42691"/>
  <c r="L23" i="42691"/>
  <c r="L20" i="42691"/>
  <c r="L947" i="42691" s="1"/>
  <c r="L16" i="42691"/>
  <c r="L840" i="42691" s="1"/>
  <c r="J163" i="42696"/>
  <c r="H798" i="42690"/>
  <c r="H23" i="42690"/>
  <c r="H16" i="42690"/>
  <c r="H840" i="42690" s="1"/>
  <c r="H19" i="42690"/>
  <c r="H798" i="42692"/>
  <c r="H16" i="42692"/>
  <c r="H840" i="42692" s="1"/>
  <c r="H19" i="42692"/>
  <c r="H798" i="42697"/>
  <c r="H16" i="42697"/>
  <c r="H840" i="42697" s="1"/>
  <c r="F667" i="42689"/>
  <c r="F536" i="42689"/>
  <c r="F465" i="42689"/>
  <c r="R27" i="42689"/>
  <c r="R30" i="42689" s="1"/>
  <c r="R95" i="42687"/>
  <c r="J96" i="42687"/>
  <c r="Q96" i="42686"/>
  <c r="I96" i="42686"/>
  <c r="G639" i="42692"/>
  <c r="G639" i="42691"/>
  <c r="P56" i="42684"/>
  <c r="N56" i="42684"/>
  <c r="L56" i="42684"/>
  <c r="J56" i="42684"/>
  <c r="H56" i="42684"/>
  <c r="F56" i="42684"/>
  <c r="R19" i="42684"/>
  <c r="P863" i="42690"/>
  <c r="P881" i="42690" s="1"/>
  <c r="P779" i="42690"/>
  <c r="P791" i="42690" s="1"/>
  <c r="P792" i="42690" s="1"/>
  <c r="Q227" i="42692"/>
  <c r="Q227" i="42691"/>
  <c r="Q869" i="42689"/>
  <c r="Q252" i="42689"/>
  <c r="Q237" i="42689"/>
  <c r="O67" i="42696"/>
  <c r="O95" i="42696" s="1"/>
  <c r="O107" i="42696" s="1"/>
  <c r="O120" i="42696" s="1"/>
  <c r="O672" i="42689"/>
  <c r="K672" i="42689"/>
  <c r="O663" i="42689"/>
  <c r="K663" i="42689"/>
  <c r="O662" i="42689"/>
  <c r="O669" i="42689" s="1"/>
  <c r="K662" i="42689"/>
  <c r="K669" i="42689" s="1"/>
  <c r="G660" i="42689"/>
  <c r="G661" i="42689" s="1"/>
  <c r="G670" i="42689" s="1"/>
  <c r="O428" i="42689"/>
  <c r="K428" i="42689"/>
  <c r="G428" i="42689"/>
  <c r="O425" i="42689"/>
  <c r="G425" i="42689"/>
  <c r="Q880" i="42689"/>
  <c r="O880" i="42689"/>
  <c r="M880" i="42689"/>
  <c r="K880" i="42689"/>
  <c r="I880" i="42689"/>
  <c r="G880" i="42689"/>
  <c r="F96" i="42686"/>
  <c r="R93" i="42686"/>
  <c r="R96" i="42685"/>
  <c r="K28" i="42699" s="1"/>
  <c r="D18" i="42702"/>
  <c r="D23" i="42702" s="1"/>
  <c r="J46" i="42699"/>
  <c r="J31" i="42699"/>
  <c r="J47" i="42699" s="1"/>
  <c r="E60" i="42701"/>
  <c r="E28" i="42701"/>
  <c r="F279" i="42698"/>
  <c r="F296" i="42698"/>
  <c r="R385" i="42697"/>
  <c r="R383" i="42697"/>
  <c r="R381" i="42697"/>
  <c r="R331" i="42697"/>
  <c r="F403" i="42698"/>
  <c r="F405" i="42698" s="1"/>
  <c r="R698" i="42697"/>
  <c r="R296" i="42697"/>
  <c r="R286" i="42697"/>
  <c r="R522" i="42697"/>
  <c r="R455" i="42697"/>
  <c r="F314" i="42698" s="1"/>
  <c r="D60" i="42701"/>
  <c r="D28" i="42701"/>
  <c r="G46" i="42699"/>
  <c r="G31" i="42699"/>
  <c r="E46" i="42699"/>
  <c r="E31" i="42699"/>
  <c r="F430" i="42698"/>
  <c r="F344" i="42698"/>
  <c r="F457" i="42698"/>
  <c r="F506" i="42698" s="1"/>
  <c r="F521" i="42698" s="1"/>
  <c r="R816" i="42697"/>
  <c r="F478" i="42698"/>
  <c r="S897" i="42697"/>
  <c r="Q393" i="42697"/>
  <c r="M393" i="42697"/>
  <c r="I393" i="42697"/>
  <c r="F599" i="42698"/>
  <c r="R744" i="42697"/>
  <c r="R743" i="42697"/>
  <c r="R742" i="42697"/>
  <c r="R741" i="42697"/>
  <c r="R740" i="42697"/>
  <c r="F441" i="42698"/>
  <c r="Q339" i="42697"/>
  <c r="M339" i="42697"/>
  <c r="I339" i="42697"/>
  <c r="F598" i="42698"/>
  <c r="R690" i="42697"/>
  <c r="Q297" i="42697"/>
  <c r="M297" i="42697"/>
  <c r="I297" i="42697"/>
  <c r="F515" i="42698"/>
  <c r="F360" i="42698"/>
  <c r="R656" i="42697"/>
  <c r="R242" i="42697"/>
  <c r="F271" i="42698" s="1"/>
  <c r="R238" i="42697"/>
  <c r="F519" i="42698"/>
  <c r="R596" i="42697"/>
  <c r="R594" i="42697"/>
  <c r="R592" i="42697"/>
  <c r="R558" i="42697"/>
  <c r="F422" i="42698" s="1"/>
  <c r="F414" i="42698"/>
  <c r="F505" i="42698" s="1"/>
  <c r="F520" i="42698" s="1"/>
  <c r="R815" i="42697"/>
  <c r="R833" i="42697" s="1"/>
  <c r="F322" i="42698"/>
  <c r="F503" i="42698" s="1"/>
  <c r="R813" i="42697"/>
  <c r="R821" i="42697" s="1"/>
  <c r="R987" i="42697" s="1"/>
  <c r="F302" i="42698"/>
  <c r="F499" i="42698" s="1"/>
  <c r="R441" i="42697"/>
  <c r="N393" i="42697"/>
  <c r="J393" i="42697"/>
  <c r="F393" i="42697"/>
  <c r="R391" i="42697"/>
  <c r="R384" i="42697"/>
  <c r="R382" i="42697"/>
  <c r="R379" i="42697"/>
  <c r="N339" i="42697"/>
  <c r="J339" i="42697"/>
  <c r="F339" i="42697"/>
  <c r="R337" i="42697"/>
  <c r="R329" i="42697"/>
  <c r="N297" i="42697"/>
  <c r="J297" i="42697"/>
  <c r="F297" i="42697"/>
  <c r="R295" i="42697"/>
  <c r="R288" i="42697"/>
  <c r="Q650" i="42697"/>
  <c r="Q659" i="42697" s="1"/>
  <c r="M650" i="42697"/>
  <c r="M659" i="42697" s="1"/>
  <c r="I650" i="42697"/>
  <c r="I659" i="42697" s="1"/>
  <c r="F603" i="42698"/>
  <c r="R834" i="42697"/>
  <c r="R193" i="42697"/>
  <c r="Q525" i="42697"/>
  <c r="Q530" i="42697" s="1"/>
  <c r="M525" i="42697"/>
  <c r="M530" i="42697" s="1"/>
  <c r="I525" i="42697"/>
  <c r="I530" i="42697" s="1"/>
  <c r="F600" i="42698"/>
  <c r="Q492" i="42697"/>
  <c r="O492" i="42697"/>
  <c r="M492" i="42697"/>
  <c r="K492" i="42697"/>
  <c r="I492" i="42697"/>
  <c r="G492" i="42697"/>
  <c r="K488" i="42697"/>
  <c r="G488" i="42697"/>
  <c r="N126" i="42697"/>
  <c r="J126" i="42697"/>
  <c r="F126" i="42697"/>
  <c r="R124" i="42697"/>
  <c r="R119" i="42697"/>
  <c r="R116" i="42697"/>
  <c r="Q454" i="42697"/>
  <c r="R84" i="42697"/>
  <c r="F287" i="42698"/>
  <c r="R905" i="42697"/>
  <c r="S886" i="42697"/>
  <c r="F918" i="42697"/>
  <c r="F919" i="42697" s="1"/>
  <c r="R908" i="42697"/>
  <c r="R918" i="42697" s="1"/>
  <c r="F511" i="42698"/>
  <c r="P837" i="42697"/>
  <c r="N837" i="42697"/>
  <c r="L837" i="42697"/>
  <c r="J837" i="42697"/>
  <c r="H837" i="42697"/>
  <c r="R554" i="42697"/>
  <c r="F419" i="42698"/>
  <c r="R597" i="42697"/>
  <c r="R236" i="42697"/>
  <c r="R595" i="42697"/>
  <c r="R234" i="42697"/>
  <c r="H524" i="42697"/>
  <c r="H528" i="42697" s="1"/>
  <c r="R191" i="42697"/>
  <c r="F518" i="42698"/>
  <c r="F492" i="42697"/>
  <c r="R486" i="42697"/>
  <c r="Q126" i="42697"/>
  <c r="M126" i="42697"/>
  <c r="I126" i="42697"/>
  <c r="R127" i="42697"/>
  <c r="F129" i="42698" s="1"/>
  <c r="R447" i="42697"/>
  <c r="O930" i="42697"/>
  <c r="O21" i="42697"/>
  <c r="K930" i="42697"/>
  <c r="K21" i="42697"/>
  <c r="G930" i="42697"/>
  <c r="G21" i="42697"/>
  <c r="P214" i="42696"/>
  <c r="M225" i="42696"/>
  <c r="I225" i="42696"/>
  <c r="E225" i="42696"/>
  <c r="R786" i="42697"/>
  <c r="R384" i="42692"/>
  <c r="R382" i="42692"/>
  <c r="R379" i="42692"/>
  <c r="Q757" i="42697"/>
  <c r="M757" i="42697"/>
  <c r="I757" i="42697"/>
  <c r="Q747" i="42697"/>
  <c r="Q754" i="42697" s="1"/>
  <c r="M747" i="42697"/>
  <c r="M754" i="42697" s="1"/>
  <c r="I747" i="42697"/>
  <c r="I754" i="42697" s="1"/>
  <c r="N930" i="42697"/>
  <c r="N21" i="42697"/>
  <c r="J930" i="42697"/>
  <c r="J21" i="42697"/>
  <c r="F930" i="42697"/>
  <c r="F21" i="42697"/>
  <c r="R19" i="42697"/>
  <c r="P213" i="42696"/>
  <c r="P224" i="42696" s="1"/>
  <c r="P225" i="42696" s="1"/>
  <c r="R888" i="42692"/>
  <c r="S888" i="42697" s="1"/>
  <c r="F833" i="42692"/>
  <c r="R815" i="42692"/>
  <c r="R833" i="42692" s="1"/>
  <c r="R790" i="42692"/>
  <c r="R788" i="42692"/>
  <c r="R786" i="42692"/>
  <c r="R554" i="42692"/>
  <c r="R385" i="42692"/>
  <c r="R383" i="42692"/>
  <c r="R381" i="42692"/>
  <c r="Q698" i="42692"/>
  <c r="M698" i="42692"/>
  <c r="I698" i="42692"/>
  <c r="Q656" i="42692"/>
  <c r="M656" i="42692"/>
  <c r="I656" i="42692"/>
  <c r="F492" i="42692"/>
  <c r="R492" i="42692" s="1"/>
  <c r="R491" i="42692"/>
  <c r="O454" i="42692"/>
  <c r="K454" i="42692"/>
  <c r="G454" i="42692"/>
  <c r="Q675" i="42697"/>
  <c r="Q703" i="42697" s="1"/>
  <c r="M675" i="42697"/>
  <c r="M703" i="42697" s="1"/>
  <c r="I675" i="42697"/>
  <c r="I703" i="42697" s="1"/>
  <c r="Q669" i="42697"/>
  <c r="Q693" i="42697" s="1"/>
  <c r="Q700" i="42697" s="1"/>
  <c r="R152" i="42692"/>
  <c r="F164" i="42692"/>
  <c r="R164" i="42692" s="1"/>
  <c r="R831" i="42692"/>
  <c r="R827" i="42692"/>
  <c r="P425" i="42697"/>
  <c r="N425" i="42697"/>
  <c r="L425" i="42697"/>
  <c r="J425" i="42697"/>
  <c r="H425" i="42697"/>
  <c r="F425" i="42697"/>
  <c r="Q405" i="42697"/>
  <c r="O405" i="42697"/>
  <c r="M405" i="42697"/>
  <c r="K405" i="42697"/>
  <c r="I405" i="42697"/>
  <c r="G405" i="42697"/>
  <c r="Q404" i="42697"/>
  <c r="O404" i="42697"/>
  <c r="M404" i="42697"/>
  <c r="K404" i="42697"/>
  <c r="I404" i="42697"/>
  <c r="G404" i="42697"/>
  <c r="N935" i="42692"/>
  <c r="N970" i="42692" s="1"/>
  <c r="J935" i="42692"/>
  <c r="J970" i="42692" s="1"/>
  <c r="F935" i="42692"/>
  <c r="R70" i="42692"/>
  <c r="R55" i="42692"/>
  <c r="Q836" i="42692"/>
  <c r="Q837" i="42692" s="1"/>
  <c r="O836" i="42692"/>
  <c r="O837" i="42692" s="1"/>
  <c r="M836" i="42692"/>
  <c r="M837" i="42692" s="1"/>
  <c r="K836" i="42692"/>
  <c r="K837" i="42692" s="1"/>
  <c r="I836" i="42692"/>
  <c r="I837" i="42692" s="1"/>
  <c r="G836" i="42692"/>
  <c r="G837" i="42692" s="1"/>
  <c r="R697" i="42692"/>
  <c r="N698" i="42692"/>
  <c r="J698" i="42692"/>
  <c r="F698" i="42692"/>
  <c r="R696" i="42692"/>
  <c r="R698" i="42692" s="1"/>
  <c r="R655" i="42692"/>
  <c r="N656" i="42692"/>
  <c r="J656" i="42692"/>
  <c r="F656" i="42692"/>
  <c r="R654" i="42692"/>
  <c r="R656" i="42692" s="1"/>
  <c r="R602" i="42692"/>
  <c r="P454" i="42692"/>
  <c r="L454" i="42692"/>
  <c r="H454" i="42692"/>
  <c r="N675" i="42697"/>
  <c r="J675" i="42697"/>
  <c r="F675" i="42697"/>
  <c r="N669" i="42697"/>
  <c r="J669" i="42697"/>
  <c r="F669" i="42697"/>
  <c r="R289" i="42692"/>
  <c r="R286" i="42692"/>
  <c r="P631" i="42697"/>
  <c r="N631" i="42697"/>
  <c r="L631" i="42697"/>
  <c r="J631" i="42697"/>
  <c r="H631" i="42697"/>
  <c r="F631" i="42697"/>
  <c r="P625" i="42697"/>
  <c r="P651" i="42697" s="1"/>
  <c r="P658" i="42697" s="1"/>
  <c r="N625" i="42697"/>
  <c r="L625" i="42697"/>
  <c r="L651" i="42697" s="1"/>
  <c r="L658" i="42697" s="1"/>
  <c r="J625" i="42697"/>
  <c r="H625" i="42697"/>
  <c r="H651" i="42697" s="1"/>
  <c r="H658" i="42697" s="1"/>
  <c r="F625" i="42697"/>
  <c r="R155" i="42692"/>
  <c r="R119" i="42692"/>
  <c r="P405" i="42697"/>
  <c r="N405" i="42697"/>
  <c r="L405" i="42697"/>
  <c r="J405" i="42697"/>
  <c r="H405" i="42697"/>
  <c r="F405" i="42697"/>
  <c r="P404" i="42697"/>
  <c r="N404" i="42697"/>
  <c r="L404" i="42697"/>
  <c r="J404" i="42697"/>
  <c r="H404" i="42697"/>
  <c r="F404" i="42697"/>
  <c r="R37" i="42692"/>
  <c r="P821" i="42692"/>
  <c r="P987" i="42692" s="1"/>
  <c r="N821" i="42692"/>
  <c r="N987" i="42692" s="1"/>
  <c r="L821" i="42692"/>
  <c r="L987" i="42692" s="1"/>
  <c r="J821" i="42692"/>
  <c r="J987" i="42692" s="1"/>
  <c r="H821" i="42692"/>
  <c r="H987" i="42692" s="1"/>
  <c r="R824" i="42692"/>
  <c r="R836" i="42692" s="1"/>
  <c r="R821" i="42692"/>
  <c r="R987" i="42692" s="1"/>
  <c r="F836" i="42692"/>
  <c r="F837" i="42692" s="1"/>
  <c r="R23" i="42697"/>
  <c r="F947" i="42697"/>
  <c r="R20" i="42697"/>
  <c r="R616" i="42691"/>
  <c r="P393" i="42691"/>
  <c r="L393" i="42691"/>
  <c r="H393" i="42691"/>
  <c r="N339" i="42691"/>
  <c r="J339" i="42691"/>
  <c r="F339" i="42691"/>
  <c r="R329" i="42691"/>
  <c r="Q698" i="42691"/>
  <c r="M698" i="42691"/>
  <c r="I698" i="42691"/>
  <c r="Q656" i="42691"/>
  <c r="M656" i="42691"/>
  <c r="I656" i="42691"/>
  <c r="R152" i="42691"/>
  <c r="F164" i="42691"/>
  <c r="R164" i="42691" s="1"/>
  <c r="N935" i="42691"/>
  <c r="N970" i="42691" s="1"/>
  <c r="J935" i="42691"/>
  <c r="J970" i="42691" s="1"/>
  <c r="F935" i="42691"/>
  <c r="R70" i="42691"/>
  <c r="P943" i="42690"/>
  <c r="P978" i="42690" s="1"/>
  <c r="P794" i="42690"/>
  <c r="H616" i="42690"/>
  <c r="I610" i="42690"/>
  <c r="F393" i="42690"/>
  <c r="R391" i="42690"/>
  <c r="R379" i="42690"/>
  <c r="F297" i="42690"/>
  <c r="R295" i="42690"/>
  <c r="R297" i="42690" s="1"/>
  <c r="R113" i="42690"/>
  <c r="F127" i="42690"/>
  <c r="R127" i="42690" s="1"/>
  <c r="R915" i="42689"/>
  <c r="F928" i="42689"/>
  <c r="R928" i="42689" s="1"/>
  <c r="P793" i="42692"/>
  <c r="P904" i="42692"/>
  <c r="P917" i="42692" s="1"/>
  <c r="N793" i="42692"/>
  <c r="N904" i="42692"/>
  <c r="N917" i="42692" s="1"/>
  <c r="L793" i="42692"/>
  <c r="L904" i="42692"/>
  <c r="L917" i="42692" s="1"/>
  <c r="J793" i="42692"/>
  <c r="J904" i="42692"/>
  <c r="J917" i="42692" s="1"/>
  <c r="H793" i="42692"/>
  <c r="H904" i="42692"/>
  <c r="H917" i="42692" s="1"/>
  <c r="F793" i="42692"/>
  <c r="F904" i="42692"/>
  <c r="R781" i="42692"/>
  <c r="R786" i="42691"/>
  <c r="P793" i="42691"/>
  <c r="L793" i="42691"/>
  <c r="H793" i="42691"/>
  <c r="R697" i="42691"/>
  <c r="R655" i="42691"/>
  <c r="R597" i="42691"/>
  <c r="R595" i="42691"/>
  <c r="K454" i="42691"/>
  <c r="G454" i="42691"/>
  <c r="Q393" i="42691"/>
  <c r="M393" i="42691"/>
  <c r="I393" i="42691"/>
  <c r="R331" i="42691"/>
  <c r="R829" i="42691"/>
  <c r="P698" i="42691"/>
  <c r="L698" i="42691"/>
  <c r="H698" i="42691"/>
  <c r="P656" i="42691"/>
  <c r="L656" i="42691"/>
  <c r="H656" i="42691"/>
  <c r="R242" i="42691"/>
  <c r="R238" i="42691"/>
  <c r="R236" i="42691"/>
  <c r="R234" i="42691"/>
  <c r="R232" i="42691"/>
  <c r="R155" i="42691"/>
  <c r="R908" i="42691"/>
  <c r="P837" i="42691"/>
  <c r="N837" i="42691"/>
  <c r="L837" i="42691"/>
  <c r="J837" i="42691"/>
  <c r="H837" i="42691"/>
  <c r="F836" i="42691"/>
  <c r="F821" i="42691"/>
  <c r="F987" i="42691" s="1"/>
  <c r="F911" i="42690"/>
  <c r="R911" i="42690" s="1"/>
  <c r="R894" i="42690"/>
  <c r="F913" i="42690"/>
  <c r="R913" i="42690" s="1"/>
  <c r="R890" i="42690"/>
  <c r="P905" i="42690"/>
  <c r="P990" i="42690" s="1"/>
  <c r="P908" i="42690"/>
  <c r="P918" i="42690" s="1"/>
  <c r="L905" i="42690"/>
  <c r="L990" i="42690" s="1"/>
  <c r="L908" i="42690"/>
  <c r="L918" i="42690" s="1"/>
  <c r="H905" i="42690"/>
  <c r="H990" i="42690" s="1"/>
  <c r="H908" i="42690"/>
  <c r="H918" i="42690" s="1"/>
  <c r="Q827" i="42690"/>
  <c r="Q836" i="42690" s="1"/>
  <c r="M827" i="42690"/>
  <c r="M836" i="42690" s="1"/>
  <c r="I827" i="42690"/>
  <c r="I836" i="42690" s="1"/>
  <c r="P703" i="42690"/>
  <c r="L703" i="42690"/>
  <c r="H703" i="42690"/>
  <c r="P693" i="42690"/>
  <c r="P700" i="42690" s="1"/>
  <c r="L693" i="42690"/>
  <c r="L700" i="42690" s="1"/>
  <c r="H693" i="42690"/>
  <c r="H700" i="42690" s="1"/>
  <c r="R453" i="42690"/>
  <c r="R454" i="42690" s="1"/>
  <c r="Q450" i="42690"/>
  <c r="Q456" i="42690" s="1"/>
  <c r="M450" i="42690"/>
  <c r="M456" i="42690" s="1"/>
  <c r="I450" i="42690"/>
  <c r="I456" i="42690" s="1"/>
  <c r="R392" i="42690"/>
  <c r="R232" i="42690"/>
  <c r="R191" i="42690"/>
  <c r="R125" i="42690"/>
  <c r="R84" i="42690"/>
  <c r="R37" i="42690"/>
  <c r="F846" i="42689"/>
  <c r="R846" i="42689" s="1"/>
  <c r="R831" i="42689"/>
  <c r="R832" i="42689" s="1"/>
  <c r="R998" i="42689" s="1"/>
  <c r="Q602" i="42691"/>
  <c r="M602" i="42691"/>
  <c r="I602" i="42691"/>
  <c r="R191" i="42691"/>
  <c r="F454" i="42691"/>
  <c r="R452" i="42691"/>
  <c r="R454" i="42691" s="1"/>
  <c r="R447" i="42691"/>
  <c r="R444" i="42691"/>
  <c r="P930" i="42691"/>
  <c r="L930" i="42691"/>
  <c r="L21" i="42691"/>
  <c r="H930" i="42691"/>
  <c r="F530" i="42690"/>
  <c r="F454" i="42690"/>
  <c r="R895" i="42690"/>
  <c r="R893" i="42690"/>
  <c r="F828" i="42690"/>
  <c r="F836" i="42690" s="1"/>
  <c r="F837" i="42690" s="1"/>
  <c r="R909" i="42690"/>
  <c r="P456" i="42690"/>
  <c r="L456" i="42690"/>
  <c r="H456" i="42690"/>
  <c r="R826" i="42690"/>
  <c r="P836" i="42690"/>
  <c r="P837" i="42690" s="1"/>
  <c r="N836" i="42690"/>
  <c r="N837" i="42690" s="1"/>
  <c r="L836" i="42690"/>
  <c r="L837" i="42690" s="1"/>
  <c r="J836" i="42690"/>
  <c r="J837" i="42690" s="1"/>
  <c r="H836" i="42690"/>
  <c r="H837" i="42690" s="1"/>
  <c r="F821" i="42690"/>
  <c r="F987" i="42690" s="1"/>
  <c r="Q904" i="42692"/>
  <c r="Q917" i="42692" s="1"/>
  <c r="Q793" i="42692"/>
  <c r="O904" i="42692"/>
  <c r="O917" i="42692" s="1"/>
  <c r="O793" i="42692"/>
  <c r="M904" i="42692"/>
  <c r="M917" i="42692" s="1"/>
  <c r="M793" i="42692"/>
  <c r="K904" i="42692"/>
  <c r="K917" i="42692" s="1"/>
  <c r="K793" i="42692"/>
  <c r="I904" i="42692"/>
  <c r="I917" i="42692" s="1"/>
  <c r="I793" i="42692"/>
  <c r="G904" i="42692"/>
  <c r="G917" i="42692" s="1"/>
  <c r="G793" i="42692"/>
  <c r="R699" i="42691"/>
  <c r="H627" i="42689"/>
  <c r="I621" i="42689"/>
  <c r="R603" i="42691"/>
  <c r="R559" i="42692"/>
  <c r="R563" i="42689"/>
  <c r="O558" i="42692"/>
  <c r="O899" i="42692"/>
  <c r="O915" i="42692" s="1"/>
  <c r="K558" i="42692"/>
  <c r="K899" i="42692"/>
  <c r="K915" i="42692" s="1"/>
  <c r="G558" i="42692"/>
  <c r="G899" i="42692"/>
  <c r="G915" i="42692" s="1"/>
  <c r="R527" i="42691"/>
  <c r="R909" i="42689"/>
  <c r="R515" i="42692"/>
  <c r="F898" i="42692"/>
  <c r="R898" i="42692" s="1"/>
  <c r="S898" i="42697" s="1"/>
  <c r="F897" i="42691"/>
  <c r="R897" i="42691" s="1"/>
  <c r="R479" i="42691"/>
  <c r="Q870" i="42689"/>
  <c r="Q501" i="42689"/>
  <c r="Q488" i="42689"/>
  <c r="M870" i="42689"/>
  <c r="M501" i="42689"/>
  <c r="M488" i="42689"/>
  <c r="I870" i="42689"/>
  <c r="I501" i="42689"/>
  <c r="I488" i="42689"/>
  <c r="P860" i="42689"/>
  <c r="P461" i="42689"/>
  <c r="P467" i="42689" s="1"/>
  <c r="P449" i="42689"/>
  <c r="L860" i="42689"/>
  <c r="L461" i="42689"/>
  <c r="L467" i="42689" s="1"/>
  <c r="L449" i="42689"/>
  <c r="H860" i="42689"/>
  <c r="H461" i="42689"/>
  <c r="H467" i="42689" s="1"/>
  <c r="H449" i="42689"/>
  <c r="Q392" i="42692"/>
  <c r="Q895" i="42692"/>
  <c r="Q912" i="42692" s="1"/>
  <c r="Q391" i="42692"/>
  <c r="Q393" i="42692" s="1"/>
  <c r="O895" i="42691"/>
  <c r="O912" i="42691" s="1"/>
  <c r="O392" i="42691"/>
  <c r="O393" i="42691" s="1"/>
  <c r="M392" i="42692"/>
  <c r="M895" i="42692"/>
  <c r="M912" i="42692" s="1"/>
  <c r="M391" i="42692"/>
  <c r="M393" i="42692" s="1"/>
  <c r="K895" i="42691"/>
  <c r="K912" i="42691" s="1"/>
  <c r="K392" i="42691"/>
  <c r="K393" i="42691" s="1"/>
  <c r="I392" i="42692"/>
  <c r="I895" i="42692"/>
  <c r="I912" i="42692" s="1"/>
  <c r="I391" i="42692"/>
  <c r="I393" i="42692" s="1"/>
  <c r="G895" i="42691"/>
  <c r="G912" i="42691" s="1"/>
  <c r="G392" i="42691"/>
  <c r="G393" i="42691" s="1"/>
  <c r="Q922" i="42689"/>
  <c r="Q894" i="42692"/>
  <c r="Q911" i="42692" s="1"/>
  <c r="Q338" i="42692"/>
  <c r="Q337" i="42692"/>
  <c r="Q339" i="42692" s="1"/>
  <c r="O894" i="42691"/>
  <c r="O911" i="42691" s="1"/>
  <c r="O338" i="42691"/>
  <c r="O337" i="42691"/>
  <c r="M922" i="42689"/>
  <c r="M894" i="42692"/>
  <c r="M911" i="42692" s="1"/>
  <c r="M338" i="42692"/>
  <c r="M337" i="42692"/>
  <c r="K894" i="42691"/>
  <c r="K911" i="42691" s="1"/>
  <c r="K338" i="42691"/>
  <c r="K337" i="42691"/>
  <c r="K339" i="42691" s="1"/>
  <c r="I922" i="42689"/>
  <c r="I894" i="42692"/>
  <c r="I911" i="42692" s="1"/>
  <c r="I338" i="42692"/>
  <c r="I337" i="42692"/>
  <c r="I339" i="42692" s="1"/>
  <c r="G894" i="42691"/>
  <c r="G911" i="42691" s="1"/>
  <c r="G338" i="42691"/>
  <c r="G337" i="42691"/>
  <c r="P893" i="42691"/>
  <c r="P910" i="42691" s="1"/>
  <c r="P296" i="42691"/>
  <c r="P297" i="42691" s="1"/>
  <c r="N893" i="42692"/>
  <c r="N910" i="42692" s="1"/>
  <c r="N295" i="42692"/>
  <c r="N296" i="42692"/>
  <c r="L893" i="42691"/>
  <c r="L910" i="42691" s="1"/>
  <c r="L296" i="42691"/>
  <c r="L297" i="42691" s="1"/>
  <c r="J893" i="42692"/>
  <c r="J910" i="42692" s="1"/>
  <c r="J295" i="42692"/>
  <c r="J297" i="42692" s="1"/>
  <c r="J296" i="42692"/>
  <c r="H893" i="42691"/>
  <c r="H910" i="42691" s="1"/>
  <c r="H296" i="42691"/>
  <c r="H297" i="42691" s="1"/>
  <c r="F921" i="42689"/>
  <c r="R904" i="42689"/>
  <c r="F893" i="42692"/>
  <c r="F295" i="42692"/>
  <c r="R282" i="42692"/>
  <c r="F296" i="42692"/>
  <c r="R267" i="42689"/>
  <c r="R243" i="42691"/>
  <c r="N892" i="42692"/>
  <c r="N916" i="42692" s="1"/>
  <c r="N242" i="42692"/>
  <c r="J892" i="42692"/>
  <c r="J916" i="42692" s="1"/>
  <c r="J242" i="42692"/>
  <c r="F927" i="42689"/>
  <c r="R903" i="42689"/>
  <c r="F892" i="42692"/>
  <c r="R228" i="42692"/>
  <c r="F242" i="42692"/>
  <c r="R199" i="42691"/>
  <c r="P914" i="42691"/>
  <c r="N925" i="42689"/>
  <c r="N891" i="42692"/>
  <c r="N914" i="42692" s="1"/>
  <c r="N198" i="42692"/>
  <c r="L914" i="42691"/>
  <c r="J925" i="42689"/>
  <c r="J891" i="42692"/>
  <c r="J914" i="42692" s="1"/>
  <c r="J198" i="42692"/>
  <c r="H914" i="42691"/>
  <c r="F925" i="42689"/>
  <c r="R902" i="42689"/>
  <c r="F891" i="42692"/>
  <c r="F198" i="42692"/>
  <c r="R187" i="42692"/>
  <c r="P924" i="42689"/>
  <c r="N913" i="42691"/>
  <c r="N890" i="42692"/>
  <c r="N913" i="42692" s="1"/>
  <c r="N163" i="42692"/>
  <c r="L924" i="42689"/>
  <c r="J913" i="42691"/>
  <c r="J890" i="42692"/>
  <c r="J913" i="42692" s="1"/>
  <c r="J163" i="42692"/>
  <c r="H924" i="42689"/>
  <c r="F890" i="42691"/>
  <c r="R151" i="42691"/>
  <c r="F890" i="42692"/>
  <c r="F163" i="42692"/>
  <c r="R151" i="42692"/>
  <c r="F137" i="42689"/>
  <c r="R135" i="42689"/>
  <c r="R137" i="42689" s="1"/>
  <c r="Q920" i="42689"/>
  <c r="Q889" i="42692"/>
  <c r="Q124" i="42692"/>
  <c r="Q126" i="42692" s="1"/>
  <c r="Q125" i="42692"/>
  <c r="O889" i="42691"/>
  <c r="O909" i="42691" s="1"/>
  <c r="O125" i="42691"/>
  <c r="M920" i="42689"/>
  <c r="M889" i="42692"/>
  <c r="M124" i="42692"/>
  <c r="M126" i="42692" s="1"/>
  <c r="M125" i="42692"/>
  <c r="K889" i="42691"/>
  <c r="K909" i="42691" s="1"/>
  <c r="K125" i="42691"/>
  <c r="I920" i="42689"/>
  <c r="I889" i="42692"/>
  <c r="I124" i="42692"/>
  <c r="I126" i="42692" s="1"/>
  <c r="I125" i="42692"/>
  <c r="G889" i="42691"/>
  <c r="G909" i="42691" s="1"/>
  <c r="G125" i="42691"/>
  <c r="F946" i="42689"/>
  <c r="R81" i="42689"/>
  <c r="Q916" i="42689"/>
  <c r="Q1001" i="42689" s="1"/>
  <c r="O916" i="42689"/>
  <c r="O1001" i="42689" s="1"/>
  <c r="M916" i="42689"/>
  <c r="M1001" i="42689" s="1"/>
  <c r="K916" i="42689"/>
  <c r="K1001" i="42689" s="1"/>
  <c r="I916" i="42689"/>
  <c r="I1001" i="42689" s="1"/>
  <c r="G916" i="42689"/>
  <c r="G1001" i="42689" s="1"/>
  <c r="R66" i="42689"/>
  <c r="Q832" i="42689"/>
  <c r="Q998" i="42689" s="1"/>
  <c r="O832" i="42689"/>
  <c r="O998" i="42689" s="1"/>
  <c r="M832" i="42689"/>
  <c r="M998" i="42689" s="1"/>
  <c r="K832" i="42689"/>
  <c r="K998" i="42689" s="1"/>
  <c r="I832" i="42689"/>
  <c r="I998" i="42689" s="1"/>
  <c r="G832" i="42689"/>
  <c r="G998" i="42689" s="1"/>
  <c r="R90" i="42687"/>
  <c r="L29" i="42696"/>
  <c r="N780" i="42690"/>
  <c r="N791" i="42689"/>
  <c r="H29" i="42696"/>
  <c r="J780" i="42690"/>
  <c r="J791" i="42689"/>
  <c r="D29" i="42696"/>
  <c r="F780" i="42690"/>
  <c r="F791" i="42689"/>
  <c r="Q96" i="42683"/>
  <c r="E20" i="42700" s="1"/>
  <c r="M28" i="42696"/>
  <c r="M173" i="42696" s="1"/>
  <c r="O587" i="42697" s="1"/>
  <c r="O587" i="42690"/>
  <c r="O598" i="42689"/>
  <c r="I28" i="42696"/>
  <c r="I173" i="42696" s="1"/>
  <c r="K587" i="42697" s="1"/>
  <c r="K587" i="42690"/>
  <c r="K598" i="42689"/>
  <c r="E28" i="42696"/>
  <c r="E173" i="42696" s="1"/>
  <c r="G587" i="42697" s="1"/>
  <c r="G587" i="42690"/>
  <c r="G598" i="42689"/>
  <c r="L21" i="42696"/>
  <c r="L169" i="42696" s="1"/>
  <c r="N733" i="42697" s="1"/>
  <c r="N733" i="42690"/>
  <c r="N744" i="42689"/>
  <c r="H21" i="42696"/>
  <c r="H169" i="42696" s="1"/>
  <c r="J733" i="42697" s="1"/>
  <c r="J733" i="42690"/>
  <c r="J744" i="42689"/>
  <c r="D21" i="42696"/>
  <c r="F733" i="42690"/>
  <c r="Q94" i="42683"/>
  <c r="F744" i="42689"/>
  <c r="M27" i="42696"/>
  <c r="O547" i="42690"/>
  <c r="O558" i="42689"/>
  <c r="I27" i="42696"/>
  <c r="K547" i="42690"/>
  <c r="K558" i="42689"/>
  <c r="E27" i="42696"/>
  <c r="G547" i="42690"/>
  <c r="G558" i="42689"/>
  <c r="L20" i="42696"/>
  <c r="L168" i="42696" s="1"/>
  <c r="N683" i="42697" s="1"/>
  <c r="N683" i="42690"/>
  <c r="N703" i="42690" s="1"/>
  <c r="N694" i="42689"/>
  <c r="H20" i="42696"/>
  <c r="H168" i="42696" s="1"/>
  <c r="J683" i="42697" s="1"/>
  <c r="J683" i="42690"/>
  <c r="J694" i="42689"/>
  <c r="D20" i="42696"/>
  <c r="F683" i="42690"/>
  <c r="F703" i="42690" s="1"/>
  <c r="F694" i="42689"/>
  <c r="Q92" i="42683"/>
  <c r="M26" i="42696"/>
  <c r="M171" i="42696" s="1"/>
  <c r="O514" i="42697" s="1"/>
  <c r="O514" i="42690"/>
  <c r="O525" i="42689"/>
  <c r="I26" i="42696"/>
  <c r="I171" i="42696" s="1"/>
  <c r="K514" i="42697" s="1"/>
  <c r="K525" i="42697" s="1"/>
  <c r="K530" i="42697" s="1"/>
  <c r="K514" i="42690"/>
  <c r="K525" i="42689"/>
  <c r="E26" i="42696"/>
  <c r="E171" i="42696" s="1"/>
  <c r="G514" i="42697" s="1"/>
  <c r="G514" i="42690"/>
  <c r="G525" i="42689"/>
  <c r="L19" i="42696"/>
  <c r="L167" i="42696" s="1"/>
  <c r="N640" i="42697" s="1"/>
  <c r="N640" i="42690"/>
  <c r="N651" i="42689"/>
  <c r="H19" i="42696"/>
  <c r="H167" i="42696" s="1"/>
  <c r="J640" i="42697" s="1"/>
  <c r="J640" i="42690"/>
  <c r="J651" i="42689"/>
  <c r="D19" i="42696"/>
  <c r="F640" i="42690"/>
  <c r="F651" i="42689"/>
  <c r="Q90" i="42683"/>
  <c r="L25" i="42696"/>
  <c r="L170" i="42696" s="1"/>
  <c r="N478" i="42697" s="1"/>
  <c r="N478" i="42690"/>
  <c r="N489" i="42689"/>
  <c r="H25" i="42696"/>
  <c r="H170" i="42696" s="1"/>
  <c r="J478" i="42697" s="1"/>
  <c r="J478" i="42690"/>
  <c r="J489" i="42689"/>
  <c r="D25" i="42696"/>
  <c r="F478" i="42690"/>
  <c r="Q88" i="42683"/>
  <c r="F489" i="42689"/>
  <c r="M18" i="42696"/>
  <c r="O439" i="42690"/>
  <c r="O450" i="42689"/>
  <c r="I18" i="42696"/>
  <c r="K439" i="42690"/>
  <c r="K450" i="42689"/>
  <c r="E18" i="42696"/>
  <c r="G439" i="42690"/>
  <c r="G450" i="42689"/>
  <c r="L17" i="42696"/>
  <c r="N409" i="42690"/>
  <c r="N420" i="42689"/>
  <c r="H17" i="42696"/>
  <c r="J409" i="42690"/>
  <c r="J420" i="42689"/>
  <c r="D17" i="42696"/>
  <c r="F409" i="42690"/>
  <c r="F420" i="42689"/>
  <c r="Q86" i="42683"/>
  <c r="M24" i="42696"/>
  <c r="O227" i="42690"/>
  <c r="O238" i="42689"/>
  <c r="I24" i="42696"/>
  <c r="K227" i="42690"/>
  <c r="K238" i="42689"/>
  <c r="E24" i="42696"/>
  <c r="G227" i="42690"/>
  <c r="G238" i="42689"/>
  <c r="L16" i="42696"/>
  <c r="N374" i="42690"/>
  <c r="N385" i="42689"/>
  <c r="H16" i="42696"/>
  <c r="J374" i="42690"/>
  <c r="J385" i="42689"/>
  <c r="D16" i="42696"/>
  <c r="F374" i="42690"/>
  <c r="F385" i="42689"/>
  <c r="Q77" i="42683"/>
  <c r="E18" i="42700" s="1"/>
  <c r="M15" i="42696"/>
  <c r="O324" i="42690"/>
  <c r="O335" i="42689"/>
  <c r="I15" i="42696"/>
  <c r="K324" i="42690"/>
  <c r="K335" i="42689"/>
  <c r="E15" i="42696"/>
  <c r="G324" i="42690"/>
  <c r="G335" i="42689"/>
  <c r="L23" i="42696"/>
  <c r="N186" i="42690"/>
  <c r="N197" i="42689"/>
  <c r="H23" i="42696"/>
  <c r="J186" i="42690"/>
  <c r="J197" i="42689"/>
  <c r="D23" i="42696"/>
  <c r="F186" i="42690"/>
  <c r="Q75" i="42683"/>
  <c r="E15" i="42700" s="1"/>
  <c r="I15" i="42700" s="1"/>
  <c r="F197" i="42689"/>
  <c r="M14" i="42696"/>
  <c r="O281" i="42690"/>
  <c r="O292" i="42689"/>
  <c r="I14" i="42696"/>
  <c r="K281" i="42690"/>
  <c r="K292" i="42689"/>
  <c r="E14" i="42696"/>
  <c r="G281" i="42690"/>
  <c r="G292" i="42689"/>
  <c r="Q73" i="42683"/>
  <c r="L22" i="42696"/>
  <c r="N150" i="42690"/>
  <c r="N161" i="42689"/>
  <c r="H22" i="42696"/>
  <c r="J150" i="42690"/>
  <c r="J161" i="42689"/>
  <c r="D22" i="42696"/>
  <c r="F150" i="42690"/>
  <c r="Q71" i="42683"/>
  <c r="E13" i="42700" s="1"/>
  <c r="I13" i="42700" s="1"/>
  <c r="F161" i="42689"/>
  <c r="M13" i="42696"/>
  <c r="O111" i="42690"/>
  <c r="O122" i="42689"/>
  <c r="I13" i="42696"/>
  <c r="K111" i="42690"/>
  <c r="K122" i="42689"/>
  <c r="E13" i="42696"/>
  <c r="G111" i="42690"/>
  <c r="G122" i="42689"/>
  <c r="L12" i="42696"/>
  <c r="N81" i="42690"/>
  <c r="N92" i="42689"/>
  <c r="H12" i="42696"/>
  <c r="J81" i="42690"/>
  <c r="J92" i="42689"/>
  <c r="D12" i="42696"/>
  <c r="F81" i="42690"/>
  <c r="F92" i="42689"/>
  <c r="Q69" i="42683"/>
  <c r="N11" i="42696"/>
  <c r="N164" i="42696" s="1"/>
  <c r="P52" i="42690"/>
  <c r="P63" i="42689"/>
  <c r="J11" i="42696"/>
  <c r="J164" i="42696" s="1"/>
  <c r="L52" i="42690"/>
  <c r="L63" i="42689"/>
  <c r="F11" i="42696"/>
  <c r="F164" i="42696" s="1"/>
  <c r="H52" i="42690"/>
  <c r="H63" i="42689"/>
  <c r="N61" i="42696"/>
  <c r="N92" i="42696" s="1"/>
  <c r="N104" i="42696" s="1"/>
  <c r="J61" i="42696"/>
  <c r="J92" i="42696" s="1"/>
  <c r="J104" i="42696" s="1"/>
  <c r="F61" i="42696"/>
  <c r="F92" i="42696" s="1"/>
  <c r="F104" i="42696" s="1"/>
  <c r="P62" i="42683"/>
  <c r="L62" i="42683"/>
  <c r="H62" i="42683"/>
  <c r="O101" i="42683"/>
  <c r="K101" i="42683"/>
  <c r="G101" i="42683"/>
  <c r="R986" i="42690"/>
  <c r="Q19" i="42690"/>
  <c r="Q798" i="42690"/>
  <c r="Q23" i="42690"/>
  <c r="Q20" i="42690"/>
  <c r="Q947" i="42690" s="1"/>
  <c r="Q16" i="42690"/>
  <c r="Q840" i="42690" s="1"/>
  <c r="Q798" i="42692"/>
  <c r="Q19" i="42692"/>
  <c r="Q23" i="42692"/>
  <c r="Q20" i="42692"/>
  <c r="Q947" i="42692" s="1"/>
  <c r="Q16" i="42692"/>
  <c r="Q840" i="42692" s="1"/>
  <c r="Q798" i="42697"/>
  <c r="Q16" i="42697"/>
  <c r="Q840" i="42697" s="1"/>
  <c r="O798" i="42691"/>
  <c r="O23" i="42691"/>
  <c r="O20" i="42691"/>
  <c r="O947" i="42691" s="1"/>
  <c r="O16" i="42691"/>
  <c r="O840" i="42691" s="1"/>
  <c r="M163" i="42696"/>
  <c r="M19" i="42690"/>
  <c r="M798" i="42690"/>
  <c r="M23" i="42690"/>
  <c r="M20" i="42690"/>
  <c r="M947" i="42690" s="1"/>
  <c r="M16" i="42690"/>
  <c r="M840" i="42690" s="1"/>
  <c r="M798" i="42692"/>
  <c r="M19" i="42692"/>
  <c r="M23" i="42692"/>
  <c r="M20" i="42692"/>
  <c r="M947" i="42692" s="1"/>
  <c r="M16" i="42692"/>
  <c r="M840" i="42692" s="1"/>
  <c r="M798" i="42697"/>
  <c r="M16" i="42697"/>
  <c r="M840" i="42697" s="1"/>
  <c r="K798" i="42691"/>
  <c r="K23" i="42691"/>
  <c r="K20" i="42691"/>
  <c r="K947" i="42691" s="1"/>
  <c r="K16" i="42691"/>
  <c r="K840" i="42691" s="1"/>
  <c r="I163" i="42696"/>
  <c r="I19" i="42690"/>
  <c r="I798" i="42690"/>
  <c r="I23" i="42690"/>
  <c r="I20" i="42690"/>
  <c r="I947" i="42690" s="1"/>
  <c r="I16" i="42690"/>
  <c r="I840" i="42690" s="1"/>
  <c r="I798" i="42692"/>
  <c r="I19" i="42692"/>
  <c r="I23" i="42692"/>
  <c r="I20" i="42692"/>
  <c r="I947" i="42692" s="1"/>
  <c r="I16" i="42692"/>
  <c r="I840" i="42692" s="1"/>
  <c r="I798" i="42697"/>
  <c r="I16" i="42697"/>
  <c r="I840" i="42697" s="1"/>
  <c r="G798" i="42691"/>
  <c r="G23" i="42691"/>
  <c r="G20" i="42691"/>
  <c r="G947" i="42691" s="1"/>
  <c r="G16" i="42691"/>
  <c r="G840" i="42691" s="1"/>
  <c r="E163" i="42696"/>
  <c r="G850" i="42697"/>
  <c r="G661" i="42697"/>
  <c r="G639" i="42697"/>
  <c r="G649" i="42697" s="1"/>
  <c r="G650" i="42697" s="1"/>
  <c r="G659" i="42697" s="1"/>
  <c r="Q859" i="42697"/>
  <c r="Q477" i="42697"/>
  <c r="Q487" i="42697" s="1"/>
  <c r="Q488" i="42697" s="1"/>
  <c r="Q493" i="42697" s="1"/>
  <c r="O859" i="42697"/>
  <c r="O477" i="42697"/>
  <c r="O487" i="42697" s="1"/>
  <c r="O488" i="42697" s="1"/>
  <c r="O493" i="42697" s="1"/>
  <c r="M859" i="42697"/>
  <c r="M477" i="42697"/>
  <c r="M487" i="42697" s="1"/>
  <c r="M488" i="42697" s="1"/>
  <c r="M493" i="42697" s="1"/>
  <c r="I859" i="42697"/>
  <c r="I477" i="42697"/>
  <c r="I487" i="42697" s="1"/>
  <c r="I488" i="42697" s="1"/>
  <c r="I493" i="42697" s="1"/>
  <c r="P849" i="42690"/>
  <c r="P438" i="42690"/>
  <c r="P448" i="42690" s="1"/>
  <c r="P449" i="42690" s="1"/>
  <c r="P457" i="42690" s="1"/>
  <c r="L849" i="42690"/>
  <c r="L438" i="42690"/>
  <c r="L448" i="42690" s="1"/>
  <c r="L449" i="42690" s="1"/>
  <c r="L457" i="42690" s="1"/>
  <c r="H849" i="42690"/>
  <c r="H438" i="42690"/>
  <c r="H448" i="42690" s="1"/>
  <c r="H449" i="42690" s="1"/>
  <c r="H457" i="42690" s="1"/>
  <c r="Q848" i="42690"/>
  <c r="Q413" i="42690"/>
  <c r="M848" i="42690"/>
  <c r="M413" i="42690"/>
  <c r="I848" i="42690"/>
  <c r="I413" i="42690"/>
  <c r="H24" i="42696"/>
  <c r="J227" i="42690"/>
  <c r="J238" i="42689"/>
  <c r="M16" i="42696"/>
  <c r="O374" i="42690"/>
  <c r="O385" i="42689"/>
  <c r="E16" i="42696"/>
  <c r="G374" i="42690"/>
  <c r="G385" i="42689"/>
  <c r="J15" i="42696"/>
  <c r="L324" i="42690"/>
  <c r="L335" i="42689"/>
  <c r="O23" i="42696"/>
  <c r="Q186" i="42690"/>
  <c r="Q197" i="42689"/>
  <c r="G23" i="42696"/>
  <c r="I186" i="42690"/>
  <c r="I197" i="42689"/>
  <c r="H14" i="42696"/>
  <c r="J281" i="42690"/>
  <c r="J292" i="42689"/>
  <c r="O22" i="42696"/>
  <c r="Q150" i="42690"/>
  <c r="Q161" i="42689"/>
  <c r="G22" i="42696"/>
  <c r="I150" i="42690"/>
  <c r="I161" i="42689"/>
  <c r="H13" i="42696"/>
  <c r="J111" i="42690"/>
  <c r="J122" i="42689"/>
  <c r="O12" i="42696"/>
  <c r="Q81" i="42690"/>
  <c r="Q92" i="42689"/>
  <c r="G12" i="42696"/>
  <c r="I81" i="42690"/>
  <c r="I92" i="42689"/>
  <c r="K11" i="42696"/>
  <c r="K164" i="42696" s="1"/>
  <c r="M52" i="42690"/>
  <c r="M63" i="42689"/>
  <c r="Q58" i="42683"/>
  <c r="I61" i="42696"/>
  <c r="I92" i="42696" s="1"/>
  <c r="I104" i="42696" s="1"/>
  <c r="O62" i="42683"/>
  <c r="G62" i="42683"/>
  <c r="L101" i="42683"/>
  <c r="R1000" i="42689"/>
  <c r="R989" i="42697"/>
  <c r="N798" i="42690"/>
  <c r="N23" i="42690"/>
  <c r="N16" i="42690"/>
  <c r="N840" i="42690" s="1"/>
  <c r="N19" i="42690"/>
  <c r="N798" i="42692"/>
  <c r="N16" i="42692"/>
  <c r="N840" i="42692" s="1"/>
  <c r="N19" i="42692"/>
  <c r="N798" i="42697"/>
  <c r="N16" i="42697"/>
  <c r="N840" i="42697" s="1"/>
  <c r="J798" i="42691"/>
  <c r="J23" i="42691"/>
  <c r="J20" i="42691"/>
  <c r="J947" i="42691" s="1"/>
  <c r="J16" i="42691"/>
  <c r="J840" i="42691" s="1"/>
  <c r="H163" i="42696"/>
  <c r="F798" i="42690"/>
  <c r="F23" i="42690"/>
  <c r="F16" i="42690"/>
  <c r="F19" i="42690"/>
  <c r="R14" i="42690"/>
  <c r="F798" i="42692"/>
  <c r="F16" i="42692"/>
  <c r="F19" i="42692"/>
  <c r="R14" i="42692"/>
  <c r="F798" i="42697"/>
  <c r="R14" i="42697"/>
  <c r="F42" i="42698" s="1"/>
  <c r="F16" i="42697"/>
  <c r="R558" i="42691"/>
  <c r="R602" i="42691"/>
  <c r="P163" i="42691"/>
  <c r="L163" i="42691"/>
  <c r="H163" i="42691"/>
  <c r="O124" i="42691"/>
  <c r="O126" i="42691" s="1"/>
  <c r="K124" i="42691"/>
  <c r="K126" i="42691" s="1"/>
  <c r="G124" i="42691"/>
  <c r="G126" i="42691" s="1"/>
  <c r="O19" i="42691"/>
  <c r="K19" i="42691"/>
  <c r="G19" i="42691"/>
  <c r="R915" i="42690"/>
  <c r="R830" i="42690"/>
  <c r="F339" i="42690"/>
  <c r="F914" i="42690"/>
  <c r="R914" i="42690" s="1"/>
  <c r="R806" i="42690"/>
  <c r="R832" i="42690" s="1"/>
  <c r="Q417" i="42690"/>
  <c r="M417" i="42690"/>
  <c r="I417" i="42690"/>
  <c r="Q414" i="42690"/>
  <c r="M414" i="42690"/>
  <c r="I414" i="42690"/>
  <c r="Q918" i="42690"/>
  <c r="Q919" i="42690" s="1"/>
  <c r="O918" i="42690"/>
  <c r="O919" i="42690" s="1"/>
  <c r="M918" i="42690"/>
  <c r="M919" i="42690" s="1"/>
  <c r="K918" i="42690"/>
  <c r="K919" i="42690" s="1"/>
  <c r="I918" i="42690"/>
  <c r="I919" i="42690" s="1"/>
  <c r="G918" i="42690"/>
  <c r="G919" i="42690" s="1"/>
  <c r="Q821" i="42690"/>
  <c r="Q987" i="42690" s="1"/>
  <c r="O821" i="42690"/>
  <c r="O987" i="42690" s="1"/>
  <c r="M821" i="42690"/>
  <c r="M987" i="42690" s="1"/>
  <c r="K821" i="42690"/>
  <c r="K987" i="42690" s="1"/>
  <c r="I821" i="42690"/>
  <c r="I987" i="42690" s="1"/>
  <c r="G821" i="42690"/>
  <c r="G987" i="42690" s="1"/>
  <c r="R753" i="42691"/>
  <c r="F902" i="42691"/>
  <c r="R902" i="42691" s="1"/>
  <c r="R684" i="42691"/>
  <c r="R657" i="42691"/>
  <c r="F901" i="42691"/>
  <c r="R901" i="42691" s="1"/>
  <c r="R641" i="42691"/>
  <c r="Q861" i="42689"/>
  <c r="Q650" i="42689"/>
  <c r="M861" i="42689"/>
  <c r="M650" i="42689"/>
  <c r="I861" i="42689"/>
  <c r="I650" i="42689"/>
  <c r="F900" i="42691"/>
  <c r="R900" i="42691" s="1"/>
  <c r="R588" i="42691"/>
  <c r="R569" i="42689"/>
  <c r="N899" i="42692"/>
  <c r="N915" i="42692" s="1"/>
  <c r="N558" i="42692"/>
  <c r="J899" i="42692"/>
  <c r="J915" i="42692" s="1"/>
  <c r="J558" i="42692"/>
  <c r="F926" i="42689"/>
  <c r="R926" i="42689" s="1"/>
  <c r="R910" i="42689"/>
  <c r="F899" i="42692"/>
  <c r="F558" i="42692"/>
  <c r="R558" i="42692" s="1"/>
  <c r="R548" i="42692"/>
  <c r="H871" i="42689"/>
  <c r="H524" i="42689"/>
  <c r="R491" i="42689"/>
  <c r="F896" i="42691"/>
  <c r="R896" i="42691" s="1"/>
  <c r="R440" i="42691"/>
  <c r="F896" i="42692"/>
  <c r="R896" i="42692" s="1"/>
  <c r="S896" i="42697" s="1"/>
  <c r="R440" i="42692"/>
  <c r="K409" i="42692"/>
  <c r="K417" i="42692" s="1"/>
  <c r="K859" i="42689"/>
  <c r="K409" i="42691"/>
  <c r="K424" i="42689"/>
  <c r="K426" i="42689" s="1"/>
  <c r="R394" i="42691"/>
  <c r="P895" i="42692"/>
  <c r="P912" i="42692" s="1"/>
  <c r="P391" i="42692"/>
  <c r="P393" i="42692" s="1"/>
  <c r="P392" i="42692"/>
  <c r="N895" i="42691"/>
  <c r="N912" i="42691" s="1"/>
  <c r="N392" i="42691"/>
  <c r="N393" i="42691" s="1"/>
  <c r="L895" i="42692"/>
  <c r="L912" i="42692" s="1"/>
  <c r="L391" i="42692"/>
  <c r="L392" i="42692"/>
  <c r="J895" i="42691"/>
  <c r="J912" i="42691" s="1"/>
  <c r="J392" i="42691"/>
  <c r="J393" i="42691" s="1"/>
  <c r="H895" i="42692"/>
  <c r="H912" i="42692" s="1"/>
  <c r="H391" i="42692"/>
  <c r="H393" i="42692" s="1"/>
  <c r="H392" i="42692"/>
  <c r="F895" i="42691"/>
  <c r="F392" i="42691"/>
  <c r="R375" i="42691"/>
  <c r="R340" i="42691"/>
  <c r="P894" i="42691"/>
  <c r="P911" i="42691" s="1"/>
  <c r="P338" i="42691"/>
  <c r="P339" i="42691" s="1"/>
  <c r="P337" i="42692"/>
  <c r="P894" i="42692"/>
  <c r="P911" i="42692" s="1"/>
  <c r="P338" i="42692"/>
  <c r="N922" i="42689"/>
  <c r="N929" i="42689" s="1"/>
  <c r="L894" i="42691"/>
  <c r="L911" i="42691" s="1"/>
  <c r="L338" i="42691"/>
  <c r="L339" i="42691" s="1"/>
  <c r="L337" i="42692"/>
  <c r="L894" i="42692"/>
  <c r="L911" i="42692" s="1"/>
  <c r="L338" i="42692"/>
  <c r="J922" i="42689"/>
  <c r="H894" i="42691"/>
  <c r="H911" i="42691" s="1"/>
  <c r="H338" i="42691"/>
  <c r="H339" i="42691" s="1"/>
  <c r="H337" i="42692"/>
  <c r="H894" i="42692"/>
  <c r="H911" i="42692" s="1"/>
  <c r="H338" i="42692"/>
  <c r="R905" i="42689"/>
  <c r="F922" i="42689"/>
  <c r="R298" i="42691"/>
  <c r="Q308" i="42689"/>
  <c r="M308" i="42689"/>
  <c r="I308" i="42689"/>
  <c r="R297" i="42689"/>
  <c r="Q921" i="42689"/>
  <c r="O893" i="42691"/>
  <c r="O910" i="42691" s="1"/>
  <c r="O296" i="42691"/>
  <c r="O295" i="42691"/>
  <c r="O893" i="42692"/>
  <c r="O910" i="42692" s="1"/>
  <c r="O296" i="42692"/>
  <c r="O295" i="42692"/>
  <c r="M921" i="42689"/>
  <c r="K893" i="42691"/>
  <c r="K910" i="42691" s="1"/>
  <c r="K296" i="42691"/>
  <c r="K295" i="42691"/>
  <c r="K893" i="42692"/>
  <c r="K910" i="42692" s="1"/>
  <c r="K296" i="42692"/>
  <c r="K295" i="42692"/>
  <c r="I921" i="42689"/>
  <c r="G893" i="42691"/>
  <c r="G910" i="42691" s="1"/>
  <c r="G296" i="42691"/>
  <c r="G295" i="42691"/>
  <c r="G893" i="42692"/>
  <c r="G910" i="42692" s="1"/>
  <c r="G296" i="42692"/>
  <c r="G295" i="42692"/>
  <c r="Q927" i="42689"/>
  <c r="Q892" i="42692"/>
  <c r="Q916" i="42692" s="1"/>
  <c r="Q242" i="42692"/>
  <c r="O916" i="42691"/>
  <c r="M927" i="42689"/>
  <c r="M892" i="42692"/>
  <c r="M916" i="42692" s="1"/>
  <c r="M242" i="42692"/>
  <c r="K916" i="42691"/>
  <c r="I927" i="42689"/>
  <c r="I892" i="42692"/>
  <c r="I916" i="42692" s="1"/>
  <c r="I242" i="42692"/>
  <c r="G916" i="42691"/>
  <c r="Q925" i="42689"/>
  <c r="Q891" i="42692"/>
  <c r="Q914" i="42692" s="1"/>
  <c r="Q198" i="42692"/>
  <c r="O914" i="42691"/>
  <c r="M925" i="42689"/>
  <c r="M891" i="42692"/>
  <c r="M914" i="42692" s="1"/>
  <c r="M198" i="42692"/>
  <c r="K914" i="42691"/>
  <c r="I925" i="42689"/>
  <c r="I891" i="42692"/>
  <c r="I914" i="42692" s="1"/>
  <c r="I198" i="42692"/>
  <c r="G914" i="42691"/>
  <c r="F175" i="42689"/>
  <c r="R175" i="42689" s="1"/>
  <c r="R163" i="42689"/>
  <c r="Q913" i="42691"/>
  <c r="O924" i="42689"/>
  <c r="O890" i="42692"/>
  <c r="O913" i="42692" s="1"/>
  <c r="O163" i="42692"/>
  <c r="M913" i="42691"/>
  <c r="K924" i="42689"/>
  <c r="K890" i="42692"/>
  <c r="K913" i="42692" s="1"/>
  <c r="K163" i="42692"/>
  <c r="I913" i="42691"/>
  <c r="G924" i="42689"/>
  <c r="G890" i="42692"/>
  <c r="G913" i="42692" s="1"/>
  <c r="G163" i="42692"/>
  <c r="R127" i="42689"/>
  <c r="P920" i="42689"/>
  <c r="P929" i="42689" s="1"/>
  <c r="P889" i="42692"/>
  <c r="P909" i="42692" s="1"/>
  <c r="P918" i="42692" s="1"/>
  <c r="P125" i="42692"/>
  <c r="P124" i="42692"/>
  <c r="N889" i="42691"/>
  <c r="N125" i="42691"/>
  <c r="N124" i="42691"/>
  <c r="L920" i="42689"/>
  <c r="L929" i="42689" s="1"/>
  <c r="L889" i="42692"/>
  <c r="L909" i="42692" s="1"/>
  <c r="L918" i="42692" s="1"/>
  <c r="L125" i="42692"/>
  <c r="L124" i="42692"/>
  <c r="J889" i="42691"/>
  <c r="J125" i="42691"/>
  <c r="J124" i="42691"/>
  <c r="H920" i="42689"/>
  <c r="H929" i="42689" s="1"/>
  <c r="H889" i="42692"/>
  <c r="H909" i="42692" s="1"/>
  <c r="H918" i="42692" s="1"/>
  <c r="H125" i="42692"/>
  <c r="H124" i="42692"/>
  <c r="F889" i="42691"/>
  <c r="F125" i="42691"/>
  <c r="R125" i="42691" s="1"/>
  <c r="F124" i="42691"/>
  <c r="R112" i="42691"/>
  <c r="P916" i="42689"/>
  <c r="P1001" i="42689" s="1"/>
  <c r="N916" i="42689"/>
  <c r="N1001" i="42689" s="1"/>
  <c r="L916" i="42689"/>
  <c r="L1001" i="42689" s="1"/>
  <c r="J916" i="42689"/>
  <c r="J1001" i="42689" s="1"/>
  <c r="H916" i="42689"/>
  <c r="H1001" i="42689" s="1"/>
  <c r="F916" i="42689"/>
  <c r="F1001" i="42689" s="1"/>
  <c r="F929" i="42689"/>
  <c r="R919" i="42689"/>
  <c r="R48" i="42689"/>
  <c r="P848" i="42689"/>
  <c r="N848" i="42689"/>
  <c r="L848" i="42689"/>
  <c r="J848" i="42689"/>
  <c r="H848" i="42689"/>
  <c r="F847" i="42689"/>
  <c r="R835" i="42689"/>
  <c r="R847" i="42689" s="1"/>
  <c r="F832" i="42689"/>
  <c r="F998" i="42689" s="1"/>
  <c r="O941" i="42689"/>
  <c r="O32" i="42689"/>
  <c r="K941" i="42689"/>
  <c r="K32" i="42689"/>
  <c r="G941" i="42689"/>
  <c r="G32" i="42689"/>
  <c r="N809" i="42689"/>
  <c r="N34" i="42689"/>
  <c r="N31" i="42689"/>
  <c r="N23" i="42689"/>
  <c r="N851" i="42689" s="1"/>
  <c r="J809" i="42689"/>
  <c r="J34" i="42689"/>
  <c r="J31" i="42689"/>
  <c r="J23" i="42689"/>
  <c r="J851" i="42689" s="1"/>
  <c r="F809" i="42689"/>
  <c r="R809" i="42689" s="1"/>
  <c r="F34" i="42689"/>
  <c r="F31" i="42689"/>
  <c r="F23" i="42689"/>
  <c r="N49" i="42688"/>
  <c r="N50" i="42688" s="1"/>
  <c r="S26" i="42687"/>
  <c r="S32" i="42687" s="1"/>
  <c r="S93" i="42687" s="1"/>
  <c r="R32" i="42687"/>
  <c r="O90" i="42687"/>
  <c r="K90" i="42687"/>
  <c r="G90" i="42687"/>
  <c r="P90" i="42686"/>
  <c r="L90" i="42686"/>
  <c r="H90" i="42686"/>
  <c r="R23" i="42686"/>
  <c r="R87" i="42686" s="1"/>
  <c r="R90" i="42686" s="1"/>
  <c r="M29" i="42696"/>
  <c r="O791" i="42689"/>
  <c r="O780" i="42690"/>
  <c r="I29" i="42696"/>
  <c r="K791" i="42689"/>
  <c r="K780" i="42690"/>
  <c r="E29" i="42696"/>
  <c r="G791" i="42689"/>
  <c r="G780" i="42690"/>
  <c r="L28" i="42696"/>
  <c r="L173" i="42696" s="1"/>
  <c r="N587" i="42697" s="1"/>
  <c r="N587" i="42690"/>
  <c r="N598" i="42689"/>
  <c r="H28" i="42696"/>
  <c r="H173" i="42696" s="1"/>
  <c r="J587" i="42697" s="1"/>
  <c r="J587" i="42690"/>
  <c r="J598" i="42689"/>
  <c r="D28" i="42696"/>
  <c r="F587" i="42690"/>
  <c r="F598" i="42689"/>
  <c r="Q95" i="42683"/>
  <c r="M21" i="42696"/>
  <c r="M169" i="42696" s="1"/>
  <c r="O733" i="42697" s="1"/>
  <c r="O733" i="42690"/>
  <c r="O744" i="42689"/>
  <c r="I21" i="42696"/>
  <c r="I169" i="42696" s="1"/>
  <c r="K733" i="42697" s="1"/>
  <c r="K757" i="42697" s="1"/>
  <c r="K733" i="42690"/>
  <c r="K744" i="42689"/>
  <c r="E21" i="42696"/>
  <c r="E169" i="42696" s="1"/>
  <c r="G733" i="42697" s="1"/>
  <c r="G733" i="42690"/>
  <c r="G744" i="42689"/>
  <c r="L27" i="42696"/>
  <c r="N547" i="42690"/>
  <c r="N558" i="42689"/>
  <c r="H27" i="42696"/>
  <c r="J547" i="42690"/>
  <c r="J558" i="42689"/>
  <c r="D27" i="42696"/>
  <c r="F547" i="42690"/>
  <c r="F558" i="42689"/>
  <c r="Q93" i="42683"/>
  <c r="E17" i="42700" s="1"/>
  <c r="I17" i="42700" s="1"/>
  <c r="M20" i="42696"/>
  <c r="M168" i="42696" s="1"/>
  <c r="O683" i="42697" s="1"/>
  <c r="O683" i="42690"/>
  <c r="O694" i="42689"/>
  <c r="I20" i="42696"/>
  <c r="I168" i="42696" s="1"/>
  <c r="K683" i="42697" s="1"/>
  <c r="K683" i="42690"/>
  <c r="K694" i="42689"/>
  <c r="E20" i="42696"/>
  <c r="E168" i="42696" s="1"/>
  <c r="G683" i="42697" s="1"/>
  <c r="G683" i="42690"/>
  <c r="G694" i="42689"/>
  <c r="N26" i="42696"/>
  <c r="N171" i="42696" s="1"/>
  <c r="P514" i="42697" s="1"/>
  <c r="P514" i="42690"/>
  <c r="P525" i="42689"/>
  <c r="J26" i="42696"/>
  <c r="J171" i="42696" s="1"/>
  <c r="L514" i="42697" s="1"/>
  <c r="L514" i="42690"/>
  <c r="L525" i="42689"/>
  <c r="H860" i="42690"/>
  <c r="H513" i="42690"/>
  <c r="H523" i="42690" s="1"/>
  <c r="H524" i="42690" s="1"/>
  <c r="H528" i="42690" s="1"/>
  <c r="F860" i="42690"/>
  <c r="F513" i="42690"/>
  <c r="R514" i="42690"/>
  <c r="Q639" i="42690"/>
  <c r="Q649" i="42690" s="1"/>
  <c r="Q650" i="42690" s="1"/>
  <c r="Q659" i="42690" s="1"/>
  <c r="Q850" i="42690"/>
  <c r="O639" i="42690"/>
  <c r="O649" i="42690" s="1"/>
  <c r="O650" i="42690" s="1"/>
  <c r="O659" i="42690" s="1"/>
  <c r="O850" i="42690"/>
  <c r="M639" i="42690"/>
  <c r="M649" i="42690" s="1"/>
  <c r="M650" i="42690" s="1"/>
  <c r="M659" i="42690" s="1"/>
  <c r="M850" i="42690"/>
  <c r="K639" i="42690"/>
  <c r="K649" i="42690" s="1"/>
  <c r="K650" i="42690" s="1"/>
  <c r="K659" i="42690" s="1"/>
  <c r="K850" i="42690"/>
  <c r="I639" i="42690"/>
  <c r="I649" i="42690" s="1"/>
  <c r="I650" i="42690" s="1"/>
  <c r="I659" i="42690" s="1"/>
  <c r="I850" i="42690"/>
  <c r="K859" i="42690"/>
  <c r="K490" i="42690"/>
  <c r="K477" i="42690"/>
  <c r="K487" i="42690" s="1"/>
  <c r="K488" i="42690" s="1"/>
  <c r="G859" i="42690"/>
  <c r="G490" i="42690"/>
  <c r="G477" i="42690"/>
  <c r="G487" i="42690" s="1"/>
  <c r="G488" i="42690" s="1"/>
  <c r="N849" i="42690"/>
  <c r="N438" i="42690"/>
  <c r="N448" i="42690" s="1"/>
  <c r="N449" i="42690" s="1"/>
  <c r="N457" i="42690" s="1"/>
  <c r="J849" i="42690"/>
  <c r="J438" i="42690"/>
  <c r="J448" i="42690" s="1"/>
  <c r="J449" i="42690" s="1"/>
  <c r="J457" i="42690" s="1"/>
  <c r="F849" i="42690"/>
  <c r="F438" i="42690"/>
  <c r="O848" i="42690"/>
  <c r="O413" i="42690"/>
  <c r="O415" i="42690" s="1"/>
  <c r="K848" i="42690"/>
  <c r="K413" i="42690"/>
  <c r="K415" i="42690" s="1"/>
  <c r="G848" i="42690"/>
  <c r="G413" i="42690"/>
  <c r="G415" i="42690" s="1"/>
  <c r="J24" i="42696"/>
  <c r="L227" i="42690"/>
  <c r="L238" i="42689"/>
  <c r="O16" i="42696"/>
  <c r="Q374" i="42690"/>
  <c r="Q385" i="42689"/>
  <c r="G16" i="42696"/>
  <c r="I374" i="42690"/>
  <c r="I385" i="42689"/>
  <c r="H15" i="42696"/>
  <c r="J324" i="42690"/>
  <c r="J335" i="42689"/>
  <c r="M23" i="42696"/>
  <c r="O186" i="42690"/>
  <c r="O197" i="42689"/>
  <c r="E23" i="42696"/>
  <c r="G186" i="42690"/>
  <c r="G197" i="42689"/>
  <c r="J14" i="42696"/>
  <c r="L281" i="42690"/>
  <c r="L292" i="42689"/>
  <c r="M22" i="42696"/>
  <c r="O150" i="42690"/>
  <c r="O161" i="42689"/>
  <c r="E22" i="42696"/>
  <c r="G150" i="42690"/>
  <c r="G161" i="42689"/>
  <c r="J13" i="42696"/>
  <c r="L111" i="42690"/>
  <c r="L122" i="42689"/>
  <c r="M12" i="42696"/>
  <c r="M30" i="42696" s="1"/>
  <c r="O81" i="42690"/>
  <c r="O92" i="42689"/>
  <c r="E12" i="42696"/>
  <c r="E30" i="42696" s="1"/>
  <c r="G81" i="42690"/>
  <c r="G92" i="42689"/>
  <c r="Q60" i="42683"/>
  <c r="E11" i="42700" s="1"/>
  <c r="I11" i="42696"/>
  <c r="I164" i="42696" s="1"/>
  <c r="K52" i="42690"/>
  <c r="K63" i="42689"/>
  <c r="K61" i="42696"/>
  <c r="K92" i="42696" s="1"/>
  <c r="K104" i="42696" s="1"/>
  <c r="M62" i="42683"/>
  <c r="E62" i="42683"/>
  <c r="Q56" i="42683"/>
  <c r="Q62" i="42683" s="1"/>
  <c r="J101" i="42683"/>
  <c r="P798" i="42691"/>
  <c r="P23" i="42691"/>
  <c r="P20" i="42691"/>
  <c r="P947" i="42691" s="1"/>
  <c r="P16" i="42691"/>
  <c r="P840" i="42691" s="1"/>
  <c r="N163" i="42696"/>
  <c r="N30" i="42696"/>
  <c r="L798" i="42690"/>
  <c r="L23" i="42690"/>
  <c r="L16" i="42690"/>
  <c r="L840" i="42690" s="1"/>
  <c r="L19" i="42690"/>
  <c r="L798" i="42692"/>
  <c r="L16" i="42692"/>
  <c r="L840" i="42692" s="1"/>
  <c r="L19" i="42692"/>
  <c r="L798" i="42697"/>
  <c r="L16" i="42697"/>
  <c r="L840" i="42697" s="1"/>
  <c r="H798" i="42691"/>
  <c r="H23" i="42691"/>
  <c r="H20" i="42691"/>
  <c r="H947" i="42691" s="1"/>
  <c r="H16" i="42691"/>
  <c r="H840" i="42691" s="1"/>
  <c r="F163" i="42696"/>
  <c r="F30" i="42696"/>
  <c r="R667" i="42689"/>
  <c r="H536" i="42689"/>
  <c r="H541" i="42689" s="1"/>
  <c r="O500" i="42689"/>
  <c r="O506" i="42689" s="1"/>
  <c r="K500" i="42689"/>
  <c r="K506" i="42689" s="1"/>
  <c r="G500" i="42689"/>
  <c r="G506" i="42689" s="1"/>
  <c r="N470" i="42689"/>
  <c r="J470" i="42689"/>
  <c r="F470" i="42689"/>
  <c r="R465" i="42689"/>
  <c r="F941" i="42689"/>
  <c r="F32" i="42689"/>
  <c r="R83" i="42687"/>
  <c r="S79" i="42687"/>
  <c r="S83" i="42687" s="1"/>
  <c r="S95" i="42687" s="1"/>
  <c r="N96" i="42687"/>
  <c r="F96" i="42687"/>
  <c r="R93" i="42687"/>
  <c r="R96" i="42687" s="1"/>
  <c r="R54" i="42684"/>
  <c r="F15" i="42699" s="1"/>
  <c r="F13" i="42701" s="1"/>
  <c r="R60" i="42684"/>
  <c r="P874" i="42689"/>
  <c r="P892" i="42689" s="1"/>
  <c r="P790" i="42689"/>
  <c r="N72" i="42696"/>
  <c r="N101" i="42696" s="1"/>
  <c r="N113" i="42696" s="1"/>
  <c r="N126" i="42696" s="1"/>
  <c r="Q858" i="42690"/>
  <c r="Q241" i="42690"/>
  <c r="Q226" i="42690"/>
  <c r="Q239" i="42690" s="1"/>
  <c r="Q240" i="42690" s="1"/>
  <c r="Q672" i="42689"/>
  <c r="M672" i="42689"/>
  <c r="I672" i="42689"/>
  <c r="Q663" i="42689"/>
  <c r="M663" i="42689"/>
  <c r="I663" i="42689"/>
  <c r="Q662" i="42689"/>
  <c r="Q669" i="42689" s="1"/>
  <c r="M662" i="42689"/>
  <c r="M669" i="42689" s="1"/>
  <c r="I662" i="42689"/>
  <c r="I669" i="42689" s="1"/>
  <c r="F503" i="42689"/>
  <c r="R503" i="42689" s="1"/>
  <c r="O49" i="42688"/>
  <c r="O50" i="42688" s="1"/>
  <c r="R95" i="42686"/>
  <c r="E23" i="42720" l="1"/>
  <c r="F23" i="42720" s="1"/>
  <c r="G493" i="42690"/>
  <c r="H930" i="42689"/>
  <c r="P930" i="42689"/>
  <c r="D30" i="42696"/>
  <c r="F905" i="42692"/>
  <c r="F990" i="42692" s="1"/>
  <c r="R337" i="42691"/>
  <c r="I837" i="42690"/>
  <c r="Q837" i="42690"/>
  <c r="F837" i="42691"/>
  <c r="R631" i="42697"/>
  <c r="K493" i="42697"/>
  <c r="J918" i="42692"/>
  <c r="K929" i="42689"/>
  <c r="K930" i="42689" s="1"/>
  <c r="H126" i="42692"/>
  <c r="J126" i="42691"/>
  <c r="L930" i="42689"/>
  <c r="P126" i="42692"/>
  <c r="G297" i="42691"/>
  <c r="K297" i="42692"/>
  <c r="O297" i="42691"/>
  <c r="N930" i="42689"/>
  <c r="R163" i="42691"/>
  <c r="G918" i="42691"/>
  <c r="I929" i="42689"/>
  <c r="I930" i="42689" s="1"/>
  <c r="K918" i="42691"/>
  <c r="M929" i="42689"/>
  <c r="M930" i="42689" s="1"/>
  <c r="O918" i="42691"/>
  <c r="Q929" i="42689"/>
  <c r="Q930" i="42689" s="1"/>
  <c r="M837" i="42690"/>
  <c r="R916" i="42689"/>
  <c r="R1001" i="42689" s="1"/>
  <c r="J929" i="42689"/>
  <c r="J930" i="42689" s="1"/>
  <c r="N918" i="42692"/>
  <c r="G929" i="42689"/>
  <c r="G930" i="42689" s="1"/>
  <c r="O929" i="42689"/>
  <c r="O930" i="42689" s="1"/>
  <c r="I493" i="42690"/>
  <c r="O493" i="42690"/>
  <c r="J919" i="42690"/>
  <c r="N919" i="42690"/>
  <c r="E26" i="42720"/>
  <c r="F26" i="42720" s="1"/>
  <c r="E25" i="42720"/>
  <c r="F25" i="42720" s="1"/>
  <c r="D27" i="42720"/>
  <c r="E24" i="42720"/>
  <c r="F24" i="42720" s="1"/>
  <c r="F196" i="42696"/>
  <c r="P869" i="42691"/>
  <c r="J102" i="42683"/>
  <c r="J103" i="42683"/>
  <c r="F34" i="42690"/>
  <c r="F45" i="42689"/>
  <c r="K52" i="42697"/>
  <c r="I251" i="42696"/>
  <c r="G81" i="42692"/>
  <c r="G81" i="42691"/>
  <c r="G854" i="42689"/>
  <c r="G883" i="42689" s="1"/>
  <c r="G100" i="42689"/>
  <c r="G97" i="42689"/>
  <c r="G961" i="42689" s="1"/>
  <c r="G96" i="42689"/>
  <c r="J63" i="42696"/>
  <c r="J94" i="42696" s="1"/>
  <c r="J106" i="42696" s="1"/>
  <c r="J119" i="42696" s="1"/>
  <c r="G161" i="42690"/>
  <c r="G856" i="42690"/>
  <c r="G162" i="42690"/>
  <c r="G149" i="42690"/>
  <c r="G159" i="42690" s="1"/>
  <c r="G160" i="42690" s="1"/>
  <c r="O150" i="42692"/>
  <c r="O867" i="42689"/>
  <c r="O150" i="42691"/>
  <c r="O172" i="42689"/>
  <c r="O173" i="42689"/>
  <c r="O160" i="42689"/>
  <c r="E166" i="42696"/>
  <c r="E66" i="42696"/>
  <c r="O857" i="42690"/>
  <c r="O197" i="42690"/>
  <c r="O185" i="42690"/>
  <c r="O195" i="42690" s="1"/>
  <c r="O196" i="42690" s="1"/>
  <c r="J857" i="42689"/>
  <c r="J355" i="42689"/>
  <c r="J345" i="42689"/>
  <c r="J346" i="42689"/>
  <c r="J334" i="42689"/>
  <c r="H69" i="42696"/>
  <c r="H97" i="42696" s="1"/>
  <c r="H109" i="42696" s="1"/>
  <c r="H122" i="42696" s="1"/>
  <c r="Q858" i="42689"/>
  <c r="Q400" i="42689"/>
  <c r="Q384" i="42689"/>
  <c r="Q409" i="42689"/>
  <c r="Q399" i="42689"/>
  <c r="O70" i="42696"/>
  <c r="O98" i="42696" s="1"/>
  <c r="O110" i="42696" s="1"/>
  <c r="O123" i="42696" s="1"/>
  <c r="L858" i="42690"/>
  <c r="L241" i="42690"/>
  <c r="L226" i="42690"/>
  <c r="L239" i="42690" s="1"/>
  <c r="L240" i="42690" s="1"/>
  <c r="F448" i="42690"/>
  <c r="L860" i="42690"/>
  <c r="L513" i="42690"/>
  <c r="L523" i="42690" s="1"/>
  <c r="L524" i="42690" s="1"/>
  <c r="L525" i="42690"/>
  <c r="L530" i="42690" s="1"/>
  <c r="P871" i="42689"/>
  <c r="P524" i="42689"/>
  <c r="P536" i="42689"/>
  <c r="P541" i="42689" s="1"/>
  <c r="P860" i="42697"/>
  <c r="P513" i="42697"/>
  <c r="P523" i="42697" s="1"/>
  <c r="P524" i="42697" s="1"/>
  <c r="P525" i="42697"/>
  <c r="P530" i="42697" s="1"/>
  <c r="G851" i="42690"/>
  <c r="G682" i="42690"/>
  <c r="G691" i="42690" s="1"/>
  <c r="G692" i="42690" s="1"/>
  <c r="G693" i="42690"/>
  <c r="G700" i="42690" s="1"/>
  <c r="G703" i="42690"/>
  <c r="G694" i="42690"/>
  <c r="K862" i="42689"/>
  <c r="K693" i="42689"/>
  <c r="K704" i="42689"/>
  <c r="K711" i="42689" s="1"/>
  <c r="K705" i="42689"/>
  <c r="K714" i="42689"/>
  <c r="K851" i="42697"/>
  <c r="K682" i="42697"/>
  <c r="K691" i="42697" s="1"/>
  <c r="K692" i="42697" s="1"/>
  <c r="K694" i="42697"/>
  <c r="O851" i="42690"/>
  <c r="O682" i="42690"/>
  <c r="O691" i="42690" s="1"/>
  <c r="O692" i="42690" s="1"/>
  <c r="O693" i="42690"/>
  <c r="O700" i="42690" s="1"/>
  <c r="O703" i="42690"/>
  <c r="O694" i="42690"/>
  <c r="F557" i="42690"/>
  <c r="F861" i="42690"/>
  <c r="F546" i="42690"/>
  <c r="J872" i="42689"/>
  <c r="J890" i="42689" s="1"/>
  <c r="J568" i="42689"/>
  <c r="J557" i="42689"/>
  <c r="J547" i="42697"/>
  <c r="H172" i="42696"/>
  <c r="N557" i="42690"/>
  <c r="N861" i="42690"/>
  <c r="N879" i="42690" s="1"/>
  <c r="N546" i="42690"/>
  <c r="N555" i="42690" s="1"/>
  <c r="N556" i="42690" s="1"/>
  <c r="G863" i="42689"/>
  <c r="G743" i="42689"/>
  <c r="G768" i="42689"/>
  <c r="G758" i="42689"/>
  <c r="G765" i="42689" s="1"/>
  <c r="G759" i="42689"/>
  <c r="G852" i="42697"/>
  <c r="G732" i="42697"/>
  <c r="G745" i="42697" s="1"/>
  <c r="G746" i="42697" s="1"/>
  <c r="G748" i="42697"/>
  <c r="K852" i="42690"/>
  <c r="K732" i="42690"/>
  <c r="K745" i="42690" s="1"/>
  <c r="K746" i="42690" s="1"/>
  <c r="K755" i="42690" s="1"/>
  <c r="K747" i="42690"/>
  <c r="K754" i="42690" s="1"/>
  <c r="K757" i="42690"/>
  <c r="K748" i="42690"/>
  <c r="O863" i="42689"/>
  <c r="O743" i="42689"/>
  <c r="O768" i="42689"/>
  <c r="O758" i="42689"/>
  <c r="O765" i="42689" s="1"/>
  <c r="O759" i="42689"/>
  <c r="O852" i="42697"/>
  <c r="O732" i="42697"/>
  <c r="O745" i="42697" s="1"/>
  <c r="O746" i="42697" s="1"/>
  <c r="O748" i="42697"/>
  <c r="F873" i="42689"/>
  <c r="R598" i="42689"/>
  <c r="F597" i="42689"/>
  <c r="F612" i="42689"/>
  <c r="D173" i="42696"/>
  <c r="P28" i="42696"/>
  <c r="J862" i="42690"/>
  <c r="J586" i="42690"/>
  <c r="J599" i="42690" s="1"/>
  <c r="J600" i="42690" s="1"/>
  <c r="J601" i="42690"/>
  <c r="J606" i="42690" s="1"/>
  <c r="N873" i="42689"/>
  <c r="N597" i="42689"/>
  <c r="N612" i="42689"/>
  <c r="N617" i="42689" s="1"/>
  <c r="N862" i="42697"/>
  <c r="N586" i="42697"/>
  <c r="N599" i="42697" s="1"/>
  <c r="N600" i="42697" s="1"/>
  <c r="N601" i="42697"/>
  <c r="N606" i="42697" s="1"/>
  <c r="G874" i="42689"/>
  <c r="G892" i="42689" s="1"/>
  <c r="G790" i="42689"/>
  <c r="K863" i="42690"/>
  <c r="K881" i="42690" s="1"/>
  <c r="K779" i="42690"/>
  <c r="K791" i="42690" s="1"/>
  <c r="K792" i="42690" s="1"/>
  <c r="I72" i="42696"/>
  <c r="I101" i="42696" s="1"/>
  <c r="I113" i="42696" s="1"/>
  <c r="I126" i="42696" s="1"/>
  <c r="O874" i="42689"/>
  <c r="O892" i="42689" s="1"/>
  <c r="O790" i="42689"/>
  <c r="F851" i="42689"/>
  <c r="R23" i="42689"/>
  <c r="R34" i="42689"/>
  <c r="J880" i="42689"/>
  <c r="N880" i="42689"/>
  <c r="G976" i="42689"/>
  <c r="O976" i="42689"/>
  <c r="R848" i="42689"/>
  <c r="J909" i="42691"/>
  <c r="J918" i="42691" s="1"/>
  <c r="J919" i="42691" s="1"/>
  <c r="J905" i="42691"/>
  <c r="J990" i="42691" s="1"/>
  <c r="F912" i="42691"/>
  <c r="R912" i="42691" s="1"/>
  <c r="R895" i="42691"/>
  <c r="K930" i="42691"/>
  <c r="K21" i="42691"/>
  <c r="F485" i="42698"/>
  <c r="F44" i="42698"/>
  <c r="F51" i="42698"/>
  <c r="F840" i="42692"/>
  <c r="R16" i="42692"/>
  <c r="F840" i="42690"/>
  <c r="R16" i="42690"/>
  <c r="R798" i="42690"/>
  <c r="H196" i="42696"/>
  <c r="N869" i="42692"/>
  <c r="N930" i="42690"/>
  <c r="N21" i="42690"/>
  <c r="L102" i="42683"/>
  <c r="L103" i="42683"/>
  <c r="P34" i="42690"/>
  <c r="P45" i="42689"/>
  <c r="M52" i="42692"/>
  <c r="M52" i="42691"/>
  <c r="M853" i="42689"/>
  <c r="M882" i="42689" s="1"/>
  <c r="M67" i="42689"/>
  <c r="M71" i="42689"/>
  <c r="M68" i="42689"/>
  <c r="M52" i="42697"/>
  <c r="K251" i="42696"/>
  <c r="I843" i="42690"/>
  <c r="I872" i="42690" s="1"/>
  <c r="I89" i="42690"/>
  <c r="I85" i="42690"/>
  <c r="I86" i="42690"/>
  <c r="I950" i="42690" s="1"/>
  <c r="Q81" i="42692"/>
  <c r="Q81" i="42691"/>
  <c r="Q854" i="42689"/>
  <c r="Q883" i="42689" s="1"/>
  <c r="Q100" i="42689"/>
  <c r="Q97" i="42689"/>
  <c r="Q961" i="42689" s="1"/>
  <c r="Q96" i="42689"/>
  <c r="O62" i="42696"/>
  <c r="O93" i="42696" s="1"/>
  <c r="O105" i="42696" s="1"/>
  <c r="O118" i="42696" s="1"/>
  <c r="J844" i="42690"/>
  <c r="J873" i="42690" s="1"/>
  <c r="J122" i="42690"/>
  <c r="J110" i="42690"/>
  <c r="J120" i="42690" s="1"/>
  <c r="J121" i="42690" s="1"/>
  <c r="J131" i="42690"/>
  <c r="I150" i="42692"/>
  <c r="I867" i="42689"/>
  <c r="I150" i="42691"/>
  <c r="I172" i="42689"/>
  <c r="I173" i="42689"/>
  <c r="I160" i="42689"/>
  <c r="G165" i="42696"/>
  <c r="G65" i="42696"/>
  <c r="G31" i="42696"/>
  <c r="Q161" i="42690"/>
  <c r="Q856" i="42690"/>
  <c r="Q162" i="42690"/>
  <c r="Q149" i="42690"/>
  <c r="Q159" i="42690" s="1"/>
  <c r="Q160" i="42690" s="1"/>
  <c r="J856" i="42689"/>
  <c r="J313" i="42689"/>
  <c r="J303" i="42689"/>
  <c r="J291" i="42689"/>
  <c r="J304" i="42689"/>
  <c r="H68" i="42696"/>
  <c r="H96" i="42696" s="1"/>
  <c r="H108" i="42696" s="1"/>
  <c r="H121" i="42696" s="1"/>
  <c r="I857" i="42690"/>
  <c r="I197" i="42690"/>
  <c r="I185" i="42690"/>
  <c r="I195" i="42690" s="1"/>
  <c r="I196" i="42690" s="1"/>
  <c r="Q868" i="42689"/>
  <c r="Q208" i="42689"/>
  <c r="Q196" i="42689"/>
  <c r="O166" i="42696"/>
  <c r="O66" i="42696"/>
  <c r="L846" i="42690"/>
  <c r="L335" i="42690"/>
  <c r="L323" i="42690"/>
  <c r="L332" i="42690" s="1"/>
  <c r="L333" i="42690" s="1"/>
  <c r="L334" i="42690"/>
  <c r="L344" i="42690"/>
  <c r="G858" i="42689"/>
  <c r="G887" i="42689" s="1"/>
  <c r="G400" i="42689"/>
  <c r="G384" i="42689"/>
  <c r="G409" i="42689"/>
  <c r="G399" i="42689"/>
  <c r="E70" i="42696"/>
  <c r="E98" i="42696" s="1"/>
  <c r="E110" i="42696" s="1"/>
  <c r="E123" i="42696" s="1"/>
  <c r="O847" i="42690"/>
  <c r="O389" i="42690"/>
  <c r="O373" i="42690"/>
  <c r="O386" i="42690" s="1"/>
  <c r="O387" i="42690" s="1"/>
  <c r="O388" i="42690"/>
  <c r="O398" i="42690"/>
  <c r="J227" i="42692"/>
  <c r="J227" i="42691"/>
  <c r="J869" i="42689"/>
  <c r="J252" i="42689"/>
  <c r="J237" i="42689"/>
  <c r="H67" i="42696"/>
  <c r="H95" i="42696" s="1"/>
  <c r="H107" i="42696" s="1"/>
  <c r="H120" i="42696" s="1"/>
  <c r="G869" i="42691"/>
  <c r="I869" i="42697"/>
  <c r="I869" i="42692"/>
  <c r="I30" i="42696"/>
  <c r="K869" i="42691"/>
  <c r="M869" i="42697"/>
  <c r="M869" i="42692"/>
  <c r="O869" i="42691"/>
  <c r="Q869" i="42697"/>
  <c r="Q869" i="42692"/>
  <c r="K103" i="42683"/>
  <c r="K102" i="42683"/>
  <c r="I34" i="42690"/>
  <c r="I45" i="42689"/>
  <c r="Q34" i="42690"/>
  <c r="Q45" i="42689"/>
  <c r="H842" i="42690"/>
  <c r="H871" i="42690" s="1"/>
  <c r="H56" i="42690"/>
  <c r="H57" i="42690"/>
  <c r="H60" i="42690"/>
  <c r="L52" i="42692"/>
  <c r="L52" i="42691"/>
  <c r="L853" i="42689"/>
  <c r="L882" i="42689" s="1"/>
  <c r="L71" i="42689"/>
  <c r="L68" i="42689"/>
  <c r="L67" i="42689"/>
  <c r="L52" i="42697"/>
  <c r="J251" i="42696"/>
  <c r="P842" i="42690"/>
  <c r="P871" i="42690" s="1"/>
  <c r="P56" i="42690"/>
  <c r="P57" i="42690"/>
  <c r="P60" i="42690"/>
  <c r="F85" i="42690"/>
  <c r="R81" i="42690"/>
  <c r="F843" i="42690"/>
  <c r="F89" i="42690"/>
  <c r="F86" i="42690"/>
  <c r="J81" i="42692"/>
  <c r="J81" i="42691"/>
  <c r="J854" i="42689"/>
  <c r="J96" i="42689"/>
  <c r="J100" i="42689"/>
  <c r="J97" i="42689"/>
  <c r="H62" i="42696"/>
  <c r="H93" i="42696" s="1"/>
  <c r="H105" i="42696" s="1"/>
  <c r="H118" i="42696" s="1"/>
  <c r="N85" i="42690"/>
  <c r="N843" i="42690"/>
  <c r="N89" i="42690"/>
  <c r="N86" i="42690"/>
  <c r="G855" i="42689"/>
  <c r="G133" i="42689"/>
  <c r="G121" i="42689"/>
  <c r="G142" i="42689"/>
  <c r="E63" i="42696"/>
  <c r="E94" i="42696" s="1"/>
  <c r="E106" i="42696" s="1"/>
  <c r="E119" i="42696" s="1"/>
  <c r="K110" i="42690"/>
  <c r="K120" i="42690" s="1"/>
  <c r="K121" i="42690" s="1"/>
  <c r="K844" i="42690"/>
  <c r="K131" i="42690"/>
  <c r="K122" i="42690"/>
  <c r="O855" i="42689"/>
  <c r="O133" i="42689"/>
  <c r="O121" i="42689"/>
  <c r="O142" i="42689"/>
  <c r="M63" i="42696"/>
  <c r="M94" i="42696" s="1"/>
  <c r="M106" i="42696" s="1"/>
  <c r="M119" i="42696" s="1"/>
  <c r="D165" i="42696"/>
  <c r="D65" i="42696"/>
  <c r="D31" i="42696"/>
  <c r="P22" i="42696"/>
  <c r="P165" i="42696" s="1"/>
  <c r="J856" i="42690"/>
  <c r="J162" i="42690"/>
  <c r="J149" i="42690"/>
  <c r="J159" i="42690" s="1"/>
  <c r="J160" i="42690" s="1"/>
  <c r="J161" i="42690"/>
  <c r="N150" i="42692"/>
  <c r="N150" i="42691"/>
  <c r="N867" i="42689"/>
  <c r="N173" i="42689"/>
  <c r="N160" i="42689"/>
  <c r="N172" i="42689"/>
  <c r="L165" i="42696"/>
  <c r="L65" i="42696"/>
  <c r="L31" i="42696"/>
  <c r="G856" i="42689"/>
  <c r="G885" i="42689" s="1"/>
  <c r="G304" i="42689"/>
  <c r="G313" i="42689"/>
  <c r="G303" i="42689"/>
  <c r="G291" i="42689"/>
  <c r="E68" i="42696"/>
  <c r="E96" i="42696" s="1"/>
  <c r="E108" i="42696" s="1"/>
  <c r="E121" i="42696" s="1"/>
  <c r="K845" i="42690"/>
  <c r="K874" i="42690" s="1"/>
  <c r="K293" i="42690"/>
  <c r="K302" i="42690"/>
  <c r="K292" i="42690"/>
  <c r="K280" i="42690"/>
  <c r="K290" i="42690" s="1"/>
  <c r="K291" i="42690" s="1"/>
  <c r="O856" i="42689"/>
  <c r="O885" i="42689" s="1"/>
  <c r="O304" i="42689"/>
  <c r="O313" i="42689"/>
  <c r="O303" i="42689"/>
  <c r="O291" i="42689"/>
  <c r="M68" i="42696"/>
  <c r="M96" i="42696" s="1"/>
  <c r="M108" i="42696" s="1"/>
  <c r="M121" i="42696" s="1"/>
  <c r="D166" i="42696"/>
  <c r="P23" i="42696"/>
  <c r="P166" i="42696" s="1"/>
  <c r="D66" i="42696"/>
  <c r="J197" i="42690"/>
  <c r="J185" i="42690"/>
  <c r="J195" i="42690" s="1"/>
  <c r="J196" i="42690" s="1"/>
  <c r="J857" i="42690"/>
  <c r="N868" i="42689"/>
  <c r="N208" i="42689"/>
  <c r="N196" i="42689"/>
  <c r="L166" i="42696"/>
  <c r="L66" i="42696"/>
  <c r="G335" i="42690"/>
  <c r="G323" i="42690"/>
  <c r="G332" i="42690" s="1"/>
  <c r="G333" i="42690" s="1"/>
  <c r="G846" i="42690"/>
  <c r="G875" i="42690" s="1"/>
  <c r="G344" i="42690"/>
  <c r="G334" i="42690"/>
  <c r="K857" i="42689"/>
  <c r="K886" i="42689" s="1"/>
  <c r="K346" i="42689"/>
  <c r="K334" i="42689"/>
  <c r="K355" i="42689"/>
  <c r="K345" i="42689"/>
  <c r="I69" i="42696"/>
  <c r="I97" i="42696" s="1"/>
  <c r="I109" i="42696" s="1"/>
  <c r="I122" i="42696" s="1"/>
  <c r="O335" i="42690"/>
  <c r="O323" i="42690"/>
  <c r="O332" i="42690" s="1"/>
  <c r="O333" i="42690" s="1"/>
  <c r="O846" i="42690"/>
  <c r="O875" i="42690" s="1"/>
  <c r="O344" i="42690"/>
  <c r="O334" i="42690"/>
  <c r="F847" i="42690"/>
  <c r="F389" i="42690"/>
  <c r="F373" i="42690"/>
  <c r="F388" i="42690"/>
  <c r="F398" i="42690"/>
  <c r="J858" i="42689"/>
  <c r="J409" i="42689"/>
  <c r="J399" i="42689"/>
  <c r="J400" i="42689"/>
  <c r="J384" i="42689"/>
  <c r="H70" i="42696"/>
  <c r="H98" i="42696" s="1"/>
  <c r="H110" i="42696" s="1"/>
  <c r="H123" i="42696" s="1"/>
  <c r="N847" i="42690"/>
  <c r="N389" i="42690"/>
  <c r="N373" i="42690"/>
  <c r="N386" i="42690" s="1"/>
  <c r="N387" i="42690" s="1"/>
  <c r="N388" i="42690"/>
  <c r="N398" i="42690"/>
  <c r="G227" i="42692"/>
  <c r="G227" i="42691"/>
  <c r="G869" i="42689"/>
  <c r="G252" i="42689"/>
  <c r="G237" i="42689"/>
  <c r="E67" i="42696"/>
  <c r="E95" i="42696" s="1"/>
  <c r="E107" i="42696" s="1"/>
  <c r="E120" i="42696" s="1"/>
  <c r="K858" i="42690"/>
  <c r="K241" i="42690"/>
  <c r="K226" i="42690"/>
  <c r="K239" i="42690" s="1"/>
  <c r="K240" i="42690" s="1"/>
  <c r="O227" i="42692"/>
  <c r="O227" i="42691"/>
  <c r="O869" i="42689"/>
  <c r="O252" i="42689"/>
  <c r="O237" i="42689"/>
  <c r="M67" i="42696"/>
  <c r="M95" i="42696" s="1"/>
  <c r="M107" i="42696" s="1"/>
  <c r="M120" i="42696" s="1"/>
  <c r="F409" i="42692"/>
  <c r="F409" i="42691"/>
  <c r="F859" i="42689"/>
  <c r="R420" i="42689"/>
  <c r="F424" i="42689"/>
  <c r="F425" i="42689"/>
  <c r="F428" i="42689"/>
  <c r="D71" i="42696"/>
  <c r="P17" i="42696"/>
  <c r="J848" i="42690"/>
  <c r="J414" i="42690"/>
  <c r="J417" i="42690"/>
  <c r="J413" i="42690"/>
  <c r="J415" i="42690" s="1"/>
  <c r="N409" i="42692"/>
  <c r="N409" i="42691"/>
  <c r="N859" i="42689"/>
  <c r="N424" i="42689"/>
  <c r="N425" i="42689"/>
  <c r="N428" i="42689"/>
  <c r="L71" i="42696"/>
  <c r="L99" i="42696" s="1"/>
  <c r="L111" i="42696" s="1"/>
  <c r="L124" i="42696" s="1"/>
  <c r="G849" i="42690"/>
  <c r="G438" i="42690"/>
  <c r="G448" i="42690" s="1"/>
  <c r="G449" i="42690" s="1"/>
  <c r="G459" i="42690"/>
  <c r="K860" i="42689"/>
  <c r="K449" i="42689"/>
  <c r="K461" i="42689"/>
  <c r="K467" i="42689" s="1"/>
  <c r="K470" i="42689"/>
  <c r="I64" i="42696"/>
  <c r="I100" i="42696" s="1"/>
  <c r="I112" i="42696" s="1"/>
  <c r="I125" i="42696" s="1"/>
  <c r="O849" i="42690"/>
  <c r="O438" i="42690"/>
  <c r="O448" i="42690" s="1"/>
  <c r="O449" i="42690" s="1"/>
  <c r="O459" i="42690"/>
  <c r="F870" i="42689"/>
  <c r="F488" i="42689"/>
  <c r="R489" i="42689"/>
  <c r="F500" i="42689"/>
  <c r="F501" i="42689"/>
  <c r="F477" i="42690"/>
  <c r="F859" i="42690"/>
  <c r="R478" i="42690"/>
  <c r="F489" i="42690"/>
  <c r="F490" i="42690"/>
  <c r="J870" i="42689"/>
  <c r="J488" i="42689"/>
  <c r="J500" i="42689"/>
  <c r="J506" i="42689" s="1"/>
  <c r="J501" i="42689"/>
  <c r="J859" i="42697"/>
  <c r="J477" i="42697"/>
  <c r="J487" i="42697" s="1"/>
  <c r="J488" i="42697" s="1"/>
  <c r="J489" i="42697"/>
  <c r="J495" i="42697" s="1"/>
  <c r="J490" i="42697"/>
  <c r="N477" i="42690"/>
  <c r="N487" i="42690" s="1"/>
  <c r="N488" i="42690" s="1"/>
  <c r="N859" i="42690"/>
  <c r="N489" i="42690"/>
  <c r="N495" i="42690" s="1"/>
  <c r="N490" i="42690"/>
  <c r="F850" i="42690"/>
  <c r="F639" i="42690"/>
  <c r="F651" i="42690"/>
  <c r="F661" i="42690"/>
  <c r="F652" i="42690"/>
  <c r="J861" i="42689"/>
  <c r="J662" i="42689"/>
  <c r="J669" i="42689" s="1"/>
  <c r="J650" i="42689"/>
  <c r="J672" i="42689"/>
  <c r="J663" i="42689"/>
  <c r="J850" i="42697"/>
  <c r="J661" i="42697"/>
  <c r="J639" i="42697"/>
  <c r="J649" i="42697" s="1"/>
  <c r="J650" i="42697" s="1"/>
  <c r="J652" i="42697"/>
  <c r="N850" i="42690"/>
  <c r="N639" i="42690"/>
  <c r="N649" i="42690" s="1"/>
  <c r="N650" i="42690" s="1"/>
  <c r="N651" i="42690"/>
  <c r="N658" i="42690" s="1"/>
  <c r="N661" i="42690"/>
  <c r="N652" i="42690"/>
  <c r="G871" i="42689"/>
  <c r="G536" i="42689"/>
  <c r="G541" i="42689" s="1"/>
  <c r="G524" i="42689"/>
  <c r="G860" i="42697"/>
  <c r="G513" i="42697"/>
  <c r="G523" i="42697" s="1"/>
  <c r="G524" i="42697" s="1"/>
  <c r="K860" i="42690"/>
  <c r="K525" i="42690"/>
  <c r="K530" i="42690" s="1"/>
  <c r="K513" i="42690"/>
  <c r="K523" i="42690" s="1"/>
  <c r="K524" i="42690" s="1"/>
  <c r="O871" i="42689"/>
  <c r="O536" i="42689"/>
  <c r="O541" i="42689" s="1"/>
  <c r="O524" i="42689"/>
  <c r="O860" i="42697"/>
  <c r="O513" i="42697"/>
  <c r="O523" i="42697" s="1"/>
  <c r="O524" i="42697" s="1"/>
  <c r="F862" i="42689"/>
  <c r="F693" i="42689"/>
  <c r="F704" i="42689"/>
  <c r="F705" i="42689"/>
  <c r="F714" i="42689"/>
  <c r="D168" i="42696"/>
  <c r="P20" i="42696"/>
  <c r="J851" i="42690"/>
  <c r="J682" i="42690"/>
  <c r="J691" i="42690" s="1"/>
  <c r="J692" i="42690" s="1"/>
  <c r="J694" i="42690"/>
  <c r="N862" i="42689"/>
  <c r="N693" i="42689"/>
  <c r="N704" i="42689"/>
  <c r="N711" i="42689" s="1"/>
  <c r="N705" i="42689"/>
  <c r="N714" i="42689"/>
  <c r="N851" i="42697"/>
  <c r="N682" i="42697"/>
  <c r="N691" i="42697" s="1"/>
  <c r="N692" i="42697" s="1"/>
  <c r="N694" i="42697"/>
  <c r="G861" i="42690"/>
  <c r="G879" i="42690" s="1"/>
  <c r="G546" i="42690"/>
  <c r="G555" i="42690" s="1"/>
  <c r="G556" i="42690" s="1"/>
  <c r="G557" i="42690"/>
  <c r="K872" i="42689"/>
  <c r="K890" i="42689" s="1"/>
  <c r="K557" i="42689"/>
  <c r="K568" i="42689"/>
  <c r="K547" i="42697"/>
  <c r="I172" i="42696"/>
  <c r="O861" i="42690"/>
  <c r="O879" i="42690" s="1"/>
  <c r="O546" i="42690"/>
  <c r="O555" i="42690" s="1"/>
  <c r="O556" i="42690" s="1"/>
  <c r="O557" i="42690"/>
  <c r="F863" i="42689"/>
  <c r="F743" i="42689"/>
  <c r="F758" i="42689"/>
  <c r="F759" i="42689"/>
  <c r="F768" i="42689"/>
  <c r="F852" i="42690"/>
  <c r="F732" i="42690"/>
  <c r="F747" i="42690"/>
  <c r="F757" i="42690"/>
  <c r="F748" i="42690"/>
  <c r="J863" i="42689"/>
  <c r="J743" i="42689"/>
  <c r="J758" i="42689"/>
  <c r="J765" i="42689" s="1"/>
  <c r="J759" i="42689"/>
  <c r="J768" i="42689"/>
  <c r="J852" i="42697"/>
  <c r="J732" i="42697"/>
  <c r="J745" i="42697" s="1"/>
  <c r="J746" i="42697" s="1"/>
  <c r="J748" i="42697"/>
  <c r="N852" i="42690"/>
  <c r="N732" i="42690"/>
  <c r="N745" i="42690" s="1"/>
  <c r="N746" i="42690" s="1"/>
  <c r="N747" i="42690"/>
  <c r="N754" i="42690" s="1"/>
  <c r="N757" i="42690"/>
  <c r="N748" i="42690"/>
  <c r="G873" i="42689"/>
  <c r="G597" i="42689"/>
  <c r="G612" i="42689"/>
  <c r="G617" i="42689" s="1"/>
  <c r="G862" i="42697"/>
  <c r="G586" i="42697"/>
  <c r="G599" i="42697" s="1"/>
  <c r="G600" i="42697" s="1"/>
  <c r="G601" i="42697"/>
  <c r="G606" i="42697" s="1"/>
  <c r="K586" i="42690"/>
  <c r="K599" i="42690" s="1"/>
  <c r="K600" i="42690" s="1"/>
  <c r="K862" i="42690"/>
  <c r="K601" i="42690"/>
  <c r="K606" i="42690" s="1"/>
  <c r="O873" i="42689"/>
  <c r="O597" i="42689"/>
  <c r="O612" i="42689"/>
  <c r="O617" i="42689" s="1"/>
  <c r="O862" i="42697"/>
  <c r="O586" i="42697"/>
  <c r="O599" i="42697" s="1"/>
  <c r="O600" i="42697" s="1"/>
  <c r="O601" i="42697"/>
  <c r="O606" i="42697" s="1"/>
  <c r="F874" i="42689"/>
  <c r="F790" i="42689"/>
  <c r="P29" i="42696"/>
  <c r="D72" i="42696"/>
  <c r="J863" i="42690"/>
  <c r="J881" i="42690" s="1"/>
  <c r="J779" i="42690"/>
  <c r="J791" i="42690" s="1"/>
  <c r="J792" i="42690" s="1"/>
  <c r="N874" i="42689"/>
  <c r="N892" i="42689" s="1"/>
  <c r="N790" i="42689"/>
  <c r="L72" i="42696"/>
  <c r="L101" i="42696" s="1"/>
  <c r="L113" i="42696" s="1"/>
  <c r="L126" i="42696" s="1"/>
  <c r="F981" i="42689"/>
  <c r="R163" i="42692"/>
  <c r="R198" i="42692"/>
  <c r="R242" i="42692"/>
  <c r="F916" i="42692"/>
  <c r="R916" i="42692" s="1"/>
  <c r="R892" i="42692"/>
  <c r="S892" i="42697" s="1"/>
  <c r="R927" i="42689"/>
  <c r="R893" i="42692"/>
  <c r="S893" i="42697" s="1"/>
  <c r="F910" i="42692"/>
  <c r="R910" i="42692" s="1"/>
  <c r="R921" i="42689"/>
  <c r="L438" i="42692"/>
  <c r="L438" i="42691"/>
  <c r="L459" i="42689"/>
  <c r="L460" i="42689" s="1"/>
  <c r="L468" i="42689" s="1"/>
  <c r="I477" i="42692"/>
  <c r="I477" i="42691"/>
  <c r="I498" i="42689"/>
  <c r="I499" i="42689" s="1"/>
  <c r="I504" i="42689" s="1"/>
  <c r="Q477" i="42692"/>
  <c r="Q477" i="42691"/>
  <c r="Q498" i="42689"/>
  <c r="Q499" i="42689" s="1"/>
  <c r="Q504" i="42689" s="1"/>
  <c r="I627" i="42689"/>
  <c r="I946" i="42689" s="1"/>
  <c r="I981" i="42689" s="1"/>
  <c r="J621" i="42689"/>
  <c r="H21" i="42691"/>
  <c r="L965" i="42691"/>
  <c r="P21" i="42691"/>
  <c r="R793" i="42692"/>
  <c r="Q244" i="42690"/>
  <c r="F970" i="42691"/>
  <c r="R970" i="42691" s="1"/>
  <c r="R935" i="42691"/>
  <c r="R947" i="42697"/>
  <c r="J651" i="42697"/>
  <c r="J658" i="42697" s="1"/>
  <c r="N651" i="42697"/>
  <c r="N658" i="42697" s="1"/>
  <c r="J693" i="42697"/>
  <c r="J700" i="42697" s="1"/>
  <c r="N703" i="42697"/>
  <c r="F970" i="42692"/>
  <c r="R970" i="42692" s="1"/>
  <c r="R935" i="42692"/>
  <c r="F47" i="42698"/>
  <c r="R21" i="42697"/>
  <c r="J965" i="42697"/>
  <c r="G747" i="42697"/>
  <c r="G754" i="42697" s="1"/>
  <c r="K747" i="42697"/>
  <c r="K754" i="42697" s="1"/>
  <c r="O747" i="42697"/>
  <c r="O754" i="42697" s="1"/>
  <c r="G757" i="42697"/>
  <c r="O757" i="42697"/>
  <c r="K965" i="42697"/>
  <c r="F194" i="42698"/>
  <c r="R990" i="42697"/>
  <c r="F101" i="42698"/>
  <c r="G525" i="42697"/>
  <c r="G530" i="42697" s="1"/>
  <c r="O525" i="42697"/>
  <c r="O530" i="42697" s="1"/>
  <c r="F177" i="42698"/>
  <c r="R297" i="42697"/>
  <c r="F245" i="42698"/>
  <c r="F250" i="42698"/>
  <c r="R393" i="42697"/>
  <c r="F172" i="42698"/>
  <c r="R96" i="42686"/>
  <c r="L28" i="42699" s="1"/>
  <c r="Q226" i="42692"/>
  <c r="Q239" i="42692" s="1"/>
  <c r="Q240" i="42692" s="1"/>
  <c r="Q226" i="42691"/>
  <c r="Q239" i="42691" s="1"/>
  <c r="Q240" i="42691" s="1"/>
  <c r="Q250" i="42689"/>
  <c r="Q251" i="42689" s="1"/>
  <c r="Q858" i="42692"/>
  <c r="Q241" i="42692"/>
  <c r="G649" i="42692"/>
  <c r="G650" i="42692" s="1"/>
  <c r="G640" i="42692"/>
  <c r="F541" i="42689"/>
  <c r="H869" i="42692"/>
  <c r="H930" i="42690"/>
  <c r="H21" i="42690"/>
  <c r="J30" i="42696"/>
  <c r="L869" i="42691"/>
  <c r="P869" i="42697"/>
  <c r="P930" i="42692"/>
  <c r="P21" i="42692"/>
  <c r="P869" i="42690"/>
  <c r="N102" i="42683"/>
  <c r="N103" i="42683"/>
  <c r="G117" i="42696"/>
  <c r="O117" i="42696"/>
  <c r="G52" i="42692"/>
  <c r="G52" i="42691"/>
  <c r="G853" i="42689"/>
  <c r="G882" i="42689" s="1"/>
  <c r="G67" i="42689"/>
  <c r="G71" i="42689"/>
  <c r="G68" i="42689"/>
  <c r="G52" i="42697"/>
  <c r="E251" i="42696"/>
  <c r="O56" i="42690"/>
  <c r="O842" i="42690"/>
  <c r="O871" i="42690" s="1"/>
  <c r="O60" i="42690"/>
  <c r="O57" i="42690"/>
  <c r="K843" i="42690"/>
  <c r="K872" i="42690" s="1"/>
  <c r="K89" i="42690"/>
  <c r="K85" i="42690"/>
  <c r="K86" i="42690"/>
  <c r="K950" i="42690" s="1"/>
  <c r="H855" i="42689"/>
  <c r="H884" i="42689" s="1"/>
  <c r="H142" i="42689"/>
  <c r="H133" i="42689"/>
  <c r="H121" i="42689"/>
  <c r="F63" i="42696"/>
  <c r="F94" i="42696" s="1"/>
  <c r="F106" i="42696" s="1"/>
  <c r="F119" i="42696" s="1"/>
  <c r="P844" i="42690"/>
  <c r="P873" i="42690" s="1"/>
  <c r="P122" i="42690"/>
  <c r="P110" i="42690"/>
  <c r="P120" i="42690" s="1"/>
  <c r="P121" i="42690" s="1"/>
  <c r="P131" i="42690"/>
  <c r="K150" i="42692"/>
  <c r="K867" i="42689"/>
  <c r="K150" i="42691"/>
  <c r="K172" i="42689"/>
  <c r="K173" i="42689"/>
  <c r="K160" i="42689"/>
  <c r="I165" i="42696"/>
  <c r="I65" i="42696"/>
  <c r="I31" i="42696"/>
  <c r="H856" i="42689"/>
  <c r="H313" i="42689"/>
  <c r="H303" i="42689"/>
  <c r="H291" i="42689"/>
  <c r="H304" i="42689"/>
  <c r="F68" i="42696"/>
  <c r="F96" i="42696" s="1"/>
  <c r="F108" i="42696" s="1"/>
  <c r="F121" i="42696" s="1"/>
  <c r="P280" i="42690"/>
  <c r="P290" i="42690" s="1"/>
  <c r="P291" i="42690" s="1"/>
  <c r="P845" i="42690"/>
  <c r="P293" i="42690"/>
  <c r="P292" i="42690"/>
  <c r="P302" i="42690"/>
  <c r="K868" i="42689"/>
  <c r="K208" i="42689"/>
  <c r="K196" i="42689"/>
  <c r="I166" i="42696"/>
  <c r="I66" i="42696"/>
  <c r="F857" i="42689"/>
  <c r="F355" i="42689"/>
  <c r="F345" i="42689"/>
  <c r="F346" i="42689"/>
  <c r="F334" i="42689"/>
  <c r="D69" i="42696"/>
  <c r="P15" i="42696"/>
  <c r="N846" i="42690"/>
  <c r="N335" i="42690"/>
  <c r="N323" i="42690"/>
  <c r="N332" i="42690" s="1"/>
  <c r="N333" i="42690" s="1"/>
  <c r="N334" i="42690"/>
  <c r="N344" i="42690"/>
  <c r="M858" i="42689"/>
  <c r="M400" i="42689"/>
  <c r="M384" i="42689"/>
  <c r="M409" i="42689"/>
  <c r="M399" i="42689"/>
  <c r="K70" i="42696"/>
  <c r="K98" i="42696" s="1"/>
  <c r="K110" i="42696" s="1"/>
  <c r="K123" i="42696" s="1"/>
  <c r="H858" i="42690"/>
  <c r="H241" i="42690"/>
  <c r="H226" i="42690"/>
  <c r="H239" i="42690" s="1"/>
  <c r="H240" i="42690" s="1"/>
  <c r="P227" i="42692"/>
  <c r="P227" i="42691"/>
  <c r="P869" i="42689"/>
  <c r="P252" i="42689"/>
  <c r="P237" i="42689"/>
  <c r="N67" i="42696"/>
  <c r="N95" i="42696" s="1"/>
  <c r="N107" i="42696" s="1"/>
  <c r="N120" i="42696" s="1"/>
  <c r="D100" i="42696"/>
  <c r="F514" i="42697"/>
  <c r="P171" i="42696"/>
  <c r="J860" i="42690"/>
  <c r="J513" i="42690"/>
  <c r="J523" i="42690" s="1"/>
  <c r="J524" i="42690" s="1"/>
  <c r="J525" i="42690"/>
  <c r="J530" i="42690" s="1"/>
  <c r="N871" i="42689"/>
  <c r="N524" i="42689"/>
  <c r="N536" i="42689"/>
  <c r="N541" i="42689" s="1"/>
  <c r="N860" i="42697"/>
  <c r="N513" i="42697"/>
  <c r="N523" i="42697" s="1"/>
  <c r="N524" i="42697" s="1"/>
  <c r="N525" i="42697"/>
  <c r="N530" i="42697" s="1"/>
  <c r="I851" i="42690"/>
  <c r="I682" i="42690"/>
  <c r="I691" i="42690" s="1"/>
  <c r="I692" i="42690" s="1"/>
  <c r="I693" i="42690"/>
  <c r="I700" i="42690" s="1"/>
  <c r="I703" i="42690"/>
  <c r="I694" i="42690"/>
  <c r="M862" i="42689"/>
  <c r="M693" i="42689"/>
  <c r="M704" i="42689"/>
  <c r="M711" i="42689" s="1"/>
  <c r="M705" i="42689"/>
  <c r="M714" i="42689"/>
  <c r="M851" i="42697"/>
  <c r="M682" i="42697"/>
  <c r="M691" i="42697" s="1"/>
  <c r="M692" i="42697" s="1"/>
  <c r="M694" i="42697"/>
  <c r="Q851" i="42690"/>
  <c r="Q682" i="42690"/>
  <c r="Q691" i="42690" s="1"/>
  <c r="Q692" i="42690" s="1"/>
  <c r="Q693" i="42690"/>
  <c r="Q700" i="42690" s="1"/>
  <c r="Q703" i="42690"/>
  <c r="Q694" i="42690"/>
  <c r="H872" i="42689"/>
  <c r="H890" i="42689" s="1"/>
  <c r="H568" i="42689"/>
  <c r="H557" i="42689"/>
  <c r="H547" i="42697"/>
  <c r="F172" i="42696"/>
  <c r="L557" i="42690"/>
  <c r="L861" i="42690"/>
  <c r="L879" i="42690" s="1"/>
  <c r="L546" i="42690"/>
  <c r="L555" i="42690" s="1"/>
  <c r="L556" i="42690" s="1"/>
  <c r="P872" i="42689"/>
  <c r="P890" i="42689" s="1"/>
  <c r="P568" i="42689"/>
  <c r="P557" i="42689"/>
  <c r="P547" i="42697"/>
  <c r="N172" i="42696"/>
  <c r="I852" i="42690"/>
  <c r="I732" i="42690"/>
  <c r="I745" i="42690" s="1"/>
  <c r="I746" i="42690" s="1"/>
  <c r="I747" i="42690"/>
  <c r="I754" i="42690" s="1"/>
  <c r="I757" i="42690"/>
  <c r="I748" i="42690"/>
  <c r="M863" i="42689"/>
  <c r="M743" i="42689"/>
  <c r="M758" i="42689"/>
  <c r="M765" i="42689" s="1"/>
  <c r="M759" i="42689"/>
  <c r="M768" i="42689"/>
  <c r="M852" i="42697"/>
  <c r="M732" i="42697"/>
  <c r="M745" i="42697" s="1"/>
  <c r="M746" i="42697" s="1"/>
  <c r="M748" i="42697"/>
  <c r="Q852" i="42690"/>
  <c r="Q732" i="42690"/>
  <c r="Q745" i="42690" s="1"/>
  <c r="Q746" i="42690" s="1"/>
  <c r="Q747" i="42690"/>
  <c r="Q754" i="42690" s="1"/>
  <c r="Q757" i="42690"/>
  <c r="Q748" i="42690"/>
  <c r="H873" i="42689"/>
  <c r="H597" i="42689"/>
  <c r="H612" i="42689"/>
  <c r="H617" i="42689" s="1"/>
  <c r="H862" i="42697"/>
  <c r="H586" i="42697"/>
  <c r="H599" i="42697" s="1"/>
  <c r="H600" i="42697" s="1"/>
  <c r="H601" i="42697"/>
  <c r="H606" i="42697" s="1"/>
  <c r="L862" i="42690"/>
  <c r="L586" i="42690"/>
  <c r="L599" i="42690" s="1"/>
  <c r="L600" i="42690" s="1"/>
  <c r="L601" i="42690"/>
  <c r="L606" i="42690" s="1"/>
  <c r="P873" i="42689"/>
  <c r="P597" i="42689"/>
  <c r="P612" i="42689"/>
  <c r="P617" i="42689" s="1"/>
  <c r="P862" i="42697"/>
  <c r="P586" i="42697"/>
  <c r="P599" i="42697" s="1"/>
  <c r="P600" i="42697" s="1"/>
  <c r="P601" i="42697"/>
  <c r="P606" i="42697" s="1"/>
  <c r="I874" i="42689"/>
  <c r="I892" i="42689" s="1"/>
  <c r="I790" i="42689"/>
  <c r="M863" i="42690"/>
  <c r="M881" i="42690" s="1"/>
  <c r="M779" i="42690"/>
  <c r="M791" i="42690" s="1"/>
  <c r="M792" i="42690" s="1"/>
  <c r="K72" i="42696"/>
  <c r="K101" i="42696" s="1"/>
  <c r="K113" i="42696" s="1"/>
  <c r="K126" i="42696" s="1"/>
  <c r="Q874" i="42689"/>
  <c r="Q892" i="42689" s="1"/>
  <c r="Q790" i="42689"/>
  <c r="H880" i="42689"/>
  <c r="L880" i="42689"/>
  <c r="P880" i="42689"/>
  <c r="I976" i="42689"/>
  <c r="Q976" i="42689"/>
  <c r="R125" i="42692"/>
  <c r="H909" i="42691"/>
  <c r="H918" i="42691" s="1"/>
  <c r="H905" i="42691"/>
  <c r="H990" i="42691" s="1"/>
  <c r="P909" i="42691"/>
  <c r="P918" i="42691" s="1"/>
  <c r="P905" i="42691"/>
  <c r="P990" i="42691" s="1"/>
  <c r="R338" i="42692"/>
  <c r="F339" i="42692"/>
  <c r="R337" i="42692"/>
  <c r="R339" i="42692" s="1"/>
  <c r="R338" i="42691"/>
  <c r="R339" i="42691" s="1"/>
  <c r="R392" i="42692"/>
  <c r="R895" i="42692"/>
  <c r="S895" i="42697" s="1"/>
  <c r="F912" i="42692"/>
  <c r="R912" i="42692" s="1"/>
  <c r="G848" i="42691"/>
  <c r="G413" i="42691"/>
  <c r="G414" i="42691"/>
  <c r="G417" i="42691"/>
  <c r="G848" i="42692"/>
  <c r="G413" i="42692"/>
  <c r="O848" i="42691"/>
  <c r="O413" i="42691"/>
  <c r="O414" i="42691"/>
  <c r="O417" i="42691"/>
  <c r="O848" i="42692"/>
  <c r="O413" i="42692"/>
  <c r="F513" i="42692"/>
  <c r="F513" i="42691"/>
  <c r="F534" i="42689"/>
  <c r="K639" i="42692"/>
  <c r="K639" i="42691"/>
  <c r="K660" i="42689"/>
  <c r="K661" i="42689" s="1"/>
  <c r="K670" i="42689" s="1"/>
  <c r="O639" i="42692"/>
  <c r="O639" i="42691"/>
  <c r="O660" i="42689"/>
  <c r="O661" i="42689" s="1"/>
  <c r="O670" i="42689" s="1"/>
  <c r="J926" i="42690"/>
  <c r="K937" i="42689"/>
  <c r="I930" i="42691"/>
  <c r="I21" i="42691"/>
  <c r="Q930" i="42691"/>
  <c r="Q21" i="42691"/>
  <c r="D196" i="42696"/>
  <c r="P163" i="42696"/>
  <c r="F840" i="42691"/>
  <c r="R16" i="42691"/>
  <c r="R23" i="42691"/>
  <c r="J869" i="42697"/>
  <c r="J930" i="42692"/>
  <c r="J21" i="42692"/>
  <c r="J869" i="42690"/>
  <c r="L196" i="42696"/>
  <c r="H102" i="42683"/>
  <c r="H103" i="42683"/>
  <c r="L34" i="42690"/>
  <c r="L45" i="42689"/>
  <c r="I56" i="42690"/>
  <c r="I842" i="42690"/>
  <c r="I871" i="42690" s="1"/>
  <c r="I60" i="42690"/>
  <c r="I57" i="42690"/>
  <c r="Q52" i="42692"/>
  <c r="Q52" i="42691"/>
  <c r="Q853" i="42689"/>
  <c r="Q882" i="42689" s="1"/>
  <c r="Q67" i="42689"/>
  <c r="Q71" i="42689"/>
  <c r="Q68" i="42689"/>
  <c r="Q52" i="42697"/>
  <c r="O251" i="42696"/>
  <c r="M843" i="42690"/>
  <c r="M872" i="42690" s="1"/>
  <c r="M89" i="42690"/>
  <c r="M85" i="42690"/>
  <c r="M86" i="42690"/>
  <c r="M950" i="42690" s="1"/>
  <c r="F844" i="42690"/>
  <c r="F122" i="42690"/>
  <c r="F110" i="42690"/>
  <c r="F131" i="42690"/>
  <c r="N855" i="42689"/>
  <c r="N884" i="42689" s="1"/>
  <c r="N142" i="42689"/>
  <c r="N133" i="42689"/>
  <c r="N121" i="42689"/>
  <c r="L63" i="42696"/>
  <c r="L94" i="42696" s="1"/>
  <c r="L106" i="42696" s="1"/>
  <c r="L119" i="42696" s="1"/>
  <c r="M161" i="42690"/>
  <c r="M856" i="42690"/>
  <c r="M162" i="42690"/>
  <c r="M149" i="42690"/>
  <c r="M159" i="42690" s="1"/>
  <c r="M160" i="42690" s="1"/>
  <c r="F856" i="42689"/>
  <c r="F313" i="42689"/>
  <c r="F303" i="42689"/>
  <c r="F291" i="42689"/>
  <c r="F304" i="42689"/>
  <c r="F280" i="42690"/>
  <c r="F845" i="42690"/>
  <c r="F293" i="42690"/>
  <c r="F292" i="42690"/>
  <c r="F302" i="42690"/>
  <c r="N856" i="42689"/>
  <c r="N313" i="42689"/>
  <c r="N303" i="42689"/>
  <c r="N291" i="42689"/>
  <c r="N304" i="42689"/>
  <c r="L68" i="42696"/>
  <c r="L96" i="42696" s="1"/>
  <c r="L108" i="42696" s="1"/>
  <c r="L121" i="42696" s="1"/>
  <c r="M857" i="42690"/>
  <c r="M197" i="42690"/>
  <c r="M185" i="42690"/>
  <c r="M195" i="42690" s="1"/>
  <c r="M196" i="42690" s="1"/>
  <c r="H857" i="42689"/>
  <c r="H355" i="42689"/>
  <c r="H345" i="42689"/>
  <c r="H346" i="42689"/>
  <c r="H334" i="42689"/>
  <c r="F69" i="42696"/>
  <c r="F97" i="42696" s="1"/>
  <c r="F109" i="42696" s="1"/>
  <c r="F122" i="42696" s="1"/>
  <c r="P846" i="42690"/>
  <c r="P335" i="42690"/>
  <c r="P323" i="42690"/>
  <c r="P332" i="42690" s="1"/>
  <c r="P333" i="42690" s="1"/>
  <c r="P334" i="42690"/>
  <c r="P344" i="42690"/>
  <c r="K858" i="42689"/>
  <c r="K400" i="42689"/>
  <c r="K384" i="42689"/>
  <c r="K409" i="42689"/>
  <c r="K399" i="42689"/>
  <c r="I70" i="42696"/>
  <c r="I98" i="42696" s="1"/>
  <c r="I110" i="42696" s="1"/>
  <c r="I123" i="42696" s="1"/>
  <c r="E19" i="42700"/>
  <c r="D67" i="42696"/>
  <c r="P24" i="42696"/>
  <c r="N858" i="42690"/>
  <c r="N241" i="42690"/>
  <c r="N226" i="42690"/>
  <c r="N239" i="42690" s="1"/>
  <c r="N240" i="42690" s="1"/>
  <c r="G869" i="42697"/>
  <c r="G869" i="42692"/>
  <c r="G30" i="42696"/>
  <c r="I869" i="42691"/>
  <c r="K869" i="42697"/>
  <c r="K869" i="42692"/>
  <c r="K30" i="42696"/>
  <c r="M869" i="42691"/>
  <c r="O869" i="42697"/>
  <c r="O869" i="42692"/>
  <c r="O30" i="42696"/>
  <c r="Q869" i="42691"/>
  <c r="I103" i="42683"/>
  <c r="I102" i="42683"/>
  <c r="G34" i="42690"/>
  <c r="G45" i="42689"/>
  <c r="O34" i="42690"/>
  <c r="O45" i="42689"/>
  <c r="D61" i="42696"/>
  <c r="P10" i="42696"/>
  <c r="D164" i="42696"/>
  <c r="P11" i="42696"/>
  <c r="J842" i="42690"/>
  <c r="J871" i="42690" s="1"/>
  <c r="J56" i="42690"/>
  <c r="J60" i="42690"/>
  <c r="J57" i="42690"/>
  <c r="N52" i="42692"/>
  <c r="N52" i="42691"/>
  <c r="N853" i="42689"/>
  <c r="N882" i="42689" s="1"/>
  <c r="N71" i="42689"/>
  <c r="N68" i="42689"/>
  <c r="N67" i="42689"/>
  <c r="N52" i="42697"/>
  <c r="L251" i="42696"/>
  <c r="H85" i="42690"/>
  <c r="H843" i="42690"/>
  <c r="H89" i="42690"/>
  <c r="H86" i="42690"/>
  <c r="L81" i="42692"/>
  <c r="L81" i="42691"/>
  <c r="L854" i="42689"/>
  <c r="L96" i="42689"/>
  <c r="L100" i="42689"/>
  <c r="L97" i="42689"/>
  <c r="J62" i="42696"/>
  <c r="J93" i="42696" s="1"/>
  <c r="J105" i="42696" s="1"/>
  <c r="J118" i="42696" s="1"/>
  <c r="P85" i="42690"/>
  <c r="P843" i="42690"/>
  <c r="P89" i="42690"/>
  <c r="P86" i="42690"/>
  <c r="I855" i="42689"/>
  <c r="I133" i="42689"/>
  <c r="I121" i="42689"/>
  <c r="I142" i="42689"/>
  <c r="G63" i="42696"/>
  <c r="G94" i="42696" s="1"/>
  <c r="G106" i="42696" s="1"/>
  <c r="G119" i="42696" s="1"/>
  <c r="M110" i="42690"/>
  <c r="M120" i="42690" s="1"/>
  <c r="M121" i="42690" s="1"/>
  <c r="M844" i="42690"/>
  <c r="M122" i="42690"/>
  <c r="M131" i="42690"/>
  <c r="Q855" i="42689"/>
  <c r="Q133" i="42689"/>
  <c r="Q121" i="42689"/>
  <c r="Q142" i="42689"/>
  <c r="O63" i="42696"/>
  <c r="O94" i="42696" s="1"/>
  <c r="O106" i="42696" s="1"/>
  <c r="O119" i="42696" s="1"/>
  <c r="H856" i="42690"/>
  <c r="H162" i="42690"/>
  <c r="H149" i="42690"/>
  <c r="H159" i="42690" s="1"/>
  <c r="H160" i="42690" s="1"/>
  <c r="H161" i="42690"/>
  <c r="L150" i="42692"/>
  <c r="L150" i="42691"/>
  <c r="L867" i="42689"/>
  <c r="L173" i="42689"/>
  <c r="L160" i="42689"/>
  <c r="L172" i="42689"/>
  <c r="J165" i="42696"/>
  <c r="J65" i="42696"/>
  <c r="J31" i="42696"/>
  <c r="P856" i="42690"/>
  <c r="P162" i="42690"/>
  <c r="P149" i="42690"/>
  <c r="P159" i="42690" s="1"/>
  <c r="P160" i="42690" s="1"/>
  <c r="P161" i="42690"/>
  <c r="I856" i="42689"/>
  <c r="I885" i="42689" s="1"/>
  <c r="I304" i="42689"/>
  <c r="I313" i="42689"/>
  <c r="I303" i="42689"/>
  <c r="I291" i="42689"/>
  <c r="G68" i="42696"/>
  <c r="G96" i="42696" s="1"/>
  <c r="G108" i="42696" s="1"/>
  <c r="G121" i="42696" s="1"/>
  <c r="M845" i="42690"/>
  <c r="M874" i="42690" s="1"/>
  <c r="M293" i="42690"/>
  <c r="M302" i="42690"/>
  <c r="M292" i="42690"/>
  <c r="M280" i="42690"/>
  <c r="M290" i="42690" s="1"/>
  <c r="M291" i="42690" s="1"/>
  <c r="Q856" i="42689"/>
  <c r="Q885" i="42689" s="1"/>
  <c r="Q304" i="42689"/>
  <c r="Q313" i="42689"/>
  <c r="Q303" i="42689"/>
  <c r="Q291" i="42689"/>
  <c r="O68" i="42696"/>
  <c r="O96" i="42696" s="1"/>
  <c r="O108" i="42696" s="1"/>
  <c r="O121" i="42696" s="1"/>
  <c r="H197" i="42690"/>
  <c r="H185" i="42690"/>
  <c r="H195" i="42690" s="1"/>
  <c r="H196" i="42690" s="1"/>
  <c r="H857" i="42690"/>
  <c r="H878" i="42690" s="1"/>
  <c r="L868" i="42689"/>
  <c r="L208" i="42689"/>
  <c r="L196" i="42689"/>
  <c r="J166" i="42696"/>
  <c r="J66" i="42696"/>
  <c r="P197" i="42690"/>
  <c r="P185" i="42690"/>
  <c r="P195" i="42690" s="1"/>
  <c r="P196" i="42690" s="1"/>
  <c r="P857" i="42690"/>
  <c r="I857" i="42689"/>
  <c r="I346" i="42689"/>
  <c r="I334" i="42689"/>
  <c r="I355" i="42689"/>
  <c r="I345" i="42689"/>
  <c r="G69" i="42696"/>
  <c r="G97" i="42696" s="1"/>
  <c r="G109" i="42696" s="1"/>
  <c r="G122" i="42696" s="1"/>
  <c r="M335" i="42690"/>
  <c r="M323" i="42690"/>
  <c r="M332" i="42690" s="1"/>
  <c r="M333" i="42690" s="1"/>
  <c r="M846" i="42690"/>
  <c r="M344" i="42690"/>
  <c r="M334" i="42690"/>
  <c r="Q857" i="42689"/>
  <c r="Q346" i="42689"/>
  <c r="Q334" i="42689"/>
  <c r="Q355" i="42689"/>
  <c r="Q345" i="42689"/>
  <c r="O69" i="42696"/>
  <c r="O97" i="42696" s="1"/>
  <c r="O109" i="42696" s="1"/>
  <c r="O122" i="42696" s="1"/>
  <c r="H847" i="42690"/>
  <c r="H389" i="42690"/>
  <c r="H373" i="42690"/>
  <c r="H386" i="42690" s="1"/>
  <c r="H387" i="42690" s="1"/>
  <c r="H388" i="42690"/>
  <c r="H398" i="42690"/>
  <c r="L858" i="42689"/>
  <c r="L409" i="42689"/>
  <c r="L399" i="42689"/>
  <c r="L400" i="42689"/>
  <c r="L384" i="42689"/>
  <c r="J70" i="42696"/>
  <c r="J98" i="42696" s="1"/>
  <c r="J110" i="42696" s="1"/>
  <c r="J123" i="42696" s="1"/>
  <c r="P847" i="42690"/>
  <c r="P389" i="42690"/>
  <c r="P373" i="42690"/>
  <c r="P386" i="42690" s="1"/>
  <c r="P387" i="42690" s="1"/>
  <c r="P388" i="42690"/>
  <c r="P398" i="42690"/>
  <c r="I227" i="42692"/>
  <c r="I227" i="42691"/>
  <c r="I869" i="42689"/>
  <c r="I252" i="42689"/>
  <c r="I237" i="42689"/>
  <c r="G67" i="42696"/>
  <c r="G95" i="42696" s="1"/>
  <c r="G107" i="42696" s="1"/>
  <c r="G120" i="42696" s="1"/>
  <c r="M858" i="42690"/>
  <c r="M241" i="42690"/>
  <c r="M226" i="42690"/>
  <c r="M239" i="42690" s="1"/>
  <c r="M240" i="42690" s="1"/>
  <c r="H409" i="42692"/>
  <c r="H409" i="42691"/>
  <c r="H859" i="42689"/>
  <c r="H424" i="42689"/>
  <c r="H425" i="42689"/>
  <c r="H428" i="42689"/>
  <c r="F71" i="42696"/>
  <c r="F99" i="42696" s="1"/>
  <c r="F111" i="42696" s="1"/>
  <c r="F124" i="42696" s="1"/>
  <c r="L848" i="42690"/>
  <c r="L414" i="42690"/>
  <c r="L417" i="42690"/>
  <c r="L413" i="42690"/>
  <c r="L415" i="42690" s="1"/>
  <c r="P409" i="42692"/>
  <c r="P409" i="42691"/>
  <c r="P859" i="42689"/>
  <c r="P424" i="42689"/>
  <c r="P425" i="42689"/>
  <c r="P428" i="42689"/>
  <c r="N71" i="42696"/>
  <c r="N99" i="42696" s="1"/>
  <c r="N111" i="42696" s="1"/>
  <c r="N124" i="42696" s="1"/>
  <c r="I849" i="42690"/>
  <c r="I438" i="42690"/>
  <c r="I448" i="42690" s="1"/>
  <c r="I449" i="42690" s="1"/>
  <c r="I457" i="42690" s="1"/>
  <c r="I459" i="42690"/>
  <c r="M860" i="42689"/>
  <c r="M449" i="42689"/>
  <c r="M461" i="42689"/>
  <c r="M467" i="42689" s="1"/>
  <c r="M470" i="42689"/>
  <c r="K64" i="42696"/>
  <c r="K100" i="42696" s="1"/>
  <c r="K112" i="42696" s="1"/>
  <c r="K125" i="42696" s="1"/>
  <c r="Q849" i="42690"/>
  <c r="Q438" i="42690"/>
  <c r="Q448" i="42690" s="1"/>
  <c r="Q449" i="42690" s="1"/>
  <c r="Q457" i="42690" s="1"/>
  <c r="Q459" i="42690"/>
  <c r="H870" i="42689"/>
  <c r="H488" i="42689"/>
  <c r="H500" i="42689"/>
  <c r="H506" i="42689" s="1"/>
  <c r="H501" i="42689"/>
  <c r="H859" i="42697"/>
  <c r="H477" i="42697"/>
  <c r="H487" i="42697" s="1"/>
  <c r="H488" i="42697" s="1"/>
  <c r="H489" i="42697"/>
  <c r="H495" i="42697" s="1"/>
  <c r="H490" i="42697"/>
  <c r="L477" i="42690"/>
  <c r="L487" i="42690" s="1"/>
  <c r="L488" i="42690" s="1"/>
  <c r="L859" i="42690"/>
  <c r="L489" i="42690"/>
  <c r="L495" i="42690" s="1"/>
  <c r="L490" i="42690"/>
  <c r="P870" i="42689"/>
  <c r="P488" i="42689"/>
  <c r="P500" i="42689"/>
  <c r="P506" i="42689" s="1"/>
  <c r="P501" i="42689"/>
  <c r="P859" i="42697"/>
  <c r="P477" i="42697"/>
  <c r="P487" i="42697" s="1"/>
  <c r="P488" i="42697" s="1"/>
  <c r="P489" i="42697"/>
  <c r="P495" i="42697" s="1"/>
  <c r="P490" i="42697"/>
  <c r="H850" i="42690"/>
  <c r="H639" i="42690"/>
  <c r="H649" i="42690" s="1"/>
  <c r="H650" i="42690" s="1"/>
  <c r="H651" i="42690"/>
  <c r="H658" i="42690" s="1"/>
  <c r="H661" i="42690"/>
  <c r="H652" i="42690"/>
  <c r="L861" i="42689"/>
  <c r="L662" i="42689"/>
  <c r="L669" i="42689" s="1"/>
  <c r="L650" i="42689"/>
  <c r="L663" i="42689"/>
  <c r="L672" i="42689"/>
  <c r="L850" i="42697"/>
  <c r="L661" i="42697"/>
  <c r="L639" i="42697"/>
  <c r="L649" i="42697" s="1"/>
  <c r="L650" i="42697" s="1"/>
  <c r="L652" i="42697"/>
  <c r="P850" i="42690"/>
  <c r="P639" i="42690"/>
  <c r="P649" i="42690" s="1"/>
  <c r="P650" i="42690" s="1"/>
  <c r="P651" i="42690"/>
  <c r="P658" i="42690" s="1"/>
  <c r="P661" i="42690"/>
  <c r="P652" i="42690"/>
  <c r="I871" i="42689"/>
  <c r="I536" i="42689"/>
  <c r="I541" i="42689" s="1"/>
  <c r="I524" i="42689"/>
  <c r="I860" i="42697"/>
  <c r="I513" i="42697"/>
  <c r="I523" i="42697" s="1"/>
  <c r="I524" i="42697" s="1"/>
  <c r="I528" i="42697" s="1"/>
  <c r="M860" i="42690"/>
  <c r="M525" i="42690"/>
  <c r="M530" i="42690" s="1"/>
  <c r="M513" i="42690"/>
  <c r="M523" i="42690" s="1"/>
  <c r="M524" i="42690" s="1"/>
  <c r="Q871" i="42689"/>
  <c r="Q536" i="42689"/>
  <c r="Q541" i="42689" s="1"/>
  <c r="Q524" i="42689"/>
  <c r="Q860" i="42697"/>
  <c r="Q513" i="42697"/>
  <c r="Q523" i="42697" s="1"/>
  <c r="Q524" i="42697" s="1"/>
  <c r="Q528" i="42697" s="1"/>
  <c r="H851" i="42690"/>
  <c r="H682" i="42690"/>
  <c r="H691" i="42690" s="1"/>
  <c r="H692" i="42690" s="1"/>
  <c r="H694" i="42690"/>
  <c r="L862" i="42689"/>
  <c r="L693" i="42689"/>
  <c r="L704" i="42689"/>
  <c r="L711" i="42689" s="1"/>
  <c r="L705" i="42689"/>
  <c r="L714" i="42689"/>
  <c r="L851" i="42697"/>
  <c r="L682" i="42697"/>
  <c r="L691" i="42697" s="1"/>
  <c r="L692" i="42697" s="1"/>
  <c r="L694" i="42697"/>
  <c r="P851" i="42690"/>
  <c r="P682" i="42690"/>
  <c r="P691" i="42690" s="1"/>
  <c r="P692" i="42690" s="1"/>
  <c r="P694" i="42690"/>
  <c r="I872" i="42689"/>
  <c r="I890" i="42689" s="1"/>
  <c r="I557" i="42689"/>
  <c r="I568" i="42689"/>
  <c r="I547" i="42697"/>
  <c r="G172" i="42696"/>
  <c r="M861" i="42690"/>
  <c r="M879" i="42690" s="1"/>
  <c r="M546" i="42690"/>
  <c r="M555" i="42690" s="1"/>
  <c r="M556" i="42690" s="1"/>
  <c r="M557" i="42690"/>
  <c r="Q872" i="42689"/>
  <c r="Q890" i="42689" s="1"/>
  <c r="Q557" i="42689"/>
  <c r="Q568" i="42689"/>
  <c r="Q547" i="42697"/>
  <c r="O172" i="42696"/>
  <c r="H852" i="42690"/>
  <c r="H732" i="42690"/>
  <c r="H745" i="42690" s="1"/>
  <c r="H746" i="42690" s="1"/>
  <c r="H747" i="42690"/>
  <c r="H754" i="42690" s="1"/>
  <c r="H757" i="42690"/>
  <c r="H748" i="42690"/>
  <c r="L863" i="42689"/>
  <c r="L743" i="42689"/>
  <c r="L758" i="42689"/>
  <c r="L765" i="42689" s="1"/>
  <c r="L759" i="42689"/>
  <c r="L768" i="42689"/>
  <c r="L852" i="42697"/>
  <c r="L732" i="42697"/>
  <c r="L745" i="42697" s="1"/>
  <c r="L746" i="42697" s="1"/>
  <c r="L748" i="42697"/>
  <c r="P852" i="42690"/>
  <c r="P732" i="42690"/>
  <c r="P745" i="42690" s="1"/>
  <c r="P746" i="42690" s="1"/>
  <c r="P747" i="42690"/>
  <c r="P754" i="42690" s="1"/>
  <c r="P757" i="42690"/>
  <c r="P748" i="42690"/>
  <c r="I873" i="42689"/>
  <c r="I597" i="42689"/>
  <c r="I612" i="42689"/>
  <c r="I617" i="42689" s="1"/>
  <c r="I862" i="42697"/>
  <c r="I586" i="42697"/>
  <c r="I599" i="42697" s="1"/>
  <c r="I600" i="42697" s="1"/>
  <c r="I601" i="42697"/>
  <c r="I606" i="42697" s="1"/>
  <c r="M586" i="42690"/>
  <c r="M599" i="42690" s="1"/>
  <c r="M600" i="42690" s="1"/>
  <c r="M862" i="42690"/>
  <c r="M601" i="42690"/>
  <c r="M606" i="42690" s="1"/>
  <c r="Q873" i="42689"/>
  <c r="Q891" i="42689" s="1"/>
  <c r="Q597" i="42689"/>
  <c r="Q612" i="42689"/>
  <c r="Q617" i="42689" s="1"/>
  <c r="Q862" i="42697"/>
  <c r="Q586" i="42697"/>
  <c r="Q599" i="42697" s="1"/>
  <c r="Q600" i="42697" s="1"/>
  <c r="Q601" i="42697"/>
  <c r="Q606" i="42697" s="1"/>
  <c r="H863" i="42690"/>
  <c r="H881" i="42690" s="1"/>
  <c r="H779" i="42690"/>
  <c r="H791" i="42690" s="1"/>
  <c r="H792" i="42690" s="1"/>
  <c r="L874" i="42689"/>
  <c r="L892" i="42689" s="1"/>
  <c r="L790" i="42689"/>
  <c r="J72" i="42696"/>
  <c r="J101" i="42696" s="1"/>
  <c r="J113" i="42696" s="1"/>
  <c r="J126" i="42696" s="1"/>
  <c r="I848" i="42689"/>
  <c r="M848" i="42689"/>
  <c r="Q848" i="42689"/>
  <c r="G909" i="42692"/>
  <c r="G918" i="42692" s="1"/>
  <c r="G905" i="42692"/>
  <c r="G990" i="42692" s="1"/>
  <c r="K909" i="42692"/>
  <c r="K918" i="42692" s="1"/>
  <c r="K905" i="42692"/>
  <c r="K990" i="42692" s="1"/>
  <c r="O909" i="42692"/>
  <c r="O918" i="42692" s="1"/>
  <c r="O905" i="42692"/>
  <c r="O990" i="42692" s="1"/>
  <c r="F914" i="42691"/>
  <c r="R914" i="42691" s="1"/>
  <c r="R891" i="42691"/>
  <c r="F916" i="42691"/>
  <c r="R916" i="42691" s="1"/>
  <c r="R892" i="42691"/>
  <c r="R296" i="42691"/>
  <c r="F910" i="42691"/>
  <c r="R910" i="42691" s="1"/>
  <c r="R893" i="42691"/>
  <c r="R350" i="42689"/>
  <c r="R404" i="42689"/>
  <c r="F438" i="42692"/>
  <c r="F438" i="42691"/>
  <c r="F459" i="42689"/>
  <c r="N438" i="42692"/>
  <c r="N438" i="42691"/>
  <c r="N459" i="42689"/>
  <c r="N460" i="42689" s="1"/>
  <c r="N468" i="42689" s="1"/>
  <c r="K477" i="42692"/>
  <c r="K477" i="42691"/>
  <c r="K498" i="42689"/>
  <c r="K499" i="42689" s="1"/>
  <c r="K504" i="42689" s="1"/>
  <c r="R20" i="42690"/>
  <c r="R821" i="42690"/>
  <c r="R987" i="42690" s="1"/>
  <c r="J965" i="42691"/>
  <c r="N21" i="42691"/>
  <c r="G450" i="42690"/>
  <c r="O450" i="42690"/>
  <c r="O456" i="42690" s="1"/>
  <c r="J693" i="42690"/>
  <c r="J700" i="42690" s="1"/>
  <c r="F918" i="42690"/>
  <c r="F919" i="42690" s="1"/>
  <c r="R908" i="42690"/>
  <c r="R918" i="42690" s="1"/>
  <c r="R836" i="42691"/>
  <c r="R837" i="42691" s="1"/>
  <c r="R656" i="42691"/>
  <c r="R698" i="42691"/>
  <c r="R904" i="42691"/>
  <c r="F917" i="42691"/>
  <c r="R917" i="42691" s="1"/>
  <c r="I918" i="42691"/>
  <c r="M918" i="42691"/>
  <c r="Q918" i="42691"/>
  <c r="R295" i="42691"/>
  <c r="R297" i="42691" s="1"/>
  <c r="I926" i="42692"/>
  <c r="J926" i="42691"/>
  <c r="H837" i="42692"/>
  <c r="L837" i="42692"/>
  <c r="P837" i="42692"/>
  <c r="J905" i="42692"/>
  <c r="J990" i="42692" s="1"/>
  <c r="N905" i="42692"/>
  <c r="N990" i="42692" s="1"/>
  <c r="H693" i="42697"/>
  <c r="H700" i="42697" s="1"/>
  <c r="P693" i="42697"/>
  <c r="P700" i="42697" s="1"/>
  <c r="L703" i="42697"/>
  <c r="R947" i="42692"/>
  <c r="G414" i="42692"/>
  <c r="O414" i="42692"/>
  <c r="G703" i="42697"/>
  <c r="O703" i="42697"/>
  <c r="H747" i="42697"/>
  <c r="H754" i="42697" s="1"/>
  <c r="L747" i="42697"/>
  <c r="L754" i="42697" s="1"/>
  <c r="P747" i="42697"/>
  <c r="P754" i="42697" s="1"/>
  <c r="L757" i="42697"/>
  <c r="H965" i="42697"/>
  <c r="P965" i="42697"/>
  <c r="K118" i="42697"/>
  <c r="M965" i="42697"/>
  <c r="F970" i="42697"/>
  <c r="R970" i="42697" s="1"/>
  <c r="R935" i="42697"/>
  <c r="S935" i="42697" s="1"/>
  <c r="F514" i="42698"/>
  <c r="F523" i="42698" s="1"/>
  <c r="F178" i="42698"/>
  <c r="F345" i="42698"/>
  <c r="F361" i="42698" s="1"/>
  <c r="F235" i="42698"/>
  <c r="F207" i="42698"/>
  <c r="F143" i="42698"/>
  <c r="F376" i="42698"/>
  <c r="F48" i="42698"/>
  <c r="F654" i="42698" s="1"/>
  <c r="K905" i="42691"/>
  <c r="K990" i="42691" s="1"/>
  <c r="H935" i="42690"/>
  <c r="H970" i="42690" s="1"/>
  <c r="M905" i="42691"/>
  <c r="M990" i="42691" s="1"/>
  <c r="R941" i="42689"/>
  <c r="L869" i="42692"/>
  <c r="L930" i="42690"/>
  <c r="L21" i="42690"/>
  <c r="K117" i="42696"/>
  <c r="K52" i="42692"/>
  <c r="K52" i="42691"/>
  <c r="K853" i="42689"/>
  <c r="K882" i="42689" s="1"/>
  <c r="K67" i="42689"/>
  <c r="K71" i="42689"/>
  <c r="K68" i="42689"/>
  <c r="E62" i="42696"/>
  <c r="E93" i="42696" s="1"/>
  <c r="E105" i="42696" s="1"/>
  <c r="E118" i="42696" s="1"/>
  <c r="O843" i="42690"/>
  <c r="O872" i="42690" s="1"/>
  <c r="O89" i="42690"/>
  <c r="O85" i="42690"/>
  <c r="O86" i="42690"/>
  <c r="O950" i="42690" s="1"/>
  <c r="L855" i="42689"/>
  <c r="L884" i="42689" s="1"/>
  <c r="L142" i="42689"/>
  <c r="L133" i="42689"/>
  <c r="L121" i="42689"/>
  <c r="M165" i="42696"/>
  <c r="M65" i="42696"/>
  <c r="M31" i="42696"/>
  <c r="L280" i="42690"/>
  <c r="L290" i="42690" s="1"/>
  <c r="L291" i="42690" s="1"/>
  <c r="L845" i="42690"/>
  <c r="L293" i="42690"/>
  <c r="L292" i="42690"/>
  <c r="L302" i="42690"/>
  <c r="G868" i="42689"/>
  <c r="G889" i="42689" s="1"/>
  <c r="G208" i="42689"/>
  <c r="G196" i="42689"/>
  <c r="I847" i="42690"/>
  <c r="I876" i="42690" s="1"/>
  <c r="I389" i="42690"/>
  <c r="I373" i="42690"/>
  <c r="I386" i="42690" s="1"/>
  <c r="I387" i="42690" s="1"/>
  <c r="I388" i="42690"/>
  <c r="I398" i="42690"/>
  <c r="Q246" i="42690"/>
  <c r="P779" i="42692"/>
  <c r="P779" i="42691"/>
  <c r="P802" i="42689"/>
  <c r="P803" i="42689" s="1"/>
  <c r="V28" i="42699"/>
  <c r="N28" i="42699"/>
  <c r="H869" i="42691"/>
  <c r="L869" i="42697"/>
  <c r="L930" i="42692"/>
  <c r="L21" i="42692"/>
  <c r="L869" i="42690"/>
  <c r="N196" i="42696"/>
  <c r="N34" i="42690"/>
  <c r="N45" i="42689"/>
  <c r="K56" i="42690"/>
  <c r="K842" i="42690"/>
  <c r="K871" i="42690" s="1"/>
  <c r="K60" i="42690"/>
  <c r="K57" i="42690"/>
  <c r="G843" i="42690"/>
  <c r="G872" i="42690" s="1"/>
  <c r="G89" i="42690"/>
  <c r="G85" i="42690"/>
  <c r="G86" i="42690"/>
  <c r="G950" i="42690" s="1"/>
  <c r="O81" i="42692"/>
  <c r="O81" i="42691"/>
  <c r="O854" i="42689"/>
  <c r="O883" i="42689" s="1"/>
  <c r="O100" i="42689"/>
  <c r="O97" i="42689"/>
  <c r="O961" i="42689" s="1"/>
  <c r="O96" i="42689"/>
  <c r="M62" i="42696"/>
  <c r="M93" i="42696" s="1"/>
  <c r="M105" i="42696" s="1"/>
  <c r="M118" i="42696" s="1"/>
  <c r="L844" i="42690"/>
  <c r="L873" i="42690" s="1"/>
  <c r="L122" i="42690"/>
  <c r="L110" i="42690"/>
  <c r="L120" i="42690" s="1"/>
  <c r="L121" i="42690" s="1"/>
  <c r="L131" i="42690"/>
  <c r="G150" i="42692"/>
  <c r="G867" i="42689"/>
  <c r="G150" i="42691"/>
  <c r="G172" i="42689"/>
  <c r="G173" i="42689"/>
  <c r="G160" i="42689"/>
  <c r="E165" i="42696"/>
  <c r="E65" i="42696"/>
  <c r="E31" i="42696"/>
  <c r="O161" i="42690"/>
  <c r="O856" i="42690"/>
  <c r="O162" i="42690"/>
  <c r="O149" i="42690"/>
  <c r="O159" i="42690" s="1"/>
  <c r="O160" i="42690" s="1"/>
  <c r="L856" i="42689"/>
  <c r="L885" i="42689" s="1"/>
  <c r="L313" i="42689"/>
  <c r="L303" i="42689"/>
  <c r="L291" i="42689"/>
  <c r="L304" i="42689"/>
  <c r="J68" i="42696"/>
  <c r="J96" i="42696" s="1"/>
  <c r="J108" i="42696" s="1"/>
  <c r="J121" i="42696" s="1"/>
  <c r="G857" i="42690"/>
  <c r="G197" i="42690"/>
  <c r="G185" i="42690"/>
  <c r="G195" i="42690" s="1"/>
  <c r="G196" i="42690" s="1"/>
  <c r="O868" i="42689"/>
  <c r="O889" i="42689" s="1"/>
  <c r="O208" i="42689"/>
  <c r="O196" i="42689"/>
  <c r="M166" i="42696"/>
  <c r="M66" i="42696"/>
  <c r="J846" i="42690"/>
  <c r="J875" i="42690" s="1"/>
  <c r="J335" i="42690"/>
  <c r="J323" i="42690"/>
  <c r="J332" i="42690" s="1"/>
  <c r="J333" i="42690" s="1"/>
  <c r="J334" i="42690"/>
  <c r="J344" i="42690"/>
  <c r="I858" i="42689"/>
  <c r="I400" i="42689"/>
  <c r="I384" i="42689"/>
  <c r="I409" i="42689"/>
  <c r="I399" i="42689"/>
  <c r="G70" i="42696"/>
  <c r="G98" i="42696" s="1"/>
  <c r="G110" i="42696" s="1"/>
  <c r="G123" i="42696" s="1"/>
  <c r="Q847" i="42690"/>
  <c r="Q876" i="42690" s="1"/>
  <c r="Q389" i="42690"/>
  <c r="Q373" i="42690"/>
  <c r="Q386" i="42690" s="1"/>
  <c r="Q387" i="42690" s="1"/>
  <c r="Q388" i="42690"/>
  <c r="Q398" i="42690"/>
  <c r="L227" i="42692"/>
  <c r="L227" i="42691"/>
  <c r="L869" i="42689"/>
  <c r="L252" i="42689"/>
  <c r="L237" i="42689"/>
  <c r="J67" i="42696"/>
  <c r="J95" i="42696" s="1"/>
  <c r="J107" i="42696" s="1"/>
  <c r="J120" i="42696" s="1"/>
  <c r="K493" i="42690"/>
  <c r="F523" i="42690"/>
  <c r="L871" i="42689"/>
  <c r="L524" i="42689"/>
  <c r="L536" i="42689"/>
  <c r="L541" i="42689" s="1"/>
  <c r="L860" i="42697"/>
  <c r="L513" i="42697"/>
  <c r="L523" i="42697" s="1"/>
  <c r="L524" i="42697" s="1"/>
  <c r="L525" i="42697"/>
  <c r="L530" i="42697" s="1"/>
  <c r="P860" i="42690"/>
  <c r="P513" i="42690"/>
  <c r="P523" i="42690" s="1"/>
  <c r="P524" i="42690" s="1"/>
  <c r="P525" i="42690"/>
  <c r="P530" i="42690" s="1"/>
  <c r="G862" i="42689"/>
  <c r="G693" i="42689"/>
  <c r="G704" i="42689"/>
  <c r="G711" i="42689" s="1"/>
  <c r="G705" i="42689"/>
  <c r="G714" i="42689"/>
  <c r="G851" i="42697"/>
  <c r="G682" i="42697"/>
  <c r="G691" i="42697" s="1"/>
  <c r="G692" i="42697" s="1"/>
  <c r="G694" i="42697"/>
  <c r="K851" i="42690"/>
  <c r="K682" i="42690"/>
  <c r="K691" i="42690" s="1"/>
  <c r="K692" i="42690" s="1"/>
  <c r="K693" i="42690"/>
  <c r="K700" i="42690" s="1"/>
  <c r="K703" i="42690"/>
  <c r="K694" i="42690"/>
  <c r="O862" i="42689"/>
  <c r="O693" i="42689"/>
  <c r="O704" i="42689"/>
  <c r="O711" i="42689" s="1"/>
  <c r="O705" i="42689"/>
  <c r="O714" i="42689"/>
  <c r="O851" i="42697"/>
  <c r="O682" i="42697"/>
  <c r="O691" i="42697" s="1"/>
  <c r="O692" i="42697" s="1"/>
  <c r="O694" i="42697"/>
  <c r="F872" i="42689"/>
  <c r="F568" i="42689"/>
  <c r="F557" i="42689"/>
  <c r="F547" i="42697"/>
  <c r="D172" i="42696"/>
  <c r="P27" i="42696"/>
  <c r="P172" i="42696" s="1"/>
  <c r="J557" i="42690"/>
  <c r="J861" i="42690"/>
  <c r="J879" i="42690" s="1"/>
  <c r="J546" i="42690"/>
  <c r="J555" i="42690" s="1"/>
  <c r="J556" i="42690" s="1"/>
  <c r="N872" i="42689"/>
  <c r="N890" i="42689" s="1"/>
  <c r="N568" i="42689"/>
  <c r="N557" i="42689"/>
  <c r="N547" i="42697"/>
  <c r="L172" i="42696"/>
  <c r="G852" i="42690"/>
  <c r="G732" i="42690"/>
  <c r="G745" i="42690" s="1"/>
  <c r="G746" i="42690" s="1"/>
  <c r="G747" i="42690"/>
  <c r="G754" i="42690" s="1"/>
  <c r="G757" i="42690"/>
  <c r="G748" i="42690"/>
  <c r="K863" i="42689"/>
  <c r="K743" i="42689"/>
  <c r="K768" i="42689"/>
  <c r="K758" i="42689"/>
  <c r="K765" i="42689" s="1"/>
  <c r="K759" i="42689"/>
  <c r="K852" i="42697"/>
  <c r="K732" i="42697"/>
  <c r="K745" i="42697" s="1"/>
  <c r="K746" i="42697" s="1"/>
  <c r="K748" i="42697"/>
  <c r="O852" i="42690"/>
  <c r="O732" i="42690"/>
  <c r="O745" i="42690" s="1"/>
  <c r="O746" i="42690" s="1"/>
  <c r="O747" i="42690"/>
  <c r="O754" i="42690" s="1"/>
  <c r="O757" i="42690"/>
  <c r="O748" i="42690"/>
  <c r="F862" i="42690"/>
  <c r="R587" i="42690"/>
  <c r="F586" i="42690"/>
  <c r="F601" i="42690"/>
  <c r="J873" i="42689"/>
  <c r="J597" i="42689"/>
  <c r="J612" i="42689"/>
  <c r="J617" i="42689" s="1"/>
  <c r="J862" i="42697"/>
  <c r="J586" i="42697"/>
  <c r="J599" i="42697" s="1"/>
  <c r="J600" i="42697" s="1"/>
  <c r="J601" i="42697"/>
  <c r="J606" i="42697" s="1"/>
  <c r="N862" i="42690"/>
  <c r="N586" i="42690"/>
  <c r="N599" i="42690" s="1"/>
  <c r="N600" i="42690" s="1"/>
  <c r="N601" i="42690"/>
  <c r="N606" i="42690" s="1"/>
  <c r="G863" i="42690"/>
  <c r="G881" i="42690" s="1"/>
  <c r="G779" i="42690"/>
  <c r="G791" i="42690" s="1"/>
  <c r="G792" i="42690" s="1"/>
  <c r="E72" i="42696"/>
  <c r="E101" i="42696" s="1"/>
  <c r="E113" i="42696" s="1"/>
  <c r="E126" i="42696" s="1"/>
  <c r="K874" i="42689"/>
  <c r="K892" i="42689" s="1"/>
  <c r="K790" i="42689"/>
  <c r="O863" i="42690"/>
  <c r="O881" i="42690" s="1"/>
  <c r="O779" i="42690"/>
  <c r="O791" i="42690" s="1"/>
  <c r="O792" i="42690" s="1"/>
  <c r="M72" i="42696"/>
  <c r="M101" i="42696" s="1"/>
  <c r="M113" i="42696" s="1"/>
  <c r="M126" i="42696" s="1"/>
  <c r="F958" i="42689"/>
  <c r="F976" i="42689" s="1"/>
  <c r="R31" i="42689"/>
  <c r="J958" i="42689"/>
  <c r="J32" i="42689"/>
  <c r="N958" i="42689"/>
  <c r="N32" i="42689"/>
  <c r="K976" i="42689"/>
  <c r="F848" i="42689"/>
  <c r="F930" i="42689"/>
  <c r="F126" i="42691"/>
  <c r="R124" i="42691"/>
  <c r="R126" i="42691" s="1"/>
  <c r="F909" i="42691"/>
  <c r="R889" i="42691"/>
  <c r="F905" i="42691"/>
  <c r="F990" i="42691" s="1"/>
  <c r="L126" i="42692"/>
  <c r="N126" i="42691"/>
  <c r="N909" i="42691"/>
  <c r="N918" i="42691" s="1"/>
  <c r="N905" i="42691"/>
  <c r="N990" i="42691" s="1"/>
  <c r="G297" i="42692"/>
  <c r="K297" i="42691"/>
  <c r="O297" i="42692"/>
  <c r="R922" i="42689"/>
  <c r="H339" i="42692"/>
  <c r="L339" i="42692"/>
  <c r="P339" i="42692"/>
  <c r="R392" i="42691"/>
  <c r="R393" i="42691" s="1"/>
  <c r="L393" i="42692"/>
  <c r="K848" i="42691"/>
  <c r="K413" i="42691"/>
  <c r="K414" i="42691"/>
  <c r="K417" i="42691"/>
  <c r="K848" i="42692"/>
  <c r="K413" i="42692"/>
  <c r="H513" i="42692"/>
  <c r="H513" i="42691"/>
  <c r="H534" i="42689"/>
  <c r="H535" i="42689" s="1"/>
  <c r="H539" i="42689" s="1"/>
  <c r="F915" i="42692"/>
  <c r="R915" i="42692" s="1"/>
  <c r="R899" i="42692"/>
  <c r="S899" i="42697" s="1"/>
  <c r="I639" i="42692"/>
  <c r="I639" i="42691"/>
  <c r="I660" i="42689"/>
  <c r="I661" i="42689" s="1"/>
  <c r="I670" i="42689" s="1"/>
  <c r="M639" i="42692"/>
  <c r="M639" i="42691"/>
  <c r="M660" i="42689"/>
  <c r="M661" i="42689" s="1"/>
  <c r="M670" i="42689" s="1"/>
  <c r="Q639" i="42692"/>
  <c r="Q639" i="42691"/>
  <c r="Q660" i="42689"/>
  <c r="Q661" i="42689" s="1"/>
  <c r="Q670" i="42689" s="1"/>
  <c r="G930" i="42691"/>
  <c r="G21" i="42691"/>
  <c r="O930" i="42691"/>
  <c r="O21" i="42691"/>
  <c r="F840" i="42697"/>
  <c r="R16" i="42697"/>
  <c r="R798" i="42697"/>
  <c r="F930" i="42692"/>
  <c r="F21" i="42692"/>
  <c r="R19" i="42692"/>
  <c r="R798" i="42692"/>
  <c r="F930" i="42690"/>
  <c r="F21" i="42690"/>
  <c r="R19" i="42690"/>
  <c r="R21" i="42690" s="1"/>
  <c r="R23" i="42690"/>
  <c r="H30" i="42696"/>
  <c r="J869" i="42691"/>
  <c r="N869" i="42697"/>
  <c r="N930" i="42692"/>
  <c r="N21" i="42692"/>
  <c r="N869" i="42690"/>
  <c r="H34" i="42690"/>
  <c r="H45" i="42689"/>
  <c r="I117" i="42696"/>
  <c r="M56" i="42690"/>
  <c r="M842" i="42690"/>
  <c r="M871" i="42690" s="1"/>
  <c r="M60" i="42690"/>
  <c r="M57" i="42690"/>
  <c r="I81" i="42692"/>
  <c r="I81" i="42691"/>
  <c r="I854" i="42689"/>
  <c r="I883" i="42689" s="1"/>
  <c r="I100" i="42689"/>
  <c r="I97" i="42689"/>
  <c r="I961" i="42689" s="1"/>
  <c r="I96" i="42689"/>
  <c r="G62" i="42696"/>
  <c r="G93" i="42696" s="1"/>
  <c r="G105" i="42696" s="1"/>
  <c r="G118" i="42696" s="1"/>
  <c r="Q843" i="42690"/>
  <c r="Q872" i="42690" s="1"/>
  <c r="Q89" i="42690"/>
  <c r="Q85" i="42690"/>
  <c r="Q86" i="42690"/>
  <c r="Q950" i="42690" s="1"/>
  <c r="J855" i="42689"/>
  <c r="J884" i="42689" s="1"/>
  <c r="J142" i="42689"/>
  <c r="J133" i="42689"/>
  <c r="J121" i="42689"/>
  <c r="H63" i="42696"/>
  <c r="H94" i="42696" s="1"/>
  <c r="H106" i="42696" s="1"/>
  <c r="H119" i="42696" s="1"/>
  <c r="I161" i="42690"/>
  <c r="I856" i="42690"/>
  <c r="I162" i="42690"/>
  <c r="I149" i="42690"/>
  <c r="I159" i="42690" s="1"/>
  <c r="I160" i="42690" s="1"/>
  <c r="Q150" i="42692"/>
  <c r="Q867" i="42689"/>
  <c r="Q150" i="42691"/>
  <c r="Q172" i="42689"/>
  <c r="Q173" i="42689"/>
  <c r="Q160" i="42689"/>
  <c r="O165" i="42696"/>
  <c r="O65" i="42696"/>
  <c r="O31" i="42696"/>
  <c r="J280" i="42690"/>
  <c r="J290" i="42690" s="1"/>
  <c r="J291" i="42690" s="1"/>
  <c r="J845" i="42690"/>
  <c r="J293" i="42690"/>
  <c r="J292" i="42690"/>
  <c r="J302" i="42690"/>
  <c r="I868" i="42689"/>
  <c r="I889" i="42689" s="1"/>
  <c r="I208" i="42689"/>
  <c r="I196" i="42689"/>
  <c r="G166" i="42696"/>
  <c r="G66" i="42696"/>
  <c r="Q857" i="42690"/>
  <c r="Q197" i="42690"/>
  <c r="Q185" i="42690"/>
  <c r="Q195" i="42690" s="1"/>
  <c r="Q196" i="42690" s="1"/>
  <c r="L857" i="42689"/>
  <c r="L886" i="42689" s="1"/>
  <c r="L355" i="42689"/>
  <c r="L345" i="42689"/>
  <c r="L346" i="42689"/>
  <c r="L334" i="42689"/>
  <c r="J69" i="42696"/>
  <c r="J97" i="42696" s="1"/>
  <c r="J109" i="42696" s="1"/>
  <c r="J122" i="42696" s="1"/>
  <c r="G847" i="42690"/>
  <c r="G876" i="42690" s="1"/>
  <c r="G389" i="42690"/>
  <c r="G373" i="42690"/>
  <c r="G386" i="42690" s="1"/>
  <c r="G387" i="42690" s="1"/>
  <c r="G388" i="42690"/>
  <c r="G398" i="42690"/>
  <c r="O858" i="42689"/>
  <c r="O887" i="42689" s="1"/>
  <c r="O400" i="42689"/>
  <c r="O384" i="42689"/>
  <c r="O409" i="42689"/>
  <c r="O399" i="42689"/>
  <c r="M70" i="42696"/>
  <c r="M98" i="42696" s="1"/>
  <c r="M110" i="42696" s="1"/>
  <c r="M123" i="42696" s="1"/>
  <c r="J858" i="42690"/>
  <c r="J880" i="42690" s="1"/>
  <c r="J241" i="42690"/>
  <c r="J226" i="42690"/>
  <c r="J239" i="42690" s="1"/>
  <c r="J240" i="42690" s="1"/>
  <c r="I415" i="42690"/>
  <c r="M415" i="42690"/>
  <c r="Q415" i="42690"/>
  <c r="E196" i="42696"/>
  <c r="I930" i="42692"/>
  <c r="I21" i="42692"/>
  <c r="I869" i="42690"/>
  <c r="I930" i="42690"/>
  <c r="I21" i="42690"/>
  <c r="I196" i="42696"/>
  <c r="I174" i="42696"/>
  <c r="M930" i="42692"/>
  <c r="M21" i="42692"/>
  <c r="M869" i="42690"/>
  <c r="M930" i="42690"/>
  <c r="M21" i="42690"/>
  <c r="M196" i="42696"/>
  <c r="Q930" i="42692"/>
  <c r="Q21" i="42692"/>
  <c r="Q869" i="42690"/>
  <c r="Q930" i="42690"/>
  <c r="Q21" i="42690"/>
  <c r="G103" i="42683"/>
  <c r="G102" i="42683"/>
  <c r="O103" i="42683"/>
  <c r="O102" i="42683"/>
  <c r="M34" i="42690"/>
  <c r="M45" i="42689"/>
  <c r="F117" i="42696"/>
  <c r="J117" i="42696"/>
  <c r="N117" i="42696"/>
  <c r="H52" i="42692"/>
  <c r="H52" i="42691"/>
  <c r="H853" i="42689"/>
  <c r="H882" i="42689" s="1"/>
  <c r="H71" i="42689"/>
  <c r="H68" i="42689"/>
  <c r="H67" i="42689"/>
  <c r="H52" i="42697"/>
  <c r="F251" i="42696"/>
  <c r="L842" i="42690"/>
  <c r="L871" i="42690" s="1"/>
  <c r="L56" i="42690"/>
  <c r="L57" i="42690"/>
  <c r="L60" i="42690"/>
  <c r="P52" i="42692"/>
  <c r="P52" i="42691"/>
  <c r="P853" i="42689"/>
  <c r="P882" i="42689" s="1"/>
  <c r="P71" i="42689"/>
  <c r="P68" i="42689"/>
  <c r="P67" i="42689"/>
  <c r="P52" i="42697"/>
  <c r="N251" i="42696"/>
  <c r="F81" i="42692"/>
  <c r="F81" i="42691"/>
  <c r="F854" i="42689"/>
  <c r="F96" i="42689"/>
  <c r="R92" i="42689"/>
  <c r="F100" i="42689"/>
  <c r="F97" i="42689"/>
  <c r="D62" i="42696"/>
  <c r="P12" i="42696"/>
  <c r="J85" i="42690"/>
  <c r="J843" i="42690"/>
  <c r="J872" i="42690" s="1"/>
  <c r="J89" i="42690"/>
  <c r="J86" i="42690"/>
  <c r="J950" i="42690" s="1"/>
  <c r="N81" i="42692"/>
  <c r="N81" i="42691"/>
  <c r="N854" i="42689"/>
  <c r="N883" i="42689" s="1"/>
  <c r="N96" i="42689"/>
  <c r="N100" i="42689"/>
  <c r="N97" i="42689"/>
  <c r="N961" i="42689" s="1"/>
  <c r="L62" i="42696"/>
  <c r="L93" i="42696" s="1"/>
  <c r="L105" i="42696" s="1"/>
  <c r="L118" i="42696" s="1"/>
  <c r="G110" i="42690"/>
  <c r="G120" i="42690" s="1"/>
  <c r="G121" i="42690" s="1"/>
  <c r="G844" i="42690"/>
  <c r="G873" i="42690" s="1"/>
  <c r="G131" i="42690"/>
  <c r="G122" i="42690"/>
  <c r="K855" i="42689"/>
  <c r="K884" i="42689" s="1"/>
  <c r="K133" i="42689"/>
  <c r="K121" i="42689"/>
  <c r="K142" i="42689"/>
  <c r="I63" i="42696"/>
  <c r="I94" i="42696" s="1"/>
  <c r="I106" i="42696" s="1"/>
  <c r="I119" i="42696" s="1"/>
  <c r="O110" i="42690"/>
  <c r="O120" i="42690" s="1"/>
  <c r="O121" i="42690" s="1"/>
  <c r="O844" i="42690"/>
  <c r="O873" i="42690" s="1"/>
  <c r="O131" i="42690"/>
  <c r="O122" i="42690"/>
  <c r="F150" i="42692"/>
  <c r="F150" i="42691"/>
  <c r="F867" i="42689"/>
  <c r="F173" i="42689"/>
  <c r="F160" i="42689"/>
  <c r="F172" i="42689"/>
  <c r="R161" i="42689"/>
  <c r="F856" i="42690"/>
  <c r="F162" i="42690"/>
  <c r="F149" i="42690"/>
  <c r="F161" i="42690"/>
  <c r="R150" i="42690"/>
  <c r="J150" i="42692"/>
  <c r="J150" i="42691"/>
  <c r="J867" i="42689"/>
  <c r="J173" i="42689"/>
  <c r="J160" i="42689"/>
  <c r="J172" i="42689"/>
  <c r="H165" i="42696"/>
  <c r="H65" i="42696"/>
  <c r="H31" i="42696"/>
  <c r="N856" i="42690"/>
  <c r="N162" i="42690"/>
  <c r="N149" i="42690"/>
  <c r="N159" i="42690" s="1"/>
  <c r="N160" i="42690" s="1"/>
  <c r="N161" i="42690"/>
  <c r="G845" i="42690"/>
  <c r="G874" i="42690" s="1"/>
  <c r="G293" i="42690"/>
  <c r="G302" i="42690"/>
  <c r="G292" i="42690"/>
  <c r="G280" i="42690"/>
  <c r="G290" i="42690" s="1"/>
  <c r="G291" i="42690" s="1"/>
  <c r="K856" i="42689"/>
  <c r="K885" i="42689" s="1"/>
  <c r="K304" i="42689"/>
  <c r="K313" i="42689"/>
  <c r="K303" i="42689"/>
  <c r="K291" i="42689"/>
  <c r="I68" i="42696"/>
  <c r="I96" i="42696" s="1"/>
  <c r="I108" i="42696" s="1"/>
  <c r="I121" i="42696" s="1"/>
  <c r="O845" i="42690"/>
  <c r="O874" i="42690" s="1"/>
  <c r="O293" i="42690"/>
  <c r="O302" i="42690"/>
  <c r="O292" i="42690"/>
  <c r="O280" i="42690"/>
  <c r="O290" i="42690" s="1"/>
  <c r="O291" i="42690" s="1"/>
  <c r="F868" i="42689"/>
  <c r="F208" i="42689"/>
  <c r="F196" i="42689"/>
  <c r="R197" i="42689"/>
  <c r="F197" i="42690"/>
  <c r="F185" i="42690"/>
  <c r="F857" i="42690"/>
  <c r="R186" i="42690"/>
  <c r="J868" i="42689"/>
  <c r="J208" i="42689"/>
  <c r="J196" i="42689"/>
  <c r="H166" i="42696"/>
  <c r="H66" i="42696"/>
  <c r="N197" i="42690"/>
  <c r="N185" i="42690"/>
  <c r="N195" i="42690" s="1"/>
  <c r="N196" i="42690" s="1"/>
  <c r="N857" i="42690"/>
  <c r="G857" i="42689"/>
  <c r="G886" i="42689" s="1"/>
  <c r="G346" i="42689"/>
  <c r="G334" i="42689"/>
  <c r="G355" i="42689"/>
  <c r="G345" i="42689"/>
  <c r="E69" i="42696"/>
  <c r="E97" i="42696" s="1"/>
  <c r="E109" i="42696" s="1"/>
  <c r="E122" i="42696" s="1"/>
  <c r="K335" i="42690"/>
  <c r="K323" i="42690"/>
  <c r="K332" i="42690" s="1"/>
  <c r="K333" i="42690" s="1"/>
  <c r="K846" i="42690"/>
  <c r="K875" i="42690" s="1"/>
  <c r="K344" i="42690"/>
  <c r="K334" i="42690"/>
  <c r="O857" i="42689"/>
  <c r="O886" i="42689" s="1"/>
  <c r="O346" i="42689"/>
  <c r="O334" i="42689"/>
  <c r="O355" i="42689"/>
  <c r="O345" i="42689"/>
  <c r="M69" i="42696"/>
  <c r="M97" i="42696" s="1"/>
  <c r="M109" i="42696" s="1"/>
  <c r="M122" i="42696" s="1"/>
  <c r="F858" i="42689"/>
  <c r="F409" i="42689"/>
  <c r="F399" i="42689"/>
  <c r="F400" i="42689"/>
  <c r="F384" i="42689"/>
  <c r="D70" i="42696"/>
  <c r="P16" i="42696"/>
  <c r="J847" i="42690"/>
  <c r="J389" i="42690"/>
  <c r="J373" i="42690"/>
  <c r="J386" i="42690" s="1"/>
  <c r="J387" i="42690" s="1"/>
  <c r="J388" i="42690"/>
  <c r="J398" i="42690"/>
  <c r="N858" i="42689"/>
  <c r="N409" i="42689"/>
  <c r="N399" i="42689"/>
  <c r="N400" i="42689"/>
  <c r="N384" i="42689"/>
  <c r="L70" i="42696"/>
  <c r="L98" i="42696" s="1"/>
  <c r="L110" i="42696" s="1"/>
  <c r="L123" i="42696" s="1"/>
  <c r="G858" i="42690"/>
  <c r="G241" i="42690"/>
  <c r="G226" i="42690"/>
  <c r="G239" i="42690" s="1"/>
  <c r="G240" i="42690" s="1"/>
  <c r="K227" i="42692"/>
  <c r="K227" i="42691"/>
  <c r="K869" i="42689"/>
  <c r="K252" i="42689"/>
  <c r="K237" i="42689"/>
  <c r="I67" i="42696"/>
  <c r="I95" i="42696" s="1"/>
  <c r="I107" i="42696" s="1"/>
  <c r="I120" i="42696" s="1"/>
  <c r="O858" i="42690"/>
  <c r="O241" i="42690"/>
  <c r="O226" i="42690"/>
  <c r="O239" i="42690" s="1"/>
  <c r="O240" i="42690" s="1"/>
  <c r="F848" i="42690"/>
  <c r="R409" i="42690"/>
  <c r="F414" i="42690"/>
  <c r="F417" i="42690"/>
  <c r="F413" i="42690"/>
  <c r="J409" i="42692"/>
  <c r="J409" i="42691"/>
  <c r="J859" i="42689"/>
  <c r="J424" i="42689"/>
  <c r="J425" i="42689"/>
  <c r="J428" i="42689"/>
  <c r="H71" i="42696"/>
  <c r="H99" i="42696" s="1"/>
  <c r="H111" i="42696" s="1"/>
  <c r="H124" i="42696" s="1"/>
  <c r="N848" i="42690"/>
  <c r="N414" i="42690"/>
  <c r="N417" i="42690"/>
  <c r="N413" i="42690"/>
  <c r="N415" i="42690" s="1"/>
  <c r="G860" i="42689"/>
  <c r="G449" i="42689"/>
  <c r="G461" i="42689"/>
  <c r="G467" i="42689" s="1"/>
  <c r="G470" i="42689"/>
  <c r="E64" i="42696"/>
  <c r="E100" i="42696" s="1"/>
  <c r="E112" i="42696" s="1"/>
  <c r="E125" i="42696" s="1"/>
  <c r="K849" i="42690"/>
  <c r="K438" i="42690"/>
  <c r="K448" i="42690" s="1"/>
  <c r="K449" i="42690" s="1"/>
  <c r="K459" i="42690"/>
  <c r="O860" i="42689"/>
  <c r="O449" i="42689"/>
  <c r="O461" i="42689"/>
  <c r="O467" i="42689" s="1"/>
  <c r="O470" i="42689"/>
  <c r="M64" i="42696"/>
  <c r="M100" i="42696" s="1"/>
  <c r="M112" i="42696" s="1"/>
  <c r="M125" i="42696" s="1"/>
  <c r="D170" i="42696"/>
  <c r="P25" i="42696"/>
  <c r="J477" i="42690"/>
  <c r="J487" i="42690" s="1"/>
  <c r="J488" i="42690" s="1"/>
  <c r="J859" i="42690"/>
  <c r="J489" i="42690"/>
  <c r="J495" i="42690" s="1"/>
  <c r="J490" i="42690"/>
  <c r="N870" i="42689"/>
  <c r="N488" i="42689"/>
  <c r="N500" i="42689"/>
  <c r="N506" i="42689" s="1"/>
  <c r="N501" i="42689"/>
  <c r="N859" i="42697"/>
  <c r="N477" i="42697"/>
  <c r="N487" i="42697" s="1"/>
  <c r="N488" i="42697" s="1"/>
  <c r="N489" i="42697"/>
  <c r="N495" i="42697" s="1"/>
  <c r="N490" i="42697"/>
  <c r="F861" i="42689"/>
  <c r="F662" i="42689"/>
  <c r="F650" i="42689"/>
  <c r="F672" i="42689"/>
  <c r="F663" i="42689"/>
  <c r="D167" i="42696"/>
  <c r="P19" i="42696"/>
  <c r="J850" i="42690"/>
  <c r="J639" i="42690"/>
  <c r="J649" i="42690" s="1"/>
  <c r="J650" i="42690" s="1"/>
  <c r="J651" i="42690"/>
  <c r="J658" i="42690" s="1"/>
  <c r="J661" i="42690"/>
  <c r="J652" i="42690"/>
  <c r="N861" i="42689"/>
  <c r="N662" i="42689"/>
  <c r="N669" i="42689" s="1"/>
  <c r="N650" i="42689"/>
  <c r="N672" i="42689"/>
  <c r="N663" i="42689"/>
  <c r="N850" i="42697"/>
  <c r="N661" i="42697"/>
  <c r="N639" i="42697"/>
  <c r="N649" i="42697" s="1"/>
  <c r="N650" i="42697" s="1"/>
  <c r="N652" i="42697"/>
  <c r="G860" i="42690"/>
  <c r="G525" i="42690"/>
  <c r="G513" i="42690"/>
  <c r="G523" i="42690" s="1"/>
  <c r="G524" i="42690" s="1"/>
  <c r="K871" i="42689"/>
  <c r="K536" i="42689"/>
  <c r="K541" i="42689" s="1"/>
  <c r="K524" i="42689"/>
  <c r="K860" i="42697"/>
  <c r="K513" i="42697"/>
  <c r="K523" i="42697" s="1"/>
  <c r="K524" i="42697" s="1"/>
  <c r="K528" i="42697" s="1"/>
  <c r="O860" i="42690"/>
  <c r="O525" i="42690"/>
  <c r="O530" i="42690" s="1"/>
  <c r="O513" i="42690"/>
  <c r="O523" i="42690" s="1"/>
  <c r="O524" i="42690" s="1"/>
  <c r="F851" i="42690"/>
  <c r="F682" i="42690"/>
  <c r="F694" i="42690"/>
  <c r="J862" i="42689"/>
  <c r="J693" i="42689"/>
  <c r="J704" i="42689"/>
  <c r="J711" i="42689" s="1"/>
  <c r="J705" i="42689"/>
  <c r="J714" i="42689"/>
  <c r="J851" i="42697"/>
  <c r="J682" i="42697"/>
  <c r="J691" i="42697" s="1"/>
  <c r="J692" i="42697" s="1"/>
  <c r="J694" i="42697"/>
  <c r="N851" i="42690"/>
  <c r="N682" i="42690"/>
  <c r="N691" i="42690" s="1"/>
  <c r="N692" i="42690" s="1"/>
  <c r="N694" i="42690"/>
  <c r="G872" i="42689"/>
  <c r="G890" i="42689" s="1"/>
  <c r="G557" i="42689"/>
  <c r="G568" i="42689"/>
  <c r="G547" i="42697"/>
  <c r="E172" i="42696"/>
  <c r="K861" i="42690"/>
  <c r="K879" i="42690" s="1"/>
  <c r="K546" i="42690"/>
  <c r="K555" i="42690" s="1"/>
  <c r="K556" i="42690" s="1"/>
  <c r="K557" i="42690"/>
  <c r="O872" i="42689"/>
  <c r="O890" i="42689" s="1"/>
  <c r="O557" i="42689"/>
  <c r="O568" i="42689"/>
  <c r="O547" i="42697"/>
  <c r="M172" i="42696"/>
  <c r="D169" i="42696"/>
  <c r="P21" i="42696"/>
  <c r="J852" i="42690"/>
  <c r="J732" i="42690"/>
  <c r="J745" i="42690" s="1"/>
  <c r="J746" i="42690" s="1"/>
  <c r="J747" i="42690"/>
  <c r="J754" i="42690" s="1"/>
  <c r="J757" i="42690"/>
  <c r="J748" i="42690"/>
  <c r="N863" i="42689"/>
  <c r="N743" i="42689"/>
  <c r="N758" i="42689"/>
  <c r="N765" i="42689" s="1"/>
  <c r="N759" i="42689"/>
  <c r="N768" i="42689"/>
  <c r="N852" i="42697"/>
  <c r="N732" i="42697"/>
  <c r="N745" i="42697" s="1"/>
  <c r="N746" i="42697" s="1"/>
  <c r="N748" i="42697"/>
  <c r="G586" i="42690"/>
  <c r="G599" i="42690" s="1"/>
  <c r="G600" i="42690" s="1"/>
  <c r="G862" i="42690"/>
  <c r="G601" i="42690"/>
  <c r="G606" i="42690" s="1"/>
  <c r="K873" i="42689"/>
  <c r="K597" i="42689"/>
  <c r="K612" i="42689"/>
  <c r="K617" i="42689" s="1"/>
  <c r="K862" i="42697"/>
  <c r="K586" i="42697"/>
  <c r="K599" i="42697" s="1"/>
  <c r="K600" i="42697" s="1"/>
  <c r="K601" i="42697"/>
  <c r="K606" i="42697" s="1"/>
  <c r="O586" i="42690"/>
  <c r="O599" i="42690" s="1"/>
  <c r="O600" i="42690" s="1"/>
  <c r="O862" i="42690"/>
  <c r="O601" i="42690"/>
  <c r="O606" i="42690" s="1"/>
  <c r="F863" i="42690"/>
  <c r="F779" i="42690"/>
  <c r="J874" i="42689"/>
  <c r="J892" i="42689" s="1"/>
  <c r="J790" i="42689"/>
  <c r="H72" i="42696"/>
  <c r="H101" i="42696" s="1"/>
  <c r="H113" i="42696" s="1"/>
  <c r="H126" i="42696" s="1"/>
  <c r="N863" i="42690"/>
  <c r="N881" i="42690" s="1"/>
  <c r="N779" i="42690"/>
  <c r="N791" i="42690" s="1"/>
  <c r="N792" i="42690" s="1"/>
  <c r="I909" i="42692"/>
  <c r="I918" i="42692" s="1"/>
  <c r="I905" i="42692"/>
  <c r="I990" i="42692" s="1"/>
  <c r="M909" i="42692"/>
  <c r="M918" i="42692" s="1"/>
  <c r="M905" i="42692"/>
  <c r="M990" i="42692" s="1"/>
  <c r="Q909" i="42692"/>
  <c r="Q918" i="42692" s="1"/>
  <c r="Q905" i="42692"/>
  <c r="Q990" i="42692" s="1"/>
  <c r="F913" i="42692"/>
  <c r="R913" i="42692" s="1"/>
  <c r="R890" i="42692"/>
  <c r="S890" i="42697" s="1"/>
  <c r="R890" i="42691"/>
  <c r="F913" i="42691"/>
  <c r="R913" i="42691" s="1"/>
  <c r="R891" i="42692"/>
  <c r="S891" i="42697" s="1"/>
  <c r="F914" i="42692"/>
  <c r="R914" i="42692" s="1"/>
  <c r="R925" i="42689"/>
  <c r="R296" i="42692"/>
  <c r="F297" i="42692"/>
  <c r="R295" i="42692"/>
  <c r="R297" i="42692" s="1"/>
  <c r="N297" i="42692"/>
  <c r="G339" i="42691"/>
  <c r="M339" i="42692"/>
  <c r="O339" i="42691"/>
  <c r="H438" i="42692"/>
  <c r="H438" i="42691"/>
  <c r="H459" i="42689"/>
  <c r="H460" i="42689" s="1"/>
  <c r="H468" i="42689" s="1"/>
  <c r="P438" i="42692"/>
  <c r="P438" i="42691"/>
  <c r="P459" i="42689"/>
  <c r="P460" i="42689" s="1"/>
  <c r="P468" i="42689" s="1"/>
  <c r="M477" i="42692"/>
  <c r="M477" i="42691"/>
  <c r="M498" i="42689"/>
  <c r="M499" i="42689" s="1"/>
  <c r="M504" i="42689" s="1"/>
  <c r="H965" i="42691"/>
  <c r="P965" i="42691"/>
  <c r="H919" i="42690"/>
  <c r="L919" i="42690"/>
  <c r="P919" i="42690"/>
  <c r="F917" i="42692"/>
  <c r="R917" i="42692" s="1"/>
  <c r="R904" i="42692"/>
  <c r="S904" i="42697" s="1"/>
  <c r="R393" i="42690"/>
  <c r="I616" i="42690"/>
  <c r="I935" i="42690" s="1"/>
  <c r="I970" i="42690" s="1"/>
  <c r="J610" i="42690"/>
  <c r="R837" i="42692"/>
  <c r="N693" i="42697"/>
  <c r="N700" i="42697" s="1"/>
  <c r="J703" i="42697"/>
  <c r="F965" i="42697"/>
  <c r="R930" i="42697"/>
  <c r="N965" i="42697"/>
  <c r="G965" i="42697"/>
  <c r="O965" i="42697"/>
  <c r="R492" i="42697"/>
  <c r="F333" i="42698" s="1"/>
  <c r="F508" i="42698"/>
  <c r="F724" i="42698" s="1"/>
  <c r="R919" i="42697"/>
  <c r="F122" i="42698"/>
  <c r="F126" i="42698"/>
  <c r="F128" i="42698" s="1"/>
  <c r="R126" i="42697"/>
  <c r="G493" i="42697"/>
  <c r="F217" i="42698"/>
  <c r="F222" i="42698"/>
  <c r="R339" i="42697"/>
  <c r="F462" i="42698"/>
  <c r="F362" i="42698"/>
  <c r="H25" i="42701"/>
  <c r="H27" i="42701" s="1"/>
  <c r="K30" i="42699"/>
  <c r="Q970" i="42689"/>
  <c r="Q257" i="42689"/>
  <c r="Q858" i="42691"/>
  <c r="Q241" i="42691"/>
  <c r="F13" i="42699"/>
  <c r="R56" i="42684"/>
  <c r="G649" i="42691"/>
  <c r="G650" i="42691" s="1"/>
  <c r="G640" i="42691"/>
  <c r="R32" i="42689"/>
  <c r="H869" i="42697"/>
  <c r="H930" i="42692"/>
  <c r="H21" i="42692"/>
  <c r="H869" i="42690"/>
  <c r="J196" i="42696"/>
  <c r="P869" i="42692"/>
  <c r="P930" i="42690"/>
  <c r="P21" i="42690"/>
  <c r="F102" i="42683"/>
  <c r="F103" i="42683"/>
  <c r="J34" i="42690"/>
  <c r="J45" i="42689"/>
  <c r="G56" i="42690"/>
  <c r="G842" i="42690"/>
  <c r="G871" i="42690" s="1"/>
  <c r="G60" i="42690"/>
  <c r="G57" i="42690"/>
  <c r="O52" i="42692"/>
  <c r="O52" i="42691"/>
  <c r="O853" i="42689"/>
  <c r="O882" i="42689" s="1"/>
  <c r="O67" i="42689"/>
  <c r="O71" i="42689"/>
  <c r="O68" i="42689"/>
  <c r="O52" i="42697"/>
  <c r="M251" i="42696"/>
  <c r="K81" i="42692"/>
  <c r="K81" i="42691"/>
  <c r="K854" i="42689"/>
  <c r="K883" i="42689" s="1"/>
  <c r="K100" i="42689"/>
  <c r="K97" i="42689"/>
  <c r="K961" i="42689" s="1"/>
  <c r="K96" i="42689"/>
  <c r="I62" i="42696"/>
  <c r="I93" i="42696" s="1"/>
  <c r="I105" i="42696" s="1"/>
  <c r="I118" i="42696" s="1"/>
  <c r="H844" i="42690"/>
  <c r="H873" i="42690" s="1"/>
  <c r="H122" i="42690"/>
  <c r="H110" i="42690"/>
  <c r="H120" i="42690" s="1"/>
  <c r="H121" i="42690" s="1"/>
  <c r="H131" i="42690"/>
  <c r="P855" i="42689"/>
  <c r="P884" i="42689" s="1"/>
  <c r="P142" i="42689"/>
  <c r="P133" i="42689"/>
  <c r="P121" i="42689"/>
  <c r="N63" i="42696"/>
  <c r="N94" i="42696" s="1"/>
  <c r="N106" i="42696" s="1"/>
  <c r="N119" i="42696" s="1"/>
  <c r="K161" i="42690"/>
  <c r="K856" i="42690"/>
  <c r="K162" i="42690"/>
  <c r="K149" i="42690"/>
  <c r="K159" i="42690" s="1"/>
  <c r="K160" i="42690" s="1"/>
  <c r="H280" i="42690"/>
  <c r="H290" i="42690" s="1"/>
  <c r="H291" i="42690" s="1"/>
  <c r="H845" i="42690"/>
  <c r="H874" i="42690" s="1"/>
  <c r="H293" i="42690"/>
  <c r="H292" i="42690"/>
  <c r="H302" i="42690"/>
  <c r="P856" i="42689"/>
  <c r="P313" i="42689"/>
  <c r="P303" i="42689"/>
  <c r="P291" i="42689"/>
  <c r="P304" i="42689"/>
  <c r="N68" i="42696"/>
  <c r="N96" i="42696" s="1"/>
  <c r="N108" i="42696" s="1"/>
  <c r="N121" i="42696" s="1"/>
  <c r="K857" i="42690"/>
  <c r="K878" i="42690" s="1"/>
  <c r="K197" i="42690"/>
  <c r="K185" i="42690"/>
  <c r="K195" i="42690" s="1"/>
  <c r="K196" i="42690" s="1"/>
  <c r="E16" i="42700"/>
  <c r="F846" i="42690"/>
  <c r="F335" i="42690"/>
  <c r="F323" i="42690"/>
  <c r="F334" i="42690"/>
  <c r="F344" i="42690"/>
  <c r="N857" i="42689"/>
  <c r="N886" i="42689" s="1"/>
  <c r="N355" i="42689"/>
  <c r="N345" i="42689"/>
  <c r="N346" i="42689"/>
  <c r="N334" i="42689"/>
  <c r="L69" i="42696"/>
  <c r="L97" i="42696" s="1"/>
  <c r="L109" i="42696" s="1"/>
  <c r="L122" i="42696" s="1"/>
  <c r="M847" i="42690"/>
  <c r="M389" i="42690"/>
  <c r="M373" i="42690"/>
  <c r="M386" i="42690" s="1"/>
  <c r="M387" i="42690" s="1"/>
  <c r="M388" i="42690"/>
  <c r="M398" i="42690"/>
  <c r="H227" i="42692"/>
  <c r="H227" i="42691"/>
  <c r="H869" i="42689"/>
  <c r="H891" i="42689" s="1"/>
  <c r="H252" i="42689"/>
  <c r="H237" i="42689"/>
  <c r="F67" i="42696"/>
  <c r="F95" i="42696" s="1"/>
  <c r="F107" i="42696" s="1"/>
  <c r="F120" i="42696" s="1"/>
  <c r="P858" i="42690"/>
  <c r="P241" i="42690"/>
  <c r="P226" i="42690"/>
  <c r="P239" i="42690" s="1"/>
  <c r="P240" i="42690" s="1"/>
  <c r="P18" i="42696"/>
  <c r="P26" i="42696"/>
  <c r="J871" i="42689"/>
  <c r="J524" i="42689"/>
  <c r="J536" i="42689"/>
  <c r="J541" i="42689" s="1"/>
  <c r="J860" i="42697"/>
  <c r="J513" i="42697"/>
  <c r="J523" i="42697" s="1"/>
  <c r="J524" i="42697" s="1"/>
  <c r="J525" i="42697"/>
  <c r="J530" i="42697" s="1"/>
  <c r="N860" i="42690"/>
  <c r="N513" i="42690"/>
  <c r="N523" i="42690" s="1"/>
  <c r="N524" i="42690" s="1"/>
  <c r="N528" i="42690" s="1"/>
  <c r="N525" i="42690"/>
  <c r="N530" i="42690" s="1"/>
  <c r="I862" i="42689"/>
  <c r="I693" i="42689"/>
  <c r="I704" i="42689"/>
  <c r="I711" i="42689" s="1"/>
  <c r="I705" i="42689"/>
  <c r="I714" i="42689"/>
  <c r="I851" i="42697"/>
  <c r="I682" i="42697"/>
  <c r="I691" i="42697" s="1"/>
  <c r="I692" i="42697" s="1"/>
  <c r="I694" i="42697"/>
  <c r="M851" i="42690"/>
  <c r="M682" i="42690"/>
  <c r="M691" i="42690" s="1"/>
  <c r="M692" i="42690" s="1"/>
  <c r="M693" i="42690"/>
  <c r="M700" i="42690" s="1"/>
  <c r="M703" i="42690"/>
  <c r="M694" i="42690"/>
  <c r="Q862" i="42689"/>
  <c r="Q693" i="42689"/>
  <c r="Q704" i="42689"/>
  <c r="Q711" i="42689" s="1"/>
  <c r="Q705" i="42689"/>
  <c r="Q714" i="42689"/>
  <c r="Q851" i="42697"/>
  <c r="Q682" i="42697"/>
  <c r="Q691" i="42697" s="1"/>
  <c r="Q692" i="42697" s="1"/>
  <c r="Q694" i="42697"/>
  <c r="H557" i="42690"/>
  <c r="H861" i="42690"/>
  <c r="H879" i="42690" s="1"/>
  <c r="H546" i="42690"/>
  <c r="H555" i="42690" s="1"/>
  <c r="H556" i="42690" s="1"/>
  <c r="L872" i="42689"/>
  <c r="L890" i="42689" s="1"/>
  <c r="L568" i="42689"/>
  <c r="L557" i="42689"/>
  <c r="L547" i="42697"/>
  <c r="J172" i="42696"/>
  <c r="P557" i="42690"/>
  <c r="P861" i="42690"/>
  <c r="P879" i="42690" s="1"/>
  <c r="P546" i="42690"/>
  <c r="P555" i="42690" s="1"/>
  <c r="P556" i="42690" s="1"/>
  <c r="I863" i="42689"/>
  <c r="I743" i="42689"/>
  <c r="I758" i="42689"/>
  <c r="I765" i="42689" s="1"/>
  <c r="I759" i="42689"/>
  <c r="I768" i="42689"/>
  <c r="I852" i="42697"/>
  <c r="I732" i="42697"/>
  <c r="I745" i="42697" s="1"/>
  <c r="I746" i="42697" s="1"/>
  <c r="I755" i="42697" s="1"/>
  <c r="I748" i="42697"/>
  <c r="M852" i="42690"/>
  <c r="M732" i="42690"/>
  <c r="M745" i="42690" s="1"/>
  <c r="M746" i="42690" s="1"/>
  <c r="M747" i="42690"/>
  <c r="M754" i="42690" s="1"/>
  <c r="M757" i="42690"/>
  <c r="M748" i="42690"/>
  <c r="Q863" i="42689"/>
  <c r="Q743" i="42689"/>
  <c r="Q758" i="42689"/>
  <c r="Q765" i="42689" s="1"/>
  <c r="Q759" i="42689"/>
  <c r="Q768" i="42689"/>
  <c r="Q852" i="42697"/>
  <c r="Q732" i="42697"/>
  <c r="Q745" i="42697" s="1"/>
  <c r="Q746" i="42697" s="1"/>
  <c r="Q748" i="42697"/>
  <c r="H862" i="42690"/>
  <c r="H586" i="42690"/>
  <c r="H599" i="42690" s="1"/>
  <c r="H600" i="42690" s="1"/>
  <c r="H604" i="42690" s="1"/>
  <c r="H601" i="42690"/>
  <c r="H606" i="42690" s="1"/>
  <c r="L873" i="42689"/>
  <c r="L597" i="42689"/>
  <c r="L612" i="42689"/>
  <c r="L617" i="42689" s="1"/>
  <c r="L862" i="42697"/>
  <c r="L586" i="42697"/>
  <c r="L599" i="42697" s="1"/>
  <c r="L600" i="42697" s="1"/>
  <c r="L604" i="42697" s="1"/>
  <c r="L601" i="42697"/>
  <c r="L606" i="42697" s="1"/>
  <c r="P862" i="42690"/>
  <c r="P586" i="42690"/>
  <c r="P599" i="42690" s="1"/>
  <c r="P600" i="42690" s="1"/>
  <c r="P601" i="42690"/>
  <c r="P606" i="42690" s="1"/>
  <c r="I863" i="42690"/>
  <c r="I881" i="42690" s="1"/>
  <c r="I779" i="42690"/>
  <c r="I791" i="42690" s="1"/>
  <c r="I792" i="42690" s="1"/>
  <c r="G72" i="42696"/>
  <c r="G101" i="42696" s="1"/>
  <c r="G113" i="42696" s="1"/>
  <c r="G126" i="42696" s="1"/>
  <c r="M874" i="42689"/>
  <c r="M892" i="42689" s="1"/>
  <c r="M790" i="42689"/>
  <c r="Q863" i="42690"/>
  <c r="Q881" i="42690" s="1"/>
  <c r="Q779" i="42690"/>
  <c r="Q791" i="42690" s="1"/>
  <c r="Q792" i="42690" s="1"/>
  <c r="O72" i="42696"/>
  <c r="O101" i="42696" s="1"/>
  <c r="O113" i="42696" s="1"/>
  <c r="O126" i="42696" s="1"/>
  <c r="O140" i="42696" s="1"/>
  <c r="S55" i="42687"/>
  <c r="S62" i="42687" s="1"/>
  <c r="S94" i="42687" s="1"/>
  <c r="S96" i="42687" s="1"/>
  <c r="R62" i="42687"/>
  <c r="H958" i="42689"/>
  <c r="H32" i="42689"/>
  <c r="L958" i="42689"/>
  <c r="L32" i="42689"/>
  <c r="P958" i="42689"/>
  <c r="P32" i="42689"/>
  <c r="M976" i="42689"/>
  <c r="F126" i="42692"/>
  <c r="R124" i="42692"/>
  <c r="R126" i="42692" s="1"/>
  <c r="F909" i="42692"/>
  <c r="R889" i="42692"/>
  <c r="R920" i="42689"/>
  <c r="J126" i="42692"/>
  <c r="L126" i="42691"/>
  <c r="L909" i="42691"/>
  <c r="L918" i="42691" s="1"/>
  <c r="L905" i="42691"/>
  <c r="L990" i="42691" s="1"/>
  <c r="I297" i="42692"/>
  <c r="M297" i="42691"/>
  <c r="Q297" i="42692"/>
  <c r="F911" i="42692"/>
  <c r="R911" i="42692" s="1"/>
  <c r="R894" i="42692"/>
  <c r="S894" i="42697" s="1"/>
  <c r="R894" i="42691"/>
  <c r="F911" i="42691"/>
  <c r="R911" i="42691" s="1"/>
  <c r="J339" i="42692"/>
  <c r="N339" i="42692"/>
  <c r="F393" i="42692"/>
  <c r="R391" i="42692"/>
  <c r="R393" i="42692" s="1"/>
  <c r="N393" i="42692"/>
  <c r="G426" i="42689"/>
  <c r="O426" i="42689"/>
  <c r="R525" i="42689"/>
  <c r="F915" i="42691"/>
  <c r="R915" i="42691" s="1"/>
  <c r="R899" i="42691"/>
  <c r="G837" i="42690"/>
  <c r="K837" i="42690"/>
  <c r="O837" i="42690"/>
  <c r="M930" i="42691"/>
  <c r="M21" i="42691"/>
  <c r="E10" i="42700"/>
  <c r="F947" i="42691"/>
  <c r="R20" i="42691"/>
  <c r="R798" i="42691"/>
  <c r="J869" i="42692"/>
  <c r="J930" i="42690"/>
  <c r="J21" i="42690"/>
  <c r="L30" i="42696"/>
  <c r="N869" i="42691"/>
  <c r="P102" i="42683"/>
  <c r="P103" i="42683"/>
  <c r="E114" i="42696"/>
  <c r="E117" i="42696"/>
  <c r="M114" i="42696"/>
  <c r="M117" i="42696"/>
  <c r="I52" i="42692"/>
  <c r="I52" i="42691"/>
  <c r="I853" i="42689"/>
  <c r="I882" i="42689" s="1"/>
  <c r="I67" i="42689"/>
  <c r="I71" i="42689"/>
  <c r="I68" i="42689"/>
  <c r="I52" i="42697"/>
  <c r="G251" i="42696"/>
  <c r="Q56" i="42690"/>
  <c r="Q842" i="42690"/>
  <c r="Q871" i="42690" s="1"/>
  <c r="Q60" i="42690"/>
  <c r="Q57" i="42690"/>
  <c r="M81" i="42692"/>
  <c r="M81" i="42691"/>
  <c r="M854" i="42689"/>
  <c r="M883" i="42689" s="1"/>
  <c r="M100" i="42689"/>
  <c r="M97" i="42689"/>
  <c r="M961" i="42689" s="1"/>
  <c r="M96" i="42689"/>
  <c r="K62" i="42696"/>
  <c r="K93" i="42696" s="1"/>
  <c r="K105" i="42696" s="1"/>
  <c r="K118" i="42696" s="1"/>
  <c r="F855" i="42689"/>
  <c r="F142" i="42689"/>
  <c r="F133" i="42689"/>
  <c r="F121" i="42689"/>
  <c r="D63" i="42696"/>
  <c r="P13" i="42696"/>
  <c r="N844" i="42690"/>
  <c r="N873" i="42690" s="1"/>
  <c r="N122" i="42690"/>
  <c r="N110" i="42690"/>
  <c r="N120" i="42690" s="1"/>
  <c r="N121" i="42690" s="1"/>
  <c r="N131" i="42690"/>
  <c r="M150" i="42692"/>
  <c r="M867" i="42689"/>
  <c r="M150" i="42691"/>
  <c r="M172" i="42689"/>
  <c r="M173" i="42689"/>
  <c r="M160" i="42689"/>
  <c r="K165" i="42696"/>
  <c r="K65" i="42696"/>
  <c r="K31" i="42696"/>
  <c r="E14" i="42700"/>
  <c r="D68" i="42696"/>
  <c r="P14" i="42696"/>
  <c r="N280" i="42690"/>
  <c r="N290" i="42690" s="1"/>
  <c r="N291" i="42690" s="1"/>
  <c r="N845" i="42690"/>
  <c r="N874" i="42690" s="1"/>
  <c r="N293" i="42690"/>
  <c r="N292" i="42690"/>
  <c r="N302" i="42690"/>
  <c r="M868" i="42689"/>
  <c r="M208" i="42689"/>
  <c r="M196" i="42689"/>
  <c r="K166" i="42696"/>
  <c r="K66" i="42696"/>
  <c r="H846" i="42690"/>
  <c r="H875" i="42690" s="1"/>
  <c r="H335" i="42690"/>
  <c r="H323" i="42690"/>
  <c r="H332" i="42690" s="1"/>
  <c r="H333" i="42690" s="1"/>
  <c r="H334" i="42690"/>
  <c r="H344" i="42690"/>
  <c r="P857" i="42689"/>
  <c r="P355" i="42689"/>
  <c r="P345" i="42689"/>
  <c r="P346" i="42689"/>
  <c r="P334" i="42689"/>
  <c r="N69" i="42696"/>
  <c r="N97" i="42696" s="1"/>
  <c r="N109" i="42696" s="1"/>
  <c r="N122" i="42696" s="1"/>
  <c r="K847" i="42690"/>
  <c r="K876" i="42690" s="1"/>
  <c r="K389" i="42690"/>
  <c r="K373" i="42690"/>
  <c r="K386" i="42690" s="1"/>
  <c r="K387" i="42690" s="1"/>
  <c r="K388" i="42690"/>
  <c r="K398" i="42690"/>
  <c r="F227" i="42692"/>
  <c r="F227" i="42691"/>
  <c r="F869" i="42689"/>
  <c r="F252" i="42689"/>
  <c r="F237" i="42689"/>
  <c r="R238" i="42689"/>
  <c r="F858" i="42690"/>
  <c r="F241" i="42690"/>
  <c r="F226" i="42690"/>
  <c r="R227" i="42690"/>
  <c r="N227" i="42692"/>
  <c r="N227" i="42691"/>
  <c r="N869" i="42689"/>
  <c r="N891" i="42689" s="1"/>
  <c r="N252" i="42689"/>
  <c r="N237" i="42689"/>
  <c r="L67" i="42696"/>
  <c r="L95" i="42696" s="1"/>
  <c r="L107" i="42696" s="1"/>
  <c r="L120" i="42696" s="1"/>
  <c r="M493" i="42690"/>
  <c r="Q493" i="42690"/>
  <c r="G659" i="42690"/>
  <c r="G930" i="42692"/>
  <c r="G21" i="42692"/>
  <c r="G869" i="42690"/>
  <c r="G930" i="42690"/>
  <c r="G21" i="42690"/>
  <c r="G196" i="42696"/>
  <c r="G174" i="42696"/>
  <c r="K930" i="42692"/>
  <c r="K21" i="42692"/>
  <c r="K869" i="42690"/>
  <c r="K930" i="42690"/>
  <c r="K21" i="42690"/>
  <c r="K196" i="42696"/>
  <c r="O930" i="42692"/>
  <c r="O21" i="42692"/>
  <c r="O869" i="42690"/>
  <c r="O930" i="42690"/>
  <c r="O21" i="42690"/>
  <c r="O196" i="42696"/>
  <c r="O174" i="42696"/>
  <c r="E103" i="42683"/>
  <c r="Q101" i="42683"/>
  <c r="Q102" i="42683" s="1"/>
  <c r="E102" i="42683"/>
  <c r="M103" i="42683"/>
  <c r="M102" i="42683"/>
  <c r="K34" i="42690"/>
  <c r="K45" i="42689"/>
  <c r="H117" i="42696"/>
  <c r="H114" i="42696"/>
  <c r="L117" i="42696"/>
  <c r="F52" i="42692"/>
  <c r="F52" i="42691"/>
  <c r="F853" i="42689"/>
  <c r="F71" i="42689"/>
  <c r="F68" i="42689"/>
  <c r="F67" i="42689"/>
  <c r="R63" i="42689"/>
  <c r="F842" i="42690"/>
  <c r="F56" i="42690"/>
  <c r="R52" i="42690"/>
  <c r="F60" i="42690"/>
  <c r="F57" i="42690"/>
  <c r="J52" i="42692"/>
  <c r="J52" i="42691"/>
  <c r="J853" i="42689"/>
  <c r="J882" i="42689" s="1"/>
  <c r="J71" i="42689"/>
  <c r="J68" i="42689"/>
  <c r="J67" i="42689"/>
  <c r="J52" i="42697"/>
  <c r="H251" i="42696"/>
  <c r="N842" i="42690"/>
  <c r="N871" i="42690" s="1"/>
  <c r="N56" i="42690"/>
  <c r="N60" i="42690"/>
  <c r="N57" i="42690"/>
  <c r="H81" i="42692"/>
  <c r="H81" i="42691"/>
  <c r="H854" i="42689"/>
  <c r="H883" i="42689" s="1"/>
  <c r="H96" i="42689"/>
  <c r="H100" i="42689"/>
  <c r="H97" i="42689"/>
  <c r="H961" i="42689" s="1"/>
  <c r="F62" i="42696"/>
  <c r="F93" i="42696" s="1"/>
  <c r="F105" i="42696" s="1"/>
  <c r="F118" i="42696" s="1"/>
  <c r="L85" i="42690"/>
  <c r="L843" i="42690"/>
  <c r="L872" i="42690" s="1"/>
  <c r="L89" i="42690"/>
  <c r="L86" i="42690"/>
  <c r="L950" i="42690" s="1"/>
  <c r="P81" i="42692"/>
  <c r="P81" i="42691"/>
  <c r="P854" i="42689"/>
  <c r="P883" i="42689" s="1"/>
  <c r="P96" i="42689"/>
  <c r="P100" i="42689"/>
  <c r="P97" i="42689"/>
  <c r="P961" i="42689" s="1"/>
  <c r="N62" i="42696"/>
  <c r="N93" i="42696" s="1"/>
  <c r="N105" i="42696" s="1"/>
  <c r="N118" i="42696" s="1"/>
  <c r="I110" i="42690"/>
  <c r="I120" i="42690" s="1"/>
  <c r="I121" i="42690" s="1"/>
  <c r="I844" i="42690"/>
  <c r="I873" i="42690" s="1"/>
  <c r="I122" i="42690"/>
  <c r="I131" i="42690"/>
  <c r="M855" i="42689"/>
  <c r="M884" i="42689" s="1"/>
  <c r="M133" i="42689"/>
  <c r="M121" i="42689"/>
  <c r="M142" i="42689"/>
  <c r="K63" i="42696"/>
  <c r="K94" i="42696" s="1"/>
  <c r="K106" i="42696" s="1"/>
  <c r="K119" i="42696" s="1"/>
  <c r="Q110" i="42690"/>
  <c r="Q120" i="42690" s="1"/>
  <c r="Q121" i="42690" s="1"/>
  <c r="Q844" i="42690"/>
  <c r="Q873" i="42690" s="1"/>
  <c r="Q122" i="42690"/>
  <c r="Q131" i="42690"/>
  <c r="H150" i="42692"/>
  <c r="H150" i="42691"/>
  <c r="H867" i="42689"/>
  <c r="H173" i="42689"/>
  <c r="H160" i="42689"/>
  <c r="H172" i="42689"/>
  <c r="F165" i="42696"/>
  <c r="F65" i="42696"/>
  <c r="F31" i="42696"/>
  <c r="L856" i="42690"/>
  <c r="L162" i="42690"/>
  <c r="L149" i="42690"/>
  <c r="L159" i="42690" s="1"/>
  <c r="L160" i="42690" s="1"/>
  <c r="L161" i="42690"/>
  <c r="P150" i="42692"/>
  <c r="P150" i="42691"/>
  <c r="P867" i="42689"/>
  <c r="P173" i="42689"/>
  <c r="P160" i="42689"/>
  <c r="P172" i="42689"/>
  <c r="N165" i="42696"/>
  <c r="N65" i="42696"/>
  <c r="N31" i="42696"/>
  <c r="I845" i="42690"/>
  <c r="I874" i="42690" s="1"/>
  <c r="I293" i="42690"/>
  <c r="I302" i="42690"/>
  <c r="I292" i="42690"/>
  <c r="I280" i="42690"/>
  <c r="I290" i="42690" s="1"/>
  <c r="I291" i="42690" s="1"/>
  <c r="M856" i="42689"/>
  <c r="M885" i="42689" s="1"/>
  <c r="M304" i="42689"/>
  <c r="M313" i="42689"/>
  <c r="M303" i="42689"/>
  <c r="M291" i="42689"/>
  <c r="K68" i="42696"/>
  <c r="K96" i="42696" s="1"/>
  <c r="K108" i="42696" s="1"/>
  <c r="K121" i="42696" s="1"/>
  <c r="Q845" i="42690"/>
  <c r="Q874" i="42690" s="1"/>
  <c r="Q293" i="42690"/>
  <c r="Q302" i="42690"/>
  <c r="Q292" i="42690"/>
  <c r="Q280" i="42690"/>
  <c r="Q290" i="42690" s="1"/>
  <c r="Q291" i="42690" s="1"/>
  <c r="H868" i="42689"/>
  <c r="H889" i="42689" s="1"/>
  <c r="H208" i="42689"/>
  <c r="H196" i="42689"/>
  <c r="F166" i="42696"/>
  <c r="F66" i="42696"/>
  <c r="L197" i="42690"/>
  <c r="L185" i="42690"/>
  <c r="L195" i="42690" s="1"/>
  <c r="L196" i="42690" s="1"/>
  <c r="L857" i="42690"/>
  <c r="L878" i="42690" s="1"/>
  <c r="P868" i="42689"/>
  <c r="P889" i="42689" s="1"/>
  <c r="P208" i="42689"/>
  <c r="P196" i="42689"/>
  <c r="N166" i="42696"/>
  <c r="N66" i="42696"/>
  <c r="I335" i="42690"/>
  <c r="I323" i="42690"/>
  <c r="I332" i="42690" s="1"/>
  <c r="I333" i="42690" s="1"/>
  <c r="I846" i="42690"/>
  <c r="I875" i="42690" s="1"/>
  <c r="I344" i="42690"/>
  <c r="I334" i="42690"/>
  <c r="M857" i="42689"/>
  <c r="M886" i="42689" s="1"/>
  <c r="M346" i="42689"/>
  <c r="M334" i="42689"/>
  <c r="M355" i="42689"/>
  <c r="M345" i="42689"/>
  <c r="K69" i="42696"/>
  <c r="K97" i="42696" s="1"/>
  <c r="K109" i="42696" s="1"/>
  <c r="K122" i="42696" s="1"/>
  <c r="Q335" i="42690"/>
  <c r="Q323" i="42690"/>
  <c r="Q332" i="42690" s="1"/>
  <c r="Q333" i="42690" s="1"/>
  <c r="Q846" i="42690"/>
  <c r="Q875" i="42690" s="1"/>
  <c r="Q344" i="42690"/>
  <c r="Q334" i="42690"/>
  <c r="H858" i="42689"/>
  <c r="H409" i="42689"/>
  <c r="H399" i="42689"/>
  <c r="H400" i="42689"/>
  <c r="H384" i="42689"/>
  <c r="F70" i="42696"/>
  <c r="F98" i="42696" s="1"/>
  <c r="F110" i="42696" s="1"/>
  <c r="F123" i="42696" s="1"/>
  <c r="L847" i="42690"/>
  <c r="L389" i="42690"/>
  <c r="L373" i="42690"/>
  <c r="L386" i="42690" s="1"/>
  <c r="L387" i="42690" s="1"/>
  <c r="L388" i="42690"/>
  <c r="L398" i="42690"/>
  <c r="P858" i="42689"/>
  <c r="P409" i="42689"/>
  <c r="P399" i="42689"/>
  <c r="P400" i="42689"/>
  <c r="P384" i="42689"/>
  <c r="N70" i="42696"/>
  <c r="N98" i="42696" s="1"/>
  <c r="N110" i="42696" s="1"/>
  <c r="N123" i="42696" s="1"/>
  <c r="I858" i="42690"/>
  <c r="I241" i="42690"/>
  <c r="I226" i="42690"/>
  <c r="I239" i="42690" s="1"/>
  <c r="I240" i="42690" s="1"/>
  <c r="M227" i="42692"/>
  <c r="M227" i="42691"/>
  <c r="M869" i="42689"/>
  <c r="M252" i="42689"/>
  <c r="M237" i="42689"/>
  <c r="K67" i="42696"/>
  <c r="K95" i="42696" s="1"/>
  <c r="K107" i="42696" s="1"/>
  <c r="K120" i="42696" s="1"/>
  <c r="H848" i="42690"/>
  <c r="H414" i="42690"/>
  <c r="H417" i="42690"/>
  <c r="H413" i="42690"/>
  <c r="H415" i="42690" s="1"/>
  <c r="L409" i="42692"/>
  <c r="L409" i="42691"/>
  <c r="L859" i="42689"/>
  <c r="L424" i="42689"/>
  <c r="L425" i="42689"/>
  <c r="L428" i="42689"/>
  <c r="J71" i="42696"/>
  <c r="J99" i="42696" s="1"/>
  <c r="J111" i="42696" s="1"/>
  <c r="J124" i="42696" s="1"/>
  <c r="P848" i="42690"/>
  <c r="P414" i="42690"/>
  <c r="P417" i="42690"/>
  <c r="P413" i="42690"/>
  <c r="P415" i="42690" s="1"/>
  <c r="I860" i="42689"/>
  <c r="I449" i="42689"/>
  <c r="I461" i="42689"/>
  <c r="I467" i="42689" s="1"/>
  <c r="I470" i="42689"/>
  <c r="G64" i="42696"/>
  <c r="G100" i="42696" s="1"/>
  <c r="G112" i="42696" s="1"/>
  <c r="G125" i="42696" s="1"/>
  <c r="M849" i="42690"/>
  <c r="M438" i="42690"/>
  <c r="M448" i="42690" s="1"/>
  <c r="M449" i="42690" s="1"/>
  <c r="M457" i="42690" s="1"/>
  <c r="M459" i="42690"/>
  <c r="Q860" i="42689"/>
  <c r="Q449" i="42689"/>
  <c r="Q461" i="42689"/>
  <c r="Q467" i="42689" s="1"/>
  <c r="Q470" i="42689"/>
  <c r="O64" i="42696"/>
  <c r="O100" i="42696" s="1"/>
  <c r="O112" i="42696" s="1"/>
  <c r="O125" i="42696" s="1"/>
  <c r="H477" i="42690"/>
  <c r="H487" i="42690" s="1"/>
  <c r="H488" i="42690" s="1"/>
  <c r="H859" i="42690"/>
  <c r="H489" i="42690"/>
  <c r="H495" i="42690" s="1"/>
  <c r="H490" i="42690"/>
  <c r="L870" i="42689"/>
  <c r="L488" i="42689"/>
  <c r="L500" i="42689"/>
  <c r="L506" i="42689" s="1"/>
  <c r="L501" i="42689"/>
  <c r="L859" i="42697"/>
  <c r="L477" i="42697"/>
  <c r="L487" i="42697" s="1"/>
  <c r="L488" i="42697" s="1"/>
  <c r="L489" i="42697"/>
  <c r="L495" i="42697" s="1"/>
  <c r="L490" i="42697"/>
  <c r="P477" i="42690"/>
  <c r="P487" i="42690" s="1"/>
  <c r="P488" i="42690" s="1"/>
  <c r="P859" i="42690"/>
  <c r="P489" i="42690"/>
  <c r="P495" i="42690" s="1"/>
  <c r="P490" i="42690"/>
  <c r="H861" i="42689"/>
  <c r="H662" i="42689"/>
  <c r="H669" i="42689" s="1"/>
  <c r="H650" i="42689"/>
  <c r="H663" i="42689"/>
  <c r="H672" i="42689"/>
  <c r="H850" i="42697"/>
  <c r="H661" i="42697"/>
  <c r="H639" i="42697"/>
  <c r="H649" i="42697" s="1"/>
  <c r="H650" i="42697" s="1"/>
  <c r="H659" i="42697" s="1"/>
  <c r="H652" i="42697"/>
  <c r="L850" i="42690"/>
  <c r="L639" i="42690"/>
  <c r="L649" i="42690" s="1"/>
  <c r="L650" i="42690" s="1"/>
  <c r="L651" i="42690"/>
  <c r="L658" i="42690" s="1"/>
  <c r="L661" i="42690"/>
  <c r="L652" i="42690"/>
  <c r="P861" i="42689"/>
  <c r="P662" i="42689"/>
  <c r="P669" i="42689" s="1"/>
  <c r="P650" i="42689"/>
  <c r="P663" i="42689"/>
  <c r="P672" i="42689"/>
  <c r="P850" i="42697"/>
  <c r="P661" i="42697"/>
  <c r="P639" i="42697"/>
  <c r="P649" i="42697" s="1"/>
  <c r="P650" i="42697" s="1"/>
  <c r="P659" i="42697" s="1"/>
  <c r="P652" i="42697"/>
  <c r="I860" i="42690"/>
  <c r="I525" i="42690"/>
  <c r="I530" i="42690" s="1"/>
  <c r="I513" i="42690"/>
  <c r="I523" i="42690" s="1"/>
  <c r="I524" i="42690" s="1"/>
  <c r="I528" i="42690" s="1"/>
  <c r="M871" i="42689"/>
  <c r="R871" i="42689" s="1"/>
  <c r="M536" i="42689"/>
  <c r="M541" i="42689" s="1"/>
  <c r="M524" i="42689"/>
  <c r="M860" i="42697"/>
  <c r="M513" i="42697"/>
  <c r="M523" i="42697" s="1"/>
  <c r="M524" i="42697" s="1"/>
  <c r="M528" i="42697" s="1"/>
  <c r="Q860" i="42690"/>
  <c r="Q525" i="42690"/>
  <c r="Q530" i="42690" s="1"/>
  <c r="Q513" i="42690"/>
  <c r="Q523" i="42690" s="1"/>
  <c r="Q524" i="42690" s="1"/>
  <c r="Q528" i="42690" s="1"/>
  <c r="H862" i="42689"/>
  <c r="H693" i="42689"/>
  <c r="H704" i="42689"/>
  <c r="H711" i="42689" s="1"/>
  <c r="H705" i="42689"/>
  <c r="H714" i="42689"/>
  <c r="H851" i="42697"/>
  <c r="H682" i="42697"/>
  <c r="H691" i="42697" s="1"/>
  <c r="H692" i="42697" s="1"/>
  <c r="H694" i="42697"/>
  <c r="L851" i="42690"/>
  <c r="L682" i="42690"/>
  <c r="L691" i="42690" s="1"/>
  <c r="L692" i="42690" s="1"/>
  <c r="L701" i="42690" s="1"/>
  <c r="L694" i="42690"/>
  <c r="P862" i="42689"/>
  <c r="P693" i="42689"/>
  <c r="P704" i="42689"/>
  <c r="P711" i="42689" s="1"/>
  <c r="P705" i="42689"/>
  <c r="P714" i="42689"/>
  <c r="P851" i="42697"/>
  <c r="P682" i="42697"/>
  <c r="P691" i="42697" s="1"/>
  <c r="P692" i="42697" s="1"/>
  <c r="P701" i="42697" s="1"/>
  <c r="P694" i="42697"/>
  <c r="I861" i="42690"/>
  <c r="I879" i="42690" s="1"/>
  <c r="I546" i="42690"/>
  <c r="I555" i="42690" s="1"/>
  <c r="I556" i="42690" s="1"/>
  <c r="I557" i="42690"/>
  <c r="M872" i="42689"/>
  <c r="M890" i="42689" s="1"/>
  <c r="M557" i="42689"/>
  <c r="M568" i="42689"/>
  <c r="M547" i="42697"/>
  <c r="K172" i="42696"/>
  <c r="K174" i="42696" s="1"/>
  <c r="Q861" i="42690"/>
  <c r="Q879" i="42690" s="1"/>
  <c r="Q546" i="42690"/>
  <c r="Q555" i="42690" s="1"/>
  <c r="Q556" i="42690" s="1"/>
  <c r="Q557" i="42690"/>
  <c r="H863" i="42689"/>
  <c r="H743" i="42689"/>
  <c r="H758" i="42689"/>
  <c r="H765" i="42689" s="1"/>
  <c r="H759" i="42689"/>
  <c r="H768" i="42689"/>
  <c r="H852" i="42697"/>
  <c r="H732" i="42697"/>
  <c r="H745" i="42697" s="1"/>
  <c r="H746" i="42697" s="1"/>
  <c r="H748" i="42697"/>
  <c r="L852" i="42690"/>
  <c r="L732" i="42690"/>
  <c r="L745" i="42690" s="1"/>
  <c r="L746" i="42690" s="1"/>
  <c r="L755" i="42690" s="1"/>
  <c r="L747" i="42690"/>
  <c r="L754" i="42690" s="1"/>
  <c r="L757" i="42690"/>
  <c r="L748" i="42690"/>
  <c r="P863" i="42689"/>
  <c r="P743" i="42689"/>
  <c r="P758" i="42689"/>
  <c r="P765" i="42689" s="1"/>
  <c r="P759" i="42689"/>
  <c r="P768" i="42689"/>
  <c r="P852" i="42697"/>
  <c r="P732" i="42697"/>
  <c r="P745" i="42697" s="1"/>
  <c r="P746" i="42697" s="1"/>
  <c r="P755" i="42697" s="1"/>
  <c r="P748" i="42697"/>
  <c r="I586" i="42690"/>
  <c r="I599" i="42690" s="1"/>
  <c r="I600" i="42690" s="1"/>
  <c r="I862" i="42690"/>
  <c r="I601" i="42690"/>
  <c r="I606" i="42690" s="1"/>
  <c r="M873" i="42689"/>
  <c r="M597" i="42689"/>
  <c r="M612" i="42689"/>
  <c r="M617" i="42689" s="1"/>
  <c r="M862" i="42697"/>
  <c r="M586" i="42697"/>
  <c r="M599" i="42697" s="1"/>
  <c r="M600" i="42697" s="1"/>
  <c r="M601" i="42697"/>
  <c r="M606" i="42697" s="1"/>
  <c r="Q586" i="42690"/>
  <c r="Q599" i="42690" s="1"/>
  <c r="Q600" i="42690" s="1"/>
  <c r="Q862" i="42690"/>
  <c r="Q880" i="42690" s="1"/>
  <c r="Q601" i="42690"/>
  <c r="Q606" i="42690" s="1"/>
  <c r="H874" i="42689"/>
  <c r="H892" i="42689" s="1"/>
  <c r="H790" i="42689"/>
  <c r="F72" i="42696"/>
  <c r="F101" i="42696" s="1"/>
  <c r="F113" i="42696" s="1"/>
  <c r="F126" i="42696" s="1"/>
  <c r="L863" i="42690"/>
  <c r="L881" i="42690" s="1"/>
  <c r="L779" i="42690"/>
  <c r="L791" i="42690" s="1"/>
  <c r="L792" i="42690" s="1"/>
  <c r="G848" i="42689"/>
  <c r="K848" i="42689"/>
  <c r="O848" i="42689"/>
  <c r="H946" i="42689"/>
  <c r="H981" i="42689" s="1"/>
  <c r="G126" i="42692"/>
  <c r="K126" i="42692"/>
  <c r="O126" i="42692"/>
  <c r="R924" i="42689"/>
  <c r="L297" i="42692"/>
  <c r="K339" i="42692"/>
  <c r="M339" i="42691"/>
  <c r="F467" i="42689"/>
  <c r="J438" i="42692"/>
  <c r="J438" i="42691"/>
  <c r="J459" i="42689"/>
  <c r="J460" i="42689" s="1"/>
  <c r="J468" i="42689" s="1"/>
  <c r="G477" i="42692"/>
  <c r="G477" i="42691"/>
  <c r="G498" i="42689"/>
  <c r="G499" i="42689" s="1"/>
  <c r="G504" i="42689" s="1"/>
  <c r="O477" i="42692"/>
  <c r="O477" i="42691"/>
  <c r="O498" i="42689"/>
  <c r="O499" i="42689" s="1"/>
  <c r="O504" i="42689" s="1"/>
  <c r="R947" i="42690"/>
  <c r="R836" i="42690"/>
  <c r="R837" i="42690" s="1"/>
  <c r="F970" i="42690"/>
  <c r="R19" i="42691"/>
  <c r="R21" i="42691" s="1"/>
  <c r="F965" i="42691"/>
  <c r="R930" i="42691"/>
  <c r="J21" i="42691"/>
  <c r="N965" i="42691"/>
  <c r="K450" i="42690"/>
  <c r="K456" i="42690" s="1"/>
  <c r="F693" i="42690"/>
  <c r="N693" i="42690"/>
  <c r="N700" i="42690" s="1"/>
  <c r="J703" i="42690"/>
  <c r="R905" i="42690"/>
  <c r="R990" i="42690" s="1"/>
  <c r="R793" i="42691"/>
  <c r="R126" i="42690"/>
  <c r="F297" i="42691"/>
  <c r="F393" i="42691"/>
  <c r="J837" i="42692"/>
  <c r="N837" i="42692"/>
  <c r="H905" i="42692"/>
  <c r="H990" i="42692" s="1"/>
  <c r="L905" i="42692"/>
  <c r="L990" i="42692" s="1"/>
  <c r="P905" i="42692"/>
  <c r="P990" i="42692" s="1"/>
  <c r="L693" i="42697"/>
  <c r="L700" i="42697" s="1"/>
  <c r="H703" i="42697"/>
  <c r="P703" i="42697"/>
  <c r="R20" i="42692"/>
  <c r="R23" i="42692"/>
  <c r="K414" i="42692"/>
  <c r="G417" i="42692"/>
  <c r="O417" i="42692"/>
  <c r="G693" i="42697"/>
  <c r="G700" i="42697" s="1"/>
  <c r="I693" i="42697"/>
  <c r="I700" i="42697" s="1"/>
  <c r="K693" i="42697"/>
  <c r="K700" i="42697" s="1"/>
  <c r="M693" i="42697"/>
  <c r="M700" i="42697" s="1"/>
  <c r="O693" i="42697"/>
  <c r="O700" i="42697" s="1"/>
  <c r="K703" i="42697"/>
  <c r="J747" i="42697"/>
  <c r="J754" i="42697" s="1"/>
  <c r="N747" i="42697"/>
  <c r="N754" i="42697" s="1"/>
  <c r="J757" i="42697"/>
  <c r="N757" i="42697"/>
  <c r="L965" i="42697"/>
  <c r="I965" i="42697"/>
  <c r="Q965" i="42697"/>
  <c r="F641" i="42698"/>
  <c r="F677" i="42698" s="1"/>
  <c r="V18" i="42699" s="1"/>
  <c r="F573" i="42698"/>
  <c r="R831" i="42697"/>
  <c r="R836" i="42697" s="1"/>
  <c r="R837" i="42697" s="1"/>
  <c r="F268" i="42698"/>
  <c r="K446" i="42697"/>
  <c r="G60" i="42701"/>
  <c r="G28" i="42701"/>
  <c r="G905" i="42691"/>
  <c r="G990" i="42691" s="1"/>
  <c r="O905" i="42691"/>
  <c r="O990" i="42691" s="1"/>
  <c r="I905" i="42691"/>
  <c r="I990" i="42691" s="1"/>
  <c r="Q905" i="42691"/>
  <c r="Q990" i="42691" s="1"/>
  <c r="I880" i="42690" l="1"/>
  <c r="K604" i="42697"/>
  <c r="J701" i="42697"/>
  <c r="O528" i="42690"/>
  <c r="G528" i="42690"/>
  <c r="R860" i="42690"/>
  <c r="N659" i="42697"/>
  <c r="R860" i="42689"/>
  <c r="H174" i="42696"/>
  <c r="J604" i="42697"/>
  <c r="O755" i="42690"/>
  <c r="K701" i="42690"/>
  <c r="L528" i="42697"/>
  <c r="Q604" i="42697"/>
  <c r="L755" i="42697"/>
  <c r="H755" i="42690"/>
  <c r="P701" i="42690"/>
  <c r="M528" i="42690"/>
  <c r="L659" i="42697"/>
  <c r="I891" i="42689"/>
  <c r="O415" i="42691"/>
  <c r="G415" i="42691"/>
  <c r="H604" i="42697"/>
  <c r="Q755" i="42690"/>
  <c r="I701" i="42690"/>
  <c r="N18" i="42699"/>
  <c r="O604" i="42697"/>
  <c r="N659" i="42690"/>
  <c r="N426" i="42689"/>
  <c r="L876" i="42690"/>
  <c r="P30" i="42696"/>
  <c r="R142" i="42689"/>
  <c r="R929" i="42689"/>
  <c r="R930" i="42689" s="1"/>
  <c r="R849" i="42690"/>
  <c r="R470" i="42689"/>
  <c r="O880" i="42690"/>
  <c r="F524" i="42698"/>
  <c r="M919" i="42691"/>
  <c r="R524" i="42689"/>
  <c r="R703" i="42690"/>
  <c r="G701" i="42690"/>
  <c r="O190" i="42696"/>
  <c r="O154" i="42696"/>
  <c r="L446" i="42697"/>
  <c r="AA18" i="42699"/>
  <c r="AF18" i="42699" s="1"/>
  <c r="U18" i="42699"/>
  <c r="O487" i="42692"/>
  <c r="O488" i="42692" s="1"/>
  <c r="O478" i="42692"/>
  <c r="G478" i="42691"/>
  <c r="G487" i="42691"/>
  <c r="G488" i="42691" s="1"/>
  <c r="J448" i="42692"/>
  <c r="J449" i="42692" s="1"/>
  <c r="J439" i="42692"/>
  <c r="M586" i="42692"/>
  <c r="M586" i="42691"/>
  <c r="M610" i="42689"/>
  <c r="M611" i="42689" s="1"/>
  <c r="M615" i="42689" s="1"/>
  <c r="I604" i="42690"/>
  <c r="H732" i="42692"/>
  <c r="H732" i="42691"/>
  <c r="H756" i="42689"/>
  <c r="H757" i="42689" s="1"/>
  <c r="H766" i="42689" s="1"/>
  <c r="Q958" i="42690"/>
  <c r="Q562" i="42690"/>
  <c r="M861" i="42697"/>
  <c r="M879" i="42697" s="1"/>
  <c r="M546" i="42697"/>
  <c r="M555" i="42697" s="1"/>
  <c r="M556" i="42697" s="1"/>
  <c r="M557" i="42697"/>
  <c r="M546" i="42692"/>
  <c r="M546" i="42691"/>
  <c r="M566" i="42689"/>
  <c r="M567" i="42689" s="1"/>
  <c r="I958" i="42690"/>
  <c r="I562" i="42690"/>
  <c r="H682" i="42692"/>
  <c r="H682" i="42691"/>
  <c r="H702" i="42689"/>
  <c r="H703" i="42689" s="1"/>
  <c r="H712" i="42689" s="1"/>
  <c r="L493" i="42697"/>
  <c r="L477" i="42692"/>
  <c r="L477" i="42691"/>
  <c r="L498" i="42689"/>
  <c r="L499" i="42689" s="1"/>
  <c r="L504" i="42689" s="1"/>
  <c r="Q438" i="42692"/>
  <c r="Q438" i="42691"/>
  <c r="Q459" i="42689"/>
  <c r="Q460" i="42689" s="1"/>
  <c r="Q468" i="42689" s="1"/>
  <c r="L848" i="42692"/>
  <c r="L413" i="42692"/>
  <c r="L417" i="42692"/>
  <c r="L414" i="42692"/>
  <c r="M970" i="42689"/>
  <c r="M257" i="42689"/>
  <c r="M858" i="42691"/>
  <c r="M241" i="42691"/>
  <c r="I942" i="42690"/>
  <c r="I244" i="42690"/>
  <c r="L938" i="42690"/>
  <c r="L396" i="42690"/>
  <c r="Q954" i="42690"/>
  <c r="Q341" i="42690"/>
  <c r="I954" i="42690"/>
  <c r="I341" i="42690"/>
  <c r="P186" i="42697"/>
  <c r="N205" i="42696"/>
  <c r="N235" i="42696" s="1"/>
  <c r="N253" i="42696"/>
  <c r="P968" i="42689"/>
  <c r="P213" i="42689"/>
  <c r="L202" i="42690"/>
  <c r="L957" i="42690"/>
  <c r="H186" i="42697"/>
  <c r="F205" i="42696"/>
  <c r="F235" i="42696" s="1"/>
  <c r="F253" i="42696"/>
  <c r="H968" i="42689"/>
  <c r="H213" i="42689"/>
  <c r="Q300" i="42690"/>
  <c r="Q936" i="42690"/>
  <c r="M964" i="42689"/>
  <c r="M310" i="42689"/>
  <c r="I300" i="42690"/>
  <c r="I936" i="42690"/>
  <c r="P967" i="42689"/>
  <c r="P178" i="42689"/>
  <c r="P856" i="42691"/>
  <c r="P161" i="42691"/>
  <c r="P162" i="42691"/>
  <c r="L167" i="42690"/>
  <c r="L956" i="42690"/>
  <c r="H150" i="42697"/>
  <c r="F204" i="42696"/>
  <c r="F234" i="42696" s="1"/>
  <c r="F252" i="42696"/>
  <c r="H149" i="42692"/>
  <c r="H159" i="42692" s="1"/>
  <c r="H160" i="42692" s="1"/>
  <c r="H149" i="42691"/>
  <c r="H159" i="42691" s="1"/>
  <c r="H160" i="42691" s="1"/>
  <c r="H170" i="42689"/>
  <c r="H171" i="42689" s="1"/>
  <c r="H888" i="42689"/>
  <c r="H875" i="42689"/>
  <c r="H856" i="42692"/>
  <c r="H161" i="42692"/>
  <c r="H162" i="42692"/>
  <c r="Q951" i="42690"/>
  <c r="Q128" i="42690"/>
  <c r="Q129" i="42690"/>
  <c r="Q934" i="42690"/>
  <c r="Q969" i="42690" s="1"/>
  <c r="M110" i="42692"/>
  <c r="M110" i="42691"/>
  <c r="M131" i="42689"/>
  <c r="M132" i="42689" s="1"/>
  <c r="I951" i="42690"/>
  <c r="I128" i="42690"/>
  <c r="I129" i="42690"/>
  <c r="I934" i="42690"/>
  <c r="P843" i="42692"/>
  <c r="P85" i="42692"/>
  <c r="P86" i="42692"/>
  <c r="P89" i="42692"/>
  <c r="L87" i="42690"/>
  <c r="L933" i="42690"/>
  <c r="L968" i="42690" s="1"/>
  <c r="H843" i="42692"/>
  <c r="H85" i="42692"/>
  <c r="H86" i="42692"/>
  <c r="H89" i="42692"/>
  <c r="J842" i="42697"/>
  <c r="J871" i="42697" s="1"/>
  <c r="J56" i="42697"/>
  <c r="J60" i="42697"/>
  <c r="J57" i="42697"/>
  <c r="J960" i="42689"/>
  <c r="J934" i="42689"/>
  <c r="J842" i="42692"/>
  <c r="J871" i="42692" s="1"/>
  <c r="J60" i="42692"/>
  <c r="J57" i="42692"/>
  <c r="J56" i="42692"/>
  <c r="R60" i="42690"/>
  <c r="R56" i="42690"/>
  <c r="F932" i="42690"/>
  <c r="F58" i="42690"/>
  <c r="F960" i="42689"/>
  <c r="F934" i="42689"/>
  <c r="R68" i="42689"/>
  <c r="F882" i="42689"/>
  <c r="R882" i="42689" s="1"/>
  <c r="R853" i="42689"/>
  <c r="F842" i="42692"/>
  <c r="F60" i="42692"/>
  <c r="F57" i="42692"/>
  <c r="F56" i="42692"/>
  <c r="R52" i="42692"/>
  <c r="L145" i="42696"/>
  <c r="L139" i="42696"/>
  <c r="L153" i="42696" s="1"/>
  <c r="L137" i="42696"/>
  <c r="L127" i="42696"/>
  <c r="L128" i="42696" s="1"/>
  <c r="L144" i="42696"/>
  <c r="L138" i="42696"/>
  <c r="L152" i="42696" s="1"/>
  <c r="H145" i="42696"/>
  <c r="H139" i="42696"/>
  <c r="H153" i="42696" s="1"/>
  <c r="H137" i="42696"/>
  <c r="H127" i="42696"/>
  <c r="H128" i="42696" s="1"/>
  <c r="H144" i="42696"/>
  <c r="H138" i="42696"/>
  <c r="H152" i="42696" s="1"/>
  <c r="K841" i="42690"/>
  <c r="K42" i="42690"/>
  <c r="K38" i="42690"/>
  <c r="K39" i="42690"/>
  <c r="K948" i="42690" s="1"/>
  <c r="L269" i="42696"/>
  <c r="L270" i="42696" s="1"/>
  <c r="N983" i="42692"/>
  <c r="N983" i="42691"/>
  <c r="N983" i="42690"/>
  <c r="N994" i="42689"/>
  <c r="K965" i="42690"/>
  <c r="K965" i="42692"/>
  <c r="L146" i="42696"/>
  <c r="L140" i="42696"/>
  <c r="N226" i="42692"/>
  <c r="N239" i="42692" s="1"/>
  <c r="N240" i="42692" s="1"/>
  <c r="N226" i="42691"/>
  <c r="N239" i="42691" s="1"/>
  <c r="N240" i="42691" s="1"/>
  <c r="N250" i="42689"/>
  <c r="N251" i="42689" s="1"/>
  <c r="N858" i="42692"/>
  <c r="N241" i="42692"/>
  <c r="F239" i="42690"/>
  <c r="R226" i="42690"/>
  <c r="R858" i="42690"/>
  <c r="F880" i="42690"/>
  <c r="F226" i="42692"/>
  <c r="F226" i="42691"/>
  <c r="F250" i="42689"/>
  <c r="R237" i="42689"/>
  <c r="F891" i="42689"/>
  <c r="R869" i="42689"/>
  <c r="F858" i="42692"/>
  <c r="F241" i="42692"/>
  <c r="R227" i="42692"/>
  <c r="K955" i="42690"/>
  <c r="K395" i="42690"/>
  <c r="P323" i="42692"/>
  <c r="P323" i="42691"/>
  <c r="P343" i="42689"/>
  <c r="P344" i="42689" s="1"/>
  <c r="P965" i="42689"/>
  <c r="P352" i="42689"/>
  <c r="P886" i="42689"/>
  <c r="H341" i="42690"/>
  <c r="H954" i="42690"/>
  <c r="M185" i="42692"/>
  <c r="M185" i="42691"/>
  <c r="M206" i="42689"/>
  <c r="M207" i="42689" s="1"/>
  <c r="M889" i="42689"/>
  <c r="N299" i="42690"/>
  <c r="N953" i="42690"/>
  <c r="M150" i="42697"/>
  <c r="K204" i="42696"/>
  <c r="K234" i="42696" s="1"/>
  <c r="K252" i="42696"/>
  <c r="M856" i="42691"/>
  <c r="M161" i="42691"/>
  <c r="M162" i="42691"/>
  <c r="M856" i="42692"/>
  <c r="M162" i="42692"/>
  <c r="M161" i="42692"/>
  <c r="N934" i="42690"/>
  <c r="N129" i="42690"/>
  <c r="P63" i="42696"/>
  <c r="D94" i="42696"/>
  <c r="F110" i="42692"/>
  <c r="F110" i="42691"/>
  <c r="F131" i="42689"/>
  <c r="R121" i="42689"/>
  <c r="R122" i="42689" s="1"/>
  <c r="M944" i="42689"/>
  <c r="M979" i="42689" s="1"/>
  <c r="M98" i="42689"/>
  <c r="M843" i="42691"/>
  <c r="M872" i="42691" s="1"/>
  <c r="M89" i="42691"/>
  <c r="M86" i="42691"/>
  <c r="M950" i="42691" s="1"/>
  <c r="M85" i="42691"/>
  <c r="Q949" i="42690"/>
  <c r="Q923" i="42690"/>
  <c r="I960" i="42689"/>
  <c r="I934" i="42689"/>
  <c r="I69" i="42689"/>
  <c r="I943" i="42689"/>
  <c r="I978" i="42689" s="1"/>
  <c r="I842" i="42691"/>
  <c r="I871" i="42691" s="1"/>
  <c r="I60" i="42691"/>
  <c r="I57" i="42691"/>
  <c r="I56" i="42691"/>
  <c r="M144" i="42696"/>
  <c r="M138" i="42696"/>
  <c r="M152" i="42696" s="1"/>
  <c r="M145" i="42696"/>
  <c r="M139" i="42696"/>
  <c r="M153" i="42696" s="1"/>
  <c r="M137" i="42696"/>
  <c r="M127" i="42696"/>
  <c r="M128" i="42696" s="1"/>
  <c r="E144" i="42696"/>
  <c r="E138" i="42696"/>
  <c r="E152" i="42696" s="1"/>
  <c r="E145" i="42696"/>
  <c r="E139" i="42696"/>
  <c r="E153" i="42696" s="1"/>
  <c r="E137" i="42696"/>
  <c r="E127" i="42696"/>
  <c r="E128" i="42696" s="1"/>
  <c r="O269" i="42696"/>
  <c r="O270" i="42696" s="1"/>
  <c r="Q983" i="42692"/>
  <c r="Q983" i="42691"/>
  <c r="Q983" i="42690"/>
  <c r="Q994" i="42689"/>
  <c r="R947" i="42691"/>
  <c r="E21" i="42700"/>
  <c r="R909" i="42692"/>
  <c r="R918" i="42692" s="1"/>
  <c r="F918" i="42692"/>
  <c r="F919" i="42692" s="1"/>
  <c r="Q943" i="42690"/>
  <c r="Q978" i="42690" s="1"/>
  <c r="Q794" i="42690"/>
  <c r="M779" i="42692"/>
  <c r="M779" i="42691"/>
  <c r="M802" i="42689"/>
  <c r="M803" i="42689" s="1"/>
  <c r="I943" i="42690"/>
  <c r="I978" i="42690" s="1"/>
  <c r="I794" i="42690"/>
  <c r="Q732" i="42692"/>
  <c r="Q732" i="42691"/>
  <c r="Q756" i="42689"/>
  <c r="Q757" i="42689" s="1"/>
  <c r="Q766" i="42689" s="1"/>
  <c r="J206" i="42696"/>
  <c r="J236" i="42696" s="1"/>
  <c r="J254" i="42696"/>
  <c r="L546" i="42692"/>
  <c r="L546" i="42691"/>
  <c r="L566" i="42689"/>
  <c r="L567" i="42689" s="1"/>
  <c r="Q682" i="42692"/>
  <c r="Q682" i="42691"/>
  <c r="Q702" i="42689"/>
  <c r="Q703" i="42689" s="1"/>
  <c r="Q712" i="42689" s="1"/>
  <c r="I701" i="42697"/>
  <c r="J513" i="42692"/>
  <c r="J513" i="42691"/>
  <c r="J534" i="42689"/>
  <c r="J535" i="42689" s="1"/>
  <c r="J539" i="42689" s="1"/>
  <c r="P244" i="42690"/>
  <c r="P942" i="42690"/>
  <c r="P880" i="42690"/>
  <c r="H970" i="42689"/>
  <c r="H257" i="42689"/>
  <c r="H858" i="42691"/>
  <c r="H241" i="42691"/>
  <c r="M938" i="42690"/>
  <c r="M396" i="42690"/>
  <c r="M876" i="42690"/>
  <c r="R344" i="42690"/>
  <c r="F332" i="42690"/>
  <c r="R323" i="42690"/>
  <c r="R324" i="42690" s="1"/>
  <c r="F875" i="42690"/>
  <c r="R846" i="42690"/>
  <c r="K940" i="42690"/>
  <c r="K200" i="42690"/>
  <c r="P280" i="42692"/>
  <c r="P280" i="42691"/>
  <c r="P301" i="42689"/>
  <c r="P302" i="42689" s="1"/>
  <c r="H936" i="42690"/>
  <c r="H300" i="42690"/>
  <c r="K956" i="42690"/>
  <c r="K167" i="42690"/>
  <c r="P962" i="42689"/>
  <c r="P139" i="42689"/>
  <c r="H934" i="42690"/>
  <c r="H129" i="42690"/>
  <c r="K843" i="42692"/>
  <c r="K872" i="42692" s="1"/>
  <c r="K85" i="42692"/>
  <c r="K86" i="42692"/>
  <c r="K950" i="42692" s="1"/>
  <c r="K89" i="42692"/>
  <c r="O842" i="42697"/>
  <c r="O871" i="42697" s="1"/>
  <c r="O56" i="42697"/>
  <c r="O60" i="42697"/>
  <c r="O57" i="42697"/>
  <c r="O842" i="42692"/>
  <c r="O871" i="42692" s="1"/>
  <c r="O56" i="42692"/>
  <c r="O60" i="42692"/>
  <c r="O57" i="42692"/>
  <c r="G932" i="42690"/>
  <c r="G58" i="42690"/>
  <c r="J38" i="42690"/>
  <c r="J841" i="42690"/>
  <c r="J42" i="42690"/>
  <c r="J39" i="42690"/>
  <c r="J948" i="42690" s="1"/>
  <c r="P965" i="42690"/>
  <c r="J174" i="42696"/>
  <c r="H965" i="42692"/>
  <c r="G850" i="42691"/>
  <c r="G661" i="42691"/>
  <c r="G652" i="42691"/>
  <c r="G651" i="42691"/>
  <c r="G658" i="42691" s="1"/>
  <c r="Q246" i="42691"/>
  <c r="R965" i="42697"/>
  <c r="M487" i="42691"/>
  <c r="M488" i="42691" s="1"/>
  <c r="M478" i="42691"/>
  <c r="P448" i="42692"/>
  <c r="P449" i="42692" s="1"/>
  <c r="P439" i="42692"/>
  <c r="H439" i="42691"/>
  <c r="H448" i="42691"/>
  <c r="H449" i="42691" s="1"/>
  <c r="F881" i="42690"/>
  <c r="R863" i="42690"/>
  <c r="R881" i="42690" s="1"/>
  <c r="O604" i="42690"/>
  <c r="N732" i="42692"/>
  <c r="N732" i="42691"/>
  <c r="N756" i="42689"/>
  <c r="N757" i="42689" s="1"/>
  <c r="N766" i="42689" s="1"/>
  <c r="F733" i="42697"/>
  <c r="P169" i="42696"/>
  <c r="O861" i="42697"/>
  <c r="O879" i="42697" s="1"/>
  <c r="O546" i="42697"/>
  <c r="O555" i="42697" s="1"/>
  <c r="O556" i="42697" s="1"/>
  <c r="O557" i="42697"/>
  <c r="O546" i="42692"/>
  <c r="O546" i="42691"/>
  <c r="O566" i="42689"/>
  <c r="O567" i="42689" s="1"/>
  <c r="K958" i="42690"/>
  <c r="K562" i="42690"/>
  <c r="G861" i="42697"/>
  <c r="G879" i="42697" s="1"/>
  <c r="G546" i="42697"/>
  <c r="G555" i="42697" s="1"/>
  <c r="G556" i="42697" s="1"/>
  <c r="G557" i="42697"/>
  <c r="G546" i="42692"/>
  <c r="G546" i="42691"/>
  <c r="G566" i="42689"/>
  <c r="G567" i="42689" s="1"/>
  <c r="R682" i="42690"/>
  <c r="R683" i="42690" s="1"/>
  <c r="F691" i="42690"/>
  <c r="F640" i="42697"/>
  <c r="P167" i="42696"/>
  <c r="R672" i="42689"/>
  <c r="F669" i="42689"/>
  <c r="R662" i="42689"/>
  <c r="R669" i="42689" s="1"/>
  <c r="N493" i="42697"/>
  <c r="N477" i="42692"/>
  <c r="N477" i="42691"/>
  <c r="N498" i="42689"/>
  <c r="N499" i="42689" s="1"/>
  <c r="N504" i="42689" s="1"/>
  <c r="O438" i="42692"/>
  <c r="O438" i="42691"/>
  <c r="O459" i="42689"/>
  <c r="O460" i="42689" s="1"/>
  <c r="O468" i="42689" s="1"/>
  <c r="J848" i="42692"/>
  <c r="J413" i="42692"/>
  <c r="J417" i="42692"/>
  <c r="J414" i="42692"/>
  <c r="R417" i="42690"/>
  <c r="O244" i="42690"/>
  <c r="O942" i="42690"/>
  <c r="K970" i="42689"/>
  <c r="K257" i="42689"/>
  <c r="K858" i="42691"/>
  <c r="K241" i="42691"/>
  <c r="G244" i="42690"/>
  <c r="G942" i="42690"/>
  <c r="G880" i="42690"/>
  <c r="J396" i="42690"/>
  <c r="J938" i="42690"/>
  <c r="J876" i="42690"/>
  <c r="D98" i="42696"/>
  <c r="P70" i="42696"/>
  <c r="F373" i="42692"/>
  <c r="F373" i="42691"/>
  <c r="F397" i="42689"/>
  <c r="R384" i="42689"/>
  <c r="R385" i="42689" s="1"/>
  <c r="F966" i="42689"/>
  <c r="F406" i="42689"/>
  <c r="R399" i="42689"/>
  <c r="R406" i="42689" s="1"/>
  <c r="F887" i="42689"/>
  <c r="R858" i="42689"/>
  <c r="K954" i="42690"/>
  <c r="K341" i="42690"/>
  <c r="N878" i="42690"/>
  <c r="N202" i="42690"/>
  <c r="N957" i="42690"/>
  <c r="J186" i="42697"/>
  <c r="H205" i="42696"/>
  <c r="H235" i="42696" s="1"/>
  <c r="H253" i="42696"/>
  <c r="J968" i="42689"/>
  <c r="J213" i="42689"/>
  <c r="F195" i="42690"/>
  <c r="R185" i="42690"/>
  <c r="F968" i="42689"/>
  <c r="F213" i="42689"/>
  <c r="R208" i="42689"/>
  <c r="O300" i="42690"/>
  <c r="O936" i="42690"/>
  <c r="K964" i="42689"/>
  <c r="K310" i="42689"/>
  <c r="G300" i="42690"/>
  <c r="G936" i="42690"/>
  <c r="N165" i="42690"/>
  <c r="N939" i="42690"/>
  <c r="N877" i="42690"/>
  <c r="N864" i="42690"/>
  <c r="J967" i="42689"/>
  <c r="J178" i="42689"/>
  <c r="J856" i="42691"/>
  <c r="J161" i="42691"/>
  <c r="J162" i="42691"/>
  <c r="R149" i="42690"/>
  <c r="F159" i="42690"/>
  <c r="F877" i="42690"/>
  <c r="F864" i="42690"/>
  <c r="R856" i="42690"/>
  <c r="F967" i="42689"/>
  <c r="F178" i="42689"/>
  <c r="R172" i="42689"/>
  <c r="R173" i="42689"/>
  <c r="F856" i="42691"/>
  <c r="F161" i="42691"/>
  <c r="R150" i="42691"/>
  <c r="F162" i="42691"/>
  <c r="O951" i="42690"/>
  <c r="O128" i="42690"/>
  <c r="K962" i="42689"/>
  <c r="K139" i="42689"/>
  <c r="G951" i="42690"/>
  <c r="G128" i="42690"/>
  <c r="N944" i="42689"/>
  <c r="N979" i="42689" s="1"/>
  <c r="N98" i="42689"/>
  <c r="N843" i="42691"/>
  <c r="N89" i="42691"/>
  <c r="N86" i="42691"/>
  <c r="N85" i="42691"/>
  <c r="R100" i="42689"/>
  <c r="R96" i="42689"/>
  <c r="F944" i="42689"/>
  <c r="F98" i="42689"/>
  <c r="F843" i="42691"/>
  <c r="R81" i="42691"/>
  <c r="F89" i="42691"/>
  <c r="F86" i="42691"/>
  <c r="F85" i="42691"/>
  <c r="P69" i="42689"/>
  <c r="P943" i="42689"/>
  <c r="P842" i="42691"/>
  <c r="P871" i="42691" s="1"/>
  <c r="P60" i="42691"/>
  <c r="P57" i="42691"/>
  <c r="P56" i="42691"/>
  <c r="L58" i="42690"/>
  <c r="L932" i="42690"/>
  <c r="H69" i="42689"/>
  <c r="H943" i="42689"/>
  <c r="H842" i="42691"/>
  <c r="H871" i="42691" s="1"/>
  <c r="H60" i="42691"/>
  <c r="H57" i="42691"/>
  <c r="H56" i="42691"/>
  <c r="N114" i="42696"/>
  <c r="J114" i="42696"/>
  <c r="F114" i="42696"/>
  <c r="M34" i="42692"/>
  <c r="M34" i="42691"/>
  <c r="M852" i="42689"/>
  <c r="M53" i="42689"/>
  <c r="M50" i="42689"/>
  <c r="M959" i="42689" s="1"/>
  <c r="M49" i="42689"/>
  <c r="Q965" i="42690"/>
  <c r="Q965" i="42692"/>
  <c r="I965" i="42690"/>
  <c r="I965" i="42692"/>
  <c r="J942" i="42690"/>
  <c r="J244" i="42690"/>
  <c r="G938" i="42690"/>
  <c r="G396" i="42690"/>
  <c r="Q940" i="42690"/>
  <c r="Q200" i="42690"/>
  <c r="Q878" i="42690"/>
  <c r="I186" i="42697"/>
  <c r="G205" i="42696"/>
  <c r="G235" i="42696" s="1"/>
  <c r="G253" i="42696"/>
  <c r="I968" i="42689"/>
  <c r="I213" i="42689"/>
  <c r="J936" i="42690"/>
  <c r="J300" i="42690"/>
  <c r="Q149" i="42692"/>
  <c r="Q159" i="42692" s="1"/>
  <c r="Q160" i="42692" s="1"/>
  <c r="Q149" i="42691"/>
  <c r="Q159" i="42691" s="1"/>
  <c r="Q160" i="42691" s="1"/>
  <c r="Q170" i="42689"/>
  <c r="Q171" i="42689" s="1"/>
  <c r="Q967" i="42689"/>
  <c r="Q178" i="42689"/>
  <c r="Q888" i="42689"/>
  <c r="Q875" i="42689"/>
  <c r="I939" i="42690"/>
  <c r="I165" i="42690"/>
  <c r="I877" i="42690"/>
  <c r="I864" i="42690"/>
  <c r="J110" i="42692"/>
  <c r="J110" i="42691"/>
  <c r="J131" i="42689"/>
  <c r="J132" i="42689" s="1"/>
  <c r="I944" i="42689"/>
  <c r="I979" i="42689" s="1"/>
  <c r="I98" i="42689"/>
  <c r="I843" i="42691"/>
  <c r="I872" i="42691" s="1"/>
  <c r="I89" i="42691"/>
  <c r="I86" i="42691"/>
  <c r="I950" i="42691" s="1"/>
  <c r="I85" i="42691"/>
  <c r="M949" i="42690"/>
  <c r="M923" i="42690"/>
  <c r="I144" i="42696"/>
  <c r="I138" i="42696"/>
  <c r="I152" i="42696" s="1"/>
  <c r="I145" i="42696"/>
  <c r="I139" i="42696"/>
  <c r="I153" i="42696" s="1"/>
  <c r="I137" i="42696"/>
  <c r="I127" i="42696"/>
  <c r="I128" i="42696" s="1"/>
  <c r="H34" i="42692"/>
  <c r="H34" i="42691"/>
  <c r="H852" i="42689"/>
  <c r="H49" i="42689"/>
  <c r="H53" i="42689"/>
  <c r="H50" i="42689"/>
  <c r="H959" i="42689" s="1"/>
  <c r="N965" i="42692"/>
  <c r="F965" i="42690"/>
  <c r="R930" i="42690"/>
  <c r="R21" i="42692"/>
  <c r="F869" i="42697"/>
  <c r="R840" i="42697"/>
  <c r="G965" i="42691"/>
  <c r="Q649" i="42691"/>
  <c r="Q650" i="42691" s="1"/>
  <c r="Q640" i="42691"/>
  <c r="M649" i="42692"/>
  <c r="M650" i="42692" s="1"/>
  <c r="M640" i="42692"/>
  <c r="I649" i="42691"/>
  <c r="I650" i="42691" s="1"/>
  <c r="I640" i="42691"/>
  <c r="H523" i="42692"/>
  <c r="H524" i="42692" s="1"/>
  <c r="H514" i="42692"/>
  <c r="R909" i="42691"/>
  <c r="R918" i="42691" s="1"/>
  <c r="F918" i="42691"/>
  <c r="F919" i="42691" s="1"/>
  <c r="O943" i="42690"/>
  <c r="O978" i="42690" s="1"/>
  <c r="O794" i="42690"/>
  <c r="K779" i="42692"/>
  <c r="K779" i="42691"/>
  <c r="K802" i="42689"/>
  <c r="K803" i="42689" s="1"/>
  <c r="G943" i="42690"/>
  <c r="G978" i="42690" s="1"/>
  <c r="G794" i="42690"/>
  <c r="R586" i="42690"/>
  <c r="F599" i="42690"/>
  <c r="R862" i="42690"/>
  <c r="K732" i="42692"/>
  <c r="K732" i="42691"/>
  <c r="K756" i="42689"/>
  <c r="K757" i="42689" s="1"/>
  <c r="K766" i="42689" s="1"/>
  <c r="N861" i="42697"/>
  <c r="N879" i="42697" s="1"/>
  <c r="N557" i="42697"/>
  <c r="N546" i="42697"/>
  <c r="N555" i="42697" s="1"/>
  <c r="N556" i="42697" s="1"/>
  <c r="N969" i="42689"/>
  <c r="N573" i="42689"/>
  <c r="J941" i="42690"/>
  <c r="J976" i="42690" s="1"/>
  <c r="J560" i="42690"/>
  <c r="J562" i="42690"/>
  <c r="J958" i="42690"/>
  <c r="D206" i="42696"/>
  <c r="D254" i="42696"/>
  <c r="F546" i="42692"/>
  <c r="F546" i="42691"/>
  <c r="F566" i="42689"/>
  <c r="R557" i="42689"/>
  <c r="R558" i="42689" s="1"/>
  <c r="R872" i="42689"/>
  <c r="F890" i="42689"/>
  <c r="R890" i="42689" s="1"/>
  <c r="O701" i="42697"/>
  <c r="G682" i="42692"/>
  <c r="G682" i="42691"/>
  <c r="G702" i="42689"/>
  <c r="G703" i="42689" s="1"/>
  <c r="G712" i="42689" s="1"/>
  <c r="R513" i="42690"/>
  <c r="L970" i="42689"/>
  <c r="L257" i="42689"/>
  <c r="L858" i="42691"/>
  <c r="L241" i="42691"/>
  <c r="Q938" i="42690"/>
  <c r="Q396" i="42690"/>
  <c r="J342" i="42690"/>
  <c r="J937" i="42690"/>
  <c r="O186" i="42697"/>
  <c r="M205" i="42696"/>
  <c r="M235" i="42696" s="1"/>
  <c r="M253" i="42696"/>
  <c r="O968" i="42689"/>
  <c r="O213" i="42689"/>
  <c r="G940" i="42690"/>
  <c r="G200" i="42690"/>
  <c r="G878" i="42690"/>
  <c r="L280" i="42692"/>
  <c r="L280" i="42691"/>
  <c r="L301" i="42689"/>
  <c r="L302" i="42689" s="1"/>
  <c r="O165" i="42690"/>
  <c r="O939" i="42690"/>
  <c r="O877" i="42690"/>
  <c r="O864" i="42690"/>
  <c r="G150" i="42697"/>
  <c r="E204" i="42696"/>
  <c r="E234" i="42696" s="1"/>
  <c r="E252" i="42696"/>
  <c r="G856" i="42691"/>
  <c r="G161" i="42691"/>
  <c r="G162" i="42691"/>
  <c r="G856" i="42692"/>
  <c r="G162" i="42692"/>
  <c r="G161" i="42692"/>
  <c r="L934" i="42690"/>
  <c r="L129" i="42690"/>
  <c r="O843" i="42692"/>
  <c r="O872" i="42692" s="1"/>
  <c r="O85" i="42692"/>
  <c r="O86" i="42692"/>
  <c r="O950" i="42692" s="1"/>
  <c r="O89" i="42692"/>
  <c r="G87" i="42690"/>
  <c r="G933" i="42690"/>
  <c r="G968" i="42690" s="1"/>
  <c r="K949" i="42690"/>
  <c r="K922" i="42690"/>
  <c r="K923" i="42690"/>
  <c r="N34" i="42692"/>
  <c r="N34" i="42691"/>
  <c r="N852" i="42689"/>
  <c r="N49" i="42689"/>
  <c r="N53" i="42689"/>
  <c r="N50" i="42689"/>
  <c r="N959" i="42689" s="1"/>
  <c r="K25" i="42701"/>
  <c r="K27" i="42701" s="1"/>
  <c r="N30" i="42699"/>
  <c r="P805" i="42689"/>
  <c r="P954" i="42689"/>
  <c r="P989" i="42689" s="1"/>
  <c r="P791" i="42692"/>
  <c r="P792" i="42692" s="1"/>
  <c r="P780" i="42692"/>
  <c r="P863" i="42692" s="1"/>
  <c r="P881" i="42692" s="1"/>
  <c r="Q959" i="42690"/>
  <c r="I955" i="42690"/>
  <c r="I395" i="42690"/>
  <c r="G185" i="42692"/>
  <c r="G185" i="42691"/>
  <c r="G206" i="42689"/>
  <c r="G207" i="42689" s="1"/>
  <c r="L299" i="42690"/>
  <c r="L953" i="42690"/>
  <c r="L874" i="42690"/>
  <c r="O150" i="42697"/>
  <c r="M204" i="42696"/>
  <c r="M234" i="42696" s="1"/>
  <c r="M252" i="42696"/>
  <c r="L962" i="42689"/>
  <c r="L139" i="42689"/>
  <c r="O87" i="42690"/>
  <c r="O933" i="42690"/>
  <c r="O968" i="42690" s="1"/>
  <c r="K842" i="42692"/>
  <c r="K871" i="42692" s="1"/>
  <c r="K56" i="42692"/>
  <c r="K60" i="42692"/>
  <c r="K57" i="42692"/>
  <c r="K114" i="42696"/>
  <c r="L965" i="42690"/>
  <c r="F223" i="42698"/>
  <c r="F388" i="42698"/>
  <c r="R18" i="42699"/>
  <c r="S970" i="42697"/>
  <c r="S947" i="42692"/>
  <c r="R919" i="42690"/>
  <c r="G456" i="42690"/>
  <c r="R450" i="42690"/>
  <c r="R456" i="42690" s="1"/>
  <c r="K487" i="42692"/>
  <c r="K488" i="42692" s="1"/>
  <c r="K478" i="42692"/>
  <c r="N448" i="42691"/>
  <c r="N449" i="42691" s="1"/>
  <c r="N439" i="42691"/>
  <c r="F460" i="42689"/>
  <c r="F468" i="42689" s="1"/>
  <c r="F448" i="42692"/>
  <c r="F439" i="42692"/>
  <c r="I586" i="42692"/>
  <c r="I586" i="42691"/>
  <c r="I610" i="42689"/>
  <c r="I611" i="42689" s="1"/>
  <c r="I615" i="42689" s="1"/>
  <c r="O206" i="42696"/>
  <c r="O236" i="42696" s="1"/>
  <c r="O254" i="42696"/>
  <c r="Q969" i="42689"/>
  <c r="Q573" i="42689"/>
  <c r="M941" i="42690"/>
  <c r="M560" i="42690"/>
  <c r="G206" i="42696"/>
  <c r="G236" i="42696" s="1"/>
  <c r="G254" i="42696"/>
  <c r="I969" i="42689"/>
  <c r="I573" i="42689"/>
  <c r="L682" i="42692"/>
  <c r="L682" i="42691"/>
  <c r="L702" i="42689"/>
  <c r="L703" i="42689" s="1"/>
  <c r="L712" i="42689" s="1"/>
  <c r="L493" i="42690"/>
  <c r="M438" i="42692"/>
  <c r="M438" i="42691"/>
  <c r="M459" i="42689"/>
  <c r="M460" i="42689" s="1"/>
  <c r="M468" i="42689" s="1"/>
  <c r="P848" i="42692"/>
  <c r="P413" i="42692"/>
  <c r="P417" i="42692"/>
  <c r="P414" i="42692"/>
  <c r="H848" i="42692"/>
  <c r="H413" i="42692"/>
  <c r="H417" i="42692"/>
  <c r="H414" i="42692"/>
  <c r="M959" i="42690"/>
  <c r="M246" i="42690"/>
  <c r="G146" i="42696"/>
  <c r="G140" i="42696"/>
  <c r="I226" i="42692"/>
  <c r="I239" i="42692" s="1"/>
  <c r="I240" i="42692" s="1"/>
  <c r="I226" i="42691"/>
  <c r="I239" i="42691" s="1"/>
  <c r="I240" i="42691" s="1"/>
  <c r="I250" i="42689"/>
  <c r="I251" i="42689" s="1"/>
  <c r="I858" i="42692"/>
  <c r="I241" i="42692"/>
  <c r="P395" i="42690"/>
  <c r="P955" i="42690"/>
  <c r="L373" i="42692"/>
  <c r="L373" i="42691"/>
  <c r="L397" i="42689"/>
  <c r="L398" i="42689" s="1"/>
  <c r="L966" i="42689"/>
  <c r="L406" i="42689"/>
  <c r="L887" i="42689"/>
  <c r="H395" i="42690"/>
  <c r="H955" i="42690"/>
  <c r="Q965" i="42689"/>
  <c r="Q352" i="42689"/>
  <c r="Q323" i="42692"/>
  <c r="Q323" i="42691"/>
  <c r="Q343" i="42689"/>
  <c r="Q344" i="42689" s="1"/>
  <c r="Q886" i="42689"/>
  <c r="M937" i="42690"/>
  <c r="M342" i="42690"/>
  <c r="I965" i="42689"/>
  <c r="I352" i="42689"/>
  <c r="I323" i="42692"/>
  <c r="I323" i="42691"/>
  <c r="I343" i="42689"/>
  <c r="I344" i="42689" s="1"/>
  <c r="I886" i="42689"/>
  <c r="P200" i="42690"/>
  <c r="P940" i="42690"/>
  <c r="L185" i="42692"/>
  <c r="L185" i="42691"/>
  <c r="L206" i="42689"/>
  <c r="L207" i="42689" s="1"/>
  <c r="L889" i="42689"/>
  <c r="H200" i="42690"/>
  <c r="H940" i="42690"/>
  <c r="O142" i="42696"/>
  <c r="O143" i="42696"/>
  <c r="O141" i="42696"/>
  <c r="Q280" i="42692"/>
  <c r="Q280" i="42691"/>
  <c r="Q301" i="42689"/>
  <c r="Q302" i="42689" s="1"/>
  <c r="M953" i="42690"/>
  <c r="M299" i="42690"/>
  <c r="G142" i="42696"/>
  <c r="G143" i="42696"/>
  <c r="G141" i="42696"/>
  <c r="I280" i="42692"/>
  <c r="I280" i="42691"/>
  <c r="I301" i="42689"/>
  <c r="I302" i="42689" s="1"/>
  <c r="P165" i="42690"/>
  <c r="P939" i="42690"/>
  <c r="P877" i="42690"/>
  <c r="P864" i="42690"/>
  <c r="L967" i="42689"/>
  <c r="L178" i="42689"/>
  <c r="L856" i="42691"/>
  <c r="L161" i="42691"/>
  <c r="L162" i="42691"/>
  <c r="H167" i="42690"/>
  <c r="H956" i="42690"/>
  <c r="Q962" i="42689"/>
  <c r="Q139" i="42689"/>
  <c r="M873" i="42690"/>
  <c r="I962" i="42689"/>
  <c r="I139" i="42689"/>
  <c r="P950" i="42690"/>
  <c r="P872" i="42690"/>
  <c r="L961" i="42689"/>
  <c r="L944" i="42689"/>
  <c r="L98" i="42689"/>
  <c r="L843" i="42691"/>
  <c r="L89" i="42691"/>
  <c r="L86" i="42691"/>
  <c r="L85" i="42691"/>
  <c r="H950" i="42690"/>
  <c r="H872" i="42690"/>
  <c r="N69" i="42689"/>
  <c r="N943" i="42689"/>
  <c r="N842" i="42691"/>
  <c r="N871" i="42691" s="1"/>
  <c r="N60" i="42691"/>
  <c r="N57" i="42691"/>
  <c r="N56" i="42691"/>
  <c r="J923" i="42690"/>
  <c r="J949" i="42690"/>
  <c r="J922" i="42690"/>
  <c r="J58" i="42690"/>
  <c r="J932" i="42690"/>
  <c r="O841" i="42690"/>
  <c r="O42" i="42690"/>
  <c r="O38" i="42690"/>
  <c r="O39" i="42690"/>
  <c r="O948" i="42690" s="1"/>
  <c r="G841" i="42690"/>
  <c r="G42" i="42690"/>
  <c r="G38" i="42690"/>
  <c r="G39" i="42690"/>
  <c r="G948" i="42690" s="1"/>
  <c r="H269" i="42696"/>
  <c r="H270" i="42696" s="1"/>
  <c r="J983" i="42692"/>
  <c r="J983" i="42691"/>
  <c r="J983" i="42690"/>
  <c r="J994" i="42689"/>
  <c r="N246" i="42690"/>
  <c r="N959" i="42690"/>
  <c r="K966" i="42689"/>
  <c r="K406" i="42689"/>
  <c r="K373" i="42692"/>
  <c r="K373" i="42691"/>
  <c r="K397" i="42689"/>
  <c r="K398" i="42689" s="1"/>
  <c r="K887" i="42689"/>
  <c r="P341" i="42690"/>
  <c r="P954" i="42690"/>
  <c r="H323" i="42692"/>
  <c r="H323" i="42691"/>
  <c r="H343" i="42689"/>
  <c r="H344" i="42689" s="1"/>
  <c r="H965" i="42689"/>
  <c r="H352" i="42689"/>
  <c r="H886" i="42689"/>
  <c r="M957" i="42690"/>
  <c r="M202" i="42690"/>
  <c r="L143" i="42696"/>
  <c r="L141" i="42696"/>
  <c r="L142" i="42696"/>
  <c r="N964" i="42689"/>
  <c r="N310" i="42689"/>
  <c r="N885" i="42689"/>
  <c r="F299" i="42690"/>
  <c r="R292" i="42690"/>
  <c r="R299" i="42690" s="1"/>
  <c r="F953" i="42690"/>
  <c r="F874" i="42690"/>
  <c r="R845" i="42690"/>
  <c r="R304" i="42689"/>
  <c r="F964" i="42689"/>
  <c r="F310" i="42689"/>
  <c r="R303" i="42689"/>
  <c r="R310" i="42689" s="1"/>
  <c r="F885" i="42689"/>
  <c r="R856" i="42689"/>
  <c r="M956" i="42690"/>
  <c r="M167" i="42690"/>
  <c r="N962" i="42689"/>
  <c r="N139" i="42689"/>
  <c r="F120" i="42690"/>
  <c r="R110" i="42690"/>
  <c r="R111" i="42690" s="1"/>
  <c r="F873" i="42690"/>
  <c r="R844" i="42690"/>
  <c r="R873" i="42690" s="1"/>
  <c r="Q960" i="42689"/>
  <c r="Q934" i="42689"/>
  <c r="Q69" i="42689"/>
  <c r="Q943" i="42689"/>
  <c r="Q978" i="42689" s="1"/>
  <c r="Q842" i="42691"/>
  <c r="Q871" i="42691" s="1"/>
  <c r="Q60" i="42691"/>
  <c r="Q57" i="42691"/>
  <c r="Q56" i="42691"/>
  <c r="I949" i="42690"/>
  <c r="I923" i="42690"/>
  <c r="L34" i="42692"/>
  <c r="L34" i="42691"/>
  <c r="L852" i="42689"/>
  <c r="L49" i="42689"/>
  <c r="L53" i="42689"/>
  <c r="L50" i="42689"/>
  <c r="L959" i="42689" s="1"/>
  <c r="G269" i="42696"/>
  <c r="G270" i="42696" s="1"/>
  <c r="I983" i="42692"/>
  <c r="I983" i="42691"/>
  <c r="I983" i="42690"/>
  <c r="I994" i="42689"/>
  <c r="P196" i="42696"/>
  <c r="I965" i="42691"/>
  <c r="O649" i="42691"/>
  <c r="O650" i="42691" s="1"/>
  <c r="O640" i="42691"/>
  <c r="K649" i="42692"/>
  <c r="K650" i="42692" s="1"/>
  <c r="K640" i="42692"/>
  <c r="F523" i="42692"/>
  <c r="F514" i="42692"/>
  <c r="P919" i="42691"/>
  <c r="H919" i="42691"/>
  <c r="P604" i="42697"/>
  <c r="L604" i="42690"/>
  <c r="H586" i="42692"/>
  <c r="H586" i="42691"/>
  <c r="H610" i="42689"/>
  <c r="H611" i="42689" s="1"/>
  <c r="H615" i="42689" s="1"/>
  <c r="M755" i="42697"/>
  <c r="I755" i="42690"/>
  <c r="N206" i="42696"/>
  <c r="N236" i="42696" s="1"/>
  <c r="N254" i="42696"/>
  <c r="P546" i="42692"/>
  <c r="P546" i="42691"/>
  <c r="P566" i="42689"/>
  <c r="P567" i="42689" s="1"/>
  <c r="F206" i="42696"/>
  <c r="F236" i="42696" s="1"/>
  <c r="F254" i="42696"/>
  <c r="H546" i="42692"/>
  <c r="H546" i="42691"/>
  <c r="H566" i="42689"/>
  <c r="H567" i="42689" s="1"/>
  <c r="Q701" i="42690"/>
  <c r="M682" i="42692"/>
  <c r="M682" i="42691"/>
  <c r="M702" i="42689"/>
  <c r="M703" i="42689" s="1"/>
  <c r="M712" i="42689" s="1"/>
  <c r="N528" i="42697"/>
  <c r="J528" i="42690"/>
  <c r="P64" i="42696"/>
  <c r="N146" i="42696"/>
  <c r="N140" i="42696"/>
  <c r="P226" i="42692"/>
  <c r="P239" i="42692" s="1"/>
  <c r="P240" i="42692" s="1"/>
  <c r="P226" i="42691"/>
  <c r="P239" i="42691" s="1"/>
  <c r="P240" i="42691" s="1"/>
  <c r="P250" i="42689"/>
  <c r="P251" i="42689" s="1"/>
  <c r="P891" i="42689"/>
  <c r="P858" i="42692"/>
  <c r="P241" i="42692"/>
  <c r="H246" i="42690"/>
  <c r="H959" i="42690"/>
  <c r="M966" i="42689"/>
  <c r="M406" i="42689"/>
  <c r="M373" i="42692"/>
  <c r="M373" i="42691"/>
  <c r="M397" i="42689"/>
  <c r="M398" i="42689" s="1"/>
  <c r="M887" i="42689"/>
  <c r="N341" i="42690"/>
  <c r="N954" i="42690"/>
  <c r="R346" i="42689"/>
  <c r="R355" i="42689"/>
  <c r="K185" i="42692"/>
  <c r="K185" i="42691"/>
  <c r="K206" i="42689"/>
  <c r="K207" i="42689" s="1"/>
  <c r="K889" i="42689"/>
  <c r="P299" i="42690"/>
  <c r="P953" i="42690"/>
  <c r="P874" i="42690"/>
  <c r="F143" i="42696"/>
  <c r="F141" i="42696"/>
  <c r="F142" i="42696"/>
  <c r="H964" i="42689"/>
  <c r="H310" i="42689"/>
  <c r="H885" i="42689"/>
  <c r="K149" i="42692"/>
  <c r="K159" i="42692" s="1"/>
  <c r="K160" i="42692" s="1"/>
  <c r="K149" i="42691"/>
  <c r="K159" i="42691" s="1"/>
  <c r="K160" i="42691" s="1"/>
  <c r="K170" i="42689"/>
  <c r="K171" i="42689" s="1"/>
  <c r="K967" i="42689"/>
  <c r="K178" i="42689"/>
  <c r="K888" i="42689"/>
  <c r="K875" i="42689"/>
  <c r="P128" i="42690"/>
  <c r="P951" i="42690"/>
  <c r="H110" i="42692"/>
  <c r="H110" i="42691"/>
  <c r="H131" i="42689"/>
  <c r="H132" i="42689" s="1"/>
  <c r="O949" i="42690"/>
  <c r="O922" i="42690"/>
  <c r="O923" i="42690"/>
  <c r="G960" i="42689"/>
  <c r="G934" i="42689"/>
  <c r="G943" i="42689"/>
  <c r="G69" i="42689"/>
  <c r="G842" i="42691"/>
  <c r="G871" i="42691" s="1"/>
  <c r="G60" i="42691"/>
  <c r="G57" i="42691"/>
  <c r="G56" i="42691"/>
  <c r="O144" i="42696"/>
  <c r="O138" i="42696"/>
  <c r="O152" i="42696" s="1"/>
  <c r="O145" i="42696"/>
  <c r="O139" i="42696"/>
  <c r="O153" i="42696" s="1"/>
  <c r="O137" i="42696"/>
  <c r="O127" i="42696"/>
  <c r="O128" i="42696" s="1"/>
  <c r="G144" i="42696"/>
  <c r="G138" i="42696"/>
  <c r="G152" i="42696" s="1"/>
  <c r="G145" i="42696"/>
  <c r="G139" i="42696"/>
  <c r="G153" i="42696" s="1"/>
  <c r="G137" i="42696"/>
  <c r="G127" i="42696"/>
  <c r="G128" i="42696" s="1"/>
  <c r="M269" i="42696"/>
  <c r="M270" i="42696" s="1"/>
  <c r="O983" i="42692"/>
  <c r="O983" i="42691"/>
  <c r="O983" i="42690"/>
  <c r="O994" i="42689"/>
  <c r="P965" i="42692"/>
  <c r="H965" i="42690"/>
  <c r="R541" i="42689"/>
  <c r="Q255" i="42689"/>
  <c r="Q244" i="42692"/>
  <c r="O146" i="42696"/>
  <c r="I25" i="42701"/>
  <c r="I27" i="42701" s="1"/>
  <c r="L30" i="42699"/>
  <c r="S935" i="42692"/>
  <c r="S970" i="42692" s="1"/>
  <c r="J627" i="42689"/>
  <c r="K621" i="42689"/>
  <c r="Q487" i="42691"/>
  <c r="Q488" i="42691" s="1"/>
  <c r="Q478" i="42691"/>
  <c r="I487" i="42692"/>
  <c r="I488" i="42692" s="1"/>
  <c r="I478" i="42692"/>
  <c r="L439" i="42691"/>
  <c r="L448" i="42691"/>
  <c r="L449" i="42691" s="1"/>
  <c r="F779" i="42692"/>
  <c r="F779" i="42691"/>
  <c r="R790" i="42689"/>
  <c r="R791" i="42689" s="1"/>
  <c r="F802" i="42689"/>
  <c r="O586" i="42692"/>
  <c r="O586" i="42691"/>
  <c r="O610" i="42689"/>
  <c r="O611" i="42689" s="1"/>
  <c r="O615" i="42689" s="1"/>
  <c r="K604" i="42690"/>
  <c r="G604" i="42697"/>
  <c r="N755" i="42690"/>
  <c r="J732" i="42692"/>
  <c r="J732" i="42691"/>
  <c r="J756" i="42689"/>
  <c r="J757" i="42689" s="1"/>
  <c r="J766" i="42689" s="1"/>
  <c r="R748" i="42690"/>
  <c r="F754" i="42690"/>
  <c r="R747" i="42690"/>
  <c r="R754" i="42690" s="1"/>
  <c r="R852" i="42690"/>
  <c r="R759" i="42689"/>
  <c r="F732" i="42692"/>
  <c r="F732" i="42691"/>
  <c r="R743" i="42689"/>
  <c r="R744" i="42689" s="1"/>
  <c r="F756" i="42689"/>
  <c r="O958" i="42690"/>
  <c r="O562" i="42690"/>
  <c r="K861" i="42697"/>
  <c r="K879" i="42697" s="1"/>
  <c r="K546" i="42697"/>
  <c r="K555" i="42697" s="1"/>
  <c r="K556" i="42697" s="1"/>
  <c r="K557" i="42697"/>
  <c r="K546" i="42692"/>
  <c r="K546" i="42691"/>
  <c r="K566" i="42689"/>
  <c r="K567" i="42689" s="1"/>
  <c r="G958" i="42690"/>
  <c r="G562" i="42690"/>
  <c r="N701" i="42697"/>
  <c r="J701" i="42690"/>
  <c r="R714" i="42689"/>
  <c r="R704" i="42689"/>
  <c r="F711" i="42689"/>
  <c r="R711" i="42689" s="1"/>
  <c r="R862" i="42689"/>
  <c r="K528" i="42690"/>
  <c r="J659" i="42697"/>
  <c r="R652" i="42690"/>
  <c r="F658" i="42690"/>
  <c r="R651" i="42690"/>
  <c r="R658" i="42690" s="1"/>
  <c r="R850" i="42690"/>
  <c r="N493" i="42690"/>
  <c r="F495" i="42690"/>
  <c r="R495" i="42690" s="1"/>
  <c r="R489" i="42690"/>
  <c r="R859" i="42690"/>
  <c r="R501" i="42689"/>
  <c r="R870" i="42689"/>
  <c r="O457" i="42690"/>
  <c r="K438" i="42692"/>
  <c r="K438" i="42691"/>
  <c r="K459" i="42689"/>
  <c r="K460" i="42689" s="1"/>
  <c r="K468" i="42689" s="1"/>
  <c r="R459" i="42690"/>
  <c r="N848" i="42692"/>
  <c r="N413" i="42692"/>
  <c r="N417" i="42692"/>
  <c r="N414" i="42692"/>
  <c r="D99" i="42696"/>
  <c r="P71" i="42696"/>
  <c r="R428" i="42689"/>
  <c r="R424" i="42689"/>
  <c r="F426" i="42689"/>
  <c r="R859" i="42689"/>
  <c r="F848" i="42692"/>
  <c r="R848" i="42692" s="1"/>
  <c r="R409" i="42692"/>
  <c r="F413" i="42692"/>
  <c r="F417" i="42692"/>
  <c r="F414" i="42692"/>
  <c r="O970" i="42689"/>
  <c r="O257" i="42689"/>
  <c r="O858" i="42691"/>
  <c r="O241" i="42691"/>
  <c r="K244" i="42690"/>
  <c r="K942" i="42690"/>
  <c r="K880" i="42690"/>
  <c r="G970" i="42689"/>
  <c r="G257" i="42689"/>
  <c r="G858" i="42691"/>
  <c r="G241" i="42691"/>
  <c r="N396" i="42690"/>
  <c r="N938" i="42690"/>
  <c r="N876" i="42690"/>
  <c r="R398" i="42690"/>
  <c r="F386" i="42690"/>
  <c r="R373" i="42690"/>
  <c r="R374" i="42690" s="1"/>
  <c r="F876" i="42690"/>
  <c r="R847" i="42690"/>
  <c r="R876" i="42690" s="1"/>
  <c r="O954" i="42690"/>
  <c r="O341" i="42690"/>
  <c r="G954" i="42690"/>
  <c r="G341" i="42690"/>
  <c r="N186" i="42697"/>
  <c r="L205" i="42696"/>
  <c r="L235" i="42696" s="1"/>
  <c r="L253" i="42696"/>
  <c r="N968" i="42689"/>
  <c r="N213" i="42689"/>
  <c r="J878" i="42690"/>
  <c r="J202" i="42690"/>
  <c r="J957" i="42690"/>
  <c r="O964" i="42689"/>
  <c r="O310" i="42689"/>
  <c r="K300" i="42690"/>
  <c r="K936" i="42690"/>
  <c r="G964" i="42689"/>
  <c r="G310" i="42689"/>
  <c r="N150" i="42697"/>
  <c r="L204" i="42696"/>
  <c r="L234" i="42696" s="1"/>
  <c r="L252" i="42696"/>
  <c r="N149" i="42692"/>
  <c r="N159" i="42692" s="1"/>
  <c r="N160" i="42692" s="1"/>
  <c r="N149" i="42691"/>
  <c r="N159" i="42691" s="1"/>
  <c r="N160" i="42691" s="1"/>
  <c r="N170" i="42689"/>
  <c r="N171" i="42689" s="1"/>
  <c r="N888" i="42689"/>
  <c r="N875" i="42689"/>
  <c r="N856" i="42692"/>
  <c r="N161" i="42692"/>
  <c r="N162" i="42692"/>
  <c r="J165" i="42690"/>
  <c r="J939" i="42690"/>
  <c r="J877" i="42690"/>
  <c r="J864" i="42690"/>
  <c r="P31" i="42696"/>
  <c r="F150" i="42697"/>
  <c r="D204" i="42696"/>
  <c r="D252" i="42696"/>
  <c r="O962" i="42689"/>
  <c r="O139" i="42689"/>
  <c r="K951" i="42690"/>
  <c r="K128" i="42690"/>
  <c r="K873" i="42690"/>
  <c r="G962" i="42689"/>
  <c r="G139" i="42689"/>
  <c r="N950" i="42690"/>
  <c r="N872" i="42690"/>
  <c r="J961" i="42689"/>
  <c r="J944" i="42689"/>
  <c r="J98" i="42689"/>
  <c r="J843" i="42691"/>
  <c r="J89" i="42691"/>
  <c r="J86" i="42691"/>
  <c r="J85" i="42691"/>
  <c r="F950" i="42690"/>
  <c r="R86" i="42690"/>
  <c r="F872" i="42690"/>
  <c r="R843" i="42690"/>
  <c r="R85" i="42690"/>
  <c r="F933" i="42690"/>
  <c r="F87" i="42690"/>
  <c r="P923" i="42690"/>
  <c r="P949" i="42690"/>
  <c r="L842" i="42697"/>
  <c r="L871" i="42697" s="1"/>
  <c r="L57" i="42697"/>
  <c r="L56" i="42697"/>
  <c r="L60" i="42697"/>
  <c r="L933" i="42689"/>
  <c r="L960" i="42689"/>
  <c r="L934" i="42689"/>
  <c r="L842" i="42692"/>
  <c r="L871" i="42692" s="1"/>
  <c r="L60" i="42692"/>
  <c r="L57" i="42692"/>
  <c r="L56" i="42692"/>
  <c r="H923" i="42690"/>
  <c r="H949" i="42690"/>
  <c r="Q841" i="42690"/>
  <c r="Q42" i="42690"/>
  <c r="Q38" i="42690"/>
  <c r="Q39" i="42690"/>
  <c r="Q948" i="42690" s="1"/>
  <c r="I841" i="42690"/>
  <c r="I42" i="42690"/>
  <c r="I38" i="42690"/>
  <c r="I39" i="42690"/>
  <c r="I948" i="42690" s="1"/>
  <c r="J269" i="42696"/>
  <c r="J270" i="42696" s="1"/>
  <c r="L983" i="42692"/>
  <c r="L983" i="42691"/>
  <c r="L983" i="42690"/>
  <c r="L994" i="42689"/>
  <c r="J970" i="42689"/>
  <c r="J257" i="42689"/>
  <c r="J858" i="42691"/>
  <c r="J241" i="42691"/>
  <c r="O938" i="42690"/>
  <c r="O396" i="42690"/>
  <c r="O876" i="42690"/>
  <c r="L342" i="42690"/>
  <c r="L937" i="42690"/>
  <c r="L875" i="42690"/>
  <c r="Q186" i="42697"/>
  <c r="O205" i="42696"/>
  <c r="O235" i="42696" s="1"/>
  <c r="O253" i="42696"/>
  <c r="Q968" i="42689"/>
  <c r="Q213" i="42689"/>
  <c r="I940" i="42690"/>
  <c r="I200" i="42690"/>
  <c r="I878" i="42690"/>
  <c r="J280" i="42692"/>
  <c r="J280" i="42691"/>
  <c r="J301" i="42689"/>
  <c r="J302" i="42689" s="1"/>
  <c r="Q939" i="42690"/>
  <c r="Q165" i="42690"/>
  <c r="Q877" i="42690"/>
  <c r="Q864" i="42690"/>
  <c r="I150" i="42697"/>
  <c r="G204" i="42696"/>
  <c r="G234" i="42696" s="1"/>
  <c r="G252" i="42696"/>
  <c r="I856" i="42691"/>
  <c r="I161" i="42691"/>
  <c r="I162" i="42691"/>
  <c r="I856" i="42692"/>
  <c r="I162" i="42692"/>
  <c r="I161" i="42692"/>
  <c r="J129" i="42690"/>
  <c r="J934" i="42690"/>
  <c r="Q843" i="42692"/>
  <c r="Q872" i="42692" s="1"/>
  <c r="Q85" i="42692"/>
  <c r="Q86" i="42692"/>
  <c r="Q950" i="42692" s="1"/>
  <c r="Q89" i="42692"/>
  <c r="I87" i="42690"/>
  <c r="I933" i="42690"/>
  <c r="I968" i="42690" s="1"/>
  <c r="M842" i="42697"/>
  <c r="M871" i="42697" s="1"/>
  <c r="M57" i="42697"/>
  <c r="M56" i="42697"/>
  <c r="M60" i="42697"/>
  <c r="M842" i="42692"/>
  <c r="M871" i="42692" s="1"/>
  <c r="M56" i="42692"/>
  <c r="M60" i="42692"/>
  <c r="M57" i="42692"/>
  <c r="P38" i="42690"/>
  <c r="P841" i="42690"/>
  <c r="P42" i="42690"/>
  <c r="P39" i="42690"/>
  <c r="P948" i="42690" s="1"/>
  <c r="N965" i="42690"/>
  <c r="F869" i="42690"/>
  <c r="R840" i="42690"/>
  <c r="F869" i="42692"/>
  <c r="R840" i="42692"/>
  <c r="F527" i="42698"/>
  <c r="D692" i="42698"/>
  <c r="K965" i="42691"/>
  <c r="F880" i="42689"/>
  <c r="R851" i="42689"/>
  <c r="O779" i="42692"/>
  <c r="O779" i="42691"/>
  <c r="O802" i="42689"/>
  <c r="O803" i="42689" s="1"/>
  <c r="K943" i="42690"/>
  <c r="K978" i="42690" s="1"/>
  <c r="K794" i="42690"/>
  <c r="G779" i="42692"/>
  <c r="G779" i="42691"/>
  <c r="G802" i="42689"/>
  <c r="G803" i="42689" s="1"/>
  <c r="N586" i="42692"/>
  <c r="N586" i="42691"/>
  <c r="N610" i="42689"/>
  <c r="N611" i="42689" s="1"/>
  <c r="N615" i="42689" s="1"/>
  <c r="F587" i="42697"/>
  <c r="P173" i="42696"/>
  <c r="F586" i="42692"/>
  <c r="F586" i="42691"/>
  <c r="R597" i="42689"/>
  <c r="F610" i="42689"/>
  <c r="R873" i="42689"/>
  <c r="O755" i="42697"/>
  <c r="G732" i="42692"/>
  <c r="G732" i="42691"/>
  <c r="G756" i="42689"/>
  <c r="G757" i="42689" s="1"/>
  <c r="G766" i="42689" s="1"/>
  <c r="N941" i="42690"/>
  <c r="N560" i="42690"/>
  <c r="N562" i="42690"/>
  <c r="N958" i="42690"/>
  <c r="J861" i="42697"/>
  <c r="J879" i="42697" s="1"/>
  <c r="J557" i="42697"/>
  <c r="J546" i="42697"/>
  <c r="J555" i="42697" s="1"/>
  <c r="J556" i="42697" s="1"/>
  <c r="J969" i="42689"/>
  <c r="J573" i="42689"/>
  <c r="F555" i="42690"/>
  <c r="R546" i="42690"/>
  <c r="R547" i="42690" s="1"/>
  <c r="F562" i="42690"/>
  <c r="R557" i="42690"/>
  <c r="F958" i="42690"/>
  <c r="K701" i="42697"/>
  <c r="P513" i="42692"/>
  <c r="P513" i="42691"/>
  <c r="P534" i="42689"/>
  <c r="P535" i="42689" s="1"/>
  <c r="P539" i="42689" s="1"/>
  <c r="R438" i="42690"/>
  <c r="R439" i="42690" s="1"/>
  <c r="L244" i="42690"/>
  <c r="L942" i="42690"/>
  <c r="L880" i="42690"/>
  <c r="J323" i="42692"/>
  <c r="J323" i="42691"/>
  <c r="J343" i="42689"/>
  <c r="J344" i="42689" s="1"/>
  <c r="J965" i="42689"/>
  <c r="J352" i="42689"/>
  <c r="J886" i="42689"/>
  <c r="O957" i="42690"/>
  <c r="O202" i="42690"/>
  <c r="O149" i="42692"/>
  <c r="O159" i="42692" s="1"/>
  <c r="O160" i="42692" s="1"/>
  <c r="O149" i="42691"/>
  <c r="O159" i="42691" s="1"/>
  <c r="O160" i="42691" s="1"/>
  <c r="O170" i="42689"/>
  <c r="O171" i="42689" s="1"/>
  <c r="O967" i="42689"/>
  <c r="O178" i="42689"/>
  <c r="O888" i="42689"/>
  <c r="O875" i="42689"/>
  <c r="G165" i="42690"/>
  <c r="G939" i="42690"/>
  <c r="G877" i="42690"/>
  <c r="G864" i="42690"/>
  <c r="G98" i="42689"/>
  <c r="G944" i="42689"/>
  <c r="G979" i="42689" s="1"/>
  <c r="G843" i="42691"/>
  <c r="G872" i="42691" s="1"/>
  <c r="G89" i="42691"/>
  <c r="G86" i="42691"/>
  <c r="G950" i="42691" s="1"/>
  <c r="G85" i="42691"/>
  <c r="F34" i="42692"/>
  <c r="F34" i="42691"/>
  <c r="F852" i="42689"/>
  <c r="F49" i="42689"/>
  <c r="R45" i="42689"/>
  <c r="F53" i="42689"/>
  <c r="F50" i="42689"/>
  <c r="I269" i="42696"/>
  <c r="I270" i="42696" s="1"/>
  <c r="K983" i="42692"/>
  <c r="K983" i="42691"/>
  <c r="K983" i="42690"/>
  <c r="K994" i="42689"/>
  <c r="L919" i="42692"/>
  <c r="N919" i="42692"/>
  <c r="K919" i="42691"/>
  <c r="P919" i="42692"/>
  <c r="F592" i="42698"/>
  <c r="F727" i="42698" s="1"/>
  <c r="F595" i="42698"/>
  <c r="F605" i="42698" s="1"/>
  <c r="F606" i="42698" s="1"/>
  <c r="R693" i="42690"/>
  <c r="F700" i="42690"/>
  <c r="R700" i="42690" s="1"/>
  <c r="S930" i="42691"/>
  <c r="O478" i="42691"/>
  <c r="O487" i="42691"/>
  <c r="O488" i="42691" s="1"/>
  <c r="G487" i="42692"/>
  <c r="G488" i="42692" s="1"/>
  <c r="G478" i="42692"/>
  <c r="J448" i="42691"/>
  <c r="J449" i="42691" s="1"/>
  <c r="J439" i="42691"/>
  <c r="R461" i="42689"/>
  <c r="R467" i="42689" s="1"/>
  <c r="L794" i="42690"/>
  <c r="L943" i="42690"/>
  <c r="L978" i="42690" s="1"/>
  <c r="H779" i="42692"/>
  <c r="H779" i="42691"/>
  <c r="H802" i="42689"/>
  <c r="H803" i="42689" s="1"/>
  <c r="Q604" i="42690"/>
  <c r="M604" i="42697"/>
  <c r="P732" i="42692"/>
  <c r="P732" i="42691"/>
  <c r="P756" i="42689"/>
  <c r="P757" i="42689" s="1"/>
  <c r="P766" i="42689" s="1"/>
  <c r="H755" i="42697"/>
  <c r="Q941" i="42690"/>
  <c r="Q976" i="42690" s="1"/>
  <c r="Q560" i="42690"/>
  <c r="K206" i="42696"/>
  <c r="K236" i="42696" s="1"/>
  <c r="K254" i="42696"/>
  <c r="M969" i="42689"/>
  <c r="M573" i="42689"/>
  <c r="I941" i="42690"/>
  <c r="I976" i="42690" s="1"/>
  <c r="I560" i="42690"/>
  <c r="P682" i="42692"/>
  <c r="P682" i="42691"/>
  <c r="P702" i="42689"/>
  <c r="P703" i="42689" s="1"/>
  <c r="P712" i="42689" s="1"/>
  <c r="H701" i="42697"/>
  <c r="M513" i="42692"/>
  <c r="M513" i="42691"/>
  <c r="M534" i="42689"/>
  <c r="M535" i="42689" s="1"/>
  <c r="M539" i="42689" s="1"/>
  <c r="P639" i="42692"/>
  <c r="P639" i="42691"/>
  <c r="P660" i="42689"/>
  <c r="P661" i="42689" s="1"/>
  <c r="P670" i="42689" s="1"/>
  <c r="L659" i="42690"/>
  <c r="H639" i="42692"/>
  <c r="H639" i="42691"/>
  <c r="H660" i="42689"/>
  <c r="H661" i="42689" s="1"/>
  <c r="H670" i="42689" s="1"/>
  <c r="P493" i="42690"/>
  <c r="H493" i="42690"/>
  <c r="I438" i="42692"/>
  <c r="I438" i="42691"/>
  <c r="I459" i="42689"/>
  <c r="I460" i="42689" s="1"/>
  <c r="I468" i="42689" s="1"/>
  <c r="L426" i="42689"/>
  <c r="L848" i="42691"/>
  <c r="L414" i="42691"/>
  <c r="L417" i="42691"/>
  <c r="L413" i="42691"/>
  <c r="L415" i="42691" s="1"/>
  <c r="K146" i="42696"/>
  <c r="K140" i="42696"/>
  <c r="M226" i="42692"/>
  <c r="M239" i="42692" s="1"/>
  <c r="M240" i="42692" s="1"/>
  <c r="M226" i="42691"/>
  <c r="M239" i="42691" s="1"/>
  <c r="M240" i="42691" s="1"/>
  <c r="M250" i="42689"/>
  <c r="M251" i="42689" s="1"/>
  <c r="M891" i="42689"/>
  <c r="M858" i="42692"/>
  <c r="M241" i="42692"/>
  <c r="I959" i="42690"/>
  <c r="I246" i="42690"/>
  <c r="P373" i="42692"/>
  <c r="P373" i="42691"/>
  <c r="P397" i="42689"/>
  <c r="P398" i="42689" s="1"/>
  <c r="P966" i="42689"/>
  <c r="P406" i="42689"/>
  <c r="P887" i="42689"/>
  <c r="L395" i="42690"/>
  <c r="L955" i="42690"/>
  <c r="H373" i="42692"/>
  <c r="H373" i="42691"/>
  <c r="H397" i="42689"/>
  <c r="H398" i="42689" s="1"/>
  <c r="H966" i="42689"/>
  <c r="H406" i="42689"/>
  <c r="H887" i="42689"/>
  <c r="Q937" i="42690"/>
  <c r="Q972" i="42690" s="1"/>
  <c r="Q342" i="42690"/>
  <c r="M965" i="42689"/>
  <c r="M352" i="42689"/>
  <c r="M323" i="42692"/>
  <c r="M323" i="42691"/>
  <c r="M343" i="42689"/>
  <c r="M344" i="42689" s="1"/>
  <c r="I937" i="42690"/>
  <c r="I972" i="42690" s="1"/>
  <c r="I342" i="42690"/>
  <c r="P185" i="42692"/>
  <c r="P185" i="42691"/>
  <c r="P206" i="42689"/>
  <c r="P207" i="42689" s="1"/>
  <c r="L200" i="42690"/>
  <c r="L940" i="42690"/>
  <c r="L975" i="42690" s="1"/>
  <c r="H185" i="42692"/>
  <c r="H185" i="42691"/>
  <c r="H206" i="42689"/>
  <c r="H207" i="42689" s="1"/>
  <c r="Q953" i="42690"/>
  <c r="Q299" i="42690"/>
  <c r="K142" i="42696"/>
  <c r="K143" i="42696"/>
  <c r="K141" i="42696"/>
  <c r="M280" i="42692"/>
  <c r="M280" i="42691"/>
  <c r="M301" i="42689"/>
  <c r="M302" i="42689" s="1"/>
  <c r="I953" i="42690"/>
  <c r="I299" i="42690"/>
  <c r="P150" i="42697"/>
  <c r="N204" i="42696"/>
  <c r="N234" i="42696" s="1"/>
  <c r="N252" i="42696"/>
  <c r="P149" i="42692"/>
  <c r="P159" i="42692" s="1"/>
  <c r="P160" i="42692" s="1"/>
  <c r="P149" i="42691"/>
  <c r="P159" i="42691" s="1"/>
  <c r="P160" i="42691" s="1"/>
  <c r="P170" i="42689"/>
  <c r="P171" i="42689" s="1"/>
  <c r="P888" i="42689"/>
  <c r="P875" i="42689"/>
  <c r="P856" i="42692"/>
  <c r="P161" i="42692"/>
  <c r="P162" i="42692"/>
  <c r="L165" i="42690"/>
  <c r="L939" i="42690"/>
  <c r="L974" i="42690" s="1"/>
  <c r="L877" i="42690"/>
  <c r="L864" i="42690"/>
  <c r="H967" i="42689"/>
  <c r="H178" i="42689"/>
  <c r="H856" i="42691"/>
  <c r="H161" i="42691"/>
  <c r="H162" i="42691"/>
  <c r="M962" i="42689"/>
  <c r="M139" i="42689"/>
  <c r="P944" i="42689"/>
  <c r="P979" i="42689" s="1"/>
  <c r="P98" i="42689"/>
  <c r="P843" i="42691"/>
  <c r="P89" i="42691"/>
  <c r="P86" i="42691"/>
  <c r="P85" i="42691"/>
  <c r="H944" i="42689"/>
  <c r="H979" i="42689" s="1"/>
  <c r="H98" i="42689"/>
  <c r="H843" i="42691"/>
  <c r="H89" i="42691"/>
  <c r="H86" i="42691"/>
  <c r="H85" i="42691"/>
  <c r="N923" i="42690"/>
  <c r="N949" i="42690"/>
  <c r="N58" i="42690"/>
  <c r="N932" i="42690"/>
  <c r="N967" i="42690" s="1"/>
  <c r="J69" i="42689"/>
  <c r="J943" i="42689"/>
  <c r="J978" i="42689" s="1"/>
  <c r="J842" i="42691"/>
  <c r="J871" i="42691" s="1"/>
  <c r="J60" i="42691"/>
  <c r="J57" i="42691"/>
  <c r="J56" i="42691"/>
  <c r="F923" i="42690"/>
  <c r="R57" i="42690"/>
  <c r="F949" i="42690"/>
  <c r="F871" i="42690"/>
  <c r="R842" i="42690"/>
  <c r="R871" i="42690" s="1"/>
  <c r="R67" i="42689"/>
  <c r="R69" i="42689" s="1"/>
  <c r="F943" i="42689"/>
  <c r="F69" i="42689"/>
  <c r="R71" i="42689"/>
  <c r="F842" i="42691"/>
  <c r="F60" i="42691"/>
  <c r="F57" i="42691"/>
  <c r="F56" i="42691"/>
  <c r="R52" i="42691"/>
  <c r="L114" i="42696"/>
  <c r="K34" i="42692"/>
  <c r="K34" i="42691"/>
  <c r="K852" i="42689"/>
  <c r="K53" i="42689"/>
  <c r="K50" i="42689"/>
  <c r="K959" i="42689" s="1"/>
  <c r="K49" i="42689"/>
  <c r="D269" i="42696"/>
  <c r="D270" i="42696" s="1"/>
  <c r="F983" i="42692"/>
  <c r="F983" i="42691"/>
  <c r="F983" i="42690"/>
  <c r="F994" i="42689"/>
  <c r="Q103" i="42683"/>
  <c r="O965" i="42690"/>
  <c r="O965" i="42692"/>
  <c r="G965" i="42690"/>
  <c r="G965" i="42692"/>
  <c r="N970" i="42689"/>
  <c r="N257" i="42689"/>
  <c r="N858" i="42691"/>
  <c r="N241" i="42691"/>
  <c r="F246" i="42690"/>
  <c r="R241" i="42690"/>
  <c r="F959" i="42690"/>
  <c r="F970" i="42689"/>
  <c r="F257" i="42689"/>
  <c r="R252" i="42689"/>
  <c r="F858" i="42691"/>
  <c r="F241" i="42691"/>
  <c r="R227" i="42691"/>
  <c r="K396" i="42690"/>
  <c r="K938" i="42690"/>
  <c r="K973" i="42690" s="1"/>
  <c r="H342" i="42690"/>
  <c r="H937" i="42690"/>
  <c r="H972" i="42690" s="1"/>
  <c r="M186" i="42697"/>
  <c r="K205" i="42696"/>
  <c r="K235" i="42696" s="1"/>
  <c r="K253" i="42696"/>
  <c r="M968" i="42689"/>
  <c r="M213" i="42689"/>
  <c r="N936" i="42690"/>
  <c r="N971" i="42690" s="1"/>
  <c r="N300" i="42690"/>
  <c r="D96" i="42696"/>
  <c r="P68" i="42696"/>
  <c r="M149" i="42692"/>
  <c r="M159" i="42692" s="1"/>
  <c r="M160" i="42692" s="1"/>
  <c r="M149" i="42691"/>
  <c r="M159" i="42691" s="1"/>
  <c r="M160" i="42691" s="1"/>
  <c r="M170" i="42689"/>
  <c r="M171" i="42689" s="1"/>
  <c r="M967" i="42689"/>
  <c r="M178" i="42689"/>
  <c r="M888" i="42689"/>
  <c r="M875" i="42689"/>
  <c r="N128" i="42690"/>
  <c r="N951" i="42690"/>
  <c r="F962" i="42689"/>
  <c r="F139" i="42689"/>
  <c r="R133" i="42689"/>
  <c r="R139" i="42689" s="1"/>
  <c r="F884" i="42689"/>
  <c r="R855" i="42689"/>
  <c r="M843" i="42692"/>
  <c r="M872" i="42692" s="1"/>
  <c r="M85" i="42692"/>
  <c r="M86" i="42692"/>
  <c r="M950" i="42692" s="1"/>
  <c r="M89" i="42692"/>
  <c r="Q932" i="42690"/>
  <c r="Q967" i="42690" s="1"/>
  <c r="Q58" i="42690"/>
  <c r="I842" i="42697"/>
  <c r="I871" i="42697" s="1"/>
  <c r="I57" i="42697"/>
  <c r="I56" i="42697"/>
  <c r="I60" i="42697"/>
  <c r="I842" i="42692"/>
  <c r="I871" i="42692" s="1"/>
  <c r="I56" i="42692"/>
  <c r="I60" i="42692"/>
  <c r="I57" i="42692"/>
  <c r="J965" i="42690"/>
  <c r="M965" i="42691"/>
  <c r="L919" i="42691"/>
  <c r="S889" i="42697"/>
  <c r="S905" i="42697" s="1"/>
  <c r="R905" i="42692"/>
  <c r="R990" i="42692" s="1"/>
  <c r="P976" i="42689"/>
  <c r="L976" i="42689"/>
  <c r="H976" i="42689"/>
  <c r="P604" i="42690"/>
  <c r="L586" i="42692"/>
  <c r="L586" i="42691"/>
  <c r="L610" i="42689"/>
  <c r="L611" i="42689" s="1"/>
  <c r="L615" i="42689" s="1"/>
  <c r="Q755" i="42697"/>
  <c r="M755" i="42690"/>
  <c r="I732" i="42692"/>
  <c r="I732" i="42691"/>
  <c r="I756" i="42689"/>
  <c r="I757" i="42689" s="1"/>
  <c r="I766" i="42689" s="1"/>
  <c r="P941" i="42690"/>
  <c r="P560" i="42690"/>
  <c r="P562" i="42690"/>
  <c r="P958" i="42690"/>
  <c r="L861" i="42697"/>
  <c r="L879" i="42697" s="1"/>
  <c r="L557" i="42697"/>
  <c r="L546" i="42697"/>
  <c r="L555" i="42697" s="1"/>
  <c r="L556" i="42697" s="1"/>
  <c r="L969" i="42689"/>
  <c r="L573" i="42689"/>
  <c r="H941" i="42690"/>
  <c r="H560" i="42690"/>
  <c r="H562" i="42690"/>
  <c r="H958" i="42690"/>
  <c r="Q701" i="42697"/>
  <c r="M701" i="42690"/>
  <c r="I682" i="42692"/>
  <c r="I682" i="42691"/>
  <c r="I702" i="42689"/>
  <c r="I703" i="42689" s="1"/>
  <c r="I712" i="42689" s="1"/>
  <c r="J528" i="42697"/>
  <c r="P246" i="42690"/>
  <c r="P959" i="42690"/>
  <c r="F146" i="42696"/>
  <c r="F140" i="42696"/>
  <c r="H226" i="42692"/>
  <c r="H239" i="42692" s="1"/>
  <c r="H240" i="42692" s="1"/>
  <c r="H226" i="42691"/>
  <c r="H239" i="42691" s="1"/>
  <c r="H240" i="42691" s="1"/>
  <c r="H250" i="42689"/>
  <c r="H251" i="42689" s="1"/>
  <c r="H858" i="42692"/>
  <c r="H241" i="42692"/>
  <c r="M955" i="42690"/>
  <c r="M395" i="42690"/>
  <c r="N323" i="42692"/>
  <c r="N323" i="42691"/>
  <c r="N343" i="42689"/>
  <c r="N344" i="42689" s="1"/>
  <c r="N965" i="42689"/>
  <c r="N352" i="42689"/>
  <c r="F341" i="42690"/>
  <c r="R334" i="42690"/>
  <c r="R341" i="42690" s="1"/>
  <c r="F954" i="42690"/>
  <c r="R335" i="42690"/>
  <c r="K957" i="42690"/>
  <c r="K202" i="42690"/>
  <c r="N143" i="42696"/>
  <c r="N141" i="42696"/>
  <c r="N142" i="42696"/>
  <c r="P964" i="42689"/>
  <c r="P310" i="42689"/>
  <c r="P885" i="42689"/>
  <c r="H299" i="42690"/>
  <c r="H953" i="42690"/>
  <c r="K939" i="42690"/>
  <c r="K974" i="42690" s="1"/>
  <c r="K165" i="42690"/>
  <c r="K877" i="42690"/>
  <c r="K864" i="42690"/>
  <c r="P110" i="42692"/>
  <c r="P110" i="42691"/>
  <c r="P131" i="42689"/>
  <c r="P132" i="42689" s="1"/>
  <c r="H128" i="42690"/>
  <c r="H951" i="42690"/>
  <c r="K98" i="42689"/>
  <c r="K944" i="42689"/>
  <c r="K979" i="42689" s="1"/>
  <c r="K843" i="42691"/>
  <c r="K872" i="42691" s="1"/>
  <c r="K89" i="42691"/>
  <c r="K86" i="42691"/>
  <c r="K950" i="42691" s="1"/>
  <c r="K85" i="42691"/>
  <c r="O960" i="42689"/>
  <c r="O934" i="42689"/>
  <c r="O943" i="42689"/>
  <c r="O69" i="42689"/>
  <c r="O842" i="42691"/>
  <c r="O871" i="42691" s="1"/>
  <c r="O60" i="42691"/>
  <c r="O57" i="42691"/>
  <c r="O56" i="42691"/>
  <c r="G949" i="42690"/>
  <c r="G922" i="42690"/>
  <c r="G923" i="42690"/>
  <c r="J34" i="42692"/>
  <c r="J34" i="42691"/>
  <c r="J852" i="42689"/>
  <c r="J49" i="42689"/>
  <c r="J53" i="42689"/>
  <c r="J938" i="42689" s="1"/>
  <c r="J50" i="42689"/>
  <c r="J959" i="42689" s="1"/>
  <c r="E269" i="42696"/>
  <c r="E270" i="42696" s="1"/>
  <c r="G983" i="42692"/>
  <c r="G983" i="42691"/>
  <c r="G983" i="42690"/>
  <c r="G994" i="42689"/>
  <c r="G659" i="42691"/>
  <c r="F12" i="42701"/>
  <c r="F23" i="42701" s="1"/>
  <c r="F26" i="42699"/>
  <c r="F224" i="42698"/>
  <c r="J616" i="42690"/>
  <c r="J935" i="42690" s="1"/>
  <c r="K610" i="42690"/>
  <c r="M487" i="42692"/>
  <c r="M488" i="42692" s="1"/>
  <c r="M478" i="42692"/>
  <c r="P439" i="42691"/>
  <c r="P448" i="42691"/>
  <c r="P449" i="42691" s="1"/>
  <c r="H448" i="42692"/>
  <c r="H449" i="42692" s="1"/>
  <c r="H439" i="42692"/>
  <c r="Q919" i="42692"/>
  <c r="M919" i="42692"/>
  <c r="I919" i="42692"/>
  <c r="N794" i="42690"/>
  <c r="N943" i="42690"/>
  <c r="N978" i="42690" s="1"/>
  <c r="J779" i="42692"/>
  <c r="J779" i="42691"/>
  <c r="J802" i="42689"/>
  <c r="J803" i="42689" s="1"/>
  <c r="F791" i="42690"/>
  <c r="R779" i="42690"/>
  <c r="R780" i="42690" s="1"/>
  <c r="K586" i="42692"/>
  <c r="K586" i="42691"/>
  <c r="K610" i="42689"/>
  <c r="K611" i="42689" s="1"/>
  <c r="K615" i="42689" s="1"/>
  <c r="G604" i="42690"/>
  <c r="N755" i="42697"/>
  <c r="J755" i="42690"/>
  <c r="M206" i="42696"/>
  <c r="M236" i="42696" s="1"/>
  <c r="M254" i="42696"/>
  <c r="O969" i="42689"/>
  <c r="O573" i="42689"/>
  <c r="K560" i="42690"/>
  <c r="K941" i="42690"/>
  <c r="K976" i="42690" s="1"/>
  <c r="E206" i="42696"/>
  <c r="E236" i="42696" s="1"/>
  <c r="E254" i="42696"/>
  <c r="G969" i="42689"/>
  <c r="G573" i="42689"/>
  <c r="N701" i="42690"/>
  <c r="J682" i="42692"/>
  <c r="J682" i="42691"/>
  <c r="J702" i="42689"/>
  <c r="J703" i="42689" s="1"/>
  <c r="J712" i="42689" s="1"/>
  <c r="R694" i="42690"/>
  <c r="R851" i="42690"/>
  <c r="K513" i="42692"/>
  <c r="K513" i="42691"/>
  <c r="K534" i="42689"/>
  <c r="K535" i="42689" s="1"/>
  <c r="K539" i="42689" s="1"/>
  <c r="G530" i="42690"/>
  <c r="R530" i="42690" s="1"/>
  <c r="R525" i="42690"/>
  <c r="N639" i="42692"/>
  <c r="N639" i="42691"/>
  <c r="N660" i="42689"/>
  <c r="N661" i="42689" s="1"/>
  <c r="N670" i="42689" s="1"/>
  <c r="J659" i="42690"/>
  <c r="R663" i="42689"/>
  <c r="F639" i="42692"/>
  <c r="F639" i="42691"/>
  <c r="F660" i="42689"/>
  <c r="R650" i="42689"/>
  <c r="R651" i="42689" s="1"/>
  <c r="R861" i="42689"/>
  <c r="J493" i="42690"/>
  <c r="F478" i="42697"/>
  <c r="P170" i="42696"/>
  <c r="K457" i="42690"/>
  <c r="G438" i="42692"/>
  <c r="G438" i="42691"/>
  <c r="G459" i="42689"/>
  <c r="G460" i="42689" s="1"/>
  <c r="G468" i="42689" s="1"/>
  <c r="J426" i="42689"/>
  <c r="J848" i="42691"/>
  <c r="J414" i="42691"/>
  <c r="J417" i="42691"/>
  <c r="J413" i="42691"/>
  <c r="J415" i="42691" s="1"/>
  <c r="R413" i="42690"/>
  <c r="F415" i="42690"/>
  <c r="R414" i="42690"/>
  <c r="R848" i="42690"/>
  <c r="O959" i="42690"/>
  <c r="O246" i="42690"/>
  <c r="I146" i="42696"/>
  <c r="I140" i="42696"/>
  <c r="K226" i="42692"/>
  <c r="K239" i="42692" s="1"/>
  <c r="K240" i="42692" s="1"/>
  <c r="K226" i="42691"/>
  <c r="K239" i="42691" s="1"/>
  <c r="K240" i="42691" s="1"/>
  <c r="K250" i="42689"/>
  <c r="K251" i="42689" s="1"/>
  <c r="K891" i="42689"/>
  <c r="K858" i="42692"/>
  <c r="K241" i="42692"/>
  <c r="G959" i="42690"/>
  <c r="G246" i="42690"/>
  <c r="N373" i="42692"/>
  <c r="N373" i="42691"/>
  <c r="N397" i="42689"/>
  <c r="N398" i="42689" s="1"/>
  <c r="N966" i="42689"/>
  <c r="N406" i="42689"/>
  <c r="N887" i="42689"/>
  <c r="J395" i="42690"/>
  <c r="J955" i="42690"/>
  <c r="R400" i="42689"/>
  <c r="R409" i="42689"/>
  <c r="O965" i="42689"/>
  <c r="O352" i="42689"/>
  <c r="O323" i="42692"/>
  <c r="O323" i="42691"/>
  <c r="O343" i="42689"/>
  <c r="O344" i="42689" s="1"/>
  <c r="K937" i="42690"/>
  <c r="K972" i="42690" s="1"/>
  <c r="K342" i="42690"/>
  <c r="G965" i="42689"/>
  <c r="G352" i="42689"/>
  <c r="G323" i="42692"/>
  <c r="G323" i="42691"/>
  <c r="G343" i="42689"/>
  <c r="G344" i="42689" s="1"/>
  <c r="N200" i="42690"/>
  <c r="N940" i="42690"/>
  <c r="N975" i="42690" s="1"/>
  <c r="J185" i="42692"/>
  <c r="J185" i="42691"/>
  <c r="J206" i="42689"/>
  <c r="J207" i="42689" s="1"/>
  <c r="J889" i="42689"/>
  <c r="F878" i="42690"/>
  <c r="R857" i="42690"/>
  <c r="R878" i="42690" s="1"/>
  <c r="F202" i="42690"/>
  <c r="R197" i="42690"/>
  <c r="F957" i="42690"/>
  <c r="F185" i="42692"/>
  <c r="F185" i="42691"/>
  <c r="F206" i="42689"/>
  <c r="R196" i="42689"/>
  <c r="F889" i="42689"/>
  <c r="R868" i="42689"/>
  <c r="O953" i="42690"/>
  <c r="O299" i="42690"/>
  <c r="I142" i="42696"/>
  <c r="I143" i="42696"/>
  <c r="I141" i="42696"/>
  <c r="K280" i="42692"/>
  <c r="K280" i="42691"/>
  <c r="K301" i="42689"/>
  <c r="K302" i="42689" s="1"/>
  <c r="G953" i="42690"/>
  <c r="G299" i="42690"/>
  <c r="N167" i="42690"/>
  <c r="N956" i="42690"/>
  <c r="J150" i="42697"/>
  <c r="H204" i="42696"/>
  <c r="H234" i="42696" s="1"/>
  <c r="H252" i="42696"/>
  <c r="J149" i="42692"/>
  <c r="J159" i="42692" s="1"/>
  <c r="J160" i="42692" s="1"/>
  <c r="J149" i="42691"/>
  <c r="J159" i="42691" s="1"/>
  <c r="J160" i="42691" s="1"/>
  <c r="J170" i="42689"/>
  <c r="J171" i="42689" s="1"/>
  <c r="J888" i="42689"/>
  <c r="J875" i="42689"/>
  <c r="J856" i="42692"/>
  <c r="J161" i="42692"/>
  <c r="J162" i="42692"/>
  <c r="F167" i="42690"/>
  <c r="F956" i="42690"/>
  <c r="R161" i="42690"/>
  <c r="R162" i="42690"/>
  <c r="F149" i="42692"/>
  <c r="F149" i="42691"/>
  <c r="R160" i="42689"/>
  <c r="F170" i="42689"/>
  <c r="F888" i="42689"/>
  <c r="F875" i="42689"/>
  <c r="R867" i="42689"/>
  <c r="F856" i="42692"/>
  <c r="F161" i="42692"/>
  <c r="R150" i="42692"/>
  <c r="F162" i="42692"/>
  <c r="O129" i="42690"/>
  <c r="O934" i="42690"/>
  <c r="O969" i="42690" s="1"/>
  <c r="K110" i="42692"/>
  <c r="K110" i="42691"/>
  <c r="K131" i="42689"/>
  <c r="K132" i="42689" s="1"/>
  <c r="G129" i="42690"/>
  <c r="G934" i="42690"/>
  <c r="G969" i="42690" s="1"/>
  <c r="N843" i="42692"/>
  <c r="N872" i="42692" s="1"/>
  <c r="N85" i="42692"/>
  <c r="N86" i="42692"/>
  <c r="N950" i="42692" s="1"/>
  <c r="N89" i="42692"/>
  <c r="J933" i="42690"/>
  <c r="J968" i="42690" s="1"/>
  <c r="J87" i="42690"/>
  <c r="D93" i="42696"/>
  <c r="P62" i="42696"/>
  <c r="F961" i="42689"/>
  <c r="R961" i="42689" s="1"/>
  <c r="R97" i="42689"/>
  <c r="F883" i="42689"/>
  <c r="R854" i="42689"/>
  <c r="F843" i="42692"/>
  <c r="F85" i="42692"/>
  <c r="R81" i="42692"/>
  <c r="F86" i="42692"/>
  <c r="F89" i="42692"/>
  <c r="P842" i="42697"/>
  <c r="P871" i="42697" s="1"/>
  <c r="P57" i="42697"/>
  <c r="P56" i="42697"/>
  <c r="P60" i="42697"/>
  <c r="P960" i="42689"/>
  <c r="P934" i="42689"/>
  <c r="P842" i="42692"/>
  <c r="P871" i="42692" s="1"/>
  <c r="P60" i="42692"/>
  <c r="P57" i="42692"/>
  <c r="P56" i="42692"/>
  <c r="L923" i="42690"/>
  <c r="L949" i="42690"/>
  <c r="H842" i="42697"/>
  <c r="H871" i="42697" s="1"/>
  <c r="H57" i="42697"/>
  <c r="H56" i="42697"/>
  <c r="H60" i="42697"/>
  <c r="H933" i="42689"/>
  <c r="H960" i="42689"/>
  <c r="H934" i="42689"/>
  <c r="H842" i="42692"/>
  <c r="H871" i="42692" s="1"/>
  <c r="H60" i="42692"/>
  <c r="H57" i="42692"/>
  <c r="H56" i="42692"/>
  <c r="N145" i="42696"/>
  <c r="N139" i="42696"/>
  <c r="N153" i="42696" s="1"/>
  <c r="N137" i="42696"/>
  <c r="N127" i="42696"/>
  <c r="N128" i="42696" s="1"/>
  <c r="N144" i="42696"/>
  <c r="N138" i="42696"/>
  <c r="N152" i="42696" s="1"/>
  <c r="J145" i="42696"/>
  <c r="J139" i="42696"/>
  <c r="J153" i="42696" s="1"/>
  <c r="J137" i="42696"/>
  <c r="J127" i="42696"/>
  <c r="J128" i="42696" s="1"/>
  <c r="J144" i="42696"/>
  <c r="J138" i="42696"/>
  <c r="J152" i="42696" s="1"/>
  <c r="F145" i="42696"/>
  <c r="F139" i="42696"/>
  <c r="F153" i="42696" s="1"/>
  <c r="F137" i="42696"/>
  <c r="F127" i="42696"/>
  <c r="F128" i="42696" s="1"/>
  <c r="F144" i="42696"/>
  <c r="F138" i="42696"/>
  <c r="F152" i="42696" s="1"/>
  <c r="M841" i="42690"/>
  <c r="M42" i="42690"/>
  <c r="M38" i="42690"/>
  <c r="M39" i="42690"/>
  <c r="M948" i="42690" s="1"/>
  <c r="N269" i="42696"/>
  <c r="N270" i="42696" s="1"/>
  <c r="P983" i="42692"/>
  <c r="P983" i="42691"/>
  <c r="P983" i="42690"/>
  <c r="P994" i="42689"/>
  <c r="F269" i="42696"/>
  <c r="F270" i="42696" s="1"/>
  <c r="H983" i="42692"/>
  <c r="H983" i="42691"/>
  <c r="H983" i="42690"/>
  <c r="H994" i="42689"/>
  <c r="M174" i="42696"/>
  <c r="M965" i="42690"/>
  <c r="M965" i="42692"/>
  <c r="E174" i="42696"/>
  <c r="J246" i="42690"/>
  <c r="J959" i="42690"/>
  <c r="O966" i="42689"/>
  <c r="O406" i="42689"/>
  <c r="O373" i="42692"/>
  <c r="O373" i="42691"/>
  <c r="O397" i="42689"/>
  <c r="O398" i="42689" s="1"/>
  <c r="G955" i="42690"/>
  <c r="G395" i="42690"/>
  <c r="L323" i="42692"/>
  <c r="L323" i="42691"/>
  <c r="L343" i="42689"/>
  <c r="L344" i="42689" s="1"/>
  <c r="L965" i="42689"/>
  <c r="L352" i="42689"/>
  <c r="Q957" i="42690"/>
  <c r="Q202" i="42690"/>
  <c r="I185" i="42692"/>
  <c r="I185" i="42691"/>
  <c r="I206" i="42689"/>
  <c r="I207" i="42689" s="1"/>
  <c r="J299" i="42690"/>
  <c r="J953" i="42690"/>
  <c r="J874" i="42690"/>
  <c r="Q150" i="42697"/>
  <c r="O204" i="42696"/>
  <c r="O234" i="42696" s="1"/>
  <c r="O252" i="42696"/>
  <c r="Q856" i="42691"/>
  <c r="Q161" i="42691"/>
  <c r="Q162" i="42691"/>
  <c r="Q856" i="42692"/>
  <c r="Q162" i="42692"/>
  <c r="Q161" i="42692"/>
  <c r="I956" i="42690"/>
  <c r="I167" i="42690"/>
  <c r="J962" i="42689"/>
  <c r="J139" i="42689"/>
  <c r="Q87" i="42690"/>
  <c r="Q933" i="42690"/>
  <c r="Q968" i="42690" s="1"/>
  <c r="I843" i="42692"/>
  <c r="I872" i="42692" s="1"/>
  <c r="I85" i="42692"/>
  <c r="I86" i="42692"/>
  <c r="I950" i="42692" s="1"/>
  <c r="I89" i="42692"/>
  <c r="M932" i="42690"/>
  <c r="M967" i="42690" s="1"/>
  <c r="M58" i="42690"/>
  <c r="I114" i="42696"/>
  <c r="H38" i="42690"/>
  <c r="H841" i="42690"/>
  <c r="H42" i="42690"/>
  <c r="H39" i="42690"/>
  <c r="H948" i="42690" s="1"/>
  <c r="F965" i="42692"/>
  <c r="R930" i="42692"/>
  <c r="S930" i="42697" s="1"/>
  <c r="O965" i="42691"/>
  <c r="Q649" i="42692"/>
  <c r="Q650" i="42692" s="1"/>
  <c r="Q640" i="42692"/>
  <c r="M649" i="42691"/>
  <c r="M650" i="42691" s="1"/>
  <c r="M640" i="42691"/>
  <c r="I649" i="42692"/>
  <c r="I650" i="42692" s="1"/>
  <c r="I640" i="42692"/>
  <c r="H523" i="42691"/>
  <c r="H524" i="42691" s="1"/>
  <c r="H514" i="42691"/>
  <c r="K415" i="42692"/>
  <c r="K415" i="42691"/>
  <c r="N919" i="42691"/>
  <c r="R905" i="42691"/>
  <c r="R990" i="42691" s="1"/>
  <c r="N976" i="42689"/>
  <c r="J976" i="42689"/>
  <c r="R958" i="42689"/>
  <c r="N604" i="42690"/>
  <c r="J586" i="42692"/>
  <c r="J586" i="42691"/>
  <c r="J610" i="42689"/>
  <c r="J611" i="42689" s="1"/>
  <c r="J615" i="42689" s="1"/>
  <c r="F606" i="42690"/>
  <c r="R606" i="42690" s="1"/>
  <c r="R601" i="42690"/>
  <c r="K755" i="42697"/>
  <c r="G755" i="42690"/>
  <c r="L206" i="42696"/>
  <c r="L236" i="42696" s="1"/>
  <c r="L254" i="42696"/>
  <c r="N546" i="42692"/>
  <c r="N546" i="42691"/>
  <c r="N566" i="42689"/>
  <c r="N567" i="42689" s="1"/>
  <c r="F861" i="42697"/>
  <c r="F557" i="42697"/>
  <c r="F546" i="42697"/>
  <c r="F969" i="42689"/>
  <c r="F573" i="42689"/>
  <c r="R568" i="42689"/>
  <c r="O682" i="42692"/>
  <c r="O682" i="42691"/>
  <c r="O702" i="42689"/>
  <c r="O703" i="42689" s="1"/>
  <c r="O712" i="42689" s="1"/>
  <c r="G701" i="42697"/>
  <c r="P528" i="42690"/>
  <c r="L513" i="42692"/>
  <c r="L513" i="42691"/>
  <c r="L534" i="42689"/>
  <c r="L535" i="42689" s="1"/>
  <c r="L539" i="42689" s="1"/>
  <c r="R523" i="42690"/>
  <c r="F524" i="42690"/>
  <c r="J146" i="42696"/>
  <c r="J140" i="42696"/>
  <c r="L226" i="42692"/>
  <c r="L239" i="42692" s="1"/>
  <c r="L240" i="42692" s="1"/>
  <c r="L226" i="42691"/>
  <c r="L239" i="42691" s="1"/>
  <c r="L240" i="42691" s="1"/>
  <c r="L250" i="42689"/>
  <c r="L251" i="42689" s="1"/>
  <c r="L891" i="42689"/>
  <c r="L858" i="42692"/>
  <c r="L241" i="42692"/>
  <c r="Q955" i="42690"/>
  <c r="Q395" i="42690"/>
  <c r="I966" i="42689"/>
  <c r="I406" i="42689"/>
  <c r="I373" i="42692"/>
  <c r="I373" i="42691"/>
  <c r="I397" i="42689"/>
  <c r="I398" i="42689" s="1"/>
  <c r="I887" i="42689"/>
  <c r="J341" i="42690"/>
  <c r="J954" i="42690"/>
  <c r="O185" i="42692"/>
  <c r="O185" i="42691"/>
  <c r="O206" i="42689"/>
  <c r="O207" i="42689" s="1"/>
  <c r="G957" i="42690"/>
  <c r="G202" i="42690"/>
  <c r="J143" i="42696"/>
  <c r="J141" i="42696"/>
  <c r="J142" i="42696"/>
  <c r="L964" i="42689"/>
  <c r="L310" i="42689"/>
  <c r="O956" i="42690"/>
  <c r="O167" i="42690"/>
  <c r="G149" i="42692"/>
  <c r="G159" i="42692" s="1"/>
  <c r="G160" i="42692" s="1"/>
  <c r="G149" i="42691"/>
  <c r="G159" i="42691" s="1"/>
  <c r="G160" i="42691" s="1"/>
  <c r="G170" i="42689"/>
  <c r="G171" i="42689" s="1"/>
  <c r="G967" i="42689"/>
  <c r="G178" i="42689"/>
  <c r="G888" i="42689"/>
  <c r="G875" i="42689"/>
  <c r="L128" i="42690"/>
  <c r="L951" i="42690"/>
  <c r="O98" i="42689"/>
  <c r="O944" i="42689"/>
  <c r="O979" i="42689" s="1"/>
  <c r="O843" i="42691"/>
  <c r="O872" i="42691" s="1"/>
  <c r="O89" i="42691"/>
  <c r="O86" i="42691"/>
  <c r="O950" i="42691" s="1"/>
  <c r="O85" i="42691"/>
  <c r="K932" i="42690"/>
  <c r="K967" i="42690" s="1"/>
  <c r="K58" i="42690"/>
  <c r="N38" i="42690"/>
  <c r="N841" i="42690"/>
  <c r="N42" i="42690"/>
  <c r="N927" i="42690" s="1"/>
  <c r="N39" i="42690"/>
  <c r="N948" i="42690" s="1"/>
  <c r="N174" i="42696"/>
  <c r="L965" i="42692"/>
  <c r="R25" i="42701"/>
  <c r="U28" i="42699"/>
  <c r="AD28" i="42699" s="1"/>
  <c r="P791" i="42691"/>
  <c r="P792" i="42691" s="1"/>
  <c r="P780" i="42691"/>
  <c r="P863" i="42691" s="1"/>
  <c r="P881" i="42691" s="1"/>
  <c r="I938" i="42690"/>
  <c r="I973" i="42690" s="1"/>
  <c r="I396" i="42690"/>
  <c r="G968" i="42689"/>
  <c r="G213" i="42689"/>
  <c r="L936" i="42690"/>
  <c r="L971" i="42690" s="1"/>
  <c r="L300" i="42690"/>
  <c r="L110" i="42692"/>
  <c r="L110" i="42691"/>
  <c r="L131" i="42689"/>
  <c r="L132" i="42689" s="1"/>
  <c r="K960" i="42689"/>
  <c r="K934" i="42689"/>
  <c r="K933" i="42689"/>
  <c r="K943" i="42689"/>
  <c r="K69" i="42689"/>
  <c r="K842" i="42691"/>
  <c r="K871" i="42691" s="1"/>
  <c r="K60" i="42691"/>
  <c r="K57" i="42691"/>
  <c r="K56" i="42691"/>
  <c r="K144" i="42696"/>
  <c r="K138" i="42696"/>
  <c r="K152" i="42696" s="1"/>
  <c r="K145" i="42696"/>
  <c r="K139" i="42696"/>
  <c r="K153" i="42696" s="1"/>
  <c r="K137" i="42696"/>
  <c r="K127" i="42696"/>
  <c r="K128" i="42696" s="1"/>
  <c r="Y12" i="42699"/>
  <c r="D704" i="42698"/>
  <c r="F251" i="42698"/>
  <c r="F431" i="42698"/>
  <c r="F447" i="42698" s="1"/>
  <c r="F448" i="42698" s="1"/>
  <c r="L118" i="42697"/>
  <c r="J926" i="42692"/>
  <c r="K926" i="42691"/>
  <c r="Q919" i="42691"/>
  <c r="I919" i="42691"/>
  <c r="K478" i="42691"/>
  <c r="K487" i="42691"/>
  <c r="K488" i="42691" s="1"/>
  <c r="N448" i="42692"/>
  <c r="N449" i="42692" s="1"/>
  <c r="N439" i="42692"/>
  <c r="R449" i="42689"/>
  <c r="R450" i="42689" s="1"/>
  <c r="R438" i="42691"/>
  <c r="R439" i="42691" s="1"/>
  <c r="F448" i="42691"/>
  <c r="F439" i="42691"/>
  <c r="O919" i="42692"/>
  <c r="K919" i="42692"/>
  <c r="G919" i="42692"/>
  <c r="L779" i="42692"/>
  <c r="L779" i="42691"/>
  <c r="L802" i="42689"/>
  <c r="L803" i="42689" s="1"/>
  <c r="H794" i="42690"/>
  <c r="H943" i="42690"/>
  <c r="H978" i="42690" s="1"/>
  <c r="Q586" i="42692"/>
  <c r="Q586" i="42691"/>
  <c r="Q610" i="42689"/>
  <c r="Q611" i="42689" s="1"/>
  <c r="Q615" i="42689" s="1"/>
  <c r="M604" i="42690"/>
  <c r="I604" i="42697"/>
  <c r="P755" i="42690"/>
  <c r="L732" i="42692"/>
  <c r="L732" i="42691"/>
  <c r="L756" i="42689"/>
  <c r="L757" i="42689" s="1"/>
  <c r="L766" i="42689" s="1"/>
  <c r="Q861" i="42697"/>
  <c r="Q879" i="42697" s="1"/>
  <c r="Q546" i="42697"/>
  <c r="Q555" i="42697" s="1"/>
  <c r="Q556" i="42697" s="1"/>
  <c r="Q557" i="42697"/>
  <c r="Q546" i="42692"/>
  <c r="Q546" i="42691"/>
  <c r="Q566" i="42689"/>
  <c r="Q567" i="42689" s="1"/>
  <c r="M958" i="42690"/>
  <c r="M562" i="42690"/>
  <c r="I861" i="42697"/>
  <c r="I879" i="42697" s="1"/>
  <c r="I546" i="42697"/>
  <c r="I555" i="42697" s="1"/>
  <c r="I556" i="42697" s="1"/>
  <c r="I557" i="42697"/>
  <c r="I546" i="42692"/>
  <c r="I546" i="42691"/>
  <c r="I566" i="42689"/>
  <c r="I567" i="42689" s="1"/>
  <c r="L701" i="42697"/>
  <c r="H701" i="42690"/>
  <c r="Q513" i="42692"/>
  <c r="Q513" i="42691"/>
  <c r="Q534" i="42689"/>
  <c r="Q535" i="42689" s="1"/>
  <c r="Q539" i="42689" s="1"/>
  <c r="I513" i="42692"/>
  <c r="I513" i="42691"/>
  <c r="I534" i="42689"/>
  <c r="I535" i="42689" s="1"/>
  <c r="I539" i="42689" s="1"/>
  <c r="P659" i="42690"/>
  <c r="L639" i="42692"/>
  <c r="L639" i="42691"/>
  <c r="L660" i="42689"/>
  <c r="L661" i="42689" s="1"/>
  <c r="L670" i="42689" s="1"/>
  <c r="H659" i="42690"/>
  <c r="P493" i="42697"/>
  <c r="P477" i="42692"/>
  <c r="P477" i="42691"/>
  <c r="P498" i="42689"/>
  <c r="P499" i="42689" s="1"/>
  <c r="P504" i="42689" s="1"/>
  <c r="H493" i="42697"/>
  <c r="H477" i="42692"/>
  <c r="H477" i="42691"/>
  <c r="H498" i="42689"/>
  <c r="H499" i="42689" s="1"/>
  <c r="H504" i="42689" s="1"/>
  <c r="P426" i="42689"/>
  <c r="P848" i="42691"/>
  <c r="P414" i="42691"/>
  <c r="P417" i="42691"/>
  <c r="P413" i="42691"/>
  <c r="P415" i="42691" s="1"/>
  <c r="H426" i="42689"/>
  <c r="H848" i="42691"/>
  <c r="H414" i="42691"/>
  <c r="H417" i="42691"/>
  <c r="H413" i="42691"/>
  <c r="H415" i="42691" s="1"/>
  <c r="M942" i="42690"/>
  <c r="M977" i="42690" s="1"/>
  <c r="M244" i="42690"/>
  <c r="M880" i="42690"/>
  <c r="I970" i="42689"/>
  <c r="I257" i="42689"/>
  <c r="I858" i="42691"/>
  <c r="I241" i="42691"/>
  <c r="P938" i="42690"/>
  <c r="P973" i="42690" s="1"/>
  <c r="P396" i="42690"/>
  <c r="P876" i="42690"/>
  <c r="H938" i="42690"/>
  <c r="H973" i="42690" s="1"/>
  <c r="H396" i="42690"/>
  <c r="H876" i="42690"/>
  <c r="M954" i="42690"/>
  <c r="M341" i="42690"/>
  <c r="M875" i="42690"/>
  <c r="P878" i="42690"/>
  <c r="P202" i="42690"/>
  <c r="P957" i="42690"/>
  <c r="L186" i="42697"/>
  <c r="J205" i="42696"/>
  <c r="J235" i="42696" s="1"/>
  <c r="J253" i="42696"/>
  <c r="L968" i="42689"/>
  <c r="L213" i="42689"/>
  <c r="H202" i="42690"/>
  <c r="H957" i="42690"/>
  <c r="Q964" i="42689"/>
  <c r="Q310" i="42689"/>
  <c r="M300" i="42690"/>
  <c r="M936" i="42690"/>
  <c r="M971" i="42690" s="1"/>
  <c r="I964" i="42689"/>
  <c r="I310" i="42689"/>
  <c r="P167" i="42690"/>
  <c r="P956" i="42690"/>
  <c r="L150" i="42697"/>
  <c r="J204" i="42696"/>
  <c r="J234" i="42696" s="1"/>
  <c r="J252" i="42696"/>
  <c r="L149" i="42692"/>
  <c r="L159" i="42692" s="1"/>
  <c r="L160" i="42692" s="1"/>
  <c r="L149" i="42691"/>
  <c r="L159" i="42691" s="1"/>
  <c r="L160" i="42691" s="1"/>
  <c r="L170" i="42689"/>
  <c r="L171" i="42689" s="1"/>
  <c r="L888" i="42689"/>
  <c r="L875" i="42689"/>
  <c r="L856" i="42692"/>
  <c r="L161" i="42692"/>
  <c r="L162" i="42692"/>
  <c r="H165" i="42690"/>
  <c r="H939" i="42690"/>
  <c r="H974" i="42690" s="1"/>
  <c r="H877" i="42690"/>
  <c r="H864" i="42690"/>
  <c r="Q110" i="42692"/>
  <c r="Q110" i="42691"/>
  <c r="Q131" i="42689"/>
  <c r="Q132" i="42689" s="1"/>
  <c r="Q884" i="42689"/>
  <c r="M951" i="42690"/>
  <c r="M128" i="42690"/>
  <c r="M129" i="42690"/>
  <c r="M934" i="42690"/>
  <c r="I110" i="42692"/>
  <c r="I110" i="42691"/>
  <c r="I131" i="42689"/>
  <c r="I132" i="42689" s="1"/>
  <c r="I884" i="42689"/>
  <c r="P87" i="42690"/>
  <c r="P933" i="42690"/>
  <c r="P968" i="42690" s="1"/>
  <c r="L883" i="42689"/>
  <c r="L843" i="42692"/>
  <c r="L872" i="42692" s="1"/>
  <c r="L85" i="42692"/>
  <c r="L86" i="42692"/>
  <c r="L950" i="42692" s="1"/>
  <c r="L89" i="42692"/>
  <c r="H87" i="42690"/>
  <c r="H933" i="42690"/>
  <c r="H968" i="42690" s="1"/>
  <c r="N842" i="42697"/>
  <c r="N871" i="42697" s="1"/>
  <c r="N56" i="42697"/>
  <c r="N60" i="42697"/>
  <c r="N57" i="42697"/>
  <c r="N933" i="42689"/>
  <c r="N960" i="42689"/>
  <c r="N934" i="42689"/>
  <c r="N842" i="42692"/>
  <c r="N871" i="42692" s="1"/>
  <c r="N60" i="42692"/>
  <c r="N57" i="42692"/>
  <c r="N56" i="42692"/>
  <c r="F52" i="42697"/>
  <c r="P164" i="42696"/>
  <c r="D251" i="42696"/>
  <c r="P251" i="42696" s="1"/>
  <c r="P61" i="42696"/>
  <c r="D92" i="42696"/>
  <c r="O34" i="42692"/>
  <c r="O34" i="42691"/>
  <c r="O852" i="42689"/>
  <c r="O53" i="42689"/>
  <c r="O938" i="42689" s="1"/>
  <c r="O50" i="42689"/>
  <c r="O959" i="42689" s="1"/>
  <c r="O972" i="42689" s="1"/>
  <c r="O49" i="42689"/>
  <c r="G34" i="42692"/>
  <c r="G34" i="42691"/>
  <c r="G852" i="42689"/>
  <c r="G53" i="42689"/>
  <c r="G938" i="42689" s="1"/>
  <c r="G50" i="42689"/>
  <c r="G959" i="42689" s="1"/>
  <c r="G49" i="42689"/>
  <c r="N942" i="42690"/>
  <c r="N977" i="42690" s="1"/>
  <c r="N244" i="42690"/>
  <c r="N880" i="42690"/>
  <c r="D95" i="42696"/>
  <c r="P67" i="42696"/>
  <c r="P342" i="42690"/>
  <c r="P937" i="42690"/>
  <c r="P972" i="42690" s="1"/>
  <c r="P875" i="42690"/>
  <c r="M940" i="42690"/>
  <c r="M975" i="42690" s="1"/>
  <c r="M200" i="42690"/>
  <c r="M878" i="42690"/>
  <c r="N280" i="42692"/>
  <c r="N280" i="42691"/>
  <c r="N301" i="42689"/>
  <c r="N302" i="42689" s="1"/>
  <c r="R302" i="42690"/>
  <c r="R293" i="42690"/>
  <c r="F290" i="42690"/>
  <c r="R280" i="42690"/>
  <c r="R281" i="42690" s="1"/>
  <c r="F280" i="42692"/>
  <c r="F280" i="42691"/>
  <c r="F301" i="42689"/>
  <c r="R291" i="42689"/>
  <c r="R292" i="42689" s="1"/>
  <c r="R313" i="42689"/>
  <c r="M939" i="42690"/>
  <c r="M974" i="42690" s="1"/>
  <c r="M165" i="42690"/>
  <c r="M877" i="42690"/>
  <c r="M864" i="42690"/>
  <c r="N110" i="42692"/>
  <c r="N110" i="42691"/>
  <c r="N131" i="42689"/>
  <c r="N132" i="42689" s="1"/>
  <c r="R131" i="42690"/>
  <c r="F128" i="42690"/>
  <c r="F951" i="42690"/>
  <c r="R122" i="42690"/>
  <c r="R128" i="42690" s="1"/>
  <c r="M87" i="42690"/>
  <c r="M933" i="42690"/>
  <c r="M968" i="42690" s="1"/>
  <c r="Q842" i="42697"/>
  <c r="Q871" i="42697" s="1"/>
  <c r="Q57" i="42697"/>
  <c r="Q56" i="42697"/>
  <c r="Q60" i="42697"/>
  <c r="Q842" i="42692"/>
  <c r="Q871" i="42692" s="1"/>
  <c r="Q56" i="42692"/>
  <c r="Q60" i="42692"/>
  <c r="Q57" i="42692"/>
  <c r="I932" i="42690"/>
  <c r="I967" i="42690" s="1"/>
  <c r="I58" i="42690"/>
  <c r="L38" i="42690"/>
  <c r="L841" i="42690"/>
  <c r="L42" i="42690"/>
  <c r="L39" i="42690"/>
  <c r="L948" i="42690" s="1"/>
  <c r="L174" i="42696"/>
  <c r="J965" i="42692"/>
  <c r="F869" i="42691"/>
  <c r="R840" i="42691"/>
  <c r="D174" i="42696"/>
  <c r="Q965" i="42691"/>
  <c r="L937" i="42689"/>
  <c r="K926" i="42690"/>
  <c r="O649" i="42692"/>
  <c r="O650" i="42692" s="1"/>
  <c r="O640" i="42692"/>
  <c r="K649" i="42691"/>
  <c r="K650" i="42691" s="1"/>
  <c r="K640" i="42691"/>
  <c r="F535" i="42689"/>
  <c r="F514" i="42691"/>
  <c r="F523" i="42691"/>
  <c r="O415" i="42692"/>
  <c r="G415" i="42692"/>
  <c r="Q779" i="42692"/>
  <c r="Q779" i="42691"/>
  <c r="Q802" i="42689"/>
  <c r="Q803" i="42689" s="1"/>
  <c r="M794" i="42690"/>
  <c r="M943" i="42690"/>
  <c r="M978" i="42690" s="1"/>
  <c r="I779" i="42692"/>
  <c r="I779" i="42691"/>
  <c r="I802" i="42689"/>
  <c r="I803" i="42689" s="1"/>
  <c r="P586" i="42692"/>
  <c r="P586" i="42691"/>
  <c r="P610" i="42689"/>
  <c r="P611" i="42689" s="1"/>
  <c r="P615" i="42689" s="1"/>
  <c r="M732" i="42692"/>
  <c r="M732" i="42691"/>
  <c r="M756" i="42689"/>
  <c r="M757" i="42689" s="1"/>
  <c r="M766" i="42689" s="1"/>
  <c r="P861" i="42697"/>
  <c r="P879" i="42697" s="1"/>
  <c r="P557" i="42697"/>
  <c r="P546" i="42697"/>
  <c r="P555" i="42697" s="1"/>
  <c r="P556" i="42697" s="1"/>
  <c r="P969" i="42689"/>
  <c r="P573" i="42689"/>
  <c r="L941" i="42690"/>
  <c r="L560" i="42690"/>
  <c r="L562" i="42690"/>
  <c r="L958" i="42690"/>
  <c r="H861" i="42697"/>
  <c r="H879" i="42697" s="1"/>
  <c r="H557" i="42697"/>
  <c r="H546" i="42697"/>
  <c r="H555" i="42697" s="1"/>
  <c r="H556" i="42697" s="1"/>
  <c r="H969" i="42689"/>
  <c r="H573" i="42689"/>
  <c r="M701" i="42697"/>
  <c r="N513" i="42692"/>
  <c r="N513" i="42691"/>
  <c r="N534" i="42689"/>
  <c r="N535" i="42689" s="1"/>
  <c r="N539" i="42689" s="1"/>
  <c r="F860" i="42697"/>
  <c r="R860" i="42697" s="1"/>
  <c r="F513" i="42697"/>
  <c r="R514" i="42697"/>
  <c r="F372" i="42698" s="1"/>
  <c r="F547" i="42698" s="1"/>
  <c r="F525" i="42697"/>
  <c r="D112" i="42696"/>
  <c r="P100" i="42696"/>
  <c r="P970" i="42689"/>
  <c r="P257" i="42689"/>
  <c r="P858" i="42691"/>
  <c r="P241" i="42691"/>
  <c r="H244" i="42690"/>
  <c r="H942" i="42690"/>
  <c r="H977" i="42690" s="1"/>
  <c r="H880" i="42690"/>
  <c r="N342" i="42690"/>
  <c r="N937" i="42690"/>
  <c r="N972" i="42690" s="1"/>
  <c r="N875" i="42690"/>
  <c r="D97" i="42696"/>
  <c r="P69" i="42696"/>
  <c r="F323" i="42692"/>
  <c r="F323" i="42691"/>
  <c r="F343" i="42689"/>
  <c r="R334" i="42689"/>
  <c r="R335" i="42689" s="1"/>
  <c r="F965" i="42689"/>
  <c r="F352" i="42689"/>
  <c r="R345" i="42689"/>
  <c r="R352" i="42689" s="1"/>
  <c r="F886" i="42689"/>
  <c r="R886" i="42689" s="1"/>
  <c r="R857" i="42689"/>
  <c r="K186" i="42697"/>
  <c r="I205" i="42696"/>
  <c r="I235" i="42696" s="1"/>
  <c r="I253" i="42696"/>
  <c r="K968" i="42689"/>
  <c r="K213" i="42689"/>
  <c r="P936" i="42690"/>
  <c r="P971" i="42690" s="1"/>
  <c r="P300" i="42690"/>
  <c r="H280" i="42692"/>
  <c r="H280" i="42691"/>
  <c r="H301" i="42689"/>
  <c r="H302" i="42689" s="1"/>
  <c r="K150" i="42697"/>
  <c r="I204" i="42696"/>
  <c r="I234" i="42696" s="1"/>
  <c r="I252" i="42696"/>
  <c r="K856" i="42691"/>
  <c r="K161" i="42691"/>
  <c r="K162" i="42691"/>
  <c r="K856" i="42692"/>
  <c r="K162" i="42692"/>
  <c r="K161" i="42692"/>
  <c r="P934" i="42690"/>
  <c r="P969" i="42690" s="1"/>
  <c r="P129" i="42690"/>
  <c r="H962" i="42689"/>
  <c r="H139" i="42689"/>
  <c r="K87" i="42690"/>
  <c r="K933" i="42690"/>
  <c r="K968" i="42690" s="1"/>
  <c r="O932" i="42690"/>
  <c r="O967" i="42690" s="1"/>
  <c r="O58" i="42690"/>
  <c r="G842" i="42697"/>
  <c r="G871" i="42697" s="1"/>
  <c r="G56" i="42697"/>
  <c r="G60" i="42697"/>
  <c r="G57" i="42697"/>
  <c r="G842" i="42692"/>
  <c r="G871" i="42692" s="1"/>
  <c r="G56" i="42692"/>
  <c r="G60" i="42692"/>
  <c r="G57" i="42692"/>
  <c r="O114" i="42696"/>
  <c r="G114" i="42696"/>
  <c r="R536" i="42689"/>
  <c r="G850" i="42692"/>
  <c r="G661" i="42692"/>
  <c r="G652" i="42692"/>
  <c r="G651" i="42692"/>
  <c r="G658" i="42692" s="1"/>
  <c r="Q246" i="42692"/>
  <c r="Q244" i="42691"/>
  <c r="F252" i="42698"/>
  <c r="F179" i="42698"/>
  <c r="F636" i="42698"/>
  <c r="F49" i="42698"/>
  <c r="S947" i="42697"/>
  <c r="Q487" i="42692"/>
  <c r="Q488" i="42692" s="1"/>
  <c r="Q478" i="42692"/>
  <c r="I487" i="42691"/>
  <c r="I488" i="42691" s="1"/>
  <c r="I478" i="42691"/>
  <c r="L448" i="42692"/>
  <c r="L449" i="42692" s="1"/>
  <c r="L439" i="42692"/>
  <c r="N779" i="42692"/>
  <c r="N779" i="42691"/>
  <c r="N802" i="42689"/>
  <c r="N803" i="42689" s="1"/>
  <c r="J794" i="42690"/>
  <c r="J943" i="42690"/>
  <c r="J978" i="42690" s="1"/>
  <c r="D101" i="42696"/>
  <c r="P72" i="42696"/>
  <c r="R874" i="42689"/>
  <c r="F892" i="42689"/>
  <c r="R892" i="42689" s="1"/>
  <c r="G586" i="42692"/>
  <c r="G586" i="42691"/>
  <c r="G610" i="42689"/>
  <c r="G611" i="42689" s="1"/>
  <c r="G615" i="42689" s="1"/>
  <c r="J755" i="42697"/>
  <c r="R757" i="42690"/>
  <c r="R732" i="42690"/>
  <c r="R733" i="42690" s="1"/>
  <c r="F745" i="42690"/>
  <c r="R768" i="42689"/>
  <c r="F765" i="42689"/>
  <c r="R758" i="42689"/>
  <c r="R765" i="42689" s="1"/>
  <c r="R863" i="42689"/>
  <c r="O941" i="42690"/>
  <c r="O976" i="42690" s="1"/>
  <c r="O560" i="42690"/>
  <c r="I206" i="42696"/>
  <c r="I236" i="42696" s="1"/>
  <c r="I254" i="42696"/>
  <c r="K969" i="42689"/>
  <c r="K573" i="42689"/>
  <c r="G941" i="42690"/>
  <c r="G976" i="42690" s="1"/>
  <c r="G560" i="42690"/>
  <c r="N682" i="42692"/>
  <c r="N682" i="42691"/>
  <c r="N702" i="42689"/>
  <c r="N703" i="42689" s="1"/>
  <c r="N712" i="42689" s="1"/>
  <c r="F683" i="42697"/>
  <c r="P168" i="42696"/>
  <c r="R705" i="42689"/>
  <c r="F682" i="42692"/>
  <c r="F682" i="42691"/>
  <c r="R693" i="42689"/>
  <c r="R694" i="42689" s="1"/>
  <c r="F702" i="42689"/>
  <c r="O528" i="42697"/>
  <c r="O513" i="42692"/>
  <c r="O513" i="42691"/>
  <c r="O534" i="42689"/>
  <c r="O535" i="42689" s="1"/>
  <c r="O539" i="42689" s="1"/>
  <c r="G528" i="42697"/>
  <c r="G513" i="42692"/>
  <c r="G513" i="42691"/>
  <c r="G534" i="42689"/>
  <c r="G535" i="42689" s="1"/>
  <c r="G539" i="42689" s="1"/>
  <c r="J639" i="42692"/>
  <c r="J639" i="42691"/>
  <c r="J660" i="42689"/>
  <c r="J661" i="42689" s="1"/>
  <c r="J670" i="42689" s="1"/>
  <c r="R661" i="42690"/>
  <c r="F649" i="42690"/>
  <c r="R639" i="42690"/>
  <c r="R640" i="42690" s="1"/>
  <c r="J493" i="42697"/>
  <c r="J477" i="42692"/>
  <c r="J477" i="42691"/>
  <c r="J498" i="42689"/>
  <c r="J499" i="42689" s="1"/>
  <c r="J504" i="42689" s="1"/>
  <c r="R490" i="42690"/>
  <c r="R477" i="42690"/>
  <c r="F487" i="42690"/>
  <c r="F506" i="42689"/>
  <c r="R506" i="42689" s="1"/>
  <c r="R500" i="42689"/>
  <c r="F477" i="42692"/>
  <c r="F477" i="42691"/>
  <c r="R488" i="42689"/>
  <c r="F498" i="42689"/>
  <c r="G457" i="42690"/>
  <c r="N848" i="42691"/>
  <c r="N414" i="42691"/>
  <c r="N417" i="42691"/>
  <c r="N413" i="42691"/>
  <c r="N415" i="42691" s="1"/>
  <c r="R425" i="42689"/>
  <c r="F848" i="42691"/>
  <c r="R409" i="42691"/>
  <c r="F414" i="42691"/>
  <c r="R414" i="42691" s="1"/>
  <c r="F417" i="42691"/>
  <c r="R417" i="42691" s="1"/>
  <c r="F413" i="42691"/>
  <c r="M146" i="42696"/>
  <c r="M140" i="42696"/>
  <c r="O226" i="42692"/>
  <c r="O239" i="42692" s="1"/>
  <c r="O240" i="42692" s="1"/>
  <c r="O226" i="42691"/>
  <c r="O239" i="42691" s="1"/>
  <c r="O240" i="42691" s="1"/>
  <c r="O250" i="42689"/>
  <c r="O251" i="42689" s="1"/>
  <c r="O891" i="42689"/>
  <c r="O858" i="42692"/>
  <c r="O241" i="42692"/>
  <c r="K959" i="42690"/>
  <c r="K246" i="42690"/>
  <c r="E146" i="42696"/>
  <c r="E140" i="42696"/>
  <c r="G226" i="42692"/>
  <c r="G239" i="42692" s="1"/>
  <c r="G240" i="42692" s="1"/>
  <c r="G226" i="42691"/>
  <c r="G239" i="42691" s="1"/>
  <c r="G240" i="42691" s="1"/>
  <c r="G250" i="42689"/>
  <c r="G251" i="42689" s="1"/>
  <c r="G891" i="42689"/>
  <c r="G858" i="42692"/>
  <c r="G241" i="42692"/>
  <c r="N395" i="42690"/>
  <c r="N955" i="42690"/>
  <c r="J373" i="42692"/>
  <c r="J373" i="42691"/>
  <c r="J397" i="42689"/>
  <c r="J398" i="42689" s="1"/>
  <c r="J966" i="42689"/>
  <c r="J406" i="42689"/>
  <c r="J887" i="42689"/>
  <c r="F395" i="42690"/>
  <c r="R388" i="42690"/>
  <c r="R395" i="42690" s="1"/>
  <c r="F955" i="42690"/>
  <c r="R389" i="42690"/>
  <c r="O342" i="42690"/>
  <c r="O937" i="42690"/>
  <c r="O972" i="42690" s="1"/>
  <c r="K965" i="42689"/>
  <c r="K352" i="42689"/>
  <c r="K323" i="42692"/>
  <c r="K323" i="42691"/>
  <c r="K343" i="42689"/>
  <c r="K344" i="42689" s="1"/>
  <c r="G342" i="42690"/>
  <c r="G937" i="42690"/>
  <c r="G972" i="42690" s="1"/>
  <c r="N185" i="42692"/>
  <c r="N185" i="42691"/>
  <c r="N206" i="42689"/>
  <c r="N207" i="42689" s="1"/>
  <c r="N889" i="42689"/>
  <c r="J200" i="42690"/>
  <c r="J940" i="42690"/>
  <c r="J975" i="42690" s="1"/>
  <c r="P66" i="42696"/>
  <c r="F186" i="42697"/>
  <c r="D205" i="42696"/>
  <c r="D253" i="42696"/>
  <c r="M142" i="42696"/>
  <c r="M143" i="42696"/>
  <c r="M141" i="42696"/>
  <c r="O280" i="42692"/>
  <c r="O280" i="42691"/>
  <c r="O301" i="42689"/>
  <c r="O302" i="42689" s="1"/>
  <c r="K953" i="42690"/>
  <c r="K299" i="42690"/>
  <c r="E142" i="42696"/>
  <c r="E143" i="42696"/>
  <c r="E141" i="42696"/>
  <c r="G280" i="42692"/>
  <c r="G280" i="42691"/>
  <c r="G301" i="42689"/>
  <c r="G302" i="42689" s="1"/>
  <c r="N967" i="42689"/>
  <c r="N178" i="42689"/>
  <c r="N856" i="42691"/>
  <c r="N161" i="42691"/>
  <c r="N162" i="42691"/>
  <c r="J167" i="42690"/>
  <c r="J956" i="42690"/>
  <c r="P65" i="42696"/>
  <c r="O110" i="42692"/>
  <c r="O110" i="42691"/>
  <c r="O131" i="42689"/>
  <c r="O132" i="42689" s="1"/>
  <c r="O884" i="42689"/>
  <c r="K129" i="42690"/>
  <c r="K934" i="42690"/>
  <c r="K969" i="42690" s="1"/>
  <c r="G110" i="42692"/>
  <c r="G110" i="42691"/>
  <c r="G131" i="42689"/>
  <c r="G132" i="42689" s="1"/>
  <c r="G884" i="42689"/>
  <c r="N933" i="42690"/>
  <c r="N968" i="42690" s="1"/>
  <c r="N87" i="42690"/>
  <c r="J883" i="42689"/>
  <c r="J843" i="42692"/>
  <c r="J872" i="42692" s="1"/>
  <c r="J85" i="42692"/>
  <c r="J86" i="42692"/>
  <c r="J950" i="42692" s="1"/>
  <c r="J89" i="42692"/>
  <c r="R89" i="42690"/>
  <c r="P58" i="42690"/>
  <c r="P932" i="42690"/>
  <c r="P967" i="42690" s="1"/>
  <c r="L69" i="42689"/>
  <c r="L943" i="42689"/>
  <c r="L978" i="42689" s="1"/>
  <c r="L842" i="42691"/>
  <c r="L871" i="42691" s="1"/>
  <c r="L60" i="42691"/>
  <c r="L57" i="42691"/>
  <c r="L56" i="42691"/>
  <c r="H58" i="42690"/>
  <c r="H932" i="42690"/>
  <c r="H967" i="42690" s="1"/>
  <c r="Q34" i="42692"/>
  <c r="Q34" i="42691"/>
  <c r="Q852" i="42689"/>
  <c r="Q53" i="42689"/>
  <c r="Q938" i="42689" s="1"/>
  <c r="Q50" i="42689"/>
  <c r="Q959" i="42689" s="1"/>
  <c r="Q49" i="42689"/>
  <c r="I34" i="42692"/>
  <c r="I34" i="42691"/>
  <c r="I852" i="42689"/>
  <c r="I53" i="42689"/>
  <c r="I50" i="42689"/>
  <c r="I959" i="42689" s="1"/>
  <c r="I49" i="42689"/>
  <c r="H146" i="42696"/>
  <c r="H140" i="42696"/>
  <c r="J226" i="42692"/>
  <c r="J239" i="42692" s="1"/>
  <c r="J240" i="42692" s="1"/>
  <c r="J226" i="42691"/>
  <c r="J239" i="42691" s="1"/>
  <c r="J240" i="42691" s="1"/>
  <c r="J250" i="42689"/>
  <c r="J251" i="42689" s="1"/>
  <c r="J891" i="42689"/>
  <c r="J858" i="42692"/>
  <c r="J241" i="42692"/>
  <c r="O955" i="42690"/>
  <c r="O395" i="42690"/>
  <c r="G966" i="42689"/>
  <c r="G406" i="42689"/>
  <c r="G373" i="42692"/>
  <c r="G373" i="42691"/>
  <c r="G397" i="42689"/>
  <c r="G398" i="42689" s="1"/>
  <c r="L341" i="42690"/>
  <c r="L954" i="42690"/>
  <c r="Q185" i="42692"/>
  <c r="Q185" i="42691"/>
  <c r="Q206" i="42689"/>
  <c r="Q207" i="42689" s="1"/>
  <c r="Q889" i="42689"/>
  <c r="I957" i="42690"/>
  <c r="I202" i="42690"/>
  <c r="H143" i="42696"/>
  <c r="H141" i="42696"/>
  <c r="H142" i="42696"/>
  <c r="J964" i="42689"/>
  <c r="J972" i="42689" s="1"/>
  <c r="J310" i="42689"/>
  <c r="J885" i="42689"/>
  <c r="Q956" i="42690"/>
  <c r="Q167" i="42690"/>
  <c r="I149" i="42692"/>
  <c r="I159" i="42692" s="1"/>
  <c r="I160" i="42692" s="1"/>
  <c r="I149" i="42691"/>
  <c r="I159" i="42691" s="1"/>
  <c r="I160" i="42691" s="1"/>
  <c r="I170" i="42689"/>
  <c r="I171" i="42689" s="1"/>
  <c r="I967" i="42689"/>
  <c r="I178" i="42689"/>
  <c r="I888" i="42689"/>
  <c r="I875" i="42689"/>
  <c r="J128" i="42690"/>
  <c r="J951" i="42690"/>
  <c r="Q944" i="42689"/>
  <c r="Q979" i="42689" s="1"/>
  <c r="Q98" i="42689"/>
  <c r="Q843" i="42691"/>
  <c r="Q872" i="42691" s="1"/>
  <c r="Q89" i="42691"/>
  <c r="Q86" i="42691"/>
  <c r="Q950" i="42691" s="1"/>
  <c r="Q85" i="42691"/>
  <c r="M960" i="42689"/>
  <c r="M934" i="42689"/>
  <c r="M933" i="42689"/>
  <c r="M69" i="42689"/>
  <c r="M943" i="42689"/>
  <c r="M978" i="42689" s="1"/>
  <c r="M842" i="42691"/>
  <c r="M871" i="42691" s="1"/>
  <c r="M60" i="42691"/>
  <c r="M57" i="42691"/>
  <c r="M56" i="42691"/>
  <c r="P34" i="42692"/>
  <c r="P34" i="42691"/>
  <c r="P852" i="42689"/>
  <c r="P49" i="42689"/>
  <c r="P53" i="42689"/>
  <c r="P938" i="42689" s="1"/>
  <c r="P50" i="42689"/>
  <c r="P959" i="42689" s="1"/>
  <c r="P972" i="42689" s="1"/>
  <c r="K269" i="42696"/>
  <c r="K270" i="42696" s="1"/>
  <c r="M983" i="42692"/>
  <c r="M983" i="42691"/>
  <c r="M983" i="42690"/>
  <c r="M994" i="42689"/>
  <c r="F618" i="42698"/>
  <c r="N604" i="42697"/>
  <c r="J604" i="42690"/>
  <c r="F617" i="42689"/>
  <c r="R617" i="42689" s="1"/>
  <c r="R612" i="42689"/>
  <c r="O732" i="42692"/>
  <c r="O732" i="42691"/>
  <c r="O756" i="42689"/>
  <c r="O757" i="42689" s="1"/>
  <c r="O766" i="42689" s="1"/>
  <c r="G755" i="42697"/>
  <c r="H206" i="42696"/>
  <c r="H236" i="42696" s="1"/>
  <c r="H254" i="42696"/>
  <c r="J546" i="42692"/>
  <c r="J546" i="42691"/>
  <c r="J566" i="42689"/>
  <c r="J567" i="42689" s="1"/>
  <c r="F879" i="42690"/>
  <c r="R861" i="42690"/>
  <c r="R879" i="42690" s="1"/>
  <c r="O701" i="42690"/>
  <c r="K682" i="42692"/>
  <c r="K682" i="42691"/>
  <c r="K702" i="42689"/>
  <c r="K703" i="42689" s="1"/>
  <c r="K712" i="42689" s="1"/>
  <c r="P528" i="42697"/>
  <c r="L528" i="42690"/>
  <c r="R448" i="42690"/>
  <c r="R449" i="42690" s="1"/>
  <c r="R457" i="42690" s="1"/>
  <c r="F449" i="42690"/>
  <c r="F457" i="42690" s="1"/>
  <c r="L246" i="42690"/>
  <c r="L959" i="42690"/>
  <c r="Q966" i="42689"/>
  <c r="Q406" i="42689"/>
  <c r="Q373" i="42692"/>
  <c r="Q373" i="42691"/>
  <c r="Q397" i="42689"/>
  <c r="Q398" i="42689" s="1"/>
  <c r="Q887" i="42689"/>
  <c r="O940" i="42690"/>
  <c r="O975" i="42690" s="1"/>
  <c r="O200" i="42690"/>
  <c r="O878" i="42690"/>
  <c r="G186" i="42697"/>
  <c r="E205" i="42696"/>
  <c r="E235" i="42696" s="1"/>
  <c r="E253" i="42696"/>
  <c r="O856" i="42691"/>
  <c r="O161" i="42691"/>
  <c r="O162" i="42691"/>
  <c r="O856" i="42692"/>
  <c r="O162" i="42692"/>
  <c r="O161" i="42692"/>
  <c r="G956" i="42690"/>
  <c r="G167" i="42690"/>
  <c r="G843" i="42692"/>
  <c r="G872" i="42692" s="1"/>
  <c r="G85" i="42692"/>
  <c r="G86" i="42692"/>
  <c r="G950" i="42692" s="1"/>
  <c r="G89" i="42692"/>
  <c r="K842" i="42697"/>
  <c r="K871" i="42697" s="1"/>
  <c r="K56" i="42697"/>
  <c r="K60" i="42697"/>
  <c r="K57" i="42697"/>
  <c r="F38" i="42690"/>
  <c r="R34" i="42690"/>
  <c r="F841" i="42690"/>
  <c r="F42" i="42690"/>
  <c r="F39" i="42690"/>
  <c r="F174" i="42696"/>
  <c r="J919" i="42692"/>
  <c r="Q942" i="42690"/>
  <c r="Q977" i="42690" s="1"/>
  <c r="O919" i="42691"/>
  <c r="G919" i="42691"/>
  <c r="H919" i="42692"/>
  <c r="I938" i="42689" l="1"/>
  <c r="L976" i="42690"/>
  <c r="P174" i="42696"/>
  <c r="M969" i="42690"/>
  <c r="L972" i="42689"/>
  <c r="L973" i="42689" s="1"/>
  <c r="P253" i="42696"/>
  <c r="N972" i="42689"/>
  <c r="N973" i="42689" s="1"/>
  <c r="H972" i="42689"/>
  <c r="H973" i="42689" s="1"/>
  <c r="H976" i="42690"/>
  <c r="R414" i="42692"/>
  <c r="F948" i="42690"/>
  <c r="R39" i="42690"/>
  <c r="F870" i="42690"/>
  <c r="R841" i="42690"/>
  <c r="R870" i="42690" s="1"/>
  <c r="Q407" i="42689"/>
  <c r="Q949" i="42689"/>
  <c r="Q984" i="42689" s="1"/>
  <c r="Q386" i="42692"/>
  <c r="Q387" i="42692" s="1"/>
  <c r="Q374" i="42692"/>
  <c r="K691" i="42691"/>
  <c r="K692" i="42691" s="1"/>
  <c r="K683" i="42691"/>
  <c r="J555" i="42691"/>
  <c r="J556" i="42691" s="1"/>
  <c r="J547" i="42691"/>
  <c r="P51" i="42689"/>
  <c r="P942" i="42689"/>
  <c r="P841" i="42691"/>
  <c r="P42" i="42691"/>
  <c r="P39" i="42691"/>
  <c r="P948" i="42691" s="1"/>
  <c r="P38" i="42691"/>
  <c r="M932" i="42691"/>
  <c r="M58" i="42691"/>
  <c r="R42" i="42690"/>
  <c r="F927" i="42690"/>
  <c r="K949" i="42697"/>
  <c r="K923" i="42697"/>
  <c r="K58" i="42697"/>
  <c r="K932" i="42697"/>
  <c r="G87" i="42692"/>
  <c r="G933" i="42692"/>
  <c r="G968" i="42692" s="1"/>
  <c r="O167" i="42692"/>
  <c r="O167" i="42691"/>
  <c r="G857" i="42697"/>
  <c r="G878" i="42697" s="1"/>
  <c r="G185" i="42697"/>
  <c r="G195" i="42697" s="1"/>
  <c r="G196" i="42697" s="1"/>
  <c r="G197" i="42697"/>
  <c r="Q374" i="42691"/>
  <c r="Q386" i="42691"/>
  <c r="Q387" i="42691" s="1"/>
  <c r="K691" i="42692"/>
  <c r="K692" i="42692" s="1"/>
  <c r="K683" i="42692"/>
  <c r="J952" i="42689"/>
  <c r="J987" i="42689" s="1"/>
  <c r="J571" i="42689"/>
  <c r="J555" i="42692"/>
  <c r="J556" i="42692" s="1"/>
  <c r="J547" i="42692"/>
  <c r="O733" i="42692"/>
  <c r="O745" i="42692"/>
  <c r="O746" i="42692" s="1"/>
  <c r="Z12" i="42699"/>
  <c r="P881" i="42689"/>
  <c r="P893" i="42689" s="1"/>
  <c r="P864" i="42689"/>
  <c r="P877" i="42689" s="1"/>
  <c r="P841" i="42692"/>
  <c r="P38" i="42692"/>
  <c r="P39" i="42692"/>
  <c r="P948" i="42692" s="1"/>
  <c r="P42" i="42692"/>
  <c r="M949" i="42691"/>
  <c r="M923" i="42691"/>
  <c r="Q933" i="42691"/>
  <c r="Q968" i="42691" s="1"/>
  <c r="Q87" i="42691"/>
  <c r="I950" i="42689"/>
  <c r="I985" i="42689" s="1"/>
  <c r="I176" i="42689"/>
  <c r="I165" i="42692"/>
  <c r="H185" i="42696"/>
  <c r="H156" i="42696"/>
  <c r="H186" i="42696"/>
  <c r="H157" i="42696"/>
  <c r="Q211" i="42689"/>
  <c r="Q951" i="42689"/>
  <c r="Q986" i="42689" s="1"/>
  <c r="Q195" i="42692"/>
  <c r="Q196" i="42692" s="1"/>
  <c r="Q186" i="42692"/>
  <c r="G374" i="42691"/>
  <c r="G386" i="42691"/>
  <c r="G387" i="42691" s="1"/>
  <c r="J246" i="42692"/>
  <c r="J244" i="42691"/>
  <c r="H190" i="42696"/>
  <c r="H154" i="42696"/>
  <c r="I972" i="42689"/>
  <c r="I881" i="42689"/>
  <c r="I893" i="42689" s="1"/>
  <c r="I864" i="42689"/>
  <c r="I877" i="42689" s="1"/>
  <c r="I841" i="42692"/>
  <c r="I38" i="42692"/>
  <c r="I39" i="42692"/>
  <c r="I948" i="42692" s="1"/>
  <c r="I42" i="42692"/>
  <c r="Q972" i="42689"/>
  <c r="Q881" i="42689"/>
  <c r="Q893" i="42689" s="1"/>
  <c r="Q864" i="42689"/>
  <c r="Q877" i="42689" s="1"/>
  <c r="Q841" i="42692"/>
  <c r="Q38" i="42692"/>
  <c r="Q39" i="42692"/>
  <c r="Q948" i="42692" s="1"/>
  <c r="Q42" i="42692"/>
  <c r="L923" i="42691"/>
  <c r="L949" i="42691"/>
  <c r="J87" i="42692"/>
  <c r="J933" i="42692"/>
  <c r="J968" i="42692" s="1"/>
  <c r="G945" i="42689"/>
  <c r="G980" i="42689" s="1"/>
  <c r="G140" i="42689"/>
  <c r="G120" i="42692"/>
  <c r="G121" i="42692" s="1"/>
  <c r="G111" i="42692"/>
  <c r="O945" i="42689"/>
  <c r="O980" i="42689" s="1"/>
  <c r="O140" i="42689"/>
  <c r="O120" i="42692"/>
  <c r="O121" i="42692" s="1"/>
  <c r="O111" i="42692"/>
  <c r="G290" i="42691"/>
  <c r="G291" i="42691" s="1"/>
  <c r="G281" i="42691"/>
  <c r="E184" i="42696"/>
  <c r="E155" i="42696"/>
  <c r="E185" i="42696"/>
  <c r="E156" i="42696"/>
  <c r="O290" i="42691"/>
  <c r="O291" i="42691" s="1"/>
  <c r="O281" i="42691"/>
  <c r="M184" i="42696"/>
  <c r="M155" i="42696"/>
  <c r="M185" i="42696"/>
  <c r="M156" i="42696"/>
  <c r="D235" i="42696"/>
  <c r="P235" i="42696" s="1"/>
  <c r="P205" i="42696"/>
  <c r="N211" i="42689"/>
  <c r="N951" i="42689"/>
  <c r="N986" i="42689" s="1"/>
  <c r="N195" i="42692"/>
  <c r="N196" i="42692" s="1"/>
  <c r="N186" i="42692"/>
  <c r="K332" i="42691"/>
  <c r="K333" i="42691" s="1"/>
  <c r="K324" i="42691"/>
  <c r="J374" i="42691"/>
  <c r="J386" i="42691"/>
  <c r="J387" i="42691" s="1"/>
  <c r="G246" i="42692"/>
  <c r="G244" i="42691"/>
  <c r="E190" i="42696"/>
  <c r="E154" i="42696"/>
  <c r="O246" i="42692"/>
  <c r="O244" i="42691"/>
  <c r="M190" i="42696"/>
  <c r="M154" i="42696"/>
  <c r="R413" i="42691"/>
  <c r="R415" i="42691" s="1"/>
  <c r="F415" i="42691"/>
  <c r="R848" i="42691"/>
  <c r="R477" i="42692"/>
  <c r="F487" i="42692"/>
  <c r="F478" i="42692"/>
  <c r="J487" i="42692"/>
  <c r="J488" i="42692" s="1"/>
  <c r="J478" i="42692"/>
  <c r="J640" i="42691"/>
  <c r="J649" i="42691"/>
  <c r="J650" i="42691" s="1"/>
  <c r="G523" i="42692"/>
  <c r="G524" i="42692" s="1"/>
  <c r="G514" i="42692"/>
  <c r="O523" i="42692"/>
  <c r="O524" i="42692" s="1"/>
  <c r="O514" i="42692"/>
  <c r="R702" i="42689"/>
  <c r="F703" i="42689"/>
  <c r="R682" i="42691"/>
  <c r="R683" i="42691" s="1"/>
  <c r="F683" i="42691"/>
  <c r="F691" i="42691"/>
  <c r="F851" i="42697"/>
  <c r="R851" i="42697" s="1"/>
  <c r="F682" i="42697"/>
  <c r="F694" i="42697"/>
  <c r="R694" i="42697" s="1"/>
  <c r="F401" i="42698" s="1"/>
  <c r="F703" i="42697"/>
  <c r="R703" i="42697" s="1"/>
  <c r="F693" i="42697"/>
  <c r="N683" i="42691"/>
  <c r="N691" i="42691"/>
  <c r="N692" i="42691" s="1"/>
  <c r="R745" i="42690"/>
  <c r="F746" i="42690"/>
  <c r="G599" i="42692"/>
  <c r="G600" i="42692" s="1"/>
  <c r="G587" i="42692"/>
  <c r="D113" i="42696"/>
  <c r="P101" i="42696"/>
  <c r="N791" i="42691"/>
  <c r="N792" i="42691" s="1"/>
  <c r="N780" i="42691"/>
  <c r="N863" i="42691" s="1"/>
  <c r="N881" i="42691" s="1"/>
  <c r="F672" i="42698"/>
  <c r="H311" i="42689"/>
  <c r="H947" i="42689"/>
  <c r="H982" i="42689" s="1"/>
  <c r="H290" i="42692"/>
  <c r="H291" i="42692" s="1"/>
  <c r="H281" i="42692"/>
  <c r="R965" i="42689"/>
  <c r="R343" i="42689"/>
  <c r="R344" i="42689" s="1"/>
  <c r="R353" i="42689" s="1"/>
  <c r="F344" i="42689"/>
  <c r="F332" i="42692"/>
  <c r="R323" i="42692"/>
  <c r="R324" i="42692" s="1"/>
  <c r="F324" i="42692"/>
  <c r="D109" i="42696"/>
  <c r="P97" i="42696"/>
  <c r="D125" i="42696"/>
  <c r="P125" i="42696" s="1"/>
  <c r="P112" i="42696"/>
  <c r="N514" i="42691"/>
  <c r="N523" i="42691"/>
  <c r="N524" i="42691" s="1"/>
  <c r="H958" i="42697"/>
  <c r="H562" i="42697"/>
  <c r="P941" i="42697"/>
  <c r="P560" i="42697"/>
  <c r="M733" i="42691"/>
  <c r="M745" i="42691"/>
  <c r="M746" i="42691" s="1"/>
  <c r="P587" i="42692"/>
  <c r="P599" i="42692"/>
  <c r="P600" i="42692" s="1"/>
  <c r="I791" i="42691"/>
  <c r="I792" i="42691" s="1"/>
  <c r="I780" i="42691"/>
  <c r="I863" i="42691" s="1"/>
  <c r="I881" i="42691" s="1"/>
  <c r="Q805" i="42689"/>
  <c r="Q954" i="42689"/>
  <c r="Q989" i="42689" s="1"/>
  <c r="Q791" i="42692"/>
  <c r="Q792" i="42692" s="1"/>
  <c r="Q780" i="42692"/>
  <c r="Q863" i="42692" s="1"/>
  <c r="Q881" i="42692" s="1"/>
  <c r="F860" i="42691"/>
  <c r="F525" i="42691"/>
  <c r="R535" i="42689"/>
  <c r="R539" i="42689" s="1"/>
  <c r="F539" i="42689"/>
  <c r="K850" i="42691"/>
  <c r="K661" i="42691"/>
  <c r="K652" i="42691"/>
  <c r="K651" i="42691"/>
  <c r="K658" i="42691" s="1"/>
  <c r="O850" i="42692"/>
  <c r="O661" i="42692"/>
  <c r="O652" i="42692"/>
  <c r="O651" i="42692"/>
  <c r="O658" i="42692" s="1"/>
  <c r="L961" i="42690"/>
  <c r="L870" i="42690"/>
  <c r="L882" i="42690" s="1"/>
  <c r="L853" i="42690"/>
  <c r="L866" i="42690" s="1"/>
  <c r="Q949" i="42692"/>
  <c r="Q923" i="42692"/>
  <c r="Q58" i="42692"/>
  <c r="Q932" i="42692"/>
  <c r="Q949" i="42697"/>
  <c r="Q923" i="42697"/>
  <c r="N945" i="42689"/>
  <c r="N980" i="42689" s="1"/>
  <c r="N140" i="42689"/>
  <c r="N120" i="42692"/>
  <c r="N121" i="42692" s="1"/>
  <c r="N111" i="42692"/>
  <c r="R280" i="42691"/>
  <c r="R281" i="42691" s="1"/>
  <c r="F281" i="42691"/>
  <c r="F290" i="42691"/>
  <c r="N311" i="42689"/>
  <c r="N947" i="42689"/>
  <c r="N982" i="42689" s="1"/>
  <c r="N290" i="42692"/>
  <c r="N291" i="42692" s="1"/>
  <c r="N281" i="42692"/>
  <c r="G51" i="42689"/>
  <c r="G935" i="42689"/>
  <c r="G942" i="42689"/>
  <c r="G841" i="42691"/>
  <c r="G42" i="42691"/>
  <c r="G39" i="42691"/>
  <c r="G948" i="42691" s="1"/>
  <c r="G38" i="42691"/>
  <c r="O51" i="42689"/>
  <c r="O942" i="42689"/>
  <c r="O841" i="42691"/>
  <c r="O42" i="42691"/>
  <c r="O39" i="42691"/>
  <c r="O948" i="42691" s="1"/>
  <c r="O38" i="42691"/>
  <c r="D104" i="42696"/>
  <c r="P92" i="42696"/>
  <c r="F842" i="42697"/>
  <c r="R52" i="42697"/>
  <c r="F75" i="42698" s="1"/>
  <c r="F56" i="42697"/>
  <c r="F60" i="42697"/>
  <c r="R60" i="42697" s="1"/>
  <c r="F83" i="42698" s="1"/>
  <c r="F620" i="42698" s="1"/>
  <c r="Z14" i="42699" s="1"/>
  <c r="F57" i="42697"/>
  <c r="N949" i="42692"/>
  <c r="N923" i="42692"/>
  <c r="N949" i="42697"/>
  <c r="N923" i="42697"/>
  <c r="N58" i="42697"/>
  <c r="N932" i="42697"/>
  <c r="N967" i="42697" s="1"/>
  <c r="L933" i="42692"/>
  <c r="L968" i="42692" s="1"/>
  <c r="L87" i="42692"/>
  <c r="I140" i="42689"/>
  <c r="I945" i="42689"/>
  <c r="I980" i="42689" s="1"/>
  <c r="I120" i="42692"/>
  <c r="I121" i="42692" s="1"/>
  <c r="I111" i="42692"/>
  <c r="Q140" i="42689"/>
  <c r="Q945" i="42689"/>
  <c r="Q980" i="42689" s="1"/>
  <c r="Q120" i="42692"/>
  <c r="Q121" i="42692" s="1"/>
  <c r="Q111" i="42692"/>
  <c r="L167" i="42692"/>
  <c r="L176" i="42689"/>
  <c r="L950" i="42689"/>
  <c r="L985" i="42689" s="1"/>
  <c r="L165" i="42692"/>
  <c r="L857" i="42697"/>
  <c r="L878" i="42697" s="1"/>
  <c r="L185" i="42697"/>
  <c r="L195" i="42697" s="1"/>
  <c r="L196" i="42697" s="1"/>
  <c r="L197" i="42697"/>
  <c r="H478" i="42692"/>
  <c r="H487" i="42692"/>
  <c r="H488" i="42692" s="1"/>
  <c r="P478" i="42692"/>
  <c r="P487" i="42692"/>
  <c r="P488" i="42692" s="1"/>
  <c r="L649" i="42691"/>
  <c r="L650" i="42691" s="1"/>
  <c r="L640" i="42691"/>
  <c r="I514" i="42691"/>
  <c r="I523" i="42691"/>
  <c r="I524" i="42691" s="1"/>
  <c r="Q523" i="42692"/>
  <c r="Q524" i="42692" s="1"/>
  <c r="Q514" i="42692"/>
  <c r="I555" i="42691"/>
  <c r="I556" i="42691" s="1"/>
  <c r="I547" i="42691"/>
  <c r="I958" i="42697"/>
  <c r="I562" i="42697"/>
  <c r="Q555" i="42691"/>
  <c r="Q556" i="42691" s="1"/>
  <c r="Q547" i="42691"/>
  <c r="Q958" i="42697"/>
  <c r="Q562" i="42697"/>
  <c r="L745" i="42691"/>
  <c r="L746" i="42691" s="1"/>
  <c r="L733" i="42691"/>
  <c r="Q599" i="42691"/>
  <c r="Q600" i="42691" s="1"/>
  <c r="Q587" i="42691"/>
  <c r="L954" i="42689"/>
  <c r="L989" i="42689" s="1"/>
  <c r="L805" i="42689"/>
  <c r="L791" i="42692"/>
  <c r="L792" i="42692" s="1"/>
  <c r="L780" i="42692"/>
  <c r="L863" i="42692" s="1"/>
  <c r="L881" i="42692" s="1"/>
  <c r="F849" i="42691"/>
  <c r="F450" i="42691"/>
  <c r="F459" i="42691"/>
  <c r="N849" i="42692"/>
  <c r="N459" i="42692"/>
  <c r="N450" i="42692"/>
  <c r="N456" i="42692" s="1"/>
  <c r="M118" i="42697"/>
  <c r="K179" i="42696"/>
  <c r="K147" i="42696"/>
  <c r="K148" i="42696" s="1"/>
  <c r="K151" i="42696"/>
  <c r="K181" i="42696"/>
  <c r="K159" i="42696"/>
  <c r="M439" i="42697" s="1"/>
  <c r="K180" i="42696"/>
  <c r="K158" i="42696"/>
  <c r="M409" i="42697" s="1"/>
  <c r="K949" i="42691"/>
  <c r="K923" i="42691"/>
  <c r="K978" i="42689"/>
  <c r="L140" i="42689"/>
  <c r="L945" i="42689"/>
  <c r="L980" i="42689" s="1"/>
  <c r="L120" i="42692"/>
  <c r="L121" i="42692" s="1"/>
  <c r="L111" i="42692"/>
  <c r="P943" i="42691"/>
  <c r="P978" i="42691" s="1"/>
  <c r="P794" i="42691"/>
  <c r="Q25" i="42701"/>
  <c r="N961" i="42690"/>
  <c r="N870" i="42690"/>
  <c r="N882" i="42690" s="1"/>
  <c r="N853" i="42690"/>
  <c r="N866" i="42690" s="1"/>
  <c r="O87" i="42691"/>
  <c r="O933" i="42691"/>
  <c r="O968" i="42691" s="1"/>
  <c r="G950" i="42689"/>
  <c r="G985" i="42689" s="1"/>
  <c r="G176" i="42689"/>
  <c r="G165" i="42692"/>
  <c r="J184" i="42696"/>
  <c r="J155" i="42696"/>
  <c r="O951" i="42689"/>
  <c r="O986" i="42689" s="1"/>
  <c r="O211" i="42689"/>
  <c r="O195" i="42692"/>
  <c r="O196" i="42692" s="1"/>
  <c r="O186" i="42692"/>
  <c r="I407" i="42689"/>
  <c r="I949" i="42689"/>
  <c r="I984" i="42689" s="1"/>
  <c r="I386" i="42692"/>
  <c r="I387" i="42692" s="1"/>
  <c r="I374" i="42692"/>
  <c r="L255" i="42689"/>
  <c r="L953" i="42689"/>
  <c r="L988" i="42689" s="1"/>
  <c r="L244" i="42692"/>
  <c r="J191" i="42696"/>
  <c r="J160" i="42696"/>
  <c r="L523" i="42691"/>
  <c r="L524" i="42691" s="1"/>
  <c r="L514" i="42691"/>
  <c r="O691" i="42692"/>
  <c r="O692" i="42692" s="1"/>
  <c r="O683" i="42692"/>
  <c r="R573" i="42689"/>
  <c r="R546" i="42697"/>
  <c r="R547" i="42697" s="1"/>
  <c r="F415" i="42698" s="1"/>
  <c r="F548" i="42698" s="1"/>
  <c r="F566" i="42698" s="1"/>
  <c r="F555" i="42697"/>
  <c r="F879" i="42697"/>
  <c r="R861" i="42697"/>
  <c r="N555" i="42691"/>
  <c r="N556" i="42691" s="1"/>
  <c r="N547" i="42691"/>
  <c r="J599" i="42692"/>
  <c r="J600" i="42692" s="1"/>
  <c r="J587" i="42692"/>
  <c r="H927" i="42690"/>
  <c r="H40" i="42690"/>
  <c r="H931" i="42690"/>
  <c r="H924" i="42690"/>
  <c r="I933" i="42692"/>
  <c r="I968" i="42692" s="1"/>
  <c r="I87" i="42692"/>
  <c r="Q167" i="42692"/>
  <c r="Q167" i="42691"/>
  <c r="Q856" i="42697"/>
  <c r="Q149" i="42697"/>
  <c r="Q159" i="42697" s="1"/>
  <c r="Q160" i="42697" s="1"/>
  <c r="Q162" i="42697"/>
  <c r="Q161" i="42697"/>
  <c r="I211" i="42689"/>
  <c r="I951" i="42689"/>
  <c r="I986" i="42689" s="1"/>
  <c r="I195" i="42692"/>
  <c r="I196" i="42692" s="1"/>
  <c r="I186" i="42692"/>
  <c r="L324" i="42691"/>
  <c r="L332" i="42691"/>
  <c r="L333" i="42691" s="1"/>
  <c r="O949" i="42689"/>
  <c r="O984" i="42689" s="1"/>
  <c r="O407" i="42689"/>
  <c r="O386" i="42692"/>
  <c r="O387" i="42692" s="1"/>
  <c r="O374" i="42692"/>
  <c r="M961" i="42690"/>
  <c r="M927" i="42690"/>
  <c r="H81" i="42697"/>
  <c r="H111" i="42697"/>
  <c r="L81" i="42697"/>
  <c r="L111" i="42697"/>
  <c r="P81" i="42697"/>
  <c r="P111" i="42697"/>
  <c r="H932" i="42692"/>
  <c r="H58" i="42692"/>
  <c r="H58" i="42697"/>
  <c r="H932" i="42697"/>
  <c r="P932" i="42692"/>
  <c r="P58" i="42692"/>
  <c r="P933" i="42689"/>
  <c r="P973" i="42689" s="1"/>
  <c r="P58" i="42697"/>
  <c r="P932" i="42697"/>
  <c r="F950" i="42692"/>
  <c r="R86" i="42692"/>
  <c r="R85" i="42692"/>
  <c r="F87" i="42692"/>
  <c r="F933" i="42692"/>
  <c r="N87" i="42692"/>
  <c r="N933" i="42692"/>
  <c r="N968" i="42692" s="1"/>
  <c r="K945" i="42689"/>
  <c r="K980" i="42689" s="1"/>
  <c r="K140" i="42689"/>
  <c r="K120" i="42692"/>
  <c r="K121" i="42692" s="1"/>
  <c r="K111" i="42692"/>
  <c r="R856" i="42692"/>
  <c r="R170" i="42689"/>
  <c r="F171" i="42689"/>
  <c r="R149" i="42691"/>
  <c r="F159" i="42691"/>
  <c r="R956" i="42690"/>
  <c r="J165" i="42691"/>
  <c r="J856" i="42697"/>
  <c r="J149" i="42697"/>
  <c r="J159" i="42697" s="1"/>
  <c r="J160" i="42697" s="1"/>
  <c r="J161" i="42697"/>
  <c r="J162" i="42697"/>
  <c r="K290" i="42691"/>
  <c r="K291" i="42691" s="1"/>
  <c r="K281" i="42691"/>
  <c r="I184" i="42696"/>
  <c r="I155" i="42696"/>
  <c r="I185" i="42696"/>
  <c r="I156" i="42696"/>
  <c r="R889" i="42689"/>
  <c r="R206" i="42689"/>
  <c r="F207" i="42689"/>
  <c r="F195" i="42692"/>
  <c r="R185" i="42692"/>
  <c r="F186" i="42692"/>
  <c r="J195" i="42691"/>
  <c r="J196" i="42691" s="1"/>
  <c r="J186" i="42691"/>
  <c r="G948" i="42689"/>
  <c r="G983" i="42689" s="1"/>
  <c r="G353" i="42689"/>
  <c r="G332" i="42692"/>
  <c r="G333" i="42692" s="1"/>
  <c r="G324" i="42692"/>
  <c r="O332" i="42691"/>
  <c r="O333" i="42691" s="1"/>
  <c r="O324" i="42691"/>
  <c r="N374" i="42691"/>
  <c r="N386" i="42691"/>
  <c r="N387" i="42691" s="1"/>
  <c r="K246" i="42692"/>
  <c r="K244" i="42691"/>
  <c r="I190" i="42696"/>
  <c r="I154" i="42696"/>
  <c r="G448" i="42691"/>
  <c r="G449" i="42691" s="1"/>
  <c r="G439" i="42691"/>
  <c r="F859" i="42697"/>
  <c r="R859" i="42697" s="1"/>
  <c r="F477" i="42697"/>
  <c r="R478" i="42697"/>
  <c r="F323" i="42698" s="1"/>
  <c r="F546" i="42698" s="1"/>
  <c r="F489" i="42697"/>
  <c r="F490" i="42697"/>
  <c r="R490" i="42697" s="1"/>
  <c r="F331" i="42698" s="1"/>
  <c r="R660" i="42689"/>
  <c r="F661" i="42689"/>
  <c r="R639" i="42692"/>
  <c r="R640" i="42692" s="1"/>
  <c r="F649" i="42692"/>
  <c r="F640" i="42692"/>
  <c r="N640" i="42691"/>
  <c r="N649" i="42691"/>
  <c r="N650" i="42691" s="1"/>
  <c r="K523" i="42692"/>
  <c r="K524" i="42692" s="1"/>
  <c r="K514" i="42692"/>
  <c r="J683" i="42691"/>
  <c r="J691" i="42691"/>
  <c r="J692" i="42691" s="1"/>
  <c r="K599" i="42692"/>
  <c r="K600" i="42692" s="1"/>
  <c r="K587" i="42692"/>
  <c r="R791" i="42690"/>
  <c r="R792" i="42690" s="1"/>
  <c r="F792" i="42690"/>
  <c r="J791" i="42691"/>
  <c r="J792" i="42691" s="1"/>
  <c r="J780" i="42691"/>
  <c r="J863" i="42691" s="1"/>
  <c r="J881" i="42691" s="1"/>
  <c r="P849" i="42691"/>
  <c r="P450" i="42691"/>
  <c r="P456" i="42691" s="1"/>
  <c r="P459" i="42691"/>
  <c r="J970" i="42690"/>
  <c r="F60" i="42701"/>
  <c r="F28" i="42701"/>
  <c r="F26" i="42701"/>
  <c r="F27" i="42701" s="1"/>
  <c r="J942" i="42689"/>
  <c r="J935" i="42689"/>
  <c r="J51" i="42689"/>
  <c r="J841" i="42691"/>
  <c r="J42" i="42691"/>
  <c r="J39" i="42691"/>
  <c r="J948" i="42691" s="1"/>
  <c r="J38" i="42691"/>
  <c r="O949" i="42691"/>
  <c r="O923" i="42691"/>
  <c r="O978" i="42689"/>
  <c r="K87" i="42691"/>
  <c r="K933" i="42691"/>
  <c r="K968" i="42691" s="1"/>
  <c r="P140" i="42689"/>
  <c r="P945" i="42689"/>
  <c r="P980" i="42689" s="1"/>
  <c r="P120" i="42692"/>
  <c r="P121" i="42692" s="1"/>
  <c r="P111" i="42692"/>
  <c r="N185" i="42696"/>
  <c r="N156" i="42696"/>
  <c r="N186" i="42696"/>
  <c r="N157" i="42696"/>
  <c r="N948" i="42689"/>
  <c r="N983" i="42689" s="1"/>
  <c r="N353" i="42689"/>
  <c r="N332" i="42692"/>
  <c r="N333" i="42692" s="1"/>
  <c r="N324" i="42692"/>
  <c r="H244" i="42691"/>
  <c r="F190" i="42696"/>
  <c r="F154" i="42696"/>
  <c r="I691" i="42691"/>
  <c r="I692" i="42691" s="1"/>
  <c r="I683" i="42691"/>
  <c r="L941" i="42697"/>
  <c r="L560" i="42697"/>
  <c r="P976" i="42690"/>
  <c r="I733" i="42691"/>
  <c r="I745" i="42691"/>
  <c r="I746" i="42691" s="1"/>
  <c r="L587" i="42692"/>
  <c r="L599" i="42692"/>
  <c r="L600" i="42692" s="1"/>
  <c r="L942" i="42692" s="1"/>
  <c r="I949" i="42692"/>
  <c r="I923" i="42692"/>
  <c r="I58" i="42692"/>
  <c r="I932" i="42692"/>
  <c r="I949" i="42697"/>
  <c r="I923" i="42697"/>
  <c r="M933" i="42692"/>
  <c r="M968" i="42692" s="1"/>
  <c r="M87" i="42692"/>
  <c r="R962" i="42689"/>
  <c r="M165" i="42691"/>
  <c r="D108" i="42696"/>
  <c r="P96" i="42696"/>
  <c r="R858" i="42691"/>
  <c r="R257" i="42689"/>
  <c r="R959" i="42690"/>
  <c r="R246" i="42690"/>
  <c r="R994" i="42689"/>
  <c r="K972" i="42689"/>
  <c r="K973" i="42689" s="1"/>
  <c r="K881" i="42689"/>
  <c r="K893" i="42689" s="1"/>
  <c r="K864" i="42689"/>
  <c r="K877" i="42689" s="1"/>
  <c r="K841" i="42692"/>
  <c r="K38" i="42692"/>
  <c r="K39" i="42692"/>
  <c r="K948" i="42692" s="1"/>
  <c r="K42" i="42692"/>
  <c r="F923" i="42691"/>
  <c r="F949" i="42691"/>
  <c r="R57" i="42691"/>
  <c r="F871" i="42691"/>
  <c r="R842" i="42691"/>
  <c r="R871" i="42691" s="1"/>
  <c r="R949" i="42690"/>
  <c r="R923" i="42690"/>
  <c r="J923" i="42691"/>
  <c r="J949" i="42691"/>
  <c r="H933" i="42691"/>
  <c r="H87" i="42691"/>
  <c r="P933" i="42691"/>
  <c r="P87" i="42691"/>
  <c r="P167" i="42692"/>
  <c r="P176" i="42689"/>
  <c r="P950" i="42689"/>
  <c r="P985" i="42689" s="1"/>
  <c r="P165" i="42692"/>
  <c r="M311" i="42689"/>
  <c r="M947" i="42689"/>
  <c r="M982" i="42689" s="1"/>
  <c r="M290" i="42692"/>
  <c r="M291" i="42692" s="1"/>
  <c r="M281" i="42692"/>
  <c r="K186" i="42696"/>
  <c r="K157" i="42696"/>
  <c r="H211" i="42689"/>
  <c r="H951" i="42689"/>
  <c r="H986" i="42689" s="1"/>
  <c r="H195" i="42692"/>
  <c r="H196" i="42692" s="1"/>
  <c r="H186" i="42692"/>
  <c r="P195" i="42691"/>
  <c r="P196" i="42691" s="1"/>
  <c r="P186" i="42691"/>
  <c r="M353" i="42689"/>
  <c r="M948" i="42689"/>
  <c r="M983" i="42689" s="1"/>
  <c r="M332" i="42692"/>
  <c r="M333" i="42692" s="1"/>
  <c r="M324" i="42692"/>
  <c r="H407" i="42689"/>
  <c r="H949" i="42689"/>
  <c r="H984" i="42689" s="1"/>
  <c r="H386" i="42692"/>
  <c r="H387" i="42692" s="1"/>
  <c r="H374" i="42692"/>
  <c r="P407" i="42689"/>
  <c r="P949" i="42689"/>
  <c r="P984" i="42689" s="1"/>
  <c r="P386" i="42692"/>
  <c r="P387" i="42692" s="1"/>
  <c r="P374" i="42692"/>
  <c r="M255" i="42689"/>
  <c r="M953" i="42689"/>
  <c r="M988" i="42689" s="1"/>
  <c r="M244" i="42692"/>
  <c r="K191" i="42696"/>
  <c r="K160" i="42696"/>
  <c r="I439" i="42692"/>
  <c r="I448" i="42692"/>
  <c r="I449" i="42692" s="1"/>
  <c r="H649" i="42691"/>
  <c r="H650" i="42691" s="1"/>
  <c r="H640" i="42691"/>
  <c r="P649" i="42691"/>
  <c r="P650" i="42691" s="1"/>
  <c r="P640" i="42691"/>
  <c r="M523" i="42692"/>
  <c r="M524" i="42692" s="1"/>
  <c r="M514" i="42692"/>
  <c r="P683" i="42692"/>
  <c r="P691" i="42692"/>
  <c r="P692" i="42692" s="1"/>
  <c r="P733" i="42692"/>
  <c r="P745" i="42692"/>
  <c r="P746" i="42692" s="1"/>
  <c r="H791" i="42691"/>
  <c r="H792" i="42691" s="1"/>
  <c r="H780" i="42691"/>
  <c r="H863" i="42691" s="1"/>
  <c r="H881" i="42691" s="1"/>
  <c r="O859" i="42691"/>
  <c r="O489" i="42691"/>
  <c r="O495" i="42691" s="1"/>
  <c r="O490" i="42691"/>
  <c r="R53" i="42689"/>
  <c r="F938" i="42689"/>
  <c r="R49" i="42689"/>
  <c r="F942" i="42689"/>
  <c r="F51" i="42689"/>
  <c r="F841" i="42691"/>
  <c r="R34" i="42691"/>
  <c r="F42" i="42691"/>
  <c r="F39" i="42691"/>
  <c r="F38" i="42691"/>
  <c r="G87" i="42691"/>
  <c r="G933" i="42691"/>
  <c r="G968" i="42691" s="1"/>
  <c r="G974" i="42690"/>
  <c r="O950" i="42689"/>
  <c r="O985" i="42689" s="1"/>
  <c r="O176" i="42689"/>
  <c r="O165" i="42692"/>
  <c r="J948" i="42689"/>
  <c r="J983" i="42689" s="1"/>
  <c r="J353" i="42689"/>
  <c r="J332" i="42692"/>
  <c r="J333" i="42692" s="1"/>
  <c r="J324" i="42692"/>
  <c r="L977" i="42690"/>
  <c r="P523" i="42691"/>
  <c r="P524" i="42691" s="1"/>
  <c r="P514" i="42691"/>
  <c r="J941" i="42697"/>
  <c r="J560" i="42697"/>
  <c r="N976" i="42690"/>
  <c r="G745" i="42691"/>
  <c r="G746" i="42691" s="1"/>
  <c r="G733" i="42691"/>
  <c r="R610" i="42689"/>
  <c r="F611" i="42689"/>
  <c r="R586" i="42691"/>
  <c r="F587" i="42691"/>
  <c r="F599" i="42691"/>
  <c r="N599" i="42692"/>
  <c r="N600" i="42692" s="1"/>
  <c r="N587" i="42692"/>
  <c r="G791" i="42691"/>
  <c r="G792" i="42691" s="1"/>
  <c r="G780" i="42691"/>
  <c r="G863" i="42691" s="1"/>
  <c r="G881" i="42691" s="1"/>
  <c r="O805" i="42689"/>
  <c r="O954" i="42689"/>
  <c r="O989" i="42689" s="1"/>
  <c r="O791" i="42692"/>
  <c r="O792" i="42692" s="1"/>
  <c r="O780" i="42692"/>
  <c r="O863" i="42692" s="1"/>
  <c r="O881" i="42692" s="1"/>
  <c r="R880" i="42689"/>
  <c r="F556" i="42698"/>
  <c r="R869" i="42692"/>
  <c r="F853" i="42690"/>
  <c r="F866" i="42690" s="1"/>
  <c r="F882" i="42690"/>
  <c r="P961" i="42690"/>
  <c r="P870" i="42690"/>
  <c r="P882" i="42690" s="1"/>
  <c r="P853" i="42690"/>
  <c r="P866" i="42690" s="1"/>
  <c r="M949" i="42692"/>
  <c r="M923" i="42692"/>
  <c r="M58" i="42692"/>
  <c r="M932" i="42692"/>
  <c r="M949" i="42697"/>
  <c r="M923" i="42697"/>
  <c r="Q933" i="42692"/>
  <c r="Q968" i="42692" s="1"/>
  <c r="Q87" i="42692"/>
  <c r="J969" i="42690"/>
  <c r="I167" i="42692"/>
  <c r="I167" i="42691"/>
  <c r="I856" i="42697"/>
  <c r="I149" i="42697"/>
  <c r="I159" i="42697" s="1"/>
  <c r="I160" i="42697" s="1"/>
  <c r="I162" i="42697"/>
  <c r="I161" i="42697"/>
  <c r="Q974" i="42690"/>
  <c r="J281" i="42691"/>
  <c r="J290" i="42691"/>
  <c r="J291" i="42691" s="1"/>
  <c r="I975" i="42690"/>
  <c r="J246" i="42691"/>
  <c r="I931" i="42690"/>
  <c r="I40" i="42690"/>
  <c r="I924" i="42690"/>
  <c r="I870" i="42690"/>
  <c r="I882" i="42690" s="1"/>
  <c r="I853" i="42690"/>
  <c r="I866" i="42690" s="1"/>
  <c r="Q931" i="42690"/>
  <c r="Q40" i="42690"/>
  <c r="Q870" i="42690"/>
  <c r="Q882" i="42690" s="1"/>
  <c r="Q853" i="42690"/>
  <c r="Q866" i="42690" s="1"/>
  <c r="L932" i="42692"/>
  <c r="L58" i="42692"/>
  <c r="L58" i="42697"/>
  <c r="L932" i="42697"/>
  <c r="R87" i="42690"/>
  <c r="R950" i="42690"/>
  <c r="S950" i="42690" s="1"/>
  <c r="J950" i="42691"/>
  <c r="J872" i="42691"/>
  <c r="J979" i="42689"/>
  <c r="D234" i="42696"/>
  <c r="P204" i="42696"/>
  <c r="N167" i="42692"/>
  <c r="N176" i="42689"/>
  <c r="N950" i="42689"/>
  <c r="N985" i="42689" s="1"/>
  <c r="N165" i="42692"/>
  <c r="K971" i="42690"/>
  <c r="N973" i="42690"/>
  <c r="G246" i="42691"/>
  <c r="R417" i="42692"/>
  <c r="R426" i="42689"/>
  <c r="N415" i="42692"/>
  <c r="K448" i="42691"/>
  <c r="K449" i="42691" s="1"/>
  <c r="K439" i="42691"/>
  <c r="K555" i="42691"/>
  <c r="K556" i="42691" s="1"/>
  <c r="K547" i="42691"/>
  <c r="K958" i="42697"/>
  <c r="K562" i="42697"/>
  <c r="R732" i="42692"/>
  <c r="R733" i="42692" s="1"/>
  <c r="F745" i="42692"/>
  <c r="F733" i="42692"/>
  <c r="J745" i="42692"/>
  <c r="J746" i="42692" s="1"/>
  <c r="J733" i="42692"/>
  <c r="O599" i="42692"/>
  <c r="O600" i="42692" s="1"/>
  <c r="O587" i="42692"/>
  <c r="F791" i="42692"/>
  <c r="R779" i="42692"/>
  <c r="R780" i="42692" s="1"/>
  <c r="F780" i="42692"/>
  <c r="F863" i="42692" s="1"/>
  <c r="I859" i="42692"/>
  <c r="I877" i="42692" s="1"/>
  <c r="I489" i="42692"/>
  <c r="I495" i="42692" s="1"/>
  <c r="I490" i="42692"/>
  <c r="I939" i="42692" s="1"/>
  <c r="Q859" i="42691"/>
  <c r="Q490" i="42691"/>
  <c r="Q489" i="42691"/>
  <c r="Q495" i="42691" s="1"/>
  <c r="K627" i="42689"/>
  <c r="K946" i="42689" s="1"/>
  <c r="K981" i="42689" s="1"/>
  <c r="L621" i="42689"/>
  <c r="Q953" i="42689"/>
  <c r="Q988" i="42689" s="1"/>
  <c r="G179" i="42696"/>
  <c r="G147" i="42696"/>
  <c r="G148" i="42696" s="1"/>
  <c r="G151" i="42696"/>
  <c r="G181" i="42696"/>
  <c r="G159" i="42696"/>
  <c r="I439" i="42697" s="1"/>
  <c r="G180" i="42696"/>
  <c r="G158" i="42696"/>
  <c r="I409" i="42697" s="1"/>
  <c r="O179" i="42696"/>
  <c r="O147" i="42696"/>
  <c r="O148" i="42696" s="1"/>
  <c r="O151" i="42696"/>
  <c r="O181" i="42696"/>
  <c r="O159" i="42696"/>
  <c r="Q439" i="42697" s="1"/>
  <c r="O180" i="42696"/>
  <c r="O158" i="42696"/>
  <c r="Q409" i="42697" s="1"/>
  <c r="G949" i="42691"/>
  <c r="G923" i="42691"/>
  <c r="G978" i="42689"/>
  <c r="H120" i="42691"/>
  <c r="H121" i="42691" s="1"/>
  <c r="H111" i="42691"/>
  <c r="K950" i="42689"/>
  <c r="K985" i="42689" s="1"/>
  <c r="K176" i="42689"/>
  <c r="K165" i="42692"/>
  <c r="F185" i="42696"/>
  <c r="F156" i="42696"/>
  <c r="F186" i="42696"/>
  <c r="F157" i="42696"/>
  <c r="K186" i="42691"/>
  <c r="K195" i="42691"/>
  <c r="K196" i="42691" s="1"/>
  <c r="M374" i="42691"/>
  <c r="M386" i="42691"/>
  <c r="M387" i="42691" s="1"/>
  <c r="P246" i="42692"/>
  <c r="P244" i="42691"/>
  <c r="N190" i="42696"/>
  <c r="N154" i="42696"/>
  <c r="M691" i="42691"/>
  <c r="M692" i="42691" s="1"/>
  <c r="M683" i="42691"/>
  <c r="H555" i="42691"/>
  <c r="H556" i="42691" s="1"/>
  <c r="H547" i="42691"/>
  <c r="P952" i="42689"/>
  <c r="P987" i="42689" s="1"/>
  <c r="P571" i="42689"/>
  <c r="P555" i="42692"/>
  <c r="P556" i="42692" s="1"/>
  <c r="P547" i="42692"/>
  <c r="H587" i="42691"/>
  <c r="H599" i="42691"/>
  <c r="H600" i="42691" s="1"/>
  <c r="F524" i="42692"/>
  <c r="K850" i="42692"/>
  <c r="K661" i="42692"/>
  <c r="K652" i="42692"/>
  <c r="K651" i="42692"/>
  <c r="K658" i="42692" s="1"/>
  <c r="O850" i="42691"/>
  <c r="O661" i="42691"/>
  <c r="O652" i="42691"/>
  <c r="O651" i="42691"/>
  <c r="O658" i="42691" s="1"/>
  <c r="L51" i="42689"/>
  <c r="L942" i="42689"/>
  <c r="L841" i="42691"/>
  <c r="L42" i="42691"/>
  <c r="L39" i="42691"/>
  <c r="L948" i="42691" s="1"/>
  <c r="L38" i="42691"/>
  <c r="Q949" i="42691"/>
  <c r="Q923" i="42691"/>
  <c r="R964" i="42689"/>
  <c r="R874" i="42690"/>
  <c r="R953" i="42690"/>
  <c r="S953" i="42690" s="1"/>
  <c r="L185" i="42696"/>
  <c r="L156" i="42696"/>
  <c r="L186" i="42696"/>
  <c r="L157" i="42696"/>
  <c r="H948" i="42689"/>
  <c r="H983" i="42689" s="1"/>
  <c r="H353" i="42689"/>
  <c r="H332" i="42692"/>
  <c r="H333" i="42692" s="1"/>
  <c r="H324" i="42692"/>
  <c r="K949" i="42689"/>
  <c r="K984" i="42689" s="1"/>
  <c r="K407" i="42689"/>
  <c r="K386" i="42692"/>
  <c r="K387" i="42692" s="1"/>
  <c r="K374" i="42692"/>
  <c r="G961" i="42690"/>
  <c r="G962" i="42690" s="1"/>
  <c r="G927" i="42690"/>
  <c r="O961" i="42690"/>
  <c r="O962" i="42690" s="1"/>
  <c r="O927" i="42690"/>
  <c r="J967" i="42690"/>
  <c r="N923" i="42691"/>
  <c r="N949" i="42691"/>
  <c r="L950" i="42691"/>
  <c r="L872" i="42691"/>
  <c r="L979" i="42689"/>
  <c r="L167" i="42691"/>
  <c r="P974" i="42690"/>
  <c r="I311" i="42689"/>
  <c r="I947" i="42689"/>
  <c r="I982" i="42689" s="1"/>
  <c r="I290" i="42692"/>
  <c r="I291" i="42692" s="1"/>
  <c r="I281" i="42692"/>
  <c r="G186" i="42696"/>
  <c r="G157" i="42696"/>
  <c r="Q311" i="42689"/>
  <c r="Q947" i="42689"/>
  <c r="Q982" i="42689" s="1"/>
  <c r="Q290" i="42692"/>
  <c r="Q291" i="42692" s="1"/>
  <c r="Q281" i="42692"/>
  <c r="O186" i="42696"/>
  <c r="O157" i="42696"/>
  <c r="H975" i="42690"/>
  <c r="L195" i="42691"/>
  <c r="L196" i="42691" s="1"/>
  <c r="L186" i="42691"/>
  <c r="P975" i="42690"/>
  <c r="I332" i="42691"/>
  <c r="I333" i="42691" s="1"/>
  <c r="I324" i="42691"/>
  <c r="Q332" i="42691"/>
  <c r="Q333" i="42691" s="1"/>
  <c r="Q324" i="42691"/>
  <c r="L374" i="42691"/>
  <c r="L386" i="42691"/>
  <c r="L387" i="42691" s="1"/>
  <c r="I246" i="42692"/>
  <c r="I255" i="42689"/>
  <c r="I953" i="42689"/>
  <c r="I988" i="42689" s="1"/>
  <c r="I244" i="42692"/>
  <c r="G191" i="42696"/>
  <c r="G160" i="42696"/>
  <c r="M439" i="42691"/>
  <c r="M448" i="42691"/>
  <c r="M449" i="42691" s="1"/>
  <c r="L691" i="42691"/>
  <c r="L692" i="42691" s="1"/>
  <c r="L683" i="42691"/>
  <c r="I599" i="42692"/>
  <c r="I600" i="42692" s="1"/>
  <c r="I587" i="42692"/>
  <c r="F449" i="42692"/>
  <c r="N849" i="42691"/>
  <c r="N450" i="42691"/>
  <c r="N456" i="42691" s="1"/>
  <c r="N459" i="42691"/>
  <c r="K859" i="42692"/>
  <c r="K489" i="42692"/>
  <c r="K495" i="42692" s="1"/>
  <c r="K490" i="42692"/>
  <c r="K939" i="42692" s="1"/>
  <c r="G186" i="42691"/>
  <c r="G195" i="42691"/>
  <c r="G196" i="42691" s="1"/>
  <c r="P794" i="42692"/>
  <c r="P943" i="42692"/>
  <c r="P978" i="42692" s="1"/>
  <c r="N942" i="42689"/>
  <c r="N51" i="42689"/>
  <c r="N841" i="42691"/>
  <c r="N42" i="42691"/>
  <c r="N39" i="42691"/>
  <c r="N948" i="42691" s="1"/>
  <c r="N38" i="42691"/>
  <c r="L969" i="42690"/>
  <c r="O974" i="42690"/>
  <c r="L311" i="42689"/>
  <c r="L947" i="42689"/>
  <c r="L982" i="42689" s="1"/>
  <c r="L290" i="42692"/>
  <c r="L291" i="42692" s="1"/>
  <c r="L281" i="42692"/>
  <c r="O857" i="42697"/>
  <c r="O878" i="42697" s="1"/>
  <c r="O185" i="42697"/>
  <c r="O195" i="42697" s="1"/>
  <c r="O196" i="42697" s="1"/>
  <c r="O197" i="42697"/>
  <c r="Q973" i="42690"/>
  <c r="G691" i="42692"/>
  <c r="G692" i="42692" s="1"/>
  <c r="G683" i="42692"/>
  <c r="R546" i="42691"/>
  <c r="R547" i="42691" s="1"/>
  <c r="F555" i="42691"/>
  <c r="F547" i="42691"/>
  <c r="P254" i="42696"/>
  <c r="N941" i="42697"/>
  <c r="N560" i="42697"/>
  <c r="K745" i="42691"/>
  <c r="K746" i="42691" s="1"/>
  <c r="K733" i="42691"/>
  <c r="K791" i="42691"/>
  <c r="K792" i="42691" s="1"/>
  <c r="K780" i="42691"/>
  <c r="K863" i="42691" s="1"/>
  <c r="K881" i="42691" s="1"/>
  <c r="H860" i="42692"/>
  <c r="H525" i="42692"/>
  <c r="H530" i="42692" s="1"/>
  <c r="I850" i="42691"/>
  <c r="I661" i="42691"/>
  <c r="I652" i="42691"/>
  <c r="I651" i="42691"/>
  <c r="I658" i="42691" s="1"/>
  <c r="M850" i="42692"/>
  <c r="M661" i="42692"/>
  <c r="M652" i="42692"/>
  <c r="M651" i="42692"/>
  <c r="M658" i="42692" s="1"/>
  <c r="Q850" i="42691"/>
  <c r="Q661" i="42691"/>
  <c r="Q652" i="42691"/>
  <c r="Q651" i="42691"/>
  <c r="Q658" i="42691" s="1"/>
  <c r="H51" i="42689"/>
  <c r="H935" i="42689"/>
  <c r="H942" i="42689"/>
  <c r="H841" i="42691"/>
  <c r="H42" i="42691"/>
  <c r="H39" i="42691"/>
  <c r="H948" i="42691" s="1"/>
  <c r="H38" i="42691"/>
  <c r="K111" i="42697"/>
  <c r="K81" i="42697"/>
  <c r="J111" i="42691"/>
  <c r="J120" i="42691"/>
  <c r="J121" i="42691" s="1"/>
  <c r="Q950" i="42689"/>
  <c r="Q985" i="42689" s="1"/>
  <c r="Q176" i="42689"/>
  <c r="Q165" i="42692"/>
  <c r="J971" i="42690"/>
  <c r="Q975" i="42690"/>
  <c r="G973" i="42690"/>
  <c r="J977" i="42690"/>
  <c r="M972" i="42689"/>
  <c r="M973" i="42689" s="1"/>
  <c r="M881" i="42689"/>
  <c r="M893" i="42689" s="1"/>
  <c r="M864" i="42689"/>
  <c r="M877" i="42689" s="1"/>
  <c r="M841" i="42692"/>
  <c r="M38" i="42692"/>
  <c r="M39" i="42692"/>
  <c r="M948" i="42692" s="1"/>
  <c r="M42" i="42692"/>
  <c r="H58" i="42691"/>
  <c r="H932" i="42691"/>
  <c r="H978" i="42689"/>
  <c r="L967" i="42690"/>
  <c r="P58" i="42691"/>
  <c r="P932" i="42691"/>
  <c r="P978" i="42689"/>
  <c r="R85" i="42691"/>
  <c r="F87" i="42691"/>
  <c r="F933" i="42691"/>
  <c r="R89" i="42691"/>
  <c r="F872" i="42691"/>
  <c r="R843" i="42691"/>
  <c r="R872" i="42691" s="1"/>
  <c r="F979" i="42689"/>
  <c r="R979" i="42689" s="1"/>
  <c r="K15" i="42699" s="1"/>
  <c r="R944" i="42689"/>
  <c r="N950" i="42691"/>
  <c r="N872" i="42691"/>
  <c r="R856" i="42691"/>
  <c r="R967" i="42689"/>
  <c r="R159" i="42690"/>
  <c r="F160" i="42690"/>
  <c r="R213" i="42689"/>
  <c r="J857" i="42697"/>
  <c r="J878" i="42697" s="1"/>
  <c r="J185" i="42697"/>
  <c r="J195" i="42697" s="1"/>
  <c r="J196" i="42697" s="1"/>
  <c r="J197" i="42697"/>
  <c r="R966" i="42689"/>
  <c r="R397" i="42689"/>
  <c r="R398" i="42689" s="1"/>
  <c r="R407" i="42689" s="1"/>
  <c r="F398" i="42689"/>
  <c r="F386" i="42692"/>
  <c r="R373" i="42692"/>
  <c r="R374" i="42692" s="1"/>
  <c r="F374" i="42692"/>
  <c r="D110" i="42696"/>
  <c r="P98" i="42696"/>
  <c r="J973" i="42690"/>
  <c r="J415" i="42692"/>
  <c r="O448" i="42692"/>
  <c r="O449" i="42692" s="1"/>
  <c r="O439" i="42692"/>
  <c r="N478" i="42691"/>
  <c r="N487" i="42691"/>
  <c r="N488" i="42691" s="1"/>
  <c r="R691" i="42690"/>
  <c r="F692" i="42690"/>
  <c r="G952" i="42689"/>
  <c r="G987" i="42689" s="1"/>
  <c r="G571" i="42689"/>
  <c r="G555" i="42692"/>
  <c r="G556" i="42692" s="1"/>
  <c r="G547" i="42692"/>
  <c r="G560" i="42697"/>
  <c r="G941" i="42697"/>
  <c r="O952" i="42689"/>
  <c r="O987" i="42689" s="1"/>
  <c r="O571" i="42689"/>
  <c r="O555" i="42692"/>
  <c r="O556" i="42692" s="1"/>
  <c r="O547" i="42692"/>
  <c r="O560" i="42697"/>
  <c r="O941" i="42697"/>
  <c r="N745" i="42692"/>
  <c r="N746" i="42692" s="1"/>
  <c r="N733" i="42692"/>
  <c r="P849" i="42692"/>
  <c r="P459" i="42692"/>
  <c r="P450" i="42692"/>
  <c r="P456" i="42692" s="1"/>
  <c r="M859" i="42691"/>
  <c r="M490" i="42691"/>
  <c r="M939" i="42691" s="1"/>
  <c r="M489" i="42691"/>
  <c r="M495" i="42691" s="1"/>
  <c r="J927" i="42690"/>
  <c r="J40" i="42690"/>
  <c r="J931" i="42690"/>
  <c r="J924" i="42690"/>
  <c r="G967" i="42690"/>
  <c r="H969" i="42690"/>
  <c r="H971" i="42690"/>
  <c r="P281" i="42691"/>
  <c r="P290" i="42691"/>
  <c r="P291" i="42691" s="1"/>
  <c r="R875" i="42690"/>
  <c r="H246" i="42691"/>
  <c r="J514" i="42691"/>
  <c r="J523" i="42691"/>
  <c r="J524" i="42691" s="1"/>
  <c r="Q691" i="42691"/>
  <c r="Q692" i="42691" s="1"/>
  <c r="Q683" i="42691"/>
  <c r="L952" i="42689"/>
  <c r="L987" i="42689" s="1"/>
  <c r="L571" i="42689"/>
  <c r="L555" i="42692"/>
  <c r="L556" i="42692" s="1"/>
  <c r="L547" i="42692"/>
  <c r="Q733" i="42691"/>
  <c r="Q745" i="42691"/>
  <c r="Q746" i="42691" s="1"/>
  <c r="M805" i="42689"/>
  <c r="M954" i="42689"/>
  <c r="M989" i="42689" s="1"/>
  <c r="M791" i="42692"/>
  <c r="M792" i="42692" s="1"/>
  <c r="M780" i="42692"/>
  <c r="M863" i="42692" s="1"/>
  <c r="M881" i="42692" s="1"/>
  <c r="R919" i="42692"/>
  <c r="G111" i="42697"/>
  <c r="G81" i="42697"/>
  <c r="O111" i="42697"/>
  <c r="O81" i="42697"/>
  <c r="I932" i="42691"/>
  <c r="I58" i="42691"/>
  <c r="I933" i="42689"/>
  <c r="Q922" i="42690"/>
  <c r="M933" i="42691"/>
  <c r="M968" i="42691" s="1"/>
  <c r="M87" i="42691"/>
  <c r="R110" i="42691"/>
  <c r="R111" i="42691" s="1"/>
  <c r="F111" i="42691"/>
  <c r="F120" i="42691"/>
  <c r="D106" i="42696"/>
  <c r="P94" i="42696"/>
  <c r="M167" i="42692"/>
  <c r="M956" i="42691"/>
  <c r="M167" i="42691"/>
  <c r="M856" i="42697"/>
  <c r="M149" i="42697"/>
  <c r="M159" i="42697" s="1"/>
  <c r="M160" i="42697" s="1"/>
  <c r="M162" i="42697"/>
  <c r="M161" i="42697"/>
  <c r="M211" i="42689"/>
  <c r="M951" i="42689"/>
  <c r="M986" i="42689" s="1"/>
  <c r="M195" i="42692"/>
  <c r="M196" i="42692" s="1"/>
  <c r="M186" i="42692"/>
  <c r="P948" i="42689"/>
  <c r="P983" i="42689" s="1"/>
  <c r="P353" i="42689"/>
  <c r="P332" i="42692"/>
  <c r="P333" i="42692" s="1"/>
  <c r="P324" i="42692"/>
  <c r="F246" i="42692"/>
  <c r="R241" i="42692"/>
  <c r="R226" i="42691"/>
  <c r="F239" i="42691"/>
  <c r="N246" i="42692"/>
  <c r="N953" i="42689"/>
  <c r="N988" i="42689" s="1"/>
  <c r="N255" i="42689"/>
  <c r="N942" i="42692"/>
  <c r="N244" i="42692"/>
  <c r="L191" i="42696"/>
  <c r="L160" i="42696"/>
  <c r="K40" i="42690"/>
  <c r="K931" i="42690"/>
  <c r="K870" i="42690"/>
  <c r="K882" i="42690" s="1"/>
  <c r="K853" i="42690"/>
  <c r="K866" i="42690" s="1"/>
  <c r="H180" i="42696"/>
  <c r="H158" i="42696"/>
  <c r="J409" i="42697" s="1"/>
  <c r="H147" i="42696"/>
  <c r="H148" i="42696" s="1"/>
  <c r="H179" i="42696"/>
  <c r="H151" i="42696"/>
  <c r="H181" i="42696"/>
  <c r="H159" i="42696"/>
  <c r="J439" i="42697" s="1"/>
  <c r="L180" i="42696"/>
  <c r="L158" i="42696"/>
  <c r="N409" i="42697" s="1"/>
  <c r="L147" i="42696"/>
  <c r="L148" i="42696" s="1"/>
  <c r="L179" i="42696"/>
  <c r="L151" i="42696"/>
  <c r="L181" i="42696"/>
  <c r="L159" i="42696"/>
  <c r="N439" i="42697" s="1"/>
  <c r="R56" i="42692"/>
  <c r="F932" i="42692"/>
  <c r="F58" i="42692"/>
  <c r="R60" i="42692"/>
  <c r="R960" i="42689"/>
  <c r="R58" i="42690"/>
  <c r="J58" i="42692"/>
  <c r="J932" i="42692"/>
  <c r="J933" i="42689"/>
  <c r="J973" i="42689" s="1"/>
  <c r="H950" i="42692"/>
  <c r="H872" i="42692"/>
  <c r="P950" i="42692"/>
  <c r="P872" i="42692"/>
  <c r="M111" i="42691"/>
  <c r="M120" i="42691"/>
  <c r="M121" i="42691" s="1"/>
  <c r="H165" i="42691"/>
  <c r="H856" i="42697"/>
  <c r="H149" i="42697"/>
  <c r="H159" i="42697" s="1"/>
  <c r="H160" i="42697" s="1"/>
  <c r="H161" i="42697"/>
  <c r="H162" i="42697"/>
  <c r="P167" i="42691"/>
  <c r="I971" i="42690"/>
  <c r="Q971" i="42690"/>
  <c r="H857" i="42697"/>
  <c r="H878" i="42697" s="1"/>
  <c r="H185" i="42697"/>
  <c r="H195" i="42697" s="1"/>
  <c r="H196" i="42697" s="1"/>
  <c r="H197" i="42697"/>
  <c r="M246" i="42691"/>
  <c r="L415" i="42692"/>
  <c r="Q439" i="42692"/>
  <c r="Q448" i="42692"/>
  <c r="Q449" i="42692" s="1"/>
  <c r="L478" i="42691"/>
  <c r="L487" i="42691"/>
  <c r="L488" i="42691" s="1"/>
  <c r="H691" i="42691"/>
  <c r="H692" i="42691" s="1"/>
  <c r="H683" i="42691"/>
  <c r="M952" i="42689"/>
  <c r="M987" i="42689" s="1"/>
  <c r="M571" i="42689"/>
  <c r="M555" i="42692"/>
  <c r="M556" i="42692" s="1"/>
  <c r="M547" i="42692"/>
  <c r="M560" i="42697"/>
  <c r="M941" i="42697"/>
  <c r="H733" i="42692"/>
  <c r="H745" i="42692"/>
  <c r="H746" i="42692" s="1"/>
  <c r="M599" i="42692"/>
  <c r="M600" i="42692" s="1"/>
  <c r="M587" i="42692"/>
  <c r="G859" i="42691"/>
  <c r="G877" i="42691" s="1"/>
  <c r="G489" i="42691"/>
  <c r="G495" i="42691" s="1"/>
  <c r="G490" i="42691"/>
  <c r="S947" i="42690"/>
  <c r="AD18" i="42699"/>
  <c r="R976" i="42689"/>
  <c r="Q227" i="42697"/>
  <c r="O255" i="42696"/>
  <c r="O207" i="42696"/>
  <c r="O237" i="42696" s="1"/>
  <c r="R38" i="42690"/>
  <c r="R40" i="42690" s="1"/>
  <c r="F40" i="42690"/>
  <c r="F931" i="42690"/>
  <c r="O877" i="42691"/>
  <c r="O745" i="42691"/>
  <c r="O746" i="42691" s="1"/>
  <c r="O733" i="42691"/>
  <c r="I165" i="42691"/>
  <c r="H184" i="42696"/>
  <c r="H155" i="42696"/>
  <c r="Q195" i="42691"/>
  <c r="Q196" i="42691" s="1"/>
  <c r="Q186" i="42691"/>
  <c r="G949" i="42689"/>
  <c r="G984" i="42689" s="1"/>
  <c r="G407" i="42689"/>
  <c r="G386" i="42692"/>
  <c r="G387" i="42692" s="1"/>
  <c r="G374" i="42692"/>
  <c r="J953" i="42689"/>
  <c r="J988" i="42689" s="1"/>
  <c r="J255" i="42689"/>
  <c r="J942" i="42692"/>
  <c r="J244" i="42692"/>
  <c r="H191" i="42696"/>
  <c r="H160" i="42696"/>
  <c r="I935" i="42689"/>
  <c r="I942" i="42689"/>
  <c r="I51" i="42689"/>
  <c r="I841" i="42691"/>
  <c r="I42" i="42691"/>
  <c r="I39" i="42691"/>
  <c r="I948" i="42691" s="1"/>
  <c r="I38" i="42691"/>
  <c r="Q942" i="42689"/>
  <c r="Q51" i="42689"/>
  <c r="Q841" i="42691"/>
  <c r="Q42" i="42691"/>
  <c r="Q39" i="42691"/>
  <c r="Q948" i="42691" s="1"/>
  <c r="Q38" i="42691"/>
  <c r="L58" i="42691"/>
  <c r="L932" i="42691"/>
  <c r="L967" i="42691" s="1"/>
  <c r="G111" i="42691"/>
  <c r="G120" i="42691"/>
  <c r="G121" i="42691" s="1"/>
  <c r="O111" i="42691"/>
  <c r="O120" i="42691"/>
  <c r="O121" i="42691" s="1"/>
  <c r="N167" i="42691"/>
  <c r="G947" i="42689"/>
  <c r="G982" i="42689" s="1"/>
  <c r="G311" i="42689"/>
  <c r="G290" i="42692"/>
  <c r="G291" i="42692" s="1"/>
  <c r="G281" i="42692"/>
  <c r="E186" i="42696"/>
  <c r="E157" i="42696"/>
  <c r="O947" i="42689"/>
  <c r="O982" i="42689" s="1"/>
  <c r="O311" i="42689"/>
  <c r="O290" i="42692"/>
  <c r="O291" i="42692" s="1"/>
  <c r="O281" i="42692"/>
  <c r="M186" i="42696"/>
  <c r="M157" i="42696"/>
  <c r="F857" i="42697"/>
  <c r="R186" i="42697"/>
  <c r="F190" i="42698" s="1"/>
  <c r="F544" i="42698" s="1"/>
  <c r="F565" i="42698" s="1"/>
  <c r="F185" i="42697"/>
  <c r="F197" i="42697"/>
  <c r="N195" i="42691"/>
  <c r="N196" i="42691" s="1"/>
  <c r="N186" i="42691"/>
  <c r="K948" i="42689"/>
  <c r="K983" i="42689" s="1"/>
  <c r="K353" i="42689"/>
  <c r="K332" i="42692"/>
  <c r="K333" i="42692" s="1"/>
  <c r="K324" i="42692"/>
  <c r="R955" i="42690"/>
  <c r="S955" i="42690" s="1"/>
  <c r="J949" i="42689"/>
  <c r="J984" i="42689" s="1"/>
  <c r="J407" i="42689"/>
  <c r="J386" i="42692"/>
  <c r="J387" i="42692" s="1"/>
  <c r="J374" i="42692"/>
  <c r="G255" i="42689"/>
  <c r="G953" i="42689"/>
  <c r="G988" i="42689" s="1"/>
  <c r="G244" i="42692"/>
  <c r="G942" i="42692"/>
  <c r="E191" i="42696"/>
  <c r="E160" i="42696"/>
  <c r="O255" i="42689"/>
  <c r="O953" i="42689"/>
  <c r="O988" i="42689" s="1"/>
  <c r="O244" i="42692"/>
  <c r="O942" i="42692"/>
  <c r="M191" i="42696"/>
  <c r="M160" i="42696"/>
  <c r="R498" i="42689"/>
  <c r="F499" i="42689"/>
  <c r="R477" i="42691"/>
  <c r="F478" i="42691"/>
  <c r="F487" i="42691"/>
  <c r="R487" i="42690"/>
  <c r="F488" i="42690"/>
  <c r="J478" i="42691"/>
  <c r="J487" i="42691"/>
  <c r="J488" i="42691" s="1"/>
  <c r="R649" i="42690"/>
  <c r="F650" i="42690"/>
  <c r="J649" i="42692"/>
  <c r="J650" i="42692" s="1"/>
  <c r="J640" i="42692"/>
  <c r="G523" i="42691"/>
  <c r="G524" i="42691" s="1"/>
  <c r="G514" i="42691"/>
  <c r="O523" i="42691"/>
  <c r="O524" i="42691" s="1"/>
  <c r="O514" i="42691"/>
  <c r="R682" i="42692"/>
  <c r="R683" i="42692" s="1"/>
  <c r="F691" i="42692"/>
  <c r="F683" i="42692"/>
  <c r="N691" i="42692"/>
  <c r="N692" i="42692" s="1"/>
  <c r="N683" i="42692"/>
  <c r="G599" i="42691"/>
  <c r="G600" i="42691" s="1"/>
  <c r="G587" i="42691"/>
  <c r="N805" i="42689"/>
  <c r="N954" i="42689"/>
  <c r="N989" i="42689" s="1"/>
  <c r="N791" i="42692"/>
  <c r="N792" i="42692" s="1"/>
  <c r="N780" i="42692"/>
  <c r="N863" i="42692" s="1"/>
  <c r="N881" i="42692" s="1"/>
  <c r="L849" i="42692"/>
  <c r="L459" i="42692"/>
  <c r="L450" i="42692"/>
  <c r="L456" i="42692" s="1"/>
  <c r="I859" i="42691"/>
  <c r="I490" i="42691"/>
  <c r="I939" i="42691" s="1"/>
  <c r="I489" i="42691"/>
  <c r="I495" i="42691" s="1"/>
  <c r="Q859" i="42692"/>
  <c r="Q877" i="42692" s="1"/>
  <c r="Q489" i="42692"/>
  <c r="Q495" i="42692" s="1"/>
  <c r="Q490" i="42692"/>
  <c r="Q939" i="42692" s="1"/>
  <c r="G949" i="42692"/>
  <c r="G923" i="42692"/>
  <c r="G932" i="42692"/>
  <c r="G58" i="42692"/>
  <c r="G949" i="42697"/>
  <c r="G923" i="42697"/>
  <c r="G58" i="42697"/>
  <c r="G932" i="42697"/>
  <c r="K956" i="42692"/>
  <c r="K167" i="42692"/>
  <c r="K877" i="42692"/>
  <c r="K167" i="42691"/>
  <c r="K856" i="42697"/>
  <c r="K149" i="42697"/>
  <c r="K159" i="42697" s="1"/>
  <c r="K160" i="42697" s="1"/>
  <c r="K162" i="42697"/>
  <c r="K161" i="42697"/>
  <c r="H281" i="42691"/>
  <c r="H290" i="42691"/>
  <c r="H291" i="42691" s="1"/>
  <c r="K857" i="42697"/>
  <c r="K878" i="42697" s="1"/>
  <c r="K185" i="42697"/>
  <c r="K195" i="42697" s="1"/>
  <c r="K196" i="42697" s="1"/>
  <c r="K197" i="42697"/>
  <c r="R323" i="42691"/>
  <c r="R324" i="42691" s="1"/>
  <c r="F332" i="42691"/>
  <c r="F324" i="42691"/>
  <c r="P246" i="42691"/>
  <c r="F530" i="42697"/>
  <c r="R530" i="42697" s="1"/>
  <c r="R525" i="42697"/>
  <c r="F378" i="42698" s="1"/>
  <c r="F383" i="42698" s="1"/>
  <c r="R513" i="42697"/>
  <c r="F523" i="42697"/>
  <c r="N523" i="42692"/>
  <c r="N524" i="42692" s="1"/>
  <c r="N514" i="42692"/>
  <c r="H941" i="42697"/>
  <c r="H976" i="42697" s="1"/>
  <c r="H560" i="42697"/>
  <c r="P958" i="42697"/>
  <c r="P562" i="42697"/>
  <c r="M745" i="42692"/>
  <c r="M746" i="42692" s="1"/>
  <c r="M733" i="42692"/>
  <c r="P587" i="42691"/>
  <c r="P599" i="42691"/>
  <c r="P600" i="42691" s="1"/>
  <c r="I805" i="42689"/>
  <c r="I954" i="42689"/>
  <c r="I989" i="42689" s="1"/>
  <c r="I791" i="42692"/>
  <c r="I792" i="42692" s="1"/>
  <c r="I780" i="42692"/>
  <c r="I863" i="42692" s="1"/>
  <c r="I881" i="42692" s="1"/>
  <c r="Q791" i="42691"/>
  <c r="Q792" i="42691" s="1"/>
  <c r="Q780" i="42691"/>
  <c r="Q863" i="42691" s="1"/>
  <c r="Q881" i="42691" s="1"/>
  <c r="F524" i="42691"/>
  <c r="R513" i="42691"/>
  <c r="R534" i="42689"/>
  <c r="K659" i="42691"/>
  <c r="O659" i="42692"/>
  <c r="L926" i="42690"/>
  <c r="M937" i="42689"/>
  <c r="R869" i="42691"/>
  <c r="L927" i="42690"/>
  <c r="L40" i="42690"/>
  <c r="L931" i="42690"/>
  <c r="Q58" i="42697"/>
  <c r="Q932" i="42697"/>
  <c r="Q967" i="42697" s="1"/>
  <c r="R951" i="42690"/>
  <c r="S951" i="42690" s="1"/>
  <c r="N111" i="42691"/>
  <c r="N120" i="42691"/>
  <c r="N121" i="42691" s="1"/>
  <c r="R301" i="42689"/>
  <c r="R302" i="42689" s="1"/>
  <c r="R311" i="42689" s="1"/>
  <c r="F302" i="42689"/>
  <c r="F290" i="42692"/>
  <c r="R280" i="42692"/>
  <c r="R281" i="42692" s="1"/>
  <c r="F281" i="42692"/>
  <c r="R290" i="42690"/>
  <c r="R291" i="42690" s="1"/>
  <c r="R300" i="42690" s="1"/>
  <c r="F291" i="42690"/>
  <c r="N281" i="42691"/>
  <c r="N290" i="42691"/>
  <c r="N291" i="42691" s="1"/>
  <c r="D107" i="42696"/>
  <c r="P95" i="42696"/>
  <c r="G972" i="42689"/>
  <c r="G881" i="42689"/>
  <c r="G893" i="42689" s="1"/>
  <c r="G864" i="42689"/>
  <c r="G877" i="42689" s="1"/>
  <c r="G841" i="42692"/>
  <c r="G38" i="42692"/>
  <c r="G39" i="42692"/>
  <c r="G948" i="42692" s="1"/>
  <c r="G42" i="42692"/>
  <c r="O881" i="42689"/>
  <c r="O893" i="42689" s="1"/>
  <c r="O864" i="42689"/>
  <c r="O877" i="42689" s="1"/>
  <c r="O841" i="42692"/>
  <c r="O38" i="42692"/>
  <c r="O39" i="42692"/>
  <c r="O948" i="42692" s="1"/>
  <c r="O42" i="42692"/>
  <c r="N58" i="42692"/>
  <c r="N932" i="42692"/>
  <c r="N967" i="42692" s="1"/>
  <c r="I111" i="42691"/>
  <c r="I120" i="42691"/>
  <c r="I121" i="42691" s="1"/>
  <c r="Q111" i="42691"/>
  <c r="Q120" i="42691"/>
  <c r="Q121" i="42691" s="1"/>
  <c r="L165" i="42691"/>
  <c r="L856" i="42697"/>
  <c r="L149" i="42697"/>
  <c r="L159" i="42697" s="1"/>
  <c r="L160" i="42697" s="1"/>
  <c r="L161" i="42697"/>
  <c r="L162" i="42697"/>
  <c r="I246" i="42691"/>
  <c r="H478" i="42691"/>
  <c r="H487" i="42691"/>
  <c r="H488" i="42691" s="1"/>
  <c r="P478" i="42691"/>
  <c r="P487" i="42691"/>
  <c r="P488" i="42691" s="1"/>
  <c r="L649" i="42692"/>
  <c r="L650" i="42692" s="1"/>
  <c r="L640" i="42692"/>
  <c r="I523" i="42692"/>
  <c r="I524" i="42692" s="1"/>
  <c r="I514" i="42692"/>
  <c r="Q514" i="42691"/>
  <c r="Q523" i="42691"/>
  <c r="Q524" i="42691" s="1"/>
  <c r="I952" i="42689"/>
  <c r="I987" i="42689" s="1"/>
  <c r="I571" i="42689"/>
  <c r="I555" i="42692"/>
  <c r="I556" i="42692" s="1"/>
  <c r="I547" i="42692"/>
  <c r="I560" i="42697"/>
  <c r="I941" i="42697"/>
  <c r="I976" i="42697" s="1"/>
  <c r="Q952" i="42689"/>
  <c r="Q987" i="42689" s="1"/>
  <c r="Q571" i="42689"/>
  <c r="Q555" i="42692"/>
  <c r="Q556" i="42692" s="1"/>
  <c r="Q547" i="42692"/>
  <c r="Q560" i="42697"/>
  <c r="Q941" i="42697"/>
  <c r="Q976" i="42697" s="1"/>
  <c r="L733" i="42692"/>
  <c r="L745" i="42692"/>
  <c r="L746" i="42692" s="1"/>
  <c r="Q599" i="42692"/>
  <c r="Q600" i="42692" s="1"/>
  <c r="Q587" i="42692"/>
  <c r="L791" i="42691"/>
  <c r="L792" i="42691" s="1"/>
  <c r="L780" i="42691"/>
  <c r="L863" i="42691" s="1"/>
  <c r="L881" i="42691" s="1"/>
  <c r="F449" i="42691"/>
  <c r="F457" i="42691" s="1"/>
  <c r="N457" i="42692"/>
  <c r="K859" i="42691"/>
  <c r="K877" i="42691" s="1"/>
  <c r="K489" i="42691"/>
  <c r="K495" i="42691" s="1"/>
  <c r="K490" i="42691"/>
  <c r="K926" i="42692"/>
  <c r="L926" i="42691"/>
  <c r="M111" i="42697"/>
  <c r="K250" i="42696"/>
  <c r="K199" i="42696"/>
  <c r="K230" i="42696" s="1"/>
  <c r="M81" i="42697"/>
  <c r="K249" i="42696"/>
  <c r="K198" i="42696"/>
  <c r="K229" i="42696" s="1"/>
  <c r="K932" i="42691"/>
  <c r="K967" i="42691" s="1"/>
  <c r="K58" i="42691"/>
  <c r="L120" i="42691"/>
  <c r="L121" i="42691" s="1"/>
  <c r="L111" i="42691"/>
  <c r="AE28" i="42699"/>
  <c r="N40" i="42690"/>
  <c r="N931" i="42690"/>
  <c r="G165" i="42691"/>
  <c r="G939" i="42691"/>
  <c r="J185" i="42696"/>
  <c r="J156" i="42696"/>
  <c r="J186" i="42696"/>
  <c r="J157" i="42696"/>
  <c r="O186" i="42691"/>
  <c r="O195" i="42691"/>
  <c r="O196" i="42691" s="1"/>
  <c r="I374" i="42691"/>
  <c r="I386" i="42691"/>
  <c r="I387" i="42691" s="1"/>
  <c r="L246" i="42692"/>
  <c r="L244" i="42691"/>
  <c r="J190" i="42696"/>
  <c r="J154" i="42696"/>
  <c r="R524" i="42690"/>
  <c r="R528" i="42690" s="1"/>
  <c r="F528" i="42690"/>
  <c r="L523" i="42692"/>
  <c r="L524" i="42692" s="1"/>
  <c r="L514" i="42692"/>
  <c r="O691" i="42691"/>
  <c r="O692" i="42691" s="1"/>
  <c r="O683" i="42691"/>
  <c r="R969" i="42689"/>
  <c r="F958" i="42697"/>
  <c r="F562" i="42697"/>
  <c r="R557" i="42697"/>
  <c r="N952" i="42689"/>
  <c r="N987" i="42689" s="1"/>
  <c r="N571" i="42689"/>
  <c r="N555" i="42692"/>
  <c r="N556" i="42692" s="1"/>
  <c r="N547" i="42692"/>
  <c r="J587" i="42691"/>
  <c r="J599" i="42691"/>
  <c r="J600" i="42691" s="1"/>
  <c r="J942" i="42691" s="1"/>
  <c r="H860" i="42691"/>
  <c r="H525" i="42691"/>
  <c r="H530" i="42691" s="1"/>
  <c r="I850" i="42692"/>
  <c r="I661" i="42692"/>
  <c r="I652" i="42692"/>
  <c r="I651" i="42692"/>
  <c r="I658" i="42692" s="1"/>
  <c r="M850" i="42691"/>
  <c r="M661" i="42691"/>
  <c r="M652" i="42691"/>
  <c r="M651" i="42691"/>
  <c r="M658" i="42691" s="1"/>
  <c r="Q850" i="42692"/>
  <c r="Q661" i="42692"/>
  <c r="Q652" i="42692"/>
  <c r="Q651" i="42692"/>
  <c r="Q658" i="42692" s="1"/>
  <c r="S930" i="42692"/>
  <c r="R965" i="42692"/>
  <c r="H961" i="42690"/>
  <c r="H870" i="42690"/>
  <c r="H882" i="42690" s="1"/>
  <c r="H853" i="42690"/>
  <c r="H866" i="42690" s="1"/>
  <c r="Q877" i="42691"/>
  <c r="I195" i="42691"/>
  <c r="I196" i="42691" s="1"/>
  <c r="I186" i="42691"/>
  <c r="L948" i="42689"/>
  <c r="L983" i="42689" s="1"/>
  <c r="L353" i="42689"/>
  <c r="L332" i="42692"/>
  <c r="L333" i="42692" s="1"/>
  <c r="L324" i="42692"/>
  <c r="O374" i="42691"/>
  <c r="O386" i="42691"/>
  <c r="O387" i="42691" s="1"/>
  <c r="M931" i="42690"/>
  <c r="M40" i="42690"/>
  <c r="M870" i="42690"/>
  <c r="M882" i="42690" s="1"/>
  <c r="M853" i="42690"/>
  <c r="M866" i="42690" s="1"/>
  <c r="F180" i="42696"/>
  <c r="F158" i="42696"/>
  <c r="H409" i="42697" s="1"/>
  <c r="F147" i="42696"/>
  <c r="F148" i="42696" s="1"/>
  <c r="F179" i="42696"/>
  <c r="F151" i="42696"/>
  <c r="F181" i="42696"/>
  <c r="F159" i="42696"/>
  <c r="H439" i="42697" s="1"/>
  <c r="J180" i="42696"/>
  <c r="J158" i="42696"/>
  <c r="L409" i="42697" s="1"/>
  <c r="J147" i="42696"/>
  <c r="J148" i="42696" s="1"/>
  <c r="J179" i="42696"/>
  <c r="J151" i="42696"/>
  <c r="J181" i="42696"/>
  <c r="J159" i="42696"/>
  <c r="L439" i="42697" s="1"/>
  <c r="N180" i="42696"/>
  <c r="N158" i="42696"/>
  <c r="P409" i="42697" s="1"/>
  <c r="N147" i="42696"/>
  <c r="N148" i="42696" s="1"/>
  <c r="N179" i="42696"/>
  <c r="N151" i="42696"/>
  <c r="N181" i="42696"/>
  <c r="N159" i="42696"/>
  <c r="P439" i="42697" s="1"/>
  <c r="H949" i="42692"/>
  <c r="H923" i="42692"/>
  <c r="H949" i="42697"/>
  <c r="H923" i="42697"/>
  <c r="L922" i="42690"/>
  <c r="P949" i="42692"/>
  <c r="P923" i="42692"/>
  <c r="P949" i="42697"/>
  <c r="P923" i="42697"/>
  <c r="R89" i="42692"/>
  <c r="F872" i="42692"/>
  <c r="R843" i="42692"/>
  <c r="R872" i="42692" s="1"/>
  <c r="R883" i="42689"/>
  <c r="D105" i="42696"/>
  <c r="P93" i="42696"/>
  <c r="K111" i="42691"/>
  <c r="K120" i="42691"/>
  <c r="K121" i="42691" s="1"/>
  <c r="R162" i="42692"/>
  <c r="R161" i="42692"/>
  <c r="F167" i="42692"/>
  <c r="R875" i="42689"/>
  <c r="R888" i="42689"/>
  <c r="F159" i="42692"/>
  <c r="R149" i="42692"/>
  <c r="R167" i="42690"/>
  <c r="J167" i="42692"/>
  <c r="J176" i="42689"/>
  <c r="J950" i="42689"/>
  <c r="J985" i="42689" s="1"/>
  <c r="J165" i="42692"/>
  <c r="K947" i="42689"/>
  <c r="K982" i="42689" s="1"/>
  <c r="K311" i="42689"/>
  <c r="K290" i="42692"/>
  <c r="K291" i="42692" s="1"/>
  <c r="K281" i="42692"/>
  <c r="I186" i="42696"/>
  <c r="I157" i="42696"/>
  <c r="F195" i="42691"/>
  <c r="R185" i="42691"/>
  <c r="F186" i="42691"/>
  <c r="R957" i="42690"/>
  <c r="R202" i="42690"/>
  <c r="J211" i="42689"/>
  <c r="J951" i="42689"/>
  <c r="J986" i="42689" s="1"/>
  <c r="J195" i="42692"/>
  <c r="J196" i="42692" s="1"/>
  <c r="J186" i="42692"/>
  <c r="G332" i="42691"/>
  <c r="G333" i="42691" s="1"/>
  <c r="G324" i="42691"/>
  <c r="O948" i="42689"/>
  <c r="O983" i="42689" s="1"/>
  <c r="O353" i="42689"/>
  <c r="O332" i="42692"/>
  <c r="O333" i="42692" s="1"/>
  <c r="O324" i="42692"/>
  <c r="N949" i="42689"/>
  <c r="N984" i="42689" s="1"/>
  <c r="N407" i="42689"/>
  <c r="N386" i="42692"/>
  <c r="N387" i="42692" s="1"/>
  <c r="N374" i="42692"/>
  <c r="K255" i="42689"/>
  <c r="K953" i="42689"/>
  <c r="K988" i="42689" s="1"/>
  <c r="K244" i="42692"/>
  <c r="K942" i="42692"/>
  <c r="I191" i="42696"/>
  <c r="I160" i="42696"/>
  <c r="R415" i="42690"/>
  <c r="G448" i="42692"/>
  <c r="G449" i="42692" s="1"/>
  <c r="G439" i="42692"/>
  <c r="R639" i="42691"/>
  <c r="R640" i="42691" s="1"/>
  <c r="F640" i="42691"/>
  <c r="F649" i="42691"/>
  <c r="N649" i="42692"/>
  <c r="N650" i="42692" s="1"/>
  <c r="N640" i="42692"/>
  <c r="K523" i="42691"/>
  <c r="K524" i="42691" s="1"/>
  <c r="K514" i="42691"/>
  <c r="J691" i="42692"/>
  <c r="J692" i="42692" s="1"/>
  <c r="J683" i="42692"/>
  <c r="K599" i="42691"/>
  <c r="K600" i="42691" s="1"/>
  <c r="K942" i="42691" s="1"/>
  <c r="K587" i="42691"/>
  <c r="J805" i="42689"/>
  <c r="J954" i="42689"/>
  <c r="J989" i="42689" s="1"/>
  <c r="J791" i="42692"/>
  <c r="J792" i="42692" s="1"/>
  <c r="J780" i="42692"/>
  <c r="J863" i="42692" s="1"/>
  <c r="J881" i="42692" s="1"/>
  <c r="H849" i="42692"/>
  <c r="H459" i="42692"/>
  <c r="H450" i="42692"/>
  <c r="H456" i="42692" s="1"/>
  <c r="P457" i="42691"/>
  <c r="M859" i="42692"/>
  <c r="M877" i="42692" s="1"/>
  <c r="M489" i="42692"/>
  <c r="M495" i="42692" s="1"/>
  <c r="M490" i="42692"/>
  <c r="M939" i="42692" s="1"/>
  <c r="K616" i="42690"/>
  <c r="K935" i="42690" s="1"/>
  <c r="K970" i="42690" s="1"/>
  <c r="L610" i="42690"/>
  <c r="F29" i="42699"/>
  <c r="F46" i="42699"/>
  <c r="J881" i="42689"/>
  <c r="J893" i="42689" s="1"/>
  <c r="J864" i="42689"/>
  <c r="J877" i="42689" s="1"/>
  <c r="J841" i="42692"/>
  <c r="J38" i="42692"/>
  <c r="J39" i="42692"/>
  <c r="J948" i="42692" s="1"/>
  <c r="J42" i="42692"/>
  <c r="O932" i="42691"/>
  <c r="O967" i="42691" s="1"/>
  <c r="O58" i="42691"/>
  <c r="O933" i="42689"/>
  <c r="O973" i="42689" s="1"/>
  <c r="P120" i="42691"/>
  <c r="P121" i="42691" s="1"/>
  <c r="P111" i="42691"/>
  <c r="N184" i="42696"/>
  <c r="N155" i="42696"/>
  <c r="R954" i="42690"/>
  <c r="S954" i="42690" s="1"/>
  <c r="N332" i="42691"/>
  <c r="N333" i="42691" s="1"/>
  <c r="N324" i="42691"/>
  <c r="H246" i="42692"/>
  <c r="H255" i="42689"/>
  <c r="H953" i="42689"/>
  <c r="H988" i="42689" s="1"/>
  <c r="H244" i="42692"/>
  <c r="F191" i="42696"/>
  <c r="F160" i="42696"/>
  <c r="I691" i="42692"/>
  <c r="I692" i="42692" s="1"/>
  <c r="I683" i="42692"/>
  <c r="L958" i="42697"/>
  <c r="L562" i="42697"/>
  <c r="I745" i="42692"/>
  <c r="I746" i="42692" s="1"/>
  <c r="I733" i="42692"/>
  <c r="L587" i="42691"/>
  <c r="L599" i="42691"/>
  <c r="L600" i="42691" s="1"/>
  <c r="I58" i="42697"/>
  <c r="I932" i="42697"/>
  <c r="I967" i="42697" s="1"/>
  <c r="R884" i="42689"/>
  <c r="M950" i="42689"/>
  <c r="M985" i="42689" s="1"/>
  <c r="M176" i="42689"/>
  <c r="M165" i="42692"/>
  <c r="M857" i="42697"/>
  <c r="M878" i="42697" s="1"/>
  <c r="M185" i="42697"/>
  <c r="M195" i="42697" s="1"/>
  <c r="M196" i="42697" s="1"/>
  <c r="M197" i="42697"/>
  <c r="F246" i="42691"/>
  <c r="R241" i="42691"/>
  <c r="R970" i="42689"/>
  <c r="N246" i="42691"/>
  <c r="P269" i="42696"/>
  <c r="P270" i="42696" s="1"/>
  <c r="R983" i="42692"/>
  <c r="R983" i="42691"/>
  <c r="R983" i="42690"/>
  <c r="K51" i="42689"/>
  <c r="K942" i="42689"/>
  <c r="K935" i="42689"/>
  <c r="K938" i="42689"/>
  <c r="K841" i="42691"/>
  <c r="K42" i="42691"/>
  <c r="K39" i="42691"/>
  <c r="K948" i="42691" s="1"/>
  <c r="K38" i="42691"/>
  <c r="R56" i="42691"/>
  <c r="R58" i="42691" s="1"/>
  <c r="F932" i="42691"/>
  <c r="F58" i="42691"/>
  <c r="R60" i="42691"/>
  <c r="R943" i="42689"/>
  <c r="F978" i="42689"/>
  <c r="F922" i="42690"/>
  <c r="J58" i="42691"/>
  <c r="J932" i="42691"/>
  <c r="J967" i="42691" s="1"/>
  <c r="N922" i="42690"/>
  <c r="H950" i="42691"/>
  <c r="H872" i="42691"/>
  <c r="P950" i="42691"/>
  <c r="P872" i="42691"/>
  <c r="H167" i="42691"/>
  <c r="P165" i="42691"/>
  <c r="P856" i="42697"/>
  <c r="P149" i="42697"/>
  <c r="P159" i="42697" s="1"/>
  <c r="P160" i="42697" s="1"/>
  <c r="P161" i="42697"/>
  <c r="P162" i="42697"/>
  <c r="M290" i="42691"/>
  <c r="M291" i="42691" s="1"/>
  <c r="M281" i="42691"/>
  <c r="K184" i="42696"/>
  <c r="K155" i="42696"/>
  <c r="K185" i="42696"/>
  <c r="K156" i="42696"/>
  <c r="H195" i="42691"/>
  <c r="H196" i="42691" s="1"/>
  <c r="H186" i="42691"/>
  <c r="P211" i="42689"/>
  <c r="P951" i="42689"/>
  <c r="P986" i="42689" s="1"/>
  <c r="P195" i="42692"/>
  <c r="P196" i="42692" s="1"/>
  <c r="P186" i="42692"/>
  <c r="M332" i="42691"/>
  <c r="M333" i="42691" s="1"/>
  <c r="M324" i="42691"/>
  <c r="H374" i="42691"/>
  <c r="H386" i="42691"/>
  <c r="H387" i="42691" s="1"/>
  <c r="P374" i="42691"/>
  <c r="P386" i="42691"/>
  <c r="P387" i="42691" s="1"/>
  <c r="M246" i="42692"/>
  <c r="M244" i="42691"/>
  <c r="K190" i="42696"/>
  <c r="K154" i="42696"/>
  <c r="I439" i="42691"/>
  <c r="I448" i="42691"/>
  <c r="I449" i="42691" s="1"/>
  <c r="H649" i="42692"/>
  <c r="H650" i="42692" s="1"/>
  <c r="H640" i="42692"/>
  <c r="P649" i="42692"/>
  <c r="P650" i="42692" s="1"/>
  <c r="P640" i="42692"/>
  <c r="M514" i="42691"/>
  <c r="M523" i="42691"/>
  <c r="M524" i="42691" s="1"/>
  <c r="P691" i="42691"/>
  <c r="P692" i="42691" s="1"/>
  <c r="P683" i="42691"/>
  <c r="P745" i="42691"/>
  <c r="P746" i="42691" s="1"/>
  <c r="P733" i="42691"/>
  <c r="H805" i="42689"/>
  <c r="H954" i="42689"/>
  <c r="H989" i="42689" s="1"/>
  <c r="H791" i="42692"/>
  <c r="H792" i="42692" s="1"/>
  <c r="H780" i="42692"/>
  <c r="H863" i="42692" s="1"/>
  <c r="H881" i="42692" s="1"/>
  <c r="J849" i="42691"/>
  <c r="J450" i="42691"/>
  <c r="J456" i="42691" s="1"/>
  <c r="J459" i="42691"/>
  <c r="G859" i="42692"/>
  <c r="G489" i="42692"/>
  <c r="G495" i="42692" s="1"/>
  <c r="G490" i="42692"/>
  <c r="G939" i="42692" s="1"/>
  <c r="O493" i="42691"/>
  <c r="R965" i="42691"/>
  <c r="F959" i="42689"/>
  <c r="R50" i="42689"/>
  <c r="F881" i="42689"/>
  <c r="F893" i="42689" s="1"/>
  <c r="R852" i="42689"/>
  <c r="R864" i="42689" s="1"/>
  <c r="R877" i="42689" s="1"/>
  <c r="F841" i="42692"/>
  <c r="F38" i="42692"/>
  <c r="R34" i="42692"/>
  <c r="F39" i="42692"/>
  <c r="F42" i="42692"/>
  <c r="O165" i="42691"/>
  <c r="O939" i="42691"/>
  <c r="J332" i="42691"/>
  <c r="J333" i="42691" s="1"/>
  <c r="J324" i="42691"/>
  <c r="P523" i="42692"/>
  <c r="P524" i="42692" s="1"/>
  <c r="P514" i="42692"/>
  <c r="R958" i="42690"/>
  <c r="S958" i="42690" s="1"/>
  <c r="R562" i="42690"/>
  <c r="R555" i="42690"/>
  <c r="R556" i="42690" s="1"/>
  <c r="R560" i="42690" s="1"/>
  <c r="F556" i="42690"/>
  <c r="J958" i="42697"/>
  <c r="J562" i="42697"/>
  <c r="G733" i="42692"/>
  <c r="G745" i="42692"/>
  <c r="G746" i="42692" s="1"/>
  <c r="R586" i="42692"/>
  <c r="F599" i="42692"/>
  <c r="F587" i="42692"/>
  <c r="F862" i="42697"/>
  <c r="R862" i="42697" s="1"/>
  <c r="F586" i="42697"/>
  <c r="R587" i="42697"/>
  <c r="F458" i="42698" s="1"/>
  <c r="F549" i="42698" s="1"/>
  <c r="F601" i="42697"/>
  <c r="N587" i="42691"/>
  <c r="N599" i="42691"/>
  <c r="N600" i="42691" s="1"/>
  <c r="G805" i="42689"/>
  <c r="G954" i="42689"/>
  <c r="G989" i="42689" s="1"/>
  <c r="G791" i="42692"/>
  <c r="G792" i="42692" s="1"/>
  <c r="G780" i="42692"/>
  <c r="G863" i="42692" s="1"/>
  <c r="G881" i="42692" s="1"/>
  <c r="O791" i="42691"/>
  <c r="O792" i="42691" s="1"/>
  <c r="O780" i="42691"/>
  <c r="O863" i="42691" s="1"/>
  <c r="O881" i="42691" s="1"/>
  <c r="F864" i="42689"/>
  <c r="F877" i="42689" s="1"/>
  <c r="F692" i="42698"/>
  <c r="E704" i="42698" s="1"/>
  <c r="R869" i="42690"/>
  <c r="R853" i="42690"/>
  <c r="P927" i="42690"/>
  <c r="P40" i="42690"/>
  <c r="P931" i="42690"/>
  <c r="M58" i="42697"/>
  <c r="M932" i="42697"/>
  <c r="M967" i="42697" s="1"/>
  <c r="I877" i="42691"/>
  <c r="J311" i="42689"/>
  <c r="J947" i="42689"/>
  <c r="J982" i="42689" s="1"/>
  <c r="J290" i="42692"/>
  <c r="J291" i="42692" s="1"/>
  <c r="J281" i="42692"/>
  <c r="Q857" i="42697"/>
  <c r="Q878" i="42697" s="1"/>
  <c r="Q185" i="42697"/>
  <c r="Q195" i="42697" s="1"/>
  <c r="Q196" i="42697" s="1"/>
  <c r="Q197" i="42697"/>
  <c r="L972" i="42690"/>
  <c r="O973" i="42690"/>
  <c r="I961" i="42690"/>
  <c r="I927" i="42690"/>
  <c r="Q961" i="42690"/>
  <c r="Q962" i="42690" s="1"/>
  <c r="Q927" i="42690"/>
  <c r="H922" i="42690"/>
  <c r="L949" i="42692"/>
  <c r="L923" i="42692"/>
  <c r="L949" i="42697"/>
  <c r="L923" i="42697"/>
  <c r="P922" i="42690"/>
  <c r="F968" i="42690"/>
  <c r="R968" i="42690" s="1"/>
  <c r="R933" i="42690"/>
  <c r="S933" i="42690" s="1"/>
  <c r="R872" i="42690"/>
  <c r="J87" i="42691"/>
  <c r="J933" i="42691"/>
  <c r="J968" i="42691" s="1"/>
  <c r="P252" i="42696"/>
  <c r="F856" i="42697"/>
  <c r="F149" i="42697"/>
  <c r="R150" i="42697"/>
  <c r="F139" i="42698" s="1"/>
  <c r="F543" i="42698" s="1"/>
  <c r="F161" i="42697"/>
  <c r="F162" i="42697"/>
  <c r="J974" i="42690"/>
  <c r="N165" i="42691"/>
  <c r="N856" i="42697"/>
  <c r="N149" i="42697"/>
  <c r="N159" i="42697" s="1"/>
  <c r="N160" i="42697" s="1"/>
  <c r="N161" i="42697"/>
  <c r="N162" i="42697"/>
  <c r="N857" i="42697"/>
  <c r="N878" i="42697" s="1"/>
  <c r="N185" i="42697"/>
  <c r="N195" i="42697" s="1"/>
  <c r="N196" i="42697" s="1"/>
  <c r="N197" i="42697"/>
  <c r="R386" i="42690"/>
  <c r="R387" i="42690" s="1"/>
  <c r="R396" i="42690" s="1"/>
  <c r="F387" i="42690"/>
  <c r="K977" i="42690"/>
  <c r="O246" i="42691"/>
  <c r="R413" i="42692"/>
  <c r="R415" i="42692" s="1"/>
  <c r="F415" i="42692"/>
  <c r="D111" i="42696"/>
  <c r="P99" i="42696"/>
  <c r="K448" i="42692"/>
  <c r="K449" i="42692" s="1"/>
  <c r="K439" i="42692"/>
  <c r="K952" i="42689"/>
  <c r="K987" i="42689" s="1"/>
  <c r="K571" i="42689"/>
  <c r="K555" i="42692"/>
  <c r="K556" i="42692" s="1"/>
  <c r="K547" i="42692"/>
  <c r="K560" i="42697"/>
  <c r="K941" i="42697"/>
  <c r="K976" i="42697" s="1"/>
  <c r="R756" i="42689"/>
  <c r="F757" i="42689"/>
  <c r="R732" i="42691"/>
  <c r="R733" i="42691" s="1"/>
  <c r="F745" i="42691"/>
  <c r="F733" i="42691"/>
  <c r="J745" i="42691"/>
  <c r="J746" i="42691" s="1"/>
  <c r="J733" i="42691"/>
  <c r="O599" i="42691"/>
  <c r="O600" i="42691" s="1"/>
  <c r="O942" i="42691" s="1"/>
  <c r="O587" i="42691"/>
  <c r="R802" i="42689"/>
  <c r="R803" i="42689" s="1"/>
  <c r="F803" i="42689"/>
  <c r="R779" i="42691"/>
  <c r="R780" i="42691" s="1"/>
  <c r="F791" i="42691"/>
  <c r="F780" i="42691"/>
  <c r="F863" i="42691" s="1"/>
  <c r="L849" i="42691"/>
  <c r="L450" i="42691"/>
  <c r="L456" i="42691" s="1"/>
  <c r="L459" i="42691"/>
  <c r="I493" i="42692"/>
  <c r="Q493" i="42691"/>
  <c r="J946" i="42689"/>
  <c r="O191" i="42696"/>
  <c r="O160" i="42696"/>
  <c r="G659" i="42692"/>
  <c r="I111" i="42697"/>
  <c r="G250" i="42696"/>
  <c r="G199" i="42696"/>
  <c r="G230" i="42696" s="1"/>
  <c r="I81" i="42697"/>
  <c r="G249" i="42696"/>
  <c r="G198" i="42696"/>
  <c r="G229" i="42696" s="1"/>
  <c r="Q111" i="42697"/>
  <c r="O250" i="42696"/>
  <c r="O199" i="42696"/>
  <c r="O230" i="42696" s="1"/>
  <c r="Q81" i="42697"/>
  <c r="O249" i="42696"/>
  <c r="O198" i="42696"/>
  <c r="O229" i="42696" s="1"/>
  <c r="G932" i="42691"/>
  <c r="G967" i="42691" s="1"/>
  <c r="G58" i="42691"/>
  <c r="G933" i="42689"/>
  <c r="H140" i="42689"/>
  <c r="H945" i="42689"/>
  <c r="H980" i="42689" s="1"/>
  <c r="H120" i="42692"/>
  <c r="H121" i="42692" s="1"/>
  <c r="H111" i="42692"/>
  <c r="K165" i="42691"/>
  <c r="K939" i="42691"/>
  <c r="F184" i="42696"/>
  <c r="F155" i="42696"/>
  <c r="K951" i="42689"/>
  <c r="K986" i="42689" s="1"/>
  <c r="K211" i="42689"/>
  <c r="K195" i="42692"/>
  <c r="K196" i="42692" s="1"/>
  <c r="K186" i="42692"/>
  <c r="M407" i="42689"/>
  <c r="M949" i="42689"/>
  <c r="M984" i="42689" s="1"/>
  <c r="M386" i="42692"/>
  <c r="M387" i="42692" s="1"/>
  <c r="M374" i="42692"/>
  <c r="P255" i="42689"/>
  <c r="P953" i="42689"/>
  <c r="P988" i="42689" s="1"/>
  <c r="P942" i="42692"/>
  <c r="P244" i="42692"/>
  <c r="N191" i="42696"/>
  <c r="N160" i="42696"/>
  <c r="M691" i="42692"/>
  <c r="M692" i="42692" s="1"/>
  <c r="M683" i="42692"/>
  <c r="H952" i="42689"/>
  <c r="H987" i="42689" s="1"/>
  <c r="H571" i="42689"/>
  <c r="H555" i="42692"/>
  <c r="H556" i="42692" s="1"/>
  <c r="H547" i="42692"/>
  <c r="P555" i="42691"/>
  <c r="P556" i="42691" s="1"/>
  <c r="P547" i="42691"/>
  <c r="H587" i="42692"/>
  <c r="H599" i="42692"/>
  <c r="H600" i="42692" s="1"/>
  <c r="F860" i="42692"/>
  <c r="F525" i="42692"/>
  <c r="R513" i="42692"/>
  <c r="K659" i="42692"/>
  <c r="O659" i="42691"/>
  <c r="L938" i="42689"/>
  <c r="L881" i="42689"/>
  <c r="L893" i="42689" s="1"/>
  <c r="L864" i="42689"/>
  <c r="L877" i="42689" s="1"/>
  <c r="L841" i="42692"/>
  <c r="L38" i="42692"/>
  <c r="L39" i="42692"/>
  <c r="L948" i="42692" s="1"/>
  <c r="L42" i="42692"/>
  <c r="I922" i="42690"/>
  <c r="Q932" i="42691"/>
  <c r="Q967" i="42691" s="1"/>
  <c r="Q58" i="42691"/>
  <c r="Q933" i="42689"/>
  <c r="R120" i="42690"/>
  <c r="R121" i="42690" s="1"/>
  <c r="R129" i="42690" s="1"/>
  <c r="F121" i="42690"/>
  <c r="R885" i="42689"/>
  <c r="L184" i="42696"/>
  <c r="L155" i="42696"/>
  <c r="H324" i="42691"/>
  <c r="H332" i="42691"/>
  <c r="H333" i="42691" s="1"/>
  <c r="K374" i="42691"/>
  <c r="K386" i="42691"/>
  <c r="K387" i="42691" s="1"/>
  <c r="G40" i="42690"/>
  <c r="G931" i="42690"/>
  <c r="G924" i="42690"/>
  <c r="G870" i="42690"/>
  <c r="G882" i="42690" s="1"/>
  <c r="G853" i="42690"/>
  <c r="G866" i="42690" s="1"/>
  <c r="O40" i="42690"/>
  <c r="O931" i="42690"/>
  <c r="O870" i="42690"/>
  <c r="O882" i="42690" s="1"/>
  <c r="O853" i="42690"/>
  <c r="O866" i="42690" s="1"/>
  <c r="N58" i="42691"/>
  <c r="N932" i="42691"/>
  <c r="N967" i="42691" s="1"/>
  <c r="N978" i="42689"/>
  <c r="L933" i="42691"/>
  <c r="L968" i="42691" s="1"/>
  <c r="L87" i="42691"/>
  <c r="I290" i="42691"/>
  <c r="I291" i="42691" s="1"/>
  <c r="I281" i="42691"/>
  <c r="G184" i="42696"/>
  <c r="G155" i="42696"/>
  <c r="G185" i="42696"/>
  <c r="G156" i="42696"/>
  <c r="Q290" i="42691"/>
  <c r="Q291" i="42691" s="1"/>
  <c r="Q281" i="42691"/>
  <c r="O184" i="42696"/>
  <c r="O155" i="42696"/>
  <c r="O185" i="42696"/>
  <c r="O156" i="42696"/>
  <c r="L211" i="42689"/>
  <c r="L951" i="42689"/>
  <c r="L986" i="42689" s="1"/>
  <c r="L195" i="42692"/>
  <c r="L196" i="42692" s="1"/>
  <c r="L186" i="42692"/>
  <c r="I353" i="42689"/>
  <c r="I948" i="42689"/>
  <c r="I983" i="42689" s="1"/>
  <c r="I332" i="42692"/>
  <c r="I333" i="42692" s="1"/>
  <c r="I324" i="42692"/>
  <c r="M972" i="42690"/>
  <c r="Q353" i="42689"/>
  <c r="Q948" i="42689"/>
  <c r="Q983" i="42689" s="1"/>
  <c r="Q332" i="42692"/>
  <c r="Q333" i="42692" s="1"/>
  <c r="Q324" i="42692"/>
  <c r="L407" i="42689"/>
  <c r="L949" i="42689"/>
  <c r="L984" i="42689" s="1"/>
  <c r="L386" i="42692"/>
  <c r="L387" i="42692" s="1"/>
  <c r="L374" i="42692"/>
  <c r="I244" i="42691"/>
  <c r="G190" i="42696"/>
  <c r="G154" i="42696"/>
  <c r="H415" i="42692"/>
  <c r="P415" i="42692"/>
  <c r="M439" i="42692"/>
  <c r="M448" i="42692"/>
  <c r="M449" i="42692" s="1"/>
  <c r="L683" i="42692"/>
  <c r="L691" i="42692"/>
  <c r="L692" i="42692" s="1"/>
  <c r="M976" i="42690"/>
  <c r="I599" i="42691"/>
  <c r="I600" i="42691" s="1"/>
  <c r="I587" i="42691"/>
  <c r="F849" i="42692"/>
  <c r="F459" i="42692"/>
  <c r="F450" i="42692"/>
  <c r="R438" i="42692"/>
  <c r="R439" i="42692" s="1"/>
  <c r="R459" i="42689"/>
  <c r="R460" i="42689" s="1"/>
  <c r="R468" i="42689" s="1"/>
  <c r="N457" i="42691"/>
  <c r="K493" i="42692"/>
  <c r="K949" i="42692"/>
  <c r="K923" i="42692"/>
  <c r="K932" i="42692"/>
  <c r="K967" i="42692" s="1"/>
  <c r="K58" i="42692"/>
  <c r="O856" i="42697"/>
  <c r="O149" i="42697"/>
  <c r="O159" i="42697" s="1"/>
  <c r="O160" i="42697" s="1"/>
  <c r="O162" i="42697"/>
  <c r="O161" i="42697"/>
  <c r="G951" i="42689"/>
  <c r="G986" i="42689" s="1"/>
  <c r="G211" i="42689"/>
  <c r="G195" i="42692"/>
  <c r="G196" i="42692" s="1"/>
  <c r="G186" i="42692"/>
  <c r="N938" i="42689"/>
  <c r="N881" i="42689"/>
  <c r="N893" i="42689" s="1"/>
  <c r="N864" i="42689"/>
  <c r="N877" i="42689" s="1"/>
  <c r="N841" i="42692"/>
  <c r="N38" i="42692"/>
  <c r="N39" i="42692"/>
  <c r="N948" i="42692" s="1"/>
  <c r="N42" i="42692"/>
  <c r="O87" i="42692"/>
  <c r="O933" i="42692"/>
  <c r="O968" i="42692" s="1"/>
  <c r="G167" i="42692"/>
  <c r="G877" i="42692"/>
  <c r="G956" i="42691"/>
  <c r="G167" i="42691"/>
  <c r="G856" i="42697"/>
  <c r="G149" i="42697"/>
  <c r="G159" i="42697" s="1"/>
  <c r="G160" i="42697" s="1"/>
  <c r="G162" i="42697"/>
  <c r="G161" i="42697"/>
  <c r="L281" i="42691"/>
  <c r="L290" i="42691"/>
  <c r="L291" i="42691" s="1"/>
  <c r="G975" i="42690"/>
  <c r="J972" i="42690"/>
  <c r="L246" i="42691"/>
  <c r="G691" i="42691"/>
  <c r="G692" i="42691" s="1"/>
  <c r="G683" i="42691"/>
  <c r="R566" i="42689"/>
  <c r="R567" i="42689" s="1"/>
  <c r="R571" i="42689" s="1"/>
  <c r="F567" i="42689"/>
  <c r="F555" i="42692"/>
  <c r="R546" i="42692"/>
  <c r="R547" i="42692" s="1"/>
  <c r="F547" i="42692"/>
  <c r="D236" i="42696"/>
  <c r="P236" i="42696" s="1"/>
  <c r="P206" i="42696"/>
  <c r="N958" i="42697"/>
  <c r="N562" i="42697"/>
  <c r="K733" i="42692"/>
  <c r="K745" i="42692"/>
  <c r="K746" i="42692" s="1"/>
  <c r="R599" i="42690"/>
  <c r="F600" i="42690"/>
  <c r="K805" i="42689"/>
  <c r="K954" i="42689"/>
  <c r="K989" i="42689" s="1"/>
  <c r="K791" i="42692"/>
  <c r="K792" i="42692" s="1"/>
  <c r="K780" i="42692"/>
  <c r="K863" i="42692" s="1"/>
  <c r="K881" i="42692" s="1"/>
  <c r="R919" i="42691"/>
  <c r="H528" i="42692"/>
  <c r="I659" i="42691"/>
  <c r="M659" i="42692"/>
  <c r="Q659" i="42691"/>
  <c r="R869" i="42697"/>
  <c r="S930" i="42690"/>
  <c r="R965" i="42690"/>
  <c r="H938" i="42689"/>
  <c r="H881" i="42689"/>
  <c r="H893" i="42689" s="1"/>
  <c r="H864" i="42689"/>
  <c r="H877" i="42689" s="1"/>
  <c r="H841" i="42692"/>
  <c r="H38" i="42692"/>
  <c r="H39" i="42692"/>
  <c r="H948" i="42692" s="1"/>
  <c r="H42" i="42692"/>
  <c r="I179" i="42696"/>
  <c r="I147" i="42696"/>
  <c r="I148" i="42696" s="1"/>
  <c r="I151" i="42696"/>
  <c r="I181" i="42696"/>
  <c r="I159" i="42696"/>
  <c r="K439" i="42697" s="1"/>
  <c r="I180" i="42696"/>
  <c r="I158" i="42696"/>
  <c r="K409" i="42697" s="1"/>
  <c r="M922" i="42690"/>
  <c r="I933" i="42691"/>
  <c r="I968" i="42691" s="1"/>
  <c r="I87" i="42691"/>
  <c r="J945" i="42689"/>
  <c r="J980" i="42689" s="1"/>
  <c r="J140" i="42689"/>
  <c r="J120" i="42692"/>
  <c r="J121" i="42692" s="1"/>
  <c r="J111" i="42692"/>
  <c r="I974" i="42690"/>
  <c r="Q165" i="42691"/>
  <c r="Q939" i="42691"/>
  <c r="I857" i="42697"/>
  <c r="I878" i="42697" s="1"/>
  <c r="I185" i="42697"/>
  <c r="I195" i="42697" s="1"/>
  <c r="I196" i="42697" s="1"/>
  <c r="I197" i="42697"/>
  <c r="M942" i="42689"/>
  <c r="M51" i="42689"/>
  <c r="M938" i="42689"/>
  <c r="M841" i="42691"/>
  <c r="M42" i="42691"/>
  <c r="M39" i="42691"/>
  <c r="M948" i="42691" s="1"/>
  <c r="M38" i="42691"/>
  <c r="H923" i="42691"/>
  <c r="H949" i="42691"/>
  <c r="P923" i="42691"/>
  <c r="P949" i="42691"/>
  <c r="F950" i="42691"/>
  <c r="R950" i="42691" s="1"/>
  <c r="S950" i="42691" s="1"/>
  <c r="R86" i="42691"/>
  <c r="R98" i="42689"/>
  <c r="N87" i="42691"/>
  <c r="N933" i="42691"/>
  <c r="N968" i="42691" s="1"/>
  <c r="R162" i="42691"/>
  <c r="R161" i="42691"/>
  <c r="F167" i="42691"/>
  <c r="R178" i="42689"/>
  <c r="R877" i="42690"/>
  <c r="R864" i="42690"/>
  <c r="J167" i="42691"/>
  <c r="N974" i="42690"/>
  <c r="G971" i="42690"/>
  <c r="O971" i="42690"/>
  <c r="R968" i="42689"/>
  <c r="R195" i="42690"/>
  <c r="F196" i="42690"/>
  <c r="R887" i="42689"/>
  <c r="R373" i="42691"/>
  <c r="R374" i="42691" s="1"/>
  <c r="F374" i="42691"/>
  <c r="F386" i="42691"/>
  <c r="G977" i="42690"/>
  <c r="K246" i="42691"/>
  <c r="O977" i="42690"/>
  <c r="O448" i="42691"/>
  <c r="O449" i="42691" s="1"/>
  <c r="O439" i="42691"/>
  <c r="N487" i="42692"/>
  <c r="N488" i="42692" s="1"/>
  <c r="N478" i="42692"/>
  <c r="F850" i="42697"/>
  <c r="R850" i="42697" s="1"/>
  <c r="F661" i="42697"/>
  <c r="R661" i="42697" s="1"/>
  <c r="F639" i="42697"/>
  <c r="F652" i="42697"/>
  <c r="R652" i="42697" s="1"/>
  <c r="F358" i="42698" s="1"/>
  <c r="F651" i="42697"/>
  <c r="G555" i="42691"/>
  <c r="G556" i="42691" s="1"/>
  <c r="G547" i="42691"/>
  <c r="G958" i="42697"/>
  <c r="G562" i="42697"/>
  <c r="O555" i="42691"/>
  <c r="O556" i="42691" s="1"/>
  <c r="O547" i="42691"/>
  <c r="O958" i="42697"/>
  <c r="O562" i="42697"/>
  <c r="F852" i="42697"/>
  <c r="R852" i="42697" s="1"/>
  <c r="F732" i="42697"/>
  <c r="F748" i="42697"/>
  <c r="R748" i="42697" s="1"/>
  <c r="F444" i="42698" s="1"/>
  <c r="F757" i="42697"/>
  <c r="R757" i="42697" s="1"/>
  <c r="F747" i="42697"/>
  <c r="N745" i="42691"/>
  <c r="N746" i="42691" s="1"/>
  <c r="N733" i="42691"/>
  <c r="H849" i="42691"/>
  <c r="H450" i="42691"/>
  <c r="H456" i="42691" s="1"/>
  <c r="H459" i="42691"/>
  <c r="P457" i="42692"/>
  <c r="M493" i="42691"/>
  <c r="J961" i="42690"/>
  <c r="J962" i="42690" s="1"/>
  <c r="J870" i="42690"/>
  <c r="J882" i="42690" s="1"/>
  <c r="J853" i="42690"/>
  <c r="J866" i="42690" s="1"/>
  <c r="O949" i="42692"/>
  <c r="O923" i="42692"/>
  <c r="O932" i="42692"/>
  <c r="O58" i="42692"/>
  <c r="O949" i="42697"/>
  <c r="O923" i="42697"/>
  <c r="O58" i="42697"/>
  <c r="O932" i="42697"/>
  <c r="K87" i="42692"/>
  <c r="K933" i="42692"/>
  <c r="K968" i="42692" s="1"/>
  <c r="P311" i="42689"/>
  <c r="P947" i="42689"/>
  <c r="P982" i="42689" s="1"/>
  <c r="P290" i="42692"/>
  <c r="P291" i="42692" s="1"/>
  <c r="P281" i="42692"/>
  <c r="K975" i="42690"/>
  <c r="R332" i="42690"/>
  <c r="R333" i="42690" s="1"/>
  <c r="R342" i="42690" s="1"/>
  <c r="F333" i="42690"/>
  <c r="M973" i="42690"/>
  <c r="P977" i="42690"/>
  <c r="J523" i="42692"/>
  <c r="J524" i="42692" s="1"/>
  <c r="J514" i="42692"/>
  <c r="R514" i="42692" s="1"/>
  <c r="Q691" i="42692"/>
  <c r="Q692" i="42692" s="1"/>
  <c r="Q683" i="42692"/>
  <c r="L555" i="42691"/>
  <c r="L556" i="42691" s="1"/>
  <c r="L547" i="42691"/>
  <c r="Q745" i="42692"/>
  <c r="Q746" i="42692" s="1"/>
  <c r="Q733" i="42692"/>
  <c r="M791" i="42691"/>
  <c r="M792" i="42691" s="1"/>
  <c r="M780" i="42691"/>
  <c r="M863" i="42691" s="1"/>
  <c r="M881" i="42691" s="1"/>
  <c r="S947" i="42691"/>
  <c r="E179" i="42696"/>
  <c r="E147" i="42696"/>
  <c r="E148" i="42696" s="1"/>
  <c r="E151" i="42696"/>
  <c r="E181" i="42696"/>
  <c r="E159" i="42696"/>
  <c r="G439" i="42697" s="1"/>
  <c r="E180" i="42696"/>
  <c r="E158" i="42696"/>
  <c r="G409" i="42697" s="1"/>
  <c r="M179" i="42696"/>
  <c r="M147" i="42696"/>
  <c r="M148" i="42696" s="1"/>
  <c r="M151" i="42696"/>
  <c r="M181" i="42696"/>
  <c r="M159" i="42696"/>
  <c r="O439" i="42697" s="1"/>
  <c r="M180" i="42696"/>
  <c r="M158" i="42696"/>
  <c r="O409" i="42697" s="1"/>
  <c r="I949" i="42691"/>
  <c r="I923" i="42691"/>
  <c r="R131" i="42689"/>
  <c r="R132" i="42689" s="1"/>
  <c r="R140" i="42689" s="1"/>
  <c r="F132" i="42689"/>
  <c r="F120" i="42692"/>
  <c r="R110" i="42692"/>
  <c r="R111" i="42692" s="1"/>
  <c r="F111" i="42692"/>
  <c r="N969" i="42690"/>
  <c r="M877" i="42691"/>
  <c r="M195" i="42691"/>
  <c r="M196" i="42691" s="1"/>
  <c r="M186" i="42691"/>
  <c r="P324" i="42691"/>
  <c r="P332" i="42691"/>
  <c r="P333" i="42691" s="1"/>
  <c r="R858" i="42692"/>
  <c r="R891" i="42689"/>
  <c r="R250" i="42689"/>
  <c r="F251" i="42689"/>
  <c r="F239" i="42692"/>
  <c r="R226" i="42692"/>
  <c r="R880" i="42690"/>
  <c r="R239" i="42690"/>
  <c r="F240" i="42690"/>
  <c r="N942" i="42691"/>
  <c r="N244" i="42691"/>
  <c r="L190" i="42696"/>
  <c r="L154" i="42696"/>
  <c r="K961" i="42690"/>
  <c r="K962" i="42690" s="1"/>
  <c r="K927" i="42690"/>
  <c r="J81" i="42697"/>
  <c r="H249" i="42696"/>
  <c r="H198" i="42696"/>
  <c r="H229" i="42696" s="1"/>
  <c r="H250" i="42696"/>
  <c r="H199" i="42696"/>
  <c r="H230" i="42696" s="1"/>
  <c r="J111" i="42697"/>
  <c r="N81" i="42697"/>
  <c r="L249" i="42696"/>
  <c r="L198" i="42696"/>
  <c r="L229" i="42696" s="1"/>
  <c r="L250" i="42696"/>
  <c r="L199" i="42696"/>
  <c r="L230" i="42696" s="1"/>
  <c r="N111" i="42697"/>
  <c r="F949" i="42692"/>
  <c r="F923" i="42692"/>
  <c r="R57" i="42692"/>
  <c r="F871" i="42692"/>
  <c r="R842" i="42692"/>
  <c r="R871" i="42692" s="1"/>
  <c r="R934" i="42689"/>
  <c r="F933" i="42689"/>
  <c r="R933" i="42689" s="1"/>
  <c r="F967" i="42690"/>
  <c r="R967" i="42690" s="1"/>
  <c r="R932" i="42690"/>
  <c r="S932" i="42690" s="1"/>
  <c r="J949" i="42692"/>
  <c r="J923" i="42692"/>
  <c r="J949" i="42697"/>
  <c r="J923" i="42697"/>
  <c r="J58" i="42697"/>
  <c r="J932" i="42697"/>
  <c r="H933" i="42692"/>
  <c r="H968" i="42692" s="1"/>
  <c r="H87" i="42692"/>
  <c r="P933" i="42692"/>
  <c r="P968" i="42692" s="1"/>
  <c r="P87" i="42692"/>
  <c r="I969" i="42690"/>
  <c r="M140" i="42689"/>
  <c r="M945" i="42689"/>
  <c r="M980" i="42689" s="1"/>
  <c r="M120" i="42692"/>
  <c r="M121" i="42692" s="1"/>
  <c r="M111" i="42692"/>
  <c r="H167" i="42692"/>
  <c r="H176" i="42689"/>
  <c r="H950" i="42689"/>
  <c r="H985" i="42689" s="1"/>
  <c r="H165" i="42692"/>
  <c r="P857" i="42697"/>
  <c r="P878" i="42697" s="1"/>
  <c r="P185" i="42697"/>
  <c r="P195" i="42697" s="1"/>
  <c r="P196" i="42697" s="1"/>
  <c r="P197" i="42697"/>
  <c r="L973" i="42690"/>
  <c r="I977" i="42690"/>
  <c r="Q439" i="42691"/>
  <c r="Q448" i="42691"/>
  <c r="Q449" i="42691" s="1"/>
  <c r="L478" i="42692"/>
  <c r="L487" i="42692"/>
  <c r="L488" i="42692" s="1"/>
  <c r="H683" i="42692"/>
  <c r="H691" i="42692"/>
  <c r="H692" i="42692" s="1"/>
  <c r="M555" i="42691"/>
  <c r="M556" i="42691" s="1"/>
  <c r="M547" i="42691"/>
  <c r="M958" i="42697"/>
  <c r="M562" i="42697"/>
  <c r="H745" i="42691"/>
  <c r="H746" i="42691" s="1"/>
  <c r="H733" i="42691"/>
  <c r="M599" i="42691"/>
  <c r="M600" i="42691" s="1"/>
  <c r="M587" i="42691"/>
  <c r="J849" i="42692"/>
  <c r="J459" i="42692"/>
  <c r="J450" i="42692"/>
  <c r="J456" i="42692" s="1"/>
  <c r="G493" i="42691"/>
  <c r="O859" i="42692"/>
  <c r="O877" i="42692" s="1"/>
  <c r="O489" i="42692"/>
  <c r="O495" i="42692" s="1"/>
  <c r="O490" i="42692"/>
  <c r="O939" i="42692" s="1"/>
  <c r="M446" i="42697"/>
  <c r="M974" i="42691" l="1"/>
  <c r="J967" i="42697"/>
  <c r="E192" i="42696"/>
  <c r="E193" i="42696" s="1"/>
  <c r="R167" i="42691"/>
  <c r="I192" i="42696"/>
  <c r="I193" i="42696" s="1"/>
  <c r="K974" i="42692"/>
  <c r="M967" i="42692"/>
  <c r="I967" i="42692"/>
  <c r="R87" i="42692"/>
  <c r="Q967" i="42692"/>
  <c r="M941" i="42691"/>
  <c r="H851" i="42692"/>
  <c r="H694" i="42692"/>
  <c r="H693" i="42692"/>
  <c r="H700" i="42692" s="1"/>
  <c r="H703" i="42692"/>
  <c r="Q849" i="42691"/>
  <c r="Q450" i="42691"/>
  <c r="Q456" i="42691" s="1"/>
  <c r="Q459" i="42691"/>
  <c r="M844" i="42692"/>
  <c r="M131" i="42692"/>
  <c r="M122" i="42692"/>
  <c r="R949" i="42692"/>
  <c r="N843" i="42697"/>
  <c r="N85" i="42697"/>
  <c r="N89" i="42697"/>
  <c r="N86" i="42697"/>
  <c r="J843" i="42697"/>
  <c r="J85" i="42697"/>
  <c r="J89" i="42697"/>
  <c r="J86" i="42697"/>
  <c r="M862" i="42691"/>
  <c r="M880" i="42691" s="1"/>
  <c r="M601" i="42691"/>
  <c r="H852" i="42691"/>
  <c r="H748" i="42691"/>
  <c r="H747" i="42691"/>
  <c r="H754" i="42691" s="1"/>
  <c r="H757" i="42691"/>
  <c r="M861" i="42691"/>
  <c r="M879" i="42691" s="1"/>
  <c r="M557" i="42691"/>
  <c r="H701" i="42692"/>
  <c r="Q457" i="42691"/>
  <c r="P200" i="42697"/>
  <c r="P940" i="42697"/>
  <c r="M934" i="42692"/>
  <c r="M129" i="42692"/>
  <c r="R923" i="42692"/>
  <c r="N844" i="42697"/>
  <c r="N131" i="42697"/>
  <c r="N110" i="42697"/>
  <c r="N120" i="42697" s="1"/>
  <c r="N122" i="42697"/>
  <c r="J844" i="42697"/>
  <c r="J131" i="42697"/>
  <c r="J110" i="42697"/>
  <c r="J120" i="42697" s="1"/>
  <c r="J121" i="42697" s="1"/>
  <c r="J122" i="42697"/>
  <c r="R240" i="42690"/>
  <c r="R244" i="42690" s="1"/>
  <c r="F942" i="42690"/>
  <c r="F244" i="42690"/>
  <c r="R239" i="42692"/>
  <c r="F240" i="42692"/>
  <c r="M857" i="42691"/>
  <c r="M197" i="42691"/>
  <c r="F844" i="42692"/>
  <c r="F131" i="42692"/>
  <c r="F122" i="42692"/>
  <c r="R120" i="42692"/>
  <c r="R121" i="42692" s="1"/>
  <c r="F121" i="42692"/>
  <c r="O848" i="42697"/>
  <c r="O413" i="42697"/>
  <c r="O414" i="42697"/>
  <c r="O417" i="42697"/>
  <c r="O849" i="42697"/>
  <c r="O438" i="42697"/>
  <c r="O448" i="42697" s="1"/>
  <c r="O459" i="42697"/>
  <c r="O450" i="42697"/>
  <c r="O456" i="42697" s="1"/>
  <c r="O34" i="42697"/>
  <c r="M248" i="42696"/>
  <c r="M197" i="42696"/>
  <c r="M161" i="42696"/>
  <c r="M175" i="42696" s="1"/>
  <c r="M192" i="42696"/>
  <c r="M193" i="42696" s="1"/>
  <c r="Q852" i="42692"/>
  <c r="Q748" i="42692"/>
  <c r="Q747" i="42692"/>
  <c r="Q754" i="42692" s="1"/>
  <c r="Q757" i="42692"/>
  <c r="L861" i="42691"/>
  <c r="L879" i="42691" s="1"/>
  <c r="L557" i="42691"/>
  <c r="Q851" i="42692"/>
  <c r="Q694" i="42692"/>
  <c r="Q703" i="42692"/>
  <c r="Q693" i="42692"/>
  <c r="Q700" i="42692" s="1"/>
  <c r="J860" i="42692"/>
  <c r="J525" i="42692"/>
  <c r="J530" i="42692" s="1"/>
  <c r="P845" i="42692"/>
  <c r="P293" i="42692"/>
  <c r="P292" i="42692"/>
  <c r="P302" i="42692"/>
  <c r="O967" i="42697"/>
  <c r="O967" i="42692"/>
  <c r="J883" i="42690"/>
  <c r="J984" i="42690"/>
  <c r="N852" i="42691"/>
  <c r="N748" i="42691"/>
  <c r="N747" i="42691"/>
  <c r="N754" i="42691" s="1"/>
  <c r="N757" i="42691"/>
  <c r="F754" i="42697"/>
  <c r="R747" i="42697"/>
  <c r="R754" i="42697" s="1"/>
  <c r="O941" i="42691"/>
  <c r="G941" i="42691"/>
  <c r="N859" i="42692"/>
  <c r="N877" i="42692" s="1"/>
  <c r="N489" i="42692"/>
  <c r="N490" i="42692"/>
  <c r="O849" i="42691"/>
  <c r="O450" i="42691"/>
  <c r="O456" i="42691" s="1"/>
  <c r="O459" i="42691"/>
  <c r="R386" i="42691"/>
  <c r="R387" i="42691" s="1"/>
  <c r="F387" i="42691"/>
  <c r="R196" i="42690"/>
  <c r="R200" i="42690" s="1"/>
  <c r="F200" i="42690"/>
  <c r="F940" i="42690"/>
  <c r="M931" i="42691"/>
  <c r="M40" i="42691"/>
  <c r="I957" i="42697"/>
  <c r="I202" i="42697"/>
  <c r="J844" i="42692"/>
  <c r="J873" i="42692" s="1"/>
  <c r="J131" i="42692"/>
  <c r="J122" i="42692"/>
  <c r="H40" i="42692"/>
  <c r="H931" i="42692"/>
  <c r="H995" i="42689"/>
  <c r="H894" i="42689"/>
  <c r="L12" i="42699"/>
  <c r="S965" i="42690"/>
  <c r="R600" i="42690"/>
  <c r="R604" i="42690" s="1"/>
  <c r="F604" i="42690"/>
  <c r="F557" i="42692"/>
  <c r="F861" i="42692"/>
  <c r="R555" i="42692"/>
  <c r="R556" i="42692" s="1"/>
  <c r="F556" i="42692"/>
  <c r="L845" i="42691"/>
  <c r="L302" i="42691"/>
  <c r="L292" i="42691"/>
  <c r="L293" i="42691"/>
  <c r="G877" i="42697"/>
  <c r="G956" i="42692"/>
  <c r="G974" i="42692" s="1"/>
  <c r="N870" i="42692"/>
  <c r="G857" i="42692"/>
  <c r="G197" i="42692"/>
  <c r="O956" i="42697"/>
  <c r="O167" i="42697"/>
  <c r="O165" i="42697"/>
  <c r="O939" i="42697"/>
  <c r="F456" i="42692"/>
  <c r="I227" i="42697"/>
  <c r="G255" i="42696"/>
  <c r="G207" i="42696"/>
  <c r="G237" i="42696" s="1"/>
  <c r="I942" i="42691"/>
  <c r="I335" i="42692"/>
  <c r="I846" i="42692"/>
  <c r="I344" i="42692"/>
  <c r="I334" i="42692"/>
  <c r="L857" i="42692"/>
  <c r="L197" i="42692"/>
  <c r="Q324" i="42697"/>
  <c r="O257" i="42696"/>
  <c r="O202" i="42696"/>
  <c r="O232" i="42696" s="1"/>
  <c r="Q281" i="42697"/>
  <c r="O256" i="42696"/>
  <c r="O201" i="42696"/>
  <c r="O231" i="42696" s="1"/>
  <c r="Q845" i="42691"/>
  <c r="Q874" i="42691" s="1"/>
  <c r="Q302" i="42691"/>
  <c r="Q292" i="42691"/>
  <c r="Q293" i="42691"/>
  <c r="I324" i="42697"/>
  <c r="G257" i="42696"/>
  <c r="G202" i="42696"/>
  <c r="G232" i="42696" s="1"/>
  <c r="I281" i="42697"/>
  <c r="G256" i="42696"/>
  <c r="G201" i="42696"/>
  <c r="G231" i="42696" s="1"/>
  <c r="I845" i="42691"/>
  <c r="I874" i="42691" s="1"/>
  <c r="I302" i="42691"/>
  <c r="I292" i="42691"/>
  <c r="I293" i="42691"/>
  <c r="O966" i="42690"/>
  <c r="G984" i="42690"/>
  <c r="G883" i="42690"/>
  <c r="K847" i="42691"/>
  <c r="K398" i="42691"/>
  <c r="K388" i="42691"/>
  <c r="K389" i="42691"/>
  <c r="H846" i="42691"/>
  <c r="H344" i="42691"/>
  <c r="H334" i="42691"/>
  <c r="H335" i="42691"/>
  <c r="F934" i="42690"/>
  <c r="F129" i="42690"/>
  <c r="L40" i="42692"/>
  <c r="L931" i="42692"/>
  <c r="L995" i="42689"/>
  <c r="L894" i="42689"/>
  <c r="F530" i="42692"/>
  <c r="H862" i="42692"/>
  <c r="H880" i="42692" s="1"/>
  <c r="H601" i="42692"/>
  <c r="P941" i="42691"/>
  <c r="H941" i="42692"/>
  <c r="M847" i="42692"/>
  <c r="M389" i="42692"/>
  <c r="M388" i="42692"/>
  <c r="M398" i="42692"/>
  <c r="K857" i="42692"/>
  <c r="K197" i="42692"/>
  <c r="H281" i="42697"/>
  <c r="F256" i="42696"/>
  <c r="F201" i="42696"/>
  <c r="F231" i="42696" s="1"/>
  <c r="H844" i="42692"/>
  <c r="H873" i="42692" s="1"/>
  <c r="H131" i="42692"/>
  <c r="H122" i="42692"/>
  <c r="Q844" i="42697"/>
  <c r="Q131" i="42697"/>
  <c r="Q110" i="42697"/>
  <c r="Q120" i="42697" s="1"/>
  <c r="Q122" i="42697"/>
  <c r="I844" i="42697"/>
  <c r="I131" i="42697"/>
  <c r="I110" i="42697"/>
  <c r="I120" i="42697" s="1"/>
  <c r="I121" i="42697" s="1"/>
  <c r="I122" i="42697"/>
  <c r="Q780" i="42697"/>
  <c r="O259" i="42696"/>
  <c r="O208" i="42696"/>
  <c r="O238" i="42696" s="1"/>
  <c r="O243" i="42696" s="1"/>
  <c r="R791" i="42691"/>
  <c r="R792" i="42691" s="1"/>
  <c r="R794" i="42691" s="1"/>
  <c r="F792" i="42691"/>
  <c r="F805" i="42689"/>
  <c r="F954" i="42689"/>
  <c r="F989" i="42689" s="1"/>
  <c r="R989" i="42689" s="1"/>
  <c r="K25" i="42699" s="1"/>
  <c r="H22" i="42701" s="1"/>
  <c r="O862" i="42691"/>
  <c r="O880" i="42691" s="1"/>
  <c r="O601" i="42691"/>
  <c r="J852" i="42691"/>
  <c r="J748" i="42691"/>
  <c r="J747" i="42691"/>
  <c r="J754" i="42691" s="1"/>
  <c r="J757" i="42691"/>
  <c r="F852" i="42691"/>
  <c r="F748" i="42691"/>
  <c r="F747" i="42691"/>
  <c r="F757" i="42691"/>
  <c r="K941" i="42692"/>
  <c r="P111" i="42696"/>
  <c r="D124" i="42696"/>
  <c r="P124" i="42696" s="1"/>
  <c r="N200" i="42697"/>
  <c r="N940" i="42697"/>
  <c r="N165" i="42697"/>
  <c r="N939" i="42697"/>
  <c r="F956" i="42697"/>
  <c r="F167" i="42697"/>
  <c r="R161" i="42697"/>
  <c r="R149" i="42697"/>
  <c r="F159" i="42697"/>
  <c r="Q200" i="42697"/>
  <c r="Q940" i="42697"/>
  <c r="J845" i="42692"/>
  <c r="J293" i="42692"/>
  <c r="J292" i="42692"/>
  <c r="J302" i="42692"/>
  <c r="P966" i="42690"/>
  <c r="R866" i="42690"/>
  <c r="F995" i="42689"/>
  <c r="F894" i="42689"/>
  <c r="F606" i="42697"/>
  <c r="R606" i="42697" s="1"/>
  <c r="R601" i="42697"/>
  <c r="F464" i="42698" s="1"/>
  <c r="F469" i="42698" s="1"/>
  <c r="R586" i="42697"/>
  <c r="F599" i="42697"/>
  <c r="F862" i="42692"/>
  <c r="R587" i="42692"/>
  <c r="F601" i="42692"/>
  <c r="G852" i="42692"/>
  <c r="G748" i="42692"/>
  <c r="G747" i="42692"/>
  <c r="G754" i="42692" s="1"/>
  <c r="G757" i="42692"/>
  <c r="F948" i="42692"/>
  <c r="R39" i="42692"/>
  <c r="R38" i="42692"/>
  <c r="F931" i="42692"/>
  <c r="F40" i="42692"/>
  <c r="M12" i="42699"/>
  <c r="S965" i="42691"/>
  <c r="P852" i="42691"/>
  <c r="P748" i="42691"/>
  <c r="P747" i="42691"/>
  <c r="P754" i="42691" s="1"/>
  <c r="P757" i="42691"/>
  <c r="P851" i="42691"/>
  <c r="P694" i="42691"/>
  <c r="P693" i="42691"/>
  <c r="P700" i="42691" s="1"/>
  <c r="P703" i="42691"/>
  <c r="P850" i="42692"/>
  <c r="P661" i="42692"/>
  <c r="P652" i="42692"/>
  <c r="P651" i="42692"/>
  <c r="P658" i="42692" s="1"/>
  <c r="H850" i="42692"/>
  <c r="H661" i="42692"/>
  <c r="H652" i="42692"/>
  <c r="H651" i="42692"/>
  <c r="H658" i="42692" s="1"/>
  <c r="M227" i="42697"/>
  <c r="K255" i="42696"/>
  <c r="K207" i="42696"/>
  <c r="K237" i="42696" s="1"/>
  <c r="M942" i="42691"/>
  <c r="M846" i="42691"/>
  <c r="M344" i="42691"/>
  <c r="M334" i="42691"/>
  <c r="M335" i="42691"/>
  <c r="P857" i="42692"/>
  <c r="P197" i="42692"/>
  <c r="H857" i="42691"/>
  <c r="H197" i="42691"/>
  <c r="M324" i="42697"/>
  <c r="K257" i="42696"/>
  <c r="K202" i="42696"/>
  <c r="K232" i="42696" s="1"/>
  <c r="M281" i="42697"/>
  <c r="K256" i="42696"/>
  <c r="K201" i="42696"/>
  <c r="K231" i="42696" s="1"/>
  <c r="M845" i="42691"/>
  <c r="M874" i="42691" s="1"/>
  <c r="M302" i="42691"/>
  <c r="M292" i="42691"/>
  <c r="M293" i="42691"/>
  <c r="P165" i="42697"/>
  <c r="P939" i="42697"/>
  <c r="R978" i="42689"/>
  <c r="K14" i="42699" s="1"/>
  <c r="F967" i="42691"/>
  <c r="R932" i="42691"/>
  <c r="S932" i="42691" s="1"/>
  <c r="K931" i="42691"/>
  <c r="K40" i="42691"/>
  <c r="K977" i="42689"/>
  <c r="K990" i="42689" s="1"/>
  <c r="K955" i="42689"/>
  <c r="R246" i="42691"/>
  <c r="M957" i="42697"/>
  <c r="M202" i="42697"/>
  <c r="I852" i="42692"/>
  <c r="I748" i="42692"/>
  <c r="I747" i="42692"/>
  <c r="I754" i="42692" s="1"/>
  <c r="I757" i="42692"/>
  <c r="I851" i="42692"/>
  <c r="I694" i="42692"/>
  <c r="I703" i="42692"/>
  <c r="I693" i="42692"/>
  <c r="I700" i="42692" s="1"/>
  <c r="H780" i="42697"/>
  <c r="F259" i="42696"/>
  <c r="F208" i="42696"/>
  <c r="F238" i="42696" s="1"/>
  <c r="N846" i="42691"/>
  <c r="N344" i="42691"/>
  <c r="N334" i="42691"/>
  <c r="N335" i="42691"/>
  <c r="P934" i="42691"/>
  <c r="J931" i="42692"/>
  <c r="J40" i="42692"/>
  <c r="J995" i="42689"/>
  <c r="J894" i="42689"/>
  <c r="K862" i="42691"/>
  <c r="K880" i="42691" s="1"/>
  <c r="K601" i="42691"/>
  <c r="J851" i="42692"/>
  <c r="J694" i="42692"/>
  <c r="J693" i="42692"/>
  <c r="J700" i="42692" s="1"/>
  <c r="J703" i="42692"/>
  <c r="K860" i="42691"/>
  <c r="K525" i="42691"/>
  <c r="K530" i="42691" s="1"/>
  <c r="N850" i="42692"/>
  <c r="N661" i="42692"/>
  <c r="N652" i="42692"/>
  <c r="N651" i="42692"/>
  <c r="N658" i="42692" s="1"/>
  <c r="R649" i="42691"/>
  <c r="R650" i="42691" s="1"/>
  <c r="F650" i="42691"/>
  <c r="K780" i="42697"/>
  <c r="I259" i="42696"/>
  <c r="I208" i="42696"/>
  <c r="I238" i="42696" s="1"/>
  <c r="J940" i="42692"/>
  <c r="S957" i="42690"/>
  <c r="K374" i="42697"/>
  <c r="I258" i="42696"/>
  <c r="I203" i="42696"/>
  <c r="I233" i="42696" s="1"/>
  <c r="K845" i="42692"/>
  <c r="K874" i="42692" s="1"/>
  <c r="K293" i="42692"/>
  <c r="K292" i="42692"/>
  <c r="K302" i="42692"/>
  <c r="R167" i="42692"/>
  <c r="K934" i="42691"/>
  <c r="N192" i="42696"/>
  <c r="N193" i="42696" s="1"/>
  <c r="P848" i="42697"/>
  <c r="P413" i="42697"/>
  <c r="P414" i="42697"/>
  <c r="P417" i="42697"/>
  <c r="L849" i="42697"/>
  <c r="L438" i="42697"/>
  <c r="L448" i="42697" s="1"/>
  <c r="L449" i="42697" s="1"/>
  <c r="L459" i="42697"/>
  <c r="L450" i="42697"/>
  <c r="L456" i="42697" s="1"/>
  <c r="J248" i="42696"/>
  <c r="J197" i="42696"/>
  <c r="J161" i="42696"/>
  <c r="J175" i="42696" s="1"/>
  <c r="L34" i="42697"/>
  <c r="F192" i="42696"/>
  <c r="F193" i="42696" s="1"/>
  <c r="H848" i="42697"/>
  <c r="H413" i="42697"/>
  <c r="H415" i="42697" s="1"/>
  <c r="H414" i="42697"/>
  <c r="H417" i="42697"/>
  <c r="M984" i="42690"/>
  <c r="M883" i="42690"/>
  <c r="M966" i="42690"/>
  <c r="L846" i="42692"/>
  <c r="L335" i="42692"/>
  <c r="L334" i="42692"/>
  <c r="L344" i="42692"/>
  <c r="I857" i="42691"/>
  <c r="I197" i="42691"/>
  <c r="N12" i="42699"/>
  <c r="J862" i="42691"/>
  <c r="J880" i="42691" s="1"/>
  <c r="J601" i="42691"/>
  <c r="N941" i="42692"/>
  <c r="R562" i="42697"/>
  <c r="F426" i="42698" s="1"/>
  <c r="L942" i="42691"/>
  <c r="I847" i="42691"/>
  <c r="I398" i="42691"/>
  <c r="I388" i="42691"/>
  <c r="I389" i="42691"/>
  <c r="O857" i="42691"/>
  <c r="O197" i="42691"/>
  <c r="N966" i="42690"/>
  <c r="L844" i="42691"/>
  <c r="L873" i="42691" s="1"/>
  <c r="L122" i="42691"/>
  <c r="L131" i="42691"/>
  <c r="M843" i="42697"/>
  <c r="M85" i="42697"/>
  <c r="M89" i="42697"/>
  <c r="M86" i="42697"/>
  <c r="L926" i="42692"/>
  <c r="M926" i="42691"/>
  <c r="Q862" i="42692"/>
  <c r="Q880" i="42692" s="1"/>
  <c r="Q601" i="42692"/>
  <c r="Q861" i="42692"/>
  <c r="Q879" i="42692" s="1"/>
  <c r="Q557" i="42692"/>
  <c r="I861" i="42692"/>
  <c r="I879" i="42692" s="1"/>
  <c r="I557" i="42692"/>
  <c r="I860" i="42692"/>
  <c r="I525" i="42692"/>
  <c r="I530" i="42692" s="1"/>
  <c r="L850" i="42692"/>
  <c r="L661" i="42692"/>
  <c r="L652" i="42692"/>
  <c r="L651" i="42692"/>
  <c r="L658" i="42692" s="1"/>
  <c r="L165" i="42697"/>
  <c r="L939" i="42697"/>
  <c r="Q934" i="42691"/>
  <c r="I934" i="42691"/>
  <c r="O931" i="42692"/>
  <c r="O40" i="42692"/>
  <c r="O995" i="42689"/>
  <c r="O894" i="42689"/>
  <c r="G870" i="42692"/>
  <c r="F936" i="42690"/>
  <c r="F300" i="42690"/>
  <c r="F845" i="42692"/>
  <c r="F293" i="42692"/>
  <c r="F292" i="42692"/>
  <c r="F302" i="42692"/>
  <c r="R290" i="42692"/>
  <c r="R291" i="42692" s="1"/>
  <c r="F291" i="42692"/>
  <c r="N844" i="42691"/>
  <c r="N873" i="42691" s="1"/>
  <c r="N122" i="42691"/>
  <c r="N131" i="42691"/>
  <c r="N937" i="42689"/>
  <c r="M926" i="42690"/>
  <c r="R524" i="42691"/>
  <c r="F528" i="42691"/>
  <c r="M852" i="42692"/>
  <c r="M748" i="42692"/>
  <c r="M757" i="42692"/>
  <c r="M747" i="42692"/>
  <c r="M754" i="42692" s="1"/>
  <c r="N860" i="42692"/>
  <c r="N525" i="42692"/>
  <c r="N530" i="42692" s="1"/>
  <c r="R523" i="42697"/>
  <c r="F524" i="42697"/>
  <c r="F846" i="42691"/>
  <c r="F344" i="42691"/>
  <c r="F334" i="42691"/>
  <c r="F335" i="42691"/>
  <c r="K200" i="42697"/>
  <c r="K940" i="42697"/>
  <c r="K956" i="42697"/>
  <c r="K167" i="42697"/>
  <c r="K165" i="42697"/>
  <c r="K939" i="42697"/>
  <c r="G967" i="42697"/>
  <c r="G967" i="42692"/>
  <c r="N943" i="42692"/>
  <c r="N978" i="42692" s="1"/>
  <c r="N794" i="42692"/>
  <c r="R691" i="42692"/>
  <c r="R692" i="42692" s="1"/>
  <c r="F692" i="42692"/>
  <c r="O860" i="42691"/>
  <c r="O525" i="42691"/>
  <c r="O530" i="42691" s="1"/>
  <c r="G860" i="42691"/>
  <c r="G525" i="42691"/>
  <c r="G530" i="42691" s="1"/>
  <c r="J850" i="42692"/>
  <c r="J661" i="42692"/>
  <c r="J652" i="42692"/>
  <c r="J651" i="42692"/>
  <c r="J658" i="42692" s="1"/>
  <c r="R650" i="42690"/>
  <c r="R659" i="42690" s="1"/>
  <c r="F659" i="42690"/>
  <c r="R488" i="42690"/>
  <c r="R493" i="42690" s="1"/>
  <c r="F493" i="42690"/>
  <c r="R487" i="42691"/>
  <c r="F488" i="42691"/>
  <c r="G780" i="42697"/>
  <c r="E259" i="42696"/>
  <c r="E208" i="42696"/>
  <c r="E238" i="42696" s="1"/>
  <c r="K335" i="42692"/>
  <c r="K846" i="42692"/>
  <c r="K334" i="42692"/>
  <c r="K344" i="42692"/>
  <c r="N857" i="42691"/>
  <c r="N197" i="42691"/>
  <c r="F957" i="42697"/>
  <c r="F202" i="42697"/>
  <c r="R197" i="42697"/>
  <c r="O374" i="42697"/>
  <c r="M258" i="42696"/>
  <c r="M203" i="42696"/>
  <c r="M233" i="42696" s="1"/>
  <c r="O845" i="42692"/>
  <c r="O874" i="42692" s="1"/>
  <c r="O293" i="42692"/>
  <c r="O292" i="42692"/>
  <c r="O302" i="42692"/>
  <c r="G374" i="42697"/>
  <c r="E258" i="42696"/>
  <c r="E203" i="42696"/>
  <c r="E233" i="42696" s="1"/>
  <c r="G845" i="42692"/>
  <c r="G874" i="42692" s="1"/>
  <c r="G293" i="42692"/>
  <c r="G292" i="42692"/>
  <c r="G302" i="42692"/>
  <c r="O934" i="42691"/>
  <c r="G934" i="42691"/>
  <c r="Q931" i="42691"/>
  <c r="Q40" i="42691"/>
  <c r="I870" i="42691"/>
  <c r="I977" i="42689"/>
  <c r="I990" i="42689" s="1"/>
  <c r="I955" i="42689"/>
  <c r="J780" i="42697"/>
  <c r="H259" i="42696"/>
  <c r="H208" i="42696"/>
  <c r="H238" i="42696" s="1"/>
  <c r="Q940" i="42691"/>
  <c r="F966" i="42690"/>
  <c r="R931" i="42690"/>
  <c r="K12" i="42699"/>
  <c r="O493" i="42692"/>
  <c r="J457" i="42692"/>
  <c r="H852" i="42692"/>
  <c r="H748" i="42692"/>
  <c r="H757" i="42692"/>
  <c r="H747" i="42692"/>
  <c r="H754" i="42692" s="1"/>
  <c r="M941" i="42692"/>
  <c r="L859" i="42691"/>
  <c r="L877" i="42691" s="1"/>
  <c r="L490" i="42691"/>
  <c r="L939" i="42691" s="1"/>
  <c r="L489" i="42691"/>
  <c r="Q849" i="42692"/>
  <c r="Q459" i="42692"/>
  <c r="Q450" i="42692"/>
  <c r="Q456" i="42692" s="1"/>
  <c r="H957" i="42697"/>
  <c r="H202" i="42697"/>
  <c r="H956" i="42697"/>
  <c r="H167" i="42697"/>
  <c r="H877" i="42697"/>
  <c r="M844" i="42691"/>
  <c r="M131" i="42691"/>
  <c r="M122" i="42691"/>
  <c r="J967" i="42692"/>
  <c r="F967" i="42692"/>
  <c r="R932" i="42692"/>
  <c r="S932" i="42692" s="1"/>
  <c r="N849" i="42697"/>
  <c r="N438" i="42697"/>
  <c r="N448" i="42697" s="1"/>
  <c r="N459" i="42697"/>
  <c r="N450" i="42697"/>
  <c r="N456" i="42697" s="1"/>
  <c r="L248" i="42696"/>
  <c r="L197" i="42696"/>
  <c r="L161" i="42696"/>
  <c r="L175" i="42696" s="1"/>
  <c r="N34" i="42697"/>
  <c r="H192" i="42696"/>
  <c r="H193" i="42696" s="1"/>
  <c r="J848" i="42697"/>
  <c r="J413" i="42697"/>
  <c r="J414" i="42697"/>
  <c r="J417" i="42697"/>
  <c r="K984" i="42690"/>
  <c r="K883" i="42690"/>
  <c r="K924" i="42690"/>
  <c r="N780" i="42697"/>
  <c r="L259" i="42696"/>
  <c r="L208" i="42696"/>
  <c r="L238" i="42696" s="1"/>
  <c r="R239" i="42691"/>
  <c r="F240" i="42691"/>
  <c r="M940" i="42692"/>
  <c r="M877" i="42697"/>
  <c r="M956" i="42692"/>
  <c r="D119" i="42696"/>
  <c r="P119" i="42696" s="1"/>
  <c r="P106" i="42696"/>
  <c r="F844" i="42691"/>
  <c r="F122" i="42691"/>
  <c r="F131" i="42691"/>
  <c r="M198" i="42696"/>
  <c r="M229" i="42696" s="1"/>
  <c r="O843" i="42697"/>
  <c r="O872" i="42697" s="1"/>
  <c r="O85" i="42697"/>
  <c r="O89" i="42697"/>
  <c r="O86" i="42697"/>
  <c r="O950" i="42697" s="1"/>
  <c r="M250" i="42696"/>
  <c r="E198" i="42696"/>
  <c r="E229" i="42696" s="1"/>
  <c r="G843" i="42697"/>
  <c r="G85" i="42697"/>
  <c r="G89" i="42697"/>
  <c r="G86" i="42697"/>
  <c r="E250" i="42696"/>
  <c r="M794" i="42692"/>
  <c r="M943" i="42692"/>
  <c r="M978" i="42692" s="1"/>
  <c r="Q852" i="42691"/>
  <c r="Q747" i="42691"/>
  <c r="Q754" i="42691" s="1"/>
  <c r="Q757" i="42691"/>
  <c r="Q748" i="42691"/>
  <c r="L941" i="42692"/>
  <c r="J860" i="42691"/>
  <c r="J525" i="42691"/>
  <c r="J530" i="42691" s="1"/>
  <c r="J966" i="42690"/>
  <c r="J979" i="42690" s="1"/>
  <c r="J944" i="42690"/>
  <c r="S965" i="42697"/>
  <c r="H457" i="42691"/>
  <c r="O941" i="42692"/>
  <c r="G941" i="42692"/>
  <c r="N859" i="42691"/>
  <c r="N877" i="42691" s="1"/>
  <c r="N490" i="42691"/>
  <c r="N939" i="42691" s="1"/>
  <c r="N489" i="42691"/>
  <c r="F847" i="42692"/>
  <c r="F389" i="42692"/>
  <c r="F388" i="42692"/>
  <c r="F398" i="42692"/>
  <c r="R386" i="42692"/>
  <c r="R387" i="42692" s="1"/>
  <c r="F387" i="42692"/>
  <c r="J957" i="42697"/>
  <c r="J202" i="42697"/>
  <c r="R160" i="42690"/>
  <c r="R165" i="42690" s="1"/>
  <c r="F165" i="42690"/>
  <c r="F939" i="42690"/>
  <c r="M870" i="42692"/>
  <c r="J934" i="42691"/>
  <c r="I198" i="42696"/>
  <c r="I229" i="42696" s="1"/>
  <c r="K843" i="42697"/>
  <c r="K85" i="42697"/>
  <c r="K89" i="42697"/>
  <c r="K86" i="42697"/>
  <c r="I250" i="42696"/>
  <c r="H931" i="42691"/>
  <c r="H40" i="42691"/>
  <c r="H977" i="42689"/>
  <c r="H990" i="42689" s="1"/>
  <c r="H955" i="42689"/>
  <c r="K794" i="42691"/>
  <c r="K943" i="42691"/>
  <c r="K978" i="42691" s="1"/>
  <c r="N976" i="42697"/>
  <c r="F861" i="42691"/>
  <c r="F557" i="42691"/>
  <c r="O200" i="42697"/>
  <c r="O940" i="42697"/>
  <c r="L845" i="42692"/>
  <c r="L874" i="42692" s="1"/>
  <c r="L293" i="42692"/>
  <c r="L292" i="42692"/>
  <c r="L302" i="42692"/>
  <c r="N870" i="42691"/>
  <c r="N977" i="42689"/>
  <c r="G940" i="42691"/>
  <c r="F457" i="42692"/>
  <c r="I862" i="42692"/>
  <c r="I880" i="42692" s="1"/>
  <c r="I601" i="42692"/>
  <c r="L851" i="42691"/>
  <c r="L694" i="42691"/>
  <c r="L693" i="42691"/>
  <c r="L700" i="42691" s="1"/>
  <c r="L703" i="42691"/>
  <c r="I780" i="42697"/>
  <c r="G259" i="42696"/>
  <c r="G208" i="42696"/>
  <c r="G238" i="42696" s="1"/>
  <c r="Q846" i="42691"/>
  <c r="Q344" i="42691"/>
  <c r="Q334" i="42691"/>
  <c r="Q335" i="42691"/>
  <c r="I846" i="42691"/>
  <c r="I344" i="42691"/>
  <c r="I334" i="42691"/>
  <c r="I335" i="42691"/>
  <c r="L940" i="42691"/>
  <c r="Q374" i="42697"/>
  <c r="O258" i="42696"/>
  <c r="O203" i="42696"/>
  <c r="O233" i="42696" s="1"/>
  <c r="Q845" i="42692"/>
  <c r="Q874" i="42692" s="1"/>
  <c r="Q293" i="42692"/>
  <c r="Q292" i="42692"/>
  <c r="Q302" i="42692"/>
  <c r="I374" i="42697"/>
  <c r="G258" i="42696"/>
  <c r="G203" i="42696"/>
  <c r="G233" i="42696" s="1"/>
  <c r="I845" i="42692"/>
  <c r="I874" i="42692" s="1"/>
  <c r="I293" i="42692"/>
  <c r="I292" i="42692"/>
  <c r="I302" i="42692"/>
  <c r="K847" i="42692"/>
  <c r="K389" i="42692"/>
  <c r="K388" i="42692"/>
  <c r="K398" i="42692"/>
  <c r="H846" i="42692"/>
  <c r="H875" i="42692" s="1"/>
  <c r="H335" i="42692"/>
  <c r="H334" i="42692"/>
  <c r="H344" i="42692"/>
  <c r="N374" i="42697"/>
  <c r="L258" i="42696"/>
  <c r="L203" i="42696"/>
  <c r="L233" i="42696" s="1"/>
  <c r="N324" i="42697"/>
  <c r="L257" i="42696"/>
  <c r="L202" i="42696"/>
  <c r="L232" i="42696" s="1"/>
  <c r="L931" i="42691"/>
  <c r="L40" i="42691"/>
  <c r="R523" i="42692"/>
  <c r="H862" i="42691"/>
  <c r="H880" i="42691" s="1"/>
  <c r="H601" i="42691"/>
  <c r="P941" i="42692"/>
  <c r="H941" i="42691"/>
  <c r="P942" i="42691"/>
  <c r="M847" i="42691"/>
  <c r="M398" i="42691"/>
  <c r="M388" i="42691"/>
  <c r="M389" i="42691"/>
  <c r="K857" i="42691"/>
  <c r="K197" i="42691"/>
  <c r="H934" i="42691"/>
  <c r="I848" i="42697"/>
  <c r="I413" i="42697"/>
  <c r="I414" i="42697"/>
  <c r="I417" i="42697"/>
  <c r="I849" i="42697"/>
  <c r="I438" i="42697"/>
  <c r="I448" i="42697" s="1"/>
  <c r="I449" i="42697" s="1"/>
  <c r="I459" i="42697"/>
  <c r="I450" i="42697"/>
  <c r="I456" i="42697" s="1"/>
  <c r="I34" i="42697"/>
  <c r="G248" i="42696"/>
  <c r="G197" i="42696"/>
  <c r="G161" i="42696"/>
  <c r="G175" i="42696" s="1"/>
  <c r="G192" i="42696"/>
  <c r="G193" i="42696" s="1"/>
  <c r="L627" i="42689"/>
  <c r="M621" i="42689"/>
  <c r="L457" i="42691"/>
  <c r="O862" i="42692"/>
  <c r="O880" i="42692" s="1"/>
  <c r="O601" i="42692"/>
  <c r="J852" i="42692"/>
  <c r="J748" i="42692"/>
  <c r="J757" i="42692"/>
  <c r="J747" i="42692"/>
  <c r="J754" i="42692" s="1"/>
  <c r="F852" i="42692"/>
  <c r="F748" i="42692"/>
  <c r="F747" i="42692"/>
  <c r="F757" i="42692"/>
  <c r="K941" i="42691"/>
  <c r="L967" i="42692"/>
  <c r="I984" i="42690"/>
  <c r="I883" i="42690"/>
  <c r="I966" i="42690"/>
  <c r="I979" i="42690" s="1"/>
  <c r="I944" i="42690"/>
  <c r="I877" i="42697"/>
  <c r="I956" i="42691"/>
  <c r="I956" i="42692"/>
  <c r="I974" i="42692" s="1"/>
  <c r="P883" i="42690"/>
  <c r="P984" i="42690"/>
  <c r="P962" i="42690"/>
  <c r="F883" i="42690"/>
  <c r="F984" i="42690"/>
  <c r="O943" i="42692"/>
  <c r="O978" i="42692" s="1"/>
  <c r="O794" i="42692"/>
  <c r="G794" i="42691"/>
  <c r="G943" i="42691"/>
  <c r="G978" i="42691" s="1"/>
  <c r="F862" i="42691"/>
  <c r="R587" i="42691"/>
  <c r="F601" i="42691"/>
  <c r="R611" i="42689"/>
  <c r="R615" i="42689" s="1"/>
  <c r="F615" i="42689"/>
  <c r="G852" i="42691"/>
  <c r="G748" i="42691"/>
  <c r="G747" i="42691"/>
  <c r="G754" i="42691" s="1"/>
  <c r="G757" i="42691"/>
  <c r="J976" i="42697"/>
  <c r="J846" i="42692"/>
  <c r="J875" i="42692" s="1"/>
  <c r="J335" i="42692"/>
  <c r="J334" i="42692"/>
  <c r="J344" i="42692"/>
  <c r="F948" i="42691"/>
  <c r="R39" i="42691"/>
  <c r="F977" i="42689"/>
  <c r="R942" i="42689"/>
  <c r="R938" i="42689"/>
  <c r="K33" i="42699" s="1"/>
  <c r="H30" i="42701" s="1"/>
  <c r="G493" i="42692"/>
  <c r="M860" i="42692"/>
  <c r="M525" i="42692"/>
  <c r="M530" i="42692" s="1"/>
  <c r="P850" i="42691"/>
  <c r="P661" i="42691"/>
  <c r="P652" i="42691"/>
  <c r="P651" i="42691"/>
  <c r="P658" i="42691" s="1"/>
  <c r="H850" i="42691"/>
  <c r="H661" i="42691"/>
  <c r="H652" i="42691"/>
  <c r="H651" i="42691"/>
  <c r="H658" i="42691" s="1"/>
  <c r="M780" i="42697"/>
  <c r="K259" i="42696"/>
  <c r="K208" i="42696"/>
  <c r="K238" i="42696" s="1"/>
  <c r="P940" i="42691"/>
  <c r="H940" i="42692"/>
  <c r="S949" i="42690"/>
  <c r="R949" i="42691"/>
  <c r="S949" i="42691" s="1"/>
  <c r="R923" i="42691"/>
  <c r="S923" i="42691" s="1"/>
  <c r="K870" i="42692"/>
  <c r="D121" i="42696"/>
  <c r="P108" i="42696"/>
  <c r="L862" i="42692"/>
  <c r="L880" i="42692" s="1"/>
  <c r="L601" i="42692"/>
  <c r="I852" i="42691"/>
  <c r="I747" i="42691"/>
  <c r="I754" i="42691" s="1"/>
  <c r="I757" i="42691"/>
  <c r="I748" i="42691"/>
  <c r="I851" i="42691"/>
  <c r="I694" i="42691"/>
  <c r="I693" i="42691"/>
  <c r="I700" i="42691" s="1"/>
  <c r="I703" i="42691"/>
  <c r="H227" i="42697"/>
  <c r="F207" i="42696"/>
  <c r="F237" i="42696" s="1"/>
  <c r="F243" i="42696" s="1"/>
  <c r="F255" i="42696"/>
  <c r="P934" i="42692"/>
  <c r="J870" i="42691"/>
  <c r="F943" i="42690"/>
  <c r="F978" i="42690" s="1"/>
  <c r="R978" i="42690" s="1"/>
  <c r="F794" i="42690"/>
  <c r="K862" i="42692"/>
  <c r="K880" i="42692" s="1"/>
  <c r="K601" i="42692"/>
  <c r="K860" i="42692"/>
  <c r="K525" i="42692"/>
  <c r="K530" i="42692" s="1"/>
  <c r="F850" i="42692"/>
  <c r="R850" i="42692" s="1"/>
  <c r="F661" i="42692"/>
  <c r="R661" i="42692" s="1"/>
  <c r="F652" i="42692"/>
  <c r="R652" i="42692" s="1"/>
  <c r="F651" i="42692"/>
  <c r="F495" i="42697"/>
  <c r="R495" i="42697" s="1"/>
  <c r="R489" i="42697"/>
  <c r="F330" i="42698" s="1"/>
  <c r="F336" i="42698" s="1"/>
  <c r="R477" i="42697"/>
  <c r="F487" i="42697"/>
  <c r="G849" i="42691"/>
  <c r="G450" i="42691"/>
  <c r="G456" i="42691" s="1"/>
  <c r="G459" i="42691"/>
  <c r="K227" i="42697"/>
  <c r="I255" i="42696"/>
  <c r="I207" i="42696"/>
  <c r="I237" i="42696" s="1"/>
  <c r="I243" i="42696" s="1"/>
  <c r="O846" i="42691"/>
  <c r="O344" i="42691"/>
  <c r="O334" i="42691"/>
  <c r="O335" i="42691"/>
  <c r="G335" i="42692"/>
  <c r="G846" i="42692"/>
  <c r="G334" i="42692"/>
  <c r="G344" i="42692"/>
  <c r="J857" i="42691"/>
  <c r="J197" i="42691"/>
  <c r="F857" i="42692"/>
  <c r="R186" i="42692"/>
  <c r="F197" i="42692"/>
  <c r="R195" i="42692"/>
  <c r="F196" i="42692"/>
  <c r="K324" i="42697"/>
  <c r="I257" i="42696"/>
  <c r="I202" i="42696"/>
  <c r="I232" i="42696" s="1"/>
  <c r="K281" i="42697"/>
  <c r="I256" i="42696"/>
  <c r="I201" i="42696"/>
  <c r="I231" i="42696" s="1"/>
  <c r="K845" i="42691"/>
  <c r="K874" i="42691" s="1"/>
  <c r="K302" i="42691"/>
  <c r="K292" i="42691"/>
  <c r="K293" i="42691"/>
  <c r="J165" i="42697"/>
  <c r="J939" i="42697"/>
  <c r="S956" i="42690"/>
  <c r="K844" i="42692"/>
  <c r="K131" i="42692"/>
  <c r="K122" i="42692"/>
  <c r="F968" i="42692"/>
  <c r="R968" i="42692" s="1"/>
  <c r="R933" i="42692"/>
  <c r="R950" i="42692"/>
  <c r="S950" i="42692" s="1"/>
  <c r="H967" i="42697"/>
  <c r="P844" i="42697"/>
  <c r="P131" i="42697"/>
  <c r="P110" i="42697"/>
  <c r="P120" i="42697" s="1"/>
  <c r="P122" i="42697"/>
  <c r="N250" i="42696"/>
  <c r="N249" i="42696"/>
  <c r="L844" i="42697"/>
  <c r="L873" i="42697" s="1"/>
  <c r="L131" i="42697"/>
  <c r="L110" i="42697"/>
  <c r="L120" i="42697" s="1"/>
  <c r="L121" i="42697" s="1"/>
  <c r="L122" i="42697"/>
  <c r="J250" i="42696"/>
  <c r="J249" i="42696"/>
  <c r="H844" i="42697"/>
  <c r="H131" i="42697"/>
  <c r="H110" i="42697"/>
  <c r="H120" i="42697" s="1"/>
  <c r="H121" i="42697" s="1"/>
  <c r="H122" i="42697"/>
  <c r="F250" i="42696"/>
  <c r="F249" i="42696"/>
  <c r="L846" i="42691"/>
  <c r="L875" i="42691" s="1"/>
  <c r="L344" i="42691"/>
  <c r="L334" i="42691"/>
  <c r="L335" i="42691"/>
  <c r="I940" i="42692"/>
  <c r="Q877" i="42697"/>
  <c r="Q956" i="42691"/>
  <c r="Q956" i="42692"/>
  <c r="Q974" i="42692" s="1"/>
  <c r="H966" i="42690"/>
  <c r="H979" i="42690" s="1"/>
  <c r="H944" i="42690"/>
  <c r="M659" i="42691"/>
  <c r="H528" i="42691"/>
  <c r="J862" i="42692"/>
  <c r="J880" i="42692" s="1"/>
  <c r="J601" i="42692"/>
  <c r="N861" i="42691"/>
  <c r="N879" i="42691" s="1"/>
  <c r="N557" i="42691"/>
  <c r="J17" i="42700"/>
  <c r="L17" i="42700" s="1"/>
  <c r="R879" i="42697"/>
  <c r="R555" i="42697"/>
  <c r="R556" i="42697" s="1"/>
  <c r="F556" i="42697"/>
  <c r="I847" i="42692"/>
  <c r="I876" i="42692" s="1"/>
  <c r="I389" i="42692"/>
  <c r="I388" i="42692"/>
  <c r="I398" i="42692"/>
  <c r="O857" i="42692"/>
  <c r="O197" i="42692"/>
  <c r="L281" i="42697"/>
  <c r="J256" i="42696"/>
  <c r="J201" i="42696"/>
  <c r="J231" i="42696" s="1"/>
  <c r="N883" i="42690"/>
  <c r="N984" i="42690"/>
  <c r="N962" i="42690"/>
  <c r="E20" i="42702"/>
  <c r="U25" i="42701"/>
  <c r="L934" i="42692"/>
  <c r="F456" i="42691"/>
  <c r="Q862" i="42691"/>
  <c r="Q880" i="42691" s="1"/>
  <c r="Q601" i="42691"/>
  <c r="L852" i="42691"/>
  <c r="L748" i="42691"/>
  <c r="L747" i="42691"/>
  <c r="L754" i="42691" s="1"/>
  <c r="L757" i="42691"/>
  <c r="Q861" i="42691"/>
  <c r="Q879" i="42691" s="1"/>
  <c r="Q557" i="42691"/>
  <c r="I861" i="42691"/>
  <c r="I879" i="42691" s="1"/>
  <c r="I557" i="42691"/>
  <c r="Q860" i="42692"/>
  <c r="Q525" i="42692"/>
  <c r="Q530" i="42692" s="1"/>
  <c r="L850" i="42691"/>
  <c r="L661" i="42691"/>
  <c r="L652" i="42691"/>
  <c r="L651" i="42691"/>
  <c r="L658" i="42691" s="1"/>
  <c r="L200" i="42697"/>
  <c r="L940" i="42697"/>
  <c r="Q934" i="42692"/>
  <c r="I934" i="42692"/>
  <c r="F529" i="42698"/>
  <c r="F558" i="42698" s="1"/>
  <c r="D694" i="42698"/>
  <c r="F694" i="42698" s="1"/>
  <c r="S14" i="42699" s="1"/>
  <c r="O931" i="42691"/>
  <c r="O40" i="42691"/>
  <c r="O977" i="42689"/>
  <c r="G870" i="42691"/>
  <c r="N845" i="42692"/>
  <c r="N874" i="42692" s="1"/>
  <c r="N293" i="42692"/>
  <c r="N292" i="42692"/>
  <c r="N302" i="42692"/>
  <c r="R290" i="42691"/>
  <c r="R291" i="42691" s="1"/>
  <c r="F291" i="42691"/>
  <c r="N934" i="42692"/>
  <c r="R514" i="42691"/>
  <c r="P109" i="42696"/>
  <c r="D122" i="42696"/>
  <c r="P122" i="42696" s="1"/>
  <c r="F948" i="42689"/>
  <c r="F353" i="42689"/>
  <c r="I493" i="42691"/>
  <c r="G862" i="42692"/>
  <c r="G880" i="42692" s="1"/>
  <c r="G601" i="42692"/>
  <c r="R746" i="42690"/>
  <c r="R755" i="42690" s="1"/>
  <c r="F755" i="42690"/>
  <c r="F700" i="42697"/>
  <c r="R693" i="42697"/>
  <c r="R700" i="42697" s="1"/>
  <c r="F851" i="42691"/>
  <c r="F693" i="42691"/>
  <c r="F703" i="42691"/>
  <c r="F694" i="42691"/>
  <c r="R703" i="42689"/>
  <c r="R712" i="42689" s="1"/>
  <c r="F712" i="42689"/>
  <c r="O860" i="42692"/>
  <c r="O525" i="42692"/>
  <c r="O530" i="42692" s="1"/>
  <c r="G860" i="42692"/>
  <c r="G525" i="42692"/>
  <c r="G530" i="42692" s="1"/>
  <c r="J859" i="42692"/>
  <c r="J877" i="42692" s="1"/>
  <c r="J489" i="42692"/>
  <c r="J490" i="42692"/>
  <c r="J939" i="42692" s="1"/>
  <c r="F859" i="42692"/>
  <c r="R478" i="42692"/>
  <c r="F489" i="42692"/>
  <c r="F490" i="42692"/>
  <c r="O227" i="42697"/>
  <c r="M255" i="42696"/>
  <c r="M207" i="42696"/>
  <c r="M237" i="42696" s="1"/>
  <c r="G227" i="42697"/>
  <c r="E255" i="42696"/>
  <c r="E207" i="42696"/>
  <c r="E237" i="42696" s="1"/>
  <c r="E243" i="42696" s="1"/>
  <c r="G942" i="42691"/>
  <c r="K846" i="42691"/>
  <c r="K344" i="42691"/>
  <c r="K334" i="42691"/>
  <c r="K335" i="42691"/>
  <c r="N857" i="42692"/>
  <c r="N197" i="42692"/>
  <c r="O324" i="42697"/>
  <c r="M257" i="42696"/>
  <c r="M202" i="42696"/>
  <c r="M232" i="42696" s="1"/>
  <c r="O281" i="42697"/>
  <c r="M256" i="42696"/>
  <c r="M201" i="42696"/>
  <c r="M231" i="42696" s="1"/>
  <c r="O845" i="42691"/>
  <c r="O874" i="42691" s="1"/>
  <c r="O302" i="42691"/>
  <c r="O292" i="42691"/>
  <c r="O293" i="42691"/>
  <c r="G324" i="42697"/>
  <c r="E257" i="42696"/>
  <c r="E202" i="42696"/>
  <c r="E232" i="42696" s="1"/>
  <c r="G281" i="42697"/>
  <c r="E256" i="42696"/>
  <c r="E201" i="42696"/>
  <c r="E231" i="42696" s="1"/>
  <c r="G845" i="42691"/>
  <c r="G874" i="42691" s="1"/>
  <c r="G302" i="42691"/>
  <c r="G292" i="42691"/>
  <c r="G293" i="42691"/>
  <c r="O844" i="42692"/>
  <c r="O131" i="42692"/>
  <c r="O122" i="42692"/>
  <c r="G844" i="42692"/>
  <c r="G131" i="42692"/>
  <c r="G122" i="42692"/>
  <c r="Q870" i="42692"/>
  <c r="I931" i="42692"/>
  <c r="I40" i="42692"/>
  <c r="I924" i="42692"/>
  <c r="I995" i="42689"/>
  <c r="I894" i="42689"/>
  <c r="I973" i="42689"/>
  <c r="G847" i="42691"/>
  <c r="G876" i="42691" s="1"/>
  <c r="G398" i="42691"/>
  <c r="G388" i="42691"/>
  <c r="G389" i="42691"/>
  <c r="Q940" i="42692"/>
  <c r="P40" i="42692"/>
  <c r="P931" i="42692"/>
  <c r="P995" i="42689"/>
  <c r="P894" i="42689"/>
  <c r="J557" i="42692"/>
  <c r="J861" i="42692"/>
  <c r="J879" i="42692" s="1"/>
  <c r="K851" i="42692"/>
  <c r="K694" i="42692"/>
  <c r="K703" i="42692"/>
  <c r="K693" i="42692"/>
  <c r="K700" i="42692" s="1"/>
  <c r="G957" i="42697"/>
  <c r="G202" i="42697"/>
  <c r="O956" i="42691"/>
  <c r="O956" i="42692"/>
  <c r="O974" i="42692" s="1"/>
  <c r="R927" i="42690"/>
  <c r="L33" i="42699" s="1"/>
  <c r="P931" i="42691"/>
  <c r="P40" i="42691"/>
  <c r="P977" i="42689"/>
  <c r="J941" i="42691"/>
  <c r="R948" i="42690"/>
  <c r="F961" i="42690"/>
  <c r="F962" i="42690" s="1"/>
  <c r="N446" i="42697"/>
  <c r="H755" i="42691"/>
  <c r="L859" i="42692"/>
  <c r="L877" i="42692" s="1"/>
  <c r="L489" i="42692"/>
  <c r="L490" i="42692"/>
  <c r="L939" i="42692" s="1"/>
  <c r="P957" i="42697"/>
  <c r="P202" i="42697"/>
  <c r="N227" i="42697"/>
  <c r="L207" i="42696"/>
  <c r="L237" i="42696" s="1"/>
  <c r="L243" i="42696" s="1"/>
  <c r="L255" i="42696"/>
  <c r="R251" i="42689"/>
  <c r="R255" i="42689" s="1"/>
  <c r="F953" i="42689"/>
  <c r="F255" i="42689"/>
  <c r="P846" i="42691"/>
  <c r="P875" i="42691" s="1"/>
  <c r="P344" i="42691"/>
  <c r="P334" i="42691"/>
  <c r="P335" i="42691"/>
  <c r="P937" i="42691" s="1"/>
  <c r="M940" i="42691"/>
  <c r="M200" i="42691"/>
  <c r="F945" i="42689"/>
  <c r="F140" i="42689"/>
  <c r="G848" i="42697"/>
  <c r="G413" i="42697"/>
  <c r="G414" i="42697"/>
  <c r="G417" i="42697"/>
  <c r="G849" i="42697"/>
  <c r="G438" i="42697"/>
  <c r="G448" i="42697" s="1"/>
  <c r="G449" i="42697" s="1"/>
  <c r="G459" i="42697"/>
  <c r="G450" i="42697"/>
  <c r="G456" i="42697" s="1"/>
  <c r="G34" i="42697"/>
  <c r="E248" i="42696"/>
  <c r="E197" i="42696"/>
  <c r="E161" i="42696"/>
  <c r="E175" i="42696" s="1"/>
  <c r="M794" i="42691"/>
  <c r="M943" i="42691"/>
  <c r="M978" i="42691" s="1"/>
  <c r="Q755" i="42692"/>
  <c r="L560" i="42691"/>
  <c r="L941" i="42691"/>
  <c r="Q701" i="42692"/>
  <c r="J528" i="42692"/>
  <c r="F342" i="42690"/>
  <c r="F937" i="42690"/>
  <c r="P936" i="42692"/>
  <c r="P300" i="42692"/>
  <c r="N755" i="42691"/>
  <c r="R732" i="42697"/>
  <c r="R733" i="42697" s="1"/>
  <c r="F437" i="42698" s="1"/>
  <c r="F745" i="42697"/>
  <c r="O861" i="42691"/>
  <c r="O879" i="42691" s="1"/>
  <c r="O557" i="42691"/>
  <c r="G861" i="42691"/>
  <c r="G879" i="42691" s="1"/>
  <c r="G557" i="42691"/>
  <c r="F658" i="42697"/>
  <c r="R651" i="42697"/>
  <c r="R658" i="42697" s="1"/>
  <c r="R639" i="42697"/>
  <c r="R640" i="42697" s="1"/>
  <c r="F351" i="42698" s="1"/>
  <c r="F649" i="42697"/>
  <c r="N493" i="42692"/>
  <c r="O457" i="42691"/>
  <c r="F847" i="42691"/>
  <c r="F398" i="42691"/>
  <c r="F388" i="42691"/>
  <c r="F389" i="42691"/>
  <c r="M870" i="42691"/>
  <c r="M977" i="42689"/>
  <c r="I200" i="42697"/>
  <c r="I940" i="42697"/>
  <c r="I975" i="42697" s="1"/>
  <c r="Q974" i="42691"/>
  <c r="J934" i="42692"/>
  <c r="J129" i="42692"/>
  <c r="K848" i="42697"/>
  <c r="K413" i="42697"/>
  <c r="K414" i="42697"/>
  <c r="K417" i="42697"/>
  <c r="K849" i="42697"/>
  <c r="K438" i="42697"/>
  <c r="K448" i="42697" s="1"/>
  <c r="K449" i="42697" s="1"/>
  <c r="K459" i="42697"/>
  <c r="K450" i="42697"/>
  <c r="K456" i="42697" s="1"/>
  <c r="K34" i="42697"/>
  <c r="I248" i="42696"/>
  <c r="I197" i="42696"/>
  <c r="I161" i="42696"/>
  <c r="I175" i="42696" s="1"/>
  <c r="H870" i="42692"/>
  <c r="K943" i="42692"/>
  <c r="K978" i="42692" s="1"/>
  <c r="K794" i="42692"/>
  <c r="K852" i="42692"/>
  <c r="K748" i="42692"/>
  <c r="K757" i="42692"/>
  <c r="K747" i="42692"/>
  <c r="K754" i="42692" s="1"/>
  <c r="F952" i="42689"/>
  <c r="F571" i="42689"/>
  <c r="G851" i="42691"/>
  <c r="G694" i="42691"/>
  <c r="G693" i="42691"/>
  <c r="G700" i="42691" s="1"/>
  <c r="G703" i="42691"/>
  <c r="L300" i="42691"/>
  <c r="L936" i="42691"/>
  <c r="G956" i="42697"/>
  <c r="G167" i="42697"/>
  <c r="G165" i="42697"/>
  <c r="G939" i="42697"/>
  <c r="N931" i="42692"/>
  <c r="N40" i="42692"/>
  <c r="N995" i="42689"/>
  <c r="N894" i="42689"/>
  <c r="G200" i="42692"/>
  <c r="G940" i="42692"/>
  <c r="O877" i="42697"/>
  <c r="I862" i="42691"/>
  <c r="I880" i="42691" s="1"/>
  <c r="I601" i="42691"/>
  <c r="L851" i="42692"/>
  <c r="L694" i="42692"/>
  <c r="L703" i="42692"/>
  <c r="L693" i="42692"/>
  <c r="L700" i="42692" s="1"/>
  <c r="M849" i="42692"/>
  <c r="M459" i="42692"/>
  <c r="M450" i="42692"/>
  <c r="M456" i="42692" s="1"/>
  <c r="L847" i="42692"/>
  <c r="L389" i="42692"/>
  <c r="L388" i="42692"/>
  <c r="L398" i="42692"/>
  <c r="Q335" i="42692"/>
  <c r="Q937" i="42692" s="1"/>
  <c r="Q846" i="42692"/>
  <c r="Q875" i="42692" s="1"/>
  <c r="Q334" i="42692"/>
  <c r="Q344" i="42692"/>
  <c r="I342" i="42692"/>
  <c r="I937" i="42692"/>
  <c r="L200" i="42692"/>
  <c r="L940" i="42692"/>
  <c r="Q300" i="42691"/>
  <c r="Q936" i="42691"/>
  <c r="I300" i="42691"/>
  <c r="I936" i="42691"/>
  <c r="O984" i="42690"/>
  <c r="O883" i="42690"/>
  <c r="G966" i="42690"/>
  <c r="G979" i="42690" s="1"/>
  <c r="G944" i="42690"/>
  <c r="K396" i="42691"/>
  <c r="H342" i="42691"/>
  <c r="N281" i="42697"/>
  <c r="L256" i="42696"/>
  <c r="L201" i="42696"/>
  <c r="L231" i="42696" s="1"/>
  <c r="L870" i="42692"/>
  <c r="H604" i="42692"/>
  <c r="P861" i="42691"/>
  <c r="P879" i="42691" s="1"/>
  <c r="P557" i="42691"/>
  <c r="H557" i="42692"/>
  <c r="H560" i="42692" s="1"/>
  <c r="H861" i="42692"/>
  <c r="H879" i="42692" s="1"/>
  <c r="M851" i="42692"/>
  <c r="M694" i="42692"/>
  <c r="M703" i="42692"/>
  <c r="M693" i="42692"/>
  <c r="M700" i="42692" s="1"/>
  <c r="P780" i="42697"/>
  <c r="N259" i="42696"/>
  <c r="N208" i="42696"/>
  <c r="N238" i="42696" s="1"/>
  <c r="M396" i="42692"/>
  <c r="M938" i="42692"/>
  <c r="K200" i="42692"/>
  <c r="K940" i="42692"/>
  <c r="H934" i="42692"/>
  <c r="H129" i="42692"/>
  <c r="Q843" i="42697"/>
  <c r="Q85" i="42697"/>
  <c r="Q89" i="42697"/>
  <c r="Q86" i="42697"/>
  <c r="I843" i="42697"/>
  <c r="I872" i="42697" s="1"/>
  <c r="I85" i="42697"/>
  <c r="I89" i="42697"/>
  <c r="I86" i="42697"/>
  <c r="I950" i="42697" s="1"/>
  <c r="J981" i="42689"/>
  <c r="R863" i="42691"/>
  <c r="R881" i="42691" s="1"/>
  <c r="F881" i="42691"/>
  <c r="R805" i="42689"/>
  <c r="R954" i="42689"/>
  <c r="O604" i="42691"/>
  <c r="J755" i="42691"/>
  <c r="R745" i="42691"/>
  <c r="R746" i="42691" s="1"/>
  <c r="F746" i="42691"/>
  <c r="F755" i="42691" s="1"/>
  <c r="R757" i="42689"/>
  <c r="R766" i="42689" s="1"/>
  <c r="F766" i="42689"/>
  <c r="K861" i="42692"/>
  <c r="K879" i="42692" s="1"/>
  <c r="K557" i="42692"/>
  <c r="K560" i="42692" s="1"/>
  <c r="K849" i="42692"/>
  <c r="K459" i="42692"/>
  <c r="K450" i="42692"/>
  <c r="K456" i="42692" s="1"/>
  <c r="F938" i="42690"/>
  <c r="F396" i="42690"/>
  <c r="N957" i="42697"/>
  <c r="N202" i="42697"/>
  <c r="N956" i="42697"/>
  <c r="N167" i="42697"/>
  <c r="N877" i="42697"/>
  <c r="R162" i="42697"/>
  <c r="F146" i="42698" s="1"/>
  <c r="F564" i="42698"/>
  <c r="F877" i="42697"/>
  <c r="R856" i="42697"/>
  <c r="L15" i="42699"/>
  <c r="S968" i="42690"/>
  <c r="I962" i="42690"/>
  <c r="Q957" i="42697"/>
  <c r="Q202" i="42697"/>
  <c r="J936" i="42692"/>
  <c r="J300" i="42692"/>
  <c r="R882" i="42690"/>
  <c r="S12" i="42699"/>
  <c r="R995" i="42689"/>
  <c r="O794" i="42691"/>
  <c r="O943" i="42691"/>
  <c r="O978" i="42691" s="1"/>
  <c r="G943" i="42692"/>
  <c r="G978" i="42692" s="1"/>
  <c r="G794" i="42692"/>
  <c r="N862" i="42691"/>
  <c r="N880" i="42691" s="1"/>
  <c r="N601" i="42691"/>
  <c r="R599" i="42692"/>
  <c r="F600" i="42692"/>
  <c r="G755" i="42692"/>
  <c r="F941" i="42690"/>
  <c r="F560" i="42690"/>
  <c r="P860" i="42692"/>
  <c r="P525" i="42692"/>
  <c r="P530" i="42692" s="1"/>
  <c r="J846" i="42691"/>
  <c r="J344" i="42691"/>
  <c r="J334" i="42691"/>
  <c r="J335" i="42691"/>
  <c r="O974" i="42691"/>
  <c r="R42" i="42692"/>
  <c r="F870" i="42692"/>
  <c r="R841" i="42692"/>
  <c r="R881" i="42689"/>
  <c r="R959" i="42689"/>
  <c r="R972" i="42689" s="1"/>
  <c r="R973" i="42689" s="1"/>
  <c r="F972" i="42689"/>
  <c r="F973" i="42689" s="1"/>
  <c r="H794" i="42692"/>
  <c r="H943" i="42692"/>
  <c r="H978" i="42692" s="1"/>
  <c r="P755" i="42691"/>
  <c r="P701" i="42691"/>
  <c r="M860" i="42691"/>
  <c r="M525" i="42691"/>
  <c r="M530" i="42691" s="1"/>
  <c r="P659" i="42692"/>
  <c r="H659" i="42692"/>
  <c r="I849" i="42691"/>
  <c r="I450" i="42691"/>
  <c r="I456" i="42691" s="1"/>
  <c r="I459" i="42691"/>
  <c r="P847" i="42691"/>
  <c r="P876" i="42691" s="1"/>
  <c r="P398" i="42691"/>
  <c r="P388" i="42691"/>
  <c r="P389" i="42691"/>
  <c r="P938" i="42691" s="1"/>
  <c r="H847" i="42691"/>
  <c r="H876" i="42691" s="1"/>
  <c r="H398" i="42691"/>
  <c r="H388" i="42691"/>
  <c r="H389" i="42691"/>
  <c r="H938" i="42691" s="1"/>
  <c r="M342" i="42691"/>
  <c r="P200" i="42692"/>
  <c r="P940" i="42692"/>
  <c r="H200" i="42691"/>
  <c r="H940" i="42691"/>
  <c r="M300" i="42691"/>
  <c r="M936" i="42691"/>
  <c r="P956" i="42697"/>
  <c r="P167" i="42697"/>
  <c r="P877" i="42697"/>
  <c r="R922" i="42690"/>
  <c r="K870" i="42691"/>
  <c r="M200" i="42697"/>
  <c r="M940" i="42697"/>
  <c r="M975" i="42697" s="1"/>
  <c r="M974" i="42692"/>
  <c r="L862" i="42691"/>
  <c r="L880" i="42691" s="1"/>
  <c r="L601" i="42691"/>
  <c r="I755" i="42692"/>
  <c r="I701" i="42692"/>
  <c r="H942" i="42692"/>
  <c r="N342" i="42691"/>
  <c r="P281" i="42697"/>
  <c r="N256" i="42696"/>
  <c r="N201" i="42696"/>
  <c r="N231" i="42696" s="1"/>
  <c r="P844" i="42691"/>
  <c r="P873" i="42691" s="1"/>
  <c r="P122" i="42691"/>
  <c r="P131" i="42691"/>
  <c r="J870" i="42692"/>
  <c r="F30" i="42699"/>
  <c r="F31" i="42699" s="1"/>
  <c r="V29" i="42699"/>
  <c r="L616" i="42690"/>
  <c r="M610" i="42690"/>
  <c r="J943" i="42692"/>
  <c r="J978" i="42692" s="1"/>
  <c r="J794" i="42692"/>
  <c r="K604" i="42691"/>
  <c r="J701" i="42692"/>
  <c r="K528" i="42691"/>
  <c r="N659" i="42692"/>
  <c r="F850" i="42691"/>
  <c r="F661" i="42691"/>
  <c r="F651" i="42691"/>
  <c r="F652" i="42691"/>
  <c r="G849" i="42692"/>
  <c r="G459" i="42692"/>
  <c r="G450" i="42692"/>
  <c r="G456" i="42692" s="1"/>
  <c r="N847" i="42692"/>
  <c r="N389" i="42692"/>
  <c r="N388" i="42692"/>
  <c r="N398" i="42692"/>
  <c r="O335" i="42692"/>
  <c r="O846" i="42692"/>
  <c r="O334" i="42692"/>
  <c r="O342" i="42692" s="1"/>
  <c r="O344" i="42692"/>
  <c r="G846" i="42691"/>
  <c r="G875" i="42691" s="1"/>
  <c r="G344" i="42691"/>
  <c r="G334" i="42691"/>
  <c r="G335" i="42691"/>
  <c r="G937" i="42691" s="1"/>
  <c r="J857" i="42692"/>
  <c r="J197" i="42692"/>
  <c r="F857" i="42691"/>
  <c r="R186" i="42691"/>
  <c r="F197" i="42691"/>
  <c r="R195" i="42691"/>
  <c r="F196" i="42691"/>
  <c r="K936" i="42692"/>
  <c r="K300" i="42692"/>
  <c r="R159" i="42692"/>
  <c r="F160" i="42692"/>
  <c r="K844" i="42691"/>
  <c r="K131" i="42691"/>
  <c r="K122" i="42691"/>
  <c r="D118" i="42696"/>
  <c r="P118" i="42696" s="1"/>
  <c r="P105" i="42696"/>
  <c r="P849" i="42697"/>
  <c r="P438" i="42697"/>
  <c r="P448" i="42697" s="1"/>
  <c r="P459" i="42697"/>
  <c r="P450" i="42697"/>
  <c r="P456" i="42697" s="1"/>
  <c r="N248" i="42696"/>
  <c r="N197" i="42696"/>
  <c r="N161" i="42696"/>
  <c r="N175" i="42696" s="1"/>
  <c r="P34" i="42697"/>
  <c r="J192" i="42696"/>
  <c r="J193" i="42696" s="1"/>
  <c r="L848" i="42697"/>
  <c r="L413" i="42697"/>
  <c r="L414" i="42697"/>
  <c r="L417" i="42697"/>
  <c r="H849" i="42697"/>
  <c r="H438" i="42697"/>
  <c r="H448" i="42697" s="1"/>
  <c r="H449" i="42697" s="1"/>
  <c r="H459" i="42697"/>
  <c r="H450" i="42697"/>
  <c r="H456" i="42697" s="1"/>
  <c r="F248" i="42696"/>
  <c r="F197" i="42696"/>
  <c r="F161" i="42696"/>
  <c r="F175" i="42696" s="1"/>
  <c r="H34" i="42697"/>
  <c r="O847" i="42691"/>
  <c r="O398" i="42691"/>
  <c r="O388" i="42691"/>
  <c r="O389" i="42691"/>
  <c r="L937" i="42692"/>
  <c r="L342" i="42692"/>
  <c r="I940" i="42691"/>
  <c r="I200" i="42691"/>
  <c r="H883" i="42690"/>
  <c r="H984" i="42690"/>
  <c r="H962" i="42690"/>
  <c r="S965" i="42692"/>
  <c r="J604" i="42691"/>
  <c r="N557" i="42692"/>
  <c r="N861" i="42692"/>
  <c r="N879" i="42692" s="1"/>
  <c r="R958" i="42697"/>
  <c r="F421" i="42698"/>
  <c r="O851" i="42691"/>
  <c r="O694" i="42691"/>
  <c r="O693" i="42691"/>
  <c r="O700" i="42691" s="1"/>
  <c r="O703" i="42691"/>
  <c r="L860" i="42692"/>
  <c r="L525" i="42692"/>
  <c r="L530" i="42692" s="1"/>
  <c r="L227" i="42697"/>
  <c r="J207" i="42696"/>
  <c r="J237" i="42696" s="1"/>
  <c r="J255" i="42696"/>
  <c r="I938" i="42691"/>
  <c r="I396" i="42691"/>
  <c r="O940" i="42691"/>
  <c r="O200" i="42691"/>
  <c r="L374" i="42697"/>
  <c r="J258" i="42696"/>
  <c r="J203" i="42696"/>
  <c r="J233" i="42696" s="1"/>
  <c r="L324" i="42697"/>
  <c r="J257" i="42696"/>
  <c r="J202" i="42696"/>
  <c r="J232" i="42696" s="1"/>
  <c r="G974" i="42691"/>
  <c r="L129" i="42691"/>
  <c r="L934" i="42691"/>
  <c r="M844" i="42697"/>
  <c r="M131" i="42697"/>
  <c r="M110" i="42697"/>
  <c r="M120" i="42697" s="1"/>
  <c r="M122" i="42697"/>
  <c r="R448" i="42691"/>
  <c r="R449" i="42691" s="1"/>
  <c r="L943" i="42691"/>
  <c r="L978" i="42691" s="1"/>
  <c r="L794" i="42691"/>
  <c r="Q604" i="42692"/>
  <c r="Q942" i="42692"/>
  <c r="L852" i="42692"/>
  <c r="L748" i="42692"/>
  <c r="L747" i="42692"/>
  <c r="L754" i="42692" s="1"/>
  <c r="L757" i="42692"/>
  <c r="Q941" i="42692"/>
  <c r="Q560" i="42692"/>
  <c r="I941" i="42692"/>
  <c r="I560" i="42692"/>
  <c r="Q860" i="42691"/>
  <c r="Q525" i="42691"/>
  <c r="Q530" i="42691" s="1"/>
  <c r="I528" i="42692"/>
  <c r="L659" i="42692"/>
  <c r="P859" i="42691"/>
  <c r="P877" i="42691" s="1"/>
  <c r="P490" i="42691"/>
  <c r="P939" i="42691" s="1"/>
  <c r="P489" i="42691"/>
  <c r="H859" i="42691"/>
  <c r="H877" i="42691" s="1"/>
  <c r="H490" i="42691"/>
  <c r="H939" i="42691" s="1"/>
  <c r="H489" i="42691"/>
  <c r="L956" i="42697"/>
  <c r="L167" i="42697"/>
  <c r="L877" i="42697"/>
  <c r="Q844" i="42691"/>
  <c r="Q873" i="42691" s="1"/>
  <c r="Q131" i="42691"/>
  <c r="Q122" i="42691"/>
  <c r="Q129" i="42691" s="1"/>
  <c r="I844" i="42691"/>
  <c r="I873" i="42691" s="1"/>
  <c r="I131" i="42691"/>
  <c r="I122" i="42691"/>
  <c r="O870" i="42692"/>
  <c r="G931" i="42692"/>
  <c r="G40" i="42692"/>
  <c r="G995" i="42689"/>
  <c r="G894" i="42689"/>
  <c r="G973" i="42689"/>
  <c r="P107" i="42696"/>
  <c r="D120" i="42696"/>
  <c r="N845" i="42691"/>
  <c r="N302" i="42691"/>
  <c r="N292" i="42691"/>
  <c r="N293" i="42691"/>
  <c r="F311" i="42689"/>
  <c r="F947" i="42689"/>
  <c r="N934" i="42691"/>
  <c r="N129" i="42691"/>
  <c r="L966" i="42690"/>
  <c r="R523" i="42691"/>
  <c r="Q794" i="42691"/>
  <c r="Q943" i="42691"/>
  <c r="Q978" i="42691" s="1"/>
  <c r="I794" i="42692"/>
  <c r="I943" i="42692"/>
  <c r="I978" i="42692" s="1"/>
  <c r="P862" i="42691"/>
  <c r="P880" i="42691" s="1"/>
  <c r="P601" i="42691"/>
  <c r="P604" i="42691" s="1"/>
  <c r="M755" i="42692"/>
  <c r="N528" i="42692"/>
  <c r="R332" i="42691"/>
  <c r="R333" i="42691" s="1"/>
  <c r="F333" i="42691"/>
  <c r="K957" i="42697"/>
  <c r="K202" i="42697"/>
  <c r="H845" i="42691"/>
  <c r="H874" i="42691" s="1"/>
  <c r="H302" i="42691"/>
  <c r="H292" i="42691"/>
  <c r="H293" i="42691"/>
  <c r="K877" i="42697"/>
  <c r="K956" i="42691"/>
  <c r="K974" i="42691" s="1"/>
  <c r="G862" i="42691"/>
  <c r="G880" i="42691" s="1"/>
  <c r="G601" i="42691"/>
  <c r="N851" i="42692"/>
  <c r="N694" i="42692"/>
  <c r="N703" i="42692"/>
  <c r="N693" i="42692"/>
  <c r="N700" i="42692" s="1"/>
  <c r="F851" i="42692"/>
  <c r="F694" i="42692"/>
  <c r="F703" i="42692"/>
  <c r="F693" i="42692"/>
  <c r="O528" i="42691"/>
  <c r="G528" i="42691"/>
  <c r="J659" i="42692"/>
  <c r="J859" i="42691"/>
  <c r="J877" i="42691" s="1"/>
  <c r="J490" i="42691"/>
  <c r="J489" i="42691"/>
  <c r="F859" i="42691"/>
  <c r="R478" i="42691"/>
  <c r="F490" i="42691"/>
  <c r="F489" i="42691"/>
  <c r="R499" i="42689"/>
  <c r="R504" i="42689" s="1"/>
  <c r="F504" i="42689"/>
  <c r="O780" i="42697"/>
  <c r="M259" i="42696"/>
  <c r="M208" i="42696"/>
  <c r="M238" i="42696" s="1"/>
  <c r="J847" i="42692"/>
  <c r="J876" i="42692" s="1"/>
  <c r="J389" i="42692"/>
  <c r="J938" i="42692" s="1"/>
  <c r="J388" i="42692"/>
  <c r="J398" i="42692"/>
  <c r="K342" i="42692"/>
  <c r="K937" i="42692"/>
  <c r="N200" i="42691"/>
  <c r="N940" i="42691"/>
  <c r="R185" i="42697"/>
  <c r="F195" i="42697"/>
  <c r="F878" i="42697"/>
  <c r="R857" i="42697"/>
  <c r="O936" i="42692"/>
  <c r="O300" i="42692"/>
  <c r="G936" i="42692"/>
  <c r="G300" i="42692"/>
  <c r="O844" i="42691"/>
  <c r="O873" i="42691" s="1"/>
  <c r="O131" i="42691"/>
  <c r="O122" i="42691"/>
  <c r="O129" i="42691" s="1"/>
  <c r="G844" i="42691"/>
  <c r="G873" i="42691" s="1"/>
  <c r="G131" i="42691"/>
  <c r="G122" i="42691"/>
  <c r="Q870" i="42691"/>
  <c r="Q977" i="42689"/>
  <c r="I931" i="42691"/>
  <c r="I40" i="42691"/>
  <c r="I924" i="42691"/>
  <c r="G847" i="42692"/>
  <c r="G876" i="42692" s="1"/>
  <c r="G389" i="42692"/>
  <c r="G388" i="42692"/>
  <c r="G398" i="42692"/>
  <c r="Q857" i="42691"/>
  <c r="Q197" i="42691"/>
  <c r="J281" i="42697"/>
  <c r="H256" i="42696"/>
  <c r="H201" i="42696"/>
  <c r="H231" i="42696" s="1"/>
  <c r="I974" i="42691"/>
  <c r="O852" i="42691"/>
  <c r="O748" i="42691"/>
  <c r="O747" i="42691"/>
  <c r="O754" i="42691" s="1"/>
  <c r="O757" i="42691"/>
  <c r="F924" i="42690"/>
  <c r="Q858" i="42697"/>
  <c r="Q880" i="42697" s="1"/>
  <c r="Q226" i="42697"/>
  <c r="Q239" i="42697" s="1"/>
  <c r="Q240" i="42697" s="1"/>
  <c r="Q241" i="42697"/>
  <c r="M862" i="42692"/>
  <c r="M880" i="42692" s="1"/>
  <c r="M601" i="42692"/>
  <c r="H755" i="42692"/>
  <c r="M976" i="42697"/>
  <c r="M861" i="42692"/>
  <c r="M879" i="42692" s="1"/>
  <c r="M557" i="42692"/>
  <c r="H851" i="42691"/>
  <c r="H694" i="42691"/>
  <c r="H937" i="42691" s="1"/>
  <c r="H693" i="42691"/>
  <c r="H700" i="42691" s="1"/>
  <c r="H703" i="42691"/>
  <c r="L493" i="42691"/>
  <c r="Q457" i="42692"/>
  <c r="H200" i="42697"/>
  <c r="H940" i="42697"/>
  <c r="H975" i="42697" s="1"/>
  <c r="H165" i="42697"/>
  <c r="H939" i="42697"/>
  <c r="H974" i="42697" s="1"/>
  <c r="M934" i="42691"/>
  <c r="M129" i="42691"/>
  <c r="R58" i="42692"/>
  <c r="L192" i="42696"/>
  <c r="L193" i="42696" s="1"/>
  <c r="N848" i="42697"/>
  <c r="N413" i="42697"/>
  <c r="N415" i="42697" s="1"/>
  <c r="N414" i="42697"/>
  <c r="N417" i="42697"/>
  <c r="J849" i="42697"/>
  <c r="J438" i="42697"/>
  <c r="J448" i="42697" s="1"/>
  <c r="J449" i="42697" s="1"/>
  <c r="J459" i="42697"/>
  <c r="J450" i="42697"/>
  <c r="J456" i="42697" s="1"/>
  <c r="H248" i="42696"/>
  <c r="H197" i="42696"/>
  <c r="H161" i="42696"/>
  <c r="H175" i="42696" s="1"/>
  <c r="J34" i="42697"/>
  <c r="K966" i="42690"/>
  <c r="K979" i="42690" s="1"/>
  <c r="K944" i="42690"/>
  <c r="R246" i="42692"/>
  <c r="P846" i="42692"/>
  <c r="P335" i="42692"/>
  <c r="P334" i="42692"/>
  <c r="P342" i="42692" s="1"/>
  <c r="P344" i="42692"/>
  <c r="M857" i="42692"/>
  <c r="M197" i="42692"/>
  <c r="M956" i="42697"/>
  <c r="M167" i="42697"/>
  <c r="M165" i="42697"/>
  <c r="M939" i="42697"/>
  <c r="R120" i="42691"/>
  <c r="R121" i="42691" s="1"/>
  <c r="F121" i="42691"/>
  <c r="I967" i="42691"/>
  <c r="M249" i="42696"/>
  <c r="M199" i="42696"/>
  <c r="M230" i="42696" s="1"/>
  <c r="O844" i="42697"/>
  <c r="O873" i="42697" s="1"/>
  <c r="O131" i="42697"/>
  <c r="O110" i="42697"/>
  <c r="O120" i="42697" s="1"/>
  <c r="O122" i="42697"/>
  <c r="E249" i="42696"/>
  <c r="E199" i="42696"/>
  <c r="E230" i="42696" s="1"/>
  <c r="G844" i="42697"/>
  <c r="G873" i="42697" s="1"/>
  <c r="G131" i="42697"/>
  <c r="G110" i="42697"/>
  <c r="G120" i="42697" s="1"/>
  <c r="G121" i="42697" s="1"/>
  <c r="G122" i="42697"/>
  <c r="Q755" i="42691"/>
  <c r="L557" i="42692"/>
  <c r="L560" i="42692" s="1"/>
  <c r="L861" i="42692"/>
  <c r="L879" i="42692" s="1"/>
  <c r="Q851" i="42691"/>
  <c r="Q694" i="42691"/>
  <c r="Q937" i="42691" s="1"/>
  <c r="Q693" i="42691"/>
  <c r="Q700" i="42691" s="1"/>
  <c r="Q703" i="42691"/>
  <c r="J528" i="42691"/>
  <c r="P845" i="42691"/>
  <c r="P874" i="42691" s="1"/>
  <c r="P302" i="42691"/>
  <c r="P292" i="42691"/>
  <c r="P293" i="42691"/>
  <c r="P936" i="42691" s="1"/>
  <c r="R12" i="42699"/>
  <c r="N852" i="42692"/>
  <c r="N748" i="42692"/>
  <c r="N747" i="42692"/>
  <c r="N754" i="42692" s="1"/>
  <c r="N757" i="42692"/>
  <c r="O976" i="42697"/>
  <c r="O861" i="42692"/>
  <c r="O879" i="42692" s="1"/>
  <c r="O557" i="42692"/>
  <c r="O560" i="42692" s="1"/>
  <c r="G976" i="42697"/>
  <c r="G861" i="42692"/>
  <c r="G879" i="42692" s="1"/>
  <c r="G557" i="42692"/>
  <c r="R692" i="42690"/>
  <c r="R701" i="42690" s="1"/>
  <c r="F701" i="42690"/>
  <c r="N493" i="42691"/>
  <c r="O849" i="42692"/>
  <c r="O459" i="42692"/>
  <c r="O450" i="42692"/>
  <c r="O456" i="42692" s="1"/>
  <c r="D123" i="42696"/>
  <c r="P123" i="42696" s="1"/>
  <c r="P110" i="42696"/>
  <c r="F949" i="42689"/>
  <c r="F407" i="42689"/>
  <c r="J200" i="42697"/>
  <c r="J940" i="42697"/>
  <c r="J975" i="42697" s="1"/>
  <c r="F968" i="42691"/>
  <c r="R933" i="42691"/>
  <c r="S933" i="42691" s="1"/>
  <c r="R87" i="42691"/>
  <c r="P967" i="42691"/>
  <c r="H967" i="42691"/>
  <c r="M931" i="42692"/>
  <c r="M40" i="42692"/>
  <c r="M995" i="42689"/>
  <c r="M894" i="42689"/>
  <c r="J844" i="42691"/>
  <c r="J873" i="42691" s="1"/>
  <c r="J122" i="42691"/>
  <c r="J131" i="42691"/>
  <c r="I249" i="42696"/>
  <c r="I199" i="42696"/>
  <c r="I230" i="42696" s="1"/>
  <c r="K844" i="42697"/>
  <c r="K873" i="42697" s="1"/>
  <c r="K131" i="42697"/>
  <c r="K110" i="42697"/>
  <c r="K120" i="42697" s="1"/>
  <c r="K121" i="42697" s="1"/>
  <c r="K122" i="42697"/>
  <c r="H870" i="42691"/>
  <c r="K852" i="42691"/>
  <c r="K748" i="42691"/>
  <c r="K938" i="42691" s="1"/>
  <c r="K747" i="42691"/>
  <c r="K754" i="42691" s="1"/>
  <c r="K757" i="42691"/>
  <c r="R555" i="42691"/>
  <c r="R556" i="42691" s="1"/>
  <c r="F556" i="42691"/>
  <c r="G851" i="42692"/>
  <c r="G694" i="42692"/>
  <c r="G693" i="42692"/>
  <c r="G700" i="42692" s="1"/>
  <c r="G703" i="42692"/>
  <c r="O957" i="42697"/>
  <c r="O202" i="42697"/>
  <c r="L936" i="42692"/>
  <c r="L300" i="42692"/>
  <c r="N931" i="42691"/>
  <c r="N40" i="42691"/>
  <c r="G857" i="42691"/>
  <c r="G197" i="42691"/>
  <c r="R448" i="42692"/>
  <c r="R449" i="42692" s="1"/>
  <c r="I604" i="42692"/>
  <c r="L701" i="42691"/>
  <c r="M849" i="42691"/>
  <c r="M450" i="42691"/>
  <c r="M456" i="42691" s="1"/>
  <c r="M459" i="42691"/>
  <c r="I942" i="42692"/>
  <c r="L847" i="42691"/>
  <c r="L876" i="42691" s="1"/>
  <c r="L398" i="42691"/>
  <c r="L388" i="42691"/>
  <c r="L389" i="42691"/>
  <c r="L938" i="42691" s="1"/>
  <c r="Q342" i="42691"/>
  <c r="I342" i="42691"/>
  <c r="I937" i="42691"/>
  <c r="L857" i="42691"/>
  <c r="L197" i="42691"/>
  <c r="L200" i="42691" s="1"/>
  <c r="Q936" i="42692"/>
  <c r="Q300" i="42692"/>
  <c r="I936" i="42692"/>
  <c r="I300" i="42692"/>
  <c r="K396" i="42692"/>
  <c r="K938" i="42692"/>
  <c r="H937" i="42692"/>
  <c r="H342" i="42692"/>
  <c r="L870" i="42691"/>
  <c r="L977" i="42689"/>
  <c r="R524" i="42692"/>
  <c r="F528" i="42692"/>
  <c r="H604" i="42691"/>
  <c r="P557" i="42692"/>
  <c r="P560" i="42692" s="1"/>
  <c r="P861" i="42692"/>
  <c r="P879" i="42692" s="1"/>
  <c r="H861" i="42691"/>
  <c r="H879" i="42691" s="1"/>
  <c r="H557" i="42691"/>
  <c r="M851" i="42691"/>
  <c r="M694" i="42691"/>
  <c r="M937" i="42691" s="1"/>
  <c r="M693" i="42691"/>
  <c r="M700" i="42691" s="1"/>
  <c r="M703" i="42691"/>
  <c r="P227" i="42697"/>
  <c r="N207" i="42696"/>
  <c r="N237" i="42696" s="1"/>
  <c r="N243" i="42696" s="1"/>
  <c r="N255" i="42696"/>
  <c r="M396" i="42691"/>
  <c r="K940" i="42691"/>
  <c r="K200" i="42691"/>
  <c r="H374" i="42697"/>
  <c r="F258" i="42696"/>
  <c r="F203" i="42696"/>
  <c r="F233" i="42696" s="1"/>
  <c r="H324" i="42697"/>
  <c r="F257" i="42696"/>
  <c r="F202" i="42696"/>
  <c r="F232" i="42696" s="1"/>
  <c r="H844" i="42691"/>
  <c r="H873" i="42691" s="1"/>
  <c r="H122" i="42691"/>
  <c r="H131" i="42691"/>
  <c r="Q848" i="42697"/>
  <c r="Q413" i="42697"/>
  <c r="Q415" i="42697" s="1"/>
  <c r="Q414" i="42697"/>
  <c r="Q417" i="42697"/>
  <c r="Q849" i="42697"/>
  <c r="Q438" i="42697"/>
  <c r="Q448" i="42697" s="1"/>
  <c r="Q459" i="42697"/>
  <c r="Q450" i="42697"/>
  <c r="Q456" i="42697" s="1"/>
  <c r="Q34" i="42697"/>
  <c r="O248" i="42696"/>
  <c r="O197" i="42696"/>
  <c r="O161" i="42696"/>
  <c r="O175" i="42696" s="1"/>
  <c r="O192" i="42696"/>
  <c r="O193" i="42696" s="1"/>
  <c r="F881" i="42692"/>
  <c r="R863" i="42692"/>
  <c r="R881" i="42692" s="1"/>
  <c r="R791" i="42692"/>
  <c r="R792" i="42692" s="1"/>
  <c r="R794" i="42692" s="1"/>
  <c r="F792" i="42692"/>
  <c r="O604" i="42692"/>
  <c r="J755" i="42692"/>
  <c r="R745" i="42692"/>
  <c r="R746" i="42692" s="1"/>
  <c r="F746" i="42692"/>
  <c r="F755" i="42692" s="1"/>
  <c r="K861" i="42691"/>
  <c r="K879" i="42691" s="1"/>
  <c r="K557" i="42691"/>
  <c r="K560" i="42691" s="1"/>
  <c r="K849" i="42691"/>
  <c r="K450" i="42691"/>
  <c r="K456" i="42691" s="1"/>
  <c r="K459" i="42691"/>
  <c r="N939" i="42692"/>
  <c r="P234" i="42696"/>
  <c r="L967" i="42697"/>
  <c r="Q984" i="42690"/>
  <c r="Q883" i="42690"/>
  <c r="Q966" i="42690"/>
  <c r="J845" i="42691"/>
  <c r="J302" i="42691"/>
  <c r="J292" i="42691"/>
  <c r="J293" i="42691"/>
  <c r="I956" i="42697"/>
  <c r="I167" i="42697"/>
  <c r="I165" i="42697"/>
  <c r="I939" i="42697"/>
  <c r="I974" i="42697" s="1"/>
  <c r="R893" i="42689"/>
  <c r="R894" i="42689" s="1"/>
  <c r="N862" i="42692"/>
  <c r="N880" i="42692" s="1"/>
  <c r="N601" i="42692"/>
  <c r="R599" i="42691"/>
  <c r="F600" i="42691"/>
  <c r="G755" i="42691"/>
  <c r="P860" i="42691"/>
  <c r="P525" i="42691"/>
  <c r="P530" i="42691" s="1"/>
  <c r="J937" i="42692"/>
  <c r="J342" i="42692"/>
  <c r="R38" i="42691"/>
  <c r="R40" i="42691" s="1"/>
  <c r="F40" i="42691"/>
  <c r="F931" i="42691"/>
  <c r="R42" i="42691"/>
  <c r="F870" i="42691"/>
  <c r="R841" i="42691"/>
  <c r="F935" i="42689"/>
  <c r="R51" i="42689"/>
  <c r="J457" i="42691"/>
  <c r="H943" i="42691"/>
  <c r="H978" i="42691" s="1"/>
  <c r="H794" i="42691"/>
  <c r="P852" i="42692"/>
  <c r="P748" i="42692"/>
  <c r="P757" i="42692"/>
  <c r="P747" i="42692"/>
  <c r="P754" i="42692" s="1"/>
  <c r="P851" i="42692"/>
  <c r="P694" i="42692"/>
  <c r="P693" i="42692"/>
  <c r="P700" i="42692" s="1"/>
  <c r="P703" i="42692"/>
  <c r="M528" i="42692"/>
  <c r="P659" i="42691"/>
  <c r="H659" i="42691"/>
  <c r="I849" i="42692"/>
  <c r="I459" i="42692"/>
  <c r="I450" i="42692"/>
  <c r="I456" i="42692" s="1"/>
  <c r="M942" i="42692"/>
  <c r="P847" i="42692"/>
  <c r="P389" i="42692"/>
  <c r="P938" i="42692" s="1"/>
  <c r="P388" i="42692"/>
  <c r="P398" i="42692"/>
  <c r="H847" i="42692"/>
  <c r="H876" i="42692" s="1"/>
  <c r="H389" i="42692"/>
  <c r="H938" i="42692" s="1"/>
  <c r="H388" i="42692"/>
  <c r="H398" i="42692"/>
  <c r="M335" i="42692"/>
  <c r="M937" i="42692" s="1"/>
  <c r="M846" i="42692"/>
  <c r="M875" i="42692" s="1"/>
  <c r="M344" i="42692"/>
  <c r="M334" i="42692"/>
  <c r="P857" i="42691"/>
  <c r="P197" i="42691"/>
  <c r="H857" i="42692"/>
  <c r="H197" i="42692"/>
  <c r="M374" i="42697"/>
  <c r="K258" i="42696"/>
  <c r="K203" i="42696"/>
  <c r="K233" i="42696" s="1"/>
  <c r="M845" i="42692"/>
  <c r="M874" i="42692" s="1"/>
  <c r="M293" i="42692"/>
  <c r="M936" i="42692" s="1"/>
  <c r="M292" i="42692"/>
  <c r="M302" i="42692"/>
  <c r="P968" i="42691"/>
  <c r="H968" i="42691"/>
  <c r="K931" i="42692"/>
  <c r="K40" i="42692"/>
  <c r="K924" i="42692"/>
  <c r="K995" i="42689"/>
  <c r="K894" i="42689"/>
  <c r="S959" i="42690"/>
  <c r="L604" i="42692"/>
  <c r="I755" i="42691"/>
  <c r="L976" i="42697"/>
  <c r="I701" i="42691"/>
  <c r="H942" i="42691"/>
  <c r="N846" i="42692"/>
  <c r="N875" i="42692" s="1"/>
  <c r="N335" i="42692"/>
  <c r="N924" i="42692" s="1"/>
  <c r="N334" i="42692"/>
  <c r="N344" i="42692"/>
  <c r="P374" i="42697"/>
  <c r="N258" i="42696"/>
  <c r="N203" i="42696"/>
  <c r="N233" i="42696" s="1"/>
  <c r="P324" i="42697"/>
  <c r="N257" i="42696"/>
  <c r="N202" i="42696"/>
  <c r="N232" i="42696" s="1"/>
  <c r="P844" i="42692"/>
  <c r="P873" i="42692" s="1"/>
  <c r="P131" i="42692"/>
  <c r="P122" i="42692"/>
  <c r="J931" i="42691"/>
  <c r="J40" i="42691"/>
  <c r="J977" i="42689"/>
  <c r="J990" i="42689" s="1"/>
  <c r="J955" i="42689"/>
  <c r="M493" i="42692"/>
  <c r="H457" i="42692"/>
  <c r="J943" i="42691"/>
  <c r="J978" i="42691" s="1"/>
  <c r="J794" i="42691"/>
  <c r="R943" i="42690"/>
  <c r="S943" i="42690" s="1"/>
  <c r="R794" i="42690"/>
  <c r="K604" i="42692"/>
  <c r="J851" i="42691"/>
  <c r="J693" i="42691"/>
  <c r="J700" i="42691" s="1"/>
  <c r="J703" i="42691"/>
  <c r="J694" i="42691"/>
  <c r="K528" i="42692"/>
  <c r="N850" i="42691"/>
  <c r="N661" i="42691"/>
  <c r="N651" i="42691"/>
  <c r="N658" i="42691" s="1"/>
  <c r="N652" i="42691"/>
  <c r="R649" i="42692"/>
  <c r="R650" i="42692" s="1"/>
  <c r="F650" i="42692"/>
  <c r="F659" i="42692" s="1"/>
  <c r="R661" i="42689"/>
  <c r="R670" i="42689" s="1"/>
  <c r="F670" i="42689"/>
  <c r="G457" i="42691"/>
  <c r="N847" i="42691"/>
  <c r="N876" i="42691" s="1"/>
  <c r="N398" i="42691"/>
  <c r="N388" i="42691"/>
  <c r="N389" i="42691"/>
  <c r="N938" i="42691" s="1"/>
  <c r="O342" i="42691"/>
  <c r="O937" i="42691"/>
  <c r="G342" i="42692"/>
  <c r="G937" i="42692"/>
  <c r="J200" i="42691"/>
  <c r="J940" i="42691"/>
  <c r="R207" i="42689"/>
  <c r="R211" i="42689" s="1"/>
  <c r="F211" i="42689"/>
  <c r="F951" i="42689"/>
  <c r="K936" i="42691"/>
  <c r="K300" i="42691"/>
  <c r="J956" i="42697"/>
  <c r="J167" i="42697"/>
  <c r="J877" i="42697"/>
  <c r="J939" i="42691"/>
  <c r="R159" i="42691"/>
  <c r="F160" i="42691"/>
  <c r="R171" i="42689"/>
  <c r="R176" i="42689" s="1"/>
  <c r="F950" i="42689"/>
  <c r="F176" i="42689"/>
  <c r="K129" i="42692"/>
  <c r="K934" i="42692"/>
  <c r="P967" i="42697"/>
  <c r="P967" i="42692"/>
  <c r="H967" i="42692"/>
  <c r="N199" i="42696"/>
  <c r="N230" i="42696" s="1"/>
  <c r="N198" i="42696"/>
  <c r="N229" i="42696" s="1"/>
  <c r="P843" i="42697"/>
  <c r="P872" i="42697" s="1"/>
  <c r="P85" i="42697"/>
  <c r="P89" i="42697"/>
  <c r="P86" i="42697"/>
  <c r="P950" i="42697" s="1"/>
  <c r="J199" i="42696"/>
  <c r="J230" i="42696" s="1"/>
  <c r="J198" i="42696"/>
  <c r="J229" i="42696" s="1"/>
  <c r="L843" i="42697"/>
  <c r="L872" i="42697" s="1"/>
  <c r="L85" i="42697"/>
  <c r="L89" i="42697"/>
  <c r="L86" i="42697"/>
  <c r="L950" i="42697" s="1"/>
  <c r="F199" i="42696"/>
  <c r="F230" i="42696" s="1"/>
  <c r="F198" i="42696"/>
  <c r="F229" i="42696" s="1"/>
  <c r="H843" i="42697"/>
  <c r="H872" i="42697" s="1"/>
  <c r="H85" i="42697"/>
  <c r="H89" i="42697"/>
  <c r="H86" i="42697"/>
  <c r="H950" i="42697" s="1"/>
  <c r="M962" i="42690"/>
  <c r="O847" i="42692"/>
  <c r="O389" i="42692"/>
  <c r="O938" i="42692" s="1"/>
  <c r="O388" i="42692"/>
  <c r="O398" i="42692"/>
  <c r="L937" i="42691"/>
  <c r="L342" i="42691"/>
  <c r="I857" i="42692"/>
  <c r="I197" i="42692"/>
  <c r="Q956" i="42697"/>
  <c r="Q167" i="42697"/>
  <c r="Q165" i="42697"/>
  <c r="Q939" i="42697"/>
  <c r="Q974" i="42697" s="1"/>
  <c r="Q659" i="42692"/>
  <c r="I659" i="42692"/>
  <c r="J604" i="42692"/>
  <c r="N560" i="42691"/>
  <c r="N941" i="42691"/>
  <c r="O851" i="42692"/>
  <c r="O694" i="42692"/>
  <c r="O693" i="42692"/>
  <c r="O700" i="42692" s="1"/>
  <c r="O703" i="42692"/>
  <c r="L860" i="42691"/>
  <c r="L525" i="42691"/>
  <c r="L530" i="42691" s="1"/>
  <c r="L780" i="42697"/>
  <c r="J259" i="42696"/>
  <c r="J208" i="42696"/>
  <c r="J238" i="42696" s="1"/>
  <c r="I396" i="42692"/>
  <c r="I938" i="42692"/>
  <c r="O200" i="42692"/>
  <c r="O940" i="42692"/>
  <c r="T25" i="42701"/>
  <c r="L844" i="42692"/>
  <c r="L873" i="42692" s="1"/>
  <c r="L131" i="42692"/>
  <c r="L122" i="42692"/>
  <c r="M848" i="42697"/>
  <c r="M413" i="42697"/>
  <c r="M415" i="42697" s="1"/>
  <c r="M414" i="42697"/>
  <c r="M417" i="42697"/>
  <c r="M849" i="42697"/>
  <c r="M438" i="42697"/>
  <c r="M448" i="42697" s="1"/>
  <c r="M449" i="42697" s="1"/>
  <c r="M457" i="42697" s="1"/>
  <c r="M459" i="42697"/>
  <c r="M450" i="42697"/>
  <c r="M456" i="42697" s="1"/>
  <c r="M34" i="42697"/>
  <c r="K248" i="42696"/>
  <c r="K197" i="42696"/>
  <c r="K161" i="42696"/>
  <c r="K175" i="42696" s="1"/>
  <c r="K192" i="42696"/>
  <c r="K193" i="42696" s="1"/>
  <c r="N118" i="42697"/>
  <c r="M121" i="42697"/>
  <c r="K493" i="42691"/>
  <c r="R459" i="42691"/>
  <c r="R849" i="42691"/>
  <c r="L794" i="42692"/>
  <c r="L943" i="42692"/>
  <c r="L978" i="42692" s="1"/>
  <c r="Q604" i="42691"/>
  <c r="Q942" i="42691"/>
  <c r="L755" i="42691"/>
  <c r="Q941" i="42691"/>
  <c r="Q560" i="42691"/>
  <c r="I941" i="42691"/>
  <c r="I560" i="42691"/>
  <c r="Q528" i="42692"/>
  <c r="I860" i="42691"/>
  <c r="I525" i="42691"/>
  <c r="I530" i="42691" s="1"/>
  <c r="L659" i="42691"/>
  <c r="P859" i="42692"/>
  <c r="P877" i="42692" s="1"/>
  <c r="P489" i="42692"/>
  <c r="P490" i="42692"/>
  <c r="P939" i="42692" s="1"/>
  <c r="H859" i="42692"/>
  <c r="H877" i="42692" s="1"/>
  <c r="H489" i="42692"/>
  <c r="H490" i="42692"/>
  <c r="H939" i="42692" s="1"/>
  <c r="L957" i="42697"/>
  <c r="L202" i="42697"/>
  <c r="Q844" i="42692"/>
  <c r="Q873" i="42692" s="1"/>
  <c r="Q131" i="42692"/>
  <c r="Q122" i="42692"/>
  <c r="I844" i="42692"/>
  <c r="I873" i="42692" s="1"/>
  <c r="I131" i="42692"/>
  <c r="I122" i="42692"/>
  <c r="I129" i="42692" s="1"/>
  <c r="F949" i="42697"/>
  <c r="F923" i="42697"/>
  <c r="R923" i="42697" s="1"/>
  <c r="R57" i="42697"/>
  <c r="F58" i="42697"/>
  <c r="R56" i="42697"/>
  <c r="F932" i="42697"/>
  <c r="F871" i="42697"/>
  <c r="R842" i="42697"/>
  <c r="R871" i="42697" s="1"/>
  <c r="D117" i="42696"/>
  <c r="D114" i="42696"/>
  <c r="P104" i="42696"/>
  <c r="O870" i="42691"/>
  <c r="O853" i="42691"/>
  <c r="G931" i="42691"/>
  <c r="G40" i="42691"/>
  <c r="G924" i="42691"/>
  <c r="G977" i="42689"/>
  <c r="G990" i="42689" s="1"/>
  <c r="G955" i="42689"/>
  <c r="N936" i="42692"/>
  <c r="N300" i="42692"/>
  <c r="F845" i="42691"/>
  <c r="F853" i="42691" s="1"/>
  <c r="F302" i="42691"/>
  <c r="R302" i="42691" s="1"/>
  <c r="F292" i="42691"/>
  <c r="F293" i="42691"/>
  <c r="R293" i="42691" s="1"/>
  <c r="N844" i="42692"/>
  <c r="N873" i="42692" s="1"/>
  <c r="N131" i="42692"/>
  <c r="N122" i="42692"/>
  <c r="N129" i="42692" s="1"/>
  <c r="L883" i="42690"/>
  <c r="L984" i="42690"/>
  <c r="L962" i="42690"/>
  <c r="F530" i="42691"/>
  <c r="Q794" i="42692"/>
  <c r="Q943" i="42692"/>
  <c r="Q978" i="42692" s="1"/>
  <c r="I794" i="42691"/>
  <c r="I943" i="42691"/>
  <c r="I978" i="42691" s="1"/>
  <c r="P862" i="42692"/>
  <c r="P880" i="42692" s="1"/>
  <c r="P601" i="42692"/>
  <c r="P604" i="42692" s="1"/>
  <c r="M852" i="42691"/>
  <c r="M747" i="42691"/>
  <c r="M754" i="42691" s="1"/>
  <c r="M757" i="42691"/>
  <c r="M748" i="42691"/>
  <c r="M938" i="42691" s="1"/>
  <c r="P976" i="42697"/>
  <c r="N860" i="42691"/>
  <c r="N525" i="42691"/>
  <c r="N530" i="42691" s="1"/>
  <c r="F846" i="42692"/>
  <c r="F335" i="42692"/>
  <c r="R335" i="42692" s="1"/>
  <c r="F334" i="42692"/>
  <c r="F344" i="42692"/>
  <c r="R332" i="42692"/>
  <c r="R333" i="42692" s="1"/>
  <c r="F333" i="42692"/>
  <c r="H845" i="42692"/>
  <c r="H874" i="42692" s="1"/>
  <c r="H293" i="42692"/>
  <c r="H936" i="42692" s="1"/>
  <c r="H292" i="42692"/>
  <c r="H300" i="42692" s="1"/>
  <c r="H302" i="42692"/>
  <c r="V12" i="42699"/>
  <c r="Q493" i="42692"/>
  <c r="L457" i="42692"/>
  <c r="N943" i="42691"/>
  <c r="N978" i="42691" s="1"/>
  <c r="N794" i="42691"/>
  <c r="P113" i="42696"/>
  <c r="D126" i="42696"/>
  <c r="P126" i="42696" s="1"/>
  <c r="G604" i="42692"/>
  <c r="N851" i="42691"/>
  <c r="N693" i="42691"/>
  <c r="N700" i="42691" s="1"/>
  <c r="N703" i="42691"/>
  <c r="N694" i="42691"/>
  <c r="N937" i="42691" s="1"/>
  <c r="R682" i="42697"/>
  <c r="R683" i="42697" s="1"/>
  <c r="F394" i="42698" s="1"/>
  <c r="F691" i="42697"/>
  <c r="R691" i="42691"/>
  <c r="R692" i="42691" s="1"/>
  <c r="F692" i="42691"/>
  <c r="F701" i="42691" s="1"/>
  <c r="O528" i="42692"/>
  <c r="G528" i="42692"/>
  <c r="J850" i="42691"/>
  <c r="J661" i="42691"/>
  <c r="J651" i="42691"/>
  <c r="J658" i="42691" s="1"/>
  <c r="J652" i="42691"/>
  <c r="J493" i="42692"/>
  <c r="R487" i="42692"/>
  <c r="F488" i="42692"/>
  <c r="J847" i="42691"/>
  <c r="J876" i="42691" s="1"/>
  <c r="J398" i="42691"/>
  <c r="J388" i="42691"/>
  <c r="J389" i="42691"/>
  <c r="J938" i="42691" s="1"/>
  <c r="K342" i="42691"/>
  <c r="N200" i="42692"/>
  <c r="N940" i="42692"/>
  <c r="O936" i="42691"/>
  <c r="O300" i="42691"/>
  <c r="G936" i="42691"/>
  <c r="G300" i="42691"/>
  <c r="O129" i="42692"/>
  <c r="O934" i="42692"/>
  <c r="G129" i="42692"/>
  <c r="G934" i="42692"/>
  <c r="L922" i="42691"/>
  <c r="Q931" i="42692"/>
  <c r="Q40" i="42692"/>
  <c r="Q995" i="42689"/>
  <c r="Q894" i="42689"/>
  <c r="Q973" i="42689"/>
  <c r="I870" i="42692"/>
  <c r="I853" i="42692"/>
  <c r="J227" i="42697"/>
  <c r="H207" i="42696"/>
  <c r="H237" i="42696" s="1"/>
  <c r="H243" i="42696" s="1"/>
  <c r="H255" i="42696"/>
  <c r="G396" i="42691"/>
  <c r="G938" i="42691"/>
  <c r="Q857" i="42692"/>
  <c r="Q197" i="42692"/>
  <c r="J374" i="42697"/>
  <c r="H258" i="42696"/>
  <c r="H203" i="42696"/>
  <c r="H233" i="42696" s="1"/>
  <c r="J324" i="42697"/>
  <c r="H257" i="42696"/>
  <c r="H202" i="42696"/>
  <c r="H232" i="42696" s="1"/>
  <c r="P870" i="42692"/>
  <c r="P853" i="42692"/>
  <c r="O852" i="42692"/>
  <c r="O748" i="42692"/>
  <c r="O747" i="42692"/>
  <c r="O754" i="42692" s="1"/>
  <c r="O757" i="42692"/>
  <c r="J941" i="42692"/>
  <c r="J560" i="42692"/>
  <c r="K701" i="42692"/>
  <c r="Q847" i="42691"/>
  <c r="Q876" i="42691" s="1"/>
  <c r="Q398" i="42691"/>
  <c r="Q388" i="42691"/>
  <c r="Q389" i="42691"/>
  <c r="Q938" i="42691" s="1"/>
  <c r="G200" i="42697"/>
  <c r="G940" i="42697"/>
  <c r="G975" i="42697" s="1"/>
  <c r="K967" i="42697"/>
  <c r="M967" i="42691"/>
  <c r="P870" i="42691"/>
  <c r="P853" i="42691"/>
  <c r="J861" i="42691"/>
  <c r="J879" i="42691" s="1"/>
  <c r="J557" i="42691"/>
  <c r="K851" i="42691"/>
  <c r="K694" i="42691"/>
  <c r="K937" i="42691" s="1"/>
  <c r="K693" i="42691"/>
  <c r="K700" i="42691" s="1"/>
  <c r="K703" i="42691"/>
  <c r="Q847" i="42692"/>
  <c r="Q876" i="42692" s="1"/>
  <c r="Q389" i="42692"/>
  <c r="Q924" i="42692" s="1"/>
  <c r="Q388" i="42692"/>
  <c r="Q398" i="42692"/>
  <c r="M922" i="42691" l="1"/>
  <c r="J396" i="42691"/>
  <c r="R344" i="42692"/>
  <c r="P493" i="42692"/>
  <c r="H396" i="42692"/>
  <c r="P396" i="42692"/>
  <c r="M974" i="42697"/>
  <c r="P937" i="42692"/>
  <c r="N300" i="42691"/>
  <c r="N853" i="42691"/>
  <c r="O938" i="42691"/>
  <c r="G342" i="42691"/>
  <c r="O937" i="42692"/>
  <c r="R459" i="42692"/>
  <c r="J937" i="42691"/>
  <c r="L938" i="42692"/>
  <c r="G415" i="42697"/>
  <c r="O924" i="42691"/>
  <c r="J924" i="42692"/>
  <c r="Q924" i="42691"/>
  <c r="P415" i="42697"/>
  <c r="R860" i="42691"/>
  <c r="J936" i="42691"/>
  <c r="M853" i="42691"/>
  <c r="G924" i="42692"/>
  <c r="H924" i="42691"/>
  <c r="N936" i="42691"/>
  <c r="N938" i="42692"/>
  <c r="R849" i="42692"/>
  <c r="F955" i="42689"/>
  <c r="R860" i="42692"/>
  <c r="L924" i="42691"/>
  <c r="K924" i="42691"/>
  <c r="L924" i="42692"/>
  <c r="O924" i="42692"/>
  <c r="M924" i="42691"/>
  <c r="J958" i="42691"/>
  <c r="J562" i="42691"/>
  <c r="Q955" i="42691"/>
  <c r="Q973" i="42691" s="1"/>
  <c r="Q395" i="42691"/>
  <c r="J846" i="42697"/>
  <c r="J875" i="42697" s="1"/>
  <c r="J323" i="42697"/>
  <c r="J332" i="42697" s="1"/>
  <c r="J333" i="42697" s="1"/>
  <c r="J335" i="42697"/>
  <c r="J334" i="42697"/>
  <c r="J344" i="42697"/>
  <c r="Q957" i="42692"/>
  <c r="Q202" i="42692"/>
  <c r="J858" i="42697"/>
  <c r="J226" i="42697"/>
  <c r="J239" i="42697" s="1"/>
  <c r="J240" i="42697" s="1"/>
  <c r="J241" i="42697"/>
  <c r="R488" i="42692"/>
  <c r="F493" i="42692"/>
  <c r="F538" i="42698"/>
  <c r="F410" i="42698"/>
  <c r="F400" i="42698"/>
  <c r="F407" i="42698" s="1"/>
  <c r="F937" i="42692"/>
  <c r="F342" i="42692"/>
  <c r="R525" i="42691"/>
  <c r="F967" i="42697"/>
  <c r="R967" i="42697" s="1"/>
  <c r="R932" i="42697"/>
  <c r="S932" i="42697" s="1"/>
  <c r="Q951" i="42692"/>
  <c r="Q128" i="42692"/>
  <c r="Q922" i="42692"/>
  <c r="H495" i="42692"/>
  <c r="H956" i="42692"/>
  <c r="N121" i="42697"/>
  <c r="O118" i="42697"/>
  <c r="M983" i="42697"/>
  <c r="K260" i="42696"/>
  <c r="L951" i="42692"/>
  <c r="L128" i="42692"/>
  <c r="L863" i="42697"/>
  <c r="L881" i="42697" s="1"/>
  <c r="L779" i="42697"/>
  <c r="L791" i="42697" s="1"/>
  <c r="L792" i="42697" s="1"/>
  <c r="I957" i="42692"/>
  <c r="I202" i="42692"/>
  <c r="R951" i="42689"/>
  <c r="F986" i="42689"/>
  <c r="R986" i="42689" s="1"/>
  <c r="K20" i="42699" s="1"/>
  <c r="H17" i="42701" s="1"/>
  <c r="N955" i="42691"/>
  <c r="N973" i="42691" s="1"/>
  <c r="N395" i="42691"/>
  <c r="J991" i="42689"/>
  <c r="J992" i="42689"/>
  <c r="J924" i="42691"/>
  <c r="J966" i="42691"/>
  <c r="J944" i="42691"/>
  <c r="P846" i="42697"/>
  <c r="P875" i="42697" s="1"/>
  <c r="P323" i="42697"/>
  <c r="P332" i="42697" s="1"/>
  <c r="P333" i="42697" s="1"/>
  <c r="P335" i="42697"/>
  <c r="P334" i="42697"/>
  <c r="P344" i="42697"/>
  <c r="M953" i="42692"/>
  <c r="M971" i="42692" s="1"/>
  <c r="M299" i="42692"/>
  <c r="H957" i="42692"/>
  <c r="H202" i="42692"/>
  <c r="P957" i="42691"/>
  <c r="P202" i="42691"/>
  <c r="M954" i="42692"/>
  <c r="M972" i="42692" s="1"/>
  <c r="M341" i="42692"/>
  <c r="F966" i="42691"/>
  <c r="R931" i="42691"/>
  <c r="R600" i="42691"/>
  <c r="F604" i="42691"/>
  <c r="N606" i="42692"/>
  <c r="N959" i="42692"/>
  <c r="N977" i="42692" s="1"/>
  <c r="Q983" i="42697"/>
  <c r="O260" i="42696"/>
  <c r="H847" i="42697"/>
  <c r="H876" i="42697" s="1"/>
  <c r="H373" i="42697"/>
  <c r="H386" i="42697" s="1"/>
  <c r="H387" i="42697" s="1"/>
  <c r="H388" i="42697"/>
  <c r="H398" i="42697"/>
  <c r="H389" i="42697"/>
  <c r="H958" i="42691"/>
  <c r="H562" i="42691"/>
  <c r="Q922" i="42691"/>
  <c r="L878" i="42691"/>
  <c r="L864" i="42691"/>
  <c r="L955" i="42691"/>
  <c r="L973" i="42691" s="1"/>
  <c r="L395" i="42691"/>
  <c r="G957" i="42691"/>
  <c r="G202" i="42691"/>
  <c r="F941" i="42691"/>
  <c r="F560" i="42691"/>
  <c r="H853" i="42691"/>
  <c r="K934" i="42697"/>
  <c r="K129" i="42697"/>
  <c r="J951" i="42691"/>
  <c r="J128" i="42691"/>
  <c r="J922" i="42691"/>
  <c r="M924" i="42692"/>
  <c r="M966" i="42692"/>
  <c r="M944" i="42692"/>
  <c r="R968" i="42691"/>
  <c r="G958" i="42692"/>
  <c r="G562" i="42692"/>
  <c r="P953" i="42691"/>
  <c r="P971" i="42691" s="1"/>
  <c r="P299" i="42691"/>
  <c r="G934" i="42697"/>
  <c r="G129" i="42697"/>
  <c r="F934" i="42691"/>
  <c r="F129" i="42691"/>
  <c r="M957" i="42692"/>
  <c r="M202" i="42692"/>
  <c r="J841" i="42697"/>
  <c r="J39" i="42697"/>
  <c r="J42" i="42697"/>
  <c r="J38" i="42697"/>
  <c r="H209" i="42696"/>
  <c r="H210" i="42696" s="1"/>
  <c r="H228" i="42696"/>
  <c r="J457" i="42697"/>
  <c r="M958" i="42692"/>
  <c r="M562" i="42692"/>
  <c r="M606" i="42692"/>
  <c r="M959" i="42692"/>
  <c r="M977" i="42692" s="1"/>
  <c r="Q959" i="42697"/>
  <c r="Q246" i="42697"/>
  <c r="Q957" i="42691"/>
  <c r="Q202" i="42691"/>
  <c r="I966" i="42691"/>
  <c r="I944" i="42691"/>
  <c r="G951" i="42691"/>
  <c r="G128" i="42691"/>
  <c r="G922" i="42691"/>
  <c r="J15" i="42700"/>
  <c r="L15" i="42700" s="1"/>
  <c r="R878" i="42697"/>
  <c r="R195" i="42697"/>
  <c r="F196" i="42697"/>
  <c r="F495" i="42691"/>
  <c r="R489" i="42691"/>
  <c r="R956" i="42691" s="1"/>
  <c r="S956" i="42691" s="1"/>
  <c r="F956" i="42691"/>
  <c r="J495" i="42691"/>
  <c r="J956" i="42691"/>
  <c r="F700" i="42692"/>
  <c r="R693" i="42692"/>
  <c r="R700" i="42692" s="1"/>
  <c r="R694" i="42692"/>
  <c r="G606" i="42691"/>
  <c r="G959" i="42691"/>
  <c r="H953" i="42691"/>
  <c r="H299" i="42691"/>
  <c r="R947" i="42689"/>
  <c r="F982" i="42689"/>
  <c r="R982" i="42689" s="1"/>
  <c r="K19" i="42699" s="1"/>
  <c r="H16" i="42701" s="1"/>
  <c r="D146" i="42696"/>
  <c r="D140" i="42696"/>
  <c r="P120" i="42696"/>
  <c r="I951" i="42691"/>
  <c r="I128" i="42691"/>
  <c r="I922" i="42691"/>
  <c r="H495" i="42691"/>
  <c r="H956" i="42691"/>
  <c r="H974" i="42691" s="1"/>
  <c r="M873" i="42697"/>
  <c r="L846" i="42697"/>
  <c r="L875" i="42697" s="1"/>
  <c r="L323" i="42697"/>
  <c r="L332" i="42697" s="1"/>
  <c r="L333" i="42697" s="1"/>
  <c r="L335" i="42697"/>
  <c r="L344" i="42697"/>
  <c r="L334" i="42697"/>
  <c r="L858" i="42697"/>
  <c r="L226" i="42697"/>
  <c r="L239" i="42697" s="1"/>
  <c r="L240" i="42697" s="1"/>
  <c r="L241" i="42697"/>
  <c r="N562" i="42692"/>
  <c r="N958" i="42692"/>
  <c r="O955" i="42691"/>
  <c r="O973" i="42691" s="1"/>
  <c r="O395" i="42691"/>
  <c r="O876" i="42691"/>
  <c r="H983" i="42697"/>
  <c r="F260" i="42696"/>
  <c r="P841" i="42697"/>
  <c r="P38" i="42697"/>
  <c r="P39" i="42697"/>
  <c r="P42" i="42697"/>
  <c r="N209" i="42696"/>
  <c r="N210" i="42696" s="1"/>
  <c r="N228" i="42696"/>
  <c r="K951" i="42691"/>
  <c r="K128" i="42691"/>
  <c r="K873" i="42691"/>
  <c r="J957" i="42692"/>
  <c r="J202" i="42692"/>
  <c r="O875" i="42692"/>
  <c r="F658" i="42691"/>
  <c r="R651" i="42691"/>
  <c r="R658" i="42691" s="1"/>
  <c r="R850" i="42691"/>
  <c r="L935" i="42690"/>
  <c r="L924" i="42690"/>
  <c r="H955" i="42691"/>
  <c r="H973" i="42691" s="1"/>
  <c r="H395" i="42691"/>
  <c r="P955" i="42691"/>
  <c r="P973" i="42691" s="1"/>
  <c r="P395" i="42691"/>
  <c r="R870" i="42692"/>
  <c r="J954" i="42691"/>
  <c r="J972" i="42691" s="1"/>
  <c r="J341" i="42691"/>
  <c r="J875" i="42691"/>
  <c r="F976" i="42690"/>
  <c r="R976" i="42690" s="1"/>
  <c r="R941" i="42690"/>
  <c r="R600" i="42692"/>
  <c r="F604" i="42692"/>
  <c r="N606" i="42691"/>
  <c r="N959" i="42691"/>
  <c r="N977" i="42691" s="1"/>
  <c r="J13" i="42700"/>
  <c r="L13" i="42700" s="1"/>
  <c r="R877" i="42697"/>
  <c r="Q872" i="42697"/>
  <c r="P958" i="42691"/>
  <c r="P562" i="42691"/>
  <c r="N845" i="42697"/>
  <c r="N874" i="42697" s="1"/>
  <c r="N280" i="42697"/>
  <c r="N290" i="42697" s="1"/>
  <c r="N291" i="42697" s="1"/>
  <c r="N293" i="42697"/>
  <c r="N302" i="42697"/>
  <c r="N292" i="42697"/>
  <c r="G981" i="42690"/>
  <c r="G980" i="42690"/>
  <c r="Q954" i="42692"/>
  <c r="Q972" i="42692" s="1"/>
  <c r="Q341" i="42692"/>
  <c r="L395" i="42692"/>
  <c r="L955" i="42692"/>
  <c r="L973" i="42692" s="1"/>
  <c r="L876" i="42692"/>
  <c r="I606" i="42691"/>
  <c r="I959" i="42691"/>
  <c r="F987" i="42689"/>
  <c r="R987" i="42689" s="1"/>
  <c r="K22" i="42699" s="1"/>
  <c r="H19" i="42701" s="1"/>
  <c r="R952" i="42689"/>
  <c r="H853" i="42692"/>
  <c r="I228" i="42696"/>
  <c r="I209" i="42696"/>
  <c r="I210" i="42696" s="1"/>
  <c r="K841" i="42697"/>
  <c r="K38" i="42697"/>
  <c r="K39" i="42697"/>
  <c r="K42" i="42697"/>
  <c r="F955" i="42691"/>
  <c r="F395" i="42691"/>
  <c r="R388" i="42691"/>
  <c r="R395" i="42691" s="1"/>
  <c r="F876" i="42691"/>
  <c r="R847" i="42691"/>
  <c r="F537" i="42698"/>
  <c r="F367" i="42698"/>
  <c r="F357" i="42698"/>
  <c r="F364" i="42698" s="1"/>
  <c r="F539" i="42698"/>
  <c r="F453" i="42698"/>
  <c r="F443" i="42698"/>
  <c r="F450" i="42698" s="1"/>
  <c r="F972" i="42690"/>
  <c r="R972" i="42690" s="1"/>
  <c r="R937" i="42690"/>
  <c r="G983" i="42697"/>
  <c r="E260" i="42696"/>
  <c r="G457" i="42697"/>
  <c r="Q938" i="42692"/>
  <c r="K701" i="42691"/>
  <c r="J560" i="42691"/>
  <c r="P924" i="42691"/>
  <c r="P966" i="42691"/>
  <c r="P944" i="42691"/>
  <c r="Q396" i="42691"/>
  <c r="O755" i="42692"/>
  <c r="P966" i="42692"/>
  <c r="P944" i="42692"/>
  <c r="Q200" i="42692"/>
  <c r="G955" i="42691"/>
  <c r="G973" i="42691" s="1"/>
  <c r="G395" i="42691"/>
  <c r="I966" i="42692"/>
  <c r="I944" i="42692"/>
  <c r="Q853" i="42692"/>
  <c r="O951" i="42692"/>
  <c r="O128" i="42692"/>
  <c r="O922" i="42692"/>
  <c r="O873" i="42692"/>
  <c r="G953" i="42691"/>
  <c r="G299" i="42691"/>
  <c r="G846" i="42697"/>
  <c r="G875" i="42697" s="1"/>
  <c r="G323" i="42697"/>
  <c r="G332" i="42697" s="1"/>
  <c r="G333" i="42697" s="1"/>
  <c r="G335" i="42697"/>
  <c r="G344" i="42697"/>
  <c r="G334" i="42697"/>
  <c r="O953" i="42691"/>
  <c r="O299" i="42691"/>
  <c r="O846" i="42697"/>
  <c r="O875" i="42697" s="1"/>
  <c r="O323" i="42697"/>
  <c r="O332" i="42697" s="1"/>
  <c r="O333" i="42697" s="1"/>
  <c r="O335" i="42697"/>
  <c r="O344" i="42697"/>
  <c r="O334" i="42697"/>
  <c r="N878" i="42692"/>
  <c r="N864" i="42692"/>
  <c r="K954" i="42691"/>
  <c r="K972" i="42691" s="1"/>
  <c r="K341" i="42691"/>
  <c r="K875" i="42691"/>
  <c r="G858" i="42697"/>
  <c r="G226" i="42697"/>
  <c r="G239" i="42697" s="1"/>
  <c r="G240" i="42697" s="1"/>
  <c r="G241" i="42697"/>
  <c r="R490" i="42692"/>
  <c r="R694" i="42691"/>
  <c r="F700" i="42691"/>
  <c r="R693" i="42691"/>
  <c r="R700" i="42691" s="1"/>
  <c r="N701" i="42691"/>
  <c r="N528" i="42691"/>
  <c r="F300" i="42691"/>
  <c r="F936" i="42691"/>
  <c r="G853" i="42691"/>
  <c r="O966" i="42691"/>
  <c r="O944" i="42691"/>
  <c r="Q129" i="42692"/>
  <c r="I958" i="42691"/>
  <c r="I976" i="42691" s="1"/>
  <c r="I562" i="42691"/>
  <c r="Q958" i="42691"/>
  <c r="Q976" i="42691" s="1"/>
  <c r="Q562" i="42691"/>
  <c r="Q606" i="42691"/>
  <c r="Q959" i="42691"/>
  <c r="Q977" i="42691" s="1"/>
  <c r="R450" i="42691"/>
  <c r="R456" i="42691" s="1"/>
  <c r="K922" i="42691"/>
  <c r="L969" i="42692"/>
  <c r="O957" i="42692"/>
  <c r="O975" i="42692" s="1"/>
  <c r="O202" i="42692"/>
  <c r="L528" i="42691"/>
  <c r="F941" i="42697"/>
  <c r="F976" i="42697" s="1"/>
  <c r="R976" i="42697" s="1"/>
  <c r="F560" i="42697"/>
  <c r="N958" i="42691"/>
  <c r="N562" i="42691"/>
  <c r="J606" i="42692"/>
  <c r="J959" i="42692"/>
  <c r="J977" i="42692" s="1"/>
  <c r="I975" i="42692"/>
  <c r="H951" i="42697"/>
  <c r="H128" i="42697"/>
  <c r="L951" i="42697"/>
  <c r="L128" i="42697"/>
  <c r="P951" i="42697"/>
  <c r="P128" i="42697"/>
  <c r="S933" i="42692"/>
  <c r="S968" i="42692" s="1"/>
  <c r="K951" i="42692"/>
  <c r="K128" i="42692"/>
  <c r="K922" i="42692"/>
  <c r="K873" i="42692"/>
  <c r="J974" i="42697"/>
  <c r="K845" i="42697"/>
  <c r="K874" i="42697" s="1"/>
  <c r="K280" i="42697"/>
  <c r="K290" i="42697" s="1"/>
  <c r="K291" i="42697" s="1"/>
  <c r="K293" i="42697"/>
  <c r="K302" i="42697"/>
  <c r="K292" i="42697"/>
  <c r="R196" i="42692"/>
  <c r="F200" i="42692"/>
  <c r="F940" i="42692"/>
  <c r="F957" i="42692"/>
  <c r="F202" i="42692"/>
  <c r="R197" i="42692"/>
  <c r="F878" i="42692"/>
  <c r="R857" i="42692"/>
  <c r="F864" i="42692"/>
  <c r="J878" i="42691"/>
  <c r="J864" i="42691"/>
  <c r="G954" i="42692"/>
  <c r="G341" i="42692"/>
  <c r="O954" i="42691"/>
  <c r="O341" i="42691"/>
  <c r="O875" i="42691"/>
  <c r="N396" i="42691"/>
  <c r="J701" i="42691"/>
  <c r="L25" i="42699"/>
  <c r="I22" i="42701" s="1"/>
  <c r="S978" i="42690"/>
  <c r="J853" i="42691"/>
  <c r="J866" i="42691" s="1"/>
  <c r="N937" i="42692"/>
  <c r="L606" i="42692"/>
  <c r="L959" i="42692"/>
  <c r="L977" i="42692" s="1"/>
  <c r="K853" i="42692"/>
  <c r="M300" i="42692"/>
  <c r="H975" i="42692"/>
  <c r="P975" i="42691"/>
  <c r="M863" i="42697"/>
  <c r="M881" i="42697" s="1"/>
  <c r="M779" i="42697"/>
  <c r="M791" i="42697" s="1"/>
  <c r="M792" i="42697" s="1"/>
  <c r="P701" i="42692"/>
  <c r="R977" i="42689"/>
  <c r="R948" i="42691"/>
  <c r="J341" i="42692"/>
  <c r="J954" i="42692"/>
  <c r="J972" i="42692" s="1"/>
  <c r="N604" i="42692"/>
  <c r="R757" i="42692"/>
  <c r="R748" i="42692"/>
  <c r="O606" i="42692"/>
  <c r="O959" i="42692"/>
  <c r="O977" i="42692" s="1"/>
  <c r="L946" i="42689"/>
  <c r="L935" i="42689"/>
  <c r="I983" i="42697"/>
  <c r="G260" i="42696"/>
  <c r="I457" i="42697"/>
  <c r="I415" i="42697"/>
  <c r="K957" i="42691"/>
  <c r="K975" i="42691" s="1"/>
  <c r="K202" i="42691"/>
  <c r="H976" i="42691"/>
  <c r="H606" i="42691"/>
  <c r="H959" i="42691"/>
  <c r="H977" i="42691" s="1"/>
  <c r="L966" i="42691"/>
  <c r="L944" i="42691"/>
  <c r="N847" i="42697"/>
  <c r="N876" i="42697" s="1"/>
  <c r="N373" i="42697"/>
  <c r="N386" i="42697" s="1"/>
  <c r="N387" i="42697" s="1"/>
  <c r="N388" i="42697"/>
  <c r="N398" i="42697"/>
  <c r="N389" i="42697"/>
  <c r="H341" i="42692"/>
  <c r="H954" i="42692"/>
  <c r="H972" i="42692" s="1"/>
  <c r="K955" i="42692"/>
  <c r="K395" i="42692"/>
  <c r="K876" i="42692"/>
  <c r="I953" i="42692"/>
  <c r="I971" i="42692" s="1"/>
  <c r="I299" i="42692"/>
  <c r="Q847" i="42697"/>
  <c r="Q876" i="42697" s="1"/>
  <c r="Q373" i="42697"/>
  <c r="Q386" i="42697" s="1"/>
  <c r="Q387" i="42697" s="1"/>
  <c r="Q388" i="42697"/>
  <c r="Q398" i="42697"/>
  <c r="Q389" i="42697"/>
  <c r="I954" i="42691"/>
  <c r="I341" i="42691"/>
  <c r="I875" i="42691"/>
  <c r="Q954" i="42691"/>
  <c r="Q972" i="42691" s="1"/>
  <c r="Q341" i="42691"/>
  <c r="Q875" i="42691"/>
  <c r="L396" i="42691"/>
  <c r="M457" i="42691"/>
  <c r="G200" i="42691"/>
  <c r="L953" i="42692"/>
  <c r="L299" i="42692"/>
  <c r="F958" i="42691"/>
  <c r="F562" i="42691"/>
  <c r="R557" i="42691"/>
  <c r="R958" i="42691" s="1"/>
  <c r="S958" i="42691" s="1"/>
  <c r="K872" i="42697"/>
  <c r="J129" i="42691"/>
  <c r="M853" i="42692"/>
  <c r="F396" i="42692"/>
  <c r="F938" i="42692"/>
  <c r="R398" i="42692"/>
  <c r="R389" i="42692"/>
  <c r="O457" i="42692"/>
  <c r="G560" i="42692"/>
  <c r="N755" i="42692"/>
  <c r="J980" i="42690"/>
  <c r="J981" i="42690"/>
  <c r="P300" i="42691"/>
  <c r="G872" i="42697"/>
  <c r="R131" i="42691"/>
  <c r="F873" i="42691"/>
  <c r="R844" i="42691"/>
  <c r="R873" i="42691" s="1"/>
  <c r="M975" i="42692"/>
  <c r="R240" i="42691"/>
  <c r="F942" i="42691"/>
  <c r="F244" i="42691"/>
  <c r="N863" i="42697"/>
  <c r="N881" i="42697" s="1"/>
  <c r="N779" i="42697"/>
  <c r="N791" i="42697" s="1"/>
  <c r="N792" i="42697" s="1"/>
  <c r="J415" i="42697"/>
  <c r="N983" i="42697"/>
  <c r="L260" i="42696"/>
  <c r="R967" i="42692"/>
  <c r="M951" i="42691"/>
  <c r="M128" i="42691"/>
  <c r="M873" i="42691"/>
  <c r="H701" i="42691"/>
  <c r="M976" i="42692"/>
  <c r="F944" i="42690"/>
  <c r="R966" i="42690"/>
  <c r="Q200" i="42691"/>
  <c r="G938" i="42692"/>
  <c r="J863" i="42697"/>
  <c r="J881" i="42697" s="1"/>
  <c r="J779" i="42697"/>
  <c r="J791" i="42697" s="1"/>
  <c r="J792" i="42697" s="1"/>
  <c r="I992" i="42689"/>
  <c r="I991" i="42689"/>
  <c r="G129" i="42691"/>
  <c r="G847" i="42697"/>
  <c r="G876" i="42697" s="1"/>
  <c r="G373" i="42697"/>
  <c r="G386" i="42697" s="1"/>
  <c r="G387" i="42697" s="1"/>
  <c r="G389" i="42697"/>
  <c r="G388" i="42697"/>
  <c r="G398" i="42697"/>
  <c r="O953" i="42692"/>
  <c r="O299" i="42692"/>
  <c r="R957" i="42697"/>
  <c r="F196" i="42698"/>
  <c r="N878" i="42691"/>
  <c r="N864" i="42691"/>
  <c r="N866" i="42691" s="1"/>
  <c r="K954" i="42692"/>
  <c r="K972" i="42692" s="1"/>
  <c r="K341" i="42692"/>
  <c r="G863" i="42697"/>
  <c r="G881" i="42697" s="1"/>
  <c r="G779" i="42697"/>
  <c r="G791" i="42697" s="1"/>
  <c r="G792" i="42697" s="1"/>
  <c r="F701" i="42692"/>
  <c r="N701" i="42692"/>
  <c r="K974" i="42697"/>
  <c r="H936" i="42691"/>
  <c r="H971" i="42691" s="1"/>
  <c r="K975" i="42697"/>
  <c r="R335" i="42691"/>
  <c r="R344" i="42691"/>
  <c r="R524" i="42697"/>
  <c r="F528" i="42697"/>
  <c r="R528" i="42691"/>
  <c r="N926" i="42690"/>
  <c r="O937" i="42689"/>
  <c r="O926" i="42690" s="1"/>
  <c r="F953" i="42692"/>
  <c r="F299" i="42692"/>
  <c r="R292" i="42692"/>
  <c r="R299" i="42692" s="1"/>
  <c r="F874" i="42692"/>
  <c r="R845" i="42692"/>
  <c r="R874" i="42692" s="1"/>
  <c r="F971" i="42690"/>
  <c r="R971" i="42690" s="1"/>
  <c r="R936" i="42690"/>
  <c r="S936" i="42690" s="1"/>
  <c r="O966" i="42692"/>
  <c r="O944" i="42692"/>
  <c r="I129" i="42691"/>
  <c r="L974" i="42697"/>
  <c r="H493" i="42691"/>
  <c r="Q528" i="42691"/>
  <c r="Q606" i="42692"/>
  <c r="Q959" i="42692"/>
  <c r="Q977" i="42692" s="1"/>
  <c r="M926" i="42692"/>
  <c r="N926" i="42691"/>
  <c r="M950" i="42697"/>
  <c r="M87" i="42697"/>
  <c r="M933" i="42697"/>
  <c r="M968" i="42697" s="1"/>
  <c r="O878" i="42691"/>
  <c r="O864" i="42691"/>
  <c r="O866" i="42691" s="1"/>
  <c r="I955" i="42691"/>
  <c r="I395" i="42691"/>
  <c r="I876" i="42691"/>
  <c r="L528" i="42692"/>
  <c r="N976" i="42692"/>
  <c r="I878" i="42691"/>
  <c r="I864" i="42691"/>
  <c r="L341" i="42692"/>
  <c r="L954" i="42692"/>
  <c r="L972" i="42692" s="1"/>
  <c r="L875" i="42692"/>
  <c r="O396" i="42691"/>
  <c r="L841" i="42697"/>
  <c r="L38" i="42697"/>
  <c r="L39" i="42697"/>
  <c r="L42" i="42697"/>
  <c r="J228" i="42696"/>
  <c r="J209" i="42696"/>
  <c r="J210" i="42696" s="1"/>
  <c r="L457" i="42697"/>
  <c r="K129" i="42691"/>
  <c r="K953" i="42692"/>
  <c r="K971" i="42692" s="1"/>
  <c r="K299" i="42692"/>
  <c r="J200" i="42692"/>
  <c r="K863" i="42697"/>
  <c r="K881" i="42697" s="1"/>
  <c r="K779" i="42697"/>
  <c r="K791" i="42697" s="1"/>
  <c r="K792" i="42697" s="1"/>
  <c r="F659" i="42691"/>
  <c r="K606" i="42691"/>
  <c r="K959" i="42691"/>
  <c r="K977" i="42691" s="1"/>
  <c r="J966" i="42692"/>
  <c r="J944" i="42692"/>
  <c r="H863" i="42697"/>
  <c r="H881" i="42697" s="1"/>
  <c r="H779" i="42697"/>
  <c r="H791" i="42697" s="1"/>
  <c r="H792" i="42697" s="1"/>
  <c r="K992" i="42689"/>
  <c r="K991" i="42689"/>
  <c r="K966" i="42691"/>
  <c r="K944" i="42691"/>
  <c r="R967" i="42691"/>
  <c r="P974" i="42697"/>
  <c r="M845" i="42697"/>
  <c r="M874" i="42697" s="1"/>
  <c r="M280" i="42697"/>
  <c r="M290" i="42697" s="1"/>
  <c r="M291" i="42697" s="1"/>
  <c r="M293" i="42697"/>
  <c r="M302" i="42697"/>
  <c r="M292" i="42697"/>
  <c r="H957" i="42691"/>
  <c r="H202" i="42691"/>
  <c r="P957" i="42692"/>
  <c r="P202" i="42692"/>
  <c r="I457" i="42691"/>
  <c r="R40" i="42692"/>
  <c r="R948" i="42692"/>
  <c r="J342" i="42691"/>
  <c r="F606" i="42692"/>
  <c r="R601" i="42692"/>
  <c r="F959" i="42692"/>
  <c r="R862" i="42692"/>
  <c r="R880" i="42692" s="1"/>
  <c r="F880" i="42692"/>
  <c r="R883" i="42690"/>
  <c r="R984" i="42690"/>
  <c r="J953" i="42692"/>
  <c r="J971" i="42692" s="1"/>
  <c r="J299" i="42692"/>
  <c r="J874" i="42692"/>
  <c r="R159" i="42697"/>
  <c r="F160" i="42697"/>
  <c r="R956" i="42697"/>
  <c r="F145" i="42698"/>
  <c r="R757" i="42691"/>
  <c r="R748" i="42691"/>
  <c r="O606" i="42691"/>
  <c r="O959" i="42691"/>
  <c r="O977" i="42691" s="1"/>
  <c r="F794" i="42691"/>
  <c r="F943" i="42691"/>
  <c r="Q863" i="42697"/>
  <c r="Q881" i="42697" s="1"/>
  <c r="Q779" i="42697"/>
  <c r="Q791" i="42697" s="1"/>
  <c r="Q792" i="42697" s="1"/>
  <c r="I129" i="42697"/>
  <c r="I934" i="42697"/>
  <c r="I873" i="42697"/>
  <c r="Q873" i="42697"/>
  <c r="K957" i="42692"/>
  <c r="K202" i="42692"/>
  <c r="P976" i="42691"/>
  <c r="H606" i="42692"/>
  <c r="H959" i="42692"/>
  <c r="H977" i="42692" s="1"/>
  <c r="R530" i="42692"/>
  <c r="L966" i="42692"/>
  <c r="L944" i="42692"/>
  <c r="F969" i="42690"/>
  <c r="R969" i="42690" s="1"/>
  <c r="R934" i="42690"/>
  <c r="H954" i="42691"/>
  <c r="H972" i="42691" s="1"/>
  <c r="H341" i="42691"/>
  <c r="H875" i="42691"/>
  <c r="K955" i="42691"/>
  <c r="K973" i="42691" s="1"/>
  <c r="K395" i="42691"/>
  <c r="K876" i="42691"/>
  <c r="I953" i="42691"/>
  <c r="I299" i="42691"/>
  <c r="I846" i="42697"/>
  <c r="I875" i="42697" s="1"/>
  <c r="I323" i="42697"/>
  <c r="I332" i="42697" s="1"/>
  <c r="I333" i="42697" s="1"/>
  <c r="I335" i="42697"/>
  <c r="I344" i="42697"/>
  <c r="I334" i="42697"/>
  <c r="Q953" i="42691"/>
  <c r="Q299" i="42691"/>
  <c r="Q846" i="42697"/>
  <c r="Q875" i="42697" s="1"/>
  <c r="Q323" i="42697"/>
  <c r="Q332" i="42697" s="1"/>
  <c r="Q333" i="42697" s="1"/>
  <c r="Q335" i="42697"/>
  <c r="Q344" i="42697"/>
  <c r="Q334" i="42697"/>
  <c r="L878" i="42692"/>
  <c r="L864" i="42692"/>
  <c r="Q342" i="42692"/>
  <c r="G243" i="42696"/>
  <c r="I858" i="42697"/>
  <c r="I226" i="42697"/>
  <c r="I239" i="42697" s="1"/>
  <c r="I240" i="42697" s="1"/>
  <c r="I241" i="42697"/>
  <c r="L701" i="42692"/>
  <c r="G878" i="42692"/>
  <c r="G864" i="42692"/>
  <c r="L953" i="42691"/>
  <c r="L299" i="42691"/>
  <c r="L874" i="42691"/>
  <c r="L882" i="42691" s="1"/>
  <c r="F941" i="42692"/>
  <c r="F560" i="42692"/>
  <c r="F879" i="42692"/>
  <c r="R861" i="42692"/>
  <c r="R879" i="42692" s="1"/>
  <c r="K755" i="42692"/>
  <c r="H924" i="42692"/>
  <c r="J951" i="42692"/>
  <c r="J128" i="42692"/>
  <c r="J922" i="42692"/>
  <c r="M966" i="42691"/>
  <c r="M944" i="42691"/>
  <c r="F975" i="42690"/>
  <c r="R975" i="42690" s="1"/>
  <c r="R940" i="42690"/>
  <c r="S940" i="42690" s="1"/>
  <c r="P953" i="42692"/>
  <c r="P299" i="42692"/>
  <c r="P874" i="42692"/>
  <c r="O983" i="42697"/>
  <c r="M260" i="42696"/>
  <c r="O415" i="42697"/>
  <c r="F934" i="42692"/>
  <c r="F129" i="42692"/>
  <c r="F951" i="42692"/>
  <c r="R122" i="42692"/>
  <c r="R128" i="42692" s="1"/>
  <c r="F128" i="42692"/>
  <c r="F922" i="42692"/>
  <c r="F873" i="42692"/>
  <c r="R844" i="42692"/>
  <c r="R873" i="42692" s="1"/>
  <c r="M878" i="42691"/>
  <c r="M864" i="42691"/>
  <c r="M866" i="42691" s="1"/>
  <c r="F977" i="42690"/>
  <c r="R977" i="42690" s="1"/>
  <c r="R942" i="42690"/>
  <c r="J129" i="42697"/>
  <c r="J934" i="42697"/>
  <c r="J873" i="42697"/>
  <c r="N873" i="42697"/>
  <c r="P975" i="42697"/>
  <c r="J950" i="42697"/>
  <c r="J933" i="42697"/>
  <c r="J87" i="42697"/>
  <c r="N950" i="42697"/>
  <c r="N933" i="42697"/>
  <c r="N87" i="42697"/>
  <c r="S949" i="42692"/>
  <c r="L14" i="42699"/>
  <c r="Q955" i="42692"/>
  <c r="Q395" i="42692"/>
  <c r="J847" i="42697"/>
  <c r="J876" i="42697" s="1"/>
  <c r="J373" i="42697"/>
  <c r="J386" i="42697" s="1"/>
  <c r="J387" i="42697" s="1"/>
  <c r="J388" i="42697"/>
  <c r="J398" i="42697"/>
  <c r="J389" i="42697"/>
  <c r="Q878" i="42692"/>
  <c r="Q864" i="42692"/>
  <c r="Q966" i="42692"/>
  <c r="Q944" i="42692"/>
  <c r="G971" i="42691"/>
  <c r="O971" i="42691"/>
  <c r="J955" i="42691"/>
  <c r="J973" i="42691" s="1"/>
  <c r="J395" i="42691"/>
  <c r="R691" i="42697"/>
  <c r="R692" i="42697" s="1"/>
  <c r="F692" i="42697"/>
  <c r="F701" i="42697" s="1"/>
  <c r="AA12" i="42699"/>
  <c r="U12" i="42699"/>
  <c r="AF12" i="42699"/>
  <c r="AD12" i="42699"/>
  <c r="H953" i="42692"/>
  <c r="H971" i="42692" s="1"/>
  <c r="H299" i="42692"/>
  <c r="F341" i="42692"/>
  <c r="R334" i="42692"/>
  <c r="R341" i="42692" s="1"/>
  <c r="F954" i="42692"/>
  <c r="F875" i="42692"/>
  <c r="R846" i="42692"/>
  <c r="P606" i="42692"/>
  <c r="P959" i="42692"/>
  <c r="P977" i="42692" s="1"/>
  <c r="R530" i="42691"/>
  <c r="N951" i="42692"/>
  <c r="N128" i="42692"/>
  <c r="F953" i="42691"/>
  <c r="F299" i="42691"/>
  <c r="R292" i="42691"/>
  <c r="R299" i="42691" s="1"/>
  <c r="F874" i="42691"/>
  <c r="R845" i="42691"/>
  <c r="R874" i="42691" s="1"/>
  <c r="G992" i="42689"/>
  <c r="G991" i="42689"/>
  <c r="G966" i="42691"/>
  <c r="G944" i="42691"/>
  <c r="O882" i="42691"/>
  <c r="P114" i="42696"/>
  <c r="D145" i="42696"/>
  <c r="D139" i="42696"/>
  <c r="D137" i="42696"/>
  <c r="D127" i="42696"/>
  <c r="D128" i="42696" s="1"/>
  <c r="P117" i="42696"/>
  <c r="D144" i="42696"/>
  <c r="D138" i="42696"/>
  <c r="F79" i="42698"/>
  <c r="R58" i="42697"/>
  <c r="F80" i="42698"/>
  <c r="R949" i="42697"/>
  <c r="S949" i="42697" s="1"/>
  <c r="I951" i="42692"/>
  <c r="I128" i="42692"/>
  <c r="I922" i="42692"/>
  <c r="H974" i="42692"/>
  <c r="P495" i="42692"/>
  <c r="P956" i="42692"/>
  <c r="P974" i="42692" s="1"/>
  <c r="M129" i="42697"/>
  <c r="M934" i="42697"/>
  <c r="K228" i="42696"/>
  <c r="K209" i="42696"/>
  <c r="K210" i="42696" s="1"/>
  <c r="M841" i="42697"/>
  <c r="M39" i="42697"/>
  <c r="M42" i="42697"/>
  <c r="M38" i="42697"/>
  <c r="N976" i="42691"/>
  <c r="I878" i="42692"/>
  <c r="I864" i="42692"/>
  <c r="I866" i="42692" s="1"/>
  <c r="O955" i="42692"/>
  <c r="O973" i="42692" s="1"/>
  <c r="O395" i="42692"/>
  <c r="O876" i="42692"/>
  <c r="H933" i="42697"/>
  <c r="H968" i="42697" s="1"/>
  <c r="H87" i="42697"/>
  <c r="L933" i="42697"/>
  <c r="L968" i="42697" s="1"/>
  <c r="L87" i="42697"/>
  <c r="P933" i="42697"/>
  <c r="P968" i="42697" s="1"/>
  <c r="P87" i="42697"/>
  <c r="F985" i="42689"/>
  <c r="R985" i="42689" s="1"/>
  <c r="K17" i="42699" s="1"/>
  <c r="H15" i="42701" s="1"/>
  <c r="R950" i="42689"/>
  <c r="R160" i="42691"/>
  <c r="F939" i="42691"/>
  <c r="F974" i="42691" s="1"/>
  <c r="F165" i="42691"/>
  <c r="J974" i="42691"/>
  <c r="G972" i="42692"/>
  <c r="O972" i="42691"/>
  <c r="P951" i="42692"/>
  <c r="P128" i="42692"/>
  <c r="P922" i="42692"/>
  <c r="P847" i="42697"/>
  <c r="P876" i="42697" s="1"/>
  <c r="P373" i="42697"/>
  <c r="P386" i="42697" s="1"/>
  <c r="P387" i="42697" s="1"/>
  <c r="P388" i="42697"/>
  <c r="P398" i="42697"/>
  <c r="P389" i="42697"/>
  <c r="N341" i="42692"/>
  <c r="N954" i="42692"/>
  <c r="K966" i="42692"/>
  <c r="K944" i="42692"/>
  <c r="M847" i="42697"/>
  <c r="M876" i="42697" s="1"/>
  <c r="M373" i="42697"/>
  <c r="M386" i="42697" s="1"/>
  <c r="M387" i="42697" s="1"/>
  <c r="M388" i="42697"/>
  <c r="M398" i="42697"/>
  <c r="M389" i="42697"/>
  <c r="H878" i="42692"/>
  <c r="H864" i="42692"/>
  <c r="P878" i="42691"/>
  <c r="P882" i="42691" s="1"/>
  <c r="P864" i="42691"/>
  <c r="P866" i="42691" s="1"/>
  <c r="H395" i="42692"/>
  <c r="H955" i="42692"/>
  <c r="H973" i="42692" s="1"/>
  <c r="P395" i="42692"/>
  <c r="P955" i="42692"/>
  <c r="P973" i="42692" s="1"/>
  <c r="P876" i="42692"/>
  <c r="R870" i="42691"/>
  <c r="F924" i="42691"/>
  <c r="M922" i="42692"/>
  <c r="J953" i="42691"/>
  <c r="J971" i="42691" s="1"/>
  <c r="J299" i="42691"/>
  <c r="J874" i="42691"/>
  <c r="K958" i="42691"/>
  <c r="K562" i="42691"/>
  <c r="F794" i="42692"/>
  <c r="F943" i="42692"/>
  <c r="O228" i="42696"/>
  <c r="O209" i="42696"/>
  <c r="O210" i="42696" s="1"/>
  <c r="Q841" i="42697"/>
  <c r="Q39" i="42697"/>
  <c r="Q42" i="42697"/>
  <c r="Q38" i="42697"/>
  <c r="H951" i="42691"/>
  <c r="H961" i="42691" s="1"/>
  <c r="H128" i="42691"/>
  <c r="H922" i="42691"/>
  <c r="H846" i="42697"/>
  <c r="H875" i="42697" s="1"/>
  <c r="H323" i="42697"/>
  <c r="H332" i="42697" s="1"/>
  <c r="H333" i="42697" s="1"/>
  <c r="H335" i="42697"/>
  <c r="H334" i="42697"/>
  <c r="H344" i="42697"/>
  <c r="P858" i="42697"/>
  <c r="P226" i="42697"/>
  <c r="P239" i="42697" s="1"/>
  <c r="P240" i="42697" s="1"/>
  <c r="P241" i="42697"/>
  <c r="P562" i="42692"/>
  <c r="P958" i="42692"/>
  <c r="L853" i="42691"/>
  <c r="L866" i="42691" s="1"/>
  <c r="K973" i="42692"/>
  <c r="L957" i="42691"/>
  <c r="L202" i="42691"/>
  <c r="I972" i="42691"/>
  <c r="G878" i="42691"/>
  <c r="G864" i="42691"/>
  <c r="N924" i="42691"/>
  <c r="N966" i="42691"/>
  <c r="N944" i="42691"/>
  <c r="L971" i="42692"/>
  <c r="R941" i="42691"/>
  <c r="S941" i="42691" s="1"/>
  <c r="R560" i="42691"/>
  <c r="K951" i="42697"/>
  <c r="K128" i="42697"/>
  <c r="R949" i="42689"/>
  <c r="F984" i="42689"/>
  <c r="R984" i="42689" s="1"/>
  <c r="K23" i="42699" s="1"/>
  <c r="H20" i="42701" s="1"/>
  <c r="O958" i="42692"/>
  <c r="O562" i="42692"/>
  <c r="L562" i="42692"/>
  <c r="L958" i="42692"/>
  <c r="G951" i="42697"/>
  <c r="G128" i="42697"/>
  <c r="O951" i="42697"/>
  <c r="O128" i="42697"/>
  <c r="M878" i="42692"/>
  <c r="M864" i="42692"/>
  <c r="P341" i="42692"/>
  <c r="P954" i="42692"/>
  <c r="P972" i="42692" s="1"/>
  <c r="P875" i="42692"/>
  <c r="K981" i="42690"/>
  <c r="K980" i="42690"/>
  <c r="J983" i="42697"/>
  <c r="H260" i="42696"/>
  <c r="M969" i="42691"/>
  <c r="Q244" i="42697"/>
  <c r="Q942" i="42697"/>
  <c r="Q977" i="42697" s="1"/>
  <c r="J845" i="42697"/>
  <c r="J874" i="42697" s="1"/>
  <c r="J280" i="42697"/>
  <c r="J290" i="42697" s="1"/>
  <c r="J291" i="42697" s="1"/>
  <c r="J293" i="42697"/>
  <c r="J302" i="42697"/>
  <c r="J292" i="42697"/>
  <c r="Q878" i="42691"/>
  <c r="Q864" i="42691"/>
  <c r="G955" i="42692"/>
  <c r="G395" i="42692"/>
  <c r="Q853" i="42691"/>
  <c r="O951" i="42691"/>
  <c r="O128" i="42691"/>
  <c r="O922" i="42691"/>
  <c r="O971" i="42692"/>
  <c r="J395" i="42692"/>
  <c r="J955" i="42692"/>
  <c r="J973" i="42692" s="1"/>
  <c r="O863" i="42697"/>
  <c r="O881" i="42697" s="1"/>
  <c r="O779" i="42697"/>
  <c r="O791" i="42697" s="1"/>
  <c r="O792" i="42697" s="1"/>
  <c r="R490" i="42691"/>
  <c r="R859" i="42691"/>
  <c r="R877" i="42691" s="1"/>
  <c r="F877" i="42691"/>
  <c r="R703" i="42692"/>
  <c r="R851" i="42692"/>
  <c r="F937" i="42691"/>
  <c r="F342" i="42691"/>
  <c r="P606" i="42691"/>
  <c r="P959" i="42691"/>
  <c r="P977" i="42691" s="1"/>
  <c r="N953" i="42691"/>
  <c r="N971" i="42691" s="1"/>
  <c r="N299" i="42691"/>
  <c r="N874" i="42691"/>
  <c r="G966" i="42692"/>
  <c r="G944" i="42692"/>
  <c r="O853" i="42692"/>
  <c r="Q951" i="42691"/>
  <c r="Q961" i="42691" s="1"/>
  <c r="Q962" i="42691" s="1"/>
  <c r="Q128" i="42691"/>
  <c r="P495" i="42691"/>
  <c r="P956" i="42691"/>
  <c r="P974" i="42691" s="1"/>
  <c r="M951" i="42697"/>
  <c r="M128" i="42697"/>
  <c r="L847" i="42697"/>
  <c r="L876" i="42697" s="1"/>
  <c r="L373" i="42697"/>
  <c r="L386" i="42697" s="1"/>
  <c r="L387" i="42697" s="1"/>
  <c r="L388" i="42697"/>
  <c r="L398" i="42697"/>
  <c r="L389" i="42697"/>
  <c r="I973" i="42691"/>
  <c r="J243" i="42696"/>
  <c r="F665" i="42698"/>
  <c r="F629" i="42698"/>
  <c r="Z22" i="42699" s="1"/>
  <c r="F46" i="42701" s="1"/>
  <c r="H841" i="42697"/>
  <c r="H38" i="42697"/>
  <c r="H39" i="42697"/>
  <c r="H42" i="42697"/>
  <c r="F228" i="42696"/>
  <c r="F209" i="42696"/>
  <c r="F210" i="42696" s="1"/>
  <c r="H457" i="42697"/>
  <c r="L415" i="42697"/>
  <c r="P983" i="42697"/>
  <c r="N260" i="42696"/>
  <c r="R160" i="42692"/>
  <c r="R165" i="42692" s="1"/>
  <c r="F939" i="42692"/>
  <c r="F165" i="42692"/>
  <c r="R196" i="42691"/>
  <c r="F940" i="42691"/>
  <c r="F200" i="42691"/>
  <c r="F957" i="42691"/>
  <c r="F202" i="42691"/>
  <c r="R197" i="42691"/>
  <c r="R957" i="42691" s="1"/>
  <c r="S957" i="42691" s="1"/>
  <c r="F878" i="42691"/>
  <c r="R857" i="42691"/>
  <c r="F864" i="42691"/>
  <c r="F866" i="42691" s="1"/>
  <c r="J878" i="42692"/>
  <c r="J864" i="42692"/>
  <c r="G954" i="42691"/>
  <c r="G972" i="42691" s="1"/>
  <c r="G341" i="42691"/>
  <c r="O954" i="42692"/>
  <c r="O972" i="42692" s="1"/>
  <c r="O341" i="42692"/>
  <c r="N395" i="42692"/>
  <c r="N955" i="42692"/>
  <c r="N973" i="42692" s="1"/>
  <c r="N876" i="42692"/>
  <c r="N882" i="42692" s="1"/>
  <c r="R652" i="42691"/>
  <c r="R661" i="42691"/>
  <c r="M616" i="42690"/>
  <c r="N610" i="42690"/>
  <c r="R26" i="42701"/>
  <c r="AD29" i="42699"/>
  <c r="U29" i="42699"/>
  <c r="V30" i="42699"/>
  <c r="J853" i="42692"/>
  <c r="J866" i="42692" s="1"/>
  <c r="P951" i="42691"/>
  <c r="P961" i="42691" s="1"/>
  <c r="P128" i="42691"/>
  <c r="P922" i="42691"/>
  <c r="P845" i="42697"/>
  <c r="P874" i="42697" s="1"/>
  <c r="P280" i="42697"/>
  <c r="P290" i="42697" s="1"/>
  <c r="P291" i="42697" s="1"/>
  <c r="P293" i="42697"/>
  <c r="P302" i="42697"/>
  <c r="P292" i="42697"/>
  <c r="L606" i="42691"/>
  <c r="L959" i="42691"/>
  <c r="K853" i="42691"/>
  <c r="H975" i="42691"/>
  <c r="P975" i="42692"/>
  <c r="F853" i="42692"/>
  <c r="F866" i="42692" s="1"/>
  <c r="F973" i="42690"/>
  <c r="R973" i="42690" s="1"/>
  <c r="R938" i="42690"/>
  <c r="S938" i="42690" s="1"/>
  <c r="K958" i="42692"/>
  <c r="K562" i="42692"/>
  <c r="I87" i="42697"/>
  <c r="I933" i="42697"/>
  <c r="I968" i="42697" s="1"/>
  <c r="Q950" i="42697"/>
  <c r="Q87" i="42697"/>
  <c r="Q933" i="42697"/>
  <c r="Q968" i="42697" s="1"/>
  <c r="K975" i="42692"/>
  <c r="P863" i="42697"/>
  <c r="P881" i="42697" s="1"/>
  <c r="P779" i="42697"/>
  <c r="P791" i="42697" s="1"/>
  <c r="P792" i="42697" s="1"/>
  <c r="H562" i="42692"/>
  <c r="H958" i="42692"/>
  <c r="L853" i="42692"/>
  <c r="L866" i="42692" s="1"/>
  <c r="I971" i="42691"/>
  <c r="Q971" i="42691"/>
  <c r="N966" i="42692"/>
  <c r="N944" i="42692"/>
  <c r="G974" i="42697"/>
  <c r="L971" i="42691"/>
  <c r="H882" i="42692"/>
  <c r="K983" i="42697"/>
  <c r="I260" i="42696"/>
  <c r="K457" i="42697"/>
  <c r="K415" i="42697"/>
  <c r="R389" i="42691"/>
  <c r="R396" i="42691" s="1"/>
  <c r="R398" i="42691"/>
  <c r="R649" i="42697"/>
  <c r="R650" i="42697" s="1"/>
  <c r="F650" i="42697"/>
  <c r="F659" i="42697" s="1"/>
  <c r="G958" i="42691"/>
  <c r="G976" i="42691" s="1"/>
  <c r="G562" i="42691"/>
  <c r="O958" i="42691"/>
  <c r="O976" i="42691" s="1"/>
  <c r="O562" i="42691"/>
  <c r="R745" i="42697"/>
  <c r="R746" i="42697" s="1"/>
  <c r="F746" i="42697"/>
  <c r="F755" i="42697" s="1"/>
  <c r="P971" i="42692"/>
  <c r="E209" i="42696"/>
  <c r="E210" i="42696" s="1"/>
  <c r="E228" i="42696"/>
  <c r="G841" i="42697"/>
  <c r="G38" i="42697"/>
  <c r="G39" i="42697"/>
  <c r="G42" i="42697"/>
  <c r="R945" i="42689"/>
  <c r="F980" i="42689"/>
  <c r="R980" i="42689" s="1"/>
  <c r="K16" i="42699" s="1"/>
  <c r="H14" i="42701" s="1"/>
  <c r="P954" i="42691"/>
  <c r="P972" i="42691" s="1"/>
  <c r="P341" i="42691"/>
  <c r="R953" i="42689"/>
  <c r="F988" i="42689"/>
  <c r="R988" i="42689" s="1"/>
  <c r="K24" i="42699" s="1"/>
  <c r="H21" i="42701" s="1"/>
  <c r="N858" i="42697"/>
  <c r="N226" i="42697"/>
  <c r="N239" i="42697" s="1"/>
  <c r="N240" i="42697" s="1"/>
  <c r="N241" i="42697"/>
  <c r="L495" i="42692"/>
  <c r="L956" i="42692"/>
  <c r="L974" i="42692" s="1"/>
  <c r="N449" i="42697"/>
  <c r="N457" i="42697" s="1"/>
  <c r="O446" i="42697"/>
  <c r="S948" i="42690"/>
  <c r="R961" i="42690"/>
  <c r="Q396" i="42692"/>
  <c r="J976" i="42691"/>
  <c r="J562" i="42692"/>
  <c r="J958" i="42692"/>
  <c r="J976" i="42692" s="1"/>
  <c r="P924" i="42692"/>
  <c r="Q975" i="42692"/>
  <c r="Q882" i="42692"/>
  <c r="G951" i="42692"/>
  <c r="G969" i="42692" s="1"/>
  <c r="G128" i="42692"/>
  <c r="G922" i="42692"/>
  <c r="G873" i="42692"/>
  <c r="G882" i="42692" s="1"/>
  <c r="G845" i="42697"/>
  <c r="G874" i="42697" s="1"/>
  <c r="G280" i="42697"/>
  <c r="G290" i="42697" s="1"/>
  <c r="G291" i="42697" s="1"/>
  <c r="G293" i="42697"/>
  <c r="G302" i="42697"/>
  <c r="G292" i="42697"/>
  <c r="O845" i="42697"/>
  <c r="O874" i="42697" s="1"/>
  <c r="O280" i="42697"/>
  <c r="O290" i="42697" s="1"/>
  <c r="O291" i="42697" s="1"/>
  <c r="O293" i="42697"/>
  <c r="O302" i="42697"/>
  <c r="O292" i="42697"/>
  <c r="N957" i="42692"/>
  <c r="N975" i="42692" s="1"/>
  <c r="N202" i="42692"/>
  <c r="G977" i="42691"/>
  <c r="M243" i="42696"/>
  <c r="O858" i="42697"/>
  <c r="O226" i="42697"/>
  <c r="O239" i="42697" s="1"/>
  <c r="O240" i="42697" s="1"/>
  <c r="O241" i="42697"/>
  <c r="F495" i="42692"/>
  <c r="R489" i="42692"/>
  <c r="F956" i="42692"/>
  <c r="R859" i="42692"/>
  <c r="R877" i="42692" s="1"/>
  <c r="F877" i="42692"/>
  <c r="J495" i="42692"/>
  <c r="J956" i="42692"/>
  <c r="J974" i="42692" s="1"/>
  <c r="J659" i="42691"/>
  <c r="R703" i="42691"/>
  <c r="R851" i="42691"/>
  <c r="G606" i="42692"/>
  <c r="G959" i="42692"/>
  <c r="G977" i="42692" s="1"/>
  <c r="F983" i="42689"/>
  <c r="R983" i="42689" s="1"/>
  <c r="K21" i="42699" s="1"/>
  <c r="H18" i="42701" s="1"/>
  <c r="R948" i="42689"/>
  <c r="M755" i="42691"/>
  <c r="N969" i="42692"/>
  <c r="R300" i="42691"/>
  <c r="N953" i="42692"/>
  <c r="N971" i="42692" s="1"/>
  <c r="N299" i="42692"/>
  <c r="G882" i="42691"/>
  <c r="N922" i="42692"/>
  <c r="I969" i="42692"/>
  <c r="Q969" i="42692"/>
  <c r="L975" i="42697"/>
  <c r="H493" i="42692"/>
  <c r="I528" i="42691"/>
  <c r="L129" i="42692"/>
  <c r="F20" i="42702"/>
  <c r="L845" i="42697"/>
  <c r="L874" i="42697" s="1"/>
  <c r="L280" i="42697"/>
  <c r="L290" i="42697" s="1"/>
  <c r="L291" i="42697" s="1"/>
  <c r="L293" i="42697"/>
  <c r="L302" i="42697"/>
  <c r="L292" i="42697"/>
  <c r="O878" i="42692"/>
  <c r="O864" i="42692"/>
  <c r="I955" i="42692"/>
  <c r="I973" i="42692" s="1"/>
  <c r="I395" i="42692"/>
  <c r="O701" i="42692"/>
  <c r="F420" i="42698"/>
  <c r="R560" i="42697"/>
  <c r="R941" i="42697"/>
  <c r="H980" i="42690"/>
  <c r="H981" i="42690"/>
  <c r="I200" i="42692"/>
  <c r="L954" i="42691"/>
  <c r="L972" i="42691" s="1"/>
  <c r="L341" i="42691"/>
  <c r="O396" i="42692"/>
  <c r="H934" i="42697"/>
  <c r="H969" i="42697" s="1"/>
  <c r="H129" i="42697"/>
  <c r="H873" i="42697"/>
  <c r="L934" i="42697"/>
  <c r="L969" i="42697" s="1"/>
  <c r="L129" i="42697"/>
  <c r="P873" i="42697"/>
  <c r="N15" i="42699"/>
  <c r="K13" i="42701" s="1"/>
  <c r="K953" i="42691"/>
  <c r="K971" i="42691" s="1"/>
  <c r="K299" i="42691"/>
  <c r="K846" i="42697"/>
  <c r="K875" i="42697" s="1"/>
  <c r="K323" i="42697"/>
  <c r="K332" i="42697" s="1"/>
  <c r="K333" i="42697" s="1"/>
  <c r="K335" i="42697"/>
  <c r="K344" i="42697"/>
  <c r="K334" i="42697"/>
  <c r="J957" i="42691"/>
  <c r="J975" i="42691" s="1"/>
  <c r="J202" i="42691"/>
  <c r="G875" i="42692"/>
  <c r="K858" i="42697"/>
  <c r="K226" i="42697"/>
  <c r="K239" i="42697" s="1"/>
  <c r="K240" i="42697" s="1"/>
  <c r="K241" i="42697"/>
  <c r="R487" i="42697"/>
  <c r="F488" i="42697"/>
  <c r="F658" i="42692"/>
  <c r="R651" i="42692"/>
  <c r="R658" i="42692" s="1"/>
  <c r="N659" i="42691"/>
  <c r="K606" i="42692"/>
  <c r="K959" i="42692"/>
  <c r="K977" i="42692" s="1"/>
  <c r="J882" i="42691"/>
  <c r="P129" i="42692"/>
  <c r="N342" i="42692"/>
  <c r="H858" i="42697"/>
  <c r="H226" i="42697"/>
  <c r="H239" i="42697" s="1"/>
  <c r="H240" i="42697" s="1"/>
  <c r="H241" i="42697"/>
  <c r="D143" i="42696"/>
  <c r="D141" i="42696"/>
  <c r="P121" i="42696"/>
  <c r="D142" i="42696"/>
  <c r="H200" i="42692"/>
  <c r="P200" i="42691"/>
  <c r="M342" i="42692"/>
  <c r="I457" i="42692"/>
  <c r="P755" i="42692"/>
  <c r="P927" i="42692" s="1"/>
  <c r="P528" i="42691"/>
  <c r="F606" i="42691"/>
  <c r="R601" i="42691"/>
  <c r="R959" i="42691" s="1"/>
  <c r="S959" i="42691" s="1"/>
  <c r="F959" i="42691"/>
  <c r="R862" i="42691"/>
  <c r="R880" i="42691" s="1"/>
  <c r="F880" i="42691"/>
  <c r="J300" i="42691"/>
  <c r="I981" i="42690"/>
  <c r="I980" i="42690"/>
  <c r="K457" i="42691"/>
  <c r="K976" i="42691"/>
  <c r="F754" i="42692"/>
  <c r="R747" i="42692"/>
  <c r="R754" i="42692" s="1"/>
  <c r="R852" i="42692"/>
  <c r="M627" i="42689"/>
  <c r="N621" i="42689"/>
  <c r="G209" i="42696"/>
  <c r="G210" i="42696" s="1"/>
  <c r="G228" i="42696"/>
  <c r="I841" i="42697"/>
  <c r="I39" i="42697"/>
  <c r="I42" i="42697"/>
  <c r="I38" i="42697"/>
  <c r="H129" i="42691"/>
  <c r="K878" i="42691"/>
  <c r="K864" i="42691"/>
  <c r="M955" i="42691"/>
  <c r="M973" i="42691" s="1"/>
  <c r="M395" i="42691"/>
  <c r="M876" i="42691"/>
  <c r="M701" i="42691"/>
  <c r="H560" i="42691"/>
  <c r="P976" i="42692"/>
  <c r="N846" i="42697"/>
  <c r="N875" i="42697" s="1"/>
  <c r="N323" i="42697"/>
  <c r="N332" i="42697" s="1"/>
  <c r="N333" i="42697" s="1"/>
  <c r="N335" i="42697"/>
  <c r="N344" i="42697"/>
  <c r="N334" i="42697"/>
  <c r="I847" i="42697"/>
  <c r="I876" i="42697" s="1"/>
  <c r="I373" i="42697"/>
  <c r="I386" i="42697" s="1"/>
  <c r="I387" i="42697" s="1"/>
  <c r="I388" i="42697"/>
  <c r="I398" i="42697"/>
  <c r="I389" i="42697"/>
  <c r="Q953" i="42692"/>
  <c r="Q971" i="42692" s="1"/>
  <c r="Q299" i="42692"/>
  <c r="L975" i="42691"/>
  <c r="I863" i="42697"/>
  <c r="I881" i="42697" s="1"/>
  <c r="I779" i="42697"/>
  <c r="I791" i="42697" s="1"/>
  <c r="I792" i="42697" s="1"/>
  <c r="I606" i="42692"/>
  <c r="I959" i="42692"/>
  <c r="I977" i="42692" s="1"/>
  <c r="G975" i="42691"/>
  <c r="O975" i="42697"/>
  <c r="G701" i="42692"/>
  <c r="R861" i="42691"/>
  <c r="R879" i="42691" s="1"/>
  <c r="F879" i="42691"/>
  <c r="K755" i="42691"/>
  <c r="K927" i="42691" s="1"/>
  <c r="H991" i="42689"/>
  <c r="H992" i="42689"/>
  <c r="H966" i="42691"/>
  <c r="H944" i="42691"/>
  <c r="K950" i="42697"/>
  <c r="K87" i="42697"/>
  <c r="K933" i="42697"/>
  <c r="K968" i="42697" s="1"/>
  <c r="J969" i="42691"/>
  <c r="F974" i="42690"/>
  <c r="R974" i="42690" s="1"/>
  <c r="R939" i="42690"/>
  <c r="S939" i="42690" s="1"/>
  <c r="F395" i="42692"/>
  <c r="R388" i="42692"/>
  <c r="R395" i="42692" s="1"/>
  <c r="F955" i="42692"/>
  <c r="F876" i="42692"/>
  <c r="F882" i="42692" s="1"/>
  <c r="R847" i="42692"/>
  <c r="N495" i="42691"/>
  <c r="N956" i="42691"/>
  <c r="N974" i="42691" s="1"/>
  <c r="G976" i="42692"/>
  <c r="O976" i="42692"/>
  <c r="Q701" i="42691"/>
  <c r="Q927" i="42691" s="1"/>
  <c r="L976" i="42692"/>
  <c r="G950" i="42697"/>
  <c r="G87" i="42697"/>
  <c r="G933" i="42697"/>
  <c r="G968" i="42697" s="1"/>
  <c r="O87" i="42697"/>
  <c r="O933" i="42697"/>
  <c r="O968" i="42697" s="1"/>
  <c r="F951" i="42691"/>
  <c r="R122" i="42691"/>
  <c r="R128" i="42691" s="1"/>
  <c r="F128" i="42691"/>
  <c r="F922" i="42691"/>
  <c r="M200" i="42692"/>
  <c r="N841" i="42697"/>
  <c r="N39" i="42697"/>
  <c r="N42" i="42697"/>
  <c r="N38" i="42697"/>
  <c r="L228" i="42696"/>
  <c r="L209" i="42696"/>
  <c r="L210" i="42696" s="1"/>
  <c r="S967" i="42692"/>
  <c r="L495" i="42691"/>
  <c r="L956" i="42691"/>
  <c r="L974" i="42691" s="1"/>
  <c r="M560" i="42692"/>
  <c r="M604" i="42692"/>
  <c r="S931" i="42690"/>
  <c r="O755" i="42691"/>
  <c r="O927" i="42691" s="1"/>
  <c r="Q975" i="42691"/>
  <c r="G396" i="42692"/>
  <c r="I853" i="42691"/>
  <c r="I866" i="42691" s="1"/>
  <c r="Q966" i="42691"/>
  <c r="Q944" i="42691"/>
  <c r="G969" i="42691"/>
  <c r="O969" i="42691"/>
  <c r="G953" i="42692"/>
  <c r="G971" i="42692" s="1"/>
  <c r="G299" i="42692"/>
  <c r="O847" i="42697"/>
  <c r="O876" i="42697" s="1"/>
  <c r="O373" i="42697"/>
  <c r="O386" i="42697" s="1"/>
  <c r="O387" i="42697" s="1"/>
  <c r="O389" i="42697"/>
  <c r="O388" i="42697"/>
  <c r="O398" i="42697"/>
  <c r="R202" i="42697"/>
  <c r="N957" i="42691"/>
  <c r="N975" i="42691" s="1"/>
  <c r="N202" i="42691"/>
  <c r="K875" i="42692"/>
  <c r="J396" i="42692"/>
  <c r="R488" i="42691"/>
  <c r="R493" i="42691" s="1"/>
  <c r="F493" i="42691"/>
  <c r="J493" i="42691"/>
  <c r="R701" i="42692"/>
  <c r="G604" i="42691"/>
  <c r="H300" i="42691"/>
  <c r="F954" i="42691"/>
  <c r="F341" i="42691"/>
  <c r="R334" i="42691"/>
  <c r="R341" i="42691" s="1"/>
  <c r="F875" i="42691"/>
  <c r="R846" i="42691"/>
  <c r="R875" i="42691" s="1"/>
  <c r="N951" i="42691"/>
  <c r="N969" i="42691" s="1"/>
  <c r="N128" i="42691"/>
  <c r="N922" i="42691"/>
  <c r="F936" i="42692"/>
  <c r="F300" i="42692"/>
  <c r="R302" i="42692"/>
  <c r="R293" i="42692"/>
  <c r="G853" i="42692"/>
  <c r="G866" i="42692" s="1"/>
  <c r="I969" i="42691"/>
  <c r="Q969" i="42691"/>
  <c r="P493" i="42691"/>
  <c r="I958" i="42692"/>
  <c r="I976" i="42692" s="1"/>
  <c r="I562" i="42692"/>
  <c r="Q958" i="42692"/>
  <c r="Q976" i="42692" s="1"/>
  <c r="Q562" i="42692"/>
  <c r="L755" i="42692"/>
  <c r="M872" i="42697"/>
  <c r="L951" i="42691"/>
  <c r="L128" i="42691"/>
  <c r="O957" i="42691"/>
  <c r="O975" i="42691" s="1"/>
  <c r="O202" i="42691"/>
  <c r="L977" i="42691"/>
  <c r="O701" i="42691"/>
  <c r="N560" i="42692"/>
  <c r="J606" i="42691"/>
  <c r="J959" i="42691"/>
  <c r="J977" i="42691" s="1"/>
  <c r="I957" i="42691"/>
  <c r="I975" i="42691" s="1"/>
  <c r="I202" i="42691"/>
  <c r="I927" i="42691" s="1"/>
  <c r="L983" i="42697"/>
  <c r="J260" i="42696"/>
  <c r="H922" i="42692"/>
  <c r="K969" i="42691"/>
  <c r="K847" i="42697"/>
  <c r="K876" i="42697" s="1"/>
  <c r="K373" i="42697"/>
  <c r="K386" i="42697" s="1"/>
  <c r="K387" i="42697" s="1"/>
  <c r="K389" i="42697"/>
  <c r="K388" i="42697"/>
  <c r="K398" i="42697"/>
  <c r="J975" i="42692"/>
  <c r="N396" i="42692"/>
  <c r="G457" i="42692"/>
  <c r="R659" i="42691"/>
  <c r="P129" i="42691"/>
  <c r="N954" i="42691"/>
  <c r="N972" i="42691" s="1"/>
  <c r="N341" i="42691"/>
  <c r="N875" i="42691"/>
  <c r="N882" i="42691" s="1"/>
  <c r="L604" i="42691"/>
  <c r="M953" i="42691"/>
  <c r="M971" i="42691" s="1"/>
  <c r="M299" i="42691"/>
  <c r="M846" i="42697"/>
  <c r="M875" i="42697" s="1"/>
  <c r="M323" i="42697"/>
  <c r="M332" i="42697" s="1"/>
  <c r="M333" i="42697" s="1"/>
  <c r="M335" i="42697"/>
  <c r="M334" i="42697"/>
  <c r="M344" i="42697"/>
  <c r="H878" i="42691"/>
  <c r="H882" i="42691" s="1"/>
  <c r="H864" i="42691"/>
  <c r="P878" i="42692"/>
  <c r="P864" i="42692"/>
  <c r="P866" i="42692" s="1"/>
  <c r="M954" i="42691"/>
  <c r="M972" i="42691" s="1"/>
  <c r="M341" i="42691"/>
  <c r="M875" i="42691"/>
  <c r="M882" i="42691" s="1"/>
  <c r="H396" i="42691"/>
  <c r="P396" i="42691"/>
  <c r="K243" i="42696"/>
  <c r="M858" i="42697"/>
  <c r="M226" i="42697"/>
  <c r="M239" i="42697" s="1"/>
  <c r="M240" i="42697" s="1"/>
  <c r="M241" i="42697"/>
  <c r="M528" i="42691"/>
  <c r="F924" i="42692"/>
  <c r="F966" i="42692"/>
  <c r="R931" i="42692"/>
  <c r="P528" i="42692"/>
  <c r="R599" i="42697"/>
  <c r="F600" i="42697"/>
  <c r="N604" i="42691"/>
  <c r="Q975" i="42697"/>
  <c r="L922" i="42692"/>
  <c r="R167" i="42697"/>
  <c r="N974" i="42697"/>
  <c r="N975" i="42697"/>
  <c r="K457" i="42692"/>
  <c r="K976" i="42692"/>
  <c r="F754" i="42691"/>
  <c r="R747" i="42691"/>
  <c r="R754" i="42691" s="1"/>
  <c r="R852" i="42691"/>
  <c r="I951" i="42697"/>
  <c r="I128" i="42697"/>
  <c r="Q951" i="42697"/>
  <c r="Q128" i="42697"/>
  <c r="H951" i="42692"/>
  <c r="H961" i="42692" s="1"/>
  <c r="H962" i="42692" s="1"/>
  <c r="H128" i="42692"/>
  <c r="H845" i="42697"/>
  <c r="H874" i="42697" s="1"/>
  <c r="H280" i="42697"/>
  <c r="H290" i="42697" s="1"/>
  <c r="H291" i="42697" s="1"/>
  <c r="H293" i="42697"/>
  <c r="H302" i="42697"/>
  <c r="H292" i="42697"/>
  <c r="K878" i="42692"/>
  <c r="K864" i="42692"/>
  <c r="M955" i="42692"/>
  <c r="M973" i="42692" s="1"/>
  <c r="M395" i="42692"/>
  <c r="M876" i="42692"/>
  <c r="M701" i="42692"/>
  <c r="H976" i="42692"/>
  <c r="P560" i="42691"/>
  <c r="R525" i="42692"/>
  <c r="R528" i="42692" s="1"/>
  <c r="I845" i="42697"/>
  <c r="I874" i="42697" s="1"/>
  <c r="I280" i="42697"/>
  <c r="I290" i="42697" s="1"/>
  <c r="I291" i="42697" s="1"/>
  <c r="I293" i="42697"/>
  <c r="I302" i="42697"/>
  <c r="I292" i="42697"/>
  <c r="Q845" i="42697"/>
  <c r="Q874" i="42697" s="1"/>
  <c r="Q280" i="42697"/>
  <c r="Q290" i="42697" s="1"/>
  <c r="Q291" i="42697" s="1"/>
  <c r="Q293" i="42697"/>
  <c r="Q302" i="42697"/>
  <c r="Q292" i="42697"/>
  <c r="L957" i="42692"/>
  <c r="L975" i="42692" s="1"/>
  <c r="L202" i="42692"/>
  <c r="I954" i="42692"/>
  <c r="I972" i="42692" s="1"/>
  <c r="I341" i="42692"/>
  <c r="I875" i="42692"/>
  <c r="I882" i="42692" s="1"/>
  <c r="L396" i="42692"/>
  <c r="I977" i="42691"/>
  <c r="M457" i="42692"/>
  <c r="I604" i="42691"/>
  <c r="R450" i="42692"/>
  <c r="R456" i="42692" s="1"/>
  <c r="O974" i="42697"/>
  <c r="G957" i="42692"/>
  <c r="G975" i="42692" s="1"/>
  <c r="G202" i="42692"/>
  <c r="G927" i="42692" s="1"/>
  <c r="N853" i="42692"/>
  <c r="N866" i="42692" s="1"/>
  <c r="G701" i="42691"/>
  <c r="F562" i="42692"/>
  <c r="R562" i="42692" s="1"/>
  <c r="R557" i="42692"/>
  <c r="R560" i="42692" s="1"/>
  <c r="F958" i="42692"/>
  <c r="R958" i="42692" s="1"/>
  <c r="S958" i="42692" s="1"/>
  <c r="H966" i="42692"/>
  <c r="H944" i="42692"/>
  <c r="F938" i="42691"/>
  <c r="F396" i="42691"/>
  <c r="N495" i="42692"/>
  <c r="N956" i="42692"/>
  <c r="N974" i="42692" s="1"/>
  <c r="G560" i="42691"/>
  <c r="O560" i="42691"/>
  <c r="L958" i="42691"/>
  <c r="L976" i="42691" s="1"/>
  <c r="L562" i="42691"/>
  <c r="M228" i="42696"/>
  <c r="M209" i="42696"/>
  <c r="M210" i="42696" s="1"/>
  <c r="O841" i="42697"/>
  <c r="O38" i="42697"/>
  <c r="O39" i="42697"/>
  <c r="O42" i="42697"/>
  <c r="R129" i="42692"/>
  <c r="R131" i="42692"/>
  <c r="M957" i="42691"/>
  <c r="M975" i="42691" s="1"/>
  <c r="M202" i="42691"/>
  <c r="P342" i="42691"/>
  <c r="R240" i="42692"/>
  <c r="R244" i="42692" s="1"/>
  <c r="F942" i="42692"/>
  <c r="F244" i="42692"/>
  <c r="J951" i="42697"/>
  <c r="J128" i="42697"/>
  <c r="N951" i="42697"/>
  <c r="N128" i="42697"/>
  <c r="S923" i="42692"/>
  <c r="M969" i="42692"/>
  <c r="L493" i="42692"/>
  <c r="M958" i="42691"/>
  <c r="M976" i="42691" s="1"/>
  <c r="M562" i="42691"/>
  <c r="M606" i="42691"/>
  <c r="M959" i="42691"/>
  <c r="M977" i="42691" s="1"/>
  <c r="J872" i="42697"/>
  <c r="N872" i="42697"/>
  <c r="S967" i="42690"/>
  <c r="M951" i="42692"/>
  <c r="M128" i="42692"/>
  <c r="M873" i="42692"/>
  <c r="M560" i="42691"/>
  <c r="M604" i="42691"/>
  <c r="L927" i="42692" l="1"/>
  <c r="M882" i="42692"/>
  <c r="M961" i="42692"/>
  <c r="M962" i="42692" s="1"/>
  <c r="N927" i="42691"/>
  <c r="R876" i="42692"/>
  <c r="I927" i="42692"/>
  <c r="P927" i="42691"/>
  <c r="Q866" i="42691"/>
  <c r="H927" i="42692"/>
  <c r="J882" i="42692"/>
  <c r="L882" i="42692"/>
  <c r="F882" i="42691"/>
  <c r="N927" i="42692"/>
  <c r="Q882" i="42691"/>
  <c r="O882" i="42692"/>
  <c r="O927" i="42692"/>
  <c r="K882" i="42692"/>
  <c r="M927" i="42691"/>
  <c r="P882" i="42692"/>
  <c r="J968" i="42697"/>
  <c r="I882" i="42691"/>
  <c r="H927" i="42691"/>
  <c r="K882" i="42691"/>
  <c r="P984" i="42692"/>
  <c r="P883" i="42692"/>
  <c r="F984" i="42691"/>
  <c r="F883" i="42691"/>
  <c r="M984" i="42691"/>
  <c r="M883" i="42691"/>
  <c r="O984" i="42691"/>
  <c r="O883" i="42691"/>
  <c r="N984" i="42691"/>
  <c r="N883" i="42691"/>
  <c r="P984" i="42691"/>
  <c r="P883" i="42691"/>
  <c r="I984" i="42692"/>
  <c r="I883" i="42692"/>
  <c r="O931" i="42697"/>
  <c r="O40" i="42697"/>
  <c r="Q936" i="42697"/>
  <c r="Q300" i="42697"/>
  <c r="I953" i="42697"/>
  <c r="I299" i="42697"/>
  <c r="H953" i="42697"/>
  <c r="H299" i="42697"/>
  <c r="R600" i="42697"/>
  <c r="F604" i="42697"/>
  <c r="S931" i="42692"/>
  <c r="M959" i="42697"/>
  <c r="M246" i="42697"/>
  <c r="M880" i="42697"/>
  <c r="M864" i="42697"/>
  <c r="M954" i="42697"/>
  <c r="M341" i="42697"/>
  <c r="M937" i="42697"/>
  <c r="M972" i="42697" s="1"/>
  <c r="M342" i="42697"/>
  <c r="K955" i="42697"/>
  <c r="K395" i="42697"/>
  <c r="K938" i="42697"/>
  <c r="K973" i="42697" s="1"/>
  <c r="K396" i="42697"/>
  <c r="L961" i="42691"/>
  <c r="L962" i="42691" s="1"/>
  <c r="G984" i="42692"/>
  <c r="G883" i="42692"/>
  <c r="F971" i="42692"/>
  <c r="R971" i="42692" s="1"/>
  <c r="R936" i="42692"/>
  <c r="R954" i="42691"/>
  <c r="S954" i="42691" s="1"/>
  <c r="Q979" i="42691"/>
  <c r="N40" i="42697"/>
  <c r="N931" i="42697"/>
  <c r="N924" i="42697"/>
  <c r="N948" i="42697"/>
  <c r="N922" i="42697"/>
  <c r="R951" i="42691"/>
  <c r="S951" i="42691" s="1"/>
  <c r="R955" i="42692"/>
  <c r="I955" i="42697"/>
  <c r="I395" i="42697"/>
  <c r="N937" i="42697"/>
  <c r="N342" i="42697"/>
  <c r="I870" i="42697"/>
  <c r="I853" i="42697"/>
  <c r="M946" i="42689"/>
  <c r="M935" i="42689"/>
  <c r="D185" i="42696"/>
  <c r="P185" i="42696" s="1"/>
  <c r="H16" i="42700" s="1"/>
  <c r="I16" i="42700" s="1"/>
  <c r="P142" i="42696"/>
  <c r="D156" i="42696"/>
  <c r="D184" i="42696"/>
  <c r="P184" i="42696" s="1"/>
  <c r="H14" i="42700" s="1"/>
  <c r="I14" i="42700" s="1"/>
  <c r="P141" i="42696"/>
  <c r="D155" i="42696"/>
  <c r="H959" i="42697"/>
  <c r="H246" i="42697"/>
  <c r="H880" i="42697"/>
  <c r="H864" i="42697"/>
  <c r="K942" i="42697"/>
  <c r="K244" i="42697"/>
  <c r="K342" i="42697"/>
  <c r="K937" i="42697"/>
  <c r="L300" i="42697"/>
  <c r="L936" i="42697"/>
  <c r="I20" i="42702"/>
  <c r="R956" i="42692"/>
  <c r="S956" i="42692" s="1"/>
  <c r="R495" i="42692"/>
  <c r="O942" i="42697"/>
  <c r="O244" i="42697"/>
  <c r="O953" i="42697"/>
  <c r="O299" i="42697"/>
  <c r="G936" i="42697"/>
  <c r="G300" i="42697"/>
  <c r="N942" i="42697"/>
  <c r="N244" i="42697"/>
  <c r="G948" i="42697"/>
  <c r="G922" i="42697"/>
  <c r="G870" i="42697"/>
  <c r="G853" i="42697"/>
  <c r="L984" i="42692"/>
  <c r="L883" i="42692"/>
  <c r="F984" i="42692"/>
  <c r="F883" i="42692"/>
  <c r="K866" i="42691"/>
  <c r="P300" i="42697"/>
  <c r="P936" i="42697"/>
  <c r="P962" i="42691"/>
  <c r="N616" i="42690"/>
  <c r="O610" i="42690"/>
  <c r="R878" i="42691"/>
  <c r="R864" i="42691"/>
  <c r="F975" i="42691"/>
  <c r="R975" i="42691" s="1"/>
  <c r="F242" i="42696"/>
  <c r="F244" i="42696" s="1"/>
  <c r="F239" i="42696"/>
  <c r="F240" i="42696" s="1"/>
  <c r="H948" i="42697"/>
  <c r="H922" i="42697"/>
  <c r="H870" i="42697"/>
  <c r="H882" i="42697" s="1"/>
  <c r="H853" i="42697"/>
  <c r="Y22" i="42699"/>
  <c r="E46" i="42701" s="1"/>
  <c r="D714" i="42698"/>
  <c r="L955" i="42697"/>
  <c r="L395" i="42697"/>
  <c r="O866" i="42692"/>
  <c r="Q984" i="42691"/>
  <c r="Q883" i="42691"/>
  <c r="J300" i="42697"/>
  <c r="J936" i="42697"/>
  <c r="L927" i="42691"/>
  <c r="P959" i="42697"/>
  <c r="P246" i="42697"/>
  <c r="P927" i="42697" s="1"/>
  <c r="P880" i="42697"/>
  <c r="P864" i="42697"/>
  <c r="H954" i="42697"/>
  <c r="H341" i="42697"/>
  <c r="H937" i="42697"/>
  <c r="H972" i="42697" s="1"/>
  <c r="H342" i="42697"/>
  <c r="H962" i="42691"/>
  <c r="Q927" i="42697"/>
  <c r="Q870" i="42697"/>
  <c r="Q882" i="42697" s="1"/>
  <c r="Q853" i="42697"/>
  <c r="O242" i="42696"/>
  <c r="O244" i="42696" s="1"/>
  <c r="O239" i="42696"/>
  <c r="O240" i="42696" s="1"/>
  <c r="R853" i="42691"/>
  <c r="M955" i="42697"/>
  <c r="M395" i="42697"/>
  <c r="P938" i="42697"/>
  <c r="P396" i="42697"/>
  <c r="P961" i="42692"/>
  <c r="P962" i="42692" s="1"/>
  <c r="R974" i="42691"/>
  <c r="M927" i="42697"/>
  <c r="M870" i="42697"/>
  <c r="M882" i="42697" s="1"/>
  <c r="M853" i="42697"/>
  <c r="M866" i="42697" s="1"/>
  <c r="K242" i="42696"/>
  <c r="K244" i="42696" s="1"/>
  <c r="K239" i="42696"/>
  <c r="K240" i="42696" s="1"/>
  <c r="I961" i="42692"/>
  <c r="I962" i="42692" s="1"/>
  <c r="D706" i="42698"/>
  <c r="E706" i="42698" s="1"/>
  <c r="F610" i="42698"/>
  <c r="F656" i="42698"/>
  <c r="Y14" i="42699" s="1"/>
  <c r="F638" i="42698"/>
  <c r="F81" i="42698"/>
  <c r="D180" i="42696"/>
  <c r="P180" i="42696" s="1"/>
  <c r="H11" i="42700" s="1"/>
  <c r="I11" i="42700" s="1"/>
  <c r="P144" i="42696"/>
  <c r="D158" i="42696"/>
  <c r="P139" i="42696"/>
  <c r="D153" i="42696"/>
  <c r="R342" i="42692"/>
  <c r="F399" i="42698"/>
  <c r="F408" i="42698" s="1"/>
  <c r="R701" i="42697"/>
  <c r="J955" i="42697"/>
  <c r="J395" i="42697"/>
  <c r="N968" i="42697"/>
  <c r="J969" i="42697"/>
  <c r="S942" i="42690"/>
  <c r="R922" i="42692"/>
  <c r="L20" i="42699"/>
  <c r="I17" i="42701" s="1"/>
  <c r="S975" i="42690"/>
  <c r="M979" i="42691"/>
  <c r="I244" i="42697"/>
  <c r="I942" i="42697"/>
  <c r="Q954" i="42697"/>
  <c r="Q341" i="42697"/>
  <c r="I937" i="42697"/>
  <c r="I342" i="42697"/>
  <c r="L16" i="42699"/>
  <c r="I14" i="42701" s="1"/>
  <c r="S969" i="42690"/>
  <c r="L979" i="42692"/>
  <c r="S956" i="42697"/>
  <c r="S948" i="42692"/>
  <c r="M953" i="42697"/>
  <c r="M299" i="42697"/>
  <c r="M14" i="42699"/>
  <c r="S967" i="42691"/>
  <c r="K979" i="42691"/>
  <c r="L40" i="42697"/>
  <c r="L931" i="42697"/>
  <c r="L924" i="42697"/>
  <c r="N926" i="42692"/>
  <c r="O926" i="42691"/>
  <c r="L19" i="42699"/>
  <c r="I16" i="42701" s="1"/>
  <c r="S971" i="42690"/>
  <c r="R300" i="42692"/>
  <c r="G955" i="42697"/>
  <c r="G395" i="42697"/>
  <c r="G396" i="42697"/>
  <c r="G938" i="42697"/>
  <c r="G973" i="42697" s="1"/>
  <c r="J943" i="42697"/>
  <c r="J978" i="42697" s="1"/>
  <c r="J794" i="42697"/>
  <c r="G973" i="42692"/>
  <c r="G979" i="42692" s="1"/>
  <c r="F979" i="42690"/>
  <c r="M961" i="42691"/>
  <c r="M962" i="42691" s="1"/>
  <c r="F977" i="42691"/>
  <c r="R977" i="42691" s="1"/>
  <c r="Q955" i="42697"/>
  <c r="Q395" i="42697"/>
  <c r="N955" i="42697"/>
  <c r="N395" i="42697"/>
  <c r="S948" i="42691"/>
  <c r="K13" i="42699"/>
  <c r="M794" i="42697"/>
  <c r="M943" i="42697"/>
  <c r="M978" i="42697" s="1"/>
  <c r="N972" i="42692"/>
  <c r="N979" i="42692" s="1"/>
  <c r="J984" i="42691"/>
  <c r="J883" i="42691"/>
  <c r="R202" i="42692"/>
  <c r="F927" i="42692"/>
  <c r="F975" i="42692"/>
  <c r="R975" i="42692" s="1"/>
  <c r="N20" i="42699" s="1"/>
  <c r="K17" i="42701" s="1"/>
  <c r="R940" i="42692"/>
  <c r="R200" i="42692"/>
  <c r="K936" i="42697"/>
  <c r="K300" i="42697"/>
  <c r="K961" i="42692"/>
  <c r="K962" i="42692" s="1"/>
  <c r="O979" i="42691"/>
  <c r="G866" i="42691"/>
  <c r="G959" i="42697"/>
  <c r="G246" i="42697"/>
  <c r="G880" i="42697"/>
  <c r="G864" i="42697"/>
  <c r="O954" i="42697"/>
  <c r="O341" i="42697"/>
  <c r="G342" i="42697"/>
  <c r="G937" i="42697"/>
  <c r="Q866" i="42692"/>
  <c r="I979" i="42692"/>
  <c r="Q973" i="42692"/>
  <c r="Q979" i="42692" s="1"/>
  <c r="L21" i="42699"/>
  <c r="I18" i="42701" s="1"/>
  <c r="S972" i="42690"/>
  <c r="R876" i="42691"/>
  <c r="R955" i="42691"/>
  <c r="S955" i="42691" s="1"/>
  <c r="K931" i="42697"/>
  <c r="K40" i="42697"/>
  <c r="K924" i="42697"/>
  <c r="H866" i="42692"/>
  <c r="N953" i="42697"/>
  <c r="N299" i="42697"/>
  <c r="H969" i="42692"/>
  <c r="H979" i="42692" s="1"/>
  <c r="S941" i="42690"/>
  <c r="J927" i="42692"/>
  <c r="N242" i="42696"/>
  <c r="N244" i="42696" s="1"/>
  <c r="N239" i="42696"/>
  <c r="N240" i="42696" s="1"/>
  <c r="P40" i="42697"/>
  <c r="P931" i="42697"/>
  <c r="S958" i="42697"/>
  <c r="L942" i="42697"/>
  <c r="L244" i="42697"/>
  <c r="L954" i="42697"/>
  <c r="L341" i="42697"/>
  <c r="R457" i="42691"/>
  <c r="D190" i="42696"/>
  <c r="P190" i="42696" s="1"/>
  <c r="H19" i="42700" s="1"/>
  <c r="I19" i="42700" s="1"/>
  <c r="P140" i="42696"/>
  <c r="D154" i="42696"/>
  <c r="R342" i="42691"/>
  <c r="R495" i="42691"/>
  <c r="J870" i="42697"/>
  <c r="J853" i="42697"/>
  <c r="F969" i="42691"/>
  <c r="R934" i="42691"/>
  <c r="S934" i="42691" s="1"/>
  <c r="G969" i="42697"/>
  <c r="H866" i="42691"/>
  <c r="F976" i="42691"/>
  <c r="R976" i="42691" s="1"/>
  <c r="H938" i="42697"/>
  <c r="H396" i="42697"/>
  <c r="R755" i="42692"/>
  <c r="R604" i="42691"/>
  <c r="F944" i="42691"/>
  <c r="R966" i="42691"/>
  <c r="J979" i="42691"/>
  <c r="K969" i="42692"/>
  <c r="K979" i="42692" s="1"/>
  <c r="L961" i="42692"/>
  <c r="L962" i="42692" s="1"/>
  <c r="N129" i="42697"/>
  <c r="N934" i="42697"/>
  <c r="N969" i="42697" s="1"/>
  <c r="J959" i="42697"/>
  <c r="J246" i="42697"/>
  <c r="J927" i="42697" s="1"/>
  <c r="J880" i="42697"/>
  <c r="J864" i="42697"/>
  <c r="Q927" i="42692"/>
  <c r="F977" i="42692"/>
  <c r="R977" i="42692" s="1"/>
  <c r="R942" i="42692"/>
  <c r="O948" i="42697"/>
  <c r="O922" i="42697"/>
  <c r="O870" i="42697"/>
  <c r="O853" i="42697"/>
  <c r="M242" i="42696"/>
  <c r="M244" i="42696" s="1"/>
  <c r="M239" i="42696"/>
  <c r="M240" i="42696" s="1"/>
  <c r="F973" i="42691"/>
  <c r="R973" i="42691" s="1"/>
  <c r="R938" i="42691"/>
  <c r="S938" i="42691" s="1"/>
  <c r="N984" i="42692"/>
  <c r="N883" i="42692"/>
  <c r="Q953" i="42697"/>
  <c r="Q299" i="42697"/>
  <c r="I936" i="42697"/>
  <c r="I971" i="42697" s="1"/>
  <c r="I300" i="42697"/>
  <c r="H300" i="42697"/>
  <c r="H936" i="42697"/>
  <c r="H971" i="42697" s="1"/>
  <c r="F944" i="42692"/>
  <c r="R966" i="42692"/>
  <c r="M244" i="42697"/>
  <c r="M942" i="42697"/>
  <c r="M977" i="42697" s="1"/>
  <c r="N961" i="42691"/>
  <c r="N962" i="42691" s="1"/>
  <c r="O955" i="42697"/>
  <c r="O395" i="42697"/>
  <c r="O396" i="42697"/>
  <c r="O938" i="42697"/>
  <c r="I984" i="42691"/>
  <c r="I883" i="42691"/>
  <c r="L242" i="42696"/>
  <c r="L244" i="42696" s="1"/>
  <c r="L239" i="42696"/>
  <c r="L240" i="42696" s="1"/>
  <c r="N870" i="42697"/>
  <c r="N853" i="42697"/>
  <c r="R922" i="42691"/>
  <c r="S922" i="42691" s="1"/>
  <c r="R396" i="42692"/>
  <c r="L17" i="42699"/>
  <c r="I15" i="42701" s="1"/>
  <c r="S974" i="42690"/>
  <c r="I794" i="42697"/>
  <c r="I943" i="42697"/>
  <c r="I978" i="42697" s="1"/>
  <c r="I396" i="42697"/>
  <c r="I938" i="42697"/>
  <c r="I973" i="42697" s="1"/>
  <c r="N954" i="42697"/>
  <c r="N341" i="42697"/>
  <c r="I931" i="42697"/>
  <c r="I40" i="42697"/>
  <c r="I924" i="42697"/>
  <c r="I948" i="42697"/>
  <c r="I922" i="42697"/>
  <c r="G242" i="42696"/>
  <c r="G244" i="42696" s="1"/>
  <c r="G245" i="42696" s="1"/>
  <c r="G239" i="42696"/>
  <c r="G240" i="42696" s="1"/>
  <c r="N627" i="42689"/>
  <c r="O621" i="42689"/>
  <c r="R606" i="42691"/>
  <c r="D186" i="42696"/>
  <c r="P186" i="42696" s="1"/>
  <c r="H18" i="42700" s="1"/>
  <c r="I18" i="42700" s="1"/>
  <c r="P143" i="42696"/>
  <c r="D157" i="42696"/>
  <c r="H942" i="42697"/>
  <c r="H977" i="42697" s="1"/>
  <c r="H244" i="42697"/>
  <c r="R488" i="42697"/>
  <c r="F493" i="42697"/>
  <c r="K959" i="42697"/>
  <c r="K246" i="42697"/>
  <c r="K927" i="42697" s="1"/>
  <c r="K880" i="42697"/>
  <c r="K864" i="42697"/>
  <c r="J927" i="42691"/>
  <c r="K954" i="42697"/>
  <c r="K341" i="42697"/>
  <c r="F424" i="42698"/>
  <c r="F647" i="42698"/>
  <c r="F683" i="42698" s="1"/>
  <c r="V22" i="42699" s="1"/>
  <c r="L953" i="42697"/>
  <c r="L299" i="42697"/>
  <c r="O959" i="42697"/>
  <c r="O246" i="42697"/>
  <c r="O927" i="42697" s="1"/>
  <c r="O880" i="42697"/>
  <c r="O864" i="42697"/>
  <c r="O936" i="42697"/>
  <c r="O971" i="42697" s="1"/>
  <c r="O300" i="42697"/>
  <c r="G953" i="42697"/>
  <c r="G299" i="42697"/>
  <c r="G961" i="42692"/>
  <c r="G962" i="42692" s="1"/>
  <c r="S961" i="42690"/>
  <c r="R962" i="42690"/>
  <c r="P446" i="42697"/>
  <c r="O449" i="42697"/>
  <c r="O457" i="42697" s="1"/>
  <c r="N959" i="42697"/>
  <c r="N246" i="42697"/>
  <c r="N927" i="42697" s="1"/>
  <c r="N880" i="42697"/>
  <c r="N864" i="42697"/>
  <c r="G927" i="42697"/>
  <c r="G931" i="42697"/>
  <c r="G40" i="42697"/>
  <c r="G924" i="42697"/>
  <c r="E242" i="42696"/>
  <c r="E244" i="42696" s="1"/>
  <c r="E239" i="42696"/>
  <c r="E240" i="42696" s="1"/>
  <c r="F442" i="42698"/>
  <c r="F451" i="42698" s="1"/>
  <c r="R755" i="42697"/>
  <c r="F356" i="42698"/>
  <c r="F365" i="42698" s="1"/>
  <c r="R659" i="42697"/>
  <c r="P943" i="42697"/>
  <c r="P978" i="42697" s="1"/>
  <c r="P794" i="42697"/>
  <c r="L23" i="42699"/>
  <c r="I20" i="42701" s="1"/>
  <c r="S973" i="42690"/>
  <c r="P953" i="42697"/>
  <c r="P299" i="42697"/>
  <c r="J984" i="42692"/>
  <c r="J883" i="42692"/>
  <c r="AE29" i="42699"/>
  <c r="U30" i="42699"/>
  <c r="AE30" i="42699" s="1"/>
  <c r="Q26" i="42701"/>
  <c r="T26" i="42701" s="1"/>
  <c r="R27" i="42701"/>
  <c r="M935" i="42690"/>
  <c r="M924" i="42690"/>
  <c r="R202" i="42691"/>
  <c r="F927" i="42691"/>
  <c r="R940" i="42691"/>
  <c r="S940" i="42691" s="1"/>
  <c r="R200" i="42691"/>
  <c r="F974" i="42692"/>
  <c r="R974" i="42692" s="1"/>
  <c r="N17" i="42699" s="1"/>
  <c r="K15" i="42701" s="1"/>
  <c r="R939" i="42692"/>
  <c r="H927" i="42697"/>
  <c r="H40" i="42697"/>
  <c r="H931" i="42697"/>
  <c r="H924" i="42697"/>
  <c r="L938" i="42697"/>
  <c r="L973" i="42697" s="1"/>
  <c r="L396" i="42697"/>
  <c r="L969" i="42691"/>
  <c r="L979" i="42691" s="1"/>
  <c r="F972" i="42691"/>
  <c r="R972" i="42691" s="1"/>
  <c r="R937" i="42691"/>
  <c r="S937" i="42691" s="1"/>
  <c r="O794" i="42697"/>
  <c r="O943" i="42697"/>
  <c r="O978" i="42697" s="1"/>
  <c r="O961" i="42691"/>
  <c r="O962" i="42691" s="1"/>
  <c r="J953" i="42697"/>
  <c r="J299" i="42697"/>
  <c r="R129" i="42691"/>
  <c r="N979" i="42691"/>
  <c r="R457" i="42692"/>
  <c r="L984" i="42691"/>
  <c r="L883" i="42691"/>
  <c r="P942" i="42697"/>
  <c r="P977" i="42697" s="1"/>
  <c r="P244" i="42697"/>
  <c r="Q931" i="42697"/>
  <c r="Q40" i="42697"/>
  <c r="Q948" i="42697"/>
  <c r="Q961" i="42697" s="1"/>
  <c r="Q922" i="42697"/>
  <c r="F978" i="42692"/>
  <c r="R978" i="42692" s="1"/>
  <c r="R943" i="42692"/>
  <c r="R924" i="42691"/>
  <c r="R882" i="42691"/>
  <c r="M396" i="42697"/>
  <c r="M938" i="42697"/>
  <c r="M973" i="42697" s="1"/>
  <c r="P955" i="42697"/>
  <c r="P395" i="42697"/>
  <c r="R659" i="42692"/>
  <c r="R939" i="42691"/>
  <c r="S939" i="42691" s="1"/>
  <c r="R165" i="42691"/>
  <c r="M931" i="42697"/>
  <c r="M40" i="42697"/>
  <c r="M924" i="42697"/>
  <c r="M948" i="42697"/>
  <c r="M961" i="42697" s="1"/>
  <c r="M922" i="42697"/>
  <c r="M969" i="42697"/>
  <c r="P138" i="42696"/>
  <c r="D152" i="42696"/>
  <c r="P127" i="42696"/>
  <c r="P128" i="42696" s="1"/>
  <c r="D147" i="42696"/>
  <c r="D148" i="42696" s="1"/>
  <c r="P137" i="42696"/>
  <c r="D179" i="42696"/>
  <c r="D151" i="42696"/>
  <c r="P145" i="42696"/>
  <c r="D181" i="42696"/>
  <c r="P181" i="42696" s="1"/>
  <c r="H12" i="42700" s="1"/>
  <c r="I12" i="42700" s="1"/>
  <c r="D159" i="42696"/>
  <c r="G979" i="42691"/>
  <c r="R953" i="42691"/>
  <c r="S953" i="42691" s="1"/>
  <c r="N961" i="42692"/>
  <c r="N962" i="42692" s="1"/>
  <c r="R875" i="42692"/>
  <c r="R954" i="42692"/>
  <c r="S954" i="42692" s="1"/>
  <c r="AE12" i="42699"/>
  <c r="J396" i="42697"/>
  <c r="J938" i="42697"/>
  <c r="J973" i="42697" s="1"/>
  <c r="L24" i="42699"/>
  <c r="I21" i="42701" s="1"/>
  <c r="S977" i="42690"/>
  <c r="R951" i="42692"/>
  <c r="S951" i="42692" s="1"/>
  <c r="F969" i="42692"/>
  <c r="R934" i="42692"/>
  <c r="S934" i="42692" s="1"/>
  <c r="S969" i="42692" s="1"/>
  <c r="J961" i="42692"/>
  <c r="J962" i="42692" s="1"/>
  <c r="F976" i="42692"/>
  <c r="R976" i="42692" s="1"/>
  <c r="N22" i="42699" s="1"/>
  <c r="K19" i="42701" s="1"/>
  <c r="R941" i="42692"/>
  <c r="S941" i="42692" s="1"/>
  <c r="S976" i="42692" s="1"/>
  <c r="I959" i="42697"/>
  <c r="I246" i="42697"/>
  <c r="I927" i="42697" s="1"/>
  <c r="I880" i="42697"/>
  <c r="I864" i="42697"/>
  <c r="Q937" i="42697"/>
  <c r="Q972" i="42697" s="1"/>
  <c r="Q342" i="42697"/>
  <c r="I954" i="42697"/>
  <c r="I341" i="42697"/>
  <c r="S934" i="42690"/>
  <c r="K927" i="42692"/>
  <c r="I969" i="42697"/>
  <c r="Q794" i="42697"/>
  <c r="Q943" i="42697"/>
  <c r="Q978" i="42697" s="1"/>
  <c r="F978" i="42691"/>
  <c r="R978" i="42691" s="1"/>
  <c r="R943" i="42691"/>
  <c r="S943" i="42691" s="1"/>
  <c r="F663" i="42698"/>
  <c r="F151" i="42698"/>
  <c r="F627" i="42698" s="1"/>
  <c r="Z17" i="42699" s="1"/>
  <c r="F42" i="42701" s="1"/>
  <c r="R160" i="42697"/>
  <c r="F165" i="42697"/>
  <c r="F939" i="42697"/>
  <c r="F974" i="42697" s="1"/>
  <c r="R974" i="42697" s="1"/>
  <c r="R959" i="42692"/>
  <c r="S959" i="42692" s="1"/>
  <c r="R606" i="42692"/>
  <c r="F961" i="42692"/>
  <c r="F962" i="42692" s="1"/>
  <c r="R924" i="42692"/>
  <c r="M936" i="42697"/>
  <c r="M971" i="42697" s="1"/>
  <c r="M300" i="42697"/>
  <c r="H943" i="42697"/>
  <c r="H978" i="42697" s="1"/>
  <c r="H794" i="42697"/>
  <c r="P969" i="42691"/>
  <c r="K794" i="42697"/>
  <c r="K943" i="42697"/>
  <c r="K978" i="42697" s="1"/>
  <c r="J242" i="42696"/>
  <c r="J244" i="42696" s="1"/>
  <c r="J239" i="42696"/>
  <c r="J240" i="42696" s="1"/>
  <c r="L948" i="42697"/>
  <c r="L922" i="42697"/>
  <c r="L870" i="42697"/>
  <c r="L853" i="42697"/>
  <c r="R953" i="42692"/>
  <c r="S953" i="42692" s="1"/>
  <c r="F377" i="42698"/>
  <c r="F381" i="42698" s="1"/>
  <c r="R528" i="42697"/>
  <c r="G794" i="42697"/>
  <c r="G943" i="42697"/>
  <c r="G978" i="42697" s="1"/>
  <c r="F664" i="42698"/>
  <c r="F201" i="42698"/>
  <c r="F628" i="42698" s="1"/>
  <c r="Z20" i="42699" s="1"/>
  <c r="F44" i="42701" s="1"/>
  <c r="L13" i="42699"/>
  <c r="S966" i="42690"/>
  <c r="N14" i="42699"/>
  <c r="N943" i="42697"/>
  <c r="N978" i="42697" s="1"/>
  <c r="N794" i="42697"/>
  <c r="R942" i="42691"/>
  <c r="S942" i="42691" s="1"/>
  <c r="R244" i="42691"/>
  <c r="F973" i="42692"/>
  <c r="R973" i="42692" s="1"/>
  <c r="N23" i="42699" s="1"/>
  <c r="K20" i="42701" s="1"/>
  <c r="R938" i="42692"/>
  <c r="S938" i="42692" s="1"/>
  <c r="M866" i="42692"/>
  <c r="R562" i="42691"/>
  <c r="Q396" i="42697"/>
  <c r="Q938" i="42697"/>
  <c r="Q973" i="42697" s="1"/>
  <c r="N396" i="42697"/>
  <c r="N938" i="42697"/>
  <c r="N973" i="42697" s="1"/>
  <c r="H969" i="42691"/>
  <c r="H979" i="42691" s="1"/>
  <c r="L981" i="42689"/>
  <c r="L955" i="42689"/>
  <c r="F961" i="42691"/>
  <c r="F962" i="42691" s="1"/>
  <c r="F990" i="42689"/>
  <c r="K866" i="42692"/>
  <c r="P969" i="42692"/>
  <c r="R878" i="42692"/>
  <c r="R864" i="42692"/>
  <c r="R957" i="42692"/>
  <c r="S957" i="42692" s="1"/>
  <c r="K953" i="42697"/>
  <c r="K299" i="42697"/>
  <c r="Q864" i="42697"/>
  <c r="R22" i="42699"/>
  <c r="N19" i="42701" s="1"/>
  <c r="F971" i="42691"/>
  <c r="R971" i="42691" s="1"/>
  <c r="R936" i="42691"/>
  <c r="S936" i="42691" s="1"/>
  <c r="G942" i="42697"/>
  <c r="G977" i="42697" s="1"/>
  <c r="G244" i="42697"/>
  <c r="O342" i="42697"/>
  <c r="O937" i="42697"/>
  <c r="O972" i="42697" s="1"/>
  <c r="G954" i="42697"/>
  <c r="G341" i="42697"/>
  <c r="O961" i="42692"/>
  <c r="O962" i="42692" s="1"/>
  <c r="P979" i="42692"/>
  <c r="P979" i="42691"/>
  <c r="S937" i="42690"/>
  <c r="J969" i="42692"/>
  <c r="J979" i="42692" s="1"/>
  <c r="K948" i="42697"/>
  <c r="K961" i="42697" s="1"/>
  <c r="K922" i="42697"/>
  <c r="K870" i="42697"/>
  <c r="K882" i="42697" s="1"/>
  <c r="K853" i="42697"/>
  <c r="K866" i="42697" s="1"/>
  <c r="I242" i="42696"/>
  <c r="I244" i="42696" s="1"/>
  <c r="I239" i="42696"/>
  <c r="I240" i="42696" s="1"/>
  <c r="N300" i="42697"/>
  <c r="N936" i="42697"/>
  <c r="N971" i="42697" s="1"/>
  <c r="R755" i="42691"/>
  <c r="R604" i="42692"/>
  <c r="L22" i="42699"/>
  <c r="I19" i="42701" s="1"/>
  <c r="S976" i="42690"/>
  <c r="R853" i="42692"/>
  <c r="R866" i="42692" s="1"/>
  <c r="L970" i="42690"/>
  <c r="L944" i="42690"/>
  <c r="K961" i="42691"/>
  <c r="K962" i="42691" s="1"/>
  <c r="P948" i="42697"/>
  <c r="P922" i="42697"/>
  <c r="P870" i="42697"/>
  <c r="P882" i="42697" s="1"/>
  <c r="P853" i="42697"/>
  <c r="P866" i="42697" s="1"/>
  <c r="L959" i="42697"/>
  <c r="L246" i="42697"/>
  <c r="L927" i="42697" s="1"/>
  <c r="L880" i="42697"/>
  <c r="L864" i="42697"/>
  <c r="L937" i="42697"/>
  <c r="L972" i="42697" s="1"/>
  <c r="L342" i="42697"/>
  <c r="I961" i="42691"/>
  <c r="I962" i="42691" s="1"/>
  <c r="D191" i="42696"/>
  <c r="P191" i="42696" s="1"/>
  <c r="H20" i="42700" s="1"/>
  <c r="I20" i="42700" s="1"/>
  <c r="P146" i="42696"/>
  <c r="D160" i="42696"/>
  <c r="R196" i="42697"/>
  <c r="F940" i="42697"/>
  <c r="F975" i="42697" s="1"/>
  <c r="R975" i="42697" s="1"/>
  <c r="F200" i="42697"/>
  <c r="G961" i="42691"/>
  <c r="G962" i="42691" s="1"/>
  <c r="I979" i="42691"/>
  <c r="H242" i="42696"/>
  <c r="H244" i="42696" s="1"/>
  <c r="H239" i="42696"/>
  <c r="H240" i="42696" s="1"/>
  <c r="J40" i="42697"/>
  <c r="J931" i="42697"/>
  <c r="J924" i="42697"/>
  <c r="J948" i="42697"/>
  <c r="J922" i="42697"/>
  <c r="M927" i="42692"/>
  <c r="M15" i="42699"/>
  <c r="S968" i="42691"/>
  <c r="M979" i="42692"/>
  <c r="J961" i="42691"/>
  <c r="J962" i="42691" s="1"/>
  <c r="K969" i="42697"/>
  <c r="G927" i="42691"/>
  <c r="H955" i="42697"/>
  <c r="H395" i="42697"/>
  <c r="S931" i="42691"/>
  <c r="P954" i="42697"/>
  <c r="P341" i="42697"/>
  <c r="P937" i="42697"/>
  <c r="P972" i="42697" s="1"/>
  <c r="P342" i="42697"/>
  <c r="L943" i="42697"/>
  <c r="L978" i="42697" s="1"/>
  <c r="L794" i="42697"/>
  <c r="P118" i="42697"/>
  <c r="O121" i="42697"/>
  <c r="Q961" i="42692"/>
  <c r="Q962" i="42692" s="1"/>
  <c r="R14" i="42699"/>
  <c r="S967" i="42697"/>
  <c r="F972" i="42692"/>
  <c r="R972" i="42692" s="1"/>
  <c r="N21" i="42699" s="1"/>
  <c r="K18" i="42701" s="1"/>
  <c r="R937" i="42692"/>
  <c r="S937" i="42692" s="1"/>
  <c r="S972" i="42692" s="1"/>
  <c r="R701" i="42691"/>
  <c r="R493" i="42692"/>
  <c r="O969" i="42692"/>
  <c r="O979" i="42692" s="1"/>
  <c r="J942" i="42697"/>
  <c r="J977" i="42697" s="1"/>
  <c r="J244" i="42697"/>
  <c r="J954" i="42697"/>
  <c r="J341" i="42697"/>
  <c r="J937" i="42697"/>
  <c r="J972" i="42697" s="1"/>
  <c r="J342" i="42697"/>
  <c r="O866" i="42697" l="1"/>
  <c r="R944" i="42691"/>
  <c r="S976" i="42697"/>
  <c r="J245" i="42696"/>
  <c r="R882" i="42692"/>
  <c r="M962" i="42697"/>
  <c r="N25" i="42699"/>
  <c r="K22" i="42701" s="1"/>
  <c r="Q962" i="42697"/>
  <c r="L245" i="42696"/>
  <c r="J866" i="42697"/>
  <c r="F674" i="42698"/>
  <c r="V14" i="42699" s="1"/>
  <c r="K245" i="42696"/>
  <c r="F245" i="42696"/>
  <c r="O981" i="42692"/>
  <c r="O980" i="42692"/>
  <c r="H980" i="42691"/>
  <c r="H981" i="42691"/>
  <c r="N981" i="42692"/>
  <c r="N980" i="42692"/>
  <c r="G981" i="42692"/>
  <c r="G980" i="42692"/>
  <c r="J981" i="42692"/>
  <c r="J980" i="42692"/>
  <c r="L980" i="42691"/>
  <c r="L981" i="42691"/>
  <c r="K981" i="42692"/>
  <c r="K980" i="42692"/>
  <c r="P121" i="42697"/>
  <c r="Q118" i="42697"/>
  <c r="Q121" i="42697" s="1"/>
  <c r="M981" i="42692"/>
  <c r="M980" i="42692"/>
  <c r="H245" i="42696"/>
  <c r="R20" i="42699"/>
  <c r="N17" i="42701" s="1"/>
  <c r="S975" i="42697"/>
  <c r="F780" i="42697"/>
  <c r="D259" i="42696"/>
  <c r="P259" i="42696" s="1"/>
  <c r="D208" i="42696"/>
  <c r="D238" i="42696" s="1"/>
  <c r="P238" i="42696" s="1"/>
  <c r="P160" i="42696"/>
  <c r="P208" i="42696" s="1"/>
  <c r="E37" i="42702"/>
  <c r="P984" i="42697"/>
  <c r="P883" i="42697"/>
  <c r="R984" i="42692"/>
  <c r="R883" i="42692"/>
  <c r="I245" i="42696"/>
  <c r="K962" i="42697"/>
  <c r="P981" i="42692"/>
  <c r="P980" i="42692"/>
  <c r="F991" i="42689"/>
  <c r="F992" i="42689"/>
  <c r="L990" i="42689"/>
  <c r="L866" i="42697"/>
  <c r="S924" i="42692"/>
  <c r="R17" i="42699"/>
  <c r="N15" i="42701" s="1"/>
  <c r="S974" i="42697"/>
  <c r="F144" i="42698"/>
  <c r="R165" i="42697"/>
  <c r="R939" i="42697"/>
  <c r="S939" i="42697" s="1"/>
  <c r="Y17" i="42699"/>
  <c r="E42" i="42701" s="1"/>
  <c r="D712" i="42698"/>
  <c r="M25" i="42699"/>
  <c r="J22" i="42701" s="1"/>
  <c r="S978" i="42691"/>
  <c r="R969" i="42692"/>
  <c r="R979" i="42692" s="1"/>
  <c r="G981" i="42691"/>
  <c r="G980" i="42691"/>
  <c r="E33" i="42702"/>
  <c r="D248" i="42696"/>
  <c r="P248" i="42696" s="1"/>
  <c r="D197" i="42696"/>
  <c r="D161" i="42696"/>
  <c r="D175" i="42696" s="1"/>
  <c r="P151" i="42696"/>
  <c r="F34" i="42697"/>
  <c r="P147" i="42696"/>
  <c r="P148" i="42696" s="1"/>
  <c r="M966" i="42697"/>
  <c r="M979" i="42697" s="1"/>
  <c r="M944" i="42697"/>
  <c r="S943" i="42692"/>
  <c r="S978" i="42692" s="1"/>
  <c r="Q966" i="42697"/>
  <c r="N980" i="42691"/>
  <c r="N981" i="42691"/>
  <c r="M21" i="42699"/>
  <c r="J18" i="42701" s="1"/>
  <c r="S972" i="42691"/>
  <c r="S939" i="42692"/>
  <c r="S974" i="42692" s="1"/>
  <c r="R927" i="42691"/>
  <c r="E245" i="42696"/>
  <c r="P449" i="42697"/>
  <c r="P457" i="42697" s="1"/>
  <c r="Q446" i="42697"/>
  <c r="Q449" i="42697" s="1"/>
  <c r="Q457" i="42697" s="1"/>
  <c r="R19" i="42701"/>
  <c r="AA22" i="42699"/>
  <c r="U22" i="42699"/>
  <c r="AF22" i="42699"/>
  <c r="AD22" i="42699"/>
  <c r="S941" i="42697"/>
  <c r="F374" i="42697"/>
  <c r="D258" i="42696"/>
  <c r="P258" i="42696" s="1"/>
  <c r="D203" i="42696"/>
  <c r="P157" i="42696"/>
  <c r="E36" i="42702"/>
  <c r="O627" i="42689"/>
  <c r="P621" i="42689"/>
  <c r="I966" i="42697"/>
  <c r="I944" i="42697"/>
  <c r="N882" i="42697"/>
  <c r="O973" i="42697"/>
  <c r="N13" i="42699"/>
  <c r="H981" i="42692"/>
  <c r="H980" i="42692"/>
  <c r="M23" i="42699"/>
  <c r="J20" i="42701" s="1"/>
  <c r="S973" i="42691"/>
  <c r="M245" i="42696"/>
  <c r="O882" i="42697"/>
  <c r="O961" i="42697"/>
  <c r="O962" i="42697" s="1"/>
  <c r="N24" i="42699"/>
  <c r="K21" i="42701" s="1"/>
  <c r="J980" i="42691"/>
  <c r="J981" i="42691"/>
  <c r="M13" i="42699"/>
  <c r="S966" i="42691"/>
  <c r="R979" i="42691"/>
  <c r="M22" i="42699"/>
  <c r="J19" i="42701" s="1"/>
  <c r="S976" i="42691"/>
  <c r="R969" i="42691"/>
  <c r="J882" i="42697"/>
  <c r="F227" i="42697"/>
  <c r="D207" i="42696"/>
  <c r="D255" i="42696"/>
  <c r="P255" i="42696" s="1"/>
  <c r="P154" i="42696"/>
  <c r="P966" i="42697"/>
  <c r="N245" i="42696"/>
  <c r="K966" i="42697"/>
  <c r="K944" i="42697"/>
  <c r="Q984" i="42692"/>
  <c r="Q883" i="42692"/>
  <c r="O981" i="42691"/>
  <c r="O980" i="42691"/>
  <c r="R961" i="42691"/>
  <c r="R962" i="42691" s="1"/>
  <c r="L966" i="42697"/>
  <c r="L944" i="42697"/>
  <c r="R961" i="42692"/>
  <c r="R962" i="42692" s="1"/>
  <c r="I977" i="42697"/>
  <c r="M981" i="42691"/>
  <c r="M980" i="42691"/>
  <c r="D250" i="42696"/>
  <c r="P250" i="42696" s="1"/>
  <c r="D199" i="42696"/>
  <c r="P153" i="42696"/>
  <c r="F111" i="42697"/>
  <c r="F409" i="42697"/>
  <c r="P158" i="42696"/>
  <c r="E32" i="42702"/>
  <c r="AA14" i="42699"/>
  <c r="U14" i="42699"/>
  <c r="AE14" i="42699" s="1"/>
  <c r="M984" i="42697"/>
  <c r="M883" i="42697"/>
  <c r="P973" i="42697"/>
  <c r="R866" i="42691"/>
  <c r="O245" i="42696"/>
  <c r="J971" i="42697"/>
  <c r="H866" i="42697"/>
  <c r="M20" i="42699"/>
  <c r="J17" i="42701" s="1"/>
  <c r="S975" i="42691"/>
  <c r="N935" i="42690"/>
  <c r="N924" i="42690"/>
  <c r="G882" i="42697"/>
  <c r="G961" i="42697"/>
  <c r="G962" i="42697" s="1"/>
  <c r="N977" i="42697"/>
  <c r="G971" i="42697"/>
  <c r="O977" i="42697"/>
  <c r="K977" i="42697"/>
  <c r="F324" i="42697"/>
  <c r="D257" i="42696"/>
  <c r="P257" i="42696" s="1"/>
  <c r="D202" i="42696"/>
  <c r="P156" i="42696"/>
  <c r="E35" i="42702"/>
  <c r="M981" i="42689"/>
  <c r="M990" i="42689" s="1"/>
  <c r="M955" i="42689"/>
  <c r="I882" i="42697"/>
  <c r="N961" i="42697"/>
  <c r="N962" i="42697" s="1"/>
  <c r="N966" i="42697"/>
  <c r="N944" i="42697"/>
  <c r="Q981" i="42691"/>
  <c r="Q980" i="42691"/>
  <c r="S936" i="42692"/>
  <c r="S971" i="42692" s="1"/>
  <c r="S966" i="42692"/>
  <c r="F463" i="42698"/>
  <c r="F467" i="42698" s="1"/>
  <c r="R604" i="42697"/>
  <c r="Q971" i="42697"/>
  <c r="O934" i="42697"/>
  <c r="O969" i="42697" s="1"/>
  <c r="O129" i="42697"/>
  <c r="J961" i="42697"/>
  <c r="J962" i="42697" s="1"/>
  <c r="J966" i="42697"/>
  <c r="J944" i="42697"/>
  <c r="I981" i="42691"/>
  <c r="I980" i="42691"/>
  <c r="F195" i="42698"/>
  <c r="R200" i="42697"/>
  <c r="R940" i="42697"/>
  <c r="S940" i="42697" s="1"/>
  <c r="P961" i="42697"/>
  <c r="P962" i="42697" s="1"/>
  <c r="L979" i="42690"/>
  <c r="K984" i="42697"/>
  <c r="K883" i="42697"/>
  <c r="P980" i="42691"/>
  <c r="P981" i="42691"/>
  <c r="M19" i="42699"/>
  <c r="J16" i="42701" s="1"/>
  <c r="S971" i="42691"/>
  <c r="K984" i="42692"/>
  <c r="K883" i="42692"/>
  <c r="M984" i="42692"/>
  <c r="M883" i="42692"/>
  <c r="I12" i="42701"/>
  <c r="Y20" i="42699"/>
  <c r="E44" i="42701" s="1"/>
  <c r="D713" i="42698"/>
  <c r="L882" i="42697"/>
  <c r="L961" i="42697"/>
  <c r="L962" i="42697" s="1"/>
  <c r="F439" i="42697"/>
  <c r="P159" i="42696"/>
  <c r="D192" i="42696"/>
  <c r="D193" i="42696" s="1"/>
  <c r="P179" i="42696"/>
  <c r="F81" i="42697"/>
  <c r="D249" i="42696"/>
  <c r="P249" i="42696" s="1"/>
  <c r="D198" i="42696"/>
  <c r="P152" i="42696"/>
  <c r="H966" i="42697"/>
  <c r="H944" i="42697"/>
  <c r="M970" i="42690"/>
  <c r="M979" i="42690" s="1"/>
  <c r="M944" i="42690"/>
  <c r="E21" i="42702"/>
  <c r="U26" i="42701"/>
  <c r="Q27" i="42701"/>
  <c r="U27" i="42701" s="1"/>
  <c r="G966" i="42697"/>
  <c r="G979" i="42697" s="1"/>
  <c r="G944" i="42697"/>
  <c r="F329" i="42698"/>
  <c r="F334" i="42698" s="1"/>
  <c r="R493" i="42697"/>
  <c r="N946" i="42689"/>
  <c r="N935" i="42689"/>
  <c r="I961" i="42697"/>
  <c r="I962" i="42697" s="1"/>
  <c r="N866" i="42697"/>
  <c r="F979" i="42692"/>
  <c r="O984" i="42697"/>
  <c r="O883" i="42697"/>
  <c r="S942" i="42692"/>
  <c r="S977" i="42692" s="1"/>
  <c r="F979" i="42691"/>
  <c r="H973" i="42697"/>
  <c r="H984" i="42691"/>
  <c r="H883" i="42691"/>
  <c r="J984" i="42697"/>
  <c r="J883" i="42697"/>
  <c r="L977" i="42697"/>
  <c r="H984" i="42692"/>
  <c r="H883" i="42692"/>
  <c r="I981" i="42692"/>
  <c r="I980" i="42692"/>
  <c r="G972" i="42697"/>
  <c r="G984" i="42691"/>
  <c r="G883" i="42691"/>
  <c r="K971" i="42697"/>
  <c r="S940" i="42692"/>
  <c r="S975" i="42692" s="1"/>
  <c r="R927" i="42692"/>
  <c r="H12" i="42701"/>
  <c r="S961" i="42691"/>
  <c r="M24" i="42699"/>
  <c r="J21" i="42701" s="1"/>
  <c r="S977" i="42691"/>
  <c r="F980" i="42690"/>
  <c r="F981" i="42690"/>
  <c r="S957" i="42697"/>
  <c r="O926" i="42692"/>
  <c r="P926" i="42691"/>
  <c r="K981" i="42691"/>
  <c r="K980" i="42691"/>
  <c r="L981" i="42692"/>
  <c r="L980" i="42692"/>
  <c r="I972" i="42697"/>
  <c r="S922" i="42692"/>
  <c r="Q981" i="42692"/>
  <c r="Q980" i="42692"/>
  <c r="M17" i="42699"/>
  <c r="J15" i="42701" s="1"/>
  <c r="S974" i="42691"/>
  <c r="Q866" i="42697"/>
  <c r="O984" i="42692"/>
  <c r="O883" i="42692"/>
  <c r="H961" i="42697"/>
  <c r="H962" i="42697" s="1"/>
  <c r="O616" i="42690"/>
  <c r="P610" i="42690"/>
  <c r="AD30" i="42699"/>
  <c r="P971" i="42697"/>
  <c r="K984" i="42691"/>
  <c r="K883" i="42691"/>
  <c r="G866" i="42697"/>
  <c r="L971" i="42697"/>
  <c r="K972" i="42697"/>
  <c r="F281" i="42697"/>
  <c r="D256" i="42696"/>
  <c r="P256" i="42696" s="1"/>
  <c r="D201" i="42696"/>
  <c r="P155" i="42696"/>
  <c r="E34" i="42702"/>
  <c r="I866" i="42697"/>
  <c r="N972" i="42697"/>
  <c r="S955" i="42692"/>
  <c r="S973" i="42692" s="1"/>
  <c r="N19" i="42699"/>
  <c r="K16" i="42701" s="1"/>
  <c r="R944" i="42692"/>
  <c r="O924" i="42697"/>
  <c r="O966" i="42697"/>
  <c r="O979" i="42697" s="1"/>
  <c r="O944" i="42697"/>
  <c r="J979" i="42697" l="1"/>
  <c r="AE22" i="42699"/>
  <c r="O980" i="42697"/>
  <c r="O981" i="42697"/>
  <c r="I984" i="42697"/>
  <c r="I883" i="42697"/>
  <c r="P616" i="42690"/>
  <c r="Q610" i="42690"/>
  <c r="Q616" i="42690" s="1"/>
  <c r="S961" i="42692"/>
  <c r="N984" i="42697"/>
  <c r="N883" i="42697"/>
  <c r="F21" i="42702"/>
  <c r="E22" i="42702"/>
  <c r="M981" i="42690"/>
  <c r="M980" i="42690"/>
  <c r="H979" i="42697"/>
  <c r="H10" i="42700"/>
  <c r="P192" i="42696"/>
  <c r="P193" i="42696" s="1"/>
  <c r="L980" i="42690"/>
  <c r="L981" i="42690"/>
  <c r="S944" i="42692"/>
  <c r="N979" i="42697"/>
  <c r="M992" i="42689"/>
  <c r="M991" i="42689"/>
  <c r="D232" i="42696"/>
  <c r="P232" i="42696" s="1"/>
  <c r="P202" i="42696"/>
  <c r="F846" i="42697"/>
  <c r="F323" i="42697"/>
  <c r="F335" i="42697"/>
  <c r="R335" i="42697" s="1"/>
  <c r="F220" i="42698" s="1"/>
  <c r="F344" i="42697"/>
  <c r="R344" i="42697" s="1"/>
  <c r="F334" i="42697"/>
  <c r="N970" i="42690"/>
  <c r="N979" i="42690" s="1"/>
  <c r="N944" i="42690"/>
  <c r="R984" i="42691"/>
  <c r="R883" i="42691"/>
  <c r="F844" i="42697"/>
  <c r="F131" i="42697"/>
  <c r="R131" i="42697" s="1"/>
  <c r="F110" i="42697"/>
  <c r="F122" i="42697"/>
  <c r="P199" i="42696"/>
  <c r="D230" i="42696"/>
  <c r="P230" i="42696" s="1"/>
  <c r="K979" i="42697"/>
  <c r="F858" i="42697"/>
  <c r="R227" i="42697"/>
  <c r="F263" i="42698" s="1"/>
  <c r="F545" i="42698" s="1"/>
  <c r="F226" i="42697"/>
  <c r="F241" i="42697"/>
  <c r="M16" i="42699"/>
  <c r="J14" i="42701" s="1"/>
  <c r="S969" i="42691"/>
  <c r="R981" i="42692"/>
  <c r="R980" i="42692"/>
  <c r="P627" i="42689"/>
  <c r="Q621" i="42689"/>
  <c r="Q627" i="42689" s="1"/>
  <c r="P161" i="42696"/>
  <c r="P175" i="42696" s="1"/>
  <c r="F720" i="42698" s="1"/>
  <c r="P197" i="42696"/>
  <c r="D228" i="42696"/>
  <c r="D209" i="42696"/>
  <c r="D210" i="42696" s="1"/>
  <c r="N16" i="42699"/>
  <c r="K14" i="42701" s="1"/>
  <c r="L991" i="42689"/>
  <c r="L992" i="42689"/>
  <c r="F863" i="42697"/>
  <c r="F779" i="42697"/>
  <c r="Q129" i="42697"/>
  <c r="Q934" i="42697"/>
  <c r="Q924" i="42697"/>
  <c r="D231" i="42696"/>
  <c r="P231" i="42696" s="1"/>
  <c r="P201" i="42696"/>
  <c r="F845" i="42697"/>
  <c r="F280" i="42697"/>
  <c r="F293" i="42697"/>
  <c r="R293" i="42697" s="1"/>
  <c r="F175" i="42698" s="1"/>
  <c r="F302" i="42697"/>
  <c r="R302" i="42697" s="1"/>
  <c r="F292" i="42697"/>
  <c r="G984" i="42697"/>
  <c r="G883" i="42697"/>
  <c r="O935" i="42690"/>
  <c r="O924" i="42690"/>
  <c r="Q984" i="42697"/>
  <c r="Q883" i="42697"/>
  <c r="P926" i="42692"/>
  <c r="Q926" i="42691"/>
  <c r="Q926" i="42692" s="1"/>
  <c r="N33" i="42699"/>
  <c r="S927" i="42692"/>
  <c r="F980" i="42691"/>
  <c r="F981" i="42691"/>
  <c r="F981" i="42692"/>
  <c r="F980" i="42692"/>
  <c r="N981" i="42689"/>
  <c r="N990" i="42689" s="1"/>
  <c r="N955" i="42689"/>
  <c r="G980" i="42697"/>
  <c r="G981" i="42697"/>
  <c r="D229" i="42696"/>
  <c r="P229" i="42696" s="1"/>
  <c r="P198" i="42696"/>
  <c r="F843" i="42697"/>
  <c r="R81" i="42697"/>
  <c r="F98" i="42698" s="1"/>
  <c r="F85" i="42697"/>
  <c r="F89" i="42697"/>
  <c r="R89" i="42697" s="1"/>
  <c r="F86" i="42697"/>
  <c r="F849" i="42697"/>
  <c r="R849" i="42697" s="1"/>
  <c r="F438" i="42697"/>
  <c r="F459" i="42697"/>
  <c r="R459" i="42697" s="1"/>
  <c r="F450" i="42697"/>
  <c r="F199" i="42698"/>
  <c r="F646" i="42698"/>
  <c r="F682" i="42698" s="1"/>
  <c r="V20" i="42699" s="1"/>
  <c r="J981" i="42697"/>
  <c r="J980" i="42697"/>
  <c r="S979" i="42692"/>
  <c r="S980" i="42692" s="1"/>
  <c r="H984" i="42697"/>
  <c r="H883" i="42697"/>
  <c r="F848" i="42697"/>
  <c r="R848" i="42697" s="1"/>
  <c r="R409" i="42697"/>
  <c r="F284" i="42698" s="1"/>
  <c r="F413" i="42697"/>
  <c r="F414" i="42697"/>
  <c r="R414" i="42697" s="1"/>
  <c r="F417" i="42697"/>
  <c r="R417" i="42697" s="1"/>
  <c r="L979" i="42697"/>
  <c r="D237" i="42696"/>
  <c r="P207" i="42696"/>
  <c r="R980" i="42691"/>
  <c r="R981" i="42691"/>
  <c r="J12" i="42701"/>
  <c r="N26" i="42699"/>
  <c r="N31" i="42699" s="1"/>
  <c r="K12" i="42701"/>
  <c r="K23" i="42701" s="1"/>
  <c r="K28" i="42701" s="1"/>
  <c r="I979" i="42697"/>
  <c r="O946" i="42689"/>
  <c r="O935" i="42689"/>
  <c r="D233" i="42696"/>
  <c r="P233" i="42696" s="1"/>
  <c r="P203" i="42696"/>
  <c r="F847" i="42697"/>
  <c r="F373" i="42697"/>
  <c r="F388" i="42697"/>
  <c r="F398" i="42697"/>
  <c r="R398" i="42697" s="1"/>
  <c r="F389" i="42697"/>
  <c r="R389" i="42697" s="1"/>
  <c r="F248" i="42698" s="1"/>
  <c r="T46" i="42701"/>
  <c r="G46" i="42701"/>
  <c r="T19" i="42701"/>
  <c r="Q19" i="42701"/>
  <c r="U19" i="42701" s="1"/>
  <c r="T27" i="42701"/>
  <c r="M33" i="42699"/>
  <c r="J30" i="42701" s="1"/>
  <c r="S927" i="42691"/>
  <c r="M980" i="42697"/>
  <c r="M981" i="42697"/>
  <c r="F841" i="42697"/>
  <c r="R34" i="42697"/>
  <c r="F61" i="42698" s="1"/>
  <c r="F39" i="42697"/>
  <c r="F42" i="42697"/>
  <c r="F38" i="42697"/>
  <c r="F983" i="42697"/>
  <c r="R983" i="42697" s="1"/>
  <c r="D260" i="42696"/>
  <c r="P260" i="42696" s="1"/>
  <c r="F149" i="42698"/>
  <c r="F645" i="42698"/>
  <c r="F681" i="42698" s="1"/>
  <c r="V17" i="42699" s="1"/>
  <c r="L984" i="42697"/>
  <c r="L883" i="42697"/>
  <c r="P934" i="42697"/>
  <c r="P129" i="42697"/>
  <c r="P924" i="42697"/>
  <c r="R42" i="42697" l="1"/>
  <c r="I980" i="42697"/>
  <c r="I981" i="42697"/>
  <c r="P237" i="42696"/>
  <c r="D243" i="42696"/>
  <c r="P243" i="42696" s="1"/>
  <c r="L981" i="42697"/>
  <c r="L980" i="42697"/>
  <c r="F535" i="42698"/>
  <c r="F292" i="42698"/>
  <c r="F289" i="42698"/>
  <c r="F456" i="42697"/>
  <c r="R450" i="42697"/>
  <c r="R456" i="42697" s="1"/>
  <c r="R438" i="42697"/>
  <c r="R439" i="42697" s="1"/>
  <c r="F303" i="42698" s="1"/>
  <c r="F448" i="42697"/>
  <c r="F950" i="42697"/>
  <c r="R950" i="42697" s="1"/>
  <c r="S950" i="42697" s="1"/>
  <c r="R86" i="42697"/>
  <c r="R85" i="42697"/>
  <c r="F933" i="42697"/>
  <c r="F87" i="42697"/>
  <c r="F872" i="42697"/>
  <c r="R843" i="42697"/>
  <c r="F953" i="42697"/>
  <c r="R953" i="42697" s="1"/>
  <c r="S953" i="42697" s="1"/>
  <c r="F299" i="42697"/>
  <c r="R292" i="42697"/>
  <c r="R299" i="42697" s="1"/>
  <c r="F874" i="42697"/>
  <c r="R845" i="42697"/>
  <c r="Q969" i="42697"/>
  <c r="Q979" i="42697" s="1"/>
  <c r="Q944" i="42697"/>
  <c r="F791" i="42697"/>
  <c r="R779" i="42697"/>
  <c r="R780" i="42697" s="1"/>
  <c r="F474" i="42698" s="1"/>
  <c r="F550" i="42698" s="1"/>
  <c r="F568" i="42698" s="1"/>
  <c r="D242" i="42696"/>
  <c r="D239" i="42696"/>
  <c r="D240" i="42696" s="1"/>
  <c r="P228" i="42696"/>
  <c r="P239" i="42696" s="1"/>
  <c r="Q946" i="42689"/>
  <c r="Q935" i="42689"/>
  <c r="R627" i="42689"/>
  <c r="R226" i="42697"/>
  <c r="F239" i="42697"/>
  <c r="R858" i="42697"/>
  <c r="F880" i="42697"/>
  <c r="F864" i="42697"/>
  <c r="F951" i="42697"/>
  <c r="R951" i="42697" s="1"/>
  <c r="S951" i="42697" s="1"/>
  <c r="F128" i="42697"/>
  <c r="R122" i="42697"/>
  <c r="R128" i="42697" s="1"/>
  <c r="N980" i="42690"/>
  <c r="N981" i="42690"/>
  <c r="R323" i="42697"/>
  <c r="R324" i="42697" s="1"/>
  <c r="F213" i="42698" s="1"/>
  <c r="F332" i="42697"/>
  <c r="N981" i="42697"/>
  <c r="N980" i="42697"/>
  <c r="H981" i="42697"/>
  <c r="H980" i="42697"/>
  <c r="I21" i="42702"/>
  <c r="I22" i="42702" s="1"/>
  <c r="F22" i="42702"/>
  <c r="P935" i="42690"/>
  <c r="P924" i="42690"/>
  <c r="P969" i="42697"/>
  <c r="P979" i="42697" s="1"/>
  <c r="P944" i="42697"/>
  <c r="D693" i="42698"/>
  <c r="F528" i="42698"/>
  <c r="F69" i="42698"/>
  <c r="F66" i="42698"/>
  <c r="R373" i="42697"/>
  <c r="R374" i="42697" s="1"/>
  <c r="F241" i="42698" s="1"/>
  <c r="F386" i="42697"/>
  <c r="R15" i="42701"/>
  <c r="AA17" i="42699"/>
  <c r="U17" i="42699"/>
  <c r="AE17" i="42699" s="1"/>
  <c r="R38" i="42697"/>
  <c r="F931" i="42697"/>
  <c r="F40" i="42697"/>
  <c r="F948" i="42697"/>
  <c r="R39" i="42697"/>
  <c r="R948" i="42697" s="1"/>
  <c r="F922" i="42697"/>
  <c r="R922" i="42697" s="1"/>
  <c r="F870" i="42697"/>
  <c r="R841" i="42697"/>
  <c r="F853" i="42697"/>
  <c r="F866" i="42697" s="1"/>
  <c r="F955" i="42697"/>
  <c r="R955" i="42697" s="1"/>
  <c r="S955" i="42697" s="1"/>
  <c r="F395" i="42697"/>
  <c r="R388" i="42697"/>
  <c r="R395" i="42697" s="1"/>
  <c r="F876" i="42697"/>
  <c r="R847" i="42697"/>
  <c r="O981" i="42689"/>
  <c r="O990" i="42689" s="1"/>
  <c r="O955" i="42689"/>
  <c r="R413" i="42697"/>
  <c r="F415" i="42697"/>
  <c r="R17" i="42701"/>
  <c r="AA20" i="42699"/>
  <c r="U20" i="42699"/>
  <c r="AE20" i="42699" s="1"/>
  <c r="D695" i="42698"/>
  <c r="F695" i="42698" s="1"/>
  <c r="S15" i="42699" s="1"/>
  <c r="O13" i="42701" s="1"/>
  <c r="F530" i="42698"/>
  <c r="F559" i="42698" s="1"/>
  <c r="F106" i="42698"/>
  <c r="F621" i="42698" s="1"/>
  <c r="Z15" i="42699" s="1"/>
  <c r="F40" i="42701" s="1"/>
  <c r="F103" i="42698"/>
  <c r="F657" i="42698" s="1"/>
  <c r="N991" i="42689"/>
  <c r="N992" i="42689"/>
  <c r="O970" i="42690"/>
  <c r="O979" i="42690" s="1"/>
  <c r="O944" i="42690"/>
  <c r="R280" i="42697"/>
  <c r="R281" i="42697" s="1"/>
  <c r="F168" i="42698" s="1"/>
  <c r="F290" i="42697"/>
  <c r="F881" i="42697"/>
  <c r="R863" i="42697"/>
  <c r="P209" i="42696"/>
  <c r="P210" i="42696" s="1"/>
  <c r="P946" i="42689"/>
  <c r="P935" i="42689"/>
  <c r="F959" i="42697"/>
  <c r="F246" i="42697"/>
  <c r="R246" i="42697" s="1"/>
  <c r="R241" i="42697"/>
  <c r="F567" i="42698"/>
  <c r="F551" i="42698"/>
  <c r="K980" i="42697"/>
  <c r="K981" i="42697"/>
  <c r="R110" i="42697"/>
  <c r="R111" i="42697" s="1"/>
  <c r="F118" i="42698" s="1"/>
  <c r="F120" i="42697"/>
  <c r="F873" i="42697"/>
  <c r="R844" i="42697"/>
  <c r="F954" i="42697"/>
  <c r="R954" i="42697" s="1"/>
  <c r="S954" i="42697" s="1"/>
  <c r="F341" i="42697"/>
  <c r="R334" i="42697"/>
  <c r="R341" i="42697" s="1"/>
  <c r="F875" i="42697"/>
  <c r="R846" i="42697"/>
  <c r="H21" i="42700"/>
  <c r="I10" i="42700"/>
  <c r="Q935" i="42690"/>
  <c r="R616" i="42690"/>
  <c r="Q924" i="42690"/>
  <c r="R924" i="42690" s="1"/>
  <c r="R935" i="42689" l="1"/>
  <c r="S924" i="42691" s="1"/>
  <c r="D696" i="42698"/>
  <c r="F696" i="42698" s="1"/>
  <c r="S16" i="42699" s="1"/>
  <c r="O14" i="42701" s="1"/>
  <c r="F531" i="42698"/>
  <c r="F133" i="42698"/>
  <c r="F124" i="42698"/>
  <c r="Q970" i="42690"/>
  <c r="Q944" i="42690"/>
  <c r="R935" i="42690"/>
  <c r="J12" i="42700"/>
  <c r="R873" i="42697"/>
  <c r="R120" i="42697"/>
  <c r="R121" i="42697" s="1"/>
  <c r="F121" i="42697"/>
  <c r="R959" i="42697"/>
  <c r="S959" i="42697" s="1"/>
  <c r="F270" i="42698"/>
  <c r="P981" i="42689"/>
  <c r="P990" i="42689" s="1"/>
  <c r="P955" i="42689"/>
  <c r="J20" i="42700"/>
  <c r="R881" i="42697"/>
  <c r="R290" i="42697"/>
  <c r="R291" i="42697" s="1"/>
  <c r="F291" i="42697"/>
  <c r="D707" i="42698"/>
  <c r="E707" i="42698" s="1"/>
  <c r="Y15" i="42699"/>
  <c r="E40" i="42701" s="1"/>
  <c r="H12" i="42702" s="1"/>
  <c r="G44" i="42701"/>
  <c r="T44" i="42701" s="1"/>
  <c r="Q17" i="42701"/>
  <c r="U17" i="42701" s="1"/>
  <c r="F288" i="42698"/>
  <c r="F290" i="42698" s="1"/>
  <c r="R415" i="42697"/>
  <c r="O992" i="42689"/>
  <c r="O991" i="42689"/>
  <c r="F984" i="42697"/>
  <c r="F882" i="42697"/>
  <c r="F883" i="42697" s="1"/>
  <c r="S948" i="42697"/>
  <c r="S961" i="42697" s="1"/>
  <c r="R961" i="42697"/>
  <c r="R962" i="42697" s="1"/>
  <c r="F966" i="42697"/>
  <c r="R931" i="42697"/>
  <c r="G42" i="42701"/>
  <c r="T42" i="42701" s="1"/>
  <c r="Q15" i="42701"/>
  <c r="U15" i="42701" s="1"/>
  <c r="D699" i="42698"/>
  <c r="F699" i="42698" s="1"/>
  <c r="S23" i="42699" s="1"/>
  <c r="O20" i="42701" s="1"/>
  <c r="F534" i="42698"/>
  <c r="F563" i="42698" s="1"/>
  <c r="F257" i="42698"/>
  <c r="F626" i="42698" s="1"/>
  <c r="Z23" i="42699" s="1"/>
  <c r="F47" i="42701" s="1"/>
  <c r="F247" i="42698"/>
  <c r="F619" i="42698"/>
  <c r="F693" i="42698"/>
  <c r="P981" i="42697"/>
  <c r="P980" i="42697"/>
  <c r="P970" i="42690"/>
  <c r="P979" i="42690" s="1"/>
  <c r="P944" i="42690"/>
  <c r="D698" i="42698"/>
  <c r="F698" i="42698" s="1"/>
  <c r="S21" i="42699" s="1"/>
  <c r="O18" i="42701" s="1"/>
  <c r="F533" i="42698"/>
  <c r="F562" i="42698" s="1"/>
  <c r="F229" i="42698"/>
  <c r="F625" i="42698" s="1"/>
  <c r="Z21" i="42699" s="1"/>
  <c r="F45" i="42701" s="1"/>
  <c r="F219" i="42698"/>
  <c r="J19" i="42700"/>
  <c r="L19" i="42700" s="1"/>
  <c r="R880" i="42697"/>
  <c r="R864" i="42697"/>
  <c r="P240" i="42696"/>
  <c r="D244" i="42696"/>
  <c r="D245" i="42696" s="1"/>
  <c r="P242" i="42696"/>
  <c r="P244" i="42696" s="1"/>
  <c r="P245" i="42696" s="1"/>
  <c r="R791" i="42697"/>
  <c r="R792" i="42697" s="1"/>
  <c r="F792" i="42697"/>
  <c r="Q980" i="42697"/>
  <c r="Q981" i="42697"/>
  <c r="J11" i="42700"/>
  <c r="R872" i="42697"/>
  <c r="F102" i="42698"/>
  <c r="R87" i="42697"/>
  <c r="F536" i="42698"/>
  <c r="F318" i="42698"/>
  <c r="F309" i="42698"/>
  <c r="F315" i="42698" s="1"/>
  <c r="F927" i="42697"/>
  <c r="R927" i="42697" s="1"/>
  <c r="E31" i="42702"/>
  <c r="E39" i="42702" s="1"/>
  <c r="I21" i="42700"/>
  <c r="J16" i="42700"/>
  <c r="R875" i="42697"/>
  <c r="F532" i="42698"/>
  <c r="F561" i="42698" s="1"/>
  <c r="F184" i="42698"/>
  <c r="F624" i="42698" s="1"/>
  <c r="Z19" i="42699" s="1"/>
  <c r="F43" i="42701" s="1"/>
  <c r="F174" i="42698"/>
  <c r="D697" i="42698"/>
  <c r="F697" i="42698" s="1"/>
  <c r="S19" i="42699" s="1"/>
  <c r="O16" i="42701" s="1"/>
  <c r="O981" i="42690"/>
  <c r="O980" i="42690"/>
  <c r="J18" i="42700"/>
  <c r="R876" i="42697"/>
  <c r="R870" i="42697"/>
  <c r="J10" i="42700"/>
  <c r="R853" i="42697"/>
  <c r="R866" i="42697" s="1"/>
  <c r="F961" i="42697"/>
  <c r="F962" i="42697" s="1"/>
  <c r="F65" i="42698"/>
  <c r="R40" i="42697"/>
  <c r="R386" i="42697"/>
  <c r="R387" i="42697" s="1"/>
  <c r="F387" i="42697"/>
  <c r="D705" i="42698"/>
  <c r="E705" i="42698" s="1"/>
  <c r="F655" i="42698"/>
  <c r="F609" i="42698"/>
  <c r="F557" i="42698"/>
  <c r="F540" i="42698"/>
  <c r="F553" i="42698" s="1"/>
  <c r="R332" i="42697"/>
  <c r="R333" i="42697" s="1"/>
  <c r="F333" i="42697"/>
  <c r="R239" i="42697"/>
  <c r="F240" i="42697"/>
  <c r="Q981" i="42689"/>
  <c r="Q955" i="42689"/>
  <c r="R946" i="42689"/>
  <c r="R955" i="42689" s="1"/>
  <c r="J14" i="42700"/>
  <c r="R874" i="42697"/>
  <c r="F968" i="42697"/>
  <c r="R968" i="42697" s="1"/>
  <c r="R933" i="42697"/>
  <c r="S933" i="42697" s="1"/>
  <c r="R448" i="42697"/>
  <c r="R449" i="42697" s="1"/>
  <c r="F449" i="42697"/>
  <c r="F457" i="42697" s="1"/>
  <c r="R882" i="42697" l="1"/>
  <c r="F246" i="42698"/>
  <c r="R396" i="42697"/>
  <c r="F67" i="42698"/>
  <c r="F637" i="42698"/>
  <c r="R984" i="42697"/>
  <c r="R883" i="42697"/>
  <c r="F36" i="42702"/>
  <c r="L18" i="42700"/>
  <c r="F660" i="42698"/>
  <c r="F181" i="42698"/>
  <c r="F35" i="42702"/>
  <c r="L16" i="42700"/>
  <c r="Q990" i="42689"/>
  <c r="R981" i="42689"/>
  <c r="F218" i="42698"/>
  <c r="R342" i="42697"/>
  <c r="Y13" i="42699"/>
  <c r="F396" i="42697"/>
  <c r="F938" i="42697"/>
  <c r="F31" i="42702"/>
  <c r="J21" i="42700"/>
  <c r="M21" i="42700" s="1"/>
  <c r="L10" i="42700"/>
  <c r="F104" i="42698"/>
  <c r="F639" i="42698"/>
  <c r="F675" i="42698" s="1"/>
  <c r="V15" i="42699" s="1"/>
  <c r="F32" i="42702"/>
  <c r="L11" i="42700"/>
  <c r="F479" i="42698"/>
  <c r="R794" i="42697"/>
  <c r="P980" i="42690"/>
  <c r="P981" i="42690"/>
  <c r="S13" i="42699"/>
  <c r="F700" i="42698"/>
  <c r="Z13" i="42699"/>
  <c r="T15" i="42701"/>
  <c r="S931" i="42697"/>
  <c r="T17" i="42701"/>
  <c r="F173" i="42698"/>
  <c r="R300" i="42697"/>
  <c r="F37" i="42702"/>
  <c r="L20" i="42700"/>
  <c r="P991" i="42689"/>
  <c r="P992" i="42689"/>
  <c r="F123" i="42698"/>
  <c r="R129" i="42697"/>
  <c r="F33" i="42702"/>
  <c r="L12" i="42700"/>
  <c r="F658" i="42698"/>
  <c r="F130" i="42698"/>
  <c r="F560" i="42698"/>
  <c r="F569" i="42698" s="1"/>
  <c r="F570" i="42698" s="1"/>
  <c r="F308" i="42698"/>
  <c r="F316" i="42698" s="1"/>
  <c r="R457" i="42697"/>
  <c r="R15" i="42699"/>
  <c r="N13" i="42701" s="1"/>
  <c r="S968" i="42697"/>
  <c r="F34" i="42702"/>
  <c r="L14" i="42700"/>
  <c r="R240" i="42697"/>
  <c r="F244" i="42697"/>
  <c r="F942" i="42697"/>
  <c r="F977" i="42697" s="1"/>
  <c r="R977" i="42697" s="1"/>
  <c r="F937" i="42697"/>
  <c r="F342" i="42697"/>
  <c r="F721" i="42698"/>
  <c r="R33" i="42699"/>
  <c r="N30" i="42701" s="1"/>
  <c r="S927" i="42697"/>
  <c r="F943" i="42697"/>
  <c r="F794" i="42697"/>
  <c r="F661" i="42698"/>
  <c r="F226" i="42698"/>
  <c r="D700" i="42698"/>
  <c r="F662" i="42698"/>
  <c r="F254" i="42698"/>
  <c r="R966" i="42697"/>
  <c r="F300" i="42697"/>
  <c r="F936" i="42697"/>
  <c r="F666" i="42698"/>
  <c r="F275" i="42698"/>
  <c r="F630" i="42698" s="1"/>
  <c r="Z24" i="42699" s="1"/>
  <c r="F48" i="42701" s="1"/>
  <c r="F934" i="42697"/>
  <c r="F129" i="42697"/>
  <c r="F924" i="42697"/>
  <c r="R924" i="42697" s="1"/>
  <c r="S935" i="42690"/>
  <c r="S935" i="42691"/>
  <c r="S944" i="42691" s="1"/>
  <c r="R944" i="42690"/>
  <c r="S944" i="42690" s="1"/>
  <c r="Q979" i="42690"/>
  <c r="R970" i="42690"/>
  <c r="F622" i="42698"/>
  <c r="Z16" i="42699" s="1"/>
  <c r="F41" i="42701" s="1"/>
  <c r="F969" i="42697" l="1"/>
  <c r="R934" i="42697"/>
  <c r="F944" i="42697"/>
  <c r="Y24" i="42699"/>
  <c r="E48" i="42701" s="1"/>
  <c r="D715" i="42698"/>
  <c r="R13" i="42699"/>
  <c r="S966" i="42697"/>
  <c r="Y23" i="42699"/>
  <c r="E47" i="42701" s="1"/>
  <c r="H16" i="42702" s="1"/>
  <c r="D711" i="42698"/>
  <c r="E711" i="42698" s="1"/>
  <c r="Y21" i="42699"/>
  <c r="E45" i="42701" s="1"/>
  <c r="H15" i="42702" s="1"/>
  <c r="D710" i="42698"/>
  <c r="E710" i="42698" s="1"/>
  <c r="F978" i="42697"/>
  <c r="R978" i="42697" s="1"/>
  <c r="R943" i="42697"/>
  <c r="S943" i="42697" s="1"/>
  <c r="F972" i="42697"/>
  <c r="R972" i="42697" s="1"/>
  <c r="R937" i="42697"/>
  <c r="S937" i="42697" s="1"/>
  <c r="Y16" i="42699"/>
  <c r="E41" i="42701" s="1"/>
  <c r="H13" i="42702" s="1"/>
  <c r="D708" i="42698"/>
  <c r="E708" i="42698" s="1"/>
  <c r="F640" i="42698"/>
  <c r="F676" i="42698" s="1"/>
  <c r="V16" i="42699" s="1"/>
  <c r="F131" i="42698"/>
  <c r="F182" i="42698"/>
  <c r="F642" i="42698"/>
  <c r="F678" i="42698" s="1"/>
  <c r="V19" i="42699" s="1"/>
  <c r="F39" i="42701"/>
  <c r="F50" i="42701" s="1"/>
  <c r="Z26" i="42699"/>
  <c r="S26" i="42699"/>
  <c r="O12" i="42701"/>
  <c r="O23" i="42701" s="1"/>
  <c r="F481" i="42698"/>
  <c r="F649" i="42698"/>
  <c r="F685" i="42698" s="1"/>
  <c r="V25" i="42699" s="1"/>
  <c r="F973" i="42697"/>
  <c r="R973" i="42697" s="1"/>
  <c r="R938" i="42697"/>
  <c r="S938" i="42697" s="1"/>
  <c r="F668" i="42698"/>
  <c r="F643" i="42698"/>
  <c r="F679" i="42698" s="1"/>
  <c r="V21" i="42699" s="1"/>
  <c r="F227" i="42698"/>
  <c r="Q992" i="42689"/>
  <c r="Q991" i="42689"/>
  <c r="F611" i="42698"/>
  <c r="F612" i="42698" s="1"/>
  <c r="F644" i="42698"/>
  <c r="F680" i="42698" s="1"/>
  <c r="V23" i="42699" s="1"/>
  <c r="F255" i="42698"/>
  <c r="Q981" i="42690"/>
  <c r="Q980" i="42690"/>
  <c r="L18" i="42699"/>
  <c r="S970" i="42690"/>
  <c r="M18" i="42699"/>
  <c r="S970" i="42691"/>
  <c r="S979" i="42691" s="1"/>
  <c r="R979" i="42690"/>
  <c r="F971" i="42697"/>
  <c r="R971" i="42697" s="1"/>
  <c r="R936" i="42697"/>
  <c r="S936" i="42697" s="1"/>
  <c r="F615" i="42698"/>
  <c r="S33" i="42699" s="1"/>
  <c r="R24" i="42699"/>
  <c r="N21" i="42701" s="1"/>
  <c r="S977" i="42697"/>
  <c r="F269" i="42698"/>
  <c r="R942" i="42697"/>
  <c r="S942" i="42697" s="1"/>
  <c r="R244" i="42697"/>
  <c r="F632" i="42698"/>
  <c r="R13" i="42701"/>
  <c r="AA15" i="42699"/>
  <c r="AF15" i="42699" s="1"/>
  <c r="U15" i="42699"/>
  <c r="AE15" i="42699" s="1"/>
  <c r="F39" i="42702"/>
  <c r="E39" i="42701"/>
  <c r="K18" i="42699"/>
  <c r="R990" i="42689"/>
  <c r="L21" i="42700"/>
  <c r="D709" i="42698"/>
  <c r="E709" i="42698" s="1"/>
  <c r="Y19" i="42699"/>
  <c r="E43" i="42701" s="1"/>
  <c r="H14" i="42702" s="1"/>
  <c r="F673" i="42698"/>
  <c r="AE18" i="42699" l="1"/>
  <c r="H13" i="42701"/>
  <c r="H23" i="42701" s="1"/>
  <c r="K26" i="42699"/>
  <c r="H11" i="42702"/>
  <c r="H18" i="42702" s="1"/>
  <c r="H23" i="42702" s="1"/>
  <c r="E50" i="42701"/>
  <c r="AD15" i="42699"/>
  <c r="G40" i="42701"/>
  <c r="T40" i="42701" s="1"/>
  <c r="Q13" i="42701"/>
  <c r="R18" i="42701"/>
  <c r="AA21" i="42699"/>
  <c r="AF21" i="42699" s="1"/>
  <c r="U21" i="42699"/>
  <c r="R22" i="42701"/>
  <c r="AA25" i="42699"/>
  <c r="U25" i="42699"/>
  <c r="AF25" i="42699"/>
  <c r="AD25" i="42699"/>
  <c r="O60" i="42701"/>
  <c r="O28" i="42701"/>
  <c r="V33" i="42699"/>
  <c r="F47" i="42699"/>
  <c r="R16" i="42701"/>
  <c r="AA19" i="42699"/>
  <c r="AF19" i="42699" s="1"/>
  <c r="U19" i="42699"/>
  <c r="N12" i="42701"/>
  <c r="S934" i="42697"/>
  <c r="S944" i="42697" s="1"/>
  <c r="R944" i="42697"/>
  <c r="R19" i="42699"/>
  <c r="N16" i="42701" s="1"/>
  <c r="S971" i="42697"/>
  <c r="V13" i="42699"/>
  <c r="R991" i="42689"/>
  <c r="R992" i="42689"/>
  <c r="Y26" i="42699"/>
  <c r="F633" i="42698"/>
  <c r="F648" i="42698"/>
  <c r="F273" i="42698"/>
  <c r="R980" i="42690"/>
  <c r="R981" i="42690"/>
  <c r="S979" i="42690"/>
  <c r="J13" i="42701"/>
  <c r="J23" i="42701" s="1"/>
  <c r="M26" i="42699"/>
  <c r="I13" i="42701"/>
  <c r="I23" i="42701" s="1"/>
  <c r="I28" i="42701" s="1"/>
  <c r="L26" i="42699"/>
  <c r="L31" i="42699" s="1"/>
  <c r="R20" i="42701"/>
  <c r="AA23" i="42699"/>
  <c r="AF23" i="42699" s="1"/>
  <c r="U23" i="42699"/>
  <c r="F669" i="42698"/>
  <c r="D717" i="42698"/>
  <c r="E717" i="42698" s="1"/>
  <c r="R23" i="42699"/>
  <c r="N20" i="42701" s="1"/>
  <c r="S973" i="42697"/>
  <c r="S46" i="42699"/>
  <c r="S31" i="42699"/>
  <c r="S47" i="42699" s="1"/>
  <c r="R14" i="42701"/>
  <c r="AA16" i="42699"/>
  <c r="U16" i="42699"/>
  <c r="AF16" i="42699"/>
  <c r="AD16" i="42699"/>
  <c r="R21" i="42699"/>
  <c r="N18" i="42701" s="1"/>
  <c r="S972" i="42697"/>
  <c r="R25" i="42699"/>
  <c r="N22" i="42701" s="1"/>
  <c r="S978" i="42697"/>
  <c r="R969" i="42697"/>
  <c r="F979" i="42697"/>
  <c r="R16" i="42699" l="1"/>
  <c r="S969" i="42697"/>
  <c r="S979" i="42697" s="1"/>
  <c r="R979" i="42697"/>
  <c r="AE16" i="42699"/>
  <c r="G41" i="42701"/>
  <c r="T41" i="42701" s="1"/>
  <c r="T14" i="42701"/>
  <c r="Q14" i="42701"/>
  <c r="M46" i="42699"/>
  <c r="M31" i="42699"/>
  <c r="M47" i="42699" s="1"/>
  <c r="F684" i="42698"/>
  <c r="F650" i="42698"/>
  <c r="F651" i="42698" s="1"/>
  <c r="E47" i="42699"/>
  <c r="V34" i="42699"/>
  <c r="AA13" i="42699"/>
  <c r="U13" i="42699"/>
  <c r="R12" i="42701"/>
  <c r="AE25" i="42699"/>
  <c r="G49" i="42701"/>
  <c r="T49" i="42701" s="1"/>
  <c r="T22" i="42701"/>
  <c r="Q22" i="42701"/>
  <c r="E12" i="42702"/>
  <c r="F12" i="42702" s="1"/>
  <c r="I12" i="42702" s="1"/>
  <c r="U13" i="42701"/>
  <c r="H60" i="42701"/>
  <c r="H28" i="42701"/>
  <c r="F981" i="42697"/>
  <c r="F980" i="42697"/>
  <c r="AE23" i="42699"/>
  <c r="AD23" i="42699"/>
  <c r="G47" i="42701"/>
  <c r="T47" i="42701" s="1"/>
  <c r="Q20" i="42701"/>
  <c r="T20" i="42701" s="1"/>
  <c r="J60" i="42701"/>
  <c r="J28" i="42701"/>
  <c r="AE19" i="42699"/>
  <c r="AD19" i="42699"/>
  <c r="G43" i="42701"/>
  <c r="T43" i="42701"/>
  <c r="Q16" i="42701"/>
  <c r="R30" i="42701"/>
  <c r="U33" i="42699"/>
  <c r="AE33" i="42699" s="1"/>
  <c r="AE21" i="42699"/>
  <c r="AD21" i="42699"/>
  <c r="G45" i="42701"/>
  <c r="T45" i="42701" s="1"/>
  <c r="T18" i="42701"/>
  <c r="Q18" i="42701"/>
  <c r="T13" i="42701"/>
  <c r="K46" i="42699"/>
  <c r="K31" i="42699"/>
  <c r="K47" i="42699" s="1"/>
  <c r="AD33" i="42699" l="1"/>
  <c r="E14" i="42702"/>
  <c r="F14" i="42702" s="1"/>
  <c r="I14" i="42702" s="1"/>
  <c r="U16" i="42701"/>
  <c r="G39" i="42701"/>
  <c r="T39" i="42701" s="1"/>
  <c r="Q12" i="42701"/>
  <c r="T12" i="42701" s="1"/>
  <c r="AE13" i="42699"/>
  <c r="AD13" i="42699"/>
  <c r="R31" i="42701"/>
  <c r="V48" i="42699"/>
  <c r="E13" i="42702"/>
  <c r="F13" i="42702" s="1"/>
  <c r="I13" i="42702" s="1"/>
  <c r="E15" i="42702"/>
  <c r="F15" i="42702" s="1"/>
  <c r="I15" i="42702" s="1"/>
  <c r="U18" i="42701"/>
  <c r="Q30" i="42701"/>
  <c r="U30" i="42701" s="1"/>
  <c r="T16" i="42701"/>
  <c r="U20" i="42701"/>
  <c r="E17" i="42702"/>
  <c r="F17" i="42702" s="1"/>
  <c r="I17" i="42702" s="1"/>
  <c r="U22" i="42701"/>
  <c r="AF13" i="42699"/>
  <c r="V24" i="42699"/>
  <c r="F686" i="42698"/>
  <c r="F687" i="42698" s="1"/>
  <c r="R981" i="42697"/>
  <c r="R980" i="42697"/>
  <c r="N14" i="42701"/>
  <c r="N23" i="42701" s="1"/>
  <c r="R26" i="42699"/>
  <c r="T30" i="42701" l="1"/>
  <c r="N60" i="42701"/>
  <c r="N28" i="42701"/>
  <c r="R21" i="42701"/>
  <c r="AA24" i="42699"/>
  <c r="AA26" i="42699" s="1"/>
  <c r="G47" i="42699" s="1"/>
  <c r="U24" i="42699"/>
  <c r="V26" i="42699"/>
  <c r="U14" i="42701"/>
  <c r="R31" i="42699"/>
  <c r="R47" i="42699" s="1"/>
  <c r="R46" i="42699"/>
  <c r="E11" i="42702"/>
  <c r="U12" i="42701"/>
  <c r="F11" i="42702" l="1"/>
  <c r="V46" i="42699"/>
  <c r="V31" i="42699"/>
  <c r="AF26" i="42699"/>
  <c r="AE24" i="42699"/>
  <c r="U26" i="42699"/>
  <c r="G48" i="42701"/>
  <c r="G50" i="42701" s="1"/>
  <c r="Q21" i="42701"/>
  <c r="T21" i="42701" s="1"/>
  <c r="R23" i="42701"/>
  <c r="T48" i="42701" l="1"/>
  <c r="U21" i="42701"/>
  <c r="E16" i="42702"/>
  <c r="Q23" i="42701"/>
  <c r="AE26" i="42699"/>
  <c r="U46" i="42699"/>
  <c r="U31" i="42699"/>
  <c r="AD26" i="42699"/>
  <c r="V47" i="42699"/>
  <c r="AD31" i="42699"/>
  <c r="I11" i="42702"/>
  <c r="R60" i="42701"/>
  <c r="T50" i="42701"/>
  <c r="R28" i="42701"/>
  <c r="T23" i="42701"/>
  <c r="AE31" i="42699" l="1"/>
  <c r="U47" i="42699"/>
  <c r="F16" i="42702"/>
  <c r="E18" i="42702"/>
  <c r="E23" i="42702" s="1"/>
  <c r="Q60" i="42701"/>
  <c r="Q28" i="42701"/>
  <c r="U28" i="42701" s="1"/>
  <c r="U23" i="42701"/>
  <c r="I16" i="42702" l="1"/>
  <c r="I18" i="42702" s="1"/>
  <c r="I23" i="42702" s="1"/>
  <c r="F18" i="42702"/>
  <c r="F23" i="42702" s="1"/>
  <c r="T28" i="42701"/>
  <c r="E14" i="42681" l="1"/>
  <c r="E18" i="42681" s="1"/>
  <c r="H10" i="42681"/>
  <c r="A10" i="42680"/>
  <c r="A11" i="42680" s="1"/>
  <c r="A12" i="42680" s="1"/>
  <c r="A13" i="42680" s="1"/>
  <c r="A14" i="42680" s="1"/>
  <c r="A15" i="42680" s="1"/>
  <c r="A16" i="42680" s="1"/>
  <c r="A17" i="42680" s="1"/>
  <c r="A18" i="42680" s="1"/>
  <c r="A19" i="42680" s="1"/>
  <c r="A21" i="42680" s="1"/>
  <c r="A23" i="42680" s="1"/>
  <c r="A25" i="42680" s="1"/>
  <c r="A27" i="42680" s="1"/>
  <c r="A29" i="42680" s="1"/>
  <c r="A31" i="42680" s="1"/>
  <c r="F140" i="42679"/>
  <c r="E140" i="42679"/>
  <c r="G140" i="42679" s="1"/>
  <c r="F139" i="42679"/>
  <c r="E139" i="42679"/>
  <c r="H139" i="42679" s="1"/>
  <c r="F138" i="42679"/>
  <c r="E138" i="42679"/>
  <c r="G138" i="42679" s="1"/>
  <c r="F137" i="42679"/>
  <c r="E137" i="42679"/>
  <c r="G137" i="42679" s="1"/>
  <c r="F136" i="42679"/>
  <c r="E136" i="42679"/>
  <c r="G136" i="42679" s="1"/>
  <c r="F135" i="42679"/>
  <c r="E135" i="42679"/>
  <c r="G135" i="42679" s="1"/>
  <c r="F134" i="42679"/>
  <c r="E134" i="42679"/>
  <c r="G134" i="42679" s="1"/>
  <c r="F133" i="42679"/>
  <c r="E133" i="42679"/>
  <c r="H133" i="42679" s="1"/>
  <c r="F132" i="42679"/>
  <c r="E132" i="42679"/>
  <c r="G132" i="42679" s="1"/>
  <c r="F131" i="42679"/>
  <c r="E131" i="42679"/>
  <c r="H131" i="42679" s="1"/>
  <c r="F130" i="42679"/>
  <c r="E130" i="42679"/>
  <c r="G130" i="42679" s="1"/>
  <c r="F129" i="42679"/>
  <c r="E129" i="42679"/>
  <c r="H129" i="42679" s="1"/>
  <c r="F128" i="42679"/>
  <c r="E128" i="42679"/>
  <c r="G128" i="42679" s="1"/>
  <c r="F127" i="42679"/>
  <c r="E127" i="42679"/>
  <c r="H127" i="42679" s="1"/>
  <c r="F126" i="42679"/>
  <c r="E126" i="42679"/>
  <c r="G126" i="42679" s="1"/>
  <c r="F125" i="42679"/>
  <c r="E125" i="42679"/>
  <c r="H125" i="42679" s="1"/>
  <c r="F124" i="42679"/>
  <c r="E124" i="42679"/>
  <c r="G124" i="42679" s="1"/>
  <c r="F123" i="42679"/>
  <c r="E123" i="42679"/>
  <c r="H123" i="42679" s="1"/>
  <c r="F122" i="42679"/>
  <c r="E122" i="42679"/>
  <c r="G122" i="42679" s="1"/>
  <c r="F121" i="42679"/>
  <c r="E121" i="42679"/>
  <c r="G121" i="42679" s="1"/>
  <c r="F120" i="42679"/>
  <c r="E120" i="42679"/>
  <c r="F119" i="42679"/>
  <c r="E119" i="42679"/>
  <c r="F118" i="42679"/>
  <c r="H118" i="42679" s="1"/>
  <c r="E118" i="42679"/>
  <c r="F117" i="42679"/>
  <c r="E117" i="42679"/>
  <c r="F116" i="42679"/>
  <c r="E116" i="42679"/>
  <c r="G116" i="42679" s="1"/>
  <c r="F115" i="42679"/>
  <c r="E115" i="42679"/>
  <c r="H115" i="42679" s="1"/>
  <c r="F114" i="42679"/>
  <c r="E114" i="42679"/>
  <c r="F113" i="42679"/>
  <c r="E113" i="42679"/>
  <c r="H113" i="42679" s="1"/>
  <c r="F112" i="42679"/>
  <c r="E112" i="42679"/>
  <c r="F111" i="42679"/>
  <c r="E111" i="42679"/>
  <c r="F110" i="42679"/>
  <c r="H110" i="42679" s="1"/>
  <c r="E110" i="42679"/>
  <c r="F109" i="42679"/>
  <c r="E109" i="42679"/>
  <c r="F108" i="42679"/>
  <c r="E108" i="42679"/>
  <c r="G108" i="42679" s="1"/>
  <c r="F107" i="42679"/>
  <c r="E107" i="42679"/>
  <c r="H107" i="42679" s="1"/>
  <c r="F106" i="42679"/>
  <c r="E106" i="42679"/>
  <c r="F105" i="42679"/>
  <c r="E105" i="42679"/>
  <c r="H105" i="42679" s="1"/>
  <c r="F104" i="42679"/>
  <c r="E104" i="42679"/>
  <c r="F103" i="42679"/>
  <c r="E103" i="42679"/>
  <c r="F102" i="42679"/>
  <c r="H102" i="42679" s="1"/>
  <c r="E102" i="42679"/>
  <c r="F101" i="42679"/>
  <c r="E101" i="42679"/>
  <c r="F100" i="42679"/>
  <c r="E100" i="42679"/>
  <c r="G100" i="42679" s="1"/>
  <c r="F99" i="42679"/>
  <c r="E99" i="42679"/>
  <c r="H99" i="42679" s="1"/>
  <c r="F98" i="42679"/>
  <c r="E98" i="42679"/>
  <c r="F97" i="42679"/>
  <c r="E97" i="42679"/>
  <c r="H97" i="42679" s="1"/>
  <c r="F96" i="42679"/>
  <c r="E96" i="42679"/>
  <c r="F95" i="42679"/>
  <c r="E95" i="42679"/>
  <c r="F94" i="42679"/>
  <c r="H94" i="42679" s="1"/>
  <c r="E94" i="42679"/>
  <c r="F93" i="42679"/>
  <c r="E93" i="42679"/>
  <c r="F92" i="42679"/>
  <c r="E92" i="42679"/>
  <c r="G92" i="42679" s="1"/>
  <c r="F91" i="42679"/>
  <c r="E91" i="42679"/>
  <c r="H91" i="42679" s="1"/>
  <c r="F90" i="42679"/>
  <c r="E90" i="42679"/>
  <c r="F89" i="42679"/>
  <c r="E89" i="42679"/>
  <c r="G89" i="42679" s="1"/>
  <c r="F88" i="42679"/>
  <c r="E88" i="42679"/>
  <c r="G88" i="42679" s="1"/>
  <c r="F87" i="42679"/>
  <c r="E87" i="42679"/>
  <c r="G87" i="42679" s="1"/>
  <c r="F86" i="42679"/>
  <c r="E86" i="42679"/>
  <c r="G86" i="42679" s="1"/>
  <c r="F85" i="42679"/>
  <c r="E85" i="42679"/>
  <c r="G85" i="42679" s="1"/>
  <c r="F84" i="42679"/>
  <c r="E84" i="42679"/>
  <c r="G84" i="42679" s="1"/>
  <c r="F83" i="42679"/>
  <c r="E83" i="42679"/>
  <c r="G83" i="42679" s="1"/>
  <c r="F82" i="42679"/>
  <c r="E82" i="42679"/>
  <c r="G82" i="42679" s="1"/>
  <c r="F81" i="42679"/>
  <c r="E81" i="42679"/>
  <c r="G81" i="42679" s="1"/>
  <c r="F80" i="42679"/>
  <c r="E80" i="42679"/>
  <c r="G80" i="42679" s="1"/>
  <c r="F79" i="42679"/>
  <c r="E79" i="42679"/>
  <c r="G79" i="42679" s="1"/>
  <c r="F78" i="42679"/>
  <c r="E78" i="42679"/>
  <c r="G78" i="42679" s="1"/>
  <c r="F77" i="42679"/>
  <c r="E77" i="42679"/>
  <c r="G77" i="42679" s="1"/>
  <c r="F76" i="42679"/>
  <c r="E76" i="42679"/>
  <c r="G76" i="42679" s="1"/>
  <c r="F75" i="42679"/>
  <c r="E75" i="42679"/>
  <c r="G75" i="42679" s="1"/>
  <c r="F74" i="42679"/>
  <c r="E74" i="42679"/>
  <c r="G74" i="42679" s="1"/>
  <c r="F73" i="42679"/>
  <c r="E73" i="42679"/>
  <c r="G73" i="42679" s="1"/>
  <c r="F72" i="42679"/>
  <c r="E72" i="42679"/>
  <c r="G72" i="42679" s="1"/>
  <c r="F71" i="42679"/>
  <c r="E71" i="42679"/>
  <c r="G71" i="42679" s="1"/>
  <c r="F70" i="42679"/>
  <c r="E70" i="42679"/>
  <c r="G70" i="42679" s="1"/>
  <c r="F69" i="42679"/>
  <c r="E69" i="42679"/>
  <c r="G69" i="42679" s="1"/>
  <c r="F68" i="42679"/>
  <c r="E68" i="42679"/>
  <c r="G68" i="42679" s="1"/>
  <c r="F67" i="42679"/>
  <c r="E67" i="42679"/>
  <c r="G67" i="42679" s="1"/>
  <c r="F66" i="42679"/>
  <c r="E66" i="42679"/>
  <c r="G66" i="42679" s="1"/>
  <c r="F65" i="42679"/>
  <c r="E65" i="42679"/>
  <c r="G65" i="42679" s="1"/>
  <c r="F64" i="42679"/>
  <c r="E64" i="42679"/>
  <c r="G64" i="42679" s="1"/>
  <c r="F63" i="42679"/>
  <c r="E63" i="42679"/>
  <c r="G63" i="42679" s="1"/>
  <c r="F62" i="42679"/>
  <c r="E62" i="42679"/>
  <c r="G62" i="42679" s="1"/>
  <c r="F61" i="42679"/>
  <c r="E61" i="42679"/>
  <c r="G61" i="42679" s="1"/>
  <c r="F60" i="42679"/>
  <c r="E60" i="42679"/>
  <c r="G60" i="42679" s="1"/>
  <c r="F59" i="42679"/>
  <c r="E59" i="42679"/>
  <c r="G59" i="42679" s="1"/>
  <c r="F58" i="42679"/>
  <c r="E58" i="42679"/>
  <c r="G58" i="42679" s="1"/>
  <c r="F57" i="42679"/>
  <c r="E57" i="42679"/>
  <c r="G57" i="42679" s="1"/>
  <c r="F56" i="42679"/>
  <c r="E56" i="42679"/>
  <c r="G56" i="42679" s="1"/>
  <c r="F55" i="42679"/>
  <c r="E55" i="42679"/>
  <c r="H55" i="42679" s="1"/>
  <c r="F54" i="42679"/>
  <c r="E54" i="42679"/>
  <c r="F53" i="42679"/>
  <c r="E53" i="42679"/>
  <c r="H53" i="42679" s="1"/>
  <c r="F52" i="42679"/>
  <c r="E52" i="42679"/>
  <c r="F51" i="42679"/>
  <c r="E51" i="42679"/>
  <c r="F50" i="42679"/>
  <c r="H50" i="42679" s="1"/>
  <c r="E50" i="42679"/>
  <c r="F49" i="42679"/>
  <c r="E49" i="42679"/>
  <c r="F48" i="42679"/>
  <c r="E48" i="42679"/>
  <c r="G48" i="42679" s="1"/>
  <c r="F47" i="42679"/>
  <c r="E47" i="42679"/>
  <c r="H47" i="42679" s="1"/>
  <c r="F46" i="42679"/>
  <c r="E46" i="42679"/>
  <c r="F45" i="42679"/>
  <c r="E45" i="42679"/>
  <c r="H45" i="42679" s="1"/>
  <c r="F44" i="42679"/>
  <c r="E44" i="42679"/>
  <c r="G44" i="42679" s="1"/>
  <c r="F43" i="42679"/>
  <c r="E43" i="42679"/>
  <c r="G43" i="42679" s="1"/>
  <c r="F42" i="42679"/>
  <c r="E42" i="42679"/>
  <c r="G42" i="42679" s="1"/>
  <c r="F41" i="42679"/>
  <c r="E41" i="42679"/>
  <c r="G41" i="42679" s="1"/>
  <c r="F40" i="42679"/>
  <c r="E40" i="42679"/>
  <c r="G40" i="42679" s="1"/>
  <c r="F39" i="42679"/>
  <c r="E39" i="42679"/>
  <c r="G39" i="42679" s="1"/>
  <c r="F38" i="42679"/>
  <c r="E38" i="42679"/>
  <c r="G38" i="42679" s="1"/>
  <c r="F37" i="42679"/>
  <c r="E37" i="42679"/>
  <c r="G37" i="42679" s="1"/>
  <c r="F36" i="42679"/>
  <c r="E36" i="42679"/>
  <c r="G36" i="42679" s="1"/>
  <c r="F35" i="42679"/>
  <c r="E35" i="42679"/>
  <c r="G35" i="42679" s="1"/>
  <c r="F34" i="42679"/>
  <c r="E34" i="42679"/>
  <c r="G34" i="42679" s="1"/>
  <c r="F33" i="42679"/>
  <c r="E33" i="42679"/>
  <c r="G33" i="42679" s="1"/>
  <c r="F32" i="42679"/>
  <c r="E32" i="42679"/>
  <c r="G32" i="42679" s="1"/>
  <c r="F31" i="42679"/>
  <c r="E31" i="42679"/>
  <c r="G31" i="42679" s="1"/>
  <c r="F30" i="42679"/>
  <c r="E30" i="42679"/>
  <c r="G30" i="42679" s="1"/>
  <c r="F29" i="42679"/>
  <c r="E29" i="42679"/>
  <c r="G29" i="42679" s="1"/>
  <c r="F28" i="42679"/>
  <c r="E28" i="42679"/>
  <c r="G28" i="42679" s="1"/>
  <c r="F27" i="42679"/>
  <c r="E27" i="42679"/>
  <c r="G27" i="42679" s="1"/>
  <c r="F26" i="42679"/>
  <c r="E26" i="42679"/>
  <c r="G26" i="42679" s="1"/>
  <c r="F25" i="42679"/>
  <c r="E25" i="42679"/>
  <c r="G25" i="42679" s="1"/>
  <c r="F24" i="42679"/>
  <c r="E24" i="42679"/>
  <c r="G24" i="42679" s="1"/>
  <c r="F23" i="42679"/>
  <c r="E23" i="42679"/>
  <c r="G23" i="42679" s="1"/>
  <c r="F22" i="42679"/>
  <c r="E22" i="42679"/>
  <c r="G22" i="42679" s="1"/>
  <c r="F21" i="42679"/>
  <c r="E21" i="42679"/>
  <c r="G21" i="42679" s="1"/>
  <c r="F20" i="42679"/>
  <c r="E20" i="42679"/>
  <c r="G20" i="42679" s="1"/>
  <c r="F19" i="42679"/>
  <c r="E19" i="42679"/>
  <c r="G19" i="42679" s="1"/>
  <c r="F18" i="42679"/>
  <c r="E18" i="42679"/>
  <c r="G18" i="42679" s="1"/>
  <c r="F17" i="42679"/>
  <c r="E17" i="42679"/>
  <c r="G17" i="42679" s="1"/>
  <c r="F16" i="42679"/>
  <c r="E16" i="42679"/>
  <c r="G16" i="42679" s="1"/>
  <c r="F15" i="42679"/>
  <c r="E15" i="42679"/>
  <c r="G15" i="42679" s="1"/>
  <c r="F14" i="42679"/>
  <c r="E14" i="42679"/>
  <c r="G14" i="42679" s="1"/>
  <c r="F13" i="42679"/>
  <c r="E13" i="42679"/>
  <c r="G13" i="42679" s="1"/>
  <c r="F12" i="42679"/>
  <c r="E12" i="42679"/>
  <c r="G12" i="42679" s="1"/>
  <c r="F11" i="42679"/>
  <c r="E11" i="42679"/>
  <c r="G11" i="42679" s="1"/>
  <c r="F10" i="42679"/>
  <c r="E10" i="42679"/>
  <c r="G10" i="42679" s="1"/>
  <c r="F9" i="42679"/>
  <c r="E9" i="42679"/>
  <c r="G9" i="42679" s="1"/>
  <c r="F8" i="42679"/>
  <c r="E8" i="42679"/>
  <c r="G8" i="42679" s="1"/>
  <c r="F7" i="42679"/>
  <c r="E7" i="42679"/>
  <c r="G7" i="42679" s="1"/>
  <c r="F6" i="42679"/>
  <c r="E6" i="42679"/>
  <c r="G6" i="42679" s="1"/>
  <c r="F5" i="42679"/>
  <c r="E5" i="42679"/>
  <c r="G5" i="42679" s="1"/>
  <c r="G177" i="42678"/>
  <c r="I177" i="42678" s="1"/>
  <c r="G176" i="42678"/>
  <c r="I176" i="42678" s="1"/>
  <c r="G175" i="42678"/>
  <c r="I175" i="42678" s="1"/>
  <c r="G174" i="42678"/>
  <c r="I174" i="42678" s="1"/>
  <c r="G173" i="42678"/>
  <c r="I173" i="42678" s="1"/>
  <c r="G172" i="42678"/>
  <c r="I172" i="42678" s="1"/>
  <c r="G171" i="42678"/>
  <c r="I171" i="42678" s="1"/>
  <c r="G170" i="42678"/>
  <c r="I170" i="42678" s="1"/>
  <c r="G169" i="42678"/>
  <c r="I169" i="42678" s="1"/>
  <c r="G168" i="42678"/>
  <c r="I168" i="42678" s="1"/>
  <c r="G167" i="42678"/>
  <c r="I167" i="42678" s="1"/>
  <c r="G166" i="42678"/>
  <c r="I166" i="42678" s="1"/>
  <c r="G165" i="42678"/>
  <c r="I165" i="42678" s="1"/>
  <c r="G164" i="42678"/>
  <c r="I164" i="42678" s="1"/>
  <c r="G163" i="42678"/>
  <c r="I163" i="42678" s="1"/>
  <c r="G162" i="42678"/>
  <c r="I162" i="42678" s="1"/>
  <c r="G161" i="42678"/>
  <c r="I161" i="42678" s="1"/>
  <c r="G160" i="42678"/>
  <c r="I160" i="42678" s="1"/>
  <c r="G159" i="42678"/>
  <c r="I159" i="42678" s="1"/>
  <c r="G158" i="42678"/>
  <c r="I158" i="42678" s="1"/>
  <c r="G157" i="42678"/>
  <c r="I157" i="42678" s="1"/>
  <c r="G156" i="42678"/>
  <c r="I156" i="42678" s="1"/>
  <c r="G155" i="42678"/>
  <c r="I155" i="42678" s="1"/>
  <c r="G154" i="42678"/>
  <c r="I154" i="42678" s="1"/>
  <c r="G153" i="42678"/>
  <c r="I153" i="42678" s="1"/>
  <c r="G152" i="42678"/>
  <c r="I152" i="42678" s="1"/>
  <c r="G151" i="42678"/>
  <c r="I151" i="42678" s="1"/>
  <c r="G150" i="42678"/>
  <c r="I150" i="42678" s="1"/>
  <c r="G149" i="42678"/>
  <c r="I149" i="42678" s="1"/>
  <c r="G148" i="42678"/>
  <c r="I148" i="42678" s="1"/>
  <c r="G147" i="42678"/>
  <c r="I147" i="42678" s="1"/>
  <c r="G146" i="42678"/>
  <c r="I146" i="42678" s="1"/>
  <c r="G145" i="42678"/>
  <c r="I145" i="42678" s="1"/>
  <c r="G144" i="42678"/>
  <c r="I144" i="42678" s="1"/>
  <c r="G143" i="42678"/>
  <c r="I143" i="42678" s="1"/>
  <c r="G142" i="42678"/>
  <c r="I142" i="42678" s="1"/>
  <c r="G141" i="42678"/>
  <c r="I141" i="42678" s="1"/>
  <c r="G140" i="42678"/>
  <c r="H140" i="42678" s="1"/>
  <c r="G139" i="42678"/>
  <c r="H139" i="42678" s="1"/>
  <c r="I138" i="42678"/>
  <c r="G138" i="42678"/>
  <c r="H138" i="42678" s="1"/>
  <c r="G137" i="42678"/>
  <c r="H137" i="42678" s="1"/>
  <c r="G136" i="42678"/>
  <c r="H136" i="42678" s="1"/>
  <c r="G135" i="42678"/>
  <c r="H135" i="42678" s="1"/>
  <c r="I134" i="42678"/>
  <c r="G134" i="42678"/>
  <c r="H134" i="42678" s="1"/>
  <c r="G133" i="42678"/>
  <c r="H133" i="42678" s="1"/>
  <c r="G132" i="42678"/>
  <c r="H132" i="42678" s="1"/>
  <c r="G131" i="42678"/>
  <c r="H131" i="42678" s="1"/>
  <c r="I130" i="42678"/>
  <c r="G130" i="42678"/>
  <c r="H130" i="42678" s="1"/>
  <c r="G129" i="42678"/>
  <c r="H129" i="42678" s="1"/>
  <c r="G128" i="42678"/>
  <c r="H128" i="42678" s="1"/>
  <c r="G127" i="42678"/>
  <c r="H127" i="42678" s="1"/>
  <c r="I126" i="42678"/>
  <c r="G126" i="42678"/>
  <c r="H126" i="42678" s="1"/>
  <c r="G125" i="42678"/>
  <c r="H125" i="42678" s="1"/>
  <c r="G124" i="42678"/>
  <c r="H124" i="42678" s="1"/>
  <c r="G123" i="42678"/>
  <c r="H123" i="42678" s="1"/>
  <c r="I122" i="42678"/>
  <c r="G122" i="42678"/>
  <c r="H122" i="42678" s="1"/>
  <c r="G121" i="42678"/>
  <c r="H121" i="42678" s="1"/>
  <c r="G120" i="42678"/>
  <c r="H120" i="42678" s="1"/>
  <c r="G119" i="42678"/>
  <c r="H119" i="42678" s="1"/>
  <c r="I118" i="42678"/>
  <c r="G118" i="42678"/>
  <c r="H118" i="42678" s="1"/>
  <c r="G117" i="42678"/>
  <c r="H117" i="42678" s="1"/>
  <c r="G116" i="42678"/>
  <c r="H116" i="42678" s="1"/>
  <c r="G115" i="42678"/>
  <c r="H115" i="42678" s="1"/>
  <c r="I114" i="42678"/>
  <c r="G114" i="42678"/>
  <c r="H114" i="42678" s="1"/>
  <c r="G113" i="42678"/>
  <c r="H113" i="42678" s="1"/>
  <c r="G112" i="42678"/>
  <c r="H112" i="42678" s="1"/>
  <c r="G111" i="42678"/>
  <c r="H111" i="42678" s="1"/>
  <c r="I110" i="42678"/>
  <c r="G110" i="42678"/>
  <c r="H110" i="42678" s="1"/>
  <c r="G109" i="42678"/>
  <c r="H109" i="42678" s="1"/>
  <c r="G108" i="42678"/>
  <c r="H108" i="42678" s="1"/>
  <c r="G107" i="42678"/>
  <c r="H107" i="42678" s="1"/>
  <c r="I106" i="42678"/>
  <c r="G106" i="42678"/>
  <c r="H106" i="42678" s="1"/>
  <c r="G105" i="42678"/>
  <c r="H105" i="42678" s="1"/>
  <c r="G104" i="42678"/>
  <c r="H104" i="42678" s="1"/>
  <c r="G103" i="42678"/>
  <c r="H103" i="42678" s="1"/>
  <c r="G102" i="42678"/>
  <c r="G101" i="42678"/>
  <c r="H101" i="42678" s="1"/>
  <c r="G100" i="42678"/>
  <c r="H100" i="42678" s="1"/>
  <c r="I99" i="42678"/>
  <c r="G99" i="42678"/>
  <c r="H99" i="42678" s="1"/>
  <c r="G98" i="42678"/>
  <c r="H98" i="42678" s="1"/>
  <c r="G97" i="42678"/>
  <c r="H97" i="42678" s="1"/>
  <c r="G96" i="42678"/>
  <c r="H96" i="42678" s="1"/>
  <c r="I95" i="42678"/>
  <c r="G95" i="42678"/>
  <c r="H95" i="42678" s="1"/>
  <c r="G94" i="42678"/>
  <c r="H94" i="42678" s="1"/>
  <c r="G93" i="42678"/>
  <c r="H93" i="42678" s="1"/>
  <c r="G92" i="42678"/>
  <c r="H92" i="42678" s="1"/>
  <c r="I91" i="42678"/>
  <c r="G91" i="42678"/>
  <c r="H91" i="42678" s="1"/>
  <c r="G90" i="42678"/>
  <c r="H90" i="42678" s="1"/>
  <c r="G89" i="42678"/>
  <c r="H89" i="42678" s="1"/>
  <c r="G88" i="42678"/>
  <c r="H88" i="42678" s="1"/>
  <c r="I87" i="42678"/>
  <c r="G87" i="42678"/>
  <c r="H87" i="42678" s="1"/>
  <c r="G86" i="42678"/>
  <c r="H86" i="42678" s="1"/>
  <c r="G85" i="42678"/>
  <c r="H85" i="42678" s="1"/>
  <c r="G84" i="42678"/>
  <c r="H84" i="42678" s="1"/>
  <c r="I83" i="42678"/>
  <c r="G83" i="42678"/>
  <c r="H83" i="42678" s="1"/>
  <c r="G82" i="42678"/>
  <c r="H82" i="42678" s="1"/>
  <c r="G81" i="42678"/>
  <c r="H81" i="42678" s="1"/>
  <c r="G80" i="42678"/>
  <c r="H80" i="42678" s="1"/>
  <c r="I79" i="42678"/>
  <c r="G79" i="42678"/>
  <c r="H79" i="42678" s="1"/>
  <c r="G78" i="42678"/>
  <c r="H78" i="42678" s="1"/>
  <c r="G77" i="42678"/>
  <c r="H77" i="42678" s="1"/>
  <c r="G76" i="42678"/>
  <c r="H76" i="42678" s="1"/>
  <c r="I75" i="42678"/>
  <c r="G75" i="42678"/>
  <c r="H75" i="42678" s="1"/>
  <c r="G74" i="42678"/>
  <c r="H74" i="42678" s="1"/>
  <c r="G73" i="42678"/>
  <c r="H73" i="42678" s="1"/>
  <c r="G72" i="42678"/>
  <c r="H72" i="42678" s="1"/>
  <c r="I71" i="42678"/>
  <c r="G71" i="42678"/>
  <c r="H71" i="42678" s="1"/>
  <c r="G70" i="42678"/>
  <c r="H70" i="42678" s="1"/>
  <c r="G69" i="42678"/>
  <c r="H69" i="42678" s="1"/>
  <c r="G68" i="42678"/>
  <c r="H68" i="42678" s="1"/>
  <c r="I67" i="42678"/>
  <c r="G67" i="42678"/>
  <c r="H67" i="42678" s="1"/>
  <c r="G66" i="42678"/>
  <c r="H66" i="42678" s="1"/>
  <c r="G65" i="42678"/>
  <c r="H65" i="42678" s="1"/>
  <c r="G64" i="42678"/>
  <c r="H64" i="42678" s="1"/>
  <c r="I63" i="42678"/>
  <c r="G63" i="42678"/>
  <c r="H63" i="42678" s="1"/>
  <c r="G62" i="42678"/>
  <c r="H62" i="42678" s="1"/>
  <c r="G61" i="42678"/>
  <c r="H61" i="42678" s="1"/>
  <c r="G60" i="42678"/>
  <c r="H60" i="42678" s="1"/>
  <c r="I59" i="42678"/>
  <c r="G59" i="42678"/>
  <c r="H59" i="42678" s="1"/>
  <c r="G58" i="42678"/>
  <c r="H58" i="42678" s="1"/>
  <c r="G57" i="42678"/>
  <c r="H57" i="42678" s="1"/>
  <c r="G56" i="42678"/>
  <c r="H56" i="42678" s="1"/>
  <c r="I55" i="42678"/>
  <c r="G55" i="42678"/>
  <c r="H55" i="42678" s="1"/>
  <c r="G54" i="42678"/>
  <c r="H54" i="42678" s="1"/>
  <c r="G53" i="42678"/>
  <c r="H53" i="42678" s="1"/>
  <c r="G52" i="42678"/>
  <c r="H52" i="42678" s="1"/>
  <c r="I51" i="42678"/>
  <c r="G51" i="42678"/>
  <c r="H51" i="42678" s="1"/>
  <c r="G50" i="42678"/>
  <c r="H50" i="42678" s="1"/>
  <c r="G49" i="42678"/>
  <c r="H49" i="42678" s="1"/>
  <c r="G48" i="42678"/>
  <c r="H48" i="42678" s="1"/>
  <c r="I47" i="42678"/>
  <c r="G47" i="42678"/>
  <c r="H47" i="42678" s="1"/>
  <c r="H46" i="42678"/>
  <c r="G46" i="42678"/>
  <c r="I46" i="42678" s="1"/>
  <c r="G45" i="42678"/>
  <c r="G44" i="42678"/>
  <c r="I44" i="42678" s="1"/>
  <c r="G43" i="42678"/>
  <c r="I43" i="42678" s="1"/>
  <c r="G42" i="42678"/>
  <c r="I42" i="42678" s="1"/>
  <c r="G41" i="42678"/>
  <c r="I41" i="42678" s="1"/>
  <c r="G40" i="42678"/>
  <c r="I40" i="42678" s="1"/>
  <c r="G39" i="42678"/>
  <c r="I39" i="42678" s="1"/>
  <c r="G38" i="42678"/>
  <c r="I38" i="42678" s="1"/>
  <c r="G37" i="42678"/>
  <c r="I37" i="42678" s="1"/>
  <c r="G36" i="42678"/>
  <c r="I36" i="42678" s="1"/>
  <c r="G35" i="42678"/>
  <c r="I35" i="42678" s="1"/>
  <c r="G34" i="42678"/>
  <c r="I34" i="42678" s="1"/>
  <c r="G33" i="42678"/>
  <c r="I33" i="42678" s="1"/>
  <c r="G32" i="42678"/>
  <c r="I32" i="42678" s="1"/>
  <c r="G31" i="42678"/>
  <c r="I31" i="42678" s="1"/>
  <c r="G30" i="42678"/>
  <c r="I30" i="42678" s="1"/>
  <c r="G29" i="42678"/>
  <c r="I29" i="42678" s="1"/>
  <c r="G28" i="42678"/>
  <c r="I28" i="42678" s="1"/>
  <c r="G27" i="42678"/>
  <c r="I27" i="42678" s="1"/>
  <c r="G26" i="42678"/>
  <c r="I26" i="42678" s="1"/>
  <c r="G25" i="42678"/>
  <c r="I25" i="42678" s="1"/>
  <c r="G24" i="42678"/>
  <c r="I24" i="42678" s="1"/>
  <c r="G23" i="42678"/>
  <c r="I23" i="42678" s="1"/>
  <c r="G22" i="42678"/>
  <c r="I22" i="42678" s="1"/>
  <c r="G21" i="42678"/>
  <c r="I21" i="42678" s="1"/>
  <c r="G20" i="42678"/>
  <c r="I20" i="42678" s="1"/>
  <c r="G19" i="42678"/>
  <c r="I19" i="42678" s="1"/>
  <c r="G18" i="42678"/>
  <c r="I18" i="42678" s="1"/>
  <c r="G17" i="42678"/>
  <c r="I17" i="42678" s="1"/>
  <c r="G16" i="42678"/>
  <c r="I16" i="42678" s="1"/>
  <c r="G15" i="42678"/>
  <c r="I15" i="42678" s="1"/>
  <c r="G14" i="42678"/>
  <c r="I14" i="42678" s="1"/>
  <c r="G13" i="42678"/>
  <c r="I13" i="42678" s="1"/>
  <c r="G12" i="42678"/>
  <c r="I12" i="42678" s="1"/>
  <c r="G11" i="42678"/>
  <c r="I11" i="42678" s="1"/>
  <c r="G10" i="42678"/>
  <c r="I10" i="42678" s="1"/>
  <c r="G9" i="42678"/>
  <c r="I9" i="42678" s="1"/>
  <c r="G8" i="42678"/>
  <c r="I8" i="42678" s="1"/>
  <c r="G7" i="42678"/>
  <c r="I7" i="42678" s="1"/>
  <c r="G6" i="42678"/>
  <c r="I6" i="42678" s="1"/>
  <c r="G5" i="42678"/>
  <c r="I5" i="42678" s="1"/>
  <c r="M1274" i="42676"/>
  <c r="L1274" i="42676"/>
  <c r="K1274" i="42676"/>
  <c r="J1274" i="42676"/>
  <c r="J1275" i="42676" s="1"/>
  <c r="P1273" i="42676"/>
  <c r="P1272" i="42676"/>
  <c r="P1271" i="42676"/>
  <c r="P1270" i="42676"/>
  <c r="P1269" i="42676"/>
  <c r="P1268" i="42676"/>
  <c r="P1267" i="42676"/>
  <c r="P1266" i="42676"/>
  <c r="P1265" i="42676"/>
  <c r="P1264" i="42676"/>
  <c r="P1263" i="42676"/>
  <c r="P1262" i="42676"/>
  <c r="P1261" i="42676"/>
  <c r="P1260" i="42676"/>
  <c r="P1259" i="42676"/>
  <c r="P1258" i="42676"/>
  <c r="P1257" i="42676"/>
  <c r="P1256" i="42676"/>
  <c r="P1255" i="42676"/>
  <c r="P1254" i="42676"/>
  <c r="P1253" i="42676"/>
  <c r="P1252" i="42676"/>
  <c r="P1251" i="42676"/>
  <c r="P1250" i="42676"/>
  <c r="P1249" i="42676"/>
  <c r="P1248" i="42676"/>
  <c r="P1247" i="42676"/>
  <c r="P1246" i="42676"/>
  <c r="P1245" i="42676"/>
  <c r="G1245" i="42676"/>
  <c r="P1244" i="42676"/>
  <c r="G1244" i="42676"/>
  <c r="P1243" i="42676"/>
  <c r="G1243" i="42676"/>
  <c r="P1242" i="42676"/>
  <c r="G1242" i="42676"/>
  <c r="P1241" i="42676"/>
  <c r="G1241" i="42676"/>
  <c r="P1240" i="42676"/>
  <c r="G1240" i="42676"/>
  <c r="P1239" i="42676"/>
  <c r="G1239" i="42676"/>
  <c r="P1238" i="42676"/>
  <c r="G1238" i="42676"/>
  <c r="P1237" i="42676"/>
  <c r="G1237" i="42676"/>
  <c r="P1236" i="42676"/>
  <c r="G1236" i="42676"/>
  <c r="P1235" i="42676"/>
  <c r="G1235" i="42676"/>
  <c r="P1234" i="42676"/>
  <c r="G1234" i="42676"/>
  <c r="P1233" i="42676"/>
  <c r="G1233" i="42676"/>
  <c r="P1232" i="42676"/>
  <c r="G1232" i="42676"/>
  <c r="P1231" i="42676"/>
  <c r="G1231" i="42676"/>
  <c r="P1230" i="42676"/>
  <c r="G1230" i="42676"/>
  <c r="P1229" i="42676"/>
  <c r="G1229" i="42676"/>
  <c r="P1228" i="42676"/>
  <c r="G1228" i="42676"/>
  <c r="P1227" i="42676"/>
  <c r="G1227" i="42676"/>
  <c r="P1226" i="42676"/>
  <c r="G1226" i="42676"/>
  <c r="P1225" i="42676"/>
  <c r="G1225" i="42676"/>
  <c r="P1224" i="42676"/>
  <c r="G1224" i="42676"/>
  <c r="P1223" i="42676"/>
  <c r="G1223" i="42676"/>
  <c r="P1222" i="42676"/>
  <c r="G1222" i="42676"/>
  <c r="P1221" i="42676"/>
  <c r="G1221" i="42676"/>
  <c r="P1220" i="42676"/>
  <c r="G1220" i="42676"/>
  <c r="P1219" i="42676"/>
  <c r="G1219" i="42676"/>
  <c r="P1218" i="42676"/>
  <c r="G1218" i="42676"/>
  <c r="P1217" i="42676"/>
  <c r="G1217" i="42676"/>
  <c r="P1216" i="42676"/>
  <c r="G1216" i="42676"/>
  <c r="P1215" i="42676"/>
  <c r="G1215" i="42676"/>
  <c r="P1214" i="42676"/>
  <c r="G1214" i="42676"/>
  <c r="P1213" i="42676"/>
  <c r="G1213" i="42676"/>
  <c r="P1212" i="42676"/>
  <c r="G1212" i="42676"/>
  <c r="P1211" i="42676"/>
  <c r="G1211" i="42676"/>
  <c r="P1210" i="42676"/>
  <c r="G1210" i="42676"/>
  <c r="P1209" i="42676"/>
  <c r="G1209" i="42676"/>
  <c r="P1208" i="42676"/>
  <c r="G1208" i="42676"/>
  <c r="P1207" i="42676"/>
  <c r="G1207" i="42676"/>
  <c r="P1206" i="42676"/>
  <c r="G1206" i="42676"/>
  <c r="P1205" i="42676"/>
  <c r="G1205" i="42676"/>
  <c r="P1204" i="42676"/>
  <c r="G1204" i="42676"/>
  <c r="P1203" i="42676"/>
  <c r="G1203" i="42676"/>
  <c r="P1202" i="42676"/>
  <c r="G1202" i="42676"/>
  <c r="P1201" i="42676"/>
  <c r="G1201" i="42676"/>
  <c r="P1200" i="42676"/>
  <c r="G1200" i="42676"/>
  <c r="P1199" i="42676"/>
  <c r="G1199" i="42676"/>
  <c r="P1198" i="42676"/>
  <c r="G1198" i="42676"/>
  <c r="P1197" i="42676"/>
  <c r="G1197" i="42676"/>
  <c r="P1196" i="42676"/>
  <c r="G1196" i="42676"/>
  <c r="P1195" i="42676"/>
  <c r="G1195" i="42676"/>
  <c r="P1194" i="42676"/>
  <c r="G1194" i="42676"/>
  <c r="P1193" i="42676"/>
  <c r="G1193" i="42676"/>
  <c r="P1192" i="42676"/>
  <c r="G1192" i="42676"/>
  <c r="P1191" i="42676"/>
  <c r="G1191" i="42676"/>
  <c r="P1190" i="42676"/>
  <c r="G1190" i="42676"/>
  <c r="P1189" i="42676"/>
  <c r="G1189" i="42676"/>
  <c r="P1188" i="42676"/>
  <c r="G1188" i="42676"/>
  <c r="P1187" i="42676"/>
  <c r="G1187" i="42676"/>
  <c r="P1186" i="42676"/>
  <c r="G1186" i="42676"/>
  <c r="P1185" i="42676"/>
  <c r="G1185" i="42676"/>
  <c r="P1184" i="42676"/>
  <c r="G1184" i="42676"/>
  <c r="P1183" i="42676"/>
  <c r="G1183" i="42676"/>
  <c r="P1182" i="42676"/>
  <c r="G1182" i="42676"/>
  <c r="P1181" i="42676"/>
  <c r="G1181" i="42676"/>
  <c r="P1180" i="42676"/>
  <c r="G1180" i="42676"/>
  <c r="P1179" i="42676"/>
  <c r="G1179" i="42676"/>
  <c r="P1178" i="42676"/>
  <c r="G1178" i="42676"/>
  <c r="P1177" i="42676"/>
  <c r="G1177" i="42676"/>
  <c r="P1176" i="42676"/>
  <c r="G1176" i="42676"/>
  <c r="P1175" i="42676"/>
  <c r="G1175" i="42676"/>
  <c r="P1174" i="42676"/>
  <c r="G1174" i="42676"/>
  <c r="P1173" i="42676"/>
  <c r="G1173" i="42676"/>
  <c r="P1172" i="42676"/>
  <c r="G1172" i="42676"/>
  <c r="P1171" i="42676"/>
  <c r="G1171" i="42676"/>
  <c r="P1170" i="42676"/>
  <c r="G1170" i="42676"/>
  <c r="P1169" i="42676"/>
  <c r="G1169" i="42676"/>
  <c r="P1168" i="42676"/>
  <c r="G1168" i="42676"/>
  <c r="P1167" i="42676"/>
  <c r="G1167" i="42676"/>
  <c r="P1166" i="42676"/>
  <c r="G1166" i="42676"/>
  <c r="P1165" i="42676"/>
  <c r="G1165" i="42676"/>
  <c r="P1164" i="42676"/>
  <c r="G1164" i="42676"/>
  <c r="P1163" i="42676"/>
  <c r="G1163" i="42676"/>
  <c r="P1162" i="42676"/>
  <c r="G1162" i="42676"/>
  <c r="P1161" i="42676"/>
  <c r="G1161" i="42676"/>
  <c r="P1160" i="42676"/>
  <c r="G1160" i="42676"/>
  <c r="P1159" i="42676"/>
  <c r="G1159" i="42676"/>
  <c r="P1158" i="42676"/>
  <c r="G1158" i="42676"/>
  <c r="P1157" i="42676"/>
  <c r="G1157" i="42676"/>
  <c r="P1156" i="42676"/>
  <c r="G1156" i="42676"/>
  <c r="P1155" i="42676"/>
  <c r="G1155" i="42676"/>
  <c r="P1154" i="42676"/>
  <c r="G1154" i="42676"/>
  <c r="P1153" i="42676"/>
  <c r="G1153" i="42676"/>
  <c r="P1152" i="42676"/>
  <c r="G1152" i="42676"/>
  <c r="P1151" i="42676"/>
  <c r="G1151" i="42676"/>
  <c r="P1150" i="42676"/>
  <c r="G1150" i="42676"/>
  <c r="P1149" i="42676"/>
  <c r="G1149" i="42676"/>
  <c r="P1148" i="42676"/>
  <c r="G1148" i="42676"/>
  <c r="P1147" i="42676"/>
  <c r="G1147" i="42676"/>
  <c r="P1146" i="42676"/>
  <c r="G1146" i="42676"/>
  <c r="P1145" i="42676"/>
  <c r="G1145" i="42676"/>
  <c r="P1144" i="42676"/>
  <c r="G1144" i="42676"/>
  <c r="P1143" i="42676"/>
  <c r="G1143" i="42676"/>
  <c r="P1142" i="42676"/>
  <c r="G1142" i="42676"/>
  <c r="P1141" i="42676"/>
  <c r="G1141" i="42676"/>
  <c r="P1140" i="42676"/>
  <c r="G1140" i="42676"/>
  <c r="P1139" i="42676"/>
  <c r="G1139" i="42676"/>
  <c r="P1138" i="42676"/>
  <c r="G1138" i="42676"/>
  <c r="P1137" i="42676"/>
  <c r="G1137" i="42676"/>
  <c r="P1136" i="42676"/>
  <c r="G1136" i="42676"/>
  <c r="P1135" i="42676"/>
  <c r="G1135" i="42676"/>
  <c r="P1134" i="42676"/>
  <c r="G1134" i="42676"/>
  <c r="P1133" i="42676"/>
  <c r="G1133" i="42676"/>
  <c r="P1132" i="42676"/>
  <c r="G1132" i="42676"/>
  <c r="P1131" i="42676"/>
  <c r="G1131" i="42676"/>
  <c r="P1130" i="42676"/>
  <c r="G1130" i="42676"/>
  <c r="P1129" i="42676"/>
  <c r="G1129" i="42676"/>
  <c r="P1128" i="42676"/>
  <c r="G1128" i="42676"/>
  <c r="P1127" i="42676"/>
  <c r="G1127" i="42676"/>
  <c r="P1126" i="42676"/>
  <c r="G1126" i="42676"/>
  <c r="P1125" i="42676"/>
  <c r="G1125" i="42676"/>
  <c r="P1124" i="42676"/>
  <c r="G1124" i="42676"/>
  <c r="P1123" i="42676"/>
  <c r="G1123" i="42676"/>
  <c r="P1122" i="42676"/>
  <c r="G1122" i="42676"/>
  <c r="P1121" i="42676"/>
  <c r="G1121" i="42676"/>
  <c r="P1120" i="42676"/>
  <c r="G1120" i="42676"/>
  <c r="P1119" i="42676"/>
  <c r="G1119" i="42676"/>
  <c r="P1118" i="42676"/>
  <c r="G1118" i="42676"/>
  <c r="P1117" i="42676"/>
  <c r="G1117" i="42676"/>
  <c r="P1116" i="42676"/>
  <c r="G1116" i="42676"/>
  <c r="P1115" i="42676"/>
  <c r="G1115" i="42676"/>
  <c r="P1114" i="42676"/>
  <c r="G1114" i="42676"/>
  <c r="P1113" i="42676"/>
  <c r="G1113" i="42676"/>
  <c r="P1112" i="42676"/>
  <c r="G1112" i="42676"/>
  <c r="P1111" i="42676"/>
  <c r="G1111" i="42676"/>
  <c r="P1110" i="42676"/>
  <c r="G1110" i="42676"/>
  <c r="P1109" i="42676"/>
  <c r="G1109" i="42676"/>
  <c r="P1108" i="42676"/>
  <c r="G1108" i="42676"/>
  <c r="P1107" i="42676"/>
  <c r="G1107" i="42676"/>
  <c r="P1106" i="42676"/>
  <c r="G1106" i="42676"/>
  <c r="P1105" i="42676"/>
  <c r="G1105" i="42676"/>
  <c r="P1104" i="42676"/>
  <c r="G1104" i="42676"/>
  <c r="P1103" i="42676"/>
  <c r="G1103" i="42676"/>
  <c r="P1102" i="42676"/>
  <c r="G1102" i="42676"/>
  <c r="P1101" i="42676"/>
  <c r="G1101" i="42676"/>
  <c r="P1100" i="42676"/>
  <c r="G1100" i="42676"/>
  <c r="P1099" i="42676"/>
  <c r="G1099" i="42676"/>
  <c r="P1098" i="42676"/>
  <c r="G1098" i="42676"/>
  <c r="P1097" i="42676"/>
  <c r="G1097" i="42676"/>
  <c r="P1096" i="42676"/>
  <c r="G1096" i="42676"/>
  <c r="P1095" i="42676"/>
  <c r="G1095" i="42676"/>
  <c r="P1094" i="42676"/>
  <c r="G1094" i="42676"/>
  <c r="P1093" i="42676"/>
  <c r="G1093" i="42676"/>
  <c r="P1092" i="42676"/>
  <c r="G1092" i="42676"/>
  <c r="P1091" i="42676"/>
  <c r="G1091" i="42676"/>
  <c r="P1090" i="42676"/>
  <c r="G1090" i="42676"/>
  <c r="P1089" i="42676"/>
  <c r="G1089" i="42676"/>
  <c r="P1088" i="42676"/>
  <c r="G1088" i="42676"/>
  <c r="P1087" i="42676"/>
  <c r="G1087" i="42676"/>
  <c r="P1086" i="42676"/>
  <c r="G1086" i="42676"/>
  <c r="P1085" i="42676"/>
  <c r="G1085" i="42676"/>
  <c r="P1084" i="42676"/>
  <c r="G1084" i="42676"/>
  <c r="P1083" i="42676"/>
  <c r="G1083" i="42676"/>
  <c r="P1082" i="42676"/>
  <c r="G1082" i="42676"/>
  <c r="P1081" i="42676"/>
  <c r="G1081" i="42676"/>
  <c r="P1080" i="42676"/>
  <c r="G1080" i="42676"/>
  <c r="P1079" i="42676"/>
  <c r="G1079" i="42676"/>
  <c r="P1078" i="42676"/>
  <c r="G1078" i="42676"/>
  <c r="P1077" i="42676"/>
  <c r="G1077" i="42676"/>
  <c r="P1076" i="42676"/>
  <c r="G1076" i="42676"/>
  <c r="P1075" i="42676"/>
  <c r="G1075" i="42676"/>
  <c r="P1074" i="42676"/>
  <c r="G1074" i="42676"/>
  <c r="P1073" i="42676"/>
  <c r="G1073" i="42676"/>
  <c r="P1072" i="42676"/>
  <c r="G1072" i="42676"/>
  <c r="P1071" i="42676"/>
  <c r="G1071" i="42676"/>
  <c r="P1070" i="42676"/>
  <c r="G1070" i="42676"/>
  <c r="P1069" i="42676"/>
  <c r="G1069" i="42676"/>
  <c r="P1068" i="42676"/>
  <c r="G1068" i="42676"/>
  <c r="P1067" i="42676"/>
  <c r="G1067" i="42676"/>
  <c r="P1066" i="42676"/>
  <c r="G1066" i="42676"/>
  <c r="P1065" i="42676"/>
  <c r="G1065" i="42676"/>
  <c r="P1064" i="42676"/>
  <c r="G1064" i="42676"/>
  <c r="P1063" i="42676"/>
  <c r="G1063" i="42676"/>
  <c r="P1062" i="42676"/>
  <c r="G1062" i="42676"/>
  <c r="P1061" i="42676"/>
  <c r="G1061" i="42676"/>
  <c r="P1060" i="42676"/>
  <c r="G1060" i="42676"/>
  <c r="P1059" i="42676"/>
  <c r="G1059" i="42676"/>
  <c r="P1058" i="42676"/>
  <c r="G1058" i="42676"/>
  <c r="P1057" i="42676"/>
  <c r="G1057" i="42676"/>
  <c r="P1056" i="42676"/>
  <c r="G1056" i="42676"/>
  <c r="P1055" i="42676"/>
  <c r="G1055" i="42676"/>
  <c r="P1054" i="42676"/>
  <c r="G1054" i="42676"/>
  <c r="P1053" i="42676"/>
  <c r="G1053" i="42676"/>
  <c r="P1052" i="42676"/>
  <c r="G1052" i="42676"/>
  <c r="P1051" i="42676"/>
  <c r="G1051" i="42676"/>
  <c r="P1050" i="42676"/>
  <c r="G1050" i="42676"/>
  <c r="P1049" i="42676"/>
  <c r="G1049" i="42676"/>
  <c r="P1048" i="42676"/>
  <c r="G1048" i="42676"/>
  <c r="P1047" i="42676"/>
  <c r="G1047" i="42676"/>
  <c r="P1046" i="42676"/>
  <c r="G1046" i="42676"/>
  <c r="P1045" i="42676"/>
  <c r="G1045" i="42676"/>
  <c r="P1044" i="42676"/>
  <c r="G1044" i="42676"/>
  <c r="P1043" i="42676"/>
  <c r="G1043" i="42676"/>
  <c r="P1042" i="42676"/>
  <c r="G1042" i="42676"/>
  <c r="P1041" i="42676"/>
  <c r="G1041" i="42676"/>
  <c r="P1040" i="42676"/>
  <c r="G1040" i="42676"/>
  <c r="P1039" i="42676"/>
  <c r="G1039" i="42676"/>
  <c r="P1038" i="42676"/>
  <c r="G1038" i="42676"/>
  <c r="P1037" i="42676"/>
  <c r="G1037" i="42676"/>
  <c r="P1036" i="42676"/>
  <c r="G1036" i="42676"/>
  <c r="P1035" i="42676"/>
  <c r="G1035" i="42676"/>
  <c r="P1034" i="42676"/>
  <c r="G1034" i="42676"/>
  <c r="P1033" i="42676"/>
  <c r="G1033" i="42676"/>
  <c r="P1032" i="42676"/>
  <c r="G1032" i="42676"/>
  <c r="P1031" i="42676"/>
  <c r="G1031" i="42676"/>
  <c r="P1030" i="42676"/>
  <c r="G1030" i="42676"/>
  <c r="P1029" i="42676"/>
  <c r="G1029" i="42676"/>
  <c r="P1028" i="42676"/>
  <c r="G1028" i="42676"/>
  <c r="P1027" i="42676"/>
  <c r="G1027" i="42676"/>
  <c r="P1026" i="42676"/>
  <c r="G1026" i="42676"/>
  <c r="P1025" i="42676"/>
  <c r="G1025" i="42676"/>
  <c r="P1024" i="42676"/>
  <c r="G1024" i="42676"/>
  <c r="P1023" i="42676"/>
  <c r="G1023" i="42676"/>
  <c r="P1022" i="42676"/>
  <c r="G1022" i="42676"/>
  <c r="P1021" i="42676"/>
  <c r="G1021" i="42676"/>
  <c r="P1020" i="42676"/>
  <c r="G1020" i="42676"/>
  <c r="P1019" i="42676"/>
  <c r="G1019" i="42676"/>
  <c r="P1018" i="42676"/>
  <c r="G1018" i="42676"/>
  <c r="P1017" i="42676"/>
  <c r="G1017" i="42676"/>
  <c r="P1016" i="42676"/>
  <c r="G1016" i="42676"/>
  <c r="P1015" i="42676"/>
  <c r="G1015" i="42676"/>
  <c r="P1014" i="42676"/>
  <c r="G1014" i="42676"/>
  <c r="P1013" i="42676"/>
  <c r="G1013" i="42676"/>
  <c r="P1012" i="42676"/>
  <c r="G1012" i="42676"/>
  <c r="P1011" i="42676"/>
  <c r="G1011" i="42676"/>
  <c r="P1010" i="42676"/>
  <c r="G1010" i="42676"/>
  <c r="P1009" i="42676"/>
  <c r="G1009" i="42676"/>
  <c r="P1008" i="42676"/>
  <c r="G1008" i="42676"/>
  <c r="P1007" i="42676"/>
  <c r="G1007" i="42676"/>
  <c r="P1006" i="42676"/>
  <c r="G1006" i="42676"/>
  <c r="P1005" i="42676"/>
  <c r="G1005" i="42676"/>
  <c r="P1004" i="42676"/>
  <c r="G1004" i="42676"/>
  <c r="P1003" i="42676"/>
  <c r="G1003" i="42676"/>
  <c r="P1002" i="42676"/>
  <c r="G1002" i="42676"/>
  <c r="P1001" i="42676"/>
  <c r="G1001" i="42676"/>
  <c r="P1000" i="42676"/>
  <c r="G1000" i="42676"/>
  <c r="P999" i="42676"/>
  <c r="G999" i="42676"/>
  <c r="P998" i="42676"/>
  <c r="G998" i="42676"/>
  <c r="P997" i="42676"/>
  <c r="G997" i="42676"/>
  <c r="P996" i="42676"/>
  <c r="G996" i="42676"/>
  <c r="P995" i="42676"/>
  <c r="G995" i="42676"/>
  <c r="P994" i="42676"/>
  <c r="G994" i="42676"/>
  <c r="P993" i="42676"/>
  <c r="G993" i="42676"/>
  <c r="P992" i="42676"/>
  <c r="G992" i="42676"/>
  <c r="P991" i="42676"/>
  <c r="G991" i="42676"/>
  <c r="P990" i="42676"/>
  <c r="G990" i="42676"/>
  <c r="P989" i="42676"/>
  <c r="G989" i="42676"/>
  <c r="P988" i="42676"/>
  <c r="G988" i="42676"/>
  <c r="P987" i="42676"/>
  <c r="G987" i="42676"/>
  <c r="P986" i="42676"/>
  <c r="G986" i="42676"/>
  <c r="P985" i="42676"/>
  <c r="G985" i="42676"/>
  <c r="P984" i="42676"/>
  <c r="G984" i="42676"/>
  <c r="P983" i="42676"/>
  <c r="G983" i="42676"/>
  <c r="P982" i="42676"/>
  <c r="G982" i="42676"/>
  <c r="P981" i="42676"/>
  <c r="G981" i="42676"/>
  <c r="P980" i="42676"/>
  <c r="G980" i="42676"/>
  <c r="P979" i="42676"/>
  <c r="G979" i="42676"/>
  <c r="P978" i="42676"/>
  <c r="G978" i="42676"/>
  <c r="P977" i="42676"/>
  <c r="G977" i="42676"/>
  <c r="P976" i="42676"/>
  <c r="G976" i="42676"/>
  <c r="P975" i="42676"/>
  <c r="G975" i="42676"/>
  <c r="P974" i="42676"/>
  <c r="G974" i="42676"/>
  <c r="P973" i="42676"/>
  <c r="G973" i="42676"/>
  <c r="P972" i="42676"/>
  <c r="G972" i="42676"/>
  <c r="P971" i="42676"/>
  <c r="G971" i="42676"/>
  <c r="P970" i="42676"/>
  <c r="G970" i="42676"/>
  <c r="P969" i="42676"/>
  <c r="G969" i="42676"/>
  <c r="P968" i="42676"/>
  <c r="G968" i="42676"/>
  <c r="P967" i="42676"/>
  <c r="G967" i="42676"/>
  <c r="P966" i="42676"/>
  <c r="G966" i="42676"/>
  <c r="P965" i="42676"/>
  <c r="G965" i="42676"/>
  <c r="P964" i="42676"/>
  <c r="G964" i="42676"/>
  <c r="P963" i="42676"/>
  <c r="G963" i="42676"/>
  <c r="P962" i="42676"/>
  <c r="G962" i="42676"/>
  <c r="P961" i="42676"/>
  <c r="G961" i="42676"/>
  <c r="P960" i="42676"/>
  <c r="G960" i="42676"/>
  <c r="P959" i="42676"/>
  <c r="G959" i="42676"/>
  <c r="P958" i="42676"/>
  <c r="G958" i="42676"/>
  <c r="P957" i="42676"/>
  <c r="G957" i="42676"/>
  <c r="P956" i="42676"/>
  <c r="G956" i="42676"/>
  <c r="P955" i="42676"/>
  <c r="G955" i="42676"/>
  <c r="P954" i="42676"/>
  <c r="G954" i="42676"/>
  <c r="P953" i="42676"/>
  <c r="G953" i="42676"/>
  <c r="P952" i="42676"/>
  <c r="G952" i="42676"/>
  <c r="P951" i="42676"/>
  <c r="G951" i="42676"/>
  <c r="P950" i="42676"/>
  <c r="G950" i="42676"/>
  <c r="P949" i="42676"/>
  <c r="G949" i="42676"/>
  <c r="P948" i="42676"/>
  <c r="G948" i="42676"/>
  <c r="P947" i="42676"/>
  <c r="G947" i="42676"/>
  <c r="P946" i="42676"/>
  <c r="G946" i="42676"/>
  <c r="P945" i="42676"/>
  <c r="G945" i="42676"/>
  <c r="P944" i="42676"/>
  <c r="G944" i="42676"/>
  <c r="P943" i="42676"/>
  <c r="G943" i="42676"/>
  <c r="P942" i="42676"/>
  <c r="G942" i="42676"/>
  <c r="P941" i="42676"/>
  <c r="G941" i="42676"/>
  <c r="P940" i="42676"/>
  <c r="G940" i="42676"/>
  <c r="P939" i="42676"/>
  <c r="G939" i="42676"/>
  <c r="P938" i="42676"/>
  <c r="G938" i="42676"/>
  <c r="P937" i="42676"/>
  <c r="G937" i="42676"/>
  <c r="P936" i="42676"/>
  <c r="G936" i="42676"/>
  <c r="P935" i="42676"/>
  <c r="G935" i="42676"/>
  <c r="P934" i="42676"/>
  <c r="G934" i="42676"/>
  <c r="P933" i="42676"/>
  <c r="G933" i="42676"/>
  <c r="P932" i="42676"/>
  <c r="G932" i="42676"/>
  <c r="P931" i="42676"/>
  <c r="G931" i="42676"/>
  <c r="P930" i="42676"/>
  <c r="G930" i="42676"/>
  <c r="P929" i="42676"/>
  <c r="G929" i="42676"/>
  <c r="P928" i="42676"/>
  <c r="G928" i="42676"/>
  <c r="P927" i="42676"/>
  <c r="G927" i="42676"/>
  <c r="P926" i="42676"/>
  <c r="G926" i="42676"/>
  <c r="P925" i="42676"/>
  <c r="G925" i="42676"/>
  <c r="P924" i="42676"/>
  <c r="G924" i="42676"/>
  <c r="P923" i="42676"/>
  <c r="G923" i="42676"/>
  <c r="P922" i="42676"/>
  <c r="G922" i="42676"/>
  <c r="P921" i="42676"/>
  <c r="G921" i="42676"/>
  <c r="P920" i="42676"/>
  <c r="G920" i="42676"/>
  <c r="P919" i="42676"/>
  <c r="G919" i="42676"/>
  <c r="P918" i="42676"/>
  <c r="G918" i="42676"/>
  <c r="P917" i="42676"/>
  <c r="G917" i="42676"/>
  <c r="P916" i="42676"/>
  <c r="G916" i="42676"/>
  <c r="P915" i="42676"/>
  <c r="G915" i="42676"/>
  <c r="P914" i="42676"/>
  <c r="G914" i="42676"/>
  <c r="P913" i="42676"/>
  <c r="G913" i="42676"/>
  <c r="P912" i="42676"/>
  <c r="G912" i="42676"/>
  <c r="P911" i="42676"/>
  <c r="G911" i="42676"/>
  <c r="P910" i="42676"/>
  <c r="G910" i="42676"/>
  <c r="P909" i="42676"/>
  <c r="G909" i="42676"/>
  <c r="P908" i="42676"/>
  <c r="G908" i="42676"/>
  <c r="P907" i="42676"/>
  <c r="G907" i="42676"/>
  <c r="P906" i="42676"/>
  <c r="G906" i="42676"/>
  <c r="P905" i="42676"/>
  <c r="G905" i="42676"/>
  <c r="P904" i="42676"/>
  <c r="G904" i="42676"/>
  <c r="P903" i="42676"/>
  <c r="G903" i="42676"/>
  <c r="P902" i="42676"/>
  <c r="G902" i="42676"/>
  <c r="P901" i="42676"/>
  <c r="G901" i="42676"/>
  <c r="P900" i="42676"/>
  <c r="G900" i="42676"/>
  <c r="P899" i="42676"/>
  <c r="G899" i="42676"/>
  <c r="P898" i="42676"/>
  <c r="G898" i="42676"/>
  <c r="P897" i="42676"/>
  <c r="G897" i="42676"/>
  <c r="P896" i="42676"/>
  <c r="G896" i="42676"/>
  <c r="P895" i="42676"/>
  <c r="G895" i="42676"/>
  <c r="P894" i="42676"/>
  <c r="G894" i="42676"/>
  <c r="P893" i="42676"/>
  <c r="G893" i="42676"/>
  <c r="P892" i="42676"/>
  <c r="G892" i="42676"/>
  <c r="P891" i="42676"/>
  <c r="G891" i="42676"/>
  <c r="P890" i="42676"/>
  <c r="G890" i="42676"/>
  <c r="P889" i="42676"/>
  <c r="G889" i="42676"/>
  <c r="P888" i="42676"/>
  <c r="G888" i="42676"/>
  <c r="P887" i="42676"/>
  <c r="G887" i="42676"/>
  <c r="P886" i="42676"/>
  <c r="G886" i="42676"/>
  <c r="P885" i="42676"/>
  <c r="G885" i="42676"/>
  <c r="P884" i="42676"/>
  <c r="G884" i="42676"/>
  <c r="P883" i="42676"/>
  <c r="G883" i="42676"/>
  <c r="P882" i="42676"/>
  <c r="G882" i="42676"/>
  <c r="P881" i="42676"/>
  <c r="G881" i="42676"/>
  <c r="P880" i="42676"/>
  <c r="G880" i="42676"/>
  <c r="P879" i="42676"/>
  <c r="G879" i="42676"/>
  <c r="P878" i="42676"/>
  <c r="G878" i="42676"/>
  <c r="P877" i="42676"/>
  <c r="G877" i="42676"/>
  <c r="P876" i="42676"/>
  <c r="G876" i="42676"/>
  <c r="P875" i="42676"/>
  <c r="G875" i="42676"/>
  <c r="P874" i="42676"/>
  <c r="G874" i="42676"/>
  <c r="P873" i="42676"/>
  <c r="G873" i="42676"/>
  <c r="P872" i="42676"/>
  <c r="G872" i="42676"/>
  <c r="P871" i="42676"/>
  <c r="G871" i="42676"/>
  <c r="P870" i="42676"/>
  <c r="G870" i="42676"/>
  <c r="P869" i="42676"/>
  <c r="G869" i="42676"/>
  <c r="P868" i="42676"/>
  <c r="G868" i="42676"/>
  <c r="P867" i="42676"/>
  <c r="G867" i="42676"/>
  <c r="P866" i="42676"/>
  <c r="G866" i="42676"/>
  <c r="P865" i="42676"/>
  <c r="G865" i="42676"/>
  <c r="P864" i="42676"/>
  <c r="G864" i="42676"/>
  <c r="P863" i="42676"/>
  <c r="G863" i="42676"/>
  <c r="P862" i="42676"/>
  <c r="G862" i="42676"/>
  <c r="P861" i="42676"/>
  <c r="G861" i="42676"/>
  <c r="P860" i="42676"/>
  <c r="G860" i="42676"/>
  <c r="P859" i="42676"/>
  <c r="G859" i="42676"/>
  <c r="P858" i="42676"/>
  <c r="G858" i="42676"/>
  <c r="P857" i="42676"/>
  <c r="G857" i="42676"/>
  <c r="P856" i="42676"/>
  <c r="G856" i="42676"/>
  <c r="P855" i="42676"/>
  <c r="G855" i="42676"/>
  <c r="P854" i="42676"/>
  <c r="G854" i="42676"/>
  <c r="P853" i="42676"/>
  <c r="G853" i="42676"/>
  <c r="P852" i="42676"/>
  <c r="G852" i="42676"/>
  <c r="P851" i="42676"/>
  <c r="G851" i="42676"/>
  <c r="P850" i="42676"/>
  <c r="G850" i="42676"/>
  <c r="P849" i="42676"/>
  <c r="G849" i="42676"/>
  <c r="P848" i="42676"/>
  <c r="G848" i="42676"/>
  <c r="P847" i="42676"/>
  <c r="G847" i="42676"/>
  <c r="P846" i="42676"/>
  <c r="G846" i="42676"/>
  <c r="P845" i="42676"/>
  <c r="G845" i="42676"/>
  <c r="P844" i="42676"/>
  <c r="G844" i="42676"/>
  <c r="P843" i="42676"/>
  <c r="G843" i="42676"/>
  <c r="P842" i="42676"/>
  <c r="G842" i="42676"/>
  <c r="P841" i="42676"/>
  <c r="G841" i="42676"/>
  <c r="P840" i="42676"/>
  <c r="G840" i="42676"/>
  <c r="P839" i="42676"/>
  <c r="G839" i="42676"/>
  <c r="P838" i="42676"/>
  <c r="G838" i="42676"/>
  <c r="P837" i="42676"/>
  <c r="G837" i="42676"/>
  <c r="P836" i="42676"/>
  <c r="G836" i="42676"/>
  <c r="P835" i="42676"/>
  <c r="G835" i="42676"/>
  <c r="P834" i="42676"/>
  <c r="G834" i="42676"/>
  <c r="P833" i="42676"/>
  <c r="G833" i="42676"/>
  <c r="P832" i="42676"/>
  <c r="G832" i="42676"/>
  <c r="P831" i="42676"/>
  <c r="G831" i="42676"/>
  <c r="P830" i="42676"/>
  <c r="G830" i="42676"/>
  <c r="P829" i="42676"/>
  <c r="G829" i="42676"/>
  <c r="P828" i="42676"/>
  <c r="G828" i="42676"/>
  <c r="P827" i="42676"/>
  <c r="G827" i="42676"/>
  <c r="P826" i="42676"/>
  <c r="G826" i="42676"/>
  <c r="P825" i="42676"/>
  <c r="G825" i="42676"/>
  <c r="P824" i="42676"/>
  <c r="G824" i="42676"/>
  <c r="P823" i="42676"/>
  <c r="G823" i="42676"/>
  <c r="P822" i="42676"/>
  <c r="G822" i="42676"/>
  <c r="P821" i="42676"/>
  <c r="G821" i="42676"/>
  <c r="P820" i="42676"/>
  <c r="G820" i="42676"/>
  <c r="P819" i="42676"/>
  <c r="G819" i="42676"/>
  <c r="P818" i="42676"/>
  <c r="G818" i="42676"/>
  <c r="P817" i="42676"/>
  <c r="G817" i="42676"/>
  <c r="P816" i="42676"/>
  <c r="G816" i="42676"/>
  <c r="P815" i="42676"/>
  <c r="G815" i="42676"/>
  <c r="P814" i="42676"/>
  <c r="G814" i="42676"/>
  <c r="P813" i="42676"/>
  <c r="G813" i="42676"/>
  <c r="P812" i="42676"/>
  <c r="G812" i="42676"/>
  <c r="P811" i="42676"/>
  <c r="G811" i="42676"/>
  <c r="P810" i="42676"/>
  <c r="G810" i="42676"/>
  <c r="P809" i="42676"/>
  <c r="G809" i="42676"/>
  <c r="P808" i="42676"/>
  <c r="G808" i="42676"/>
  <c r="P807" i="42676"/>
  <c r="G807" i="42676"/>
  <c r="P806" i="42676"/>
  <c r="G806" i="42676"/>
  <c r="P805" i="42676"/>
  <c r="G805" i="42676"/>
  <c r="P804" i="42676"/>
  <c r="G804" i="42676"/>
  <c r="P803" i="42676"/>
  <c r="G803" i="42676"/>
  <c r="P802" i="42676"/>
  <c r="G802" i="42676"/>
  <c r="P801" i="42676"/>
  <c r="G801" i="42676"/>
  <c r="P800" i="42676"/>
  <c r="G800" i="42676"/>
  <c r="P799" i="42676"/>
  <c r="G799" i="42676"/>
  <c r="P798" i="42676"/>
  <c r="G798" i="42676"/>
  <c r="P797" i="42676"/>
  <c r="G797" i="42676"/>
  <c r="P796" i="42676"/>
  <c r="G796" i="42676"/>
  <c r="P795" i="42676"/>
  <c r="G795" i="42676"/>
  <c r="P794" i="42676"/>
  <c r="G794" i="42676"/>
  <c r="P793" i="42676"/>
  <c r="G793" i="42676"/>
  <c r="P792" i="42676"/>
  <c r="G792" i="42676"/>
  <c r="P791" i="42676"/>
  <c r="G791" i="42676"/>
  <c r="P790" i="42676"/>
  <c r="G790" i="42676"/>
  <c r="P789" i="42676"/>
  <c r="G789" i="42676"/>
  <c r="P788" i="42676"/>
  <c r="G788" i="42676"/>
  <c r="P787" i="42676"/>
  <c r="G787" i="42676"/>
  <c r="P786" i="42676"/>
  <c r="G786" i="42676"/>
  <c r="P785" i="42676"/>
  <c r="G785" i="42676"/>
  <c r="P784" i="42676"/>
  <c r="G784" i="42676"/>
  <c r="P783" i="42676"/>
  <c r="G783" i="42676"/>
  <c r="P782" i="42676"/>
  <c r="G782" i="42676"/>
  <c r="P781" i="42676"/>
  <c r="G781" i="42676"/>
  <c r="P780" i="42676"/>
  <c r="G780" i="42676"/>
  <c r="P779" i="42676"/>
  <c r="G779" i="42676"/>
  <c r="P778" i="42676"/>
  <c r="G778" i="42676"/>
  <c r="P777" i="42676"/>
  <c r="G777" i="42676"/>
  <c r="P776" i="42676"/>
  <c r="G776" i="42676"/>
  <c r="P775" i="42676"/>
  <c r="G775" i="42676"/>
  <c r="P774" i="42676"/>
  <c r="G774" i="42676"/>
  <c r="P773" i="42676"/>
  <c r="G773" i="42676"/>
  <c r="P772" i="42676"/>
  <c r="G772" i="42676"/>
  <c r="P771" i="42676"/>
  <c r="G771" i="42676"/>
  <c r="P770" i="42676"/>
  <c r="G770" i="42676"/>
  <c r="P769" i="42676"/>
  <c r="G769" i="42676"/>
  <c r="P768" i="42676"/>
  <c r="G768" i="42676"/>
  <c r="P767" i="42676"/>
  <c r="G767" i="42676"/>
  <c r="P766" i="42676"/>
  <c r="G766" i="42676"/>
  <c r="P765" i="42676"/>
  <c r="G765" i="42676"/>
  <c r="P764" i="42676"/>
  <c r="G764" i="42676"/>
  <c r="P763" i="42676"/>
  <c r="G763" i="42676"/>
  <c r="P762" i="42676"/>
  <c r="G762" i="42676"/>
  <c r="P761" i="42676"/>
  <c r="G761" i="42676"/>
  <c r="P760" i="42676"/>
  <c r="G760" i="42676"/>
  <c r="P759" i="42676"/>
  <c r="G759" i="42676"/>
  <c r="P758" i="42676"/>
  <c r="G758" i="42676"/>
  <c r="P757" i="42676"/>
  <c r="G757" i="42676"/>
  <c r="P756" i="42676"/>
  <c r="G756" i="42676"/>
  <c r="P755" i="42676"/>
  <c r="G755" i="42676"/>
  <c r="P754" i="42676"/>
  <c r="G754" i="42676"/>
  <c r="P753" i="42676"/>
  <c r="G753" i="42676"/>
  <c r="P752" i="42676"/>
  <c r="G752" i="42676"/>
  <c r="P751" i="42676"/>
  <c r="G751" i="42676"/>
  <c r="P750" i="42676"/>
  <c r="G750" i="42676"/>
  <c r="P749" i="42676"/>
  <c r="G749" i="42676"/>
  <c r="P748" i="42676"/>
  <c r="G748" i="42676"/>
  <c r="P747" i="42676"/>
  <c r="G747" i="42676"/>
  <c r="P746" i="42676"/>
  <c r="G746" i="42676"/>
  <c r="P745" i="42676"/>
  <c r="G745" i="42676"/>
  <c r="P744" i="42676"/>
  <c r="G744" i="42676"/>
  <c r="P743" i="42676"/>
  <c r="G743" i="42676"/>
  <c r="P742" i="42676"/>
  <c r="G742" i="42676"/>
  <c r="P741" i="42676"/>
  <c r="G741" i="42676"/>
  <c r="P740" i="42676"/>
  <c r="G740" i="42676"/>
  <c r="P739" i="42676"/>
  <c r="G739" i="42676"/>
  <c r="P738" i="42676"/>
  <c r="G738" i="42676"/>
  <c r="P737" i="42676"/>
  <c r="G737" i="42676"/>
  <c r="P736" i="42676"/>
  <c r="G736" i="42676"/>
  <c r="P735" i="42676"/>
  <c r="G735" i="42676"/>
  <c r="P734" i="42676"/>
  <c r="G734" i="42676"/>
  <c r="P733" i="42676"/>
  <c r="G733" i="42676"/>
  <c r="P732" i="42676"/>
  <c r="G732" i="42676"/>
  <c r="P731" i="42676"/>
  <c r="G731" i="42676"/>
  <c r="P730" i="42676"/>
  <c r="G730" i="42676"/>
  <c r="P729" i="42676"/>
  <c r="G729" i="42676"/>
  <c r="P728" i="42676"/>
  <c r="G728" i="42676"/>
  <c r="P727" i="42676"/>
  <c r="G727" i="42676"/>
  <c r="P726" i="42676"/>
  <c r="G726" i="42676"/>
  <c r="P725" i="42676"/>
  <c r="G725" i="42676"/>
  <c r="P724" i="42676"/>
  <c r="G724" i="42676"/>
  <c r="P723" i="42676"/>
  <c r="G723" i="42676"/>
  <c r="P722" i="42676"/>
  <c r="G722" i="42676"/>
  <c r="P721" i="42676"/>
  <c r="G721" i="42676"/>
  <c r="P720" i="42676"/>
  <c r="G720" i="42676"/>
  <c r="P719" i="42676"/>
  <c r="G719" i="42676"/>
  <c r="P718" i="42676"/>
  <c r="G718" i="42676"/>
  <c r="P717" i="42676"/>
  <c r="G717" i="42676"/>
  <c r="P716" i="42676"/>
  <c r="G716" i="42676"/>
  <c r="P715" i="42676"/>
  <c r="G715" i="42676"/>
  <c r="P714" i="42676"/>
  <c r="G714" i="42676"/>
  <c r="P713" i="42676"/>
  <c r="G713" i="42676"/>
  <c r="P712" i="42676"/>
  <c r="G712" i="42676"/>
  <c r="P711" i="42676"/>
  <c r="G711" i="42676"/>
  <c r="P710" i="42676"/>
  <c r="G710" i="42676"/>
  <c r="P709" i="42676"/>
  <c r="G709" i="42676"/>
  <c r="P708" i="42676"/>
  <c r="G708" i="42676"/>
  <c r="P707" i="42676"/>
  <c r="G707" i="42676"/>
  <c r="P706" i="42676"/>
  <c r="G706" i="42676"/>
  <c r="P705" i="42676"/>
  <c r="G705" i="42676"/>
  <c r="P704" i="42676"/>
  <c r="G704" i="42676"/>
  <c r="P703" i="42676"/>
  <c r="G703" i="42676"/>
  <c r="P702" i="42676"/>
  <c r="G702" i="42676"/>
  <c r="P701" i="42676"/>
  <c r="G701" i="42676"/>
  <c r="P700" i="42676"/>
  <c r="G700" i="42676"/>
  <c r="P699" i="42676"/>
  <c r="G699" i="42676"/>
  <c r="P698" i="42676"/>
  <c r="G698" i="42676"/>
  <c r="P697" i="42676"/>
  <c r="G697" i="42676"/>
  <c r="P696" i="42676"/>
  <c r="G696" i="42676"/>
  <c r="P695" i="42676"/>
  <c r="G695" i="42676"/>
  <c r="P694" i="42676"/>
  <c r="G694" i="42676"/>
  <c r="P693" i="42676"/>
  <c r="G693" i="42676"/>
  <c r="P692" i="42676"/>
  <c r="G692" i="42676"/>
  <c r="P691" i="42676"/>
  <c r="G691" i="42676"/>
  <c r="P690" i="42676"/>
  <c r="G690" i="42676"/>
  <c r="P689" i="42676"/>
  <c r="G689" i="42676"/>
  <c r="P688" i="42676"/>
  <c r="G688" i="42676"/>
  <c r="P687" i="42676"/>
  <c r="G687" i="42676"/>
  <c r="P686" i="42676"/>
  <c r="G686" i="42676"/>
  <c r="P685" i="42676"/>
  <c r="G685" i="42676"/>
  <c r="P684" i="42676"/>
  <c r="G684" i="42676"/>
  <c r="P683" i="42676"/>
  <c r="G683" i="42676"/>
  <c r="P682" i="42676"/>
  <c r="G682" i="42676"/>
  <c r="P681" i="42676"/>
  <c r="G681" i="42676"/>
  <c r="P680" i="42676"/>
  <c r="G680" i="42676"/>
  <c r="P679" i="42676"/>
  <c r="G679" i="42676"/>
  <c r="P678" i="42676"/>
  <c r="G678" i="42676"/>
  <c r="P677" i="42676"/>
  <c r="G677" i="42676"/>
  <c r="P676" i="42676"/>
  <c r="G676" i="42676"/>
  <c r="P675" i="42676"/>
  <c r="G675" i="42676"/>
  <c r="P674" i="42676"/>
  <c r="G674" i="42676"/>
  <c r="P673" i="42676"/>
  <c r="G673" i="42676"/>
  <c r="P672" i="42676"/>
  <c r="G672" i="42676"/>
  <c r="P671" i="42676"/>
  <c r="G671" i="42676"/>
  <c r="P670" i="42676"/>
  <c r="G670" i="42676"/>
  <c r="P669" i="42676"/>
  <c r="G669" i="42676"/>
  <c r="P668" i="42676"/>
  <c r="G668" i="42676"/>
  <c r="P667" i="42676"/>
  <c r="G667" i="42676"/>
  <c r="P666" i="42676"/>
  <c r="G666" i="42676"/>
  <c r="P665" i="42676"/>
  <c r="G665" i="42676"/>
  <c r="P664" i="42676"/>
  <c r="G664" i="42676"/>
  <c r="P663" i="42676"/>
  <c r="G663" i="42676"/>
  <c r="P662" i="42676"/>
  <c r="G662" i="42676"/>
  <c r="P661" i="42676"/>
  <c r="G661" i="42676"/>
  <c r="P660" i="42676"/>
  <c r="G660" i="42676"/>
  <c r="P659" i="42676"/>
  <c r="G659" i="42676"/>
  <c r="P658" i="42676"/>
  <c r="G658" i="42676"/>
  <c r="P657" i="42676"/>
  <c r="G657" i="42676"/>
  <c r="P656" i="42676"/>
  <c r="G656" i="42676"/>
  <c r="P655" i="42676"/>
  <c r="G655" i="42676"/>
  <c r="P654" i="42676"/>
  <c r="G654" i="42676"/>
  <c r="P653" i="42676"/>
  <c r="G653" i="42676"/>
  <c r="P652" i="42676"/>
  <c r="G652" i="42676"/>
  <c r="P651" i="42676"/>
  <c r="G651" i="42676"/>
  <c r="P650" i="42676"/>
  <c r="G650" i="42676"/>
  <c r="P649" i="42676"/>
  <c r="G649" i="42676"/>
  <c r="P648" i="42676"/>
  <c r="G648" i="42676"/>
  <c r="P647" i="42676"/>
  <c r="G647" i="42676"/>
  <c r="P646" i="42676"/>
  <c r="G646" i="42676"/>
  <c r="P645" i="42676"/>
  <c r="G645" i="42676"/>
  <c r="P644" i="42676"/>
  <c r="G644" i="42676"/>
  <c r="P643" i="42676"/>
  <c r="G643" i="42676"/>
  <c r="P642" i="42676"/>
  <c r="G642" i="42676"/>
  <c r="P641" i="42676"/>
  <c r="G641" i="42676"/>
  <c r="P640" i="42676"/>
  <c r="G640" i="42676"/>
  <c r="P639" i="42676"/>
  <c r="G639" i="42676"/>
  <c r="P638" i="42676"/>
  <c r="G638" i="42676"/>
  <c r="P637" i="42676"/>
  <c r="G637" i="42676"/>
  <c r="P636" i="42676"/>
  <c r="G636" i="42676"/>
  <c r="P635" i="42676"/>
  <c r="G635" i="42676"/>
  <c r="P634" i="42676"/>
  <c r="G634" i="42676"/>
  <c r="P633" i="42676"/>
  <c r="G633" i="42676"/>
  <c r="P632" i="42676"/>
  <c r="G632" i="42676"/>
  <c r="P631" i="42676"/>
  <c r="G631" i="42676"/>
  <c r="P630" i="42676"/>
  <c r="G630" i="42676"/>
  <c r="P629" i="42676"/>
  <c r="G629" i="42676"/>
  <c r="P628" i="42676"/>
  <c r="G628" i="42676"/>
  <c r="P627" i="42676"/>
  <c r="G627" i="42676"/>
  <c r="P626" i="42676"/>
  <c r="G626" i="42676"/>
  <c r="P625" i="42676"/>
  <c r="G625" i="42676"/>
  <c r="P624" i="42676"/>
  <c r="G624" i="42676"/>
  <c r="P623" i="42676"/>
  <c r="G623" i="42676"/>
  <c r="P622" i="42676"/>
  <c r="G622" i="42676"/>
  <c r="P621" i="42676"/>
  <c r="G621" i="42676"/>
  <c r="P620" i="42676"/>
  <c r="G620" i="42676"/>
  <c r="P619" i="42676"/>
  <c r="G619" i="42676"/>
  <c r="P618" i="42676"/>
  <c r="G618" i="42676"/>
  <c r="P617" i="42676"/>
  <c r="G617" i="42676"/>
  <c r="P616" i="42676"/>
  <c r="G616" i="42676"/>
  <c r="P615" i="42676"/>
  <c r="G615" i="42676"/>
  <c r="P614" i="42676"/>
  <c r="G614" i="42676"/>
  <c r="P613" i="42676"/>
  <c r="G613" i="42676"/>
  <c r="P612" i="42676"/>
  <c r="G612" i="42676"/>
  <c r="P611" i="42676"/>
  <c r="G611" i="42676"/>
  <c r="P610" i="42676"/>
  <c r="G610" i="42676"/>
  <c r="P609" i="42676"/>
  <c r="G609" i="42676"/>
  <c r="P608" i="42676"/>
  <c r="G608" i="42676"/>
  <c r="P607" i="42676"/>
  <c r="G607" i="42676"/>
  <c r="P606" i="42676"/>
  <c r="G606" i="42676"/>
  <c r="P605" i="42676"/>
  <c r="G605" i="42676"/>
  <c r="P604" i="42676"/>
  <c r="G604" i="42676"/>
  <c r="P603" i="42676"/>
  <c r="G603" i="42676"/>
  <c r="P602" i="42676"/>
  <c r="G602" i="42676"/>
  <c r="P601" i="42676"/>
  <c r="G601" i="42676"/>
  <c r="P600" i="42676"/>
  <c r="G600" i="42676"/>
  <c r="P599" i="42676"/>
  <c r="G599" i="42676"/>
  <c r="P598" i="42676"/>
  <c r="G598" i="42676"/>
  <c r="P597" i="42676"/>
  <c r="G597" i="42676"/>
  <c r="P596" i="42676"/>
  <c r="G596" i="42676"/>
  <c r="P595" i="42676"/>
  <c r="G595" i="42676"/>
  <c r="P594" i="42676"/>
  <c r="G594" i="42676"/>
  <c r="P593" i="42676"/>
  <c r="G593" i="42676"/>
  <c r="P592" i="42676"/>
  <c r="G592" i="42676"/>
  <c r="P591" i="42676"/>
  <c r="G591" i="42676"/>
  <c r="P590" i="42676"/>
  <c r="G590" i="42676"/>
  <c r="P589" i="42676"/>
  <c r="G589" i="42676"/>
  <c r="P588" i="42676"/>
  <c r="G588" i="42676"/>
  <c r="P587" i="42676"/>
  <c r="G587" i="42676"/>
  <c r="P586" i="42676"/>
  <c r="G586" i="42676"/>
  <c r="P585" i="42676"/>
  <c r="G585" i="42676"/>
  <c r="P584" i="42676"/>
  <c r="G584" i="42676"/>
  <c r="P583" i="42676"/>
  <c r="G583" i="42676"/>
  <c r="P582" i="42676"/>
  <c r="G582" i="42676"/>
  <c r="P581" i="42676"/>
  <c r="G581" i="42676"/>
  <c r="P580" i="42676"/>
  <c r="G580" i="42676"/>
  <c r="P579" i="42676"/>
  <c r="G579" i="42676"/>
  <c r="P578" i="42676"/>
  <c r="G578" i="42676"/>
  <c r="P577" i="42676"/>
  <c r="G577" i="42676"/>
  <c r="P576" i="42676"/>
  <c r="G576" i="42676"/>
  <c r="P575" i="42676"/>
  <c r="G575" i="42676"/>
  <c r="P574" i="42676"/>
  <c r="G574" i="42676"/>
  <c r="P573" i="42676"/>
  <c r="G573" i="42676"/>
  <c r="P572" i="42676"/>
  <c r="G572" i="42676"/>
  <c r="P571" i="42676"/>
  <c r="G571" i="42676"/>
  <c r="P570" i="42676"/>
  <c r="G570" i="42676"/>
  <c r="P569" i="42676"/>
  <c r="G569" i="42676"/>
  <c r="P568" i="42676"/>
  <c r="G568" i="42676"/>
  <c r="P567" i="42676"/>
  <c r="G567" i="42676"/>
  <c r="P566" i="42676"/>
  <c r="G566" i="42676"/>
  <c r="P565" i="42676"/>
  <c r="G565" i="42676"/>
  <c r="P564" i="42676"/>
  <c r="G564" i="42676"/>
  <c r="P563" i="42676"/>
  <c r="G563" i="42676"/>
  <c r="P562" i="42676"/>
  <c r="G562" i="42676"/>
  <c r="P561" i="42676"/>
  <c r="G561" i="42676"/>
  <c r="P560" i="42676"/>
  <c r="G560" i="42676"/>
  <c r="P559" i="42676"/>
  <c r="G559" i="42676"/>
  <c r="P558" i="42676"/>
  <c r="G558" i="42676"/>
  <c r="P557" i="42676"/>
  <c r="G557" i="42676"/>
  <c r="P556" i="42676"/>
  <c r="G556" i="42676"/>
  <c r="P555" i="42676"/>
  <c r="G555" i="42676"/>
  <c r="P554" i="42676"/>
  <c r="G554" i="42676"/>
  <c r="P553" i="42676"/>
  <c r="G553" i="42676"/>
  <c r="P552" i="42676"/>
  <c r="G552" i="42676"/>
  <c r="P551" i="42676"/>
  <c r="G551" i="42676"/>
  <c r="P550" i="42676"/>
  <c r="G550" i="42676"/>
  <c r="P549" i="42676"/>
  <c r="G549" i="42676"/>
  <c r="P548" i="42676"/>
  <c r="G548" i="42676"/>
  <c r="P547" i="42676"/>
  <c r="G547" i="42676"/>
  <c r="P546" i="42676"/>
  <c r="G546" i="42676"/>
  <c r="P545" i="42676"/>
  <c r="G545" i="42676"/>
  <c r="P544" i="42676"/>
  <c r="G544" i="42676"/>
  <c r="P543" i="42676"/>
  <c r="G543" i="42676"/>
  <c r="P542" i="42676"/>
  <c r="G542" i="42676"/>
  <c r="P541" i="42676"/>
  <c r="G541" i="42676"/>
  <c r="P540" i="42676"/>
  <c r="G540" i="42676"/>
  <c r="P539" i="42676"/>
  <c r="G539" i="42676"/>
  <c r="P538" i="42676"/>
  <c r="G538" i="42676"/>
  <c r="P537" i="42676"/>
  <c r="G537" i="42676"/>
  <c r="P536" i="42676"/>
  <c r="G536" i="42676"/>
  <c r="P535" i="42676"/>
  <c r="G535" i="42676"/>
  <c r="P534" i="42676"/>
  <c r="G534" i="42676"/>
  <c r="P533" i="42676"/>
  <c r="G533" i="42676"/>
  <c r="P532" i="42676"/>
  <c r="G532" i="42676"/>
  <c r="P531" i="42676"/>
  <c r="G531" i="42676"/>
  <c r="P530" i="42676"/>
  <c r="G530" i="42676"/>
  <c r="P529" i="42676"/>
  <c r="G529" i="42676"/>
  <c r="P528" i="42676"/>
  <c r="G528" i="42676"/>
  <c r="P527" i="42676"/>
  <c r="G527" i="42676"/>
  <c r="P526" i="42676"/>
  <c r="G526" i="42676"/>
  <c r="P525" i="42676"/>
  <c r="G525" i="42676"/>
  <c r="P524" i="42676"/>
  <c r="G524" i="42676"/>
  <c r="P523" i="42676"/>
  <c r="G523" i="42676"/>
  <c r="P522" i="42676"/>
  <c r="G522" i="42676"/>
  <c r="P521" i="42676"/>
  <c r="G521" i="42676"/>
  <c r="P520" i="42676"/>
  <c r="G520" i="42676"/>
  <c r="P519" i="42676"/>
  <c r="G519" i="42676"/>
  <c r="P518" i="42676"/>
  <c r="G518" i="42676"/>
  <c r="P517" i="42676"/>
  <c r="G517" i="42676"/>
  <c r="P516" i="42676"/>
  <c r="G516" i="42676"/>
  <c r="P515" i="42676"/>
  <c r="G515" i="42676"/>
  <c r="P514" i="42676"/>
  <c r="G514" i="42676"/>
  <c r="P513" i="42676"/>
  <c r="G513" i="42676"/>
  <c r="P512" i="42676"/>
  <c r="G512" i="42676"/>
  <c r="P511" i="42676"/>
  <c r="G511" i="42676"/>
  <c r="P510" i="42676"/>
  <c r="G510" i="42676"/>
  <c r="P509" i="42676"/>
  <c r="G509" i="42676"/>
  <c r="P508" i="42676"/>
  <c r="G508" i="42676"/>
  <c r="P507" i="42676"/>
  <c r="G507" i="42676"/>
  <c r="P506" i="42676"/>
  <c r="G506" i="42676"/>
  <c r="P505" i="42676"/>
  <c r="G505" i="42676"/>
  <c r="P504" i="42676"/>
  <c r="G504" i="42676"/>
  <c r="P503" i="42676"/>
  <c r="G503" i="42676"/>
  <c r="P502" i="42676"/>
  <c r="G502" i="42676"/>
  <c r="P501" i="42676"/>
  <c r="G501" i="42676"/>
  <c r="P500" i="42676"/>
  <c r="G500" i="42676"/>
  <c r="P499" i="42676"/>
  <c r="G499" i="42676"/>
  <c r="P498" i="42676"/>
  <c r="G498" i="42676"/>
  <c r="P497" i="42676"/>
  <c r="G497" i="42676"/>
  <c r="P496" i="42676"/>
  <c r="G496" i="42676"/>
  <c r="P495" i="42676"/>
  <c r="G495" i="42676"/>
  <c r="P494" i="42676"/>
  <c r="G494" i="42676"/>
  <c r="P493" i="42676"/>
  <c r="G493" i="42676"/>
  <c r="P492" i="42676"/>
  <c r="G492" i="42676"/>
  <c r="P491" i="42676"/>
  <c r="G491" i="42676"/>
  <c r="P490" i="42676"/>
  <c r="G490" i="42676"/>
  <c r="P489" i="42676"/>
  <c r="G489" i="42676"/>
  <c r="P488" i="42676"/>
  <c r="G488" i="42676"/>
  <c r="P487" i="42676"/>
  <c r="G487" i="42676"/>
  <c r="P486" i="42676"/>
  <c r="G486" i="42676"/>
  <c r="P485" i="42676"/>
  <c r="G485" i="42676"/>
  <c r="P484" i="42676"/>
  <c r="G484" i="42676"/>
  <c r="P483" i="42676"/>
  <c r="G483" i="42676"/>
  <c r="P482" i="42676"/>
  <c r="G482" i="42676"/>
  <c r="P481" i="42676"/>
  <c r="G481" i="42676"/>
  <c r="P480" i="42676"/>
  <c r="G480" i="42676"/>
  <c r="P479" i="42676"/>
  <c r="G479" i="42676"/>
  <c r="P478" i="42676"/>
  <c r="G478" i="42676"/>
  <c r="P477" i="42676"/>
  <c r="G477" i="42676"/>
  <c r="P476" i="42676"/>
  <c r="G476" i="42676"/>
  <c r="P475" i="42676"/>
  <c r="G475" i="42676"/>
  <c r="P474" i="42676"/>
  <c r="G474" i="42676"/>
  <c r="P473" i="42676"/>
  <c r="G473" i="42676"/>
  <c r="P472" i="42676"/>
  <c r="G472" i="42676"/>
  <c r="P471" i="42676"/>
  <c r="G471" i="42676"/>
  <c r="P470" i="42676"/>
  <c r="G470" i="42676"/>
  <c r="P469" i="42676"/>
  <c r="G469" i="42676"/>
  <c r="P468" i="42676"/>
  <c r="G468" i="42676"/>
  <c r="P467" i="42676"/>
  <c r="G467" i="42676"/>
  <c r="P466" i="42676"/>
  <c r="G466" i="42676"/>
  <c r="P465" i="42676"/>
  <c r="G465" i="42676"/>
  <c r="P464" i="42676"/>
  <c r="G464" i="42676"/>
  <c r="P463" i="42676"/>
  <c r="G463" i="42676"/>
  <c r="P462" i="42676"/>
  <c r="G462" i="42676"/>
  <c r="P461" i="42676"/>
  <c r="G461" i="42676"/>
  <c r="P460" i="42676"/>
  <c r="G460" i="42676"/>
  <c r="P459" i="42676"/>
  <c r="G459" i="42676"/>
  <c r="P458" i="42676"/>
  <c r="G458" i="42676"/>
  <c r="P457" i="42676"/>
  <c r="G457" i="42676"/>
  <c r="P456" i="42676"/>
  <c r="G456" i="42676"/>
  <c r="P455" i="42676"/>
  <c r="G455" i="42676"/>
  <c r="P454" i="42676"/>
  <c r="G454" i="42676"/>
  <c r="P453" i="42676"/>
  <c r="G453" i="42676"/>
  <c r="P452" i="42676"/>
  <c r="G452" i="42676"/>
  <c r="P451" i="42676"/>
  <c r="G451" i="42676"/>
  <c r="P450" i="42676"/>
  <c r="G450" i="42676"/>
  <c r="P449" i="42676"/>
  <c r="G449" i="42676"/>
  <c r="P448" i="42676"/>
  <c r="G448" i="42676"/>
  <c r="P447" i="42676"/>
  <c r="G447" i="42676"/>
  <c r="P446" i="42676"/>
  <c r="G446" i="42676"/>
  <c r="P445" i="42676"/>
  <c r="G445" i="42676"/>
  <c r="P444" i="42676"/>
  <c r="G444" i="42676"/>
  <c r="P443" i="42676"/>
  <c r="G443" i="42676"/>
  <c r="P442" i="42676"/>
  <c r="G442" i="42676"/>
  <c r="P441" i="42676"/>
  <c r="G441" i="42676"/>
  <c r="P440" i="42676"/>
  <c r="G440" i="42676"/>
  <c r="P439" i="42676"/>
  <c r="G439" i="42676"/>
  <c r="P438" i="42676"/>
  <c r="G438" i="42676"/>
  <c r="P437" i="42676"/>
  <c r="G437" i="42676"/>
  <c r="P436" i="42676"/>
  <c r="G436" i="42676"/>
  <c r="P435" i="42676"/>
  <c r="G435" i="42676"/>
  <c r="P434" i="42676"/>
  <c r="G434" i="42676"/>
  <c r="P433" i="42676"/>
  <c r="G433" i="42676"/>
  <c r="P432" i="42676"/>
  <c r="G432" i="42676"/>
  <c r="P431" i="42676"/>
  <c r="G431" i="42676"/>
  <c r="P430" i="42676"/>
  <c r="G430" i="42676"/>
  <c r="P429" i="42676"/>
  <c r="G429" i="42676"/>
  <c r="P428" i="42676"/>
  <c r="G428" i="42676"/>
  <c r="P427" i="42676"/>
  <c r="G427" i="42676"/>
  <c r="P426" i="42676"/>
  <c r="G426" i="42676"/>
  <c r="P425" i="42676"/>
  <c r="G425" i="42676"/>
  <c r="P424" i="42676"/>
  <c r="G424" i="42676"/>
  <c r="P423" i="42676"/>
  <c r="G423" i="42676"/>
  <c r="P422" i="42676"/>
  <c r="G422" i="42676"/>
  <c r="P421" i="42676"/>
  <c r="G421" i="42676"/>
  <c r="P420" i="42676"/>
  <c r="G420" i="42676"/>
  <c r="P419" i="42676"/>
  <c r="G419" i="42676"/>
  <c r="P418" i="42676"/>
  <c r="G418" i="42676"/>
  <c r="P417" i="42676"/>
  <c r="G417" i="42676"/>
  <c r="P416" i="42676"/>
  <c r="G416" i="42676"/>
  <c r="P415" i="42676"/>
  <c r="G415" i="42676"/>
  <c r="P414" i="42676"/>
  <c r="G414" i="42676"/>
  <c r="P413" i="42676"/>
  <c r="G413" i="42676"/>
  <c r="P412" i="42676"/>
  <c r="G412" i="42676"/>
  <c r="P411" i="42676"/>
  <c r="G411" i="42676"/>
  <c r="P410" i="42676"/>
  <c r="G410" i="42676"/>
  <c r="P409" i="42676"/>
  <c r="G409" i="42676"/>
  <c r="P408" i="42676"/>
  <c r="G408" i="42676"/>
  <c r="P407" i="42676"/>
  <c r="G407" i="42676"/>
  <c r="P406" i="42676"/>
  <c r="G406" i="42676"/>
  <c r="P405" i="42676"/>
  <c r="G405" i="42676"/>
  <c r="P404" i="42676"/>
  <c r="G404" i="42676"/>
  <c r="P403" i="42676"/>
  <c r="G403" i="42676"/>
  <c r="P402" i="42676"/>
  <c r="G402" i="42676"/>
  <c r="P401" i="42676"/>
  <c r="G401" i="42676"/>
  <c r="P400" i="42676"/>
  <c r="G400" i="42676"/>
  <c r="P399" i="42676"/>
  <c r="G399" i="42676"/>
  <c r="P398" i="42676"/>
  <c r="G398" i="42676"/>
  <c r="P397" i="42676"/>
  <c r="G397" i="42676"/>
  <c r="P396" i="42676"/>
  <c r="G396" i="42676"/>
  <c r="P395" i="42676"/>
  <c r="G395" i="42676"/>
  <c r="P394" i="42676"/>
  <c r="G394" i="42676"/>
  <c r="P393" i="42676"/>
  <c r="G393" i="42676"/>
  <c r="P392" i="42676"/>
  <c r="G392" i="42676"/>
  <c r="P391" i="42676"/>
  <c r="G391" i="42676"/>
  <c r="P390" i="42676"/>
  <c r="G390" i="42676"/>
  <c r="P389" i="42676"/>
  <c r="G389" i="42676"/>
  <c r="P388" i="42676"/>
  <c r="G388" i="42676"/>
  <c r="P387" i="42676"/>
  <c r="G387" i="42676"/>
  <c r="P386" i="42676"/>
  <c r="G386" i="42676"/>
  <c r="P385" i="42676"/>
  <c r="G385" i="42676"/>
  <c r="P384" i="42676"/>
  <c r="G384" i="42676"/>
  <c r="P383" i="42676"/>
  <c r="G383" i="42676"/>
  <c r="P382" i="42676"/>
  <c r="G382" i="42676"/>
  <c r="P381" i="42676"/>
  <c r="G381" i="42676"/>
  <c r="P380" i="42676"/>
  <c r="G380" i="42676"/>
  <c r="P379" i="42676"/>
  <c r="G379" i="42676"/>
  <c r="P378" i="42676"/>
  <c r="G378" i="42676"/>
  <c r="P377" i="42676"/>
  <c r="G377" i="42676"/>
  <c r="P376" i="42676"/>
  <c r="G376" i="42676"/>
  <c r="P375" i="42676"/>
  <c r="G375" i="42676"/>
  <c r="P374" i="42676"/>
  <c r="G374" i="42676"/>
  <c r="P373" i="42676"/>
  <c r="G373" i="42676"/>
  <c r="P372" i="42676"/>
  <c r="G372" i="42676"/>
  <c r="P371" i="42676"/>
  <c r="G371" i="42676"/>
  <c r="P370" i="42676"/>
  <c r="G370" i="42676"/>
  <c r="P369" i="42676"/>
  <c r="G369" i="42676"/>
  <c r="P368" i="42676"/>
  <c r="G368" i="42676"/>
  <c r="P367" i="42676"/>
  <c r="G367" i="42676"/>
  <c r="P366" i="42676"/>
  <c r="G366" i="42676"/>
  <c r="P365" i="42676"/>
  <c r="G365" i="42676"/>
  <c r="P364" i="42676"/>
  <c r="G364" i="42676"/>
  <c r="P363" i="42676"/>
  <c r="G363" i="42676"/>
  <c r="P362" i="42676"/>
  <c r="G362" i="42676"/>
  <c r="P361" i="42676"/>
  <c r="G361" i="42676"/>
  <c r="P360" i="42676"/>
  <c r="G360" i="42676"/>
  <c r="P359" i="42676"/>
  <c r="G359" i="42676"/>
  <c r="P358" i="42676"/>
  <c r="G358" i="42676"/>
  <c r="P357" i="42676"/>
  <c r="G357" i="42676"/>
  <c r="P356" i="42676"/>
  <c r="G356" i="42676"/>
  <c r="P355" i="42676"/>
  <c r="G355" i="42676"/>
  <c r="P354" i="42676"/>
  <c r="G354" i="42676"/>
  <c r="P353" i="42676"/>
  <c r="G353" i="42676"/>
  <c r="P352" i="42676"/>
  <c r="G352" i="42676"/>
  <c r="P351" i="42676"/>
  <c r="G351" i="42676"/>
  <c r="P350" i="42676"/>
  <c r="G350" i="42676"/>
  <c r="P349" i="42676"/>
  <c r="G349" i="42676"/>
  <c r="P348" i="42676"/>
  <c r="G348" i="42676"/>
  <c r="P347" i="42676"/>
  <c r="G347" i="42676"/>
  <c r="P346" i="42676"/>
  <c r="G346" i="42676"/>
  <c r="P345" i="42676"/>
  <c r="G345" i="42676"/>
  <c r="P344" i="42676"/>
  <c r="G344" i="42676"/>
  <c r="P343" i="42676"/>
  <c r="G343" i="42676"/>
  <c r="P342" i="42676"/>
  <c r="G342" i="42676"/>
  <c r="P341" i="42676"/>
  <c r="G341" i="42676"/>
  <c r="P340" i="42676"/>
  <c r="G340" i="42676"/>
  <c r="P339" i="42676"/>
  <c r="G339" i="42676"/>
  <c r="P338" i="42676"/>
  <c r="G338" i="42676"/>
  <c r="P337" i="42676"/>
  <c r="G337" i="42676"/>
  <c r="P336" i="42676"/>
  <c r="G336" i="42676"/>
  <c r="P335" i="42676"/>
  <c r="G335" i="42676"/>
  <c r="P334" i="42676"/>
  <c r="G334" i="42676"/>
  <c r="P333" i="42676"/>
  <c r="G333" i="42676"/>
  <c r="P332" i="42676"/>
  <c r="G332" i="42676"/>
  <c r="P331" i="42676"/>
  <c r="G331" i="42676"/>
  <c r="P330" i="42676"/>
  <c r="G330" i="42676"/>
  <c r="P329" i="42676"/>
  <c r="G329" i="42676"/>
  <c r="P328" i="42676"/>
  <c r="G328" i="42676"/>
  <c r="P327" i="42676"/>
  <c r="G327" i="42676"/>
  <c r="P326" i="42676"/>
  <c r="G326" i="42676"/>
  <c r="P325" i="42676"/>
  <c r="G325" i="42676"/>
  <c r="P324" i="42676"/>
  <c r="G324" i="42676"/>
  <c r="P323" i="42676"/>
  <c r="G323" i="42676"/>
  <c r="P322" i="42676"/>
  <c r="G322" i="42676"/>
  <c r="P321" i="42676"/>
  <c r="G321" i="42676"/>
  <c r="P320" i="42676"/>
  <c r="G320" i="42676"/>
  <c r="P319" i="42676"/>
  <c r="G319" i="42676"/>
  <c r="P318" i="42676"/>
  <c r="G318" i="42676"/>
  <c r="P317" i="42676"/>
  <c r="G317" i="42676"/>
  <c r="P316" i="42676"/>
  <c r="G316" i="42676"/>
  <c r="P315" i="42676"/>
  <c r="G315" i="42676"/>
  <c r="P314" i="42676"/>
  <c r="G314" i="42676"/>
  <c r="P313" i="42676"/>
  <c r="G313" i="42676"/>
  <c r="P312" i="42676"/>
  <c r="G312" i="42676"/>
  <c r="P311" i="42676"/>
  <c r="G311" i="42676"/>
  <c r="P310" i="42676"/>
  <c r="G310" i="42676"/>
  <c r="P309" i="42676"/>
  <c r="G309" i="42676"/>
  <c r="P308" i="42676"/>
  <c r="G308" i="42676"/>
  <c r="P307" i="42676"/>
  <c r="G307" i="42676"/>
  <c r="P306" i="42676"/>
  <c r="G306" i="42676"/>
  <c r="P305" i="42676"/>
  <c r="G305" i="42676"/>
  <c r="P304" i="42676"/>
  <c r="G304" i="42676"/>
  <c r="P303" i="42676"/>
  <c r="G303" i="42676"/>
  <c r="P302" i="42676"/>
  <c r="G302" i="42676"/>
  <c r="P301" i="42676"/>
  <c r="G301" i="42676"/>
  <c r="P300" i="42676"/>
  <c r="G300" i="42676"/>
  <c r="P299" i="42676"/>
  <c r="G299" i="42676"/>
  <c r="P298" i="42676"/>
  <c r="G298" i="42676"/>
  <c r="P297" i="42676"/>
  <c r="G297" i="42676"/>
  <c r="P296" i="42676"/>
  <c r="G296" i="42676"/>
  <c r="P295" i="42676"/>
  <c r="G295" i="42676"/>
  <c r="P294" i="42676"/>
  <c r="G294" i="42676"/>
  <c r="P293" i="42676"/>
  <c r="G293" i="42676"/>
  <c r="P292" i="42676"/>
  <c r="G292" i="42676"/>
  <c r="P291" i="42676"/>
  <c r="G291" i="42676"/>
  <c r="P290" i="42676"/>
  <c r="G290" i="42676"/>
  <c r="P289" i="42676"/>
  <c r="G289" i="42676"/>
  <c r="P288" i="42676"/>
  <c r="G288" i="42676"/>
  <c r="P287" i="42676"/>
  <c r="G287" i="42676"/>
  <c r="P286" i="42676"/>
  <c r="G286" i="42676"/>
  <c r="P285" i="42676"/>
  <c r="G285" i="42676"/>
  <c r="P284" i="42676"/>
  <c r="G284" i="42676"/>
  <c r="P283" i="42676"/>
  <c r="G283" i="42676"/>
  <c r="P282" i="42676"/>
  <c r="G282" i="42676"/>
  <c r="P281" i="42676"/>
  <c r="G281" i="42676"/>
  <c r="P280" i="42676"/>
  <c r="G280" i="42676"/>
  <c r="P279" i="42676"/>
  <c r="G279" i="42676"/>
  <c r="P278" i="42676"/>
  <c r="G278" i="42676"/>
  <c r="P277" i="42676"/>
  <c r="G277" i="42676"/>
  <c r="P276" i="42676"/>
  <c r="G276" i="42676"/>
  <c r="P275" i="42676"/>
  <c r="G275" i="42676"/>
  <c r="P274" i="42676"/>
  <c r="G274" i="42676"/>
  <c r="P273" i="42676"/>
  <c r="G273" i="42676"/>
  <c r="P272" i="42676"/>
  <c r="G272" i="42676"/>
  <c r="P271" i="42676"/>
  <c r="G271" i="42676"/>
  <c r="P270" i="42676"/>
  <c r="G270" i="42676"/>
  <c r="P269" i="42676"/>
  <c r="G269" i="42676"/>
  <c r="P268" i="42676"/>
  <c r="G268" i="42676"/>
  <c r="P267" i="42676"/>
  <c r="G267" i="42676"/>
  <c r="P266" i="42676"/>
  <c r="G266" i="42676"/>
  <c r="P265" i="42676"/>
  <c r="G265" i="42676"/>
  <c r="P264" i="42676"/>
  <c r="G264" i="42676"/>
  <c r="P263" i="42676"/>
  <c r="G263" i="42676"/>
  <c r="P262" i="42676"/>
  <c r="G262" i="42676"/>
  <c r="P261" i="42676"/>
  <c r="G261" i="42676"/>
  <c r="P260" i="42676"/>
  <c r="G260" i="42676"/>
  <c r="P259" i="42676"/>
  <c r="G259" i="42676"/>
  <c r="P258" i="42676"/>
  <c r="G258" i="42676"/>
  <c r="P257" i="42676"/>
  <c r="G257" i="42676"/>
  <c r="P256" i="42676"/>
  <c r="G256" i="42676"/>
  <c r="P255" i="42676"/>
  <c r="G255" i="42676"/>
  <c r="P254" i="42676"/>
  <c r="G254" i="42676"/>
  <c r="P253" i="42676"/>
  <c r="G253" i="42676"/>
  <c r="P252" i="42676"/>
  <c r="G252" i="42676"/>
  <c r="P251" i="42676"/>
  <c r="G251" i="42676"/>
  <c r="P250" i="42676"/>
  <c r="G250" i="42676"/>
  <c r="P249" i="42676"/>
  <c r="G249" i="42676"/>
  <c r="P248" i="42676"/>
  <c r="G248" i="42676"/>
  <c r="P247" i="42676"/>
  <c r="G247" i="42676"/>
  <c r="P246" i="42676"/>
  <c r="G246" i="42676"/>
  <c r="P245" i="42676"/>
  <c r="G245" i="42676"/>
  <c r="P244" i="42676"/>
  <c r="G244" i="42676"/>
  <c r="P243" i="42676"/>
  <c r="G243" i="42676"/>
  <c r="P242" i="42676"/>
  <c r="G242" i="42676"/>
  <c r="P241" i="42676"/>
  <c r="G241" i="42676"/>
  <c r="P240" i="42676"/>
  <c r="G240" i="42676"/>
  <c r="P239" i="42676"/>
  <c r="G239" i="42676"/>
  <c r="P238" i="42676"/>
  <c r="G238" i="42676"/>
  <c r="P237" i="42676"/>
  <c r="G237" i="42676"/>
  <c r="P236" i="42676"/>
  <c r="G236" i="42676"/>
  <c r="P235" i="42676"/>
  <c r="G235" i="42676"/>
  <c r="P234" i="42676"/>
  <c r="G234" i="42676"/>
  <c r="P233" i="42676"/>
  <c r="G233" i="42676"/>
  <c r="P232" i="42676"/>
  <c r="G232" i="42676"/>
  <c r="P231" i="42676"/>
  <c r="G231" i="42676"/>
  <c r="P230" i="42676"/>
  <c r="G230" i="42676"/>
  <c r="P229" i="42676"/>
  <c r="G229" i="42676"/>
  <c r="P228" i="42676"/>
  <c r="G228" i="42676"/>
  <c r="P227" i="42676"/>
  <c r="G227" i="42676"/>
  <c r="P226" i="42676"/>
  <c r="G226" i="42676"/>
  <c r="P225" i="42676"/>
  <c r="G225" i="42676"/>
  <c r="P224" i="42676"/>
  <c r="G224" i="42676"/>
  <c r="P223" i="42676"/>
  <c r="G223" i="42676"/>
  <c r="P222" i="42676"/>
  <c r="G222" i="42676"/>
  <c r="P221" i="42676"/>
  <c r="G221" i="42676"/>
  <c r="P220" i="42676"/>
  <c r="G220" i="42676"/>
  <c r="P219" i="42676"/>
  <c r="G219" i="42676"/>
  <c r="P218" i="42676"/>
  <c r="G218" i="42676"/>
  <c r="P217" i="42676"/>
  <c r="G217" i="42676"/>
  <c r="P216" i="42676"/>
  <c r="G216" i="42676"/>
  <c r="P215" i="42676"/>
  <c r="G215" i="42676"/>
  <c r="P214" i="42676"/>
  <c r="G214" i="42676"/>
  <c r="P213" i="42676"/>
  <c r="G213" i="42676"/>
  <c r="P212" i="42676"/>
  <c r="G212" i="42676"/>
  <c r="P211" i="42676"/>
  <c r="G211" i="42676"/>
  <c r="P210" i="42676"/>
  <c r="G210" i="42676"/>
  <c r="P209" i="42676"/>
  <c r="G209" i="42676"/>
  <c r="P208" i="42676"/>
  <c r="G208" i="42676"/>
  <c r="P207" i="42676"/>
  <c r="G207" i="42676"/>
  <c r="P206" i="42676"/>
  <c r="G206" i="42676"/>
  <c r="P205" i="42676"/>
  <c r="G205" i="42676"/>
  <c r="P204" i="42676"/>
  <c r="G204" i="42676"/>
  <c r="P203" i="42676"/>
  <c r="G203" i="42676"/>
  <c r="P202" i="42676"/>
  <c r="G202" i="42676"/>
  <c r="P201" i="42676"/>
  <c r="G201" i="42676"/>
  <c r="P200" i="42676"/>
  <c r="G200" i="42676"/>
  <c r="P199" i="42676"/>
  <c r="G199" i="42676"/>
  <c r="P198" i="42676"/>
  <c r="G198" i="42676"/>
  <c r="P197" i="42676"/>
  <c r="G197" i="42676"/>
  <c r="P196" i="42676"/>
  <c r="G196" i="42676"/>
  <c r="P195" i="42676"/>
  <c r="G195" i="42676"/>
  <c r="P194" i="42676"/>
  <c r="G194" i="42676"/>
  <c r="P193" i="42676"/>
  <c r="G193" i="42676"/>
  <c r="P192" i="42676"/>
  <c r="G192" i="42676"/>
  <c r="P191" i="42676"/>
  <c r="G191" i="42676"/>
  <c r="P190" i="42676"/>
  <c r="G190" i="42676"/>
  <c r="P189" i="42676"/>
  <c r="G189" i="42676"/>
  <c r="P188" i="42676"/>
  <c r="G188" i="42676"/>
  <c r="P187" i="42676"/>
  <c r="G187" i="42676"/>
  <c r="P186" i="42676"/>
  <c r="G186" i="42676"/>
  <c r="P185" i="42676"/>
  <c r="G185" i="42676"/>
  <c r="P184" i="42676"/>
  <c r="G184" i="42676"/>
  <c r="P183" i="42676"/>
  <c r="G183" i="42676"/>
  <c r="P182" i="42676"/>
  <c r="G182" i="42676"/>
  <c r="P181" i="42676"/>
  <c r="G181" i="42676"/>
  <c r="P180" i="42676"/>
  <c r="G180" i="42676"/>
  <c r="P179" i="42676"/>
  <c r="G179" i="42676"/>
  <c r="P178" i="42676"/>
  <c r="G178" i="42676"/>
  <c r="P177" i="42676"/>
  <c r="G177" i="42676"/>
  <c r="P176" i="42676"/>
  <c r="G176" i="42676"/>
  <c r="P175" i="42676"/>
  <c r="G175" i="42676"/>
  <c r="P174" i="42676"/>
  <c r="G174" i="42676"/>
  <c r="P173" i="42676"/>
  <c r="G173" i="42676"/>
  <c r="P172" i="42676"/>
  <c r="G172" i="42676"/>
  <c r="P171" i="42676"/>
  <c r="G171" i="42676"/>
  <c r="P170" i="42676"/>
  <c r="G170" i="42676"/>
  <c r="P169" i="42676"/>
  <c r="G169" i="42676"/>
  <c r="P168" i="42676"/>
  <c r="G168" i="42676"/>
  <c r="P167" i="42676"/>
  <c r="G167" i="42676"/>
  <c r="P166" i="42676"/>
  <c r="G166" i="42676"/>
  <c r="P165" i="42676"/>
  <c r="G165" i="42676"/>
  <c r="P164" i="42676"/>
  <c r="G164" i="42676"/>
  <c r="P163" i="42676"/>
  <c r="G163" i="42676"/>
  <c r="P162" i="42676"/>
  <c r="G162" i="42676"/>
  <c r="P161" i="42676"/>
  <c r="G161" i="42676"/>
  <c r="P160" i="42676"/>
  <c r="G160" i="42676"/>
  <c r="P159" i="42676"/>
  <c r="G159" i="42676"/>
  <c r="P158" i="42676"/>
  <c r="G158" i="42676"/>
  <c r="P157" i="42676"/>
  <c r="G157" i="42676"/>
  <c r="P156" i="42676"/>
  <c r="G156" i="42676"/>
  <c r="P155" i="42676"/>
  <c r="G155" i="42676"/>
  <c r="P154" i="42676"/>
  <c r="G154" i="42676"/>
  <c r="P153" i="42676"/>
  <c r="G153" i="42676"/>
  <c r="P152" i="42676"/>
  <c r="G152" i="42676"/>
  <c r="P151" i="42676"/>
  <c r="G151" i="42676"/>
  <c r="P150" i="42676"/>
  <c r="G150" i="42676"/>
  <c r="P149" i="42676"/>
  <c r="G149" i="42676"/>
  <c r="P148" i="42676"/>
  <c r="G148" i="42676"/>
  <c r="P147" i="42676"/>
  <c r="G147" i="42676"/>
  <c r="P146" i="42676"/>
  <c r="G146" i="42676"/>
  <c r="P145" i="42676"/>
  <c r="G145" i="42676"/>
  <c r="P144" i="42676"/>
  <c r="G144" i="42676"/>
  <c r="P143" i="42676"/>
  <c r="G143" i="42676"/>
  <c r="P142" i="42676"/>
  <c r="G142" i="42676"/>
  <c r="P141" i="42676"/>
  <c r="G141" i="42676"/>
  <c r="P140" i="42676"/>
  <c r="G140" i="42676"/>
  <c r="P139" i="42676"/>
  <c r="G139" i="42676"/>
  <c r="P138" i="42676"/>
  <c r="G138" i="42676"/>
  <c r="P137" i="42676"/>
  <c r="G137" i="42676"/>
  <c r="P136" i="42676"/>
  <c r="G136" i="42676"/>
  <c r="P135" i="42676"/>
  <c r="G135" i="42676"/>
  <c r="P134" i="42676"/>
  <c r="G134" i="42676"/>
  <c r="P133" i="42676"/>
  <c r="G133" i="42676"/>
  <c r="P132" i="42676"/>
  <c r="G132" i="42676"/>
  <c r="P131" i="42676"/>
  <c r="G131" i="42676"/>
  <c r="P130" i="42676"/>
  <c r="G130" i="42676"/>
  <c r="P129" i="42676"/>
  <c r="G129" i="42676"/>
  <c r="P128" i="42676"/>
  <c r="G128" i="42676"/>
  <c r="P127" i="42676"/>
  <c r="G127" i="42676"/>
  <c r="P126" i="42676"/>
  <c r="G126" i="42676"/>
  <c r="P125" i="42676"/>
  <c r="G125" i="42676"/>
  <c r="P124" i="42676"/>
  <c r="G124" i="42676"/>
  <c r="P123" i="42676"/>
  <c r="G123" i="42676"/>
  <c r="P122" i="42676"/>
  <c r="G122" i="42676"/>
  <c r="P121" i="42676"/>
  <c r="G121" i="42676"/>
  <c r="P120" i="42676"/>
  <c r="G120" i="42676"/>
  <c r="P119" i="42676"/>
  <c r="G119" i="42676"/>
  <c r="P118" i="42676"/>
  <c r="G118" i="42676"/>
  <c r="P117" i="42676"/>
  <c r="G117" i="42676"/>
  <c r="P116" i="42676"/>
  <c r="G116" i="42676"/>
  <c r="P115" i="42676"/>
  <c r="G115" i="42676"/>
  <c r="P114" i="42676"/>
  <c r="G114" i="42676"/>
  <c r="P113" i="42676"/>
  <c r="G113" i="42676"/>
  <c r="P112" i="42676"/>
  <c r="G112" i="42676"/>
  <c r="P111" i="42676"/>
  <c r="G111" i="42676"/>
  <c r="P110" i="42676"/>
  <c r="G110" i="42676"/>
  <c r="P109" i="42676"/>
  <c r="G109" i="42676"/>
  <c r="P108" i="42676"/>
  <c r="G108" i="42676"/>
  <c r="P107" i="42676"/>
  <c r="G107" i="42676"/>
  <c r="P106" i="42676"/>
  <c r="G106" i="42676"/>
  <c r="P105" i="42676"/>
  <c r="G105" i="42676"/>
  <c r="P104" i="42676"/>
  <c r="G104" i="42676"/>
  <c r="P103" i="42676"/>
  <c r="G103" i="42676"/>
  <c r="P102" i="42676"/>
  <c r="G102" i="42676"/>
  <c r="P101" i="42676"/>
  <c r="G101" i="42676"/>
  <c r="P100" i="42676"/>
  <c r="G100" i="42676"/>
  <c r="P99" i="42676"/>
  <c r="G99" i="42676"/>
  <c r="P98" i="42676"/>
  <c r="G98" i="42676"/>
  <c r="P97" i="42676"/>
  <c r="G97" i="42676"/>
  <c r="P96" i="42676"/>
  <c r="G96" i="42676"/>
  <c r="P95" i="42676"/>
  <c r="G95" i="42676"/>
  <c r="P94" i="42676"/>
  <c r="G94" i="42676"/>
  <c r="P93" i="42676"/>
  <c r="G93" i="42676"/>
  <c r="P92" i="42676"/>
  <c r="G92" i="42676"/>
  <c r="P91" i="42676"/>
  <c r="G91" i="42676"/>
  <c r="P90" i="42676"/>
  <c r="G90" i="42676"/>
  <c r="P89" i="42676"/>
  <c r="G89" i="42676"/>
  <c r="P88" i="42676"/>
  <c r="G88" i="42676"/>
  <c r="P87" i="42676"/>
  <c r="G87" i="42676"/>
  <c r="P86" i="42676"/>
  <c r="G86" i="42676"/>
  <c r="P85" i="42676"/>
  <c r="G85" i="42676"/>
  <c r="P84" i="42676"/>
  <c r="G84" i="42676"/>
  <c r="P83" i="42676"/>
  <c r="G83" i="42676"/>
  <c r="P82" i="42676"/>
  <c r="G82" i="42676"/>
  <c r="P81" i="42676"/>
  <c r="G81" i="42676"/>
  <c r="P80" i="42676"/>
  <c r="G80" i="42676"/>
  <c r="P79" i="42676"/>
  <c r="G79" i="42676"/>
  <c r="P78" i="42676"/>
  <c r="G78" i="42676"/>
  <c r="P77" i="42676"/>
  <c r="G77" i="42676"/>
  <c r="P76" i="42676"/>
  <c r="G76" i="42676"/>
  <c r="P75" i="42676"/>
  <c r="G75" i="42676"/>
  <c r="P74" i="42676"/>
  <c r="G74" i="42676"/>
  <c r="P73" i="42676"/>
  <c r="G73" i="42676"/>
  <c r="P72" i="42676"/>
  <c r="G72" i="42676"/>
  <c r="P71" i="42676"/>
  <c r="G71" i="42676"/>
  <c r="P70" i="42676"/>
  <c r="G70" i="42676"/>
  <c r="P69" i="42676"/>
  <c r="G69" i="42676"/>
  <c r="P68" i="42676"/>
  <c r="G68" i="42676"/>
  <c r="P67" i="42676"/>
  <c r="G67" i="42676"/>
  <c r="P66" i="42676"/>
  <c r="G66" i="42676"/>
  <c r="P65" i="42676"/>
  <c r="G65" i="42676"/>
  <c r="P64" i="42676"/>
  <c r="G64" i="42676"/>
  <c r="P63" i="42676"/>
  <c r="G63" i="42676"/>
  <c r="P62" i="42676"/>
  <c r="G62" i="42676"/>
  <c r="P61" i="42676"/>
  <c r="G61" i="42676"/>
  <c r="P60" i="42676"/>
  <c r="G60" i="42676"/>
  <c r="P59" i="42676"/>
  <c r="G59" i="42676"/>
  <c r="P58" i="42676"/>
  <c r="G58" i="42676"/>
  <c r="P57" i="42676"/>
  <c r="G57" i="42676"/>
  <c r="P56" i="42676"/>
  <c r="G56" i="42676"/>
  <c r="P55" i="42676"/>
  <c r="G55" i="42676"/>
  <c r="P54" i="42676"/>
  <c r="G54" i="42676"/>
  <c r="P53" i="42676"/>
  <c r="G53" i="42676"/>
  <c r="P52" i="42676"/>
  <c r="G52" i="42676"/>
  <c r="P51" i="42676"/>
  <c r="G51" i="42676"/>
  <c r="P50" i="42676"/>
  <c r="G50" i="42676"/>
  <c r="P49" i="42676"/>
  <c r="G49" i="42676"/>
  <c r="P48" i="42676"/>
  <c r="G48" i="42676"/>
  <c r="P47" i="42676"/>
  <c r="G47" i="42676"/>
  <c r="P46" i="42676"/>
  <c r="G46" i="42676"/>
  <c r="P45" i="42676"/>
  <c r="G45" i="42676"/>
  <c r="P44" i="42676"/>
  <c r="G44" i="42676"/>
  <c r="P43" i="42676"/>
  <c r="G43" i="42676"/>
  <c r="P42" i="42676"/>
  <c r="G42" i="42676"/>
  <c r="P41" i="42676"/>
  <c r="G41" i="42676"/>
  <c r="P40" i="42676"/>
  <c r="G40" i="42676"/>
  <c r="P39" i="42676"/>
  <c r="G39" i="42676"/>
  <c r="P38" i="42676"/>
  <c r="G38" i="42676"/>
  <c r="P37" i="42676"/>
  <c r="G37" i="42676"/>
  <c r="P36" i="42676"/>
  <c r="G36" i="42676"/>
  <c r="P35" i="42676"/>
  <c r="G35" i="42676"/>
  <c r="P34" i="42676"/>
  <c r="G34" i="42676"/>
  <c r="P33" i="42676"/>
  <c r="G33" i="42676"/>
  <c r="P32" i="42676"/>
  <c r="G32" i="42676"/>
  <c r="P31" i="42676"/>
  <c r="G31" i="42676"/>
  <c r="P30" i="42676"/>
  <c r="G30" i="42676"/>
  <c r="P29" i="42676"/>
  <c r="G29" i="42676"/>
  <c r="P28" i="42676"/>
  <c r="G28" i="42676"/>
  <c r="P27" i="42676"/>
  <c r="G27" i="42676"/>
  <c r="P26" i="42676"/>
  <c r="G26" i="42676"/>
  <c r="P25" i="42676"/>
  <c r="G25" i="42676"/>
  <c r="P24" i="42676"/>
  <c r="G24" i="42676"/>
  <c r="P23" i="42676"/>
  <c r="G23" i="42676"/>
  <c r="P22" i="42676"/>
  <c r="G22" i="42676"/>
  <c r="P21" i="42676"/>
  <c r="G21" i="42676"/>
  <c r="P20" i="42676"/>
  <c r="G20" i="42676"/>
  <c r="P19" i="42676"/>
  <c r="G19" i="42676"/>
  <c r="P18" i="42676"/>
  <c r="G18" i="42676"/>
  <c r="P17" i="42676"/>
  <c r="G17" i="42676"/>
  <c r="P16" i="42676"/>
  <c r="G16" i="42676"/>
  <c r="P15" i="42676"/>
  <c r="G15" i="42676"/>
  <c r="P14" i="42676"/>
  <c r="G14" i="42676"/>
  <c r="P13" i="42676"/>
  <c r="G13" i="42676"/>
  <c r="P12" i="42676"/>
  <c r="G12" i="42676"/>
  <c r="P11" i="42676"/>
  <c r="G11" i="42676"/>
  <c r="P10" i="42676"/>
  <c r="G10" i="42676"/>
  <c r="P9" i="42676"/>
  <c r="G9" i="42676"/>
  <c r="P8" i="42676"/>
  <c r="G8" i="42676"/>
  <c r="P7" i="42676"/>
  <c r="G7" i="42676"/>
  <c r="P6" i="42676"/>
  <c r="G6" i="42676"/>
  <c r="P5" i="42676"/>
  <c r="G5" i="42676"/>
  <c r="P4" i="42676"/>
  <c r="G4" i="42676"/>
  <c r="P3" i="42676"/>
  <c r="G3" i="42676"/>
  <c r="P2" i="42676"/>
  <c r="P1274" i="42676" s="1"/>
  <c r="P1275" i="42676" s="1"/>
  <c r="G2" i="42676"/>
  <c r="C52" i="42677" s="1"/>
  <c r="L898" i="42675"/>
  <c r="K898" i="42675"/>
  <c r="J898" i="42675"/>
  <c r="P897" i="42675"/>
  <c r="I897" i="42675"/>
  <c r="D897" i="42675"/>
  <c r="P896" i="42675"/>
  <c r="I896" i="42675"/>
  <c r="D896" i="42675"/>
  <c r="P895" i="42675"/>
  <c r="I895" i="42675"/>
  <c r="D895" i="42675"/>
  <c r="P894" i="42675"/>
  <c r="I894" i="42675"/>
  <c r="D894" i="42675"/>
  <c r="P893" i="42675"/>
  <c r="I893" i="42675"/>
  <c r="D893" i="42675"/>
  <c r="P892" i="42675"/>
  <c r="I892" i="42675"/>
  <c r="D892" i="42675"/>
  <c r="P891" i="42675"/>
  <c r="I891" i="42675"/>
  <c r="D891" i="42675"/>
  <c r="P890" i="42675"/>
  <c r="I890" i="42675"/>
  <c r="D890" i="42675"/>
  <c r="P889" i="42675"/>
  <c r="I889" i="42675"/>
  <c r="D889" i="42675"/>
  <c r="P888" i="42675"/>
  <c r="I888" i="42675"/>
  <c r="D888" i="42675"/>
  <c r="P887" i="42675"/>
  <c r="I887" i="42675"/>
  <c r="D887" i="42675"/>
  <c r="P886" i="42675"/>
  <c r="I886" i="42675"/>
  <c r="D886" i="42675"/>
  <c r="P885" i="42675"/>
  <c r="I885" i="42675"/>
  <c r="D885" i="42675"/>
  <c r="P884" i="42675"/>
  <c r="I884" i="42675"/>
  <c r="D884" i="42675"/>
  <c r="P883" i="42675"/>
  <c r="I883" i="42675"/>
  <c r="D883" i="42675"/>
  <c r="P882" i="42675"/>
  <c r="I882" i="42675"/>
  <c r="D882" i="42675"/>
  <c r="P881" i="42675"/>
  <c r="I881" i="42675"/>
  <c r="D881" i="42675"/>
  <c r="P880" i="42675"/>
  <c r="I880" i="42675"/>
  <c r="D880" i="42675"/>
  <c r="P879" i="42675"/>
  <c r="I879" i="42675"/>
  <c r="D879" i="42675"/>
  <c r="P878" i="42675"/>
  <c r="I878" i="42675"/>
  <c r="D878" i="42675"/>
  <c r="P877" i="42675"/>
  <c r="I877" i="42675"/>
  <c r="D877" i="42675"/>
  <c r="P876" i="42675"/>
  <c r="I876" i="42675"/>
  <c r="D876" i="42675"/>
  <c r="P875" i="42675"/>
  <c r="I875" i="42675"/>
  <c r="D875" i="42675"/>
  <c r="P874" i="42675"/>
  <c r="I874" i="42675"/>
  <c r="D874" i="42675"/>
  <c r="P873" i="42675"/>
  <c r="I873" i="42675"/>
  <c r="D873" i="42675"/>
  <c r="P872" i="42675"/>
  <c r="I872" i="42675"/>
  <c r="D872" i="42675"/>
  <c r="P871" i="42675"/>
  <c r="I871" i="42675"/>
  <c r="D871" i="42675"/>
  <c r="P870" i="42675"/>
  <c r="I870" i="42675"/>
  <c r="D870" i="42675"/>
  <c r="P869" i="42675"/>
  <c r="I869" i="42675"/>
  <c r="D869" i="42675"/>
  <c r="P868" i="42675"/>
  <c r="I868" i="42675"/>
  <c r="D868" i="42675"/>
  <c r="P867" i="42675"/>
  <c r="I867" i="42675"/>
  <c r="D867" i="42675"/>
  <c r="P866" i="42675"/>
  <c r="I866" i="42675"/>
  <c r="D866" i="42675"/>
  <c r="P865" i="42675"/>
  <c r="I865" i="42675"/>
  <c r="D865" i="42675"/>
  <c r="P864" i="42675"/>
  <c r="I864" i="42675"/>
  <c r="D864" i="42675"/>
  <c r="P863" i="42675"/>
  <c r="I863" i="42675"/>
  <c r="D863" i="42675"/>
  <c r="P862" i="42675"/>
  <c r="I862" i="42675"/>
  <c r="D862" i="42675"/>
  <c r="P861" i="42675"/>
  <c r="I861" i="42675"/>
  <c r="D861" i="42675"/>
  <c r="P860" i="42675"/>
  <c r="I860" i="42675"/>
  <c r="D860" i="42675"/>
  <c r="P859" i="42675"/>
  <c r="I859" i="42675"/>
  <c r="D859" i="42675"/>
  <c r="P858" i="42675"/>
  <c r="I858" i="42675"/>
  <c r="D858" i="42675"/>
  <c r="P857" i="42675"/>
  <c r="I857" i="42675"/>
  <c r="D857" i="42675"/>
  <c r="P856" i="42675"/>
  <c r="I856" i="42675"/>
  <c r="D856" i="42675"/>
  <c r="P855" i="42675"/>
  <c r="I855" i="42675"/>
  <c r="D855" i="42675"/>
  <c r="P854" i="42675"/>
  <c r="I854" i="42675"/>
  <c r="D854" i="42675"/>
  <c r="P853" i="42675"/>
  <c r="I853" i="42675"/>
  <c r="D853" i="42675"/>
  <c r="P852" i="42675"/>
  <c r="I852" i="42675"/>
  <c r="D852" i="42675"/>
  <c r="P851" i="42675"/>
  <c r="I851" i="42675"/>
  <c r="D851" i="42675"/>
  <c r="P850" i="42675"/>
  <c r="I850" i="42675"/>
  <c r="D850" i="42675"/>
  <c r="P849" i="42675"/>
  <c r="I849" i="42675"/>
  <c r="D849" i="42675"/>
  <c r="P848" i="42675"/>
  <c r="I848" i="42675"/>
  <c r="D848" i="42675"/>
  <c r="P847" i="42675"/>
  <c r="I847" i="42675"/>
  <c r="D847" i="42675"/>
  <c r="P846" i="42675"/>
  <c r="I846" i="42675"/>
  <c r="D846" i="42675"/>
  <c r="P845" i="42675"/>
  <c r="I845" i="42675"/>
  <c r="D845" i="42675"/>
  <c r="P844" i="42675"/>
  <c r="I844" i="42675"/>
  <c r="D844" i="42675"/>
  <c r="P843" i="42675"/>
  <c r="I843" i="42675"/>
  <c r="D843" i="42675"/>
  <c r="P842" i="42675"/>
  <c r="I842" i="42675"/>
  <c r="D842" i="42675"/>
  <c r="P841" i="42675"/>
  <c r="I841" i="42675"/>
  <c r="D841" i="42675"/>
  <c r="P840" i="42675"/>
  <c r="I840" i="42675"/>
  <c r="D840" i="42675"/>
  <c r="P839" i="42675"/>
  <c r="I839" i="42675"/>
  <c r="D839" i="42675"/>
  <c r="P838" i="42675"/>
  <c r="I838" i="42675"/>
  <c r="D838" i="42675"/>
  <c r="P837" i="42675"/>
  <c r="I837" i="42675"/>
  <c r="D837" i="42675"/>
  <c r="P836" i="42675"/>
  <c r="I836" i="42675"/>
  <c r="D836" i="42675"/>
  <c r="P835" i="42675"/>
  <c r="I835" i="42675"/>
  <c r="D835" i="42675"/>
  <c r="P834" i="42675"/>
  <c r="I834" i="42675"/>
  <c r="D834" i="42675"/>
  <c r="P833" i="42675"/>
  <c r="I833" i="42675"/>
  <c r="D833" i="42675"/>
  <c r="P832" i="42675"/>
  <c r="I832" i="42675"/>
  <c r="D832" i="42675"/>
  <c r="P831" i="42675"/>
  <c r="I831" i="42675"/>
  <c r="D831" i="42675"/>
  <c r="P830" i="42675"/>
  <c r="I830" i="42675"/>
  <c r="D830" i="42675"/>
  <c r="P829" i="42675"/>
  <c r="I829" i="42675"/>
  <c r="D829" i="42675"/>
  <c r="P828" i="42675"/>
  <c r="I828" i="42675"/>
  <c r="D828" i="42675"/>
  <c r="P827" i="42675"/>
  <c r="I827" i="42675"/>
  <c r="D827" i="42675"/>
  <c r="P826" i="42675"/>
  <c r="I826" i="42675"/>
  <c r="D826" i="42675"/>
  <c r="P825" i="42675"/>
  <c r="I825" i="42675"/>
  <c r="D825" i="42675"/>
  <c r="P824" i="42675"/>
  <c r="I824" i="42675"/>
  <c r="D824" i="42675"/>
  <c r="P823" i="42675"/>
  <c r="I823" i="42675"/>
  <c r="D823" i="42675"/>
  <c r="P822" i="42675"/>
  <c r="I822" i="42675"/>
  <c r="D822" i="42675"/>
  <c r="P821" i="42675"/>
  <c r="I821" i="42675"/>
  <c r="D821" i="42675"/>
  <c r="P820" i="42675"/>
  <c r="I820" i="42675"/>
  <c r="D820" i="42675"/>
  <c r="P819" i="42675"/>
  <c r="I819" i="42675"/>
  <c r="D819" i="42675"/>
  <c r="P818" i="42675"/>
  <c r="I818" i="42675"/>
  <c r="D818" i="42675"/>
  <c r="P817" i="42675"/>
  <c r="I817" i="42675"/>
  <c r="D817" i="42675"/>
  <c r="P816" i="42675"/>
  <c r="I816" i="42675"/>
  <c r="D816" i="42675"/>
  <c r="P815" i="42675"/>
  <c r="I815" i="42675"/>
  <c r="D815" i="42675"/>
  <c r="P814" i="42675"/>
  <c r="I814" i="42675"/>
  <c r="D814" i="42675"/>
  <c r="P813" i="42675"/>
  <c r="I813" i="42675"/>
  <c r="D813" i="42675"/>
  <c r="P812" i="42675"/>
  <c r="I812" i="42675"/>
  <c r="D812" i="42675"/>
  <c r="P811" i="42675"/>
  <c r="I811" i="42675"/>
  <c r="D811" i="42675"/>
  <c r="P810" i="42675"/>
  <c r="I810" i="42675"/>
  <c r="D810" i="42675"/>
  <c r="P809" i="42675"/>
  <c r="I809" i="42675"/>
  <c r="D809" i="42675"/>
  <c r="P808" i="42675"/>
  <c r="I808" i="42675"/>
  <c r="D808" i="42675"/>
  <c r="P807" i="42675"/>
  <c r="I807" i="42675"/>
  <c r="D807" i="42675"/>
  <c r="P806" i="42675"/>
  <c r="I806" i="42675"/>
  <c r="D806" i="42675"/>
  <c r="P805" i="42675"/>
  <c r="I805" i="42675"/>
  <c r="D805" i="42675"/>
  <c r="P804" i="42675"/>
  <c r="I804" i="42675"/>
  <c r="D804" i="42675"/>
  <c r="P803" i="42675"/>
  <c r="I803" i="42675"/>
  <c r="D803" i="42675"/>
  <c r="P802" i="42675"/>
  <c r="I802" i="42675"/>
  <c r="D802" i="42675"/>
  <c r="P801" i="42675"/>
  <c r="I801" i="42675"/>
  <c r="D801" i="42675"/>
  <c r="P800" i="42675"/>
  <c r="I800" i="42675"/>
  <c r="D800" i="42675"/>
  <c r="P799" i="42675"/>
  <c r="I799" i="42675"/>
  <c r="D799" i="42675"/>
  <c r="P798" i="42675"/>
  <c r="I798" i="42675"/>
  <c r="D798" i="42675"/>
  <c r="P797" i="42675"/>
  <c r="I797" i="42675"/>
  <c r="D797" i="42675"/>
  <c r="P796" i="42675"/>
  <c r="I796" i="42675"/>
  <c r="D796" i="42675"/>
  <c r="P795" i="42675"/>
  <c r="I795" i="42675"/>
  <c r="D795" i="42675"/>
  <c r="P794" i="42675"/>
  <c r="I794" i="42675"/>
  <c r="D794" i="42675"/>
  <c r="P793" i="42675"/>
  <c r="I793" i="42675"/>
  <c r="D793" i="42675"/>
  <c r="P792" i="42675"/>
  <c r="I792" i="42675"/>
  <c r="D792" i="42675"/>
  <c r="P791" i="42675"/>
  <c r="I791" i="42675"/>
  <c r="D791" i="42675"/>
  <c r="P790" i="42675"/>
  <c r="I790" i="42675"/>
  <c r="D790" i="42675"/>
  <c r="P789" i="42675"/>
  <c r="I789" i="42675"/>
  <c r="D789" i="42675"/>
  <c r="P788" i="42675"/>
  <c r="I788" i="42675"/>
  <c r="D788" i="42675"/>
  <c r="P787" i="42675"/>
  <c r="I787" i="42675"/>
  <c r="D787" i="42675"/>
  <c r="P786" i="42675"/>
  <c r="I786" i="42675"/>
  <c r="D786" i="42675"/>
  <c r="P785" i="42675"/>
  <c r="I785" i="42675"/>
  <c r="D785" i="42675"/>
  <c r="P784" i="42675"/>
  <c r="I784" i="42675"/>
  <c r="D784" i="42675"/>
  <c r="P783" i="42675"/>
  <c r="I783" i="42675"/>
  <c r="D783" i="42675"/>
  <c r="P782" i="42675"/>
  <c r="I782" i="42675"/>
  <c r="D782" i="42675"/>
  <c r="P781" i="42675"/>
  <c r="I781" i="42675"/>
  <c r="D781" i="42675"/>
  <c r="P780" i="42675"/>
  <c r="I780" i="42675"/>
  <c r="D780" i="42675"/>
  <c r="P779" i="42675"/>
  <c r="I779" i="42675"/>
  <c r="D779" i="42675"/>
  <c r="P778" i="42675"/>
  <c r="I778" i="42675"/>
  <c r="D778" i="42675"/>
  <c r="P777" i="42675"/>
  <c r="I777" i="42675"/>
  <c r="D777" i="42675"/>
  <c r="P776" i="42675"/>
  <c r="I776" i="42675"/>
  <c r="D776" i="42675"/>
  <c r="P775" i="42675"/>
  <c r="I775" i="42675"/>
  <c r="D775" i="42675"/>
  <c r="P774" i="42675"/>
  <c r="I774" i="42675"/>
  <c r="D774" i="42675"/>
  <c r="P773" i="42675"/>
  <c r="I773" i="42675"/>
  <c r="D773" i="42675"/>
  <c r="P772" i="42675"/>
  <c r="I772" i="42675"/>
  <c r="D772" i="42675"/>
  <c r="P771" i="42675"/>
  <c r="I771" i="42675"/>
  <c r="D771" i="42675"/>
  <c r="P770" i="42675"/>
  <c r="I770" i="42675"/>
  <c r="D770" i="42675"/>
  <c r="P769" i="42675"/>
  <c r="I769" i="42675"/>
  <c r="D769" i="42675"/>
  <c r="P768" i="42675"/>
  <c r="I768" i="42675"/>
  <c r="D768" i="42675"/>
  <c r="P767" i="42675"/>
  <c r="I767" i="42675"/>
  <c r="D767" i="42675"/>
  <c r="P766" i="42675"/>
  <c r="I766" i="42675"/>
  <c r="D766" i="42675"/>
  <c r="P765" i="42675"/>
  <c r="I765" i="42675"/>
  <c r="D765" i="42675"/>
  <c r="P764" i="42675"/>
  <c r="I764" i="42675"/>
  <c r="D764" i="42675"/>
  <c r="P763" i="42675"/>
  <c r="I763" i="42675"/>
  <c r="D763" i="42675"/>
  <c r="P762" i="42675"/>
  <c r="I762" i="42675"/>
  <c r="D762" i="42675"/>
  <c r="P761" i="42675"/>
  <c r="I761" i="42675"/>
  <c r="D761" i="42675"/>
  <c r="P760" i="42675"/>
  <c r="I760" i="42675"/>
  <c r="D760" i="42675"/>
  <c r="P759" i="42675"/>
  <c r="I759" i="42675"/>
  <c r="D759" i="42675"/>
  <c r="P758" i="42675"/>
  <c r="I758" i="42675"/>
  <c r="D758" i="42675"/>
  <c r="P757" i="42675"/>
  <c r="I757" i="42675"/>
  <c r="D757" i="42675"/>
  <c r="P756" i="42675"/>
  <c r="I756" i="42675"/>
  <c r="D756" i="42675"/>
  <c r="P755" i="42675"/>
  <c r="I755" i="42675"/>
  <c r="D755" i="42675"/>
  <c r="P754" i="42675"/>
  <c r="I754" i="42675"/>
  <c r="D754" i="42675"/>
  <c r="P753" i="42675"/>
  <c r="I753" i="42675"/>
  <c r="D753" i="42675"/>
  <c r="P752" i="42675"/>
  <c r="I752" i="42675"/>
  <c r="D752" i="42675"/>
  <c r="P751" i="42675"/>
  <c r="I751" i="42675"/>
  <c r="D751" i="42675"/>
  <c r="P750" i="42675"/>
  <c r="I750" i="42675"/>
  <c r="D750" i="42675"/>
  <c r="P749" i="42675"/>
  <c r="I749" i="42675"/>
  <c r="D749" i="42675"/>
  <c r="P748" i="42675"/>
  <c r="I748" i="42675"/>
  <c r="D748" i="42675"/>
  <c r="P747" i="42675"/>
  <c r="I747" i="42675"/>
  <c r="D747" i="42675"/>
  <c r="P746" i="42675"/>
  <c r="I746" i="42675"/>
  <c r="D746" i="42675"/>
  <c r="P745" i="42675"/>
  <c r="I745" i="42675"/>
  <c r="D745" i="42675"/>
  <c r="P744" i="42675"/>
  <c r="I744" i="42675"/>
  <c r="D744" i="42675"/>
  <c r="P743" i="42675"/>
  <c r="I743" i="42675"/>
  <c r="D743" i="42675"/>
  <c r="P742" i="42675"/>
  <c r="I742" i="42675"/>
  <c r="D742" i="42675"/>
  <c r="P741" i="42675"/>
  <c r="I741" i="42675"/>
  <c r="D741" i="42675"/>
  <c r="P740" i="42675"/>
  <c r="I740" i="42675"/>
  <c r="D740" i="42675"/>
  <c r="P739" i="42675"/>
  <c r="I739" i="42675"/>
  <c r="D739" i="42675"/>
  <c r="P738" i="42675"/>
  <c r="I738" i="42675"/>
  <c r="D738" i="42675"/>
  <c r="P737" i="42675"/>
  <c r="I737" i="42675"/>
  <c r="D737" i="42675"/>
  <c r="P736" i="42675"/>
  <c r="I736" i="42675"/>
  <c r="D736" i="42675"/>
  <c r="P735" i="42675"/>
  <c r="I735" i="42675"/>
  <c r="D735" i="42675"/>
  <c r="P734" i="42675"/>
  <c r="I734" i="42675"/>
  <c r="D734" i="42675"/>
  <c r="P733" i="42675"/>
  <c r="I733" i="42675"/>
  <c r="D733" i="42675"/>
  <c r="P732" i="42675"/>
  <c r="I732" i="42675"/>
  <c r="D732" i="42675"/>
  <c r="P731" i="42675"/>
  <c r="I731" i="42675"/>
  <c r="D731" i="42675"/>
  <c r="P730" i="42675"/>
  <c r="I730" i="42675"/>
  <c r="D730" i="42675"/>
  <c r="P729" i="42675"/>
  <c r="I729" i="42675"/>
  <c r="D729" i="42675"/>
  <c r="P728" i="42675"/>
  <c r="I728" i="42675"/>
  <c r="D728" i="42675"/>
  <c r="P727" i="42675"/>
  <c r="I727" i="42675"/>
  <c r="D727" i="42675"/>
  <c r="P726" i="42675"/>
  <c r="I726" i="42675"/>
  <c r="D726" i="42675"/>
  <c r="P725" i="42675"/>
  <c r="I725" i="42675"/>
  <c r="D725" i="42675"/>
  <c r="P724" i="42675"/>
  <c r="I724" i="42675"/>
  <c r="D724" i="42675"/>
  <c r="P723" i="42675"/>
  <c r="I723" i="42675"/>
  <c r="D723" i="42675"/>
  <c r="P722" i="42675"/>
  <c r="I722" i="42675"/>
  <c r="D722" i="42675"/>
  <c r="P721" i="42675"/>
  <c r="I721" i="42675"/>
  <c r="D721" i="42675"/>
  <c r="P720" i="42675"/>
  <c r="I720" i="42675"/>
  <c r="D720" i="42675"/>
  <c r="P719" i="42675"/>
  <c r="I719" i="42675"/>
  <c r="D719" i="42675"/>
  <c r="P718" i="42675"/>
  <c r="I718" i="42675"/>
  <c r="D718" i="42675"/>
  <c r="P717" i="42675"/>
  <c r="I717" i="42675"/>
  <c r="D717" i="42675"/>
  <c r="P716" i="42675"/>
  <c r="I716" i="42675"/>
  <c r="D716" i="42675"/>
  <c r="P715" i="42675"/>
  <c r="I715" i="42675"/>
  <c r="D715" i="42675"/>
  <c r="P714" i="42675"/>
  <c r="I714" i="42675"/>
  <c r="D714" i="42675"/>
  <c r="P713" i="42675"/>
  <c r="I713" i="42675"/>
  <c r="D713" i="42675"/>
  <c r="P712" i="42675"/>
  <c r="I712" i="42675"/>
  <c r="D712" i="42675"/>
  <c r="P711" i="42675"/>
  <c r="I711" i="42675"/>
  <c r="D711" i="42675"/>
  <c r="P710" i="42675"/>
  <c r="I710" i="42675"/>
  <c r="D710" i="42675"/>
  <c r="P709" i="42675"/>
  <c r="I709" i="42675"/>
  <c r="D709" i="42675"/>
  <c r="P708" i="42675"/>
  <c r="I708" i="42675"/>
  <c r="D708" i="42675"/>
  <c r="P707" i="42675"/>
  <c r="I707" i="42675"/>
  <c r="D707" i="42675"/>
  <c r="P706" i="42675"/>
  <c r="I706" i="42675"/>
  <c r="D706" i="42675"/>
  <c r="P705" i="42675"/>
  <c r="I705" i="42675"/>
  <c r="D705" i="42675"/>
  <c r="P704" i="42675"/>
  <c r="I704" i="42675"/>
  <c r="D704" i="42675"/>
  <c r="P703" i="42675"/>
  <c r="I703" i="42675"/>
  <c r="D703" i="42675"/>
  <c r="P702" i="42675"/>
  <c r="I702" i="42675"/>
  <c r="D702" i="42675"/>
  <c r="P701" i="42675"/>
  <c r="I701" i="42675"/>
  <c r="D701" i="42675"/>
  <c r="P700" i="42675"/>
  <c r="I700" i="42675"/>
  <c r="D700" i="42675"/>
  <c r="P699" i="42675"/>
  <c r="I699" i="42675"/>
  <c r="D699" i="42675"/>
  <c r="P698" i="42675"/>
  <c r="I698" i="42675"/>
  <c r="D698" i="42675"/>
  <c r="P697" i="42675"/>
  <c r="I697" i="42675"/>
  <c r="D697" i="42675"/>
  <c r="P696" i="42675"/>
  <c r="I696" i="42675"/>
  <c r="D696" i="42675"/>
  <c r="P695" i="42675"/>
  <c r="I695" i="42675"/>
  <c r="D695" i="42675"/>
  <c r="P694" i="42675"/>
  <c r="I694" i="42675"/>
  <c r="D694" i="42675"/>
  <c r="P693" i="42675"/>
  <c r="I693" i="42675"/>
  <c r="D693" i="42675"/>
  <c r="P692" i="42675"/>
  <c r="I692" i="42675"/>
  <c r="D692" i="42675"/>
  <c r="P691" i="42675"/>
  <c r="I691" i="42675"/>
  <c r="D691" i="42675"/>
  <c r="P690" i="42675"/>
  <c r="I690" i="42675"/>
  <c r="D690" i="42675"/>
  <c r="P689" i="42675"/>
  <c r="I689" i="42675"/>
  <c r="D689" i="42675"/>
  <c r="P688" i="42675"/>
  <c r="I688" i="42675"/>
  <c r="D688" i="42675"/>
  <c r="P687" i="42675"/>
  <c r="I687" i="42675"/>
  <c r="D687" i="42675"/>
  <c r="P686" i="42675"/>
  <c r="I686" i="42675"/>
  <c r="D686" i="42675"/>
  <c r="P685" i="42675"/>
  <c r="I685" i="42675"/>
  <c r="D685" i="42675"/>
  <c r="P684" i="42675"/>
  <c r="I684" i="42675"/>
  <c r="D684" i="42675"/>
  <c r="P683" i="42675"/>
  <c r="I683" i="42675"/>
  <c r="D683" i="42675"/>
  <c r="P682" i="42675"/>
  <c r="I682" i="42675"/>
  <c r="D682" i="42675"/>
  <c r="P681" i="42675"/>
  <c r="I681" i="42675"/>
  <c r="D681" i="42675"/>
  <c r="P680" i="42675"/>
  <c r="I680" i="42675"/>
  <c r="D680" i="42675"/>
  <c r="P679" i="42675"/>
  <c r="I679" i="42675"/>
  <c r="D679" i="42675"/>
  <c r="P678" i="42675"/>
  <c r="I678" i="42675"/>
  <c r="D678" i="42675"/>
  <c r="P677" i="42675"/>
  <c r="I677" i="42675"/>
  <c r="D677" i="42675"/>
  <c r="P676" i="42675"/>
  <c r="I676" i="42675"/>
  <c r="D676" i="42675"/>
  <c r="P675" i="42675"/>
  <c r="I675" i="42675"/>
  <c r="D675" i="42675"/>
  <c r="P674" i="42675"/>
  <c r="I674" i="42675"/>
  <c r="D674" i="42675"/>
  <c r="P673" i="42675"/>
  <c r="I673" i="42675"/>
  <c r="D673" i="42675"/>
  <c r="P672" i="42675"/>
  <c r="I672" i="42675"/>
  <c r="D672" i="42675"/>
  <c r="P671" i="42675"/>
  <c r="I671" i="42675"/>
  <c r="D671" i="42675"/>
  <c r="P670" i="42675"/>
  <c r="I670" i="42675"/>
  <c r="D670" i="42675"/>
  <c r="P669" i="42675"/>
  <c r="I669" i="42675"/>
  <c r="D669" i="42675"/>
  <c r="P668" i="42675"/>
  <c r="I668" i="42675"/>
  <c r="D668" i="42675"/>
  <c r="P667" i="42675"/>
  <c r="I667" i="42675"/>
  <c r="D667" i="42675"/>
  <c r="P666" i="42675"/>
  <c r="I666" i="42675"/>
  <c r="D666" i="42675"/>
  <c r="P665" i="42675"/>
  <c r="I665" i="42675"/>
  <c r="D665" i="42675"/>
  <c r="P664" i="42675"/>
  <c r="I664" i="42675"/>
  <c r="D664" i="42675"/>
  <c r="P663" i="42675"/>
  <c r="I663" i="42675"/>
  <c r="D663" i="42675"/>
  <c r="P662" i="42675"/>
  <c r="I662" i="42675"/>
  <c r="D662" i="42675"/>
  <c r="P661" i="42675"/>
  <c r="I661" i="42675"/>
  <c r="D661" i="42675"/>
  <c r="P660" i="42675"/>
  <c r="I660" i="42675"/>
  <c r="D660" i="42675"/>
  <c r="P659" i="42675"/>
  <c r="I659" i="42675"/>
  <c r="D659" i="42675"/>
  <c r="P658" i="42675"/>
  <c r="I658" i="42675"/>
  <c r="D658" i="42675"/>
  <c r="P657" i="42675"/>
  <c r="I657" i="42675"/>
  <c r="D657" i="42675"/>
  <c r="P656" i="42675"/>
  <c r="I656" i="42675"/>
  <c r="D656" i="42675"/>
  <c r="P655" i="42675"/>
  <c r="I655" i="42675"/>
  <c r="D655" i="42675"/>
  <c r="P654" i="42675"/>
  <c r="I654" i="42675"/>
  <c r="D654" i="42675"/>
  <c r="P653" i="42675"/>
  <c r="I653" i="42675"/>
  <c r="D653" i="42675"/>
  <c r="P652" i="42675"/>
  <c r="I652" i="42675"/>
  <c r="D652" i="42675"/>
  <c r="P651" i="42675"/>
  <c r="I651" i="42675"/>
  <c r="D651" i="42675"/>
  <c r="P650" i="42675"/>
  <c r="I650" i="42675"/>
  <c r="D650" i="42675"/>
  <c r="P649" i="42675"/>
  <c r="I649" i="42675"/>
  <c r="D649" i="42675"/>
  <c r="P648" i="42675"/>
  <c r="I648" i="42675"/>
  <c r="D648" i="42675"/>
  <c r="P647" i="42675"/>
  <c r="I647" i="42675"/>
  <c r="D647" i="42675"/>
  <c r="P646" i="42675"/>
  <c r="I646" i="42675"/>
  <c r="D646" i="42675"/>
  <c r="P645" i="42675"/>
  <c r="I645" i="42675"/>
  <c r="D645" i="42675"/>
  <c r="P644" i="42675"/>
  <c r="I644" i="42675"/>
  <c r="D644" i="42675"/>
  <c r="P643" i="42675"/>
  <c r="I643" i="42675"/>
  <c r="D643" i="42675"/>
  <c r="P642" i="42675"/>
  <c r="I642" i="42675"/>
  <c r="D642" i="42675"/>
  <c r="P641" i="42675"/>
  <c r="I641" i="42675"/>
  <c r="D641" i="42675"/>
  <c r="P640" i="42675"/>
  <c r="I640" i="42675"/>
  <c r="D640" i="42675"/>
  <c r="P639" i="42675"/>
  <c r="I639" i="42675"/>
  <c r="D639" i="42675"/>
  <c r="P638" i="42675"/>
  <c r="I638" i="42675"/>
  <c r="D638" i="42675"/>
  <c r="P637" i="42675"/>
  <c r="I637" i="42675"/>
  <c r="D637" i="42675"/>
  <c r="P636" i="42675"/>
  <c r="I636" i="42675"/>
  <c r="D636" i="42675"/>
  <c r="P635" i="42675"/>
  <c r="I635" i="42675"/>
  <c r="D635" i="42675"/>
  <c r="P634" i="42675"/>
  <c r="M634" i="42675"/>
  <c r="I634" i="42675"/>
  <c r="D634" i="42675"/>
  <c r="P633" i="42675"/>
  <c r="I633" i="42675"/>
  <c r="D633" i="42675"/>
  <c r="P632" i="42675"/>
  <c r="I632" i="42675"/>
  <c r="D632" i="42675"/>
  <c r="P631" i="42675"/>
  <c r="I631" i="42675"/>
  <c r="D631" i="42675"/>
  <c r="P630" i="42675"/>
  <c r="I630" i="42675"/>
  <c r="D630" i="42675"/>
  <c r="P629" i="42675"/>
  <c r="I629" i="42675"/>
  <c r="D629" i="42675"/>
  <c r="P628" i="42675"/>
  <c r="I628" i="42675"/>
  <c r="D628" i="42675"/>
  <c r="P627" i="42675"/>
  <c r="I627" i="42675"/>
  <c r="D627" i="42675"/>
  <c r="P626" i="42675"/>
  <c r="I626" i="42675"/>
  <c r="D626" i="42675"/>
  <c r="P625" i="42675"/>
  <c r="I625" i="42675"/>
  <c r="D625" i="42675"/>
  <c r="P624" i="42675"/>
  <c r="I624" i="42675"/>
  <c r="D624" i="42675"/>
  <c r="P623" i="42675"/>
  <c r="I623" i="42675"/>
  <c r="D623" i="42675"/>
  <c r="P622" i="42675"/>
  <c r="I622" i="42675"/>
  <c r="D622" i="42675"/>
  <c r="P621" i="42675"/>
  <c r="I621" i="42675"/>
  <c r="D621" i="42675"/>
  <c r="P620" i="42675"/>
  <c r="I620" i="42675"/>
  <c r="D620" i="42675"/>
  <c r="P619" i="42675"/>
  <c r="I619" i="42675"/>
  <c r="D619" i="42675"/>
  <c r="P618" i="42675"/>
  <c r="I618" i="42675"/>
  <c r="D618" i="42675"/>
  <c r="P617" i="42675"/>
  <c r="I617" i="42675"/>
  <c r="D617" i="42675"/>
  <c r="P616" i="42675"/>
  <c r="I616" i="42675"/>
  <c r="D616" i="42675"/>
  <c r="P615" i="42675"/>
  <c r="I615" i="42675"/>
  <c r="D615" i="42675"/>
  <c r="P614" i="42675"/>
  <c r="I614" i="42675"/>
  <c r="D614" i="42675"/>
  <c r="P613" i="42675"/>
  <c r="I613" i="42675"/>
  <c r="D613" i="42675"/>
  <c r="P612" i="42675"/>
  <c r="I612" i="42675"/>
  <c r="D612" i="42675"/>
  <c r="P611" i="42675"/>
  <c r="I611" i="42675"/>
  <c r="D611" i="42675"/>
  <c r="P610" i="42675"/>
  <c r="I610" i="42675"/>
  <c r="D610" i="42675"/>
  <c r="P609" i="42675"/>
  <c r="I609" i="42675"/>
  <c r="D609" i="42675"/>
  <c r="P608" i="42675"/>
  <c r="I608" i="42675"/>
  <c r="D608" i="42675"/>
  <c r="P607" i="42675"/>
  <c r="I607" i="42675"/>
  <c r="D607" i="42675"/>
  <c r="P606" i="42675"/>
  <c r="I606" i="42675"/>
  <c r="D606" i="42675"/>
  <c r="P605" i="42675"/>
  <c r="I605" i="42675"/>
  <c r="D605" i="42675"/>
  <c r="P604" i="42675"/>
  <c r="I604" i="42675"/>
  <c r="D604" i="42675"/>
  <c r="P603" i="42675"/>
  <c r="I603" i="42675"/>
  <c r="D603" i="42675"/>
  <c r="P602" i="42675"/>
  <c r="I602" i="42675"/>
  <c r="D602" i="42675"/>
  <c r="P601" i="42675"/>
  <c r="I601" i="42675"/>
  <c r="D601" i="42675"/>
  <c r="P600" i="42675"/>
  <c r="I600" i="42675"/>
  <c r="D600" i="42675"/>
  <c r="P599" i="42675"/>
  <c r="I599" i="42675"/>
  <c r="D599" i="42675"/>
  <c r="P598" i="42675"/>
  <c r="I598" i="42675"/>
  <c r="D598" i="42675"/>
  <c r="P597" i="42675"/>
  <c r="I597" i="42675"/>
  <c r="D597" i="42675"/>
  <c r="P596" i="42675"/>
  <c r="I596" i="42675"/>
  <c r="D596" i="42675"/>
  <c r="P595" i="42675"/>
  <c r="I595" i="42675"/>
  <c r="D595" i="42675"/>
  <c r="P594" i="42675"/>
  <c r="I594" i="42675"/>
  <c r="D594" i="42675"/>
  <c r="P593" i="42675"/>
  <c r="I593" i="42675"/>
  <c r="D593" i="42675"/>
  <c r="P592" i="42675"/>
  <c r="I592" i="42675"/>
  <c r="D592" i="42675"/>
  <c r="P591" i="42675"/>
  <c r="I591" i="42675"/>
  <c r="D591" i="42675"/>
  <c r="P590" i="42675"/>
  <c r="I590" i="42675"/>
  <c r="D590" i="42675"/>
  <c r="P589" i="42675"/>
  <c r="I589" i="42675"/>
  <c r="D589" i="42675"/>
  <c r="P588" i="42675"/>
  <c r="I588" i="42675"/>
  <c r="D588" i="42675"/>
  <c r="P587" i="42675"/>
  <c r="I587" i="42675"/>
  <c r="D587" i="42675"/>
  <c r="P586" i="42675"/>
  <c r="I586" i="42675"/>
  <c r="D586" i="42675"/>
  <c r="P585" i="42675"/>
  <c r="I585" i="42675"/>
  <c r="D585" i="42675"/>
  <c r="P584" i="42675"/>
  <c r="I584" i="42675"/>
  <c r="D584" i="42675"/>
  <c r="P583" i="42675"/>
  <c r="I583" i="42675"/>
  <c r="D583" i="42675"/>
  <c r="P582" i="42675"/>
  <c r="I582" i="42675"/>
  <c r="D582" i="42675"/>
  <c r="P581" i="42675"/>
  <c r="I581" i="42675"/>
  <c r="D581" i="42675"/>
  <c r="P580" i="42675"/>
  <c r="I580" i="42675"/>
  <c r="D580" i="42675"/>
  <c r="P579" i="42675"/>
  <c r="I579" i="42675"/>
  <c r="D579" i="42675"/>
  <c r="P578" i="42675"/>
  <c r="I578" i="42675"/>
  <c r="D578" i="42675"/>
  <c r="P577" i="42675"/>
  <c r="I577" i="42675"/>
  <c r="D577" i="42675"/>
  <c r="P576" i="42675"/>
  <c r="I576" i="42675"/>
  <c r="D576" i="42675"/>
  <c r="P575" i="42675"/>
  <c r="I575" i="42675"/>
  <c r="D575" i="42675"/>
  <c r="P574" i="42675"/>
  <c r="I574" i="42675"/>
  <c r="D574" i="42675"/>
  <c r="P573" i="42675"/>
  <c r="I573" i="42675"/>
  <c r="D573" i="42675"/>
  <c r="P572" i="42675"/>
  <c r="I572" i="42675"/>
  <c r="D572" i="42675"/>
  <c r="P571" i="42675"/>
  <c r="I571" i="42675"/>
  <c r="D571" i="42675"/>
  <c r="P570" i="42675"/>
  <c r="I570" i="42675"/>
  <c r="D570" i="42675"/>
  <c r="P569" i="42675"/>
  <c r="I569" i="42675"/>
  <c r="D569" i="42675"/>
  <c r="P568" i="42675"/>
  <c r="I568" i="42675"/>
  <c r="D568" i="42675"/>
  <c r="P567" i="42675"/>
  <c r="I567" i="42675"/>
  <c r="D567" i="42675"/>
  <c r="P566" i="42675"/>
  <c r="I566" i="42675"/>
  <c r="D566" i="42675"/>
  <c r="P565" i="42675"/>
  <c r="I565" i="42675"/>
  <c r="D565" i="42675"/>
  <c r="P564" i="42675"/>
  <c r="I564" i="42675"/>
  <c r="D564" i="42675"/>
  <c r="P563" i="42675"/>
  <c r="I563" i="42675"/>
  <c r="D563" i="42675"/>
  <c r="P562" i="42675"/>
  <c r="I562" i="42675"/>
  <c r="D562" i="42675"/>
  <c r="P561" i="42675"/>
  <c r="I561" i="42675"/>
  <c r="D561" i="42675"/>
  <c r="P560" i="42675"/>
  <c r="I560" i="42675"/>
  <c r="D560" i="42675"/>
  <c r="P559" i="42675"/>
  <c r="I559" i="42675"/>
  <c r="D559" i="42675"/>
  <c r="P558" i="42675"/>
  <c r="I558" i="42675"/>
  <c r="D558" i="42675"/>
  <c r="P557" i="42675"/>
  <c r="I557" i="42675"/>
  <c r="D557" i="42675"/>
  <c r="P556" i="42675"/>
  <c r="I556" i="42675"/>
  <c r="D556" i="42675"/>
  <c r="P555" i="42675"/>
  <c r="I555" i="42675"/>
  <c r="D555" i="42675"/>
  <c r="P554" i="42675"/>
  <c r="M554" i="42675"/>
  <c r="I554" i="42675"/>
  <c r="D554" i="42675"/>
  <c r="P553" i="42675"/>
  <c r="I553" i="42675"/>
  <c r="D553" i="42675"/>
  <c r="P552" i="42675"/>
  <c r="I552" i="42675"/>
  <c r="D552" i="42675"/>
  <c r="P551" i="42675"/>
  <c r="I551" i="42675"/>
  <c r="D551" i="42675"/>
  <c r="P550" i="42675"/>
  <c r="I550" i="42675"/>
  <c r="D550" i="42675"/>
  <c r="P549" i="42675"/>
  <c r="I549" i="42675"/>
  <c r="D549" i="42675"/>
  <c r="P548" i="42675"/>
  <c r="I548" i="42675"/>
  <c r="D548" i="42675"/>
  <c r="P547" i="42675"/>
  <c r="I547" i="42675"/>
  <c r="D547" i="42675"/>
  <c r="P546" i="42675"/>
  <c r="I546" i="42675"/>
  <c r="D546" i="42675"/>
  <c r="P545" i="42675"/>
  <c r="I545" i="42675"/>
  <c r="D545" i="42675"/>
  <c r="P544" i="42675"/>
  <c r="I544" i="42675"/>
  <c r="D544" i="42675"/>
  <c r="P543" i="42675"/>
  <c r="I543" i="42675"/>
  <c r="D543" i="42675"/>
  <c r="P542" i="42675"/>
  <c r="I542" i="42675"/>
  <c r="D542" i="42675"/>
  <c r="P541" i="42675"/>
  <c r="I541" i="42675"/>
  <c r="D541" i="42675"/>
  <c r="P540" i="42675"/>
  <c r="I540" i="42675"/>
  <c r="D540" i="42675"/>
  <c r="P539" i="42675"/>
  <c r="I539" i="42675"/>
  <c r="D539" i="42675"/>
  <c r="P538" i="42675"/>
  <c r="I538" i="42675"/>
  <c r="D538" i="42675"/>
  <c r="P537" i="42675"/>
  <c r="I537" i="42675"/>
  <c r="D537" i="42675"/>
  <c r="P536" i="42675"/>
  <c r="I536" i="42675"/>
  <c r="D536" i="42675"/>
  <c r="P535" i="42675"/>
  <c r="I535" i="42675"/>
  <c r="D535" i="42675"/>
  <c r="P534" i="42675"/>
  <c r="I534" i="42675"/>
  <c r="D534" i="42675"/>
  <c r="L531" i="42675"/>
  <c r="L900" i="42675" s="1"/>
  <c r="L902" i="42675" s="1"/>
  <c r="K531" i="42675"/>
  <c r="J531" i="42675"/>
  <c r="J900" i="42675" s="1"/>
  <c r="J902" i="42675" s="1"/>
  <c r="P530" i="42675"/>
  <c r="I530" i="42675"/>
  <c r="D530" i="42675"/>
  <c r="P529" i="42675"/>
  <c r="I529" i="42675"/>
  <c r="D529" i="42675"/>
  <c r="P528" i="42675"/>
  <c r="I528" i="42675"/>
  <c r="D528" i="42675"/>
  <c r="P527" i="42675"/>
  <c r="I527" i="42675"/>
  <c r="D527" i="42675"/>
  <c r="P526" i="42675"/>
  <c r="I526" i="42675"/>
  <c r="D526" i="42675"/>
  <c r="P525" i="42675"/>
  <c r="I525" i="42675"/>
  <c r="D525" i="42675"/>
  <c r="P524" i="42675"/>
  <c r="I524" i="42675"/>
  <c r="D524" i="42675"/>
  <c r="P523" i="42675"/>
  <c r="I523" i="42675"/>
  <c r="D523" i="42675"/>
  <c r="P522" i="42675"/>
  <c r="I522" i="42675"/>
  <c r="D522" i="42675"/>
  <c r="P521" i="42675"/>
  <c r="I521" i="42675"/>
  <c r="D521" i="42675"/>
  <c r="P520" i="42675"/>
  <c r="I520" i="42675"/>
  <c r="D520" i="42675"/>
  <c r="P519" i="42675"/>
  <c r="I519" i="42675"/>
  <c r="D519" i="42675"/>
  <c r="P518" i="42675"/>
  <c r="I518" i="42675"/>
  <c r="D518" i="42675"/>
  <c r="P517" i="42675"/>
  <c r="I517" i="42675"/>
  <c r="D517" i="42675"/>
  <c r="P516" i="42675"/>
  <c r="I516" i="42675"/>
  <c r="D516" i="42675"/>
  <c r="P515" i="42675"/>
  <c r="I515" i="42675"/>
  <c r="D515" i="42675"/>
  <c r="P514" i="42675"/>
  <c r="I514" i="42675"/>
  <c r="D514" i="42675"/>
  <c r="P513" i="42675"/>
  <c r="I513" i="42675"/>
  <c r="D513" i="42675"/>
  <c r="P512" i="42675"/>
  <c r="I512" i="42675"/>
  <c r="D512" i="42675"/>
  <c r="P511" i="42675"/>
  <c r="I511" i="42675"/>
  <c r="D511" i="42675"/>
  <c r="P510" i="42675"/>
  <c r="I510" i="42675"/>
  <c r="D510" i="42675"/>
  <c r="P509" i="42675"/>
  <c r="I509" i="42675"/>
  <c r="D509" i="42675"/>
  <c r="P508" i="42675"/>
  <c r="I508" i="42675"/>
  <c r="D508" i="42675"/>
  <c r="P507" i="42675"/>
  <c r="I507" i="42675"/>
  <c r="D507" i="42675"/>
  <c r="P506" i="42675"/>
  <c r="I506" i="42675"/>
  <c r="D506" i="42675"/>
  <c r="P505" i="42675"/>
  <c r="I505" i="42675"/>
  <c r="D505" i="42675"/>
  <c r="P504" i="42675"/>
  <c r="I504" i="42675"/>
  <c r="D504" i="42675"/>
  <c r="P503" i="42675"/>
  <c r="I503" i="42675"/>
  <c r="D503" i="42675"/>
  <c r="P502" i="42675"/>
  <c r="I502" i="42675"/>
  <c r="D502" i="42675"/>
  <c r="P501" i="42675"/>
  <c r="I501" i="42675"/>
  <c r="D501" i="42675"/>
  <c r="P500" i="42675"/>
  <c r="I500" i="42675"/>
  <c r="D500" i="42675"/>
  <c r="P499" i="42675"/>
  <c r="I499" i="42675"/>
  <c r="D499" i="42675"/>
  <c r="P498" i="42675"/>
  <c r="I498" i="42675"/>
  <c r="D498" i="42675"/>
  <c r="P497" i="42675"/>
  <c r="I497" i="42675"/>
  <c r="D497" i="42675"/>
  <c r="P496" i="42675"/>
  <c r="I496" i="42675"/>
  <c r="D496" i="42675"/>
  <c r="P495" i="42675"/>
  <c r="I495" i="42675"/>
  <c r="D495" i="42675"/>
  <c r="P494" i="42675"/>
  <c r="I494" i="42675"/>
  <c r="D494" i="42675"/>
  <c r="P493" i="42675"/>
  <c r="I493" i="42675"/>
  <c r="D493" i="42675"/>
  <c r="P492" i="42675"/>
  <c r="I492" i="42675"/>
  <c r="D492" i="42675"/>
  <c r="P491" i="42675"/>
  <c r="I491" i="42675"/>
  <c r="D491" i="42675"/>
  <c r="P490" i="42675"/>
  <c r="I490" i="42675"/>
  <c r="D490" i="42675"/>
  <c r="P489" i="42675"/>
  <c r="I489" i="42675"/>
  <c r="D489" i="42675"/>
  <c r="P488" i="42675"/>
  <c r="I488" i="42675"/>
  <c r="D488" i="42675"/>
  <c r="P487" i="42675"/>
  <c r="I487" i="42675"/>
  <c r="D487" i="42675"/>
  <c r="P486" i="42675"/>
  <c r="I486" i="42675"/>
  <c r="D486" i="42675"/>
  <c r="P485" i="42675"/>
  <c r="I485" i="42675"/>
  <c r="D485" i="42675"/>
  <c r="P484" i="42675"/>
  <c r="I484" i="42675"/>
  <c r="D484" i="42675"/>
  <c r="P483" i="42675"/>
  <c r="I483" i="42675"/>
  <c r="D483" i="42675"/>
  <c r="P482" i="42675"/>
  <c r="I482" i="42675"/>
  <c r="D482" i="42675"/>
  <c r="P481" i="42675"/>
  <c r="I481" i="42675"/>
  <c r="D481" i="42675"/>
  <c r="P480" i="42675"/>
  <c r="I480" i="42675"/>
  <c r="D480" i="42675"/>
  <c r="P479" i="42675"/>
  <c r="I479" i="42675"/>
  <c r="D479" i="42675"/>
  <c r="P478" i="42675"/>
  <c r="I478" i="42675"/>
  <c r="D478" i="42675"/>
  <c r="P477" i="42675"/>
  <c r="I477" i="42675"/>
  <c r="D477" i="42675"/>
  <c r="P476" i="42675"/>
  <c r="I476" i="42675"/>
  <c r="D476" i="42675"/>
  <c r="P475" i="42675"/>
  <c r="I475" i="42675"/>
  <c r="D475" i="42675"/>
  <c r="P474" i="42675"/>
  <c r="I474" i="42675"/>
  <c r="D474" i="42675"/>
  <c r="P473" i="42675"/>
  <c r="I473" i="42675"/>
  <c r="D473" i="42675"/>
  <c r="P472" i="42675"/>
  <c r="I472" i="42675"/>
  <c r="D472" i="42675"/>
  <c r="P471" i="42675"/>
  <c r="I471" i="42675"/>
  <c r="D471" i="42675"/>
  <c r="P470" i="42675"/>
  <c r="I470" i="42675"/>
  <c r="D470" i="42675"/>
  <c r="P469" i="42675"/>
  <c r="I469" i="42675"/>
  <c r="D469" i="42675"/>
  <c r="P468" i="42675"/>
  <c r="I468" i="42675"/>
  <c r="D468" i="42675"/>
  <c r="P467" i="42675"/>
  <c r="I467" i="42675"/>
  <c r="D467" i="42675"/>
  <c r="P466" i="42675"/>
  <c r="I466" i="42675"/>
  <c r="D466" i="42675"/>
  <c r="P465" i="42675"/>
  <c r="I465" i="42675"/>
  <c r="D465" i="42675"/>
  <c r="P464" i="42675"/>
  <c r="I464" i="42675"/>
  <c r="D464" i="42675"/>
  <c r="P463" i="42675"/>
  <c r="I463" i="42675"/>
  <c r="D463" i="42675"/>
  <c r="P462" i="42675"/>
  <c r="I462" i="42675"/>
  <c r="D462" i="42675"/>
  <c r="P461" i="42675"/>
  <c r="I461" i="42675"/>
  <c r="D461" i="42675"/>
  <c r="P460" i="42675"/>
  <c r="I460" i="42675"/>
  <c r="D460" i="42675"/>
  <c r="P459" i="42675"/>
  <c r="I459" i="42675"/>
  <c r="D459" i="42675"/>
  <c r="P458" i="42675"/>
  <c r="I458" i="42675"/>
  <c r="D458" i="42675"/>
  <c r="P457" i="42675"/>
  <c r="I457" i="42675"/>
  <c r="D457" i="42675"/>
  <c r="P456" i="42675"/>
  <c r="I456" i="42675"/>
  <c r="D456" i="42675"/>
  <c r="P455" i="42675"/>
  <c r="I455" i="42675"/>
  <c r="D455" i="42675"/>
  <c r="P454" i="42675"/>
  <c r="I454" i="42675"/>
  <c r="D454" i="42675"/>
  <c r="P453" i="42675"/>
  <c r="I453" i="42675"/>
  <c r="D453" i="42675"/>
  <c r="P452" i="42675"/>
  <c r="I452" i="42675"/>
  <c r="D452" i="42675"/>
  <c r="P451" i="42675"/>
  <c r="I451" i="42675"/>
  <c r="D451" i="42675"/>
  <c r="P450" i="42675"/>
  <c r="I450" i="42675"/>
  <c r="D450" i="42675"/>
  <c r="P449" i="42675"/>
  <c r="I449" i="42675"/>
  <c r="D449" i="42675"/>
  <c r="P448" i="42675"/>
  <c r="I448" i="42675"/>
  <c r="D448" i="42675"/>
  <c r="P447" i="42675"/>
  <c r="I447" i="42675"/>
  <c r="D447" i="42675"/>
  <c r="P446" i="42675"/>
  <c r="I446" i="42675"/>
  <c r="D446" i="42675"/>
  <c r="P445" i="42675"/>
  <c r="I445" i="42675"/>
  <c r="D445" i="42675"/>
  <c r="P444" i="42675"/>
  <c r="I444" i="42675"/>
  <c r="D444" i="42675"/>
  <c r="P443" i="42675"/>
  <c r="I443" i="42675"/>
  <c r="D443" i="42675"/>
  <c r="P442" i="42675"/>
  <c r="I442" i="42675"/>
  <c r="D442" i="42675"/>
  <c r="P441" i="42675"/>
  <c r="I441" i="42675"/>
  <c r="D441" i="42675"/>
  <c r="P440" i="42675"/>
  <c r="I440" i="42675"/>
  <c r="D440" i="42675"/>
  <c r="P439" i="42675"/>
  <c r="I439" i="42675"/>
  <c r="D439" i="42675"/>
  <c r="P438" i="42675"/>
  <c r="I438" i="42675"/>
  <c r="D438" i="42675"/>
  <c r="P437" i="42675"/>
  <c r="I437" i="42675"/>
  <c r="D437" i="42675"/>
  <c r="P436" i="42675"/>
  <c r="I436" i="42675"/>
  <c r="D436" i="42675"/>
  <c r="P435" i="42675"/>
  <c r="I435" i="42675"/>
  <c r="D435" i="42675"/>
  <c r="P434" i="42675"/>
  <c r="I434" i="42675"/>
  <c r="D434" i="42675"/>
  <c r="P433" i="42675"/>
  <c r="I433" i="42675"/>
  <c r="D433" i="42675"/>
  <c r="P432" i="42675"/>
  <c r="I432" i="42675"/>
  <c r="D432" i="42675"/>
  <c r="P431" i="42675"/>
  <c r="I431" i="42675"/>
  <c r="D431" i="42675"/>
  <c r="P430" i="42675"/>
  <c r="I430" i="42675"/>
  <c r="D430" i="42675"/>
  <c r="P429" i="42675"/>
  <c r="I429" i="42675"/>
  <c r="D429" i="42675"/>
  <c r="P428" i="42675"/>
  <c r="I428" i="42675"/>
  <c r="D428" i="42675"/>
  <c r="P427" i="42675"/>
  <c r="I427" i="42675"/>
  <c r="D427" i="42675"/>
  <c r="P426" i="42675"/>
  <c r="I426" i="42675"/>
  <c r="D426" i="42675"/>
  <c r="P425" i="42675"/>
  <c r="I425" i="42675"/>
  <c r="D425" i="42675"/>
  <c r="P424" i="42675"/>
  <c r="I424" i="42675"/>
  <c r="D424" i="42675"/>
  <c r="P423" i="42675"/>
  <c r="I423" i="42675"/>
  <c r="D423" i="42675"/>
  <c r="P422" i="42675"/>
  <c r="I422" i="42675"/>
  <c r="D422" i="42675"/>
  <c r="P421" i="42675"/>
  <c r="I421" i="42675"/>
  <c r="D421" i="42675"/>
  <c r="P420" i="42675"/>
  <c r="I420" i="42675"/>
  <c r="D420" i="42675"/>
  <c r="P419" i="42675"/>
  <c r="I419" i="42675"/>
  <c r="D419" i="42675"/>
  <c r="P418" i="42675"/>
  <c r="I418" i="42675"/>
  <c r="D418" i="42675"/>
  <c r="P417" i="42675"/>
  <c r="I417" i="42675"/>
  <c r="D417" i="42675"/>
  <c r="P416" i="42675"/>
  <c r="I416" i="42675"/>
  <c r="D416" i="42675"/>
  <c r="P415" i="42675"/>
  <c r="I415" i="42675"/>
  <c r="D415" i="42675"/>
  <c r="P414" i="42675"/>
  <c r="I414" i="42675"/>
  <c r="D414" i="42675"/>
  <c r="P413" i="42675"/>
  <c r="I413" i="42675"/>
  <c r="D413" i="42675"/>
  <c r="P412" i="42675"/>
  <c r="I412" i="42675"/>
  <c r="D412" i="42675"/>
  <c r="P411" i="42675"/>
  <c r="I411" i="42675"/>
  <c r="D411" i="42675"/>
  <c r="P410" i="42675"/>
  <c r="I410" i="42675"/>
  <c r="D410" i="42675"/>
  <c r="P409" i="42675"/>
  <c r="I409" i="42675"/>
  <c r="D409" i="42675"/>
  <c r="P408" i="42675"/>
  <c r="I408" i="42675"/>
  <c r="D408" i="42675"/>
  <c r="P407" i="42675"/>
  <c r="I407" i="42675"/>
  <c r="D407" i="42675"/>
  <c r="P406" i="42675"/>
  <c r="I406" i="42675"/>
  <c r="D406" i="42675"/>
  <c r="P405" i="42675"/>
  <c r="I405" i="42675"/>
  <c r="D405" i="42675"/>
  <c r="P404" i="42675"/>
  <c r="I404" i="42675"/>
  <c r="D404" i="42675"/>
  <c r="P403" i="42675"/>
  <c r="I403" i="42675"/>
  <c r="D403" i="42675"/>
  <c r="P402" i="42675"/>
  <c r="I402" i="42675"/>
  <c r="D402" i="42675"/>
  <c r="P401" i="42675"/>
  <c r="I401" i="42675"/>
  <c r="D401" i="42675"/>
  <c r="P400" i="42675"/>
  <c r="I400" i="42675"/>
  <c r="D400" i="42675"/>
  <c r="P399" i="42675"/>
  <c r="I399" i="42675"/>
  <c r="D399" i="42675"/>
  <c r="P398" i="42675"/>
  <c r="I398" i="42675"/>
  <c r="D398" i="42675"/>
  <c r="P397" i="42675"/>
  <c r="I397" i="42675"/>
  <c r="D397" i="42675"/>
  <c r="P396" i="42675"/>
  <c r="I396" i="42675"/>
  <c r="D396" i="42675"/>
  <c r="P395" i="42675"/>
  <c r="I395" i="42675"/>
  <c r="D395" i="42675"/>
  <c r="P394" i="42675"/>
  <c r="I394" i="42675"/>
  <c r="D394" i="42675"/>
  <c r="P393" i="42675"/>
  <c r="I393" i="42675"/>
  <c r="D393" i="42675"/>
  <c r="P392" i="42675"/>
  <c r="I392" i="42675"/>
  <c r="D392" i="42675"/>
  <c r="P391" i="42675"/>
  <c r="I391" i="42675"/>
  <c r="D391" i="42675"/>
  <c r="P390" i="42675"/>
  <c r="I390" i="42675"/>
  <c r="D390" i="42675"/>
  <c r="P389" i="42675"/>
  <c r="I389" i="42675"/>
  <c r="D389" i="42675"/>
  <c r="P388" i="42675"/>
  <c r="I388" i="42675"/>
  <c r="D388" i="42675"/>
  <c r="P387" i="42675"/>
  <c r="I387" i="42675"/>
  <c r="D387" i="42675"/>
  <c r="P386" i="42675"/>
  <c r="I386" i="42675"/>
  <c r="D386" i="42675"/>
  <c r="P385" i="42675"/>
  <c r="I385" i="42675"/>
  <c r="D385" i="42675"/>
  <c r="P384" i="42675"/>
  <c r="I384" i="42675"/>
  <c r="D384" i="42675"/>
  <c r="P383" i="42675"/>
  <c r="I383" i="42675"/>
  <c r="D383" i="42675"/>
  <c r="P382" i="42675"/>
  <c r="I382" i="42675"/>
  <c r="D382" i="42675"/>
  <c r="P381" i="42675"/>
  <c r="I381" i="42675"/>
  <c r="D381" i="42675"/>
  <c r="P380" i="42675"/>
  <c r="I380" i="42675"/>
  <c r="D380" i="42675"/>
  <c r="P379" i="42675"/>
  <c r="I379" i="42675"/>
  <c r="D379" i="42675"/>
  <c r="P378" i="42675"/>
  <c r="I378" i="42675"/>
  <c r="D378" i="42675"/>
  <c r="P377" i="42675"/>
  <c r="I377" i="42675"/>
  <c r="D377" i="42675"/>
  <c r="P376" i="42675"/>
  <c r="I376" i="42675"/>
  <c r="D376" i="42675"/>
  <c r="P375" i="42675"/>
  <c r="I375" i="42675"/>
  <c r="D375" i="42675"/>
  <c r="P374" i="42675"/>
  <c r="I374" i="42675"/>
  <c r="D374" i="42675"/>
  <c r="P373" i="42675"/>
  <c r="I373" i="42675"/>
  <c r="D373" i="42675"/>
  <c r="P372" i="42675"/>
  <c r="I372" i="42675"/>
  <c r="D372" i="42675"/>
  <c r="P371" i="42675"/>
  <c r="I371" i="42675"/>
  <c r="D371" i="42675"/>
  <c r="P370" i="42675"/>
  <c r="I370" i="42675"/>
  <c r="D370" i="42675"/>
  <c r="P369" i="42675"/>
  <c r="I369" i="42675"/>
  <c r="D369" i="42675"/>
  <c r="P368" i="42675"/>
  <c r="I368" i="42675"/>
  <c r="D368" i="42675"/>
  <c r="P367" i="42675"/>
  <c r="I367" i="42675"/>
  <c r="D367" i="42675"/>
  <c r="P366" i="42675"/>
  <c r="I366" i="42675"/>
  <c r="D366" i="42675"/>
  <c r="P365" i="42675"/>
  <c r="I365" i="42675"/>
  <c r="D365" i="42675"/>
  <c r="P364" i="42675"/>
  <c r="I364" i="42675"/>
  <c r="D364" i="42675"/>
  <c r="P363" i="42675"/>
  <c r="I363" i="42675"/>
  <c r="D363" i="42675"/>
  <c r="P362" i="42675"/>
  <c r="I362" i="42675"/>
  <c r="D362" i="42675"/>
  <c r="P361" i="42675"/>
  <c r="I361" i="42675"/>
  <c r="D361" i="42675"/>
  <c r="P360" i="42675"/>
  <c r="I360" i="42675"/>
  <c r="D360" i="42675"/>
  <c r="P359" i="42675"/>
  <c r="I359" i="42675"/>
  <c r="D359" i="42675"/>
  <c r="P358" i="42675"/>
  <c r="I358" i="42675"/>
  <c r="D358" i="42675"/>
  <c r="P357" i="42675"/>
  <c r="I357" i="42675"/>
  <c r="D357" i="42675"/>
  <c r="P356" i="42675"/>
  <c r="I356" i="42675"/>
  <c r="D356" i="42675"/>
  <c r="P355" i="42675"/>
  <c r="I355" i="42675"/>
  <c r="D355" i="42675"/>
  <c r="P354" i="42675"/>
  <c r="I354" i="42675"/>
  <c r="D354" i="42675"/>
  <c r="P353" i="42675"/>
  <c r="I353" i="42675"/>
  <c r="D353" i="42675"/>
  <c r="P352" i="42675"/>
  <c r="I352" i="42675"/>
  <c r="D352" i="42675"/>
  <c r="P351" i="42675"/>
  <c r="I351" i="42675"/>
  <c r="D351" i="42675"/>
  <c r="P350" i="42675"/>
  <c r="I350" i="42675"/>
  <c r="D350" i="42675"/>
  <c r="P349" i="42675"/>
  <c r="I349" i="42675"/>
  <c r="D349" i="42675"/>
  <c r="P348" i="42675"/>
  <c r="I348" i="42675"/>
  <c r="D348" i="42675"/>
  <c r="P347" i="42675"/>
  <c r="I347" i="42675"/>
  <c r="D347" i="42675"/>
  <c r="P346" i="42675"/>
  <c r="I346" i="42675"/>
  <c r="D346" i="42675"/>
  <c r="P345" i="42675"/>
  <c r="I345" i="42675"/>
  <c r="D345" i="42675"/>
  <c r="P344" i="42675"/>
  <c r="I344" i="42675"/>
  <c r="D344" i="42675"/>
  <c r="P343" i="42675"/>
  <c r="I343" i="42675"/>
  <c r="D343" i="42675"/>
  <c r="P342" i="42675"/>
  <c r="I342" i="42675"/>
  <c r="D342" i="42675"/>
  <c r="P341" i="42675"/>
  <c r="I341" i="42675"/>
  <c r="D341" i="42675"/>
  <c r="P340" i="42675"/>
  <c r="I340" i="42675"/>
  <c r="D340" i="42675"/>
  <c r="P339" i="42675"/>
  <c r="I339" i="42675"/>
  <c r="D339" i="42675"/>
  <c r="P338" i="42675"/>
  <c r="I338" i="42675"/>
  <c r="D338" i="42675"/>
  <c r="P337" i="42675"/>
  <c r="I337" i="42675"/>
  <c r="D337" i="42675"/>
  <c r="P336" i="42675"/>
  <c r="I336" i="42675"/>
  <c r="D336" i="42675"/>
  <c r="P335" i="42675"/>
  <c r="I335" i="42675"/>
  <c r="D335" i="42675"/>
  <c r="P334" i="42675"/>
  <c r="I334" i="42675"/>
  <c r="D334" i="42675"/>
  <c r="P333" i="42675"/>
  <c r="I333" i="42675"/>
  <c r="D333" i="42675"/>
  <c r="P332" i="42675"/>
  <c r="I332" i="42675"/>
  <c r="D332" i="42675"/>
  <c r="P331" i="42675"/>
  <c r="I331" i="42675"/>
  <c r="D331" i="42675"/>
  <c r="P330" i="42675"/>
  <c r="I330" i="42675"/>
  <c r="D330" i="42675"/>
  <c r="P329" i="42675"/>
  <c r="I329" i="42675"/>
  <c r="D329" i="42675"/>
  <c r="P328" i="42675"/>
  <c r="I328" i="42675"/>
  <c r="D328" i="42675"/>
  <c r="P327" i="42675"/>
  <c r="I327" i="42675"/>
  <c r="D327" i="42675"/>
  <c r="P326" i="42675"/>
  <c r="I326" i="42675"/>
  <c r="D326" i="42675"/>
  <c r="P325" i="42675"/>
  <c r="I325" i="42675"/>
  <c r="D325" i="42675"/>
  <c r="P324" i="42675"/>
  <c r="I324" i="42675"/>
  <c r="D324" i="42675"/>
  <c r="P323" i="42675"/>
  <c r="I323" i="42675"/>
  <c r="D323" i="42675"/>
  <c r="P322" i="42675"/>
  <c r="I322" i="42675"/>
  <c r="D322" i="42675"/>
  <c r="P321" i="42675"/>
  <c r="I321" i="42675"/>
  <c r="D321" i="42675"/>
  <c r="P320" i="42675"/>
  <c r="I320" i="42675"/>
  <c r="D320" i="42675"/>
  <c r="P319" i="42675"/>
  <c r="I319" i="42675"/>
  <c r="D319" i="42675"/>
  <c r="P318" i="42675"/>
  <c r="I318" i="42675"/>
  <c r="D318" i="42675"/>
  <c r="P317" i="42675"/>
  <c r="I317" i="42675"/>
  <c r="D317" i="42675"/>
  <c r="P316" i="42675"/>
  <c r="I316" i="42675"/>
  <c r="D316" i="42675"/>
  <c r="P315" i="42675"/>
  <c r="I315" i="42675"/>
  <c r="D315" i="42675"/>
  <c r="P314" i="42675"/>
  <c r="I314" i="42675"/>
  <c r="D314" i="42675"/>
  <c r="P313" i="42675"/>
  <c r="I313" i="42675"/>
  <c r="D313" i="42675"/>
  <c r="P312" i="42675"/>
  <c r="I312" i="42675"/>
  <c r="D312" i="42675"/>
  <c r="P311" i="42675"/>
  <c r="I311" i="42675"/>
  <c r="D311" i="42675"/>
  <c r="P310" i="42675"/>
  <c r="I310" i="42675"/>
  <c r="D310" i="42675"/>
  <c r="P309" i="42675"/>
  <c r="I309" i="42675"/>
  <c r="D309" i="42675"/>
  <c r="P308" i="42675"/>
  <c r="I308" i="42675"/>
  <c r="D308" i="42675"/>
  <c r="P307" i="42675"/>
  <c r="I307" i="42675"/>
  <c r="D307" i="42675"/>
  <c r="P306" i="42675"/>
  <c r="I306" i="42675"/>
  <c r="D306" i="42675"/>
  <c r="P305" i="42675"/>
  <c r="I305" i="42675"/>
  <c r="D305" i="42675"/>
  <c r="P304" i="42675"/>
  <c r="I304" i="42675"/>
  <c r="D304" i="42675"/>
  <c r="P303" i="42675"/>
  <c r="I303" i="42675"/>
  <c r="D303" i="42675"/>
  <c r="P302" i="42675"/>
  <c r="I302" i="42675"/>
  <c r="D302" i="42675"/>
  <c r="P301" i="42675"/>
  <c r="I301" i="42675"/>
  <c r="D301" i="42675"/>
  <c r="P300" i="42675"/>
  <c r="I300" i="42675"/>
  <c r="D300" i="42675"/>
  <c r="P299" i="42675"/>
  <c r="I299" i="42675"/>
  <c r="D299" i="42675"/>
  <c r="P298" i="42675"/>
  <c r="I298" i="42675"/>
  <c r="D298" i="42675"/>
  <c r="P297" i="42675"/>
  <c r="I297" i="42675"/>
  <c r="D297" i="42675"/>
  <c r="P296" i="42675"/>
  <c r="I296" i="42675"/>
  <c r="D296" i="42675"/>
  <c r="P295" i="42675"/>
  <c r="I295" i="42675"/>
  <c r="D295" i="42675"/>
  <c r="P294" i="42675"/>
  <c r="I294" i="42675"/>
  <c r="D294" i="42675"/>
  <c r="P293" i="42675"/>
  <c r="I293" i="42675"/>
  <c r="D293" i="42675"/>
  <c r="P292" i="42675"/>
  <c r="I292" i="42675"/>
  <c r="D292" i="42675"/>
  <c r="P291" i="42675"/>
  <c r="I291" i="42675"/>
  <c r="D291" i="42675"/>
  <c r="P290" i="42675"/>
  <c r="I290" i="42675"/>
  <c r="D290" i="42675"/>
  <c r="P289" i="42675"/>
  <c r="I289" i="42675"/>
  <c r="D289" i="42675"/>
  <c r="P288" i="42675"/>
  <c r="I288" i="42675"/>
  <c r="D288" i="42675"/>
  <c r="P287" i="42675"/>
  <c r="I287" i="42675"/>
  <c r="D287" i="42675"/>
  <c r="P286" i="42675"/>
  <c r="I286" i="42675"/>
  <c r="D286" i="42675"/>
  <c r="P285" i="42675"/>
  <c r="I285" i="42675"/>
  <c r="D285" i="42675"/>
  <c r="P284" i="42675"/>
  <c r="I284" i="42675"/>
  <c r="D284" i="42675"/>
  <c r="P283" i="42675"/>
  <c r="I283" i="42675"/>
  <c r="D283" i="42675"/>
  <c r="P282" i="42675"/>
  <c r="I282" i="42675"/>
  <c r="D282" i="42675"/>
  <c r="P281" i="42675"/>
  <c r="I281" i="42675"/>
  <c r="D281" i="42675"/>
  <c r="P280" i="42675"/>
  <c r="I280" i="42675"/>
  <c r="D280" i="42675"/>
  <c r="P279" i="42675"/>
  <c r="I279" i="42675"/>
  <c r="D279" i="42675"/>
  <c r="P278" i="42675"/>
  <c r="I278" i="42675"/>
  <c r="D278" i="42675"/>
  <c r="P277" i="42675"/>
  <c r="I277" i="42675"/>
  <c r="D277" i="42675"/>
  <c r="P276" i="42675"/>
  <c r="I276" i="42675"/>
  <c r="D276" i="42675"/>
  <c r="P275" i="42675"/>
  <c r="I275" i="42675"/>
  <c r="D275" i="42675"/>
  <c r="P274" i="42675"/>
  <c r="I274" i="42675"/>
  <c r="D274" i="42675"/>
  <c r="P273" i="42675"/>
  <c r="I273" i="42675"/>
  <c r="D273" i="42675"/>
  <c r="P272" i="42675"/>
  <c r="I272" i="42675"/>
  <c r="D272" i="42675"/>
  <c r="P271" i="42675"/>
  <c r="I271" i="42675"/>
  <c r="D271" i="42675"/>
  <c r="P270" i="42675"/>
  <c r="I270" i="42675"/>
  <c r="D270" i="42675"/>
  <c r="P269" i="42675"/>
  <c r="I269" i="42675"/>
  <c r="D269" i="42675"/>
  <c r="P268" i="42675"/>
  <c r="I268" i="42675"/>
  <c r="D268" i="42675"/>
  <c r="P267" i="42675"/>
  <c r="I267" i="42675"/>
  <c r="D267" i="42675"/>
  <c r="P266" i="42675"/>
  <c r="I266" i="42675"/>
  <c r="D266" i="42675"/>
  <c r="P265" i="42675"/>
  <c r="I265" i="42675"/>
  <c r="D265" i="42675"/>
  <c r="P264" i="42675"/>
  <c r="I264" i="42675"/>
  <c r="D264" i="42675"/>
  <c r="P263" i="42675"/>
  <c r="I263" i="42675"/>
  <c r="D263" i="42675"/>
  <c r="P262" i="42675"/>
  <c r="I262" i="42675"/>
  <c r="D262" i="42675"/>
  <c r="P261" i="42675"/>
  <c r="I261" i="42675"/>
  <c r="D261" i="42675"/>
  <c r="P260" i="42675"/>
  <c r="I260" i="42675"/>
  <c r="D260" i="42675"/>
  <c r="P259" i="42675"/>
  <c r="I259" i="42675"/>
  <c r="D259" i="42675"/>
  <c r="P258" i="42675"/>
  <c r="I258" i="42675"/>
  <c r="D258" i="42675"/>
  <c r="P257" i="42675"/>
  <c r="I257" i="42675"/>
  <c r="D257" i="42675"/>
  <c r="P256" i="42675"/>
  <c r="I256" i="42675"/>
  <c r="D256" i="42675"/>
  <c r="P255" i="42675"/>
  <c r="I255" i="42675"/>
  <c r="D255" i="42675"/>
  <c r="P254" i="42675"/>
  <c r="I254" i="42675"/>
  <c r="D254" i="42675"/>
  <c r="P253" i="42675"/>
  <c r="I253" i="42675"/>
  <c r="D253" i="42675"/>
  <c r="P252" i="42675"/>
  <c r="I252" i="42675"/>
  <c r="D252" i="42675"/>
  <c r="P251" i="42675"/>
  <c r="I251" i="42675"/>
  <c r="D251" i="42675"/>
  <c r="P250" i="42675"/>
  <c r="I250" i="42675"/>
  <c r="D250" i="42675"/>
  <c r="P249" i="42675"/>
  <c r="I249" i="42675"/>
  <c r="D249" i="42675"/>
  <c r="P248" i="42675"/>
  <c r="I248" i="42675"/>
  <c r="D248" i="42675"/>
  <c r="P247" i="42675"/>
  <c r="I247" i="42675"/>
  <c r="D247" i="42675"/>
  <c r="P246" i="42675"/>
  <c r="I246" i="42675"/>
  <c r="D246" i="42675"/>
  <c r="P245" i="42675"/>
  <c r="I245" i="42675"/>
  <c r="D245" i="42675"/>
  <c r="P244" i="42675"/>
  <c r="I244" i="42675"/>
  <c r="D244" i="42675"/>
  <c r="P243" i="42675"/>
  <c r="I243" i="42675"/>
  <c r="D243" i="42675"/>
  <c r="P242" i="42675"/>
  <c r="I242" i="42675"/>
  <c r="D242" i="42675"/>
  <c r="P241" i="42675"/>
  <c r="I241" i="42675"/>
  <c r="D241" i="42675"/>
  <c r="P240" i="42675"/>
  <c r="I240" i="42675"/>
  <c r="D240" i="42675"/>
  <c r="P239" i="42675"/>
  <c r="I239" i="42675"/>
  <c r="D239" i="42675"/>
  <c r="P238" i="42675"/>
  <c r="I238" i="42675"/>
  <c r="D238" i="42675"/>
  <c r="P237" i="42675"/>
  <c r="I237" i="42675"/>
  <c r="D237" i="42675"/>
  <c r="P236" i="42675"/>
  <c r="I236" i="42675"/>
  <c r="D236" i="42675"/>
  <c r="P235" i="42675"/>
  <c r="I235" i="42675"/>
  <c r="D235" i="42675"/>
  <c r="P234" i="42675"/>
  <c r="I234" i="42675"/>
  <c r="D234" i="42675"/>
  <c r="P233" i="42675"/>
  <c r="I233" i="42675"/>
  <c r="D233" i="42675"/>
  <c r="P232" i="42675"/>
  <c r="I232" i="42675"/>
  <c r="D232" i="42675"/>
  <c r="P231" i="42675"/>
  <c r="I231" i="42675"/>
  <c r="D231" i="42675"/>
  <c r="P230" i="42675"/>
  <c r="I230" i="42675"/>
  <c r="D230" i="42675"/>
  <c r="P229" i="42675"/>
  <c r="I229" i="42675"/>
  <c r="D229" i="42675"/>
  <c r="P228" i="42675"/>
  <c r="I228" i="42675"/>
  <c r="D228" i="42675"/>
  <c r="P227" i="42675"/>
  <c r="I227" i="42675"/>
  <c r="D227" i="42675"/>
  <c r="P226" i="42675"/>
  <c r="I226" i="42675"/>
  <c r="D226" i="42675"/>
  <c r="P225" i="42675"/>
  <c r="I225" i="42675"/>
  <c r="D225" i="42675"/>
  <c r="P224" i="42675"/>
  <c r="I224" i="42675"/>
  <c r="D224" i="42675"/>
  <c r="P223" i="42675"/>
  <c r="I223" i="42675"/>
  <c r="D223" i="42675"/>
  <c r="P222" i="42675"/>
  <c r="I222" i="42675"/>
  <c r="D222" i="42675"/>
  <c r="P221" i="42675"/>
  <c r="I221" i="42675"/>
  <c r="D221" i="42675"/>
  <c r="P220" i="42675"/>
  <c r="I220" i="42675"/>
  <c r="D220" i="42675"/>
  <c r="P219" i="42675"/>
  <c r="I219" i="42675"/>
  <c r="D219" i="42675"/>
  <c r="P218" i="42675"/>
  <c r="I218" i="42675"/>
  <c r="D218" i="42675"/>
  <c r="P217" i="42675"/>
  <c r="I217" i="42675"/>
  <c r="D217" i="42675"/>
  <c r="P216" i="42675"/>
  <c r="I216" i="42675"/>
  <c r="D216" i="42675"/>
  <c r="P215" i="42675"/>
  <c r="I215" i="42675"/>
  <c r="D215" i="42675"/>
  <c r="P214" i="42675"/>
  <c r="I214" i="42675"/>
  <c r="D214" i="42675"/>
  <c r="P213" i="42675"/>
  <c r="I213" i="42675"/>
  <c r="D213" i="42675"/>
  <c r="P212" i="42675"/>
  <c r="I212" i="42675"/>
  <c r="D212" i="42675"/>
  <c r="P211" i="42675"/>
  <c r="I211" i="42675"/>
  <c r="D211" i="42675"/>
  <c r="P210" i="42675"/>
  <c r="I210" i="42675"/>
  <c r="D210" i="42675"/>
  <c r="P209" i="42675"/>
  <c r="I209" i="42675"/>
  <c r="D209" i="42675"/>
  <c r="P208" i="42675"/>
  <c r="I208" i="42675"/>
  <c r="D208" i="42675"/>
  <c r="P207" i="42675"/>
  <c r="I207" i="42675"/>
  <c r="D207" i="42675"/>
  <c r="P206" i="42675"/>
  <c r="I206" i="42675"/>
  <c r="D206" i="42675"/>
  <c r="P205" i="42675"/>
  <c r="I205" i="42675"/>
  <c r="D205" i="42675"/>
  <c r="P204" i="42675"/>
  <c r="I204" i="42675"/>
  <c r="D204" i="42675"/>
  <c r="P203" i="42675"/>
  <c r="I203" i="42675"/>
  <c r="D203" i="42675"/>
  <c r="P202" i="42675"/>
  <c r="I202" i="42675"/>
  <c r="D202" i="42675"/>
  <c r="P201" i="42675"/>
  <c r="I201" i="42675"/>
  <c r="D201" i="42675"/>
  <c r="P200" i="42675"/>
  <c r="I200" i="42675"/>
  <c r="D200" i="42675"/>
  <c r="P199" i="42675"/>
  <c r="I199" i="42675"/>
  <c r="D199" i="42675"/>
  <c r="P198" i="42675"/>
  <c r="I198" i="42675"/>
  <c r="D198" i="42675"/>
  <c r="P197" i="42675"/>
  <c r="I197" i="42675"/>
  <c r="D197" i="42675"/>
  <c r="P196" i="42675"/>
  <c r="I196" i="42675"/>
  <c r="D196" i="42675"/>
  <c r="P195" i="42675"/>
  <c r="I195" i="42675"/>
  <c r="D195" i="42675"/>
  <c r="P194" i="42675"/>
  <c r="I194" i="42675"/>
  <c r="D194" i="42675"/>
  <c r="P193" i="42675"/>
  <c r="I193" i="42675"/>
  <c r="D193" i="42675"/>
  <c r="P192" i="42675"/>
  <c r="I192" i="42675"/>
  <c r="D192" i="42675"/>
  <c r="P191" i="42675"/>
  <c r="I191" i="42675"/>
  <c r="D191" i="42675"/>
  <c r="P190" i="42675"/>
  <c r="I190" i="42675"/>
  <c r="D190" i="42675"/>
  <c r="P189" i="42675"/>
  <c r="I189" i="42675"/>
  <c r="D189" i="42675"/>
  <c r="P188" i="42675"/>
  <c r="I188" i="42675"/>
  <c r="D188" i="42675"/>
  <c r="P187" i="42675"/>
  <c r="I187" i="42675"/>
  <c r="D187" i="42675"/>
  <c r="P186" i="42675"/>
  <c r="I186" i="42675"/>
  <c r="D186" i="42675"/>
  <c r="P185" i="42675"/>
  <c r="I185" i="42675"/>
  <c r="D185" i="42675"/>
  <c r="P184" i="42675"/>
  <c r="I184" i="42675"/>
  <c r="D184" i="42675"/>
  <c r="P183" i="42675"/>
  <c r="I183" i="42675"/>
  <c r="D183" i="42675"/>
  <c r="P182" i="42675"/>
  <c r="I182" i="42675"/>
  <c r="D182" i="42675"/>
  <c r="P181" i="42675"/>
  <c r="I181" i="42675"/>
  <c r="D181" i="42675"/>
  <c r="P180" i="42675"/>
  <c r="I180" i="42675"/>
  <c r="D180" i="42675"/>
  <c r="P179" i="42675"/>
  <c r="I179" i="42675"/>
  <c r="D179" i="42675"/>
  <c r="P178" i="42675"/>
  <c r="I178" i="42675"/>
  <c r="D178" i="42675"/>
  <c r="P177" i="42675"/>
  <c r="I177" i="42675"/>
  <c r="D177" i="42675"/>
  <c r="P176" i="42675"/>
  <c r="I176" i="42675"/>
  <c r="D176" i="42675"/>
  <c r="P175" i="42675"/>
  <c r="I175" i="42675"/>
  <c r="D175" i="42675"/>
  <c r="P174" i="42675"/>
  <c r="I174" i="42675"/>
  <c r="D174" i="42675"/>
  <c r="P173" i="42675"/>
  <c r="I173" i="42675"/>
  <c r="D173" i="42675"/>
  <c r="P172" i="42675"/>
  <c r="I172" i="42675"/>
  <c r="D172" i="42675"/>
  <c r="P171" i="42675"/>
  <c r="I171" i="42675"/>
  <c r="D171" i="42675"/>
  <c r="P170" i="42675"/>
  <c r="I170" i="42675"/>
  <c r="D170" i="42675"/>
  <c r="P169" i="42675"/>
  <c r="I169" i="42675"/>
  <c r="D169" i="42675"/>
  <c r="P168" i="42675"/>
  <c r="I168" i="42675"/>
  <c r="D168" i="42675"/>
  <c r="P167" i="42675"/>
  <c r="I167" i="42675"/>
  <c r="D167" i="42675"/>
  <c r="P166" i="42675"/>
  <c r="I166" i="42675"/>
  <c r="D166" i="42675"/>
  <c r="P165" i="42675"/>
  <c r="I165" i="42675"/>
  <c r="D165" i="42675"/>
  <c r="P164" i="42675"/>
  <c r="I164" i="42675"/>
  <c r="D164" i="42675"/>
  <c r="P163" i="42675"/>
  <c r="I163" i="42675"/>
  <c r="D163" i="42675"/>
  <c r="P162" i="42675"/>
  <c r="I162" i="42675"/>
  <c r="D162" i="42675"/>
  <c r="P161" i="42675"/>
  <c r="I161" i="42675"/>
  <c r="D161" i="42675"/>
  <c r="P160" i="42675"/>
  <c r="I160" i="42675"/>
  <c r="D160" i="42675"/>
  <c r="P159" i="42675"/>
  <c r="I159" i="42675"/>
  <c r="D159" i="42675"/>
  <c r="P158" i="42675"/>
  <c r="I158" i="42675"/>
  <c r="D158" i="42675"/>
  <c r="P157" i="42675"/>
  <c r="I157" i="42675"/>
  <c r="D157" i="42675"/>
  <c r="P156" i="42675"/>
  <c r="I156" i="42675"/>
  <c r="D156" i="42675"/>
  <c r="P155" i="42675"/>
  <c r="I155" i="42675"/>
  <c r="D155" i="42675"/>
  <c r="P154" i="42675"/>
  <c r="I154" i="42675"/>
  <c r="D154" i="42675"/>
  <c r="P153" i="42675"/>
  <c r="I153" i="42675"/>
  <c r="D153" i="42675"/>
  <c r="P152" i="42675"/>
  <c r="I152" i="42675"/>
  <c r="D152" i="42675"/>
  <c r="P151" i="42675"/>
  <c r="I151" i="42675"/>
  <c r="D151" i="42675"/>
  <c r="P150" i="42675"/>
  <c r="I150" i="42675"/>
  <c r="D150" i="42675"/>
  <c r="P149" i="42675"/>
  <c r="I149" i="42675"/>
  <c r="D149" i="42675"/>
  <c r="P148" i="42675"/>
  <c r="I148" i="42675"/>
  <c r="D148" i="42675"/>
  <c r="P147" i="42675"/>
  <c r="I147" i="42675"/>
  <c r="D147" i="42675"/>
  <c r="P146" i="42675"/>
  <c r="I146" i="42675"/>
  <c r="D146" i="42675"/>
  <c r="P145" i="42675"/>
  <c r="I145" i="42675"/>
  <c r="D145" i="42675"/>
  <c r="P144" i="42675"/>
  <c r="I144" i="42675"/>
  <c r="D144" i="42675"/>
  <c r="P143" i="42675"/>
  <c r="I143" i="42675"/>
  <c r="D143" i="42675"/>
  <c r="P142" i="42675"/>
  <c r="I142" i="42675"/>
  <c r="D142" i="42675"/>
  <c r="P141" i="42675"/>
  <c r="I141" i="42675"/>
  <c r="D141" i="42675"/>
  <c r="P140" i="42675"/>
  <c r="I140" i="42675"/>
  <c r="D140" i="42675"/>
  <c r="P139" i="42675"/>
  <c r="I139" i="42675"/>
  <c r="D139" i="42675"/>
  <c r="P138" i="42675"/>
  <c r="I138" i="42675"/>
  <c r="D138" i="42675"/>
  <c r="P137" i="42675"/>
  <c r="I137" i="42675"/>
  <c r="D137" i="42675"/>
  <c r="P136" i="42675"/>
  <c r="I136" i="42675"/>
  <c r="D136" i="42675"/>
  <c r="P135" i="42675"/>
  <c r="I135" i="42675"/>
  <c r="D135" i="42675"/>
  <c r="P134" i="42675"/>
  <c r="I134" i="42675"/>
  <c r="D134" i="42675"/>
  <c r="P133" i="42675"/>
  <c r="I133" i="42675"/>
  <c r="D133" i="42675"/>
  <c r="P132" i="42675"/>
  <c r="I132" i="42675"/>
  <c r="D132" i="42675"/>
  <c r="P131" i="42675"/>
  <c r="I131" i="42675"/>
  <c r="D131" i="42675"/>
  <c r="P130" i="42675"/>
  <c r="I130" i="42675"/>
  <c r="D130" i="42675"/>
  <c r="P129" i="42675"/>
  <c r="I129" i="42675"/>
  <c r="D129" i="42675"/>
  <c r="P128" i="42675"/>
  <c r="I128" i="42675"/>
  <c r="D128" i="42675"/>
  <c r="P127" i="42675"/>
  <c r="I127" i="42675"/>
  <c r="D127" i="42675"/>
  <c r="P126" i="42675"/>
  <c r="I126" i="42675"/>
  <c r="D126" i="42675"/>
  <c r="P125" i="42675"/>
  <c r="I125" i="42675"/>
  <c r="D125" i="42675"/>
  <c r="P124" i="42675"/>
  <c r="I124" i="42675"/>
  <c r="D124" i="42675"/>
  <c r="P123" i="42675"/>
  <c r="I123" i="42675"/>
  <c r="D123" i="42675"/>
  <c r="P122" i="42675"/>
  <c r="I122" i="42675"/>
  <c r="D122" i="42675"/>
  <c r="P121" i="42675"/>
  <c r="I121" i="42675"/>
  <c r="D121" i="42675"/>
  <c r="P120" i="42675"/>
  <c r="I120" i="42675"/>
  <c r="D120" i="42675"/>
  <c r="P119" i="42675"/>
  <c r="I119" i="42675"/>
  <c r="D119" i="42675"/>
  <c r="P118" i="42675"/>
  <c r="I118" i="42675"/>
  <c r="D118" i="42675"/>
  <c r="P117" i="42675"/>
  <c r="I117" i="42675"/>
  <c r="D117" i="42675"/>
  <c r="P116" i="42675"/>
  <c r="I116" i="42675"/>
  <c r="D116" i="42675"/>
  <c r="P115" i="42675"/>
  <c r="I115" i="42675"/>
  <c r="D115" i="42675"/>
  <c r="P114" i="42675"/>
  <c r="I114" i="42675"/>
  <c r="D114" i="42675"/>
  <c r="P113" i="42675"/>
  <c r="I113" i="42675"/>
  <c r="D113" i="42675"/>
  <c r="P112" i="42675"/>
  <c r="I112" i="42675"/>
  <c r="D112" i="42675"/>
  <c r="P111" i="42675"/>
  <c r="I111" i="42675"/>
  <c r="D111" i="42675"/>
  <c r="P110" i="42675"/>
  <c r="I110" i="42675"/>
  <c r="D110" i="42675"/>
  <c r="P109" i="42675"/>
  <c r="I109" i="42675"/>
  <c r="D109" i="42675"/>
  <c r="P108" i="42675"/>
  <c r="I108" i="42675"/>
  <c r="D108" i="42675"/>
  <c r="P107" i="42675"/>
  <c r="I107" i="42675"/>
  <c r="D107" i="42675"/>
  <c r="P106" i="42675"/>
  <c r="I106" i="42675"/>
  <c r="D106" i="42675"/>
  <c r="P105" i="42675"/>
  <c r="I105" i="42675"/>
  <c r="D105" i="42675"/>
  <c r="P104" i="42675"/>
  <c r="I104" i="42675"/>
  <c r="D104" i="42675"/>
  <c r="P103" i="42675"/>
  <c r="I103" i="42675"/>
  <c r="D103" i="42675"/>
  <c r="P102" i="42675"/>
  <c r="I102" i="42675"/>
  <c r="D102" i="42675"/>
  <c r="P101" i="42675"/>
  <c r="I101" i="42675"/>
  <c r="D101" i="42675"/>
  <c r="P100" i="42675"/>
  <c r="I100" i="42675"/>
  <c r="D100" i="42675"/>
  <c r="P99" i="42675"/>
  <c r="I99" i="42675"/>
  <c r="D99" i="42675"/>
  <c r="P98" i="42675"/>
  <c r="I98" i="42675"/>
  <c r="D98" i="42675"/>
  <c r="P97" i="42675"/>
  <c r="I97" i="42675"/>
  <c r="D97" i="42675"/>
  <c r="P96" i="42675"/>
  <c r="I96" i="42675"/>
  <c r="D96" i="42675"/>
  <c r="P95" i="42675"/>
  <c r="I95" i="42675"/>
  <c r="D95" i="42675"/>
  <c r="P94" i="42675"/>
  <c r="I94" i="42675"/>
  <c r="D94" i="42675"/>
  <c r="P93" i="42675"/>
  <c r="I93" i="42675"/>
  <c r="D93" i="42675"/>
  <c r="P92" i="42675"/>
  <c r="I92" i="42675"/>
  <c r="D92" i="42675"/>
  <c r="P91" i="42675"/>
  <c r="I91" i="42675"/>
  <c r="D91" i="42675"/>
  <c r="P90" i="42675"/>
  <c r="I90" i="42675"/>
  <c r="D90" i="42675"/>
  <c r="P89" i="42675"/>
  <c r="I89" i="42675"/>
  <c r="D89" i="42675"/>
  <c r="P88" i="42675"/>
  <c r="I88" i="42675"/>
  <c r="D88" i="42675"/>
  <c r="P87" i="42675"/>
  <c r="I87" i="42675"/>
  <c r="D87" i="42675"/>
  <c r="P86" i="42675"/>
  <c r="I86" i="42675"/>
  <c r="D86" i="42675"/>
  <c r="P85" i="42675"/>
  <c r="I85" i="42675"/>
  <c r="D85" i="42675"/>
  <c r="P84" i="42675"/>
  <c r="I84" i="42675"/>
  <c r="D84" i="42675"/>
  <c r="P83" i="42675"/>
  <c r="I83" i="42675"/>
  <c r="D83" i="42675"/>
  <c r="P82" i="42675"/>
  <c r="I82" i="42675"/>
  <c r="D82" i="42675"/>
  <c r="P81" i="42675"/>
  <c r="I81" i="42675"/>
  <c r="D81" i="42675"/>
  <c r="P80" i="42675"/>
  <c r="I80" i="42675"/>
  <c r="D80" i="42675"/>
  <c r="P79" i="42675"/>
  <c r="I79" i="42675"/>
  <c r="D79" i="42675"/>
  <c r="P78" i="42675"/>
  <c r="I78" i="42675"/>
  <c r="D78" i="42675"/>
  <c r="P77" i="42675"/>
  <c r="I77" i="42675"/>
  <c r="D77" i="42675"/>
  <c r="P76" i="42675"/>
  <c r="I76" i="42675"/>
  <c r="D76" i="42675"/>
  <c r="P75" i="42675"/>
  <c r="I75" i="42675"/>
  <c r="D75" i="42675"/>
  <c r="P74" i="42675"/>
  <c r="I74" i="42675"/>
  <c r="D74" i="42675"/>
  <c r="P73" i="42675"/>
  <c r="I73" i="42675"/>
  <c r="D73" i="42675"/>
  <c r="P72" i="42675"/>
  <c r="I72" i="42675"/>
  <c r="D72" i="42675"/>
  <c r="P71" i="42675"/>
  <c r="I71" i="42675"/>
  <c r="D71" i="42675"/>
  <c r="P70" i="42675"/>
  <c r="I70" i="42675"/>
  <c r="D70" i="42675"/>
  <c r="P69" i="42675"/>
  <c r="I69" i="42675"/>
  <c r="D69" i="42675"/>
  <c r="P68" i="42675"/>
  <c r="I68" i="42675"/>
  <c r="D68" i="42675"/>
  <c r="P67" i="42675"/>
  <c r="I67" i="42675"/>
  <c r="D67" i="42675"/>
  <c r="P66" i="42675"/>
  <c r="I66" i="42675"/>
  <c r="D66" i="42675"/>
  <c r="P65" i="42675"/>
  <c r="I65" i="42675"/>
  <c r="D65" i="42675"/>
  <c r="P64" i="42675"/>
  <c r="I64" i="42675"/>
  <c r="D64" i="42675"/>
  <c r="P63" i="42675"/>
  <c r="I63" i="42675"/>
  <c r="D63" i="42675"/>
  <c r="P62" i="42675"/>
  <c r="I62" i="42675"/>
  <c r="D62" i="42675"/>
  <c r="P61" i="42675"/>
  <c r="I61" i="42675"/>
  <c r="D61" i="42675"/>
  <c r="P60" i="42675"/>
  <c r="I60" i="42675"/>
  <c r="D60" i="42675"/>
  <c r="P59" i="42675"/>
  <c r="I59" i="42675"/>
  <c r="D59" i="42675"/>
  <c r="P58" i="42675"/>
  <c r="I58" i="42675"/>
  <c r="D58" i="42675"/>
  <c r="P57" i="42675"/>
  <c r="I57" i="42675"/>
  <c r="D57" i="42675"/>
  <c r="P56" i="42675"/>
  <c r="I56" i="42675"/>
  <c r="D56" i="42675"/>
  <c r="P55" i="42675"/>
  <c r="I55" i="42675"/>
  <c r="D55" i="42675"/>
  <c r="P54" i="42675"/>
  <c r="I54" i="42675"/>
  <c r="P53" i="42675"/>
  <c r="I53" i="42675"/>
  <c r="P52" i="42675"/>
  <c r="I52" i="42675"/>
  <c r="P51" i="42675"/>
  <c r="I51" i="42675"/>
  <c r="P50" i="42675"/>
  <c r="I50" i="42675"/>
  <c r="P49" i="42675"/>
  <c r="I49" i="42675"/>
  <c r="P48" i="42675"/>
  <c r="I48" i="42675"/>
  <c r="P47" i="42675"/>
  <c r="I47" i="42675"/>
  <c r="P46" i="42675"/>
  <c r="I46" i="42675"/>
  <c r="P45" i="42675"/>
  <c r="I45" i="42675"/>
  <c r="P44" i="42675"/>
  <c r="I44" i="42675"/>
  <c r="P43" i="42675"/>
  <c r="I43" i="42675"/>
  <c r="P42" i="42675"/>
  <c r="I42" i="42675"/>
  <c r="P41" i="42675"/>
  <c r="I41" i="42675"/>
  <c r="P40" i="42675"/>
  <c r="M40" i="42675"/>
  <c r="M531" i="42675" s="1"/>
  <c r="I40" i="42675"/>
  <c r="P39" i="42675"/>
  <c r="I39" i="42675"/>
  <c r="P38" i="42675"/>
  <c r="I38" i="42675"/>
  <c r="P37" i="42675"/>
  <c r="I37" i="42675"/>
  <c r="P36" i="42675"/>
  <c r="I36" i="42675"/>
  <c r="P35" i="42675"/>
  <c r="I35" i="42675"/>
  <c r="P34" i="42675"/>
  <c r="I34" i="42675"/>
  <c r="P33" i="42675"/>
  <c r="I33" i="42675"/>
  <c r="P32" i="42675"/>
  <c r="I32" i="42675"/>
  <c r="P31" i="42675"/>
  <c r="I31" i="42675"/>
  <c r="P30" i="42675"/>
  <c r="I30" i="42675"/>
  <c r="P29" i="42675"/>
  <c r="I29" i="42675"/>
  <c r="P28" i="42675"/>
  <c r="I28" i="42675"/>
  <c r="P27" i="42675"/>
  <c r="I27" i="42675"/>
  <c r="P26" i="42675"/>
  <c r="I26" i="42675"/>
  <c r="P25" i="42675"/>
  <c r="I25" i="42675"/>
  <c r="P24" i="42675"/>
  <c r="I24" i="42675"/>
  <c r="P23" i="42675"/>
  <c r="I23" i="42675"/>
  <c r="P22" i="42675"/>
  <c r="I22" i="42675"/>
  <c r="P21" i="42675"/>
  <c r="I21" i="42675"/>
  <c r="P20" i="42675"/>
  <c r="I20" i="42675"/>
  <c r="P19" i="42675"/>
  <c r="I19" i="42675"/>
  <c r="P18" i="42675"/>
  <c r="I18" i="42675"/>
  <c r="P17" i="42675"/>
  <c r="I17" i="42675"/>
  <c r="P16" i="42675"/>
  <c r="I16" i="42675"/>
  <c r="P15" i="42675"/>
  <c r="I15" i="42675"/>
  <c r="P14" i="42675"/>
  <c r="I14" i="42675"/>
  <c r="P13" i="42675"/>
  <c r="I13" i="42675"/>
  <c r="P12" i="42675"/>
  <c r="I12" i="42675"/>
  <c r="P11" i="42675"/>
  <c r="I11" i="42675"/>
  <c r="P10" i="42675"/>
  <c r="I10" i="42675"/>
  <c r="P9" i="42675"/>
  <c r="I9" i="42675"/>
  <c r="P8" i="42675"/>
  <c r="I8" i="42675"/>
  <c r="P7" i="42675"/>
  <c r="I7" i="42675"/>
  <c r="P6" i="42675"/>
  <c r="I6" i="42675"/>
  <c r="P5" i="42675"/>
  <c r="I5" i="42675"/>
  <c r="P4" i="42675"/>
  <c r="I4" i="42675"/>
  <c r="P3" i="42675"/>
  <c r="I3" i="42675"/>
  <c r="P2" i="42675"/>
  <c r="P531" i="42675" s="1"/>
  <c r="I2" i="42675"/>
  <c r="C21" i="42674"/>
  <c r="M20" i="42674" s="1"/>
  <c r="C17" i="42674"/>
  <c r="M16" i="42674" s="1"/>
  <c r="C16" i="42674"/>
  <c r="G7" i="42674" s="1"/>
  <c r="C14" i="42674"/>
  <c r="G12" i="42674" s="1"/>
  <c r="B8" i="42674"/>
  <c r="L8" i="42674" s="1"/>
  <c r="B6" i="42674"/>
  <c r="B16" i="42673"/>
  <c r="J46" i="42671"/>
  <c r="G46" i="42671"/>
  <c r="D46" i="42671"/>
  <c r="D51" i="42671" s="1"/>
  <c r="E45" i="42671"/>
  <c r="E44" i="42671"/>
  <c r="E43" i="42671"/>
  <c r="E42" i="42671"/>
  <c r="K35" i="42671"/>
  <c r="J27" i="42671"/>
  <c r="J38" i="42671" s="1"/>
  <c r="J48" i="42671" s="1"/>
  <c r="J52" i="42671" s="1"/>
  <c r="G27" i="42671"/>
  <c r="G38" i="42671" s="1"/>
  <c r="G48" i="42671" s="1"/>
  <c r="G52" i="42671" s="1"/>
  <c r="H22" i="42671"/>
  <c r="K17" i="42671"/>
  <c r="A13" i="42671"/>
  <c r="A14" i="42671" s="1"/>
  <c r="A15" i="42671" s="1"/>
  <c r="A16" i="42671" s="1"/>
  <c r="A17" i="42671" s="1"/>
  <c r="A18" i="42671" s="1"/>
  <c r="A19" i="42671" s="1"/>
  <c r="A20" i="42671" s="1"/>
  <c r="A21" i="42671" s="1"/>
  <c r="A22" i="42671" s="1"/>
  <c r="A23" i="42671" s="1"/>
  <c r="A24" i="42671" s="1"/>
  <c r="A25" i="42671" s="1"/>
  <c r="A26" i="42671" s="1"/>
  <c r="A27" i="42671" s="1"/>
  <c r="A29" i="42671" s="1"/>
  <c r="A30" i="42671" s="1"/>
  <c r="A31" i="42671" s="1"/>
  <c r="A32" i="42671" s="1"/>
  <c r="A33" i="42671" s="1"/>
  <c r="A34" i="42671" s="1"/>
  <c r="A35" i="42671" s="1"/>
  <c r="A36" i="42671" s="1"/>
  <c r="A37" i="42671" s="1"/>
  <c r="A38" i="42671" s="1"/>
  <c r="A40" i="42671" s="1"/>
  <c r="A41" i="42671" s="1"/>
  <c r="A42" i="42671" s="1"/>
  <c r="A43" i="42671" s="1"/>
  <c r="A44" i="42671" s="1"/>
  <c r="A45" i="42671" s="1"/>
  <c r="A46" i="42671" s="1"/>
  <c r="A48" i="42671" s="1"/>
  <c r="A50" i="42671" s="1"/>
  <c r="A51" i="42671" s="1"/>
  <c r="A52" i="42671" s="1"/>
  <c r="A53" i="42671" s="1"/>
  <c r="A5" i="42671"/>
  <c r="F74" i="42670"/>
  <c r="F76" i="42670" s="1"/>
  <c r="F66" i="42670"/>
  <c r="G66" i="42670" s="1"/>
  <c r="G72" i="42670" s="1"/>
  <c r="F65" i="42670"/>
  <c r="G65" i="42670" s="1"/>
  <c r="G64" i="42670"/>
  <c r="F64" i="42670"/>
  <c r="F63" i="42670"/>
  <c r="G63" i="42670" s="1"/>
  <c r="E62" i="42670"/>
  <c r="F62" i="42670" s="1"/>
  <c r="G60" i="42670"/>
  <c r="F60" i="42670"/>
  <c r="F56" i="42670"/>
  <c r="G56" i="42670" s="1"/>
  <c r="F55" i="42670"/>
  <c r="G55" i="42670" s="1"/>
  <c r="F54" i="42670"/>
  <c r="G54" i="42670" s="1"/>
  <c r="E53" i="42670"/>
  <c r="F53" i="42670" s="1"/>
  <c r="F46" i="42670"/>
  <c r="G46" i="42670" s="1"/>
  <c r="F45" i="42670"/>
  <c r="G45" i="42670" s="1"/>
  <c r="G44" i="42670"/>
  <c r="F44" i="42670"/>
  <c r="F43" i="42670"/>
  <c r="G43" i="42670" s="1"/>
  <c r="F37" i="42670"/>
  <c r="G37" i="42670" s="1"/>
  <c r="F34" i="42670"/>
  <c r="G34" i="42670" s="1"/>
  <c r="E33" i="42670"/>
  <c r="F33" i="42670" s="1"/>
  <c r="F32" i="42670" s="1"/>
  <c r="G32" i="42670" s="1"/>
  <c r="E32" i="42670"/>
  <c r="F31" i="42670"/>
  <c r="G31" i="42670" s="1"/>
  <c r="F30" i="42670"/>
  <c r="G30" i="42670" s="1"/>
  <c r="G29" i="42670"/>
  <c r="F29" i="42670"/>
  <c r="F28" i="42670"/>
  <c r="G28" i="42670" s="1"/>
  <c r="F27" i="42670"/>
  <c r="F35" i="42670" s="1"/>
  <c r="F23" i="42670"/>
  <c r="G23" i="42670" s="1"/>
  <c r="G22" i="42670"/>
  <c r="F22" i="42670"/>
  <c r="E21" i="42670"/>
  <c r="E20" i="42670" s="1"/>
  <c r="F20" i="42670" s="1"/>
  <c r="F18" i="42670"/>
  <c r="F19" i="42670" s="1"/>
  <c r="G19" i="42670" s="1"/>
  <c r="E18" i="42670"/>
  <c r="F17" i="42670"/>
  <c r="G17" i="42670" s="1"/>
  <c r="F16" i="42670"/>
  <c r="G16" i="42670" s="1"/>
  <c r="F12" i="42670"/>
  <c r="F13" i="42670" s="1"/>
  <c r="B12" i="42670"/>
  <c r="B13" i="42670" s="1"/>
  <c r="B15" i="42670" s="1"/>
  <c r="B16" i="42670" s="1"/>
  <c r="B17" i="42670" s="1"/>
  <c r="B18" i="42670" s="1"/>
  <c r="B19" i="42670" s="1"/>
  <c r="B20" i="42670" s="1"/>
  <c r="B21" i="42670" s="1"/>
  <c r="B22" i="42670" s="1"/>
  <c r="B23" i="42670" s="1"/>
  <c r="B24" i="42670" s="1"/>
  <c r="B26" i="42670" s="1"/>
  <c r="B27" i="42670" s="1"/>
  <c r="B28" i="42670" s="1"/>
  <c r="B29" i="42670" s="1"/>
  <c r="B30" i="42670" s="1"/>
  <c r="B31" i="42670" s="1"/>
  <c r="B32" i="42670" s="1"/>
  <c r="B33" i="42670" s="1"/>
  <c r="B34" i="42670" s="1"/>
  <c r="B35" i="42670" s="1"/>
  <c r="B37" i="42670" s="1"/>
  <c r="B38" i="42670" s="1"/>
  <c r="B41" i="42670" s="1"/>
  <c r="B42" i="42670" s="1"/>
  <c r="B43" i="42670" s="1"/>
  <c r="B44" i="42670" s="1"/>
  <c r="B45" i="42670" s="1"/>
  <c r="B46" i="42670" s="1"/>
  <c r="B47" i="42670" s="1"/>
  <c r="B48" i="42670" s="1"/>
  <c r="B49" i="42670" s="1"/>
  <c r="B51" i="42670" s="1"/>
  <c r="B52" i="42670" s="1"/>
  <c r="B53" i="42670" s="1"/>
  <c r="B54" i="42670" s="1"/>
  <c r="B55" i="42670" s="1"/>
  <c r="B56" i="42670" s="1"/>
  <c r="B57" i="42670" s="1"/>
  <c r="B59" i="42670" s="1"/>
  <c r="B60" i="42670" s="1"/>
  <c r="B61" i="42670" s="1"/>
  <c r="B62" i="42670" s="1"/>
  <c r="B63" i="42670" s="1"/>
  <c r="B64" i="42670" s="1"/>
  <c r="B65" i="42670" s="1"/>
  <c r="B66" i="42670" s="1"/>
  <c r="B67" i="42670" s="1"/>
  <c r="B68" i="42670" s="1"/>
  <c r="B70" i="42670" s="1"/>
  <c r="B71" i="42670" s="1"/>
  <c r="B72" i="42670" s="1"/>
  <c r="B74" i="42670" s="1"/>
  <c r="B75" i="42670" s="1"/>
  <c r="B76" i="42670" s="1"/>
  <c r="B77" i="42670" s="1"/>
  <c r="B78" i="42670" s="1"/>
  <c r="B79" i="42670" s="1"/>
  <c r="B24" i="42674" l="1"/>
  <c r="L23" i="42674" s="1"/>
  <c r="C20" i="42674"/>
  <c r="M19" i="42674" s="1"/>
  <c r="C24" i="42674"/>
  <c r="M23" i="42674" s="1"/>
  <c r="G27" i="42670"/>
  <c r="J53" i="42671"/>
  <c r="E46" i="42671"/>
  <c r="C7" i="42674"/>
  <c r="M7" i="42674" s="1"/>
  <c r="C9" i="42674"/>
  <c r="M9" i="42674" s="1"/>
  <c r="C10" i="42674"/>
  <c r="M10" i="42674" s="1"/>
  <c r="C11" i="42674"/>
  <c r="M11" i="42674" s="1"/>
  <c r="C12" i="42674"/>
  <c r="M12" i="42674" s="1"/>
  <c r="C13" i="42674"/>
  <c r="M13" i="42674" s="1"/>
  <c r="C15" i="42674"/>
  <c r="G6" i="42674" s="1"/>
  <c r="C18" i="42674"/>
  <c r="M17" i="42674" s="1"/>
  <c r="C19" i="42674"/>
  <c r="M18" i="42674" s="1"/>
  <c r="K900" i="42675"/>
  <c r="K902" i="42675" s="1"/>
  <c r="P898" i="42675"/>
  <c r="P900" i="42675" s="1"/>
  <c r="P902" i="42675" s="1"/>
  <c r="M898" i="42675"/>
  <c r="M900" i="42675" s="1"/>
  <c r="M902" i="42675" s="1"/>
  <c r="H5" i="42678"/>
  <c r="H6" i="42678"/>
  <c r="H7" i="42678"/>
  <c r="H8" i="42678"/>
  <c r="H9" i="42678"/>
  <c r="H10" i="42678"/>
  <c r="H11" i="42678"/>
  <c r="H12" i="42678"/>
  <c r="H13" i="42678"/>
  <c r="H14" i="42678"/>
  <c r="H15" i="42678"/>
  <c r="H16" i="42678"/>
  <c r="H17" i="42678"/>
  <c r="H18" i="42678"/>
  <c r="H19" i="42678"/>
  <c r="H20" i="42678"/>
  <c r="H21" i="42678"/>
  <c r="H22" i="42678"/>
  <c r="H23" i="42678"/>
  <c r="H24" i="42678"/>
  <c r="H25" i="42678"/>
  <c r="H26" i="42678"/>
  <c r="H27" i="42678"/>
  <c r="H28" i="42678"/>
  <c r="H29" i="42678"/>
  <c r="H30" i="42678"/>
  <c r="H31" i="42678"/>
  <c r="H32" i="42678"/>
  <c r="H33" i="42678"/>
  <c r="H34" i="42678"/>
  <c r="H35" i="42678"/>
  <c r="H36" i="42678"/>
  <c r="H37" i="42678"/>
  <c r="H38" i="42678"/>
  <c r="H39" i="42678"/>
  <c r="H40" i="42678"/>
  <c r="H41" i="42678"/>
  <c r="H42" i="42678"/>
  <c r="H43" i="42678"/>
  <c r="H44" i="42678"/>
  <c r="I49" i="42678"/>
  <c r="I53" i="42678"/>
  <c r="I57" i="42678"/>
  <c r="I61" i="42678"/>
  <c r="I65" i="42678"/>
  <c r="I69" i="42678"/>
  <c r="I73" i="42678"/>
  <c r="I77" i="42678"/>
  <c r="I81" i="42678"/>
  <c r="I85" i="42678"/>
  <c r="I89" i="42678"/>
  <c r="I93" i="42678"/>
  <c r="I97" i="42678"/>
  <c r="I101" i="42678"/>
  <c r="I104" i="42678"/>
  <c r="I108" i="42678"/>
  <c r="I112" i="42678"/>
  <c r="I116" i="42678"/>
  <c r="I120" i="42678"/>
  <c r="I124" i="42678"/>
  <c r="I128" i="42678"/>
  <c r="I132" i="42678"/>
  <c r="I136" i="42678"/>
  <c r="I140" i="42678"/>
  <c r="H141" i="42678"/>
  <c r="H142" i="42678"/>
  <c r="H143" i="42678"/>
  <c r="H144" i="42678"/>
  <c r="H145" i="42678"/>
  <c r="H146" i="42678"/>
  <c r="H147" i="42678"/>
  <c r="H148" i="42678"/>
  <c r="H149" i="42678"/>
  <c r="H150" i="42678"/>
  <c r="H151" i="42678"/>
  <c r="H152" i="42678"/>
  <c r="H153" i="42678"/>
  <c r="H154" i="42678"/>
  <c r="H155" i="42678"/>
  <c r="H156" i="42678"/>
  <c r="H157" i="42678"/>
  <c r="H158" i="42678"/>
  <c r="H159" i="42678"/>
  <c r="H160" i="42678"/>
  <c r="H161" i="42678"/>
  <c r="H162" i="42678"/>
  <c r="H163" i="42678"/>
  <c r="H164" i="42678"/>
  <c r="H165" i="42678"/>
  <c r="H166" i="42678"/>
  <c r="H167" i="42678"/>
  <c r="H168" i="42678"/>
  <c r="H169" i="42678"/>
  <c r="H170" i="42678"/>
  <c r="H171" i="42678"/>
  <c r="H172" i="42678"/>
  <c r="H173" i="42678"/>
  <c r="H174" i="42678"/>
  <c r="H175" i="42678"/>
  <c r="H176" i="42678"/>
  <c r="H177" i="42678"/>
  <c r="H6" i="42679"/>
  <c r="H8" i="42679"/>
  <c r="H10" i="42679"/>
  <c r="H12" i="42679"/>
  <c r="H14" i="42679"/>
  <c r="H16" i="42679"/>
  <c r="H18" i="42679"/>
  <c r="H20" i="42679"/>
  <c r="H22" i="42679"/>
  <c r="H24" i="42679"/>
  <c r="H26" i="42679"/>
  <c r="H28" i="42679"/>
  <c r="H30" i="42679"/>
  <c r="H32" i="42679"/>
  <c r="H34" i="42679"/>
  <c r="H36" i="42679"/>
  <c r="H38" i="42679"/>
  <c r="H40" i="42679"/>
  <c r="H42" i="42679"/>
  <c r="H44" i="42679"/>
  <c r="H46" i="42679"/>
  <c r="H49" i="42679"/>
  <c r="H51" i="42679"/>
  <c r="G52" i="42679"/>
  <c r="H52" i="42679"/>
  <c r="H54" i="42679"/>
  <c r="H56" i="42679"/>
  <c r="H58" i="42679"/>
  <c r="H60" i="42679"/>
  <c r="H62" i="42679"/>
  <c r="H64" i="42679"/>
  <c r="H66" i="42679"/>
  <c r="H68" i="42679"/>
  <c r="H70" i="42679"/>
  <c r="H72" i="42679"/>
  <c r="H74" i="42679"/>
  <c r="H76" i="42679"/>
  <c r="H78" i="42679"/>
  <c r="H80" i="42679"/>
  <c r="H82" i="42679"/>
  <c r="H84" i="42679"/>
  <c r="H86" i="42679"/>
  <c r="H88" i="42679"/>
  <c r="H93" i="42679"/>
  <c r="H95" i="42679"/>
  <c r="G96" i="42679"/>
  <c r="H96" i="42679"/>
  <c r="H98" i="42679"/>
  <c r="H101" i="42679"/>
  <c r="H103" i="42679"/>
  <c r="G104" i="42679"/>
  <c r="H104" i="42679"/>
  <c r="H106" i="42679"/>
  <c r="H109" i="42679"/>
  <c r="H111" i="42679"/>
  <c r="G112" i="42679"/>
  <c r="H112" i="42679"/>
  <c r="H114" i="42679"/>
  <c r="H117" i="42679"/>
  <c r="H119" i="42679"/>
  <c r="G120" i="42679"/>
  <c r="H120" i="42679"/>
  <c r="H122" i="42679"/>
  <c r="H135" i="42679"/>
  <c r="H137" i="42679"/>
  <c r="H48" i="42679"/>
  <c r="H92" i="42679"/>
  <c r="H100" i="42679"/>
  <c r="H108" i="42679"/>
  <c r="H116" i="42679"/>
  <c r="B6" i="42677"/>
  <c r="C7" i="42677"/>
  <c r="B8" i="42677"/>
  <c r="C9" i="42677"/>
  <c r="B10" i="42677"/>
  <c r="C11" i="42677"/>
  <c r="B12" i="42677"/>
  <c r="C13" i="42677"/>
  <c r="B14" i="42677"/>
  <c r="C15" i="42677"/>
  <c r="B16" i="42677"/>
  <c r="C17" i="42677"/>
  <c r="B18" i="42677"/>
  <c r="C19" i="42677"/>
  <c r="B20" i="42677"/>
  <c r="C21" i="42677"/>
  <c r="B22" i="42677"/>
  <c r="C23" i="42677"/>
  <c r="B24" i="42677"/>
  <c r="C25" i="42677"/>
  <c r="B26" i="42677"/>
  <c r="C27" i="42677"/>
  <c r="B28" i="42677"/>
  <c r="C29" i="42677"/>
  <c r="B30" i="42677"/>
  <c r="C31" i="42677"/>
  <c r="B32" i="42677"/>
  <c r="C33" i="42677"/>
  <c r="B34" i="42677"/>
  <c r="C35" i="42677"/>
  <c r="B36" i="42677"/>
  <c r="C37" i="42677"/>
  <c r="B38" i="42677"/>
  <c r="C39" i="42677"/>
  <c r="B40" i="42677"/>
  <c r="C41" i="42677"/>
  <c r="B42" i="42677"/>
  <c r="C43" i="42677"/>
  <c r="B44" i="42677"/>
  <c r="C45" i="42677"/>
  <c r="D45" i="42677" s="1"/>
  <c r="B46" i="42677"/>
  <c r="C47" i="42677"/>
  <c r="B48" i="42677"/>
  <c r="C49" i="42677"/>
  <c r="B50" i="42677"/>
  <c r="C51" i="42677"/>
  <c r="B52" i="42677"/>
  <c r="D52" i="42677" s="1"/>
  <c r="C6" i="42677"/>
  <c r="B7" i="42677"/>
  <c r="C8" i="42677"/>
  <c r="D8" i="42677" s="1"/>
  <c r="B9" i="42677"/>
  <c r="C10" i="42677"/>
  <c r="D10" i="42677" s="1"/>
  <c r="K110" i="42678" s="1"/>
  <c r="B11" i="42677"/>
  <c r="C12" i="42677"/>
  <c r="D12" i="42677" s="1"/>
  <c r="J23" i="42678" s="1"/>
  <c r="B13" i="42677"/>
  <c r="C14" i="42677"/>
  <c r="D14" i="42677" s="1"/>
  <c r="B15" i="42677"/>
  <c r="C16" i="42677"/>
  <c r="D16" i="42677" s="1"/>
  <c r="B17" i="42677"/>
  <c r="C18" i="42677"/>
  <c r="D18" i="42677" s="1"/>
  <c r="B19" i="42677"/>
  <c r="C20" i="42677"/>
  <c r="D20" i="42677" s="1"/>
  <c r="K93" i="42678" s="1"/>
  <c r="B21" i="42677"/>
  <c r="C22" i="42677"/>
  <c r="D22" i="42677" s="1"/>
  <c r="B23" i="42677"/>
  <c r="C24" i="42677"/>
  <c r="D24" i="42677" s="1"/>
  <c r="K37" i="42678" s="1"/>
  <c r="B25" i="42677"/>
  <c r="C26" i="42677"/>
  <c r="D26" i="42677" s="1"/>
  <c r="J7" i="42678" s="1"/>
  <c r="B27" i="42677"/>
  <c r="C28" i="42677"/>
  <c r="D28" i="42677" s="1"/>
  <c r="B29" i="42677"/>
  <c r="C30" i="42677"/>
  <c r="D30" i="42677" s="1"/>
  <c r="B31" i="42677"/>
  <c r="C32" i="42677"/>
  <c r="D32" i="42677" s="1"/>
  <c r="B33" i="42677"/>
  <c r="C34" i="42677"/>
  <c r="D34" i="42677" s="1"/>
  <c r="K77" i="42678" s="1"/>
  <c r="B35" i="42677"/>
  <c r="C36" i="42677"/>
  <c r="D36" i="42677" s="1"/>
  <c r="J12" i="42678" s="1"/>
  <c r="B37" i="42677"/>
  <c r="C38" i="42677"/>
  <c r="D38" i="42677" s="1"/>
  <c r="B39" i="42677"/>
  <c r="C40" i="42677"/>
  <c r="D40" i="42677" s="1"/>
  <c r="B41" i="42677"/>
  <c r="C42" i="42677"/>
  <c r="D42" i="42677" s="1"/>
  <c r="K53" i="42678" s="1"/>
  <c r="B43" i="42677"/>
  <c r="C44" i="42677"/>
  <c r="D44" i="42677" s="1"/>
  <c r="K46" i="42678" s="1"/>
  <c r="B45" i="42677"/>
  <c r="C46" i="42677"/>
  <c r="D46" i="42677" s="1"/>
  <c r="J105" i="42678" s="1"/>
  <c r="B47" i="42677"/>
  <c r="C48" i="42677"/>
  <c r="D48" i="42677" s="1"/>
  <c r="B49" i="42677"/>
  <c r="C50" i="42677"/>
  <c r="D50" i="42677" s="1"/>
  <c r="K21" i="42678" s="1"/>
  <c r="B51" i="42677"/>
  <c r="I48" i="42678"/>
  <c r="K48" i="42678" s="1"/>
  <c r="J49" i="42678"/>
  <c r="I50" i="42678"/>
  <c r="I52" i="42678"/>
  <c r="K52" i="42678" s="1"/>
  <c r="I54" i="42678"/>
  <c r="K54" i="42678" s="1"/>
  <c r="I56" i="42678"/>
  <c r="I58" i="42678"/>
  <c r="K58" i="42678" s="1"/>
  <c r="I60" i="42678"/>
  <c r="K60" i="42678" s="1"/>
  <c r="I62" i="42678"/>
  <c r="J63" i="42678"/>
  <c r="I64" i="42678"/>
  <c r="K64" i="42678" s="1"/>
  <c r="J65" i="42678"/>
  <c r="I66" i="42678"/>
  <c r="K66" i="42678" s="1"/>
  <c r="J67" i="42678"/>
  <c r="I68" i="42678"/>
  <c r="K68" i="42678" s="1"/>
  <c r="I70" i="42678"/>
  <c r="K70" i="42678" s="1"/>
  <c r="I72" i="42678"/>
  <c r="I74" i="42678"/>
  <c r="K74" i="42678" s="1"/>
  <c r="I76" i="42678"/>
  <c r="K76" i="42678" s="1"/>
  <c r="I78" i="42678"/>
  <c r="K78" i="42678" s="1"/>
  <c r="I80" i="42678"/>
  <c r="K80" i="42678" s="1"/>
  <c r="I82" i="42678"/>
  <c r="K82" i="42678" s="1"/>
  <c r="I84" i="42678"/>
  <c r="I86" i="42678"/>
  <c r="I88" i="42678"/>
  <c r="K88" i="42678" s="1"/>
  <c r="J89" i="42678"/>
  <c r="I90" i="42678"/>
  <c r="K90" i="42678" s="1"/>
  <c r="I92" i="42678"/>
  <c r="K92" i="42678" s="1"/>
  <c r="I94" i="42678"/>
  <c r="K94" i="42678" s="1"/>
  <c r="I96" i="42678"/>
  <c r="K96" i="42678" s="1"/>
  <c r="J97" i="42678"/>
  <c r="I98" i="42678"/>
  <c r="I100" i="42678"/>
  <c r="K100" i="42678" s="1"/>
  <c r="J101" i="42678"/>
  <c r="I103" i="42678"/>
  <c r="J104" i="42678"/>
  <c r="I105" i="42678"/>
  <c r="I107" i="42678"/>
  <c r="I109" i="42678"/>
  <c r="I111" i="42678"/>
  <c r="K111" i="42678" s="1"/>
  <c r="I113" i="42678"/>
  <c r="K113" i="42678" s="1"/>
  <c r="I115" i="42678"/>
  <c r="K115" i="42678" s="1"/>
  <c r="I117" i="42678"/>
  <c r="K117" i="42678" s="1"/>
  <c r="I119" i="42678"/>
  <c r="K119" i="42678" s="1"/>
  <c r="I121" i="42678"/>
  <c r="K121" i="42678" s="1"/>
  <c r="J122" i="42678"/>
  <c r="I123" i="42678"/>
  <c r="K123" i="42678" s="1"/>
  <c r="I125" i="42678"/>
  <c r="K125" i="42678" s="1"/>
  <c r="J126" i="42678"/>
  <c r="I127" i="42678"/>
  <c r="K127" i="42678" s="1"/>
  <c r="I129" i="42678"/>
  <c r="K129" i="42678" s="1"/>
  <c r="I131" i="42678"/>
  <c r="K131" i="42678" s="1"/>
  <c r="I133" i="42678"/>
  <c r="I135" i="42678"/>
  <c r="I137" i="42678"/>
  <c r="I139" i="42678"/>
  <c r="K139" i="42678" s="1"/>
  <c r="K142" i="42678"/>
  <c r="K144" i="42678"/>
  <c r="K146" i="42678"/>
  <c r="K148" i="42678"/>
  <c r="K150" i="42678"/>
  <c r="K152" i="42678"/>
  <c r="K154" i="42678"/>
  <c r="K156" i="42678"/>
  <c r="K158" i="42678"/>
  <c r="K160" i="42678"/>
  <c r="K162" i="42678"/>
  <c r="K164" i="42678"/>
  <c r="J6" i="42679"/>
  <c r="J8" i="42679"/>
  <c r="J10" i="42679"/>
  <c r="J12" i="42679"/>
  <c r="J14" i="42679"/>
  <c r="J16" i="42679"/>
  <c r="J18" i="42679"/>
  <c r="J20" i="42679"/>
  <c r="J22" i="42679"/>
  <c r="J24" i="42679"/>
  <c r="J26" i="42679"/>
  <c r="J28" i="42679"/>
  <c r="J30" i="42679"/>
  <c r="J32" i="42679"/>
  <c r="J34" i="42679"/>
  <c r="J36" i="42679"/>
  <c r="J38" i="42679"/>
  <c r="J40" i="42679"/>
  <c r="J42" i="42679"/>
  <c r="J44" i="42679"/>
  <c r="J46" i="42679"/>
  <c r="J52" i="42679"/>
  <c r="J54" i="42679"/>
  <c r="K166" i="42678"/>
  <c r="K167" i="42678"/>
  <c r="K168" i="42678"/>
  <c r="K169" i="42678"/>
  <c r="K170" i="42678"/>
  <c r="K172" i="42678"/>
  <c r="K173" i="42678"/>
  <c r="K174" i="42678"/>
  <c r="K175" i="42678"/>
  <c r="K176" i="42678"/>
  <c r="K177" i="42678"/>
  <c r="J48" i="42679"/>
  <c r="J50" i="42679"/>
  <c r="H5" i="42679"/>
  <c r="J5" i="42679" s="1"/>
  <c r="H7" i="42679"/>
  <c r="J7" i="42679" s="1"/>
  <c r="H9" i="42679"/>
  <c r="J9" i="42679" s="1"/>
  <c r="H11" i="42679"/>
  <c r="J11" i="42679" s="1"/>
  <c r="H13" i="42679"/>
  <c r="J13" i="42679" s="1"/>
  <c r="H15" i="42679"/>
  <c r="J15" i="42679" s="1"/>
  <c r="H17" i="42679"/>
  <c r="J17" i="42679" s="1"/>
  <c r="H19" i="42679"/>
  <c r="J19" i="42679" s="1"/>
  <c r="H21" i="42679"/>
  <c r="J21" i="42679" s="1"/>
  <c r="H23" i="42679"/>
  <c r="J23" i="42679" s="1"/>
  <c r="H25" i="42679"/>
  <c r="J25" i="42679" s="1"/>
  <c r="H27" i="42679"/>
  <c r="J27" i="42679" s="1"/>
  <c r="H29" i="42679"/>
  <c r="J29" i="42679" s="1"/>
  <c r="H31" i="42679"/>
  <c r="J31" i="42679" s="1"/>
  <c r="H33" i="42679"/>
  <c r="J33" i="42679" s="1"/>
  <c r="H35" i="42679"/>
  <c r="J35" i="42679" s="1"/>
  <c r="H37" i="42679"/>
  <c r="J37" i="42679" s="1"/>
  <c r="H39" i="42679"/>
  <c r="J39" i="42679" s="1"/>
  <c r="H41" i="42679"/>
  <c r="J41" i="42679" s="1"/>
  <c r="H43" i="42679"/>
  <c r="J43" i="42679" s="1"/>
  <c r="G46" i="42679"/>
  <c r="J47" i="42679"/>
  <c r="G47" i="42679"/>
  <c r="G50" i="42679"/>
  <c r="J51" i="42679"/>
  <c r="G51" i="42679"/>
  <c r="G54" i="42679"/>
  <c r="J55" i="42679"/>
  <c r="G55" i="42679"/>
  <c r="J56" i="42679"/>
  <c r="J58" i="42679"/>
  <c r="J60" i="42679"/>
  <c r="J62" i="42679"/>
  <c r="J64" i="42679"/>
  <c r="J66" i="42679"/>
  <c r="J68" i="42679"/>
  <c r="J70" i="42679"/>
  <c r="J72" i="42679"/>
  <c r="J74" i="42679"/>
  <c r="J76" i="42679"/>
  <c r="J78" i="42679"/>
  <c r="J80" i="42679"/>
  <c r="J82" i="42679"/>
  <c r="J86" i="42679"/>
  <c r="J88" i="42679"/>
  <c r="J96" i="42679"/>
  <c r="J98" i="42679"/>
  <c r="J104" i="42679"/>
  <c r="J106" i="42679"/>
  <c r="J112" i="42679"/>
  <c r="J114" i="42679"/>
  <c r="J120" i="42679"/>
  <c r="J45" i="42679"/>
  <c r="G45" i="42679"/>
  <c r="J49" i="42679"/>
  <c r="G49" i="42679"/>
  <c r="J53" i="42679"/>
  <c r="G53" i="42679"/>
  <c r="I84" i="42679"/>
  <c r="I85" i="42679"/>
  <c r="J92" i="42679"/>
  <c r="J94" i="42679"/>
  <c r="J100" i="42679"/>
  <c r="J102" i="42679"/>
  <c r="J108" i="42679"/>
  <c r="J110" i="42679"/>
  <c r="J116" i="42679"/>
  <c r="J118" i="42679"/>
  <c r="H57" i="42679"/>
  <c r="J57" i="42679" s="1"/>
  <c r="H59" i="42679"/>
  <c r="J59" i="42679" s="1"/>
  <c r="H61" i="42679"/>
  <c r="J61" i="42679" s="1"/>
  <c r="H63" i="42679"/>
  <c r="J63" i="42679" s="1"/>
  <c r="H65" i="42679"/>
  <c r="J65" i="42679" s="1"/>
  <c r="H67" i="42679"/>
  <c r="J67" i="42679" s="1"/>
  <c r="H69" i="42679"/>
  <c r="J69" i="42679" s="1"/>
  <c r="H71" i="42679"/>
  <c r="J71" i="42679" s="1"/>
  <c r="H73" i="42679"/>
  <c r="J73" i="42679" s="1"/>
  <c r="H75" i="42679"/>
  <c r="J75" i="42679" s="1"/>
  <c r="H77" i="42679"/>
  <c r="J77" i="42679" s="1"/>
  <c r="H79" i="42679"/>
  <c r="J79" i="42679" s="1"/>
  <c r="H81" i="42679"/>
  <c r="J81" i="42679" s="1"/>
  <c r="H83" i="42679"/>
  <c r="J83" i="42679" s="1"/>
  <c r="H85" i="42679"/>
  <c r="H87" i="42679"/>
  <c r="J87" i="42679" s="1"/>
  <c r="H89" i="42679"/>
  <c r="J89" i="42679" s="1"/>
  <c r="G90" i="42679"/>
  <c r="H90" i="42679"/>
  <c r="J90" i="42679" s="1"/>
  <c r="J91" i="42679"/>
  <c r="G91" i="42679"/>
  <c r="G94" i="42679"/>
  <c r="J95" i="42679"/>
  <c r="G95" i="42679"/>
  <c r="G98" i="42679"/>
  <c r="J99" i="42679"/>
  <c r="G99" i="42679"/>
  <c r="G102" i="42679"/>
  <c r="J103" i="42679"/>
  <c r="G103" i="42679"/>
  <c r="G106" i="42679"/>
  <c r="J107" i="42679"/>
  <c r="G107" i="42679"/>
  <c r="G110" i="42679"/>
  <c r="J111" i="42679"/>
  <c r="G111" i="42679"/>
  <c r="G114" i="42679"/>
  <c r="J115" i="42679"/>
  <c r="G115" i="42679"/>
  <c r="G118" i="42679"/>
  <c r="J119" i="42679"/>
  <c r="G119" i="42679"/>
  <c r="J122" i="42679"/>
  <c r="J93" i="42679"/>
  <c r="G93" i="42679"/>
  <c r="J97" i="42679"/>
  <c r="G97" i="42679"/>
  <c r="G101" i="42679"/>
  <c r="I101" i="42679" s="1"/>
  <c r="J105" i="42679"/>
  <c r="G105" i="42679"/>
  <c r="J109" i="42679"/>
  <c r="G109" i="42679"/>
  <c r="G113" i="42679"/>
  <c r="I113" i="42679" s="1"/>
  <c r="J117" i="42679"/>
  <c r="G117" i="42679"/>
  <c r="H121" i="42679"/>
  <c r="J121" i="42679" s="1"/>
  <c r="J135" i="42679"/>
  <c r="J137" i="42679"/>
  <c r="J123" i="42679"/>
  <c r="J125" i="42679"/>
  <c r="J127" i="42679"/>
  <c r="J129" i="42679"/>
  <c r="J131" i="42679"/>
  <c r="J133" i="42679"/>
  <c r="J139" i="42679"/>
  <c r="G123" i="42679"/>
  <c r="H124" i="42679"/>
  <c r="J124" i="42679" s="1"/>
  <c r="G125" i="42679"/>
  <c r="H126" i="42679"/>
  <c r="J126" i="42679" s="1"/>
  <c r="G127" i="42679"/>
  <c r="H128" i="42679"/>
  <c r="J128" i="42679" s="1"/>
  <c r="G129" i="42679"/>
  <c r="H130" i="42679"/>
  <c r="J130" i="42679" s="1"/>
  <c r="G131" i="42679"/>
  <c r="H132" i="42679"/>
  <c r="J132" i="42679" s="1"/>
  <c r="G133" i="42679"/>
  <c r="H134" i="42679"/>
  <c r="J134" i="42679" s="1"/>
  <c r="H136" i="42679"/>
  <c r="J136" i="42679" s="1"/>
  <c r="H138" i="42679"/>
  <c r="J138" i="42679" s="1"/>
  <c r="G139" i="42679"/>
  <c r="H140" i="42679"/>
  <c r="J140" i="42679" s="1"/>
  <c r="L6" i="42674"/>
  <c r="G8" i="42674"/>
  <c r="C22" i="42674"/>
  <c r="M21" i="42674" s="1"/>
  <c r="M31" i="42674" s="1"/>
  <c r="C23" i="42674"/>
  <c r="M22" i="42674" s="1"/>
  <c r="C6" i="42674"/>
  <c r="B7" i="42674"/>
  <c r="L7" i="42674" s="1"/>
  <c r="C8" i="42674"/>
  <c r="M8" i="42674" s="1"/>
  <c r="B9" i="42674"/>
  <c r="L9" i="42674" s="1"/>
  <c r="B10" i="42674"/>
  <c r="L10" i="42674" s="1"/>
  <c r="B11" i="42674"/>
  <c r="L11" i="42674" s="1"/>
  <c r="B12" i="42674"/>
  <c r="L12" i="42674" s="1"/>
  <c r="B13" i="42674"/>
  <c r="L13" i="42674" s="1"/>
  <c r="B14" i="42674"/>
  <c r="F12" i="42674" s="1"/>
  <c r="B15" i="42674"/>
  <c r="F6" i="42674" s="1"/>
  <c r="B16" i="42674"/>
  <c r="F7" i="42674" s="1"/>
  <c r="B17" i="42674"/>
  <c r="L16" i="42674" s="1"/>
  <c r="B18" i="42674"/>
  <c r="L17" i="42674" s="1"/>
  <c r="B19" i="42674"/>
  <c r="L18" i="42674" s="1"/>
  <c r="B20" i="42674"/>
  <c r="L19" i="42674" s="1"/>
  <c r="B21" i="42674"/>
  <c r="L20" i="42674" s="1"/>
  <c r="B22" i="42674"/>
  <c r="L21" i="42674" s="1"/>
  <c r="B23" i="42674"/>
  <c r="L22" i="42674" s="1"/>
  <c r="G20" i="42670"/>
  <c r="F21" i="42670"/>
  <c r="G21" i="42670" s="1"/>
  <c r="F52" i="42670"/>
  <c r="G53" i="42670"/>
  <c r="F77" i="42670"/>
  <c r="G12" i="42670"/>
  <c r="G13" i="42670" s="1"/>
  <c r="F24" i="42670"/>
  <c r="F38" i="42670" s="1"/>
  <c r="E61" i="42670"/>
  <c r="E52" i="42670"/>
  <c r="G18" i="42670"/>
  <c r="G33" i="42670"/>
  <c r="G35" i="42670" s="1"/>
  <c r="F61" i="42670"/>
  <c r="G62" i="42670"/>
  <c r="F42" i="42670"/>
  <c r="G24" i="42670" l="1"/>
  <c r="K116" i="42678"/>
  <c r="K19" i="42678"/>
  <c r="K86" i="42678"/>
  <c r="K165" i="42678"/>
  <c r="K149" i="42678"/>
  <c r="K145" i="42678"/>
  <c r="K141" i="42678"/>
  <c r="J137" i="42678"/>
  <c r="J133" i="42678"/>
  <c r="J109" i="42678"/>
  <c r="J84" i="42678"/>
  <c r="J72" i="42678"/>
  <c r="D51" i="42677"/>
  <c r="D49" i="42677"/>
  <c r="D47" i="42677"/>
  <c r="D43" i="42677"/>
  <c r="D41" i="42677"/>
  <c r="D39" i="42677"/>
  <c r="D37" i="42677"/>
  <c r="D35" i="42677"/>
  <c r="D33" i="42677"/>
  <c r="D31" i="42677"/>
  <c r="D29" i="42677"/>
  <c r="D27" i="42677"/>
  <c r="D25" i="42677"/>
  <c r="D23" i="42677"/>
  <c r="I139" i="42679" s="1"/>
  <c r="K139" i="42679" s="1"/>
  <c r="D21" i="42677"/>
  <c r="D19" i="42677"/>
  <c r="I49" i="42679" s="1"/>
  <c r="K49" i="42679" s="1"/>
  <c r="D17" i="42677"/>
  <c r="K97" i="42678" s="1"/>
  <c r="L97" i="42678" s="1"/>
  <c r="D15" i="42677"/>
  <c r="D13" i="42677"/>
  <c r="K23" i="42678" s="1"/>
  <c r="L23" i="42678" s="1"/>
  <c r="D11" i="42677"/>
  <c r="D9" i="42677"/>
  <c r="D7" i="42677"/>
  <c r="K56" i="42678" s="1"/>
  <c r="K138" i="42678"/>
  <c r="K130" i="42678"/>
  <c r="K114" i="42678"/>
  <c r="K106" i="42678"/>
  <c r="K95" i="42678"/>
  <c r="K87" i="42678"/>
  <c r="K79" i="42678"/>
  <c r="K71" i="42678"/>
  <c r="K55" i="42678"/>
  <c r="K47" i="42678"/>
  <c r="K42" i="42678"/>
  <c r="K38" i="42678"/>
  <c r="K36" i="42678"/>
  <c r="K34" i="42678"/>
  <c r="K30" i="42678"/>
  <c r="K28" i="42678"/>
  <c r="K26" i="42678"/>
  <c r="K24" i="42678"/>
  <c r="K22" i="42678"/>
  <c r="K20" i="42678"/>
  <c r="K18" i="42678"/>
  <c r="K16" i="42678"/>
  <c r="K14" i="42678"/>
  <c r="K10" i="42678"/>
  <c r="K8" i="42678"/>
  <c r="K6" i="42678"/>
  <c r="K136" i="42678"/>
  <c r="K128" i="42678"/>
  <c r="K120" i="42678"/>
  <c r="K112" i="42678"/>
  <c r="K81" i="42678"/>
  <c r="K73" i="42678"/>
  <c r="K57" i="42678"/>
  <c r="J44" i="42678"/>
  <c r="J40" i="42678"/>
  <c r="J32" i="42678"/>
  <c r="I131" i="42679"/>
  <c r="K131" i="42679" s="1"/>
  <c r="I127" i="42679"/>
  <c r="K127" i="42679" s="1"/>
  <c r="I123" i="42679"/>
  <c r="K123" i="42679" s="1"/>
  <c r="I109" i="42679"/>
  <c r="K109" i="42679" s="1"/>
  <c r="I93" i="42679"/>
  <c r="K93" i="42679" s="1"/>
  <c r="I119" i="42679"/>
  <c r="K119" i="42679" s="1"/>
  <c r="I118" i="42679"/>
  <c r="I111" i="42679"/>
  <c r="K111" i="42679" s="1"/>
  <c r="I110" i="42679"/>
  <c r="I103" i="42679"/>
  <c r="K103" i="42679" s="1"/>
  <c r="I102" i="42679"/>
  <c r="I95" i="42679"/>
  <c r="K95" i="42679" s="1"/>
  <c r="I94" i="42679"/>
  <c r="K94" i="42679" s="1"/>
  <c r="I90" i="42679"/>
  <c r="K90" i="42679" s="1"/>
  <c r="K118" i="42679"/>
  <c r="K110" i="42679"/>
  <c r="K102" i="42679"/>
  <c r="I53" i="42679"/>
  <c r="K53" i="42679" s="1"/>
  <c r="I45" i="42679"/>
  <c r="K45" i="42679" s="1"/>
  <c r="I55" i="42679"/>
  <c r="K55" i="42679" s="1"/>
  <c r="I54" i="42679"/>
  <c r="K54" i="42679" s="1"/>
  <c r="I47" i="42679"/>
  <c r="K47" i="42679" s="1"/>
  <c r="I46" i="42679"/>
  <c r="K46" i="42679" s="1"/>
  <c r="J171" i="42678"/>
  <c r="J102" i="42678"/>
  <c r="J161" i="42678"/>
  <c r="J155" i="42678"/>
  <c r="J45" i="42678"/>
  <c r="J163" i="42678"/>
  <c r="J157" i="42678"/>
  <c r="J153" i="42678"/>
  <c r="C53" i="42677"/>
  <c r="C54" i="42677" s="1"/>
  <c r="D6" i="42677"/>
  <c r="J56" i="42678" s="1"/>
  <c r="K159" i="42678"/>
  <c r="K151" i="42678"/>
  <c r="K147" i="42678"/>
  <c r="K143" i="42678"/>
  <c r="J135" i="42678"/>
  <c r="J107" i="42678"/>
  <c r="J103" i="42678"/>
  <c r="J98" i="42678"/>
  <c r="J62" i="42678"/>
  <c r="J50" i="42678"/>
  <c r="C14" i="42681"/>
  <c r="F14" i="42681" s="1"/>
  <c r="C12" i="42681"/>
  <c r="F12" i="42681" s="1"/>
  <c r="C10" i="42681"/>
  <c r="B53" i="42677"/>
  <c r="K134" i="42678"/>
  <c r="K118" i="42678"/>
  <c r="K99" i="42678"/>
  <c r="K91" i="42678"/>
  <c r="K83" i="42678"/>
  <c r="K75" i="42678"/>
  <c r="K59" i="42678"/>
  <c r="K51" i="42678"/>
  <c r="K43" i="42678"/>
  <c r="K41" i="42678"/>
  <c r="K35" i="42678"/>
  <c r="K33" i="42678"/>
  <c r="K31" i="42678"/>
  <c r="K29" i="42678"/>
  <c r="K27" i="42678"/>
  <c r="K25" i="42678"/>
  <c r="K17" i="42678"/>
  <c r="K15" i="42678"/>
  <c r="K13" i="42678"/>
  <c r="K11" i="42678"/>
  <c r="K140" i="42678"/>
  <c r="K132" i="42678"/>
  <c r="K124" i="42678"/>
  <c r="K108" i="42678"/>
  <c r="K85" i="42678"/>
  <c r="K69" i="42678"/>
  <c r="K61" i="42678"/>
  <c r="J39" i="42678"/>
  <c r="J9" i="42678"/>
  <c r="J5" i="42678"/>
  <c r="F8" i="42674"/>
  <c r="H6" i="42674" s="1"/>
  <c r="L31" i="42674"/>
  <c r="C25" i="42674"/>
  <c r="C26" i="42674" s="1"/>
  <c r="M6" i="42674"/>
  <c r="B25" i="42674"/>
  <c r="B26" i="42674" s="1"/>
  <c r="F57" i="42670"/>
  <c r="G52" i="42670"/>
  <c r="G57" i="42670" s="1"/>
  <c r="F49" i="42670"/>
  <c r="G42" i="42670"/>
  <c r="F67" i="42670"/>
  <c r="G61" i="42670"/>
  <c r="G67" i="42670" s="1"/>
  <c r="G38" i="42670"/>
  <c r="J93" i="5"/>
  <c r="F38" i="364"/>
  <c r="G129" i="5"/>
  <c r="G75" i="5"/>
  <c r="J75" i="5" s="1"/>
  <c r="G36" i="5"/>
  <c r="G17" i="5"/>
  <c r="G54" i="5" s="1"/>
  <c r="E159" i="5"/>
  <c r="E158" i="5"/>
  <c r="G158" i="5" s="1"/>
  <c r="E157" i="5"/>
  <c r="E156" i="5"/>
  <c r="G156" i="5" s="1"/>
  <c r="E155" i="5"/>
  <c r="E154" i="5"/>
  <c r="G154" i="5" s="1"/>
  <c r="E137" i="5"/>
  <c r="E136" i="5"/>
  <c r="G136" i="5" s="1"/>
  <c r="E135" i="5"/>
  <c r="E134" i="5"/>
  <c r="G134" i="5" s="1"/>
  <c r="E133" i="5"/>
  <c r="E132" i="5"/>
  <c r="E138" i="5" s="1"/>
  <c r="E79" i="5"/>
  <c r="E78" i="5"/>
  <c r="G78" i="5" s="1"/>
  <c r="E42" i="5"/>
  <c r="E41" i="5"/>
  <c r="G41" i="5" s="1"/>
  <c r="E40" i="5"/>
  <c r="E22" i="5"/>
  <c r="G22" i="5" s="1"/>
  <c r="E21" i="5"/>
  <c r="E20" i="5"/>
  <c r="E57" i="5" s="1"/>
  <c r="E78" i="16"/>
  <c r="E77" i="16"/>
  <c r="G77" i="16" s="1"/>
  <c r="E76" i="16"/>
  <c r="E58" i="16"/>
  <c r="E57" i="16"/>
  <c r="E56" i="16"/>
  <c r="E15" i="42667"/>
  <c r="E16" i="42667"/>
  <c r="E17" i="42667"/>
  <c r="E18" i="42667"/>
  <c r="E19" i="42667"/>
  <c r="E20" i="42667"/>
  <c r="E21" i="42667"/>
  <c r="I52" i="16"/>
  <c r="I51" i="16"/>
  <c r="J51" i="16" s="1"/>
  <c r="I72" i="5"/>
  <c r="J72" i="5" s="1"/>
  <c r="I74" i="5"/>
  <c r="Q74" i="5" s="1"/>
  <c r="I78" i="5"/>
  <c r="I79" i="5"/>
  <c r="J79" i="5" s="1"/>
  <c r="I91" i="5"/>
  <c r="J91" i="5" s="1"/>
  <c r="G72" i="5"/>
  <c r="G73" i="5"/>
  <c r="G91" i="5"/>
  <c r="G106" i="5" s="1"/>
  <c r="G92" i="5"/>
  <c r="G96" i="5"/>
  <c r="G97" i="5"/>
  <c r="G15" i="5"/>
  <c r="G21" i="5"/>
  <c r="G34" i="5"/>
  <c r="G35" i="5"/>
  <c r="G40" i="5"/>
  <c r="G42" i="5"/>
  <c r="E142" i="5"/>
  <c r="G142" i="5" s="1"/>
  <c r="E84" i="5"/>
  <c r="G84" i="5" s="1"/>
  <c r="E27" i="5"/>
  <c r="G27" i="5" s="1"/>
  <c r="I26" i="5"/>
  <c r="I27" i="5"/>
  <c r="I84" i="5" s="1"/>
  <c r="I45" i="5"/>
  <c r="J17" i="5"/>
  <c r="J36" i="5"/>
  <c r="L36" i="5" s="1"/>
  <c r="I83" i="5"/>
  <c r="I100" i="5"/>
  <c r="I141" i="5"/>
  <c r="I162" i="5"/>
  <c r="J129" i="5"/>
  <c r="J151" i="5"/>
  <c r="I58" i="16"/>
  <c r="I78" i="16" s="1"/>
  <c r="I71" i="16"/>
  <c r="J71" i="16" s="1"/>
  <c r="G109" i="5"/>
  <c r="G126" i="5"/>
  <c r="G127" i="5"/>
  <c r="G133" i="5"/>
  <c r="G135" i="5"/>
  <c r="G137" i="5"/>
  <c r="G149" i="5"/>
  <c r="G150" i="5"/>
  <c r="G155" i="5"/>
  <c r="G175" i="5" s="1"/>
  <c r="G157" i="5"/>
  <c r="G159" i="5"/>
  <c r="G171" i="5"/>
  <c r="E58" i="5"/>
  <c r="E112" i="5"/>
  <c r="E113" i="5"/>
  <c r="E174" i="5"/>
  <c r="E175" i="5"/>
  <c r="E176" i="5"/>
  <c r="E177" i="5"/>
  <c r="E178" i="5"/>
  <c r="E179" i="5"/>
  <c r="E46" i="364"/>
  <c r="H13" i="4128"/>
  <c r="H14" i="4128"/>
  <c r="H15" i="4128"/>
  <c r="H16" i="4128"/>
  <c r="H17" i="4128"/>
  <c r="H18" i="4128"/>
  <c r="H26" i="4128"/>
  <c r="H27" i="4128"/>
  <c r="H28" i="4128"/>
  <c r="H29" i="4128"/>
  <c r="E63" i="16"/>
  <c r="G63" i="16" s="1"/>
  <c r="G51" i="16"/>
  <c r="E52" i="16"/>
  <c r="G52" i="16" s="1"/>
  <c r="G53" i="16"/>
  <c r="G57" i="16"/>
  <c r="G58" i="16"/>
  <c r="G71" i="16"/>
  <c r="E72" i="16"/>
  <c r="G72" i="16" s="1"/>
  <c r="G73" i="16"/>
  <c r="G78" i="16"/>
  <c r="H19" i="4128"/>
  <c r="H20" i="4128"/>
  <c r="H21" i="4128"/>
  <c r="H22" i="4128"/>
  <c r="H23" i="4128"/>
  <c r="H24" i="4128"/>
  <c r="H25" i="4128"/>
  <c r="L17" i="5"/>
  <c r="L18" i="42667"/>
  <c r="L19" i="42667"/>
  <c r="L20" i="42667"/>
  <c r="L17" i="42667"/>
  <c r="L22" i="42667"/>
  <c r="L16" i="42667"/>
  <c r="C23" i="42667"/>
  <c r="G34" i="364"/>
  <c r="I62" i="16"/>
  <c r="I63" i="16"/>
  <c r="J63" i="16" s="1"/>
  <c r="I83" i="16"/>
  <c r="I18" i="16"/>
  <c r="E18" i="16"/>
  <c r="I29" i="16"/>
  <c r="J29" i="16" s="1"/>
  <c r="I18" i="364"/>
  <c r="E18" i="364"/>
  <c r="J18" i="364" s="1"/>
  <c r="I38" i="364"/>
  <c r="E38" i="364"/>
  <c r="E28" i="364"/>
  <c r="G28" i="364" s="1"/>
  <c r="G18" i="364"/>
  <c r="G14" i="364"/>
  <c r="G15" i="364"/>
  <c r="G29" i="16"/>
  <c r="G14" i="16"/>
  <c r="G24" i="16"/>
  <c r="G15" i="16"/>
  <c r="G25" i="16"/>
  <c r="G24" i="364"/>
  <c r="G25" i="364"/>
  <c r="G46" i="16"/>
  <c r="G47" i="16" s="1"/>
  <c r="G213" i="5"/>
  <c r="F23" i="42667"/>
  <c r="E212" i="5"/>
  <c r="E36" i="16"/>
  <c r="E95" i="16"/>
  <c r="E96" i="16"/>
  <c r="E97" i="16"/>
  <c r="G15" i="42667"/>
  <c r="G17" i="42667"/>
  <c r="G19" i="42667"/>
  <c r="G21" i="42667"/>
  <c r="E25" i="42667"/>
  <c r="M25" i="42667" s="1"/>
  <c r="G26" i="16"/>
  <c r="I28" i="364"/>
  <c r="E169" i="5"/>
  <c r="E168" i="5"/>
  <c r="E52" i="5"/>
  <c r="E51" i="5"/>
  <c r="E92" i="16"/>
  <c r="E90" i="16"/>
  <c r="E91" i="16" s="1"/>
  <c r="E40" i="16"/>
  <c r="E35" i="16"/>
  <c r="E107" i="5"/>
  <c r="E118" i="5" s="1"/>
  <c r="E106" i="5"/>
  <c r="B14" i="4128"/>
  <c r="B15" i="4128" s="1"/>
  <c r="B16" i="4128" s="1"/>
  <c r="B17" i="4128" s="1"/>
  <c r="B18" i="4128" s="1"/>
  <c r="B19" i="4128" s="1"/>
  <c r="B20" i="4128" s="1"/>
  <c r="B21" i="4128" s="1"/>
  <c r="B22" i="4128" s="1"/>
  <c r="B23" i="4128" s="1"/>
  <c r="B24" i="4128" s="1"/>
  <c r="B25" i="4128" s="1"/>
  <c r="B26" i="4128" s="1"/>
  <c r="B27" i="4128" s="1"/>
  <c r="B28" i="4128" s="1"/>
  <c r="B29" i="4128" s="1"/>
  <c r="B30" i="4128" s="1"/>
  <c r="F30" i="4128"/>
  <c r="L93" i="5"/>
  <c r="E98" i="5"/>
  <c r="E100" i="5" s="1"/>
  <c r="G100" i="5" s="1"/>
  <c r="G119" i="5" s="1"/>
  <c r="L129" i="5"/>
  <c r="D23" i="42667"/>
  <c r="O25" i="42667"/>
  <c r="D26" i="42667"/>
  <c r="G90" i="16"/>
  <c r="L23" i="42667"/>
  <c r="L26" i="42667" s="1"/>
  <c r="E43" i="5"/>
  <c r="E45" i="5" s="1"/>
  <c r="E65" i="5" s="1"/>
  <c r="G179" i="5"/>
  <c r="E23" i="5"/>
  <c r="E26" i="5" s="1"/>
  <c r="G79" i="5"/>
  <c r="G113" i="5" s="1"/>
  <c r="E180" i="5"/>
  <c r="E207" i="5" s="1"/>
  <c r="G18" i="16"/>
  <c r="G113" i="16" s="1"/>
  <c r="E59" i="16"/>
  <c r="E62" i="16" s="1"/>
  <c r="G59" i="16"/>
  <c r="E123" i="16"/>
  <c r="G27" i="16"/>
  <c r="G31" i="16" s="1"/>
  <c r="G38" i="364"/>
  <c r="G40" i="364" s="1"/>
  <c r="G91" i="16"/>
  <c r="I96" i="5"/>
  <c r="Q96" i="5" s="1"/>
  <c r="L18" i="364"/>
  <c r="M18" i="364" s="1"/>
  <c r="J104" i="16"/>
  <c r="J28" i="364"/>
  <c r="L28" i="364" s="1"/>
  <c r="M28" i="364" s="1"/>
  <c r="G44" i="364"/>
  <c r="G96" i="16"/>
  <c r="E98" i="16"/>
  <c r="E124" i="16" s="1"/>
  <c r="E125" i="16" s="1"/>
  <c r="J62" i="16"/>
  <c r="J64" i="16" s="1"/>
  <c r="G62" i="16"/>
  <c r="G103" i="16" s="1"/>
  <c r="G40" i="16"/>
  <c r="G16" i="16"/>
  <c r="G20" i="16" s="1"/>
  <c r="G35" i="16"/>
  <c r="G16" i="364"/>
  <c r="G20" i="364" s="1"/>
  <c r="G97" i="16"/>
  <c r="G92" i="16"/>
  <c r="J58" i="16"/>
  <c r="L58" i="16" s="1"/>
  <c r="G36" i="16"/>
  <c r="G59" i="5"/>
  <c r="J45" i="5"/>
  <c r="J65" i="5" s="1"/>
  <c r="E16" i="5"/>
  <c r="G16" i="5" s="1"/>
  <c r="G184" i="5"/>
  <c r="G118" i="5"/>
  <c r="E53" i="5"/>
  <c r="G52" i="5"/>
  <c r="G118" i="16"/>
  <c r="G123" i="16" s="1"/>
  <c r="G98" i="5"/>
  <c r="G102" i="5" s="1"/>
  <c r="Q78" i="5"/>
  <c r="I77" i="16"/>
  <c r="J77" i="16" s="1"/>
  <c r="J57" i="16"/>
  <c r="L57" i="16" s="1"/>
  <c r="Q77" i="16"/>
  <c r="Q71" i="16"/>
  <c r="I56" i="16"/>
  <c r="I76" i="16" s="1"/>
  <c r="Q76" i="16" s="1"/>
  <c r="Q51" i="16"/>
  <c r="Q58" i="16"/>
  <c r="J96" i="5"/>
  <c r="J106" i="5"/>
  <c r="G215" i="5" l="1"/>
  <c r="C26" i="42667"/>
  <c r="G168" i="5"/>
  <c r="J84" i="5"/>
  <c r="E80" i="5"/>
  <c r="J171" i="5"/>
  <c r="L171" i="5" s="1"/>
  <c r="G169" i="5"/>
  <c r="I142" i="5"/>
  <c r="J142" i="5" s="1"/>
  <c r="L142" i="5" s="1"/>
  <c r="G107" i="5"/>
  <c r="G43" i="5"/>
  <c r="G58" i="5"/>
  <c r="G112" i="5"/>
  <c r="G160" i="5"/>
  <c r="E128" i="5"/>
  <c r="G128" i="5" s="1"/>
  <c r="E141" i="5"/>
  <c r="G176" i="5"/>
  <c r="G178" i="5"/>
  <c r="J109" i="5"/>
  <c r="L75" i="5"/>
  <c r="Q79" i="5"/>
  <c r="J184" i="5"/>
  <c r="L184" i="5" s="1"/>
  <c r="G45" i="5"/>
  <c r="G47" i="5" s="1"/>
  <c r="E83" i="5"/>
  <c r="G83" i="5" s="1"/>
  <c r="J27" i="5"/>
  <c r="J64" i="5" s="1"/>
  <c r="G20" i="5"/>
  <c r="G57" i="5" s="1"/>
  <c r="E160" i="5"/>
  <c r="E162" i="5" s="1"/>
  <c r="E64" i="5"/>
  <c r="E59" i="5"/>
  <c r="E60" i="5" s="1"/>
  <c r="G132" i="5"/>
  <c r="J78" i="5"/>
  <c r="J112" i="5" s="1"/>
  <c r="L112" i="5" s="1"/>
  <c r="G26" i="364"/>
  <c r="G20" i="42667"/>
  <c r="J83" i="5"/>
  <c r="J117" i="5" s="1"/>
  <c r="L84" i="5"/>
  <c r="J118" i="5"/>
  <c r="L118" i="5" s="1"/>
  <c r="L91" i="5"/>
  <c r="G37" i="16"/>
  <c r="G42" i="16" s="1"/>
  <c r="E114" i="5"/>
  <c r="G18" i="42667"/>
  <c r="G16" i="42667"/>
  <c r="G23" i="42667" s="1"/>
  <c r="E23" i="42667"/>
  <c r="E26" i="42667" s="1"/>
  <c r="F26" i="42667"/>
  <c r="E215" i="5" s="1"/>
  <c r="X15" i="42667"/>
  <c r="AB15" i="42667" s="1"/>
  <c r="X17" i="42667"/>
  <c r="AB17" i="42667" s="1"/>
  <c r="X19" i="42667"/>
  <c r="AB19" i="42667" s="1"/>
  <c r="X21" i="42667"/>
  <c r="X23" i="42667"/>
  <c r="X16" i="42667"/>
  <c r="AB16" i="42667" s="1"/>
  <c r="X18" i="42667"/>
  <c r="AB18" i="42667" s="1"/>
  <c r="X20" i="42667"/>
  <c r="AB20" i="42667" s="1"/>
  <c r="X22" i="42667"/>
  <c r="AB22" i="42667" s="1"/>
  <c r="L96" i="5"/>
  <c r="Q91" i="5"/>
  <c r="I97" i="5"/>
  <c r="Q72" i="5"/>
  <c r="J52" i="16"/>
  <c r="L52" i="16" s="1"/>
  <c r="Q52" i="16"/>
  <c r="I72" i="16"/>
  <c r="Q72" i="16" s="1"/>
  <c r="Q78" i="16"/>
  <c r="J78" i="16"/>
  <c r="G104" i="16"/>
  <c r="G64" i="16"/>
  <c r="G66" i="16" s="1"/>
  <c r="L63" i="16"/>
  <c r="L104" i="16" s="1"/>
  <c r="J90" i="16"/>
  <c r="L71" i="16"/>
  <c r="L29" i="16"/>
  <c r="H7" i="42674"/>
  <c r="L56" i="42678"/>
  <c r="C18" i="42681"/>
  <c r="F10" i="42681"/>
  <c r="G14" i="42681"/>
  <c r="J110" i="42678"/>
  <c r="L110" i="42678" s="1"/>
  <c r="I79" i="42679"/>
  <c r="K79" i="42679" s="1"/>
  <c r="J164" i="42678"/>
  <c r="L164" i="42678" s="1"/>
  <c r="J156" i="42678"/>
  <c r="L156" i="42678" s="1"/>
  <c r="J152" i="42678"/>
  <c r="L152" i="42678" s="1"/>
  <c r="J148" i="42678"/>
  <c r="L148" i="42678" s="1"/>
  <c r="J146" i="42678"/>
  <c r="L146" i="42678" s="1"/>
  <c r="J151" i="42678"/>
  <c r="J147" i="42678"/>
  <c r="L147" i="42678" s="1"/>
  <c r="J29" i="42678"/>
  <c r="J31" i="42678"/>
  <c r="L31" i="42678" s="1"/>
  <c r="J58" i="42678"/>
  <c r="L58" i="42678" s="1"/>
  <c r="J47" i="42678"/>
  <c r="J51" i="42678"/>
  <c r="J75" i="42678"/>
  <c r="J77" i="42678"/>
  <c r="L77" i="42678" s="1"/>
  <c r="J91" i="42678"/>
  <c r="J112" i="42678"/>
  <c r="J118" i="42678"/>
  <c r="J134" i="42678"/>
  <c r="L134" i="42678" s="1"/>
  <c r="J136" i="42678"/>
  <c r="L136" i="42678" s="1"/>
  <c r="I7" i="42679"/>
  <c r="K7" i="42679" s="1"/>
  <c r="I9" i="42679"/>
  <c r="K9" i="42679" s="1"/>
  <c r="I15" i="42679"/>
  <c r="K15" i="42679" s="1"/>
  <c r="I21" i="42679"/>
  <c r="K21" i="42679" s="1"/>
  <c r="I23" i="42679"/>
  <c r="K23" i="42679" s="1"/>
  <c r="I25" i="42679"/>
  <c r="K25" i="42679" s="1"/>
  <c r="I27" i="42679"/>
  <c r="K27" i="42679" s="1"/>
  <c r="I29" i="42679"/>
  <c r="K29" i="42679" s="1"/>
  <c r="I31" i="42679"/>
  <c r="K31" i="42679" s="1"/>
  <c r="I33" i="42679"/>
  <c r="K33" i="42679" s="1"/>
  <c r="I35" i="42679"/>
  <c r="K35" i="42679" s="1"/>
  <c r="I41" i="42679"/>
  <c r="K41" i="42679" s="1"/>
  <c r="I43" i="42679"/>
  <c r="K43" i="42679" s="1"/>
  <c r="I69" i="42679"/>
  <c r="K69" i="42679" s="1"/>
  <c r="I71" i="42679"/>
  <c r="K71" i="42679" s="1"/>
  <c r="I83" i="42679"/>
  <c r="K83" i="42679" s="1"/>
  <c r="I87" i="42679"/>
  <c r="K87" i="42679" s="1"/>
  <c r="I89" i="42679"/>
  <c r="K89" i="42679" s="1"/>
  <c r="I116" i="42679"/>
  <c r="K116" i="42679" s="1"/>
  <c r="I137" i="42679"/>
  <c r="K137" i="42679" s="1"/>
  <c r="J26" i="42678"/>
  <c r="L26" i="42678" s="1"/>
  <c r="J30" i="42678"/>
  <c r="L30" i="42678" s="1"/>
  <c r="J34" i="42678"/>
  <c r="J60" i="42678"/>
  <c r="L60" i="42678" s="1"/>
  <c r="J121" i="42678"/>
  <c r="L121" i="42678" s="1"/>
  <c r="I8" i="42679"/>
  <c r="K8" i="42679" s="1"/>
  <c r="I20" i="42679"/>
  <c r="K20" i="42679" s="1"/>
  <c r="I24" i="42679"/>
  <c r="K24" i="42679" s="1"/>
  <c r="I26" i="42679"/>
  <c r="K26" i="42679" s="1"/>
  <c r="I28" i="42679"/>
  <c r="K28" i="42679" s="1"/>
  <c r="I30" i="42679"/>
  <c r="K30" i="42679" s="1"/>
  <c r="I32" i="42679"/>
  <c r="K32" i="42679" s="1"/>
  <c r="I34" i="42679"/>
  <c r="K34" i="42679" s="1"/>
  <c r="I36" i="42679"/>
  <c r="K36" i="42679" s="1"/>
  <c r="I70" i="42679"/>
  <c r="K70" i="42679" s="1"/>
  <c r="I72" i="42679"/>
  <c r="K72" i="42679" s="1"/>
  <c r="I76" i="42679"/>
  <c r="K76" i="42679" s="1"/>
  <c r="I78" i="42679"/>
  <c r="K78" i="42679" s="1"/>
  <c r="I80" i="42679"/>
  <c r="K80" i="42679" s="1"/>
  <c r="I86" i="42679"/>
  <c r="K86" i="42679" s="1"/>
  <c r="I88" i="42679"/>
  <c r="K88" i="42679" s="1"/>
  <c r="I104" i="42679"/>
  <c r="K104" i="42679" s="1"/>
  <c r="I124" i="42679"/>
  <c r="K124" i="42679" s="1"/>
  <c r="I130" i="42679"/>
  <c r="K130" i="42679" s="1"/>
  <c r="I134" i="42679"/>
  <c r="K134" i="42679" s="1"/>
  <c r="I138" i="42679"/>
  <c r="K138" i="42679" s="1"/>
  <c r="I135" i="42679"/>
  <c r="K135" i="42679" s="1"/>
  <c r="K9" i="42678"/>
  <c r="L9" i="42678" s="1"/>
  <c r="K39" i="42678"/>
  <c r="L39" i="42678" s="1"/>
  <c r="K67" i="42678"/>
  <c r="L67" i="42678" s="1"/>
  <c r="K163" i="42678"/>
  <c r="L163" i="42678" s="1"/>
  <c r="K49" i="42678"/>
  <c r="L49" i="42678" s="1"/>
  <c r="K65" i="42678"/>
  <c r="L65" i="42678" s="1"/>
  <c r="K89" i="42678"/>
  <c r="L89" i="42678" s="1"/>
  <c r="K104" i="42678"/>
  <c r="L104" i="42678" s="1"/>
  <c r="K12" i="42678"/>
  <c r="L12" i="42678" s="1"/>
  <c r="K32" i="42678"/>
  <c r="L32" i="42678" s="1"/>
  <c r="K40" i="42678"/>
  <c r="L40" i="42678" s="1"/>
  <c r="K44" i="42678"/>
  <c r="L44" i="42678" s="1"/>
  <c r="K153" i="42678"/>
  <c r="L153" i="42678" s="1"/>
  <c r="K157" i="42678"/>
  <c r="L157" i="42678" s="1"/>
  <c r="J84" i="42679"/>
  <c r="K84" i="42679" s="1"/>
  <c r="J170" i="42678"/>
  <c r="L170" i="42678" s="1"/>
  <c r="J169" i="42678"/>
  <c r="L169" i="42678" s="1"/>
  <c r="J168" i="42678"/>
  <c r="L168" i="42678" s="1"/>
  <c r="J167" i="42678"/>
  <c r="L167" i="42678" s="1"/>
  <c r="J154" i="42678"/>
  <c r="L154" i="42678" s="1"/>
  <c r="J150" i="42678"/>
  <c r="L150" i="42678" s="1"/>
  <c r="J159" i="42678"/>
  <c r="L159" i="42678" s="1"/>
  <c r="J149" i="42678"/>
  <c r="J141" i="42678"/>
  <c r="J17" i="42678"/>
  <c r="L17" i="42678" s="1"/>
  <c r="J35" i="42678"/>
  <c r="L35" i="42678" s="1"/>
  <c r="J54" i="42678"/>
  <c r="L54" i="42678" s="1"/>
  <c r="J66" i="42678"/>
  <c r="L66" i="42678" s="1"/>
  <c r="J70" i="42678"/>
  <c r="L70" i="42678" s="1"/>
  <c r="J90" i="42678"/>
  <c r="L90" i="42678" s="1"/>
  <c r="J94" i="42678"/>
  <c r="L94" i="42678" s="1"/>
  <c r="J115" i="42678"/>
  <c r="L115" i="42678" s="1"/>
  <c r="J123" i="42678"/>
  <c r="L123" i="42678" s="1"/>
  <c r="J131" i="42678"/>
  <c r="L131" i="42678" s="1"/>
  <c r="J53" i="42678"/>
  <c r="L53" i="42678" s="1"/>
  <c r="J57" i="42678"/>
  <c r="L57" i="42678" s="1"/>
  <c r="J59" i="42678"/>
  <c r="L59" i="42678" s="1"/>
  <c r="J61" i="42678"/>
  <c r="L61" i="42678" s="1"/>
  <c r="J81" i="42678"/>
  <c r="L81" i="42678" s="1"/>
  <c r="J85" i="42678"/>
  <c r="L85" i="42678" s="1"/>
  <c r="J106" i="42678"/>
  <c r="J124" i="42678"/>
  <c r="L124" i="42678" s="1"/>
  <c r="J132" i="42678"/>
  <c r="J140" i="42678"/>
  <c r="L140" i="42678" s="1"/>
  <c r="J10" i="42678"/>
  <c r="J14" i="42678"/>
  <c r="L14" i="42678" s="1"/>
  <c r="J18" i="42678"/>
  <c r="L18" i="42678" s="1"/>
  <c r="J36" i="42678"/>
  <c r="L36" i="42678" s="1"/>
  <c r="J38" i="42678"/>
  <c r="J80" i="42678"/>
  <c r="L80" i="42678" s="1"/>
  <c r="J92" i="42678"/>
  <c r="L92" i="42678" s="1"/>
  <c r="J100" i="42678"/>
  <c r="L100" i="42678" s="1"/>
  <c r="J117" i="42678"/>
  <c r="L117" i="42678" s="1"/>
  <c r="J129" i="42678"/>
  <c r="L129" i="42678" s="1"/>
  <c r="I44" i="42679"/>
  <c r="K44" i="42679" s="1"/>
  <c r="K102" i="42678"/>
  <c r="L102" i="42678" s="1"/>
  <c r="K45" i="42678"/>
  <c r="L45" i="42678" s="1"/>
  <c r="K101" i="42678"/>
  <c r="L101" i="42678" s="1"/>
  <c r="K5" i="42678"/>
  <c r="L5" i="42678" s="1"/>
  <c r="K155" i="42678"/>
  <c r="L155" i="42678" s="1"/>
  <c r="K63" i="42678"/>
  <c r="L63" i="42678" s="1"/>
  <c r="K122" i="42678"/>
  <c r="L122" i="42678" s="1"/>
  <c r="K161" i="42678"/>
  <c r="L161" i="42678" s="1"/>
  <c r="K171" i="42678"/>
  <c r="L171" i="42678" s="1"/>
  <c r="J19" i="42678"/>
  <c r="J86" i="42678"/>
  <c r="J116" i="42678"/>
  <c r="L141" i="42678"/>
  <c r="L149" i="42678"/>
  <c r="K72" i="42678"/>
  <c r="L72" i="42678" s="1"/>
  <c r="K84" i="42678"/>
  <c r="L84" i="42678" s="1"/>
  <c r="K105" i="42678"/>
  <c r="L105" i="42678" s="1"/>
  <c r="K109" i="42678"/>
  <c r="L109" i="42678" s="1"/>
  <c r="K133" i="42678"/>
  <c r="L133" i="42678" s="1"/>
  <c r="K137" i="42678"/>
  <c r="L137" i="42678" s="1"/>
  <c r="I51" i="42679"/>
  <c r="K51" i="42679" s="1"/>
  <c r="I91" i="42679"/>
  <c r="K91" i="42679" s="1"/>
  <c r="I98" i="42679"/>
  <c r="K98" i="42679" s="1"/>
  <c r="I107" i="42679"/>
  <c r="K107" i="42679" s="1"/>
  <c r="I114" i="42679"/>
  <c r="K114" i="42679" s="1"/>
  <c r="I105" i="42679"/>
  <c r="K105" i="42679" s="1"/>
  <c r="I129" i="42679"/>
  <c r="K129" i="42679" s="1"/>
  <c r="L116" i="42678"/>
  <c r="L132" i="42678"/>
  <c r="L29" i="42678"/>
  <c r="L51" i="42678"/>
  <c r="L75" i="42678"/>
  <c r="L91" i="42678"/>
  <c r="L118" i="42678"/>
  <c r="C21" i="42680"/>
  <c r="B54" i="42677"/>
  <c r="G12" i="42681"/>
  <c r="H12" i="42681" s="1"/>
  <c r="L151" i="42678"/>
  <c r="L112" i="42678"/>
  <c r="L10" i="42678"/>
  <c r="L34" i="42678"/>
  <c r="L38" i="42678"/>
  <c r="L47" i="42678"/>
  <c r="L106" i="42678"/>
  <c r="J13" i="42678"/>
  <c r="L13" i="42678" s="1"/>
  <c r="J93" i="42678"/>
  <c r="L93" i="42678" s="1"/>
  <c r="I13" i="42679"/>
  <c r="K13" i="42679" s="1"/>
  <c r="I57" i="42679"/>
  <c r="K57" i="42679" s="1"/>
  <c r="I59" i="42679"/>
  <c r="K59" i="42679" s="1"/>
  <c r="I73" i="42679"/>
  <c r="K73" i="42679" s="1"/>
  <c r="I81" i="42679"/>
  <c r="K81" i="42679" s="1"/>
  <c r="I6" i="42679"/>
  <c r="K6" i="42679" s="1"/>
  <c r="I48" i="42679"/>
  <c r="K48" i="42679" s="1"/>
  <c r="I56" i="42679"/>
  <c r="K56" i="42679" s="1"/>
  <c r="I58" i="42679"/>
  <c r="K58" i="42679" s="1"/>
  <c r="I60" i="42679"/>
  <c r="K60" i="42679" s="1"/>
  <c r="J165" i="42678"/>
  <c r="J37" i="42678"/>
  <c r="L37" i="42678" s="1"/>
  <c r="J139" i="42678"/>
  <c r="L139" i="42678" s="1"/>
  <c r="J138" i="42678"/>
  <c r="L138" i="42678" s="1"/>
  <c r="I5" i="42679"/>
  <c r="K5" i="42679" s="1"/>
  <c r="I11" i="42679"/>
  <c r="K11" i="42679" s="1"/>
  <c r="I17" i="42679"/>
  <c r="K17" i="42679" s="1"/>
  <c r="I19" i="42679"/>
  <c r="K19" i="42679" s="1"/>
  <c r="I37" i="42679"/>
  <c r="K37" i="42679" s="1"/>
  <c r="I39" i="42679"/>
  <c r="K39" i="42679" s="1"/>
  <c r="I52" i="42679"/>
  <c r="K52" i="42679" s="1"/>
  <c r="I61" i="42679"/>
  <c r="K61" i="42679" s="1"/>
  <c r="I63" i="42679"/>
  <c r="K63" i="42679" s="1"/>
  <c r="I65" i="42679"/>
  <c r="K65" i="42679" s="1"/>
  <c r="I67" i="42679"/>
  <c r="K67" i="42679" s="1"/>
  <c r="I75" i="42679"/>
  <c r="K75" i="42679" s="1"/>
  <c r="I77" i="42679"/>
  <c r="K77" i="42679" s="1"/>
  <c r="I92" i="42679"/>
  <c r="K92" i="42679" s="1"/>
  <c r="I100" i="42679"/>
  <c r="K100" i="42679" s="1"/>
  <c r="I121" i="42679"/>
  <c r="K121" i="42679" s="1"/>
  <c r="J8" i="42678"/>
  <c r="L8" i="42678" s="1"/>
  <c r="J24" i="42678"/>
  <c r="L24" i="42678" s="1"/>
  <c r="J88" i="42678"/>
  <c r="L88" i="42678" s="1"/>
  <c r="I10" i="42679"/>
  <c r="K10" i="42679" s="1"/>
  <c r="I12" i="42679"/>
  <c r="K12" i="42679" s="1"/>
  <c r="I14" i="42679"/>
  <c r="K14" i="42679" s="1"/>
  <c r="I16" i="42679"/>
  <c r="K16" i="42679" s="1"/>
  <c r="I18" i="42679"/>
  <c r="K18" i="42679" s="1"/>
  <c r="I22" i="42679"/>
  <c r="K22" i="42679" s="1"/>
  <c r="I38" i="42679"/>
  <c r="K38" i="42679" s="1"/>
  <c r="I40" i="42679"/>
  <c r="K40" i="42679" s="1"/>
  <c r="I62" i="42679"/>
  <c r="K62" i="42679" s="1"/>
  <c r="I64" i="42679"/>
  <c r="K64" i="42679" s="1"/>
  <c r="I66" i="42679"/>
  <c r="K66" i="42679" s="1"/>
  <c r="I68" i="42679"/>
  <c r="K68" i="42679" s="1"/>
  <c r="I74" i="42679"/>
  <c r="K74" i="42679" s="1"/>
  <c r="I82" i="42679"/>
  <c r="K82" i="42679" s="1"/>
  <c r="I96" i="42679"/>
  <c r="K96" i="42679" s="1"/>
  <c r="I112" i="42679"/>
  <c r="K112" i="42679" s="1"/>
  <c r="I120" i="42679"/>
  <c r="K120" i="42679" s="1"/>
  <c r="I122" i="42679"/>
  <c r="K122" i="42679" s="1"/>
  <c r="I126" i="42679"/>
  <c r="K126" i="42679" s="1"/>
  <c r="I128" i="42679"/>
  <c r="K128" i="42679" s="1"/>
  <c r="I136" i="42679"/>
  <c r="K136" i="42679" s="1"/>
  <c r="I140" i="42679"/>
  <c r="K140" i="42679" s="1"/>
  <c r="I108" i="42679"/>
  <c r="K108" i="42679" s="1"/>
  <c r="K7" i="42678"/>
  <c r="L7" i="42678" s="1"/>
  <c r="K126" i="42678"/>
  <c r="L126" i="42678" s="1"/>
  <c r="J101" i="42679"/>
  <c r="K101" i="42679" s="1"/>
  <c r="J113" i="42679"/>
  <c r="K113" i="42679" s="1"/>
  <c r="J162" i="42678"/>
  <c r="L162" i="42678" s="1"/>
  <c r="J160" i="42678"/>
  <c r="L160" i="42678" s="1"/>
  <c r="J158" i="42678"/>
  <c r="L158" i="42678" s="1"/>
  <c r="J144" i="42678"/>
  <c r="L144" i="42678" s="1"/>
  <c r="J142" i="42678"/>
  <c r="L142" i="42678" s="1"/>
  <c r="J145" i="42678"/>
  <c r="J11" i="42678"/>
  <c r="L11" i="42678" s="1"/>
  <c r="J15" i="42678"/>
  <c r="L15" i="42678" s="1"/>
  <c r="J33" i="42678"/>
  <c r="L33" i="42678" s="1"/>
  <c r="J41" i="42678"/>
  <c r="L41" i="42678" s="1"/>
  <c r="J43" i="42678"/>
  <c r="L43" i="42678" s="1"/>
  <c r="J46" i="42678"/>
  <c r="L46" i="42678" s="1"/>
  <c r="J74" i="42678"/>
  <c r="L74" i="42678" s="1"/>
  <c r="J78" i="42678"/>
  <c r="L78" i="42678" s="1"/>
  <c r="J82" i="42678"/>
  <c r="L82" i="42678" s="1"/>
  <c r="J111" i="42678"/>
  <c r="L111" i="42678" s="1"/>
  <c r="J127" i="42678"/>
  <c r="L127" i="42678" s="1"/>
  <c r="J55" i="42678"/>
  <c r="L55" i="42678" s="1"/>
  <c r="J69" i="42678"/>
  <c r="L69" i="42678" s="1"/>
  <c r="J71" i="42678"/>
  <c r="L71" i="42678" s="1"/>
  <c r="J79" i="42678"/>
  <c r="L79" i="42678" s="1"/>
  <c r="J83" i="42678"/>
  <c r="L83" i="42678" s="1"/>
  <c r="J87" i="42678"/>
  <c r="L87" i="42678" s="1"/>
  <c r="J99" i="42678"/>
  <c r="L99" i="42678" s="1"/>
  <c r="J108" i="42678"/>
  <c r="L108" i="42678" s="1"/>
  <c r="J114" i="42678"/>
  <c r="L114" i="42678" s="1"/>
  <c r="J120" i="42678"/>
  <c r="L120" i="42678" s="1"/>
  <c r="J128" i="42678"/>
  <c r="L128" i="42678" s="1"/>
  <c r="J130" i="42678"/>
  <c r="L130" i="42678" s="1"/>
  <c r="J173" i="42678"/>
  <c r="L173" i="42678" s="1"/>
  <c r="J175" i="42678"/>
  <c r="L175" i="42678" s="1"/>
  <c r="J177" i="42678"/>
  <c r="L177" i="42678" s="1"/>
  <c r="J6" i="42678"/>
  <c r="L6" i="42678" s="1"/>
  <c r="J20" i="42678"/>
  <c r="L20" i="42678" s="1"/>
  <c r="J22" i="42678"/>
  <c r="L22" i="42678" s="1"/>
  <c r="J42" i="42678"/>
  <c r="L42" i="42678" s="1"/>
  <c r="J48" i="42678"/>
  <c r="L48" i="42678" s="1"/>
  <c r="J52" i="42678"/>
  <c r="L52" i="42678" s="1"/>
  <c r="J64" i="42678"/>
  <c r="L64" i="42678" s="1"/>
  <c r="J68" i="42678"/>
  <c r="L68" i="42678" s="1"/>
  <c r="J76" i="42678"/>
  <c r="L76" i="42678" s="1"/>
  <c r="J96" i="42678"/>
  <c r="L96" i="42678" s="1"/>
  <c r="J113" i="42678"/>
  <c r="L113" i="42678" s="1"/>
  <c r="J125" i="42678"/>
  <c r="L125" i="42678" s="1"/>
  <c r="C15" i="42680" s="1"/>
  <c r="J172" i="42678"/>
  <c r="L172" i="42678" s="1"/>
  <c r="J174" i="42678"/>
  <c r="L174" i="42678" s="1"/>
  <c r="J176" i="42678"/>
  <c r="L176" i="42678" s="1"/>
  <c r="I42" i="42679"/>
  <c r="K42" i="42679" s="1"/>
  <c r="I132" i="42679"/>
  <c r="K132" i="42679" s="1"/>
  <c r="J166" i="42678"/>
  <c r="L166" i="42678" s="1"/>
  <c r="J143" i="42678"/>
  <c r="L143" i="42678" s="1"/>
  <c r="C14" i="42680" s="1"/>
  <c r="J21" i="42678"/>
  <c r="L21" i="42678" s="1"/>
  <c r="J25" i="42678"/>
  <c r="L25" i="42678" s="1"/>
  <c r="J27" i="42678"/>
  <c r="L27" i="42678" s="1"/>
  <c r="J119" i="42678"/>
  <c r="L119" i="42678" s="1"/>
  <c r="J73" i="42678"/>
  <c r="L73" i="42678" s="1"/>
  <c r="J95" i="42678"/>
  <c r="L95" i="42678" s="1"/>
  <c r="J16" i="42678"/>
  <c r="L16" i="42678" s="1"/>
  <c r="J28" i="42678"/>
  <c r="L28" i="42678" s="1"/>
  <c r="L145" i="42678"/>
  <c r="L165" i="42678"/>
  <c r="K50" i="42678"/>
  <c r="L50" i="42678" s="1"/>
  <c r="K62" i="42678"/>
  <c r="L62" i="42678" s="1"/>
  <c r="L86" i="42678"/>
  <c r="K98" i="42678"/>
  <c r="L98" i="42678" s="1"/>
  <c r="K103" i="42678"/>
  <c r="L103" i="42678" s="1"/>
  <c r="K107" i="42678"/>
  <c r="L107" i="42678" s="1"/>
  <c r="K135" i="42678"/>
  <c r="L135" i="42678" s="1"/>
  <c r="I50" i="42679"/>
  <c r="K50" i="42679" s="1"/>
  <c r="J85" i="42679"/>
  <c r="K85" i="42679" s="1"/>
  <c r="I99" i="42679"/>
  <c r="K99" i="42679" s="1"/>
  <c r="I106" i="42679"/>
  <c r="K106" i="42679" s="1"/>
  <c r="I115" i="42679"/>
  <c r="K115" i="42679" s="1"/>
  <c r="I97" i="42679"/>
  <c r="K97" i="42679" s="1"/>
  <c r="I117" i="42679"/>
  <c r="K117" i="42679" s="1"/>
  <c r="I125" i="42679"/>
  <c r="K125" i="42679" s="1"/>
  <c r="I133" i="42679"/>
  <c r="K133" i="42679" s="1"/>
  <c r="L19" i="42678"/>
  <c r="H8" i="42674"/>
  <c r="G16" i="42674"/>
  <c r="F16" i="42674"/>
  <c r="F68" i="42670"/>
  <c r="G23" i="5"/>
  <c r="G199" i="5" s="1"/>
  <c r="G53" i="5"/>
  <c r="G26" i="5"/>
  <c r="G28" i="5" s="1"/>
  <c r="E63" i="5"/>
  <c r="J26" i="5"/>
  <c r="G64" i="5"/>
  <c r="L27" i="5"/>
  <c r="L77" i="16"/>
  <c r="L96" i="16" s="1"/>
  <c r="J96" i="16"/>
  <c r="L79" i="5"/>
  <c r="L51" i="16"/>
  <c r="L106" i="5"/>
  <c r="G45" i="364"/>
  <c r="G46" i="364" s="1"/>
  <c r="J38" i="364"/>
  <c r="J18" i="16"/>
  <c r="G174" i="5"/>
  <c r="G177" i="5"/>
  <c r="J54" i="5"/>
  <c r="G51" i="5"/>
  <c r="G60" i="5" s="1"/>
  <c r="L72" i="5"/>
  <c r="J72" i="16"/>
  <c r="J85" i="5"/>
  <c r="L83" i="5"/>
  <c r="G138" i="5"/>
  <c r="G170" i="5"/>
  <c r="G63" i="5"/>
  <c r="G65" i="5"/>
  <c r="L65" i="5" s="1"/>
  <c r="G117" i="5"/>
  <c r="G120" i="5" s="1"/>
  <c r="G85" i="5"/>
  <c r="L109" i="5"/>
  <c r="L62" i="16"/>
  <c r="J103" i="16"/>
  <c r="J32" i="42667"/>
  <c r="G30" i="364"/>
  <c r="H30" i="4128"/>
  <c r="J100" i="5"/>
  <c r="L54" i="5"/>
  <c r="E79" i="16"/>
  <c r="E74" i="5" l="1"/>
  <c r="J74" i="5"/>
  <c r="J108" i="5" s="1"/>
  <c r="E205" i="5"/>
  <c r="E211" i="5"/>
  <c r="E214" i="5" s="1"/>
  <c r="E216" i="5" s="1"/>
  <c r="J162" i="5"/>
  <c r="E185" i="5"/>
  <c r="G162" i="5"/>
  <c r="J141" i="5"/>
  <c r="G141" i="5"/>
  <c r="L45" i="5"/>
  <c r="L85" i="5"/>
  <c r="L64" i="5"/>
  <c r="L78" i="5"/>
  <c r="AE22" i="42667"/>
  <c r="AE18" i="42667"/>
  <c r="AE19" i="42667"/>
  <c r="AE15" i="42667"/>
  <c r="AB23" i="42667"/>
  <c r="AE20" i="42667"/>
  <c r="AC20" i="42667"/>
  <c r="AE16" i="42667"/>
  <c r="AC16" i="42667"/>
  <c r="AE17" i="42667"/>
  <c r="AC17" i="42667"/>
  <c r="E117" i="5"/>
  <c r="E119" i="5" s="1"/>
  <c r="E206" i="5"/>
  <c r="J97" i="5"/>
  <c r="Q97" i="5"/>
  <c r="L90" i="16"/>
  <c r="L78" i="16"/>
  <c r="L97" i="16" s="1"/>
  <c r="J97" i="16"/>
  <c r="G17" i="42674"/>
  <c r="M15" i="42674" s="1"/>
  <c r="M30" i="42674" s="1"/>
  <c r="F17" i="42674"/>
  <c r="L15" i="42674" s="1"/>
  <c r="L30" i="42674" s="1"/>
  <c r="C12" i="42680"/>
  <c r="C17" i="42680"/>
  <c r="C13" i="42680"/>
  <c r="C16" i="42680"/>
  <c r="K141" i="42679"/>
  <c r="C9" i="42680" s="1"/>
  <c r="C10" i="42680"/>
  <c r="C11" i="42680"/>
  <c r="L178" i="42678"/>
  <c r="H15" i="42681"/>
  <c r="H16" i="42681"/>
  <c r="F18" i="42674"/>
  <c r="F19" i="42674" s="1"/>
  <c r="L14" i="42674"/>
  <c r="G18" i="42674"/>
  <c r="G19" i="42674" s="1"/>
  <c r="M14" i="42674"/>
  <c r="F78" i="42670"/>
  <c r="F79" i="42670" s="1"/>
  <c r="G47" i="42670" s="1"/>
  <c r="F70" i="42670"/>
  <c r="L38" i="364"/>
  <c r="J63" i="5"/>
  <c r="J66" i="5" s="1"/>
  <c r="L26" i="5"/>
  <c r="L28" i="5" s="1"/>
  <c r="M28" i="5" s="1"/>
  <c r="J28" i="5"/>
  <c r="J193" i="5" s="1"/>
  <c r="J40" i="16"/>
  <c r="J113" i="16"/>
  <c r="L18" i="16"/>
  <c r="J44" i="364"/>
  <c r="L44" i="364" s="1"/>
  <c r="L100" i="5"/>
  <c r="J119" i="5"/>
  <c r="L103" i="16"/>
  <c r="L64" i="16"/>
  <c r="G66" i="5"/>
  <c r="G68" i="5" s="1"/>
  <c r="G201" i="5"/>
  <c r="M85" i="5"/>
  <c r="E83" i="16"/>
  <c r="E80" i="16"/>
  <c r="G194" i="5"/>
  <c r="G30" i="5"/>
  <c r="G193" i="5"/>
  <c r="L117" i="5"/>
  <c r="G180" i="5"/>
  <c r="J194" i="5"/>
  <c r="L72" i="16"/>
  <c r="J91" i="16"/>
  <c r="G74" i="5" l="1"/>
  <c r="E108" i="5"/>
  <c r="G143" i="5"/>
  <c r="G183" i="5"/>
  <c r="G185" i="5"/>
  <c r="G164" i="5"/>
  <c r="J185" i="5"/>
  <c r="L185" i="5" s="1"/>
  <c r="L162" i="5"/>
  <c r="L63" i="5"/>
  <c r="L66" i="5" s="1"/>
  <c r="E208" i="5"/>
  <c r="E217" i="5" s="1"/>
  <c r="L141" i="5"/>
  <c r="J143" i="5"/>
  <c r="J183" i="5"/>
  <c r="AC15" i="42667"/>
  <c r="AE23" i="42667"/>
  <c r="AC21" i="42667"/>
  <c r="AC23" i="42667"/>
  <c r="AC19" i="42667"/>
  <c r="AC22" i="42667"/>
  <c r="AC18" i="42667"/>
  <c r="J113" i="5"/>
  <c r="L113" i="5" s="1"/>
  <c r="L97" i="5"/>
  <c r="H18" i="42681"/>
  <c r="C18" i="42680"/>
  <c r="D9" i="42680" s="1"/>
  <c r="D13" i="42680"/>
  <c r="D11" i="42680"/>
  <c r="D16" i="42680"/>
  <c r="D12" i="42680"/>
  <c r="M29" i="42674"/>
  <c r="M24" i="42674"/>
  <c r="M25" i="42674" s="1"/>
  <c r="L24" i="42674"/>
  <c r="L25" i="42674" s="1"/>
  <c r="L29" i="42674"/>
  <c r="G48" i="42670"/>
  <c r="G49" i="42670" s="1"/>
  <c r="G68" i="42670" s="1"/>
  <c r="G70" i="42670" s="1"/>
  <c r="M18" i="16"/>
  <c r="L40" i="16"/>
  <c r="M38" i="364"/>
  <c r="L113" i="16"/>
  <c r="L91" i="16"/>
  <c r="L194" i="5"/>
  <c r="G205" i="5"/>
  <c r="L193" i="5"/>
  <c r="G80" i="16"/>
  <c r="E99" i="16"/>
  <c r="L119" i="5"/>
  <c r="J120" i="5"/>
  <c r="L120" i="5"/>
  <c r="G83" i="16"/>
  <c r="J83" i="16"/>
  <c r="M66" i="5"/>
  <c r="M64" i="16"/>
  <c r="G108" i="5" l="1"/>
  <c r="G80" i="5"/>
  <c r="L74" i="5"/>
  <c r="G186" i="5"/>
  <c r="G188" i="5" s="1"/>
  <c r="L183" i="5"/>
  <c r="L186" i="5" s="1"/>
  <c r="J186" i="5"/>
  <c r="J195" i="5"/>
  <c r="L143" i="5"/>
  <c r="M143" i="5" s="1"/>
  <c r="G195" i="5"/>
  <c r="G145" i="5"/>
  <c r="D10" i="42680"/>
  <c r="D17" i="42680"/>
  <c r="C23" i="42680"/>
  <c r="C19" i="42680"/>
  <c r="D14" i="42680"/>
  <c r="D15" i="42680"/>
  <c r="L32" i="42674"/>
  <c r="N29" i="42674" s="1"/>
  <c r="M32" i="42674"/>
  <c r="O29" i="42674" s="1"/>
  <c r="M40" i="16"/>
  <c r="L83" i="16"/>
  <c r="L105" i="16" s="1"/>
  <c r="L106" i="16" s="1"/>
  <c r="J105" i="16"/>
  <c r="J106" i="16" s="1"/>
  <c r="J114" i="16"/>
  <c r="M120" i="5"/>
  <c r="G105" i="16"/>
  <c r="G106" i="16" s="1"/>
  <c r="G114" i="16"/>
  <c r="G99" i="16"/>
  <c r="G100" i="16" s="1"/>
  <c r="G108" i="16" s="1"/>
  <c r="G81" i="16"/>
  <c r="G200" i="5" l="1"/>
  <c r="G87" i="5"/>
  <c r="G114" i="5"/>
  <c r="G122" i="5" s="1"/>
  <c r="G211" i="5" s="1"/>
  <c r="G214" i="5" s="1"/>
  <c r="G216" i="5" s="1"/>
  <c r="L108" i="5"/>
  <c r="M186" i="5"/>
  <c r="G207" i="5"/>
  <c r="G196" i="5"/>
  <c r="L195" i="5"/>
  <c r="L196" i="5" s="1"/>
  <c r="J196" i="5"/>
  <c r="C31" i="42680"/>
  <c r="F15" i="42680" s="1"/>
  <c r="C27" i="42680"/>
  <c r="E17" i="42680" s="1"/>
  <c r="F10" i="42680"/>
  <c r="E10" i="42680"/>
  <c r="D18" i="42680"/>
  <c r="M33" i="42674"/>
  <c r="O31" i="42674"/>
  <c r="O30" i="42674"/>
  <c r="L33" i="42674"/>
  <c r="N30" i="42674"/>
  <c r="N31" i="42674"/>
  <c r="L114" i="16"/>
  <c r="L115" i="16" s="1"/>
  <c r="J115" i="16"/>
  <c r="M106" i="16"/>
  <c r="G85" i="16"/>
  <c r="G119" i="16"/>
  <c r="G120" i="16" s="1"/>
  <c r="G115" i="16"/>
  <c r="G206" i="5" l="1"/>
  <c r="G202" i="5"/>
  <c r="G208" i="5"/>
  <c r="G124" i="16"/>
  <c r="G125" i="16" s="1"/>
  <c r="G217" i="5" s="1"/>
  <c r="N32" i="42674"/>
  <c r="O32" i="42674"/>
  <c r="F17" i="42680"/>
  <c r="E12" i="42680"/>
  <c r="E16" i="42680"/>
  <c r="E9" i="42680"/>
  <c r="E11" i="42680"/>
  <c r="E13" i="42680"/>
  <c r="E14" i="42680"/>
  <c r="F9" i="42680"/>
  <c r="F11" i="42680"/>
  <c r="F13" i="42680"/>
  <c r="F12" i="42680"/>
  <c r="F16" i="42680"/>
  <c r="F14" i="42680"/>
  <c r="E15" i="42680"/>
  <c r="F18" i="42680" l="1"/>
  <c r="E18" i="42680"/>
  <c r="C34" i="42773" l="1"/>
  <c r="D34" i="42773" l="1"/>
  <c r="C35" i="42773"/>
  <c r="C36" i="42773" s="1"/>
  <c r="E34" i="42773" l="1"/>
  <c r="D35" i="42773"/>
  <c r="D36" i="42773" l="1"/>
  <c r="D40" i="42773"/>
  <c r="F34" i="42773"/>
  <c r="E35" i="42773"/>
  <c r="E40" i="42773" l="1"/>
  <c r="E36" i="42773"/>
  <c r="D42" i="42773"/>
  <c r="D38" i="42773"/>
  <c r="G34" i="42773"/>
  <c r="F35" i="42773"/>
  <c r="H34" i="42773" l="1"/>
  <c r="G35" i="42773"/>
  <c r="F36" i="42773"/>
  <c r="F40" i="42773"/>
  <c r="D43" i="42773"/>
  <c r="D60" i="42773"/>
  <c r="E42" i="42773"/>
  <c r="E38" i="42773"/>
  <c r="E43" i="42773" l="1"/>
  <c r="E60" i="42773"/>
  <c r="G40" i="42773"/>
  <c r="G36" i="42773"/>
  <c r="F42" i="42773"/>
  <c r="F38" i="42773"/>
  <c r="I34" i="42773"/>
  <c r="H35" i="42773"/>
  <c r="J34" i="42773" l="1"/>
  <c r="I35" i="42773"/>
  <c r="H40" i="42773"/>
  <c r="H36" i="42773"/>
  <c r="F60" i="42773"/>
  <c r="F43" i="42773"/>
  <c r="G42" i="42773"/>
  <c r="G38" i="42773"/>
  <c r="G43" i="42773" l="1"/>
  <c r="G60" i="42773"/>
  <c r="I36" i="42773"/>
  <c r="I40" i="42773"/>
  <c r="H42" i="42773"/>
  <c r="H38" i="42773"/>
  <c r="K34" i="42773"/>
  <c r="K35" i="42773" s="1"/>
  <c r="J35" i="42773"/>
  <c r="J36" i="42773" l="1"/>
  <c r="J40" i="42773"/>
  <c r="H43" i="42773"/>
  <c r="H60" i="42773"/>
  <c r="I42" i="42773"/>
  <c r="I38" i="42773"/>
  <c r="K40" i="42773"/>
  <c r="K36" i="42773"/>
  <c r="K42" i="42773" l="1"/>
  <c r="K38" i="42773"/>
  <c r="I43" i="42773"/>
  <c r="I60" i="42773"/>
  <c r="J42" i="42773"/>
  <c r="J38" i="42773"/>
  <c r="C40" i="42773"/>
  <c r="C38" i="42773" l="1"/>
  <c r="J43" i="42773"/>
  <c r="J60" i="42773"/>
  <c r="K43" i="42773"/>
  <c r="K60" i="42773"/>
  <c r="C42" i="42773"/>
  <c r="C60" i="42773" l="1"/>
  <c r="K61" i="42773" s="1"/>
  <c r="C43" i="42773"/>
  <c r="C61" i="42773" l="1"/>
  <c r="D61" i="42773"/>
  <c r="E61" i="42773"/>
  <c r="F61" i="42773"/>
  <c r="G61" i="42773"/>
  <c r="H61" i="42773"/>
  <c r="I61" i="42773"/>
  <c r="J61" i="42773"/>
  <c r="J52" i="42773" l="1"/>
  <c r="J54" i="42773" l="1"/>
  <c r="J56" i="42773" s="1"/>
  <c r="J58" i="42773" s="1"/>
  <c r="J62" i="42773"/>
  <c r="J63" i="42773" s="1"/>
  <c r="P22" i="42667" l="1"/>
  <c r="O22" i="42667"/>
  <c r="J28" i="42667" l="1"/>
  <c r="J29" i="42667" l="1"/>
  <c r="J30" i="42667"/>
  <c r="J31" i="42667"/>
  <c r="I17" i="42667" l="1"/>
  <c r="J17" i="42667" s="1"/>
  <c r="O51" i="16" s="1"/>
  <c r="I19" i="42667"/>
  <c r="J19" i="42667" s="1"/>
  <c r="O71" i="5" s="1"/>
  <c r="I21" i="42667"/>
  <c r="I20" i="42667"/>
  <c r="I22" i="42667"/>
  <c r="J22" i="42667" s="1"/>
  <c r="I16" i="42667"/>
  <c r="I15" i="42667"/>
  <c r="I18" i="42667"/>
  <c r="J18" i="42667" l="1"/>
  <c r="O13" i="5" s="1"/>
  <c r="O20" i="5"/>
  <c r="J16" i="42667"/>
  <c r="O14" i="16" s="1"/>
  <c r="O18" i="16"/>
  <c r="J20" i="42667"/>
  <c r="O125" i="5" s="1"/>
  <c r="O136" i="5"/>
  <c r="J15" i="42667"/>
  <c r="O18" i="364"/>
  <c r="I14" i="364" s="1"/>
  <c r="J21" i="42667"/>
  <c r="M27" i="4128" s="1"/>
  <c r="M32" i="4128"/>
  <c r="I29" i="4128" l="1"/>
  <c r="J29" i="4128" s="1"/>
  <c r="K29" i="4128" s="1"/>
  <c r="I19" i="4128"/>
  <c r="J19" i="4128" s="1"/>
  <c r="K19" i="4128" s="1"/>
  <c r="I28" i="4128"/>
  <c r="J28" i="4128" s="1"/>
  <c r="K28" i="4128" s="1"/>
  <c r="I27" i="4128"/>
  <c r="J27" i="4128" s="1"/>
  <c r="K27" i="4128" s="1"/>
  <c r="I24" i="4128"/>
  <c r="J24" i="4128" s="1"/>
  <c r="K24" i="4128" s="1"/>
  <c r="I21" i="4128"/>
  <c r="J21" i="4128" s="1"/>
  <c r="K21" i="4128" s="1"/>
  <c r="I22" i="4128"/>
  <c r="J22" i="4128" s="1"/>
  <c r="K22" i="4128" s="1"/>
  <c r="I16" i="4128"/>
  <c r="J16" i="4128" s="1"/>
  <c r="K16" i="4128" s="1"/>
  <c r="I26" i="4128"/>
  <c r="J26" i="4128" s="1"/>
  <c r="K26" i="4128" s="1"/>
  <c r="I20" i="4128"/>
  <c r="J20" i="4128" s="1"/>
  <c r="K20" i="4128" s="1"/>
  <c r="I23" i="4128"/>
  <c r="J23" i="4128" s="1"/>
  <c r="K23" i="4128" s="1"/>
  <c r="I18" i="4128"/>
  <c r="J18" i="4128" s="1"/>
  <c r="K18" i="4128" s="1"/>
  <c r="I17" i="4128"/>
  <c r="J17" i="4128" s="1"/>
  <c r="K17" i="4128" s="1"/>
  <c r="I25" i="4128"/>
  <c r="J25" i="4128" s="1"/>
  <c r="K25" i="4128" s="1"/>
  <c r="I14" i="4128"/>
  <c r="J14" i="4128" s="1"/>
  <c r="K14" i="4128" s="1"/>
  <c r="I15" i="4128"/>
  <c r="J15" i="4128" s="1"/>
  <c r="K15" i="4128" s="1"/>
  <c r="I13" i="4128"/>
  <c r="J13" i="4128" s="1"/>
  <c r="I15" i="364"/>
  <c r="O38" i="364"/>
  <c r="I34" i="364" s="1"/>
  <c r="I133" i="5"/>
  <c r="I135" i="5"/>
  <c r="I132" i="5"/>
  <c r="I128" i="5"/>
  <c r="I126" i="5"/>
  <c r="I137" i="5"/>
  <c r="I134" i="5"/>
  <c r="I136" i="5"/>
  <c r="I149" i="5"/>
  <c r="I127" i="5"/>
  <c r="I46" i="16"/>
  <c r="I24" i="16"/>
  <c r="I15" i="16"/>
  <c r="I14" i="16"/>
  <c r="I16" i="5"/>
  <c r="I21" i="5"/>
  <c r="I14" i="5"/>
  <c r="I20" i="5"/>
  <c r="I22" i="5"/>
  <c r="I34" i="5"/>
  <c r="O14" i="364"/>
  <c r="O34" i="364" s="1"/>
  <c r="J23" i="42667"/>
  <c r="J26" i="42667" s="1"/>
  <c r="J34" i="5" l="1"/>
  <c r="Q34" i="5"/>
  <c r="Q20" i="5"/>
  <c r="J20" i="5"/>
  <c r="I40" i="5"/>
  <c r="I41" i="5"/>
  <c r="Q21" i="5"/>
  <c r="J21" i="5"/>
  <c r="Q14" i="16"/>
  <c r="J14" i="16"/>
  <c r="J24" i="16"/>
  <c r="Q24" i="16"/>
  <c r="J127" i="5"/>
  <c r="L127" i="5" s="1"/>
  <c r="I15" i="5"/>
  <c r="I73" i="5"/>
  <c r="Q127" i="5"/>
  <c r="I150" i="5"/>
  <c r="I53" i="16"/>
  <c r="Q136" i="5"/>
  <c r="J136" i="5"/>
  <c r="L136" i="5" s="1"/>
  <c r="I158" i="5"/>
  <c r="I159" i="5"/>
  <c r="J137" i="5"/>
  <c r="L137" i="5" s="1"/>
  <c r="Q128" i="5"/>
  <c r="J128" i="5"/>
  <c r="I26" i="16"/>
  <c r="I80" i="16"/>
  <c r="J135" i="5"/>
  <c r="L135" i="5" s="1"/>
  <c r="Q135" i="5"/>
  <c r="I157" i="5"/>
  <c r="J34" i="364"/>
  <c r="Q34" i="364"/>
  <c r="I25" i="364"/>
  <c r="Q15" i="364"/>
  <c r="J15" i="364"/>
  <c r="L15" i="364" s="1"/>
  <c r="M15" i="364" s="1"/>
  <c r="J22" i="5"/>
  <c r="Q22" i="5"/>
  <c r="I42" i="5"/>
  <c r="J14" i="5"/>
  <c r="Q14" i="5"/>
  <c r="Q16" i="5"/>
  <c r="J16" i="5"/>
  <c r="Q15" i="16"/>
  <c r="I25" i="16"/>
  <c r="J15" i="16"/>
  <c r="Q46" i="16"/>
  <c r="J46" i="16"/>
  <c r="J47" i="16" s="1"/>
  <c r="L47" i="16" s="1"/>
  <c r="M47" i="16" s="1"/>
  <c r="J149" i="5"/>
  <c r="Q149" i="5"/>
  <c r="Q134" i="5"/>
  <c r="I156" i="5"/>
  <c r="J134" i="5"/>
  <c r="L134" i="5" s="1"/>
  <c r="Q126" i="5"/>
  <c r="J126" i="5"/>
  <c r="J132" i="5"/>
  <c r="L132" i="5" s="1"/>
  <c r="I154" i="5"/>
  <c r="Q132" i="5"/>
  <c r="Q133" i="5"/>
  <c r="I155" i="5"/>
  <c r="J133" i="5"/>
  <c r="L133" i="5" s="1"/>
  <c r="Q14" i="364"/>
  <c r="J14" i="364"/>
  <c r="I24" i="364"/>
  <c r="K13" i="4128"/>
  <c r="K30" i="4128" s="1"/>
  <c r="J30" i="4128"/>
  <c r="Q24" i="364" l="1"/>
  <c r="J24" i="364"/>
  <c r="K21" i="42667"/>
  <c r="M29" i="4128"/>
  <c r="L14" i="364"/>
  <c r="J16" i="364"/>
  <c r="Q154" i="5"/>
  <c r="J154" i="5"/>
  <c r="L126" i="5"/>
  <c r="J138" i="5"/>
  <c r="L149" i="5"/>
  <c r="J168" i="5"/>
  <c r="J25" i="16"/>
  <c r="L25" i="16" s="1"/>
  <c r="Q25" i="16"/>
  <c r="L16" i="5"/>
  <c r="J53" i="5"/>
  <c r="L53" i="5" s="1"/>
  <c r="J42" i="5"/>
  <c r="L42" i="5" s="1"/>
  <c r="Q42" i="5"/>
  <c r="L22" i="5"/>
  <c r="Q157" i="5"/>
  <c r="J157" i="5"/>
  <c r="J26" i="16"/>
  <c r="L26" i="16" s="1"/>
  <c r="Q26" i="16"/>
  <c r="J159" i="5"/>
  <c r="Q159" i="5"/>
  <c r="I73" i="16"/>
  <c r="Q53" i="16"/>
  <c r="J53" i="16"/>
  <c r="J15" i="5"/>
  <c r="Q15" i="5"/>
  <c r="I35" i="5"/>
  <c r="J35" i="16"/>
  <c r="L14" i="16"/>
  <c r="J16" i="16"/>
  <c r="L21" i="5"/>
  <c r="J41" i="5"/>
  <c r="L41" i="5" s="1"/>
  <c r="Q41" i="5"/>
  <c r="L20" i="5"/>
  <c r="Q155" i="5"/>
  <c r="J155" i="5"/>
  <c r="J156" i="5"/>
  <c r="Q156" i="5"/>
  <c r="L15" i="16"/>
  <c r="J36" i="16"/>
  <c r="L36" i="16" s="1"/>
  <c r="L14" i="5"/>
  <c r="J51" i="5"/>
  <c r="Q25" i="364"/>
  <c r="J25" i="364"/>
  <c r="L25" i="364" s="1"/>
  <c r="J40" i="364"/>
  <c r="L34" i="364"/>
  <c r="Q80" i="16"/>
  <c r="J80" i="16"/>
  <c r="J170" i="5"/>
  <c r="L170" i="5" s="1"/>
  <c r="L128" i="5"/>
  <c r="J158" i="5"/>
  <c r="Q158" i="5"/>
  <c r="Q150" i="5"/>
  <c r="J150" i="5"/>
  <c r="Q73" i="5"/>
  <c r="I92" i="5"/>
  <c r="J73" i="5"/>
  <c r="L24" i="16"/>
  <c r="L27" i="16" s="1"/>
  <c r="L31" i="16" s="1"/>
  <c r="J27" i="16"/>
  <c r="J31" i="16" s="1"/>
  <c r="J40" i="5"/>
  <c r="L40" i="5" s="1"/>
  <c r="Q40" i="5"/>
  <c r="L34" i="5"/>
  <c r="J92" i="5" l="1"/>
  <c r="J107" i="5" s="1"/>
  <c r="Q92" i="5"/>
  <c r="J169" i="5"/>
  <c r="L169" i="5" s="1"/>
  <c r="L150" i="5"/>
  <c r="J99" i="16"/>
  <c r="L80" i="16"/>
  <c r="L99" i="16" s="1"/>
  <c r="L40" i="364"/>
  <c r="M40" i="364" s="1"/>
  <c r="O36" i="364"/>
  <c r="M34" i="364"/>
  <c r="L51" i="5"/>
  <c r="J175" i="5"/>
  <c r="L175" i="5" s="1"/>
  <c r="L155" i="5"/>
  <c r="J58" i="5"/>
  <c r="L58" i="5" s="1"/>
  <c r="J20" i="16"/>
  <c r="J118" i="16"/>
  <c r="L35" i="16"/>
  <c r="L37" i="16" s="1"/>
  <c r="J37" i="16"/>
  <c r="J42" i="16" s="1"/>
  <c r="J59" i="16"/>
  <c r="L53" i="16"/>
  <c r="L59" i="16" s="1"/>
  <c r="Q73" i="16"/>
  <c r="J73" i="16"/>
  <c r="L159" i="5"/>
  <c r="J179" i="5"/>
  <c r="L179" i="5" s="1"/>
  <c r="J160" i="5"/>
  <c r="J164" i="5" s="1"/>
  <c r="L138" i="5"/>
  <c r="K20" i="42667"/>
  <c r="J145" i="5"/>
  <c r="J201" i="5"/>
  <c r="L154" i="5"/>
  <c r="J174" i="5"/>
  <c r="L174" i="5" s="1"/>
  <c r="J20" i="364"/>
  <c r="L24" i="364"/>
  <c r="L26" i="364" s="1"/>
  <c r="J26" i="364"/>
  <c r="J30" i="364" s="1"/>
  <c r="L73" i="5"/>
  <c r="L80" i="5" s="1"/>
  <c r="J80" i="5"/>
  <c r="J178" i="5"/>
  <c r="L178" i="5" s="1"/>
  <c r="L158" i="5"/>
  <c r="J176" i="5"/>
  <c r="L176" i="5" s="1"/>
  <c r="L156" i="5"/>
  <c r="J57" i="5"/>
  <c r="L57" i="5" s="1"/>
  <c r="L16" i="16"/>
  <c r="Q35" i="5"/>
  <c r="J35" i="5"/>
  <c r="J52" i="5" s="1"/>
  <c r="L52" i="5" s="1"/>
  <c r="J23" i="5"/>
  <c r="L15" i="5"/>
  <c r="L23" i="5" s="1"/>
  <c r="L157" i="5"/>
  <c r="J177" i="5"/>
  <c r="L177" i="5" s="1"/>
  <c r="J59" i="5"/>
  <c r="L59" i="5" s="1"/>
  <c r="L168" i="5"/>
  <c r="L160" i="5"/>
  <c r="L16" i="364"/>
  <c r="M14" i="364"/>
  <c r="N21" i="42667"/>
  <c r="M21" i="42667"/>
  <c r="L180" i="5" l="1"/>
  <c r="L30" i="5"/>
  <c r="M30" i="5" s="1"/>
  <c r="M23" i="5"/>
  <c r="J213" i="5"/>
  <c r="L213" i="5" s="1"/>
  <c r="M213" i="5" s="1"/>
  <c r="K52" i="42773"/>
  <c r="O16" i="364"/>
  <c r="M16" i="364"/>
  <c r="L20" i="364"/>
  <c r="M20" i="364" s="1"/>
  <c r="J180" i="5"/>
  <c r="J188" i="5" s="1"/>
  <c r="L35" i="5"/>
  <c r="L43" i="5" s="1"/>
  <c r="J43" i="5"/>
  <c r="J47" i="5" s="1"/>
  <c r="M16" i="16"/>
  <c r="L20" i="16"/>
  <c r="M20" i="16" s="1"/>
  <c r="O16" i="16"/>
  <c r="J87" i="5"/>
  <c r="J45" i="364"/>
  <c r="L212" i="5"/>
  <c r="M212" i="5" s="1"/>
  <c r="O127" i="5"/>
  <c r="M138" i="5"/>
  <c r="L145" i="5"/>
  <c r="M145" i="5" s="1"/>
  <c r="J81" i="16"/>
  <c r="J85" i="16" s="1"/>
  <c r="L73" i="16"/>
  <c r="J92" i="16"/>
  <c r="J100" i="16" s="1"/>
  <c r="J108" i="16" s="1"/>
  <c r="L66" i="16"/>
  <c r="M66" i="16" s="1"/>
  <c r="M59" i="16"/>
  <c r="K16" i="42667"/>
  <c r="L118" i="16"/>
  <c r="J123" i="16"/>
  <c r="J60" i="5"/>
  <c r="J68" i="5" s="1"/>
  <c r="Q21" i="42667"/>
  <c r="O21" i="42667"/>
  <c r="P21" i="42667"/>
  <c r="M160" i="5"/>
  <c r="L164" i="5"/>
  <c r="M164" i="5" s="1"/>
  <c r="M180" i="5"/>
  <c r="L188" i="5"/>
  <c r="M188" i="5" s="1"/>
  <c r="J30" i="5"/>
  <c r="J199" i="5"/>
  <c r="J114" i="5"/>
  <c r="L107" i="5"/>
  <c r="L114" i="5" s="1"/>
  <c r="M80" i="5"/>
  <c r="L87" i="5"/>
  <c r="M87" i="5" s="1"/>
  <c r="L30" i="364"/>
  <c r="M30" i="364" s="1"/>
  <c r="M26" i="364"/>
  <c r="J207" i="5"/>
  <c r="L207" i="5" s="1"/>
  <c r="L201" i="5"/>
  <c r="M20" i="42667"/>
  <c r="N20" i="42667"/>
  <c r="J66" i="16"/>
  <c r="J119" i="16"/>
  <c r="M37" i="16"/>
  <c r="L42" i="16"/>
  <c r="M42" i="16" s="1"/>
  <c r="L60" i="5"/>
  <c r="J98" i="5"/>
  <c r="J102" i="5" s="1"/>
  <c r="L92" i="5"/>
  <c r="L98" i="5" s="1"/>
  <c r="L102" i="5" s="1"/>
  <c r="K18" i="42667" l="1"/>
  <c r="L119" i="16"/>
  <c r="M119" i="16" s="1"/>
  <c r="J124" i="16"/>
  <c r="L124" i="16" s="1"/>
  <c r="M124" i="16" s="1"/>
  <c r="K17" i="42667"/>
  <c r="O73" i="5"/>
  <c r="J122" i="5"/>
  <c r="J211" i="5" s="1"/>
  <c r="K19" i="42667"/>
  <c r="L199" i="5"/>
  <c r="J205" i="5"/>
  <c r="L123" i="16"/>
  <c r="J125" i="16"/>
  <c r="N16" i="42667"/>
  <c r="M16" i="42667"/>
  <c r="L92" i="16"/>
  <c r="L100" i="16" s="1"/>
  <c r="L81" i="16"/>
  <c r="L47" i="5"/>
  <c r="M47" i="5" s="1"/>
  <c r="M43" i="5"/>
  <c r="L68" i="5"/>
  <c r="M68" i="5" s="1"/>
  <c r="M60" i="5"/>
  <c r="P20" i="42667"/>
  <c r="Q20" i="42667"/>
  <c r="O20" i="42667"/>
  <c r="I52" i="42773"/>
  <c r="L122" i="5"/>
  <c r="M122" i="5" s="1"/>
  <c r="M114" i="5"/>
  <c r="N18" i="42667"/>
  <c r="M18" i="42667"/>
  <c r="M118" i="16"/>
  <c r="L120" i="16"/>
  <c r="M120" i="16" s="1"/>
  <c r="J120" i="16"/>
  <c r="K15" i="42667"/>
  <c r="J46" i="364"/>
  <c r="L45" i="364"/>
  <c r="J200" i="5"/>
  <c r="K62" i="42773"/>
  <c r="K63" i="42773" s="1"/>
  <c r="K54" i="42773"/>
  <c r="K56" i="42773" s="1"/>
  <c r="K58" i="42773" s="1"/>
  <c r="O15" i="5"/>
  <c r="L46" i="364" l="1"/>
  <c r="M46" i="364" s="1"/>
  <c r="M45" i="364"/>
  <c r="N15" i="42667"/>
  <c r="M15" i="42667"/>
  <c r="K23" i="42667"/>
  <c r="S15" i="42667" s="1"/>
  <c r="O18" i="42667"/>
  <c r="P18" i="42667"/>
  <c r="Q18" i="42667"/>
  <c r="I54" i="42773"/>
  <c r="I56" i="42773" s="1"/>
  <c r="I58" i="42773" s="1"/>
  <c r="I62" i="42773"/>
  <c r="I63" i="42773" s="1"/>
  <c r="M100" i="16"/>
  <c r="L108" i="16"/>
  <c r="M108" i="16" s="1"/>
  <c r="E52" i="42773"/>
  <c r="M123" i="16"/>
  <c r="L125" i="16"/>
  <c r="M125" i="16" s="1"/>
  <c r="M19" i="42667"/>
  <c r="N19" i="42667"/>
  <c r="J206" i="5"/>
  <c r="L206" i="5" s="1"/>
  <c r="L200" i="5"/>
  <c r="L202" i="5" s="1"/>
  <c r="G52" i="42773"/>
  <c r="L85" i="16"/>
  <c r="M85" i="16" s="1"/>
  <c r="M81" i="16"/>
  <c r="O53" i="16"/>
  <c r="O16" i="42667"/>
  <c r="P16" i="42667"/>
  <c r="Q16" i="42667"/>
  <c r="J208" i="5"/>
  <c r="J217" i="5" s="1"/>
  <c r="L205" i="5"/>
  <c r="L208" i="5" s="1"/>
  <c r="J202" i="5"/>
  <c r="J214" i="5"/>
  <c r="L211" i="5"/>
  <c r="M17" i="42667"/>
  <c r="N17" i="42667"/>
  <c r="S17" i="42667" l="1"/>
  <c r="S19" i="42667"/>
  <c r="M211" i="5"/>
  <c r="L214" i="5"/>
  <c r="P19" i="42667"/>
  <c r="Q19" i="42667"/>
  <c r="O19" i="42667"/>
  <c r="H52" i="42773"/>
  <c r="E62" i="42773"/>
  <c r="E63" i="42773" s="1"/>
  <c r="E54" i="42773"/>
  <c r="E56" i="42773" s="1"/>
  <c r="E58" i="42773" s="1"/>
  <c r="S22" i="42667"/>
  <c r="K26" i="42667"/>
  <c r="S23" i="42667"/>
  <c r="S21" i="42667"/>
  <c r="S20" i="42667"/>
  <c r="S16" i="42667"/>
  <c r="S18" i="42667"/>
  <c r="P15" i="42667"/>
  <c r="N23" i="42667"/>
  <c r="O15" i="42667"/>
  <c r="Q15" i="42667"/>
  <c r="Q17" i="42667"/>
  <c r="O17" i="42667"/>
  <c r="P17" i="42667"/>
  <c r="F52" i="42773"/>
  <c r="L217" i="5"/>
  <c r="G62" i="42773"/>
  <c r="G63" i="42773" s="1"/>
  <c r="G54" i="42773"/>
  <c r="G56" i="42773" s="1"/>
  <c r="G58" i="42773" s="1"/>
  <c r="M23" i="42667"/>
  <c r="D52" i="42773"/>
  <c r="Q23" i="42667" l="1"/>
  <c r="Q26" i="42667" s="1"/>
  <c r="J34" i="42667" s="1"/>
  <c r="L215" i="5"/>
  <c r="M215" i="5" s="1"/>
  <c r="P23" i="42667"/>
  <c r="O23" i="42667"/>
  <c r="N26" i="42667"/>
  <c r="L216" i="5"/>
  <c r="M214" i="5"/>
  <c r="D62" i="42773"/>
  <c r="D63" i="42773" s="1"/>
  <c r="D54" i="42773"/>
  <c r="C52" i="42773"/>
  <c r="C62" i="42773" s="1"/>
  <c r="J215" i="5"/>
  <c r="J216" i="5" s="1"/>
  <c r="M26" i="42667"/>
  <c r="F62" i="42773"/>
  <c r="F63" i="42773" s="1"/>
  <c r="F54" i="42773"/>
  <c r="F56" i="42773" s="1"/>
  <c r="F58" i="42773" s="1"/>
  <c r="H62" i="42773"/>
  <c r="H63" i="42773" s="1"/>
  <c r="H54" i="42773"/>
  <c r="H56" i="42773" s="1"/>
  <c r="H58" i="42773" s="1"/>
  <c r="D56" i="42773" l="1"/>
  <c r="C54" i="42773"/>
  <c r="O26" i="42667"/>
  <c r="P26" i="42667"/>
  <c r="C56" i="42773" l="1"/>
  <c r="C58" i="42773" s="1"/>
  <c r="D58" i="42773"/>
</calcChain>
</file>

<file path=xl/comments1.xml><?xml version="1.0" encoding="utf-8"?>
<comments xmlns="http://schemas.openxmlformats.org/spreadsheetml/2006/main">
  <authors>
    <author>jphelp</author>
  </authors>
  <commentList>
    <comment ref="G56"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G76"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G95"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10.xml><?xml version="1.0" encoding="utf-8"?>
<comments xmlns="http://schemas.openxmlformats.org/spreadsheetml/2006/main">
  <authors>
    <author>jphelp</author>
    <author>Janet Phelps</author>
    <author>Kelly Xu</author>
  </authors>
  <commentList>
    <comment ref="B54" authorId="0">
      <text>
        <r>
          <rPr>
            <b/>
            <sz val="8"/>
            <color indexed="81"/>
            <rFont val="Tahoma"/>
            <family val="2"/>
          </rPr>
          <t>jphelp:</t>
        </r>
        <r>
          <rPr>
            <sz val="8"/>
            <color indexed="81"/>
            <rFont val="Tahoma"/>
            <family val="2"/>
          </rPr>
          <t xml:space="preserve">
Schedule 23 data includes data from residential schedules 11, 23 and 24. (11/05)</t>
        </r>
      </text>
    </comment>
    <comment ref="B66" authorId="1">
      <text>
        <r>
          <rPr>
            <b/>
            <sz val="8"/>
            <color indexed="81"/>
            <rFont val="Tahoma"/>
            <family val="2"/>
          </rPr>
          <t>Janet Phelps:</t>
        </r>
        <r>
          <rPr>
            <sz val="8"/>
            <color indexed="81"/>
            <rFont val="Tahoma"/>
            <family val="2"/>
          </rPr>
          <t xml:space="preserve">
101 and 106 rates include revenue adjustment factor. (10/05)</t>
        </r>
      </text>
    </comment>
    <comment ref="B91" authorId="0">
      <text>
        <r>
          <rPr>
            <b/>
            <sz val="8"/>
            <color indexed="81"/>
            <rFont val="Tahoma"/>
            <family val="2"/>
          </rPr>
          <t>jphelp:</t>
        </r>
        <r>
          <rPr>
            <sz val="8"/>
            <color indexed="81"/>
            <rFont val="Tahoma"/>
            <family val="2"/>
          </rPr>
          <t xml:space="preserve">
Schedule 31 data includes data from schedules 11 and 31. (11/05)</t>
        </r>
      </text>
    </comment>
    <comment ref="B162" authorId="1">
      <text>
        <r>
          <rPr>
            <b/>
            <sz val="8"/>
            <color indexed="81"/>
            <rFont val="Tahoma"/>
            <family val="2"/>
          </rPr>
          <t>Janet Phelps:</t>
        </r>
        <r>
          <rPr>
            <sz val="8"/>
            <color indexed="81"/>
            <rFont val="Tahoma"/>
            <family val="2"/>
          </rPr>
          <t xml:space="preserve">
Gas supply demand charge includes revenue adjustment factor. (10/05)</t>
        </r>
      </text>
    </comment>
    <comment ref="B207" authorId="1">
      <text>
        <r>
          <rPr>
            <b/>
            <sz val="8"/>
            <color indexed="81"/>
            <rFont val="Tahoma"/>
            <family val="2"/>
          </rPr>
          <t>Janet Phelps:</t>
        </r>
        <r>
          <rPr>
            <sz val="8"/>
            <color indexed="81"/>
            <rFont val="Tahoma"/>
            <family val="2"/>
          </rPr>
          <t xml:space="preserve">
Gas supply demand charge includes revenue adjustment factor. (10/05)</t>
        </r>
      </text>
    </comment>
    <comment ref="B235" authorId="1">
      <text>
        <r>
          <rPr>
            <b/>
            <sz val="8"/>
            <color indexed="81"/>
            <rFont val="Tahoma"/>
            <family val="2"/>
          </rPr>
          <t>Janet Phelps:</t>
        </r>
        <r>
          <rPr>
            <sz val="8"/>
            <color indexed="81"/>
            <rFont val="Tahoma"/>
            <family val="2"/>
          </rPr>
          <t xml:space="preserve">
Gas supply demand charge includes revenue adjustment factor. (10/05)</t>
        </r>
      </text>
    </comment>
    <comment ref="B277" authorId="0">
      <text>
        <r>
          <rPr>
            <b/>
            <sz val="8"/>
            <color indexed="81"/>
            <rFont val="Tahoma"/>
            <family val="2"/>
          </rPr>
          <t>jphelp:</t>
        </r>
        <r>
          <rPr>
            <sz val="8"/>
            <color indexed="81"/>
            <rFont val="Tahoma"/>
            <family val="2"/>
          </rPr>
          <t xml:space="preserve">
Schedule 31 data includes data from schedules 11 and 31. (11/05)</t>
        </r>
      </text>
    </comment>
    <comment ref="B345" authorId="1">
      <text>
        <r>
          <rPr>
            <b/>
            <sz val="8"/>
            <color indexed="81"/>
            <rFont val="Tahoma"/>
            <family val="2"/>
          </rPr>
          <t>Janet Phelps:</t>
        </r>
        <r>
          <rPr>
            <sz val="8"/>
            <color indexed="81"/>
            <rFont val="Tahoma"/>
            <family val="2"/>
          </rPr>
          <t xml:space="preserve">
Gas supply demand charge includes revenue adjustment factor. (10/05)</t>
        </r>
      </text>
    </comment>
    <comment ref="B388" authorId="1">
      <text>
        <r>
          <rPr>
            <b/>
            <sz val="8"/>
            <color indexed="81"/>
            <rFont val="Tahoma"/>
            <family val="2"/>
          </rPr>
          <t>Janet Phelps:</t>
        </r>
        <r>
          <rPr>
            <sz val="8"/>
            <color indexed="81"/>
            <rFont val="Tahoma"/>
            <family val="2"/>
          </rPr>
          <t xml:space="preserve">
Gas supply demand charge includes revenue adjustment factor. (10/05)</t>
        </r>
      </text>
    </comment>
    <comment ref="B431" authorId="1">
      <text>
        <r>
          <rPr>
            <b/>
            <sz val="8"/>
            <color indexed="81"/>
            <rFont val="Tahoma"/>
            <family val="2"/>
          </rPr>
          <t>Janet Phelps:</t>
        </r>
        <r>
          <rPr>
            <sz val="8"/>
            <color indexed="81"/>
            <rFont val="Tahoma"/>
            <family val="2"/>
          </rPr>
          <t xml:space="preserve">
Gas supply demand charge includes revenue adjustment factor. (10/05)</t>
        </r>
      </text>
    </comment>
    <comment ref="F573" authorId="2">
      <text>
        <r>
          <rPr>
            <b/>
            <sz val="10"/>
            <color indexed="81"/>
            <rFont val="Tahoma"/>
            <family val="2"/>
          </rPr>
          <t xml:space="preserve">Kelly Xu:
</t>
        </r>
        <r>
          <rPr>
            <sz val="10"/>
            <color indexed="81"/>
            <rFont val="Tahoma"/>
            <family val="2"/>
          </rPr>
          <t>Demand charge for schedule 61 is $0.10 and doesn't change by the RAF.</t>
        </r>
      </text>
    </comment>
    <comment ref="F574" authorId="2">
      <text>
        <r>
          <rPr>
            <b/>
            <sz val="10"/>
            <color indexed="81"/>
            <rFont val="Tahoma"/>
            <family val="2"/>
          </rPr>
          <t xml:space="preserve">Kelly Xu:
</t>
        </r>
        <r>
          <rPr>
            <sz val="10"/>
            <color indexed="81"/>
            <rFont val="Tahoma"/>
            <family val="2"/>
          </rPr>
          <t>Demand charge for schedule 61 is $0.10 and doesn't change by the RAF.</t>
        </r>
      </text>
    </comment>
    <comment ref="F575" authorId="2">
      <text>
        <r>
          <rPr>
            <b/>
            <sz val="10"/>
            <color indexed="81"/>
            <rFont val="Tahoma"/>
            <family val="2"/>
          </rPr>
          <t xml:space="preserve">Kelly Xu:
</t>
        </r>
        <r>
          <rPr>
            <sz val="10"/>
            <color indexed="81"/>
            <rFont val="Tahoma"/>
            <family val="2"/>
          </rPr>
          <t>Demand charge for schedule 61 is $0.10 and doesn't change by the RAF.</t>
        </r>
      </text>
    </comment>
    <comment ref="B720" authorId="0">
      <text>
        <r>
          <rPr>
            <b/>
            <sz val="8"/>
            <color indexed="81"/>
            <rFont val="Tahoma"/>
            <family val="2"/>
          </rPr>
          <t>jphelp:</t>
        </r>
        <r>
          <rPr>
            <sz val="8"/>
            <color indexed="81"/>
            <rFont val="Tahoma"/>
            <family val="2"/>
          </rPr>
          <t xml:space="preserve">
Sales and transportation.</t>
        </r>
      </text>
    </comment>
  </commentList>
</comments>
</file>

<file path=xl/comments11.xml><?xml version="1.0" encoding="utf-8"?>
<comments xmlns="http://schemas.openxmlformats.org/spreadsheetml/2006/main">
  <authors>
    <author>jphelp</author>
  </authors>
  <commentList>
    <comment ref="D33" authorId="0">
      <text>
        <r>
          <rPr>
            <b/>
            <sz val="8"/>
            <color indexed="81"/>
            <rFont val="Tahoma"/>
            <family val="2"/>
          </rPr>
          <t>Kelly Xu:</t>
        </r>
        <r>
          <rPr>
            <sz val="8"/>
            <color indexed="81"/>
            <rFont val="Tahoma"/>
            <family val="2"/>
          </rPr>
          <t xml:space="preserve">
Cost of gas in income statement. This is 101 component = total - 106 portion
Data Source:J:\GrpRates\Public\Gas GRC 2011\Pro Forma Revenue\Data\GasCostLine 12</t>
        </r>
      </text>
    </comment>
    <comment ref="C48" authorId="0">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12.xml><?xml version="1.0" encoding="utf-8"?>
<comments xmlns="http://schemas.openxmlformats.org/spreadsheetml/2006/main">
  <authors>
    <author>Kelly Xu</author>
    <author>jphelp</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 ref="D8" authorId="1">
      <text>
        <r>
          <rPr>
            <b/>
            <sz val="8"/>
            <color indexed="81"/>
            <rFont val="Tahoma"/>
            <family val="2"/>
          </rPr>
          <t>jphelp:</t>
        </r>
        <r>
          <rPr>
            <sz val="8"/>
            <color indexed="81"/>
            <rFont val="Tahoma"/>
            <family val="2"/>
          </rPr>
          <t xml:space="preserve">
Billed plus change in unbilled volume from SAP, reconciles to the Sales of Gas.</t>
        </r>
      </text>
    </comment>
  </commentList>
</comments>
</file>

<file path=xl/comments13.xml><?xml version="1.0" encoding="utf-8"?>
<comments xmlns="http://schemas.openxmlformats.org/spreadsheetml/2006/main">
  <authors>
    <author>jphelp</author>
  </authors>
  <commentList>
    <comment ref="D29" authorId="0">
      <text>
        <r>
          <rPr>
            <b/>
            <sz val="8"/>
            <color indexed="81"/>
            <rFont val="Tahoma"/>
            <family val="2"/>
          </rPr>
          <t>jphelp:</t>
        </r>
        <r>
          <rPr>
            <sz val="8"/>
            <color indexed="81"/>
            <rFont val="Tahoma"/>
            <family val="2"/>
          </rPr>
          <t xml:space="preserve">
Billed plus change in unbilled volume from SAP, reconciles to the Sales of Gas. (01/06)</t>
        </r>
      </text>
    </comment>
  </commentList>
</comments>
</file>

<file path=xl/comments14.xml><?xml version="1.0" encoding="utf-8"?>
<comments xmlns="http://schemas.openxmlformats.org/spreadsheetml/2006/main">
  <authors>
    <author>jphelp</author>
    <author>Paul Schmidt</author>
  </authors>
  <commentList>
    <comment ref="E19" authorId="0">
      <text>
        <r>
          <rPr>
            <b/>
            <sz val="8"/>
            <color indexed="81"/>
            <rFont val="Tahoma"/>
            <family val="2"/>
          </rPr>
          <t>Paul Schmidt:</t>
        </r>
        <r>
          <rPr>
            <sz val="8"/>
            <color indexed="81"/>
            <rFont val="Tahoma"/>
            <family val="2"/>
          </rPr>
          <t xml:space="preserve">
20% of Jackson Prairie is estimated to be used for balancing purposes.</t>
        </r>
      </text>
    </comment>
    <comment ref="D32" authorId="0">
      <text>
        <r>
          <rPr>
            <b/>
            <sz val="8"/>
            <color indexed="81"/>
            <rFont val="Tahoma"/>
            <family val="2"/>
          </rPr>
          <t>jphelp:</t>
        </r>
        <r>
          <rPr>
            <sz val="8"/>
            <color indexed="81"/>
            <rFont val="Tahoma"/>
            <family val="2"/>
          </rPr>
          <t xml:space="preserve">
Northwest Pipeline's TF-2 rate is for transportation out of Jackson Prairie. (01/06)</t>
        </r>
      </text>
    </comment>
    <comment ref="D61" authorId="0">
      <text>
        <r>
          <rPr>
            <b/>
            <sz val="8"/>
            <color indexed="81"/>
            <rFont val="Tahoma"/>
            <family val="2"/>
          </rPr>
          <t>jphelp:</t>
        </r>
        <r>
          <rPr>
            <sz val="8"/>
            <color indexed="81"/>
            <rFont val="Tahoma"/>
            <family val="2"/>
          </rPr>
          <t xml:space="preserve">
Northwest Pipeline's TF-2 rate is for transportation out of Jackson Prairie. (01/06)</t>
        </r>
      </text>
    </comment>
    <comment ref="G71" authorId="0">
      <text>
        <r>
          <rPr>
            <b/>
            <sz val="8"/>
            <color indexed="81"/>
            <rFont val="Tahoma"/>
            <family val="2"/>
          </rPr>
          <t>Paul Schmidt:</t>
        </r>
        <r>
          <rPr>
            <sz val="8"/>
            <color indexed="81"/>
            <rFont val="Tahoma"/>
            <family val="2"/>
          </rPr>
          <t xml:space="preserve">
Gas cost from 2011 GRC Pro Forma Revenue</t>
        </r>
      </text>
    </comment>
    <comment ref="F75" authorId="1">
      <text>
        <r>
          <rPr>
            <b/>
            <sz val="8"/>
            <color indexed="81"/>
            <rFont val="Tahoma"/>
            <family val="2"/>
          </rPr>
          <t>Paul Schmidt:</t>
        </r>
        <r>
          <rPr>
            <sz val="8"/>
            <color indexed="81"/>
            <rFont val="Tahoma"/>
            <family val="2"/>
          </rPr>
          <t xml:space="preserve">
Weather Normalized sales volumes from 2011 GRC Pro Forma Revenue</t>
        </r>
      </text>
    </comment>
  </commentList>
</comments>
</file>

<file path=xl/comments15.xml><?xml version="1.0" encoding="utf-8"?>
<comments xmlns="http://schemas.openxmlformats.org/spreadsheetml/2006/main">
  <authors>
    <author>acox</author>
  </authors>
  <commentList>
    <comment ref="C29" authorId="0">
      <text>
        <r>
          <rPr>
            <b/>
            <sz val="8"/>
            <color indexed="81"/>
            <rFont val="Tahoma"/>
            <family val="2"/>
          </rPr>
          <t>acox:</t>
        </r>
        <r>
          <rPr>
            <sz val="8"/>
            <color indexed="81"/>
            <rFont val="Tahoma"/>
            <family val="2"/>
          </rPr>
          <t xml:space="preserve">
Pro Forma Volume</t>
        </r>
      </text>
    </comment>
  </commentList>
</comments>
</file>

<file path=xl/comments2.xml><?xml version="1.0" encoding="utf-8"?>
<comments xmlns="http://schemas.openxmlformats.org/spreadsheetml/2006/main">
  <authors>
    <author>Paul Schmidt</author>
  </authors>
  <commentList>
    <comment ref="B19" authorId="0">
      <text>
        <r>
          <rPr>
            <b/>
            <sz val="8"/>
            <color indexed="81"/>
            <rFont val="Tahoma"/>
            <family val="2"/>
          </rPr>
          <t>Paul Schmidt:</t>
        </r>
        <r>
          <rPr>
            <sz val="8"/>
            <color indexed="81"/>
            <rFont val="Tahoma"/>
            <family val="2"/>
          </rPr>
          <t xml:space="preserve">
Adjusted conservation revenue that was originally in R/S 24 &amp; 36. See workpaper.</t>
        </r>
      </text>
    </comment>
    <comment ref="B38" authorId="0">
      <text>
        <r>
          <rPr>
            <b/>
            <sz val="8"/>
            <color indexed="81"/>
            <rFont val="Tahoma"/>
            <family val="2"/>
          </rPr>
          <t>Paul Schmidt:</t>
        </r>
        <r>
          <rPr>
            <sz val="8"/>
            <color indexed="81"/>
            <rFont val="Tahoma"/>
            <family val="2"/>
          </rPr>
          <t xml:space="preserve">
Adjusted tax revenue that was originally in R/S 24, 36 &amp; 57. See workpaper.</t>
        </r>
      </text>
    </comment>
  </commentList>
</comments>
</file>

<file path=xl/comments3.xml><?xml version="1.0" encoding="utf-8"?>
<comments xmlns="http://schemas.openxmlformats.org/spreadsheetml/2006/main">
  <authors>
    <author>jphelp</author>
  </authors>
  <commentList>
    <comment ref="B8" authorId="0">
      <text>
        <r>
          <rPr>
            <b/>
            <sz val="8"/>
            <color indexed="81"/>
            <rFont val="Tahoma"/>
            <family val="2"/>
          </rPr>
          <t>jphelp:</t>
        </r>
        <r>
          <rPr>
            <sz val="8"/>
            <color indexed="81"/>
            <rFont val="Tahoma"/>
            <family val="2"/>
          </rPr>
          <t xml:space="preserve">
Schedule 23 data includes data from residential schedules 11, 23 and 24. (11/05)</t>
        </r>
      </text>
    </comment>
    <comment ref="C15" authorId="0">
      <text>
        <r>
          <rPr>
            <b/>
            <sz val="8"/>
            <color indexed="81"/>
            <rFont val="Tahoma"/>
            <family val="2"/>
          </rPr>
          <t>jphelp:</t>
        </r>
        <r>
          <rPr>
            <sz val="8"/>
            <color indexed="81"/>
            <rFont val="Tahoma"/>
            <family val="2"/>
          </rPr>
          <t xml:space="preserve">
Schedule 23G-ND rate is 11.5 cents/therm. (11/05)</t>
        </r>
      </text>
    </comment>
    <comment ref="C16" authorId="0">
      <text>
        <r>
          <rPr>
            <b/>
            <sz val="8"/>
            <color indexed="81"/>
            <rFont val="Tahoma"/>
            <family val="2"/>
          </rPr>
          <t>jphelp:</t>
        </r>
        <r>
          <rPr>
            <sz val="8"/>
            <color indexed="81"/>
            <rFont val="Tahoma"/>
            <family val="2"/>
          </rPr>
          <t xml:space="preserve">
Schedule 23G-NK and 23G-NR rate is 17.0 cents/therm. (11/05)</t>
        </r>
      </text>
    </comment>
    <comment ref="C17" authorId="0">
      <text>
        <r>
          <rPr>
            <b/>
            <sz val="8"/>
            <color indexed="81"/>
            <rFont val="Tahoma"/>
            <family val="2"/>
          </rPr>
          <t>kxu:</t>
        </r>
        <r>
          <rPr>
            <sz val="8"/>
            <color indexed="81"/>
            <rFont val="Tahoma"/>
            <family val="2"/>
          </rPr>
          <t xml:space="preserve">
Schedule 23G-NS rate is 34.0 cents/therm. </t>
        </r>
      </text>
    </comment>
    <comment ref="B21" authorId="0">
      <text>
        <r>
          <rPr>
            <b/>
            <sz val="8"/>
            <color indexed="81"/>
            <rFont val="Tahoma"/>
            <family val="2"/>
          </rPr>
          <t>jphelp:</t>
        </r>
        <r>
          <rPr>
            <sz val="8"/>
            <color indexed="81"/>
            <rFont val="Tahoma"/>
            <family val="2"/>
          </rPr>
          <t xml:space="preserve">
Schedule 31 data includes data from schedules 11 and 31. (11/05)</t>
        </r>
      </text>
    </comment>
    <comment ref="C30" authorId="0">
      <text>
        <r>
          <rPr>
            <b/>
            <sz val="8"/>
            <color indexed="81"/>
            <rFont val="Tahoma"/>
            <family val="2"/>
          </rPr>
          <t>kxu:</t>
        </r>
        <r>
          <rPr>
            <sz val="8"/>
            <color indexed="81"/>
            <rFont val="Tahoma"/>
            <family val="2"/>
          </rPr>
          <t xml:space="preserve">
Schedule 31G-NS rate is 34.0 cents/therm. </t>
        </r>
      </text>
    </comment>
    <comment ref="B45" authorId="0">
      <text>
        <r>
          <rPr>
            <b/>
            <sz val="8"/>
            <color indexed="81"/>
            <rFont val="Tahoma"/>
            <family val="2"/>
          </rPr>
          <t>jphelp:</t>
        </r>
        <r>
          <rPr>
            <sz val="8"/>
            <color indexed="81"/>
            <rFont val="Tahoma"/>
            <family val="2"/>
          </rPr>
          <t xml:space="preserve">
Schedule 31 data includes data from schedules 11 and 31. (11/05)</t>
        </r>
      </text>
    </comment>
  </commentList>
</comments>
</file>

<file path=xl/comments4.xml><?xml version="1.0" encoding="utf-8"?>
<comments xmlns="http://schemas.openxmlformats.org/spreadsheetml/2006/main">
  <authors>
    <author>jphelp</author>
    <author>Janet Phelps</author>
  </authors>
  <commentList>
    <comment ref="B36" authorId="0">
      <text>
        <r>
          <rPr>
            <b/>
            <sz val="8"/>
            <color indexed="81"/>
            <rFont val="Tahoma"/>
            <family val="2"/>
          </rPr>
          <t>jphelp:</t>
        </r>
        <r>
          <rPr>
            <sz val="8"/>
            <color indexed="81"/>
            <rFont val="Tahoma"/>
            <family val="2"/>
          </rPr>
          <t xml:space="preserve">
Schedule 23 data includes data from residential schedules 11, 23 and 24. (11/05)</t>
        </r>
      </text>
    </comment>
    <comment ref="B83" authorId="0">
      <text>
        <r>
          <rPr>
            <b/>
            <sz val="8"/>
            <color indexed="81"/>
            <rFont val="Tahoma"/>
            <family val="2"/>
          </rPr>
          <t>jphelp:</t>
        </r>
        <r>
          <rPr>
            <sz val="8"/>
            <color indexed="81"/>
            <rFont val="Tahoma"/>
            <family val="2"/>
          </rPr>
          <t xml:space="preserve">
Schedule 31 data includes data from schedules 11 and 31. (11/05)</t>
        </r>
      </text>
    </comment>
    <comment ref="B157"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81" authorId="1">
      <text>
        <r>
          <rPr>
            <b/>
            <sz val="8"/>
            <color indexed="81"/>
            <rFont val="Tahoma"/>
            <family val="2"/>
          </rPr>
          <t>Janet Phelps:</t>
        </r>
        <r>
          <rPr>
            <sz val="8"/>
            <color indexed="81"/>
            <rFont val="Tahoma"/>
            <family val="2"/>
          </rPr>
          <t xml:space="preserve">
Gas supply demand charge includes revenue adjustment factor. (10/05)</t>
        </r>
      </text>
    </comment>
    <comment ref="C325" authorId="1">
      <text>
        <r>
          <rPr>
            <b/>
            <sz val="8"/>
            <color indexed="81"/>
            <rFont val="Tahoma"/>
            <family val="2"/>
          </rPr>
          <t>Janet Phelps:</t>
        </r>
        <r>
          <rPr>
            <sz val="8"/>
            <color indexed="81"/>
            <rFont val="Tahoma"/>
            <family val="2"/>
          </rPr>
          <t xml:space="preserve">
Gas supply demand charge includes revenue adjustment factor. (10/05)</t>
        </r>
      </text>
    </comment>
    <comment ref="C371" authorId="1">
      <text>
        <r>
          <rPr>
            <b/>
            <sz val="8"/>
            <color indexed="81"/>
            <rFont val="Tahoma"/>
            <family val="2"/>
          </rPr>
          <t>Janet Phelps:</t>
        </r>
        <r>
          <rPr>
            <sz val="8"/>
            <color indexed="81"/>
            <rFont val="Tahoma"/>
            <family val="2"/>
          </rPr>
          <t xml:space="preserve">
Gas supply demand charge includes revenue adjustment factor. (10/05)</t>
        </r>
      </text>
    </comment>
    <comment ref="B411" authorId="0">
      <text>
        <r>
          <rPr>
            <b/>
            <sz val="8"/>
            <color indexed="81"/>
            <rFont val="Tahoma"/>
            <family val="2"/>
          </rPr>
          <t>jphelp:</t>
        </r>
        <r>
          <rPr>
            <sz val="8"/>
            <color indexed="81"/>
            <rFont val="Tahoma"/>
            <family val="2"/>
          </rPr>
          <t xml:space="preserve">
Schedule 31 data includes data from schedules 11 and 31. (11/05)</t>
        </r>
      </text>
    </comment>
    <comment ref="C640" authorId="1">
      <text>
        <r>
          <rPr>
            <b/>
            <sz val="8"/>
            <color indexed="81"/>
            <rFont val="Tahoma"/>
            <family val="2"/>
          </rPr>
          <t>Janet Phelps:</t>
        </r>
        <r>
          <rPr>
            <sz val="8"/>
            <color indexed="81"/>
            <rFont val="Tahoma"/>
            <family val="2"/>
          </rPr>
          <t xml:space="preserve">
Gas supply demand charge includes revenue adjustment factor. (10/05)</t>
        </r>
      </text>
    </comment>
    <comment ref="C730" authorId="1">
      <text>
        <r>
          <rPr>
            <b/>
            <sz val="8"/>
            <color indexed="81"/>
            <rFont val="Tahoma"/>
            <family val="2"/>
          </rPr>
          <t>Janet Phelps:</t>
        </r>
        <r>
          <rPr>
            <sz val="8"/>
            <color indexed="81"/>
            <rFont val="Tahoma"/>
            <family val="2"/>
          </rPr>
          <t xml:space="preserve">
Gas supply demand charge includes revenue adjustment factor. (10/05)</t>
        </r>
      </text>
    </comment>
    <comment ref="B994" authorId="0">
      <text>
        <r>
          <rPr>
            <b/>
            <sz val="8"/>
            <color indexed="81"/>
            <rFont val="Tahoma"/>
            <family val="2"/>
          </rPr>
          <t>jphelp:</t>
        </r>
        <r>
          <rPr>
            <sz val="8"/>
            <color indexed="81"/>
            <rFont val="Tahoma"/>
            <family val="2"/>
          </rPr>
          <t xml:space="preserve">
Sales and transportation.</t>
        </r>
      </text>
    </comment>
  </commentList>
</comments>
</file>

<file path=xl/comments5.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72" authorId="0">
      <text>
        <r>
          <rPr>
            <b/>
            <sz val="8"/>
            <color indexed="81"/>
            <rFont val="Tahoma"/>
            <family val="2"/>
          </rPr>
          <t>jphelp:</t>
        </r>
        <r>
          <rPr>
            <sz val="8"/>
            <color indexed="81"/>
            <rFont val="Tahoma"/>
            <family val="2"/>
          </rPr>
          <t xml:space="preserve">
Schedule 31 data includes data from schedules 11 and 31. (11/05)</t>
        </r>
      </text>
    </comment>
    <comment ref="B14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70" authorId="1">
      <text>
        <r>
          <rPr>
            <b/>
            <sz val="8"/>
            <color indexed="81"/>
            <rFont val="Tahoma"/>
            <family val="2"/>
          </rPr>
          <t>Janet Phelps:</t>
        </r>
        <r>
          <rPr>
            <sz val="8"/>
            <color indexed="81"/>
            <rFont val="Tahoma"/>
            <family val="2"/>
          </rPr>
          <t xml:space="preserve">
Gas supply demand charge includes revenue adjustment factor. (10/05)</t>
        </r>
      </text>
    </comment>
    <comment ref="C314" authorId="1">
      <text>
        <r>
          <rPr>
            <b/>
            <sz val="8"/>
            <color indexed="81"/>
            <rFont val="Tahoma"/>
            <family val="2"/>
          </rPr>
          <t>Janet Phelps:</t>
        </r>
        <r>
          <rPr>
            <sz val="8"/>
            <color indexed="81"/>
            <rFont val="Tahoma"/>
            <family val="2"/>
          </rPr>
          <t xml:space="preserve">
Gas supply demand charge includes revenue adjustment factor. (10/05)</t>
        </r>
      </text>
    </comment>
    <comment ref="C360" authorId="1">
      <text>
        <r>
          <rPr>
            <b/>
            <sz val="8"/>
            <color indexed="81"/>
            <rFont val="Tahoma"/>
            <family val="2"/>
          </rPr>
          <t>Janet Phelps:</t>
        </r>
        <r>
          <rPr>
            <sz val="8"/>
            <color indexed="81"/>
            <rFont val="Tahoma"/>
            <family val="2"/>
          </rPr>
          <t xml:space="preserve">
Gas supply demand charge includes revenue adjustment factor. (10/05)</t>
        </r>
      </text>
    </comment>
    <comment ref="B400" authorId="0">
      <text>
        <r>
          <rPr>
            <b/>
            <sz val="8"/>
            <color indexed="81"/>
            <rFont val="Tahoma"/>
            <family val="2"/>
          </rPr>
          <t>jphelp:</t>
        </r>
        <r>
          <rPr>
            <sz val="8"/>
            <color indexed="81"/>
            <rFont val="Tahoma"/>
            <family val="2"/>
          </rPr>
          <t xml:space="preserve">
Schedule 31 data includes data from schedules 11 and 31. (11/05)</t>
        </r>
      </text>
    </comment>
    <comment ref="C629" authorId="1">
      <text>
        <r>
          <rPr>
            <b/>
            <sz val="8"/>
            <color indexed="81"/>
            <rFont val="Tahoma"/>
            <family val="2"/>
          </rPr>
          <t>Janet Phelps:</t>
        </r>
        <r>
          <rPr>
            <sz val="8"/>
            <color indexed="81"/>
            <rFont val="Tahoma"/>
            <family val="2"/>
          </rPr>
          <t xml:space="preserve">
Gas supply demand charge includes revenue adjustment factor. (10/05)</t>
        </r>
      </text>
    </comment>
    <comment ref="C719" authorId="1">
      <text>
        <r>
          <rPr>
            <b/>
            <sz val="8"/>
            <color indexed="81"/>
            <rFont val="Tahoma"/>
            <family val="2"/>
          </rPr>
          <t>Janet Phelps:</t>
        </r>
        <r>
          <rPr>
            <sz val="8"/>
            <color indexed="81"/>
            <rFont val="Tahoma"/>
            <family val="2"/>
          </rPr>
          <t xml:space="preserve">
Gas supply demand charge includes revenue adjustment factor. (10/05)</t>
        </r>
      </text>
    </comment>
    <comment ref="B983" authorId="0">
      <text>
        <r>
          <rPr>
            <b/>
            <sz val="8"/>
            <color indexed="81"/>
            <rFont val="Tahoma"/>
            <family val="2"/>
          </rPr>
          <t>jphelp:</t>
        </r>
        <r>
          <rPr>
            <sz val="8"/>
            <color indexed="81"/>
            <rFont val="Tahoma"/>
            <family val="2"/>
          </rPr>
          <t xml:space="preserve">
Sales and transportation.</t>
        </r>
      </text>
    </comment>
  </commentList>
</comments>
</file>

<file path=xl/comments6.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14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70" authorId="1">
      <text>
        <r>
          <rPr>
            <b/>
            <sz val="8"/>
            <color indexed="81"/>
            <rFont val="Tahoma"/>
            <family val="2"/>
          </rPr>
          <t>Janet Phelps:</t>
        </r>
        <r>
          <rPr>
            <sz val="8"/>
            <color indexed="81"/>
            <rFont val="Tahoma"/>
            <family val="2"/>
          </rPr>
          <t xml:space="preserve">
Gas supply demand charge includes revenue adjustment factor. (10/05)</t>
        </r>
      </text>
    </comment>
    <comment ref="C314" authorId="1">
      <text>
        <r>
          <rPr>
            <b/>
            <sz val="8"/>
            <color indexed="81"/>
            <rFont val="Tahoma"/>
            <family val="2"/>
          </rPr>
          <t>Janet Phelps:</t>
        </r>
        <r>
          <rPr>
            <sz val="8"/>
            <color indexed="81"/>
            <rFont val="Tahoma"/>
            <family val="2"/>
          </rPr>
          <t xml:space="preserve">
Gas supply demand charge includes revenue adjustment factor. (10/05)</t>
        </r>
      </text>
    </comment>
    <comment ref="C360" authorId="1">
      <text>
        <r>
          <rPr>
            <b/>
            <sz val="8"/>
            <color indexed="81"/>
            <rFont val="Tahoma"/>
            <family val="2"/>
          </rPr>
          <t>Janet Phelps:</t>
        </r>
        <r>
          <rPr>
            <sz val="8"/>
            <color indexed="81"/>
            <rFont val="Tahoma"/>
            <family val="2"/>
          </rPr>
          <t xml:space="preserve">
Gas supply demand charge includes revenue adjustment factor. (10/05)</t>
        </r>
      </text>
    </comment>
    <comment ref="B400" authorId="0">
      <text>
        <r>
          <rPr>
            <b/>
            <sz val="8"/>
            <color indexed="81"/>
            <rFont val="Tahoma"/>
            <family val="2"/>
          </rPr>
          <t>jphelp:</t>
        </r>
        <r>
          <rPr>
            <sz val="8"/>
            <color indexed="81"/>
            <rFont val="Tahoma"/>
            <family val="2"/>
          </rPr>
          <t xml:space="preserve">
Schedule 31 data includes data from schedules 11 and 31. (11/05)</t>
        </r>
      </text>
    </comment>
    <comment ref="C629" authorId="1">
      <text>
        <r>
          <rPr>
            <b/>
            <sz val="8"/>
            <color indexed="81"/>
            <rFont val="Tahoma"/>
            <family val="2"/>
          </rPr>
          <t>Janet Phelps:</t>
        </r>
        <r>
          <rPr>
            <sz val="8"/>
            <color indexed="81"/>
            <rFont val="Tahoma"/>
            <family val="2"/>
          </rPr>
          <t xml:space="preserve">
Gas supply demand charge includes revenue adjustment factor. (10/05)</t>
        </r>
      </text>
    </comment>
    <comment ref="C673" authorId="1">
      <text>
        <r>
          <rPr>
            <b/>
            <sz val="8"/>
            <color indexed="81"/>
            <rFont val="Tahoma"/>
            <family val="2"/>
          </rPr>
          <t>Janet Phelps:</t>
        </r>
        <r>
          <rPr>
            <sz val="8"/>
            <color indexed="81"/>
            <rFont val="Tahoma"/>
            <family val="2"/>
          </rPr>
          <t xml:space="preserve">
Gas supply demand charge includes revenue adjustment factor. (10/05)</t>
        </r>
      </text>
    </comment>
    <comment ref="C719" authorId="1">
      <text>
        <r>
          <rPr>
            <b/>
            <sz val="8"/>
            <color indexed="81"/>
            <rFont val="Tahoma"/>
            <family val="2"/>
          </rPr>
          <t>Janet Phelps:</t>
        </r>
        <r>
          <rPr>
            <sz val="8"/>
            <color indexed="81"/>
            <rFont val="Tahoma"/>
            <family val="2"/>
          </rPr>
          <t xml:space="preserve">
Gas supply demand charge includes revenue adjustment factor. (10/05)</t>
        </r>
      </text>
    </comment>
    <comment ref="B983" authorId="0">
      <text>
        <r>
          <rPr>
            <b/>
            <sz val="8"/>
            <color indexed="81"/>
            <rFont val="Tahoma"/>
            <family val="2"/>
          </rPr>
          <t>jphelp:</t>
        </r>
        <r>
          <rPr>
            <sz val="8"/>
            <color indexed="81"/>
            <rFont val="Tahoma"/>
            <family val="2"/>
          </rPr>
          <t xml:space="preserve">
Sales and transportation.</t>
        </r>
      </text>
    </comment>
  </commentList>
</comments>
</file>

<file path=xl/comments7.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14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70" authorId="1">
      <text>
        <r>
          <rPr>
            <b/>
            <sz val="8"/>
            <color indexed="81"/>
            <rFont val="Tahoma"/>
            <family val="2"/>
          </rPr>
          <t>Janet Phelps:</t>
        </r>
        <r>
          <rPr>
            <sz val="8"/>
            <color indexed="81"/>
            <rFont val="Tahoma"/>
            <family val="2"/>
          </rPr>
          <t xml:space="preserve">
Gas supply demand charge includes revenue adjustment factor. (10/05)</t>
        </r>
      </text>
    </comment>
    <comment ref="C314" authorId="1">
      <text>
        <r>
          <rPr>
            <b/>
            <sz val="8"/>
            <color indexed="81"/>
            <rFont val="Tahoma"/>
            <family val="2"/>
          </rPr>
          <t>Janet Phelps:</t>
        </r>
        <r>
          <rPr>
            <sz val="8"/>
            <color indexed="81"/>
            <rFont val="Tahoma"/>
            <family val="2"/>
          </rPr>
          <t xml:space="preserve">
Gas supply demand charge includes revenue adjustment factor. (10/05)</t>
        </r>
      </text>
    </comment>
    <comment ref="C360" authorId="1">
      <text>
        <r>
          <rPr>
            <b/>
            <sz val="8"/>
            <color indexed="81"/>
            <rFont val="Tahoma"/>
            <family val="2"/>
          </rPr>
          <t>Janet Phelps:</t>
        </r>
        <r>
          <rPr>
            <sz val="8"/>
            <color indexed="81"/>
            <rFont val="Tahoma"/>
            <family val="2"/>
          </rPr>
          <t xml:space="preserve">
Gas supply demand charge includes revenue adjustment factor. (10/05)</t>
        </r>
      </text>
    </comment>
    <comment ref="B400" authorId="0">
      <text>
        <r>
          <rPr>
            <b/>
            <sz val="8"/>
            <color indexed="81"/>
            <rFont val="Tahoma"/>
            <family val="2"/>
          </rPr>
          <t>jphelp:</t>
        </r>
        <r>
          <rPr>
            <sz val="8"/>
            <color indexed="81"/>
            <rFont val="Tahoma"/>
            <family val="2"/>
          </rPr>
          <t xml:space="preserve">
Schedule 31 data includes data from schedules 11 and 31. (11/05)</t>
        </r>
      </text>
    </comment>
    <comment ref="C629" authorId="1">
      <text>
        <r>
          <rPr>
            <b/>
            <sz val="8"/>
            <color indexed="81"/>
            <rFont val="Tahoma"/>
            <family val="2"/>
          </rPr>
          <t>Janet Phelps:</t>
        </r>
        <r>
          <rPr>
            <sz val="8"/>
            <color indexed="81"/>
            <rFont val="Tahoma"/>
            <family val="2"/>
          </rPr>
          <t xml:space="preserve">
Gas supply demand charge includes revenue adjustment factor. (10/05)</t>
        </r>
      </text>
    </comment>
    <comment ref="C673" authorId="1">
      <text>
        <r>
          <rPr>
            <b/>
            <sz val="8"/>
            <color indexed="81"/>
            <rFont val="Tahoma"/>
            <family val="2"/>
          </rPr>
          <t>Janet Phelps:</t>
        </r>
        <r>
          <rPr>
            <sz val="8"/>
            <color indexed="81"/>
            <rFont val="Tahoma"/>
            <family val="2"/>
          </rPr>
          <t xml:space="preserve">
Gas supply demand charge includes revenue adjustment factor. (10/05)</t>
        </r>
      </text>
    </comment>
    <comment ref="C719" authorId="1">
      <text>
        <r>
          <rPr>
            <b/>
            <sz val="8"/>
            <color indexed="81"/>
            <rFont val="Tahoma"/>
            <family val="2"/>
          </rPr>
          <t>Janet Phelps:</t>
        </r>
        <r>
          <rPr>
            <sz val="8"/>
            <color indexed="81"/>
            <rFont val="Tahoma"/>
            <family val="2"/>
          </rPr>
          <t xml:space="preserve">
Gas supply demand charge includes revenue adjustment factor. (10/05)</t>
        </r>
      </text>
    </comment>
    <comment ref="B983" authorId="0">
      <text>
        <r>
          <rPr>
            <b/>
            <sz val="8"/>
            <color indexed="81"/>
            <rFont val="Tahoma"/>
            <family val="2"/>
          </rPr>
          <t>jphelp:</t>
        </r>
        <r>
          <rPr>
            <sz val="8"/>
            <color indexed="81"/>
            <rFont val="Tahoma"/>
            <family val="2"/>
          </rPr>
          <t xml:space="preserve">
Sales and transportation.</t>
        </r>
      </text>
    </comment>
  </commentList>
</comments>
</file>

<file path=xl/comments8.xml><?xml version="1.0" encoding="utf-8"?>
<comments xmlns="http://schemas.openxmlformats.org/spreadsheetml/2006/main">
  <authors>
    <author>Kelly Xu</author>
  </authors>
  <commentList>
    <comment ref="T123" authorId="0">
      <text>
        <r>
          <rPr>
            <b/>
            <sz val="10"/>
            <color indexed="81"/>
            <rFont val="Tahoma"/>
            <family val="2"/>
          </rPr>
          <t>Kelly Xu:</t>
        </r>
        <r>
          <rPr>
            <sz val="10"/>
            <color indexed="81"/>
            <rFont val="Tahoma"/>
            <family val="2"/>
          </rPr>
          <t xml:space="preserve">
Dec09, CDRS counts was 8, CLX counts was 9</t>
        </r>
      </text>
    </comment>
  </commentList>
</comments>
</file>

<file path=xl/comments9.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14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70" authorId="1">
      <text>
        <r>
          <rPr>
            <b/>
            <sz val="8"/>
            <color indexed="81"/>
            <rFont val="Tahoma"/>
            <family val="2"/>
          </rPr>
          <t>Janet Phelps:</t>
        </r>
        <r>
          <rPr>
            <sz val="8"/>
            <color indexed="81"/>
            <rFont val="Tahoma"/>
            <family val="2"/>
          </rPr>
          <t xml:space="preserve">
Gas supply demand charge includes revenue adjustment factor. (10/05)</t>
        </r>
      </text>
    </comment>
    <comment ref="C314" authorId="1">
      <text>
        <r>
          <rPr>
            <b/>
            <sz val="8"/>
            <color indexed="81"/>
            <rFont val="Tahoma"/>
            <family val="2"/>
          </rPr>
          <t>Janet Phelps:</t>
        </r>
        <r>
          <rPr>
            <sz val="8"/>
            <color indexed="81"/>
            <rFont val="Tahoma"/>
            <family val="2"/>
          </rPr>
          <t xml:space="preserve">
Gas supply demand charge includes revenue adjustment factor. (10/05)</t>
        </r>
      </text>
    </comment>
    <comment ref="C360" authorId="1">
      <text>
        <r>
          <rPr>
            <b/>
            <sz val="8"/>
            <color indexed="81"/>
            <rFont val="Tahoma"/>
            <family val="2"/>
          </rPr>
          <t>Janet Phelps:</t>
        </r>
        <r>
          <rPr>
            <sz val="8"/>
            <color indexed="81"/>
            <rFont val="Tahoma"/>
            <family val="2"/>
          </rPr>
          <t xml:space="preserve">
Gas supply demand charge includes revenue adjustment factor. (10/05)</t>
        </r>
      </text>
    </comment>
    <comment ref="B400" authorId="0">
      <text>
        <r>
          <rPr>
            <b/>
            <sz val="8"/>
            <color indexed="81"/>
            <rFont val="Tahoma"/>
            <family val="2"/>
          </rPr>
          <t>jphelp:</t>
        </r>
        <r>
          <rPr>
            <sz val="8"/>
            <color indexed="81"/>
            <rFont val="Tahoma"/>
            <family val="2"/>
          </rPr>
          <t xml:space="preserve">
Schedule 31 data includes data from schedules 11 and 31. (11/05)</t>
        </r>
      </text>
    </comment>
    <comment ref="C629" authorId="1">
      <text>
        <r>
          <rPr>
            <b/>
            <sz val="8"/>
            <color indexed="81"/>
            <rFont val="Tahoma"/>
            <family val="2"/>
          </rPr>
          <t>Janet Phelps:</t>
        </r>
        <r>
          <rPr>
            <sz val="8"/>
            <color indexed="81"/>
            <rFont val="Tahoma"/>
            <family val="2"/>
          </rPr>
          <t xml:space="preserve">
Gas supply demand charge includes revenue adjustment factor. (10/05)</t>
        </r>
      </text>
    </comment>
    <comment ref="C673" authorId="1">
      <text>
        <r>
          <rPr>
            <b/>
            <sz val="8"/>
            <color indexed="81"/>
            <rFont val="Tahoma"/>
            <family val="2"/>
          </rPr>
          <t>Janet Phelps:</t>
        </r>
        <r>
          <rPr>
            <sz val="8"/>
            <color indexed="81"/>
            <rFont val="Tahoma"/>
            <family val="2"/>
          </rPr>
          <t xml:space="preserve">
Gas supply demand charge includes revenue adjustment factor. (10/05)</t>
        </r>
      </text>
    </comment>
    <comment ref="C719" authorId="1">
      <text>
        <r>
          <rPr>
            <b/>
            <sz val="8"/>
            <color indexed="81"/>
            <rFont val="Tahoma"/>
            <family val="2"/>
          </rPr>
          <t>Janet Phelps:</t>
        </r>
        <r>
          <rPr>
            <sz val="8"/>
            <color indexed="81"/>
            <rFont val="Tahoma"/>
            <family val="2"/>
          </rPr>
          <t xml:space="preserve">
Gas supply demand charge includes revenue adjustment factor. (10/05)</t>
        </r>
      </text>
    </comment>
    <comment ref="B983"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<sst xmlns="http://schemas.openxmlformats.org/spreadsheetml/2006/main" count="30353" uniqueCount="2142">
  <si>
    <t xml:space="preserve">Billing </t>
  </si>
  <si>
    <t>Proposed</t>
  </si>
  <si>
    <t xml:space="preserve">Difference </t>
  </si>
  <si>
    <t>Description</t>
  </si>
  <si>
    <t>Determinants</t>
  </si>
  <si>
    <t>Rates</t>
  </si>
  <si>
    <t>$</t>
  </si>
  <si>
    <t>%</t>
  </si>
  <si>
    <t>TARGET</t>
  </si>
  <si>
    <t>Mantles</t>
  </si>
  <si>
    <t>Therms</t>
  </si>
  <si>
    <t>Minimum Bill</t>
  </si>
  <si>
    <t>All over 5,000 therms</t>
  </si>
  <si>
    <t>First 25,000 Therms</t>
  </si>
  <si>
    <t>Next 25,000 Therms</t>
  </si>
  <si>
    <t>All over 50,000 Therms</t>
  </si>
  <si>
    <t>First 1,000 therms</t>
  </si>
  <si>
    <t>All over 1,000 therms</t>
  </si>
  <si>
    <t>Next 50,000 Therms</t>
  </si>
  <si>
    <t>Next 100,000 therms</t>
  </si>
  <si>
    <t>Next 300,000 therms</t>
  </si>
  <si>
    <t>All over 500,000 therms</t>
  </si>
  <si>
    <t>Current</t>
  </si>
  <si>
    <t>Total</t>
  </si>
  <si>
    <t>Demand Charge</t>
  </si>
  <si>
    <t>Schedule</t>
  </si>
  <si>
    <t>Total Revenues</t>
  </si>
  <si>
    <t>Revenues</t>
  </si>
  <si>
    <t>71</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</si>
  <si>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</si>
  <si>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</si>
  <si>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</si>
  <si>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</si>
  <si>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</si>
  <si>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</si>
  <si>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</si>
  <si>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</si>
  <si>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</si>
  <si>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</si>
  <si>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</si>
  <si>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</si>
  <si>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72</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</si>
  <si>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</si>
  <si>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</si>
  <si>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</si>
  <si>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</si>
  <si>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</si>
  <si>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</si>
  <si>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</si>
  <si>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</si>
  <si>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</si>
  <si>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</si>
  <si>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</si>
  <si>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</si>
  <si>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</si>
  <si>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</si>
  <si>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74</t>
  </si>
  <si>
    <t>74G-A</t>
  </si>
  <si>
    <t xml:space="preserve">45,000 to 400,000 Standard Models </t>
  </si>
  <si>
    <t>74G-B</t>
  </si>
  <si>
    <t xml:space="preserve">401,000 to 700,000 Standard Models </t>
  </si>
  <si>
    <t>74G-C</t>
  </si>
  <si>
    <t xml:space="preserve">701,000 to 1,300,000 Standard Models </t>
  </si>
  <si>
    <t>74G-D</t>
  </si>
  <si>
    <t xml:space="preserve">45,000 to 400,000 Conservation Models </t>
  </si>
  <si>
    <t>Increase</t>
  </si>
  <si>
    <t>Procurement Charge</t>
  </si>
  <si>
    <t>Bills</t>
  </si>
  <si>
    <t>Calculated Total Therms</t>
  </si>
  <si>
    <t>Rate Class</t>
  </si>
  <si>
    <t>Puget Sound Energy</t>
  </si>
  <si>
    <t>Schedule 23</t>
  </si>
  <si>
    <t>Schedule 16</t>
  </si>
  <si>
    <t>Schedule 53</t>
  </si>
  <si>
    <t>Demand</t>
  </si>
  <si>
    <t>Units</t>
  </si>
  <si>
    <t>Volume</t>
  </si>
  <si>
    <t>Pro forma</t>
  </si>
  <si>
    <t>Revenue at</t>
  </si>
  <si>
    <t>Existing</t>
  </si>
  <si>
    <t>Gas Revenue</t>
  </si>
  <si>
    <t>at Existing</t>
  </si>
  <si>
    <t>Delivery Charge</t>
  </si>
  <si>
    <t>Rate</t>
  </si>
  <si>
    <t>Schedule 61</t>
  </si>
  <si>
    <t>Delivery Charge:</t>
  </si>
  <si>
    <t>Volumetric Charge</t>
  </si>
  <si>
    <t>Margin</t>
  </si>
  <si>
    <t>(Therms)</t>
  </si>
  <si>
    <t>Residential (16,23,53)</t>
  </si>
  <si>
    <t>Rentals</t>
  </si>
  <si>
    <t>Other revenue</t>
  </si>
  <si>
    <t>Revenue</t>
  </si>
  <si>
    <t>Percent</t>
  </si>
  <si>
    <t>Proposed total increase</t>
  </si>
  <si>
    <t>Line</t>
  </si>
  <si>
    <t>TARGET 23/53</t>
  </si>
  <si>
    <t>Spread</t>
  </si>
  <si>
    <t>TARGET 16</t>
  </si>
  <si>
    <t xml:space="preserve">Under </t>
  </si>
  <si>
    <t>Existing Rates</t>
  </si>
  <si>
    <t>Proposed Rates</t>
  </si>
  <si>
    <t>A</t>
  </si>
  <si>
    <t>B</t>
  </si>
  <si>
    <t>C</t>
  </si>
  <si>
    <t>D</t>
  </si>
  <si>
    <t>E</t>
  </si>
  <si>
    <t>F</t>
  </si>
  <si>
    <t>G</t>
  </si>
  <si>
    <t>H</t>
  </si>
  <si>
    <t>J</t>
  </si>
  <si>
    <t>K</t>
  </si>
  <si>
    <t>L</t>
  </si>
  <si>
    <t>M</t>
  </si>
  <si>
    <t>N</t>
  </si>
  <si>
    <t>O</t>
  </si>
  <si>
    <t>I</t>
  </si>
  <si>
    <t>Target</t>
  </si>
  <si>
    <t>over (under)</t>
  </si>
  <si>
    <t xml:space="preserve"> </t>
  </si>
  <si>
    <t>Gas Balancing Service Charge</t>
  </si>
  <si>
    <t>Total Volume</t>
  </si>
  <si>
    <t>Total Gas (Schedule 101) Revenues</t>
  </si>
  <si>
    <t>Total Margin Revenues</t>
  </si>
  <si>
    <t>Total Revenue</t>
  </si>
  <si>
    <t>Calculated</t>
  </si>
  <si>
    <t>Change in</t>
  </si>
  <si>
    <t>Minimum Bills</t>
  </si>
  <si>
    <t>Total Residential Gas (Schedule 101) Revenues</t>
  </si>
  <si>
    <t>Total Residential Margin Revenues</t>
  </si>
  <si>
    <t>Total Residential Revenues</t>
  </si>
  <si>
    <t>Check</t>
  </si>
  <si>
    <t>Change</t>
  </si>
  <si>
    <t>in minimum bills</t>
  </si>
  <si>
    <t>Schedule 85 - Sales</t>
  </si>
  <si>
    <t>Schedule 85 - Transportation</t>
  </si>
  <si>
    <t>Schedule 87 - Sales</t>
  </si>
  <si>
    <t>Schedule 87 - Transportation</t>
  </si>
  <si>
    <t>Schedule 41 - Sales</t>
  </si>
  <si>
    <t>Schedule 85 - Total</t>
  </si>
  <si>
    <t>Schedule 41 - Total</t>
  </si>
  <si>
    <t>Schedule 87 - Total</t>
  </si>
  <si>
    <t>Basic Charge</t>
  </si>
  <si>
    <t>Grand Total</t>
  </si>
  <si>
    <t>Contracts</t>
  </si>
  <si>
    <t>Gas Revenue (Schedule 101) (1)</t>
  </si>
  <si>
    <t>Annual</t>
  </si>
  <si>
    <t>Charges</t>
  </si>
  <si>
    <t>Schedule 86 - Sales</t>
  </si>
  <si>
    <t>Schedule 86 - Transportation</t>
  </si>
  <si>
    <t>Schedule 86 - Total</t>
  </si>
  <si>
    <t>Schedule 31 - Sales</t>
  </si>
  <si>
    <t>Schedule 31 - Transportation</t>
  </si>
  <si>
    <t>Schedule 31 - Total</t>
  </si>
  <si>
    <t>Residential Summary</t>
  </si>
  <si>
    <t>Commercial &amp; Industrial Summary</t>
  </si>
  <si>
    <t>Next 4,100 therms</t>
  </si>
  <si>
    <t>Rates (1)</t>
  </si>
  <si>
    <t>Total (2)</t>
  </si>
  <si>
    <t>(2) Calculated margin increase (column M) divided by pro forma revenue at existing rates (column B).</t>
  </si>
  <si>
    <t>Large volume (41,41T)</t>
  </si>
  <si>
    <t>Non exclusive interruptible (87,87T)</t>
  </si>
  <si>
    <t>First 900 therms</t>
  </si>
  <si>
    <t>Interruptible (85, 85T)</t>
  </si>
  <si>
    <t>Schedule 41 - Transportation</t>
  </si>
  <si>
    <t>of Total</t>
  </si>
  <si>
    <t>Uniform</t>
  </si>
  <si>
    <t>Average increase on margin (includes rentals, excludes contracts)</t>
  </si>
  <si>
    <t>Average increase on total (includes rentals, excludes contracts)</t>
  </si>
  <si>
    <t>Adjustment to increase for unequal allocation of increase</t>
  </si>
  <si>
    <t>Resulting</t>
  </si>
  <si>
    <t>Increase Less</t>
  </si>
  <si>
    <t>Rounding error</t>
  </si>
  <si>
    <t>Plus Contracts</t>
  </si>
  <si>
    <t>Average increase on margin after contracts</t>
  </si>
  <si>
    <t>Subtotal revenue from rates</t>
  </si>
  <si>
    <t>Plus Rentals</t>
  </si>
  <si>
    <t>Total Delivery Charge</t>
  </si>
  <si>
    <t>Pro Forma Total</t>
  </si>
  <si>
    <t>Interruptible Summary</t>
  </si>
  <si>
    <t>Total Summary</t>
  </si>
  <si>
    <t>Schedules 85, 85T</t>
  </si>
  <si>
    <t>Schedules 87, 87T</t>
  </si>
  <si>
    <t>Schedules 86, 86T</t>
  </si>
  <si>
    <t>Total Delivery Charges</t>
  </si>
  <si>
    <t>Total Gas Revenue</t>
  </si>
  <si>
    <t>Gas Revenue (Schedule 101)</t>
  </si>
  <si>
    <t>2011 Gas General Rate Case</t>
  </si>
  <si>
    <t>Limited interruptible (86, 86T)</t>
  </si>
  <si>
    <t>(1) Schedule 101 rates at proposed revenue adjustment factor (RAF).</t>
  </si>
  <si>
    <t>(1) Pro forma gas revenue at rates (2010 PGA) in place at the time of filing (June 2011).</t>
  </si>
  <si>
    <t>Commercial &amp; industrial (31,31T,61)</t>
  </si>
  <si>
    <t>Schedules 31, 31T, 61</t>
  </si>
  <si>
    <t>Schedule 41, 41T</t>
  </si>
  <si>
    <t>TARGET 31/31T</t>
  </si>
  <si>
    <t>TARGET 41/41T</t>
  </si>
  <si>
    <t>TARGET 85/85T</t>
  </si>
  <si>
    <t>TARGET 86/86T</t>
  </si>
  <si>
    <t>TARGET 87/87T</t>
  </si>
  <si>
    <t>Margin (3)</t>
  </si>
  <si>
    <t>P</t>
  </si>
  <si>
    <t>(3) Calculated margin increase (column M) divided by pro forma margin at existing rates (column D).</t>
  </si>
  <si>
    <t>Over</t>
  </si>
  <si>
    <t>(Under)</t>
  </si>
  <si>
    <t>Less</t>
  </si>
  <si>
    <t>of</t>
  </si>
  <si>
    <t>2011 General Rate Case Filing - Gas</t>
  </si>
  <si>
    <t xml:space="preserve"> Gas Cost of Service, Pro Forma Revenue and Rate Design</t>
  </si>
  <si>
    <t>Index of Workpapers</t>
  </si>
  <si>
    <t>JKP-3 Pro Forma Revenue</t>
  </si>
  <si>
    <r>
      <t>2.</t>
    </r>
    <r>
      <rPr>
        <sz val="7"/>
        <rFont val="Times New Roman"/>
        <family val="1"/>
      </rPr>
      <t xml:space="preserve">      </t>
    </r>
    <r>
      <rPr>
        <sz val="12"/>
        <rFont val="Times New Roman"/>
        <family val="1"/>
      </rPr>
      <t>CKC-WP Gas Weather Normalization 2011GRC.xls (provided in workpapers of Chun Chang)</t>
    </r>
  </si>
  <si>
    <t>JKP-4 Gas Cost of Service Study Model</t>
  </si>
  <si>
    <t xml:space="preserve">      1. JKP-WP 2011 Gas COSS December TY.xls</t>
  </si>
  <si>
    <t>JKP-7: Cost of Service Account Inputs</t>
  </si>
  <si>
    <r>
      <t>1.</t>
    </r>
    <r>
      <rPr>
        <sz val="7"/>
        <rFont val="Times New Roman"/>
        <family val="1"/>
      </rPr>
      <t xml:space="preserve">      </t>
    </r>
    <r>
      <rPr>
        <sz val="12"/>
        <rFont val="Times New Roman"/>
        <family val="1"/>
      </rPr>
      <t>MJS-WP 6.19G Wage Increase (provided in workpapers of Mike Stranik)</t>
    </r>
  </si>
  <si>
    <r>
      <t>2.</t>
    </r>
    <r>
      <rPr>
        <sz val="7"/>
        <rFont val="Times New Roman"/>
        <family val="1"/>
      </rPr>
      <t xml:space="preserve">      </t>
    </r>
    <r>
      <rPr>
        <sz val="12"/>
        <rFont val="Times New Roman"/>
        <family val="1"/>
      </rPr>
      <t>MJS-WP 7.02G Cost of Capital (provided in workpapers of Mike Stranik )</t>
    </r>
  </si>
  <si>
    <r>
      <t>3.</t>
    </r>
    <r>
      <rPr>
        <sz val="7"/>
        <rFont val="Times New Roman"/>
        <family val="1"/>
      </rPr>
      <t xml:space="preserve">      </t>
    </r>
    <r>
      <rPr>
        <sz val="12"/>
        <rFont val="Times New Roman"/>
        <family val="1"/>
      </rPr>
      <t>MJS-WP 7.03G Conversion Factor (provided in Exhibit MJS-7)</t>
    </r>
  </si>
  <si>
    <r>
      <t>4.</t>
    </r>
    <r>
      <rPr>
        <sz val="7"/>
        <rFont val="Times New Roman"/>
        <family val="1"/>
      </rPr>
      <t xml:space="preserve">      </t>
    </r>
    <r>
      <rPr>
        <sz val="12"/>
        <rFont val="Times New Roman"/>
        <family val="1"/>
      </rPr>
      <t>JKP-WP 2011 GRC Gas RAF.xlsx</t>
    </r>
  </si>
  <si>
    <r>
      <t>5.</t>
    </r>
    <r>
      <rPr>
        <sz val="7"/>
        <rFont val="Times New Roman"/>
        <family val="1"/>
      </rPr>
      <t xml:space="preserve">      </t>
    </r>
    <r>
      <rPr>
        <sz val="12"/>
        <rFont val="Times New Roman"/>
        <family val="1"/>
      </rPr>
      <t>JKP-WP Income Statement&amp;Ratebase.xls</t>
    </r>
  </si>
  <si>
    <r>
      <t>7.</t>
    </r>
    <r>
      <rPr>
        <sz val="7"/>
        <rFont val="Times New Roman"/>
        <family val="1"/>
      </rPr>
      <t xml:space="preserve">      </t>
    </r>
    <r>
      <rPr>
        <sz val="12"/>
        <rFont val="Times New Roman"/>
        <family val="1"/>
      </rPr>
      <t>JKP-WP 4081 Plus Payroll.xlsx</t>
    </r>
  </si>
  <si>
    <r>
      <t>8.</t>
    </r>
    <r>
      <rPr>
        <sz val="7"/>
        <rFont val="Times New Roman"/>
        <family val="1"/>
      </rPr>
      <t xml:space="preserve">      </t>
    </r>
    <r>
      <rPr>
        <sz val="12"/>
        <rFont val="Times New Roman"/>
        <family val="1"/>
      </rPr>
      <t>JKP-WP Gas depr expense for COS.xls</t>
    </r>
  </si>
  <si>
    <t>JKP-8: Cost of Service Allocation Factors</t>
  </si>
  <si>
    <r>
      <t>1.</t>
    </r>
    <r>
      <rPr>
        <sz val="7"/>
        <rFont val="Times New Roman"/>
        <family val="1"/>
      </rPr>
      <t xml:space="preserve">      </t>
    </r>
    <r>
      <rPr>
        <sz val="12"/>
        <rFont val="Times New Roman"/>
        <family val="1"/>
      </rPr>
      <t>JKP-WP Customer Summary GRC11.xls</t>
    </r>
  </si>
  <si>
    <r>
      <t>2.</t>
    </r>
    <r>
      <rPr>
        <sz val="7"/>
        <rFont val="Times New Roman"/>
        <family val="1"/>
      </rPr>
      <t xml:space="preserve">      </t>
    </r>
    <r>
      <rPr>
        <sz val="12"/>
        <rFont val="Times New Roman"/>
        <family val="1"/>
      </rPr>
      <t>JKP-WP 2011 GRC External Customer Allocators.xls</t>
    </r>
  </si>
  <si>
    <r>
      <t>3.</t>
    </r>
    <r>
      <rPr>
        <sz val="7"/>
        <rFont val="Times New Roman"/>
        <family val="1"/>
      </rPr>
      <t xml:space="preserve">      </t>
    </r>
    <r>
      <rPr>
        <sz val="12"/>
        <rFont val="Times New Roman"/>
        <family val="1"/>
      </rPr>
      <t>JKP-WP Uncollectible Account Expenses 2011 GRC.xls</t>
    </r>
  </si>
  <si>
    <r>
      <t>5.</t>
    </r>
    <r>
      <rPr>
        <sz val="7"/>
        <rFont val="Times New Roman"/>
        <family val="1"/>
      </rPr>
      <t xml:space="preserve">      </t>
    </r>
    <r>
      <rPr>
        <sz val="12"/>
        <rFont val="Times New Roman"/>
        <family val="1"/>
      </rPr>
      <t>JKP-WP Meter Allocators - 2011 GRC.xlsx</t>
    </r>
  </si>
  <si>
    <r>
      <t>6.</t>
    </r>
    <r>
      <rPr>
        <sz val="7"/>
        <rFont val="Times New Roman"/>
        <family val="1"/>
      </rPr>
      <t xml:space="preserve">      </t>
    </r>
    <r>
      <rPr>
        <sz val="12"/>
        <rFont val="Times New Roman"/>
        <family val="1"/>
      </rPr>
      <t>JKP-WP Mains Allocator 2011 GRC.xls</t>
    </r>
  </si>
  <si>
    <r>
      <t>8.</t>
    </r>
    <r>
      <rPr>
        <sz val="7"/>
        <rFont val="Times New Roman"/>
        <family val="1"/>
      </rPr>
      <t xml:space="preserve">      </t>
    </r>
    <r>
      <rPr>
        <sz val="12"/>
        <rFont val="Times New Roman"/>
        <family val="1"/>
      </rPr>
      <t>JKP-WP Demand Allocator Summary 2011 GRC.xls</t>
    </r>
  </si>
  <si>
    <r>
      <t>9.</t>
    </r>
    <r>
      <rPr>
        <sz val="7"/>
        <rFont val="Times New Roman"/>
        <family val="1"/>
      </rPr>
      <t xml:space="preserve">      </t>
    </r>
    <r>
      <rPr>
        <sz val="12"/>
        <rFont val="Times New Roman"/>
        <family val="1"/>
      </rPr>
      <t>JKP-WP 2011 GRC One Time Charges YE 12-2010.xlsx</t>
    </r>
  </si>
  <si>
    <r>
      <t>10.</t>
    </r>
    <r>
      <rPr>
        <sz val="7"/>
        <rFont val="Times New Roman"/>
        <family val="1"/>
      </rPr>
      <t xml:space="preserve">  </t>
    </r>
    <r>
      <rPr>
        <sz val="12"/>
        <rFont val="Times New Roman"/>
        <family val="1"/>
      </rPr>
      <t>JKP-WP Deposit 2011 GRC.xlsx</t>
    </r>
  </si>
  <si>
    <t>JKP-10 Rate Spread and Rate Design</t>
  </si>
  <si>
    <r>
      <t>1.</t>
    </r>
    <r>
      <rPr>
        <sz val="7"/>
        <rFont val="Times New Roman"/>
        <family val="1"/>
      </rPr>
      <t xml:space="preserve">      </t>
    </r>
    <r>
      <rPr>
        <sz val="12"/>
        <rFont val="Times New Roman"/>
        <family val="1"/>
      </rPr>
      <t>JKP-WP Gas Rate Design 2011 GRC.xls</t>
    </r>
  </si>
  <si>
    <t>Gas Costs from November 2010 Purchased Gas Adjustment</t>
  </si>
  <si>
    <t>Adjusted for Rate Case Volumes</t>
  </si>
  <si>
    <t>2011 GRC</t>
  </si>
  <si>
    <t>PGA</t>
  </si>
  <si>
    <t>Requirement</t>
  </si>
  <si>
    <t>Allocator</t>
  </si>
  <si>
    <t>Allocator Description</t>
  </si>
  <si>
    <t>Demand Costs</t>
  </si>
  <si>
    <t>Supply Costs</t>
  </si>
  <si>
    <t>Peaking Firm</t>
  </si>
  <si>
    <t>PDAYXT</t>
  </si>
  <si>
    <t>Peak day excluding transport</t>
  </si>
  <si>
    <t>Total Supply Demand Costs</t>
  </si>
  <si>
    <t>Storage Costs</t>
  </si>
  <si>
    <t>Clay Basin Demand</t>
  </si>
  <si>
    <t>SEAS2</t>
  </si>
  <si>
    <t>Winter (November - March) weather normalized sales</t>
  </si>
  <si>
    <t>Clay Basin Capacity</t>
  </si>
  <si>
    <t>SGS-2 Jackson Prairie Deliverability</t>
  </si>
  <si>
    <t>JPTF2</t>
  </si>
  <si>
    <t>Winter sales &amp; peak day excluding transport</t>
  </si>
  <si>
    <t>SGS-2 Jackson Prairie Deliverability Balancing</t>
  </si>
  <si>
    <t>COM1GS</t>
  </si>
  <si>
    <t>Weather normalized throughput</t>
  </si>
  <si>
    <t>SGS-2 Jackson Prairie Capacity</t>
  </si>
  <si>
    <t>SGS-2 Jackson Prairie Capacity Balancing</t>
  </si>
  <si>
    <t>LS-1 + Gig Harbor LNG Deliverability</t>
  </si>
  <si>
    <t>LS-1 + Gig Harbor LNG Capacity</t>
  </si>
  <si>
    <t>Total Storage Costs</t>
  </si>
  <si>
    <t>Pipeline Costs</t>
  </si>
  <si>
    <t>Northwest Pipeline TF-1 Annual Firm</t>
  </si>
  <si>
    <t>TF1</t>
  </si>
  <si>
    <t>Sales, winter sales &amp; peak day excluding transport</t>
  </si>
  <si>
    <t>Olympia Lateral Expansion</t>
  </si>
  <si>
    <t>Gas Transmission Northwest (GTN)</t>
  </si>
  <si>
    <t>Westcoast</t>
  </si>
  <si>
    <t>NOVA &amp; ANG</t>
  </si>
  <si>
    <t>TF-2 Related to Jackson Prairie</t>
  </si>
  <si>
    <t>TF-2 Related to Jackson Prairie Balancing</t>
  </si>
  <si>
    <t>TF-2 Related to LS-1</t>
  </si>
  <si>
    <t>Total Transportation Costs</t>
  </si>
  <si>
    <t>Capacity Release</t>
  </si>
  <si>
    <t>Total Demand Costs</t>
  </si>
  <si>
    <t>Variable Costs</t>
  </si>
  <si>
    <t>Annual Contracts &amp; Spot Purchases</t>
  </si>
  <si>
    <t>COM1XT</t>
  </si>
  <si>
    <t>Weather normalized sales (excludes transport)</t>
  </si>
  <si>
    <t>Withdrawals</t>
  </si>
  <si>
    <t>Injections</t>
  </si>
  <si>
    <t>Off System Sales Revenue</t>
  </si>
  <si>
    <t>Adjust for Rate Case Volumes</t>
  </si>
  <si>
    <t>Adjust for Rate Case Cost</t>
  </si>
  <si>
    <t>Total Variable Supply Costs</t>
  </si>
  <si>
    <t>SGS-2 Jackson Prairie Commodity</t>
  </si>
  <si>
    <t>SGS-2 Jackson Prairie Commodity Balancing</t>
  </si>
  <si>
    <t>LS-1 + Gig Harbor LNG Liquifaction</t>
  </si>
  <si>
    <t>LS-1 + Gig Harbor LNG Vaporization</t>
  </si>
  <si>
    <t>Clay Basin</t>
  </si>
  <si>
    <t>Total Variable Storage Costs</t>
  </si>
  <si>
    <t>TF-1 Commodity Costs</t>
  </si>
  <si>
    <t>NOVA Gas Transmission &amp; Alberta Natural Gas (ANG)</t>
  </si>
  <si>
    <t>Total Variable Pipeline Costs</t>
  </si>
  <si>
    <t>Total Variable Costs</t>
  </si>
  <si>
    <t>Total Gas Costs</t>
  </si>
  <si>
    <t>Gas Cost from Pro forma Revenue</t>
  </si>
  <si>
    <t>PGA Sales Volume (Therms) (Projected Year Ended October 2011)</t>
  </si>
  <si>
    <t>Rate Case Sales Volume (Therms) (Normalized Test Year Ended Dec. 2010)</t>
  </si>
  <si>
    <t>Rate Case Sales Volume Less PGA Sales Volume</t>
  </si>
  <si>
    <t>Percent Volume Change</t>
  </si>
  <si>
    <t>Average Variable Cost (PGA) ($/therm)</t>
  </si>
  <si>
    <t>Estimated Cost of Change in Volume</t>
  </si>
  <si>
    <r>
      <t>Sources: 2010 Purchased Gas Adjustment, Advice No. 2010-23, Exhibits PGA-2 and PGA-3; 2011 general rate case pro forma reve</t>
    </r>
    <r>
      <rPr>
        <sz val="10"/>
        <color indexed="8"/>
        <rFont val="Arial"/>
        <family val="2"/>
      </rPr>
      <t>nue (Exhibit JKP-3)</t>
    </r>
    <r>
      <rPr>
        <sz val="10"/>
        <color indexed="8"/>
        <rFont val="Arial"/>
        <family val="2"/>
      </rPr>
      <t>.</t>
    </r>
  </si>
  <si>
    <t>Confidential per WAC 480-07-160</t>
  </si>
  <si>
    <t>Effective date:</t>
  </si>
  <si>
    <t>November 1, 2010</t>
  </si>
  <si>
    <t>Summary of Projected Gas Costs for PGA Period November 2010 - October 2011</t>
  </si>
  <si>
    <t>Billing</t>
  </si>
  <si>
    <t>Sales</t>
  </si>
  <si>
    <t>per</t>
  </si>
  <si>
    <t>Commodity</t>
  </si>
  <si>
    <t>from</t>
  </si>
  <si>
    <t>(Dth)</t>
  </si>
  <si>
    <t>Dth/day</t>
  </si>
  <si>
    <t>Costs</t>
  </si>
  <si>
    <t>Previous PGA</t>
  </si>
  <si>
    <t>(a)</t>
  </si>
  <si>
    <t>(b)</t>
  </si>
  <si>
    <t>(c)</t>
  </si>
  <si>
    <t>(d)</t>
  </si>
  <si>
    <t>(e)</t>
  </si>
  <si>
    <t>(f)</t>
  </si>
  <si>
    <t>(g)</t>
  </si>
  <si>
    <t>(h)</t>
  </si>
  <si>
    <t>CAPACITY COSTS</t>
  </si>
  <si>
    <t>TF-1</t>
  </si>
  <si>
    <t>Demand-1</t>
  </si>
  <si>
    <t>TF-1 Evergreen</t>
  </si>
  <si>
    <t>TF-2</t>
  </si>
  <si>
    <t>SGS - 2 (J. P. Leased)</t>
  </si>
  <si>
    <t>Deliverability Demand</t>
  </si>
  <si>
    <t>Cap. Demand</t>
  </si>
  <si>
    <t>various</t>
  </si>
  <si>
    <t>LS-1</t>
  </si>
  <si>
    <t>Liquifaction</t>
  </si>
  <si>
    <t>Vaporization</t>
  </si>
  <si>
    <t>Subtotal Northwest Pipeline Capacity</t>
  </si>
  <si>
    <t xml:space="preserve">Commodity </t>
  </si>
  <si>
    <t>GTN (Formerly PGT)</t>
  </si>
  <si>
    <t>Demand / Commodity</t>
  </si>
  <si>
    <t>ALB NOVA</t>
  </si>
  <si>
    <t>BC ANG</t>
  </si>
  <si>
    <t>Pipeline Capacity Release</t>
  </si>
  <si>
    <t>Storage Release and Exchange</t>
  </si>
  <si>
    <t>Total All Capacity</t>
  </si>
  <si>
    <t>GAS SUPPLY COSTS</t>
  </si>
  <si>
    <t>Page 1 of 2</t>
  </si>
  <si>
    <t>CONFIDENTIAL Exhibit____(PGA-2)</t>
  </si>
  <si>
    <t>Advice No. 2010 - 23</t>
  </si>
  <si>
    <t>Purchases</t>
  </si>
  <si>
    <t>Storage Withdrawals</t>
  </si>
  <si>
    <t>Storage Injections</t>
  </si>
  <si>
    <t>Off-System Sales Revenue</t>
  </si>
  <si>
    <t>Total All Gas Supply (1)</t>
  </si>
  <si>
    <t>Total Capacity &amp; Gas Supply</t>
  </si>
  <si>
    <t>Total Commodity (Therms) (2)</t>
  </si>
  <si>
    <t>Transportation Losses</t>
  </si>
  <si>
    <t>Weighted Average Cost of Gas (WACOG) per Therm</t>
  </si>
  <si>
    <t>Total Average Cost per Therm (Commodity and Demand)</t>
  </si>
  <si>
    <t>(1)</t>
  </si>
  <si>
    <t>Total gas supply is actual purchases including firm and interruptible sales, utility use, and distribution and transportation losses.</t>
  </si>
  <si>
    <t>(2)</t>
  </si>
  <si>
    <t>Total commodity includes firm and interrruptible sales, utility use, and distribution losses.</t>
  </si>
  <si>
    <t>PGA Filing Proposed Effective November 1, 2010</t>
  </si>
  <si>
    <t>Forecast Sales Volumes and Customer Counts</t>
  </si>
  <si>
    <t>Projected Sales Volume by Month (Therms)</t>
  </si>
  <si>
    <t>Rate Sch</t>
  </si>
  <si>
    <t>Transportation</t>
  </si>
  <si>
    <t>Annual Sales Volume</t>
  </si>
  <si>
    <t>Schedule:</t>
  </si>
  <si>
    <t>Annual Sales:</t>
  </si>
  <si>
    <t>Number of Customers by Month</t>
  </si>
  <si>
    <t>Average</t>
  </si>
  <si>
    <t>Residential</t>
  </si>
  <si>
    <t>16 (1)</t>
  </si>
  <si>
    <t>Commercial &amp; Industrial</t>
  </si>
  <si>
    <t>Large Volume</t>
  </si>
  <si>
    <t>(1) Number of mantles</t>
  </si>
  <si>
    <t>All figures in $</t>
  </si>
  <si>
    <t>Supply Contracts</t>
  </si>
  <si>
    <t>Amount $</t>
  </si>
  <si>
    <t>Remarks</t>
  </si>
  <si>
    <t>Demand Charges</t>
  </si>
  <si>
    <t>PGSS Peaking Contract Demand and Reservation charge estimate</t>
  </si>
  <si>
    <t>Total Reported in PGA</t>
  </si>
  <si>
    <t>Volumetric Costs</t>
  </si>
  <si>
    <t>Column G - PGSS in (1) monthly supply cost Tab - PGA Filing November 2010</t>
  </si>
  <si>
    <t>Annual Firm</t>
  </si>
  <si>
    <t>Winter Firm</t>
  </si>
  <si>
    <t>Spot Market</t>
  </si>
  <si>
    <t>TF-2 Pipeline Costs</t>
  </si>
  <si>
    <t>Variable NW</t>
  </si>
  <si>
    <t>Cost excluding LNG</t>
  </si>
  <si>
    <t>LNG</t>
  </si>
  <si>
    <t>Based on LNG equivalent of billing determinant</t>
  </si>
  <si>
    <t>Summary G20</t>
  </si>
  <si>
    <t>Demand NW</t>
  </si>
  <si>
    <t>Demand LNG</t>
  </si>
  <si>
    <t>Summary I19</t>
  </si>
  <si>
    <t>Storage Variable Costs</t>
  </si>
  <si>
    <t>LS-1 Liquefaction</t>
  </si>
  <si>
    <t>PGA Summary Sheet</t>
  </si>
  <si>
    <t>LS-1 Vaporization</t>
  </si>
  <si>
    <t>PGA Monthly Sheet</t>
  </si>
  <si>
    <t>Account 376 as of December 31, 2010</t>
  </si>
  <si>
    <t>Account 376 as of December 31, 2010 - New Allocation</t>
  </si>
  <si>
    <t>Costs by Size and Type</t>
  </si>
  <si>
    <t>2010 $</t>
  </si>
  <si>
    <t>Allocation of .75-2.75 ST</t>
  </si>
  <si>
    <t>Costs by Type</t>
  </si>
  <si>
    <t>Size</t>
  </si>
  <si>
    <t>Total Quantity</t>
  </si>
  <si>
    <t>Quantity</t>
  </si>
  <si>
    <t>Total Cost</t>
  </si>
  <si>
    <t>Group</t>
  </si>
  <si>
    <t>1.125 PE</t>
  </si>
  <si>
    <t>1.25 ST</t>
  </si>
  <si>
    <t>a</t>
  </si>
  <si>
    <t>1.25 PE</t>
  </si>
  <si>
    <t>2 ST</t>
  </si>
  <si>
    <t>2 PE</t>
  </si>
  <si>
    <t>b</t>
  </si>
  <si>
    <t>3 PE</t>
  </si>
  <si>
    <t>4 PE</t>
  </si>
  <si>
    <t>c</t>
  </si>
  <si>
    <t>6 PE</t>
  </si>
  <si>
    <t>8 PE</t>
  </si>
  <si>
    <t>.75-2.75 ST</t>
  </si>
  <si>
    <t>.75-1.75 ST</t>
  </si>
  <si>
    <t>3 ST</t>
  </si>
  <si>
    <t>4 ST</t>
  </si>
  <si>
    <t>4-5 ST</t>
  </si>
  <si>
    <t>6 ST</t>
  </si>
  <si>
    <t>8 ST</t>
  </si>
  <si>
    <t>12 ST</t>
  </si>
  <si>
    <t>16 ST</t>
  </si>
  <si>
    <t>20 ST</t>
  </si>
  <si>
    <t>Category</t>
  </si>
  <si>
    <t>&lt; 2</t>
  </si>
  <si>
    <t>2-3</t>
  </si>
  <si>
    <t>=&gt; 4</t>
  </si>
  <si>
    <t>RETIREMENT UNIT</t>
  </si>
  <si>
    <t>Diameter</t>
  </si>
  <si>
    <t>Type</t>
  </si>
  <si>
    <t>Lookup</t>
  </si>
  <si>
    <t>FERC</t>
  </si>
  <si>
    <t>DESCRIPTION</t>
  </si>
  <si>
    <t>VINTAGE</t>
  </si>
  <si>
    <t>MONTH</t>
  </si>
  <si>
    <t>YEAR</t>
  </si>
  <si>
    <t>QUANTITY</t>
  </si>
  <si>
    <t>ACQUISITION VALUE</t>
  </si>
  <si>
    <t>ACCUMULATED DEPRECIATION</t>
  </si>
  <si>
    <t>NET BOOK VALUE</t>
  </si>
  <si>
    <t>HANDY WHITMAN HISTORIC INDEX</t>
  </si>
  <si>
    <t>FACTOR</t>
  </si>
  <si>
    <t>REPLACEMENT VALUE</t>
  </si>
  <si>
    <t>Dist Main Cathodic Protection</t>
  </si>
  <si>
    <t>G3765</t>
  </si>
  <si>
    <t>G3765 DST Mains, Cathodic Protectio</t>
  </si>
  <si>
    <t>2008</t>
  </si>
  <si>
    <t>12/2010</t>
  </si>
  <si>
    <t>1984</t>
  </si>
  <si>
    <t>1985</t>
  </si>
  <si>
    <t>1991</t>
  </si>
  <si>
    <t>1989</t>
  </si>
  <si>
    <t>1996</t>
  </si>
  <si>
    <t>2009</t>
  </si>
  <si>
    <t>2010</t>
  </si>
  <si>
    <t>2007</t>
  </si>
  <si>
    <t>2003</t>
  </si>
  <si>
    <t>2000</t>
  </si>
  <si>
    <t>1997</t>
  </si>
  <si>
    <t>2005</t>
  </si>
  <si>
    <t>2002</t>
  </si>
  <si>
    <t>2004</t>
  </si>
  <si>
    <t>2006</t>
  </si>
  <si>
    <t>2001</t>
  </si>
  <si>
    <t>1998</t>
  </si>
  <si>
    <t>1999</t>
  </si>
  <si>
    <t>Do Not Use : 9999</t>
  </si>
  <si>
    <t>G3762</t>
  </si>
  <si>
    <t>G3762 DST Mains, Plastic</t>
  </si>
  <si>
    <t>G3763</t>
  </si>
  <si>
    <t>G3763 DST Mains, Bare Steel</t>
  </si>
  <si>
    <t>1978</t>
  </si>
  <si>
    <t>G3764</t>
  </si>
  <si>
    <t>G3764 DST Mains, Wrapped Steel</t>
  </si>
  <si>
    <t>1990</t>
  </si>
  <si>
    <t>1992</t>
  </si>
  <si>
    <t>1993</t>
  </si>
  <si>
    <t>Main, Bare Steel,  .75-2.75"</t>
  </si>
  <si>
    <t>.75-2.75</t>
  </si>
  <si>
    <t>ST</t>
  </si>
  <si>
    <t>1957</t>
  </si>
  <si>
    <t>1958</t>
  </si>
  <si>
    <t>Main, Bare Steel,  3"</t>
  </si>
  <si>
    <t>1954</t>
  </si>
  <si>
    <t>1953</t>
  </si>
  <si>
    <t>Main, Bare Steel,  4-5"</t>
  </si>
  <si>
    <t>4-5</t>
  </si>
  <si>
    <t>Main, Bare Steel,  6"</t>
  </si>
  <si>
    <t>Main, Bare Steel,  8"</t>
  </si>
  <si>
    <t>Main, Steel Wrap,  .75-1.75"</t>
  </si>
  <si>
    <t>.75-1.75</t>
  </si>
  <si>
    <t>1959</t>
  </si>
  <si>
    <t>1960</t>
  </si>
  <si>
    <t>1961</t>
  </si>
  <si>
    <t>1964</t>
  </si>
  <si>
    <t>1962</t>
  </si>
  <si>
    <t>1963</t>
  </si>
  <si>
    <t>Main, Steel Wrap,  1.25"</t>
  </si>
  <si>
    <t>1995</t>
  </si>
  <si>
    <t>1994</t>
  </si>
  <si>
    <t>1986</t>
  </si>
  <si>
    <t>1988</t>
  </si>
  <si>
    <t>1983</t>
  </si>
  <si>
    <t>1982</t>
  </si>
  <si>
    <t>1979</t>
  </si>
  <si>
    <t>1981</t>
  </si>
  <si>
    <t>1980</t>
  </si>
  <si>
    <t>1976</t>
  </si>
  <si>
    <t>1987</t>
  </si>
  <si>
    <t>1975</t>
  </si>
  <si>
    <t>1974</t>
  </si>
  <si>
    <t>1977</t>
  </si>
  <si>
    <t>1971</t>
  </si>
  <si>
    <t>1972</t>
  </si>
  <si>
    <t>1973</t>
  </si>
  <si>
    <t>1965</t>
  </si>
  <si>
    <t>1970</t>
  </si>
  <si>
    <t>1967</t>
  </si>
  <si>
    <t>1969</t>
  </si>
  <si>
    <t>1966</t>
  </si>
  <si>
    <t>1968</t>
  </si>
  <si>
    <t>Main, Steel Wrap,  2"</t>
  </si>
  <si>
    <t>Main, Steel Wrap,  3"</t>
  </si>
  <si>
    <t>Main, Steel Wrap,  4"</t>
  </si>
  <si>
    <t>Main, Steel Wrap,  6"</t>
  </si>
  <si>
    <t>Main, Steel Wrap,  8"</t>
  </si>
  <si>
    <t>Main, Steel Wrap, 12"</t>
  </si>
  <si>
    <t>Main, Steel Wrap, 16"</t>
  </si>
  <si>
    <t>G3766</t>
  </si>
  <si>
    <t>G3766 DST Mains, Frm Trans, St Wrap</t>
  </si>
  <si>
    <t>Main, Steel Wrap, 20"</t>
  </si>
  <si>
    <t>Trans Main 12 In Steel Wrap : 1005</t>
  </si>
  <si>
    <t>1956</t>
  </si>
  <si>
    <t>Trans Main 16 In Steel Wrap : 1006</t>
  </si>
  <si>
    <t>Trans Main 2 In Steel Wrap : 1000</t>
  </si>
  <si>
    <t>Trans Main 20 In Steel Wrap : 1004</t>
  </si>
  <si>
    <t>Trans Main 4 In Steel Wrap : 1001</t>
  </si>
  <si>
    <t>Trans Main 6 In Steel Wrap : 1002</t>
  </si>
  <si>
    <t>Trans Main 8 In Steel Wrap : 1003</t>
  </si>
  <si>
    <t>Total Steel</t>
  </si>
  <si>
    <t>Main, MPE, 1.125"</t>
  </si>
  <si>
    <t>PE</t>
  </si>
  <si>
    <t>Main, MPE, 1.25"</t>
  </si>
  <si>
    <t>Main, MPE, 2"</t>
  </si>
  <si>
    <t>Main, MPE, 3"</t>
  </si>
  <si>
    <t>Main, MPE, 4"</t>
  </si>
  <si>
    <t>Main, MPE, 6"</t>
  </si>
  <si>
    <t>Main, MPE, 8"</t>
  </si>
  <si>
    <t>Main, PE, 1.125"</t>
  </si>
  <si>
    <t>Main, PE, 1.25"</t>
  </si>
  <si>
    <t>Main, PE, 2"</t>
  </si>
  <si>
    <t>Main, PE, 3"</t>
  </si>
  <si>
    <t>Main, PE, 4"</t>
  </si>
  <si>
    <t>Main, PE, 6"</t>
  </si>
  <si>
    <t>Main, PE, 8"</t>
  </si>
  <si>
    <t>Total Plastic</t>
  </si>
  <si>
    <t>Total Steel &amp; Plastic</t>
  </si>
  <si>
    <t>Total Less Cathodic Protection</t>
  </si>
  <si>
    <t>Other Type</t>
  </si>
  <si>
    <t>HANDY WHITMAN HISTORIC VALUE</t>
  </si>
  <si>
    <t>Service Pipe, EUF  .625" Mpe</t>
  </si>
  <si>
    <t>G3802</t>
  </si>
  <si>
    <t>G3802 DST Services, Plastic</t>
  </si>
  <si>
    <t>.625"</t>
  </si>
  <si>
    <t>EUF</t>
  </si>
  <si>
    <t>Service Pipe, Extn  .625" Mpe</t>
  </si>
  <si>
    <t>EXTN</t>
  </si>
  <si>
    <t>Service Pipe, Extn  .625" Pe</t>
  </si>
  <si>
    <t>Service Pipe, Stub  .625" Mpe</t>
  </si>
  <si>
    <t>STUB</t>
  </si>
  <si>
    <t>Service Pipe, Stub  .625" Pe</t>
  </si>
  <si>
    <t>Service Pipe, Twin  .625" Mpe</t>
  </si>
  <si>
    <t>TWIN</t>
  </si>
  <si>
    <t>Service Pipe, Twin  .625" Pe</t>
  </si>
  <si>
    <t>Service Pipe, EUF  1.125" Mpe</t>
  </si>
  <si>
    <t>1.125"</t>
  </si>
  <si>
    <t>Service Pipe, EUF  1.125" Pe</t>
  </si>
  <si>
    <t>Service Pipe, Extn  1.125" Mpe</t>
  </si>
  <si>
    <t>Service Pipe, Extn  1.125" Pe</t>
  </si>
  <si>
    <t>Service Pipe, Stub  1.125" Mpe</t>
  </si>
  <si>
    <t>Service Pipe, Stub  1.125" Pe</t>
  </si>
  <si>
    <t>Service Pipe, Twin  1.125" Mpe</t>
  </si>
  <si>
    <t>Service Pipe, Twin  1.125" Pe</t>
  </si>
  <si>
    <t>Service Pipe, EUF  1.25" Mpe</t>
  </si>
  <si>
    <t>1.25"</t>
  </si>
  <si>
    <t>Service Pipe, EUF  1.25" Pe</t>
  </si>
  <si>
    <t>Service Pipe, Extn  1.25" Mpe</t>
  </si>
  <si>
    <t>Service Pipe, Extn  1.25" Pe</t>
  </si>
  <si>
    <t>Service Pipe, Stub  1.25" Mpe</t>
  </si>
  <si>
    <t>Service Pipe, Stub  1.25" Pe</t>
  </si>
  <si>
    <t>Service Pipe, Twin  1.25" Mpe</t>
  </si>
  <si>
    <t>Service Pipe, Twin  1.25" Pe</t>
  </si>
  <si>
    <t>Service Pipe, EUF  2" Mpe</t>
  </si>
  <si>
    <t>2"</t>
  </si>
  <si>
    <t>Service Pipe, EUF  2" Pe</t>
  </si>
  <si>
    <t>Service Pipe, Extn  2" Mpe</t>
  </si>
  <si>
    <t>Service Pipe, Extn  2" Pe</t>
  </si>
  <si>
    <t>Service Pipe, Stub  2" Mpe</t>
  </si>
  <si>
    <t>Service Pipe, Stub  2" Pe</t>
  </si>
  <si>
    <t>Service Pipe, Twin  2" Mpe</t>
  </si>
  <si>
    <t>Service Pipe, Twin  2" Pe</t>
  </si>
  <si>
    <t>Service Pipe, EUF  4" Mpe</t>
  </si>
  <si>
    <t>4"</t>
  </si>
  <si>
    <t>Service Pipe, EUF  4" Pe</t>
  </si>
  <si>
    <t>Service Pipe, Extn  4" Mpe</t>
  </si>
  <si>
    <t>Service Pipe, Extn  4" Pe</t>
  </si>
  <si>
    <t>Service Pipe, Stub  4" Mpe</t>
  </si>
  <si>
    <t>Service Pipe, Stub  4" Pe</t>
  </si>
  <si>
    <t>Service Pipe, EUF  6" Pe</t>
  </si>
  <si>
    <t>6"</t>
  </si>
  <si>
    <t>Service Pipe, Extn  6" Mpe</t>
  </si>
  <si>
    <t>Service Pipe, Extn  6" Pe</t>
  </si>
  <si>
    <t>Service Pipe, Stub  6" Mpe</t>
  </si>
  <si>
    <t>Service Pipe, Stub  6" Pe</t>
  </si>
  <si>
    <t>Service Pipe, Extn  .50-2" Kr</t>
  </si>
  <si>
    <t>G3805</t>
  </si>
  <si>
    <t>G3805 DST Services, Copper</t>
  </si>
  <si>
    <t>.5-2"</t>
  </si>
  <si>
    <t>Service Pipe, Stub  .50-2" Kr</t>
  </si>
  <si>
    <t>Service Pipe, Extn  .750" Stw</t>
  </si>
  <si>
    <t>G3803</t>
  </si>
  <si>
    <t>G3803 DST Services, Steel Wrapped</t>
  </si>
  <si>
    <t>.75"</t>
  </si>
  <si>
    <t>Service Pipe, Stub  .750" Stw</t>
  </si>
  <si>
    <t>Service Pipe, Extn  .75-1" Wi &amp; St</t>
  </si>
  <si>
    <t>G3804</t>
  </si>
  <si>
    <t>G3804 DST Services, Bare Steel</t>
  </si>
  <si>
    <t>.75-1"</t>
  </si>
  <si>
    <t>1955</t>
  </si>
  <si>
    <t>Service Pipe, Stub  .75-1" Wi &amp; St</t>
  </si>
  <si>
    <t>Service Pipe, Extn  1" Stw</t>
  </si>
  <si>
    <t>1"</t>
  </si>
  <si>
    <t>Service Pipe, Stub  1" Stw</t>
  </si>
  <si>
    <t>Service Pipe, Extn  1.25" Stw</t>
  </si>
  <si>
    <t>Service Pipe, Stub  1.25" Stw</t>
  </si>
  <si>
    <t>Service Pipe, Extn  1.25-2" Wi &amp; St</t>
  </si>
  <si>
    <t>1.25-2"</t>
  </si>
  <si>
    <t>Service Pipe, Stub  1.25-2" Wi &amp; St</t>
  </si>
  <si>
    <t>Service Pipe, Extn 12" Wi &amp; St</t>
  </si>
  <si>
    <t>12"</t>
  </si>
  <si>
    <t>Service Pipe, Stub 12" Wi &amp; St</t>
  </si>
  <si>
    <t>Service Pipe, Extn  2" Stw</t>
  </si>
  <si>
    <t>Service Pipe, Stub  2" Stw</t>
  </si>
  <si>
    <t>Service Pipe, Extn  3" Stw</t>
  </si>
  <si>
    <t>3"</t>
  </si>
  <si>
    <t>Service Pipe, Extn  3" Wi &amp; St</t>
  </si>
  <si>
    <t>Service Pipe, Stub  3" Stw</t>
  </si>
  <si>
    <t>Service Pipe, Stub  3" Wi &amp; St</t>
  </si>
  <si>
    <t>Service Pipe, Extn  4" Stw</t>
  </si>
  <si>
    <t>Service Pipe, Stub  4" Stw</t>
  </si>
  <si>
    <t>Service Pipe, EUF  6" Stw</t>
  </si>
  <si>
    <t>Service Pipe, Extn  6" Stw</t>
  </si>
  <si>
    <t>Service Pipe, Extn  6" Wi &amp; St</t>
  </si>
  <si>
    <t>Service Pipe, Stub  6" Stw</t>
  </si>
  <si>
    <t>Service Pipe, Stub  6" Wi &amp; St</t>
  </si>
  <si>
    <t>Service Pipe, Extn  8" Stw</t>
  </si>
  <si>
    <t>8"</t>
  </si>
  <si>
    <t>Service Pipe, Stub  8" Stw</t>
  </si>
  <si>
    <t>Dist Service Cathodic Protection</t>
  </si>
  <si>
    <t>G3800</t>
  </si>
  <si>
    <t>G3800 DST Services</t>
  </si>
  <si>
    <t>G3801</t>
  </si>
  <si>
    <t>G3801 DST Services, Cathodic Protec</t>
  </si>
  <si>
    <t>Total Services</t>
  </si>
  <si>
    <t>Account 380</t>
  </si>
  <si>
    <t>Total Costs</t>
  </si>
  <si>
    <t>Unit Costs</t>
  </si>
  <si>
    <t>.5-2" ST EXTN</t>
  </si>
  <si>
    <t>.5-2" ST STUB</t>
  </si>
  <si>
    <t>.625" PE EUF</t>
  </si>
  <si>
    <t>.625" PE EXTN</t>
  </si>
  <si>
    <t>.625" PE STUB</t>
  </si>
  <si>
    <t>.625" PE TWIN</t>
  </si>
  <si>
    <t>.75" ST EXTN</t>
  </si>
  <si>
    <t>.75" ST STUB</t>
  </si>
  <si>
    <t>.75-1" ST EXTN</t>
  </si>
  <si>
    <t>.75-1" ST STUB</t>
  </si>
  <si>
    <t>1" ST EXTN</t>
  </si>
  <si>
    <t>1" ST STUB</t>
  </si>
  <si>
    <t>1.125" PE EUF</t>
  </si>
  <si>
    <t>1.125" PE EXTN</t>
  </si>
  <si>
    <t>1.125" PE STUB</t>
  </si>
  <si>
    <t>1.125" PE TWIN</t>
  </si>
  <si>
    <t>1.25" PE EUF</t>
  </si>
  <si>
    <t>1.25" PE EXTN</t>
  </si>
  <si>
    <t>1.25" PE STUB</t>
  </si>
  <si>
    <t>1.25" PE TWIN</t>
  </si>
  <si>
    <t>1.25" ST EXTN</t>
  </si>
  <si>
    <t>1.25" ST STUB</t>
  </si>
  <si>
    <t>1.25-2" ST EXTN</t>
  </si>
  <si>
    <t>1.25-2" ST STUB</t>
  </si>
  <si>
    <t>12" ST EXTN</t>
  </si>
  <si>
    <t>12" ST STUB</t>
  </si>
  <si>
    <t>2" PE EUF</t>
  </si>
  <si>
    <t>2" PE EXTN</t>
  </si>
  <si>
    <t>2" PE STUB</t>
  </si>
  <si>
    <t>2" PE TWIN</t>
  </si>
  <si>
    <t>2" ST EXTN</t>
  </si>
  <si>
    <t>2" ST STUB</t>
  </si>
  <si>
    <t>3" ST EXTN</t>
  </si>
  <si>
    <t>3" ST STUB</t>
  </si>
  <si>
    <t>4" PE EUF</t>
  </si>
  <si>
    <t>4" PE EXTN</t>
  </si>
  <si>
    <t>4" PE STUB</t>
  </si>
  <si>
    <t>4" ST EXTN</t>
  </si>
  <si>
    <t>4" ST STUB</t>
  </si>
  <si>
    <t>6" PE EUF</t>
  </si>
  <si>
    <t>6" PE EXTN</t>
  </si>
  <si>
    <t>6" PE STUB</t>
  </si>
  <si>
    <t>6" ST EUF</t>
  </si>
  <si>
    <t>6" ST EXTN</t>
  </si>
  <si>
    <t>6" ST STUB</t>
  </si>
  <si>
    <t>8" ST EXTN</t>
  </si>
  <si>
    <t>8" ST STUB</t>
  </si>
  <si>
    <t>Services Data for Gas Customers on Schedules 85, 85T 87, 87T, and 99 as of December 31, 2010</t>
  </si>
  <si>
    <t>Svc Size</t>
  </si>
  <si>
    <t>Svc Mtrl</t>
  </si>
  <si>
    <t>Length</t>
  </si>
  <si>
    <t>Svc</t>
  </si>
  <si>
    <t>Svc Type</t>
  </si>
  <si>
    <t>Extension</t>
  </si>
  <si>
    <t>Stub</t>
  </si>
  <si>
    <t>Customer</t>
  </si>
  <si>
    <t>(ft)</t>
  </si>
  <si>
    <t>Year</t>
  </si>
  <si>
    <t>Cost</t>
  </si>
  <si>
    <t>85TG-C</t>
  </si>
  <si>
    <t>85TG-I</t>
  </si>
  <si>
    <t>STW</t>
  </si>
  <si>
    <t>85G-C</t>
  </si>
  <si>
    <t>SC</t>
  </si>
  <si>
    <t>STW HP</t>
  </si>
  <si>
    <t>NR</t>
  </si>
  <si>
    <t>85G-I</t>
  </si>
  <si>
    <t>87TG-I</t>
  </si>
  <si>
    <t>STL</t>
  </si>
  <si>
    <t>87G-C</t>
  </si>
  <si>
    <t xml:space="preserve">STW </t>
  </si>
  <si>
    <t>PEI</t>
  </si>
  <si>
    <t>87TG-C</t>
  </si>
  <si>
    <t>87G-I</t>
  </si>
  <si>
    <t>266+</t>
  </si>
  <si>
    <t>344'</t>
  </si>
  <si>
    <t>30+</t>
  </si>
  <si>
    <t>68+</t>
  </si>
  <si>
    <t>Additional Schedule 85G-C Customers</t>
  </si>
  <si>
    <t>Maps &amp; Records Input</t>
  </si>
  <si>
    <t>Svc Length</t>
  </si>
  <si>
    <t xml:space="preserve">Svc Year </t>
  </si>
  <si>
    <t>Size Lookup</t>
  </si>
  <si>
    <t>Svc Lookup</t>
  </si>
  <si>
    <t>MPEI</t>
  </si>
  <si>
    <t>MPE</t>
  </si>
  <si>
    <t>Account 380 Services - Directly Assigned Costs (2010$)</t>
  </si>
  <si>
    <t>Class Allocation</t>
  </si>
  <si>
    <t>No.</t>
  </si>
  <si>
    <t>Percentage</t>
  </si>
  <si>
    <t>Plant</t>
  </si>
  <si>
    <t>Accum. Resr.</t>
  </si>
  <si>
    <t>(A)</t>
  </si>
  <si>
    <t>(B)</t>
  </si>
  <si>
    <t>(C)</t>
  </si>
  <si>
    <t>(D)</t>
  </si>
  <si>
    <t>(E)</t>
  </si>
  <si>
    <t>Ratio (line 10 / line 12)</t>
  </si>
  <si>
    <t>Total Account 380 Plant in Service</t>
  </si>
  <si>
    <t>Direct Assignment Plant in Service (line 13 x line 14)</t>
  </si>
  <si>
    <t>Total Account 380 Accum. Reserve</t>
  </si>
  <si>
    <t>Direct Assignment Accum. Reserve (line 13 x line 16)</t>
  </si>
  <si>
    <t xml:space="preserve">2011 Gas General Rate Case </t>
  </si>
  <si>
    <t>Determination of Customer Weights for Service (Account 380) Allocation</t>
  </si>
  <si>
    <t>A/C 380 HWI</t>
  </si>
  <si>
    <t>Weighted</t>
  </si>
  <si>
    <t>Adj. Costs</t>
  </si>
  <si>
    <t>Class</t>
  </si>
  <si>
    <t>No. Customers</t>
  </si>
  <si>
    <t>Unit Cost</t>
  </si>
  <si>
    <t>Weight</t>
  </si>
  <si>
    <t>(F)</t>
  </si>
  <si>
    <t>(G)</t>
  </si>
  <si>
    <t>1 inch and less</t>
  </si>
  <si>
    <t>Residential (23, 16, 53)</t>
  </si>
  <si>
    <t>1.125 in. to 3 in.</t>
  </si>
  <si>
    <t>Comm. &amp; Indus. (31, 61)</t>
  </si>
  <si>
    <t>4 inch and greater</t>
  </si>
  <si>
    <t>Large Vol. &amp;  Limited Inter.</t>
  </si>
  <si>
    <t>Large Volume (41, 41T)</t>
  </si>
  <si>
    <t>Limited Interruptible (86, 86T)</t>
  </si>
  <si>
    <t>Income Statement Data and Billing Determinants</t>
  </si>
  <si>
    <t>Penalty Revenue by Rate Schedule</t>
  </si>
  <si>
    <t>85G</t>
  </si>
  <si>
    <t>86G</t>
  </si>
  <si>
    <t>87G</t>
  </si>
  <si>
    <t>41T</t>
  </si>
  <si>
    <t>85T</t>
  </si>
  <si>
    <t>86T</t>
  </si>
  <si>
    <t>87T</t>
  </si>
  <si>
    <t>Total penalty revenue</t>
  </si>
  <si>
    <t>Conservation Revenue by Rate Schedule</t>
  </si>
  <si>
    <t>120-16G</t>
  </si>
  <si>
    <t>120-23G</t>
  </si>
  <si>
    <t>120-31G</t>
  </si>
  <si>
    <t>120-36G</t>
  </si>
  <si>
    <t>120-41G</t>
  </si>
  <si>
    <t>120-50G</t>
  </si>
  <si>
    <t>120-51G</t>
  </si>
  <si>
    <t>120-53P</t>
  </si>
  <si>
    <t>120-85G</t>
  </si>
  <si>
    <t>120-86G</t>
  </si>
  <si>
    <t>120-87G</t>
  </si>
  <si>
    <t>Subtotal residential (11,23,24,53)</t>
  </si>
  <si>
    <t>Municipal Taxes</t>
  </si>
  <si>
    <t>Residential (16)</t>
  </si>
  <si>
    <t>Residential (23)</t>
  </si>
  <si>
    <t>Residential (53)</t>
  </si>
  <si>
    <t>Commercial &amp; industrial (31)</t>
  </si>
  <si>
    <t>Commercial heating (36)</t>
  </si>
  <si>
    <t>Large volume (41)</t>
  </si>
  <si>
    <t>Transportation - Large volume (41T)</t>
  </si>
  <si>
    <t>Compressed natural gas (50)</t>
  </si>
  <si>
    <t>Multiple unit housing (51)</t>
  </si>
  <si>
    <t>Standby &amp; auxiliary heating (61)</t>
  </si>
  <si>
    <t>Interruptible (85)</t>
  </si>
  <si>
    <t>Transportation - Interruptible (85T)</t>
  </si>
  <si>
    <t>Limited interruptible (86)</t>
  </si>
  <si>
    <t>Transportation - Limited interruptible (86T)</t>
  </si>
  <si>
    <t>Non exclusive interruptible (87)</t>
  </si>
  <si>
    <t>Transportation - Non exclusive Interruptible (87T)</t>
  </si>
  <si>
    <t>Tranportation (57)</t>
  </si>
  <si>
    <t xml:space="preserve">Contracts </t>
  </si>
  <si>
    <t>Total revenue from sales/transport</t>
  </si>
  <si>
    <t>Low Income Revenue</t>
  </si>
  <si>
    <t>Transportation (57)</t>
  </si>
  <si>
    <t>Schedule 106 Revenue</t>
  </si>
  <si>
    <t>Schedule 132 Merger Credit</t>
  </si>
  <si>
    <t>132-16G</t>
  </si>
  <si>
    <t>132-23G</t>
  </si>
  <si>
    <t>132-31G</t>
  </si>
  <si>
    <t>132-41G</t>
  </si>
  <si>
    <t>132-41T</t>
  </si>
  <si>
    <t>132-53P</t>
  </si>
  <si>
    <t>132-85G</t>
  </si>
  <si>
    <t>132-85T</t>
  </si>
  <si>
    <t>132-86G</t>
  </si>
  <si>
    <t>132-86T</t>
  </si>
  <si>
    <t>132-87G</t>
  </si>
  <si>
    <t>132-87T</t>
  </si>
  <si>
    <t>132-SCG</t>
  </si>
  <si>
    <t>Total credit from sales/transport</t>
  </si>
  <si>
    <t xml:space="preserve">Mantle Counts </t>
  </si>
  <si>
    <t>1-4 mantles</t>
  </si>
  <si>
    <t>5-9 mantles</t>
  </si>
  <si>
    <t>10 or more mantles</t>
  </si>
  <si>
    <t>Schedule 61 Demand (MBtu)</t>
  </si>
  <si>
    <t>Test Year Ended December 2008</t>
  </si>
  <si>
    <t>61G-C</t>
  </si>
  <si>
    <t>61G-I</t>
  </si>
  <si>
    <t>61G-R</t>
  </si>
  <si>
    <t xml:space="preserve">Bills by Rate Schedule </t>
  </si>
  <si>
    <t>31 C</t>
  </si>
  <si>
    <t>31 I</t>
  </si>
  <si>
    <t>41 C</t>
  </si>
  <si>
    <t>41 I</t>
  </si>
  <si>
    <t>41T C</t>
  </si>
  <si>
    <t>41T I</t>
  </si>
  <si>
    <t>85 C</t>
  </si>
  <si>
    <t>85 I</t>
  </si>
  <si>
    <t>85T C</t>
  </si>
  <si>
    <t>85T I</t>
  </si>
  <si>
    <t>86 C</t>
  </si>
  <si>
    <t>86 I</t>
  </si>
  <si>
    <t>86T I</t>
  </si>
  <si>
    <t>87 C</t>
  </si>
  <si>
    <t>87 I</t>
  </si>
  <si>
    <t>87T C</t>
  </si>
  <si>
    <t>87T I</t>
  </si>
  <si>
    <t xml:space="preserve">Total count </t>
  </si>
  <si>
    <t xml:space="preserve">Billed Demand by Rate Schedule (therms) </t>
  </si>
  <si>
    <t xml:space="preserve">Minimum Bill Revenue by Rate Schedule </t>
  </si>
  <si>
    <t>Data Source: CDARS A11a Report</t>
  </si>
  <si>
    <t>Therms by Base Price Schedule Number</t>
  </si>
  <si>
    <t>Schedule Number</t>
  </si>
  <si>
    <t>View</t>
  </si>
  <si>
    <t>Commercial - Gas</t>
  </si>
  <si>
    <t>11G-C</t>
  </si>
  <si>
    <t>CAL</t>
  </si>
  <si>
    <t>31G-C</t>
  </si>
  <si>
    <t>31G-C-ND</t>
  </si>
  <si>
    <t>31G-C-NK</t>
  </si>
  <si>
    <t>31G-C-NR</t>
  </si>
  <si>
    <t>31G-C-NS</t>
  </si>
  <si>
    <t>41G-C-NK</t>
  </si>
  <si>
    <t>41G-C2</t>
  </si>
  <si>
    <t>41TG-C</t>
  </si>
  <si>
    <t>50G-C</t>
  </si>
  <si>
    <t>85G-C3</t>
  </si>
  <si>
    <t>86G-C2</t>
  </si>
  <si>
    <t>87G-C4</t>
  </si>
  <si>
    <t>Industrial - Gas</t>
  </si>
  <si>
    <t>11G-I</t>
  </si>
  <si>
    <t>31G-I</t>
  </si>
  <si>
    <t>31G-I-NK</t>
  </si>
  <si>
    <t>31G-I-NR</t>
  </si>
  <si>
    <t>41G-I2</t>
  </si>
  <si>
    <t>41TG-I</t>
  </si>
  <si>
    <t>85G-I3</t>
  </si>
  <si>
    <t>86G-I2</t>
  </si>
  <si>
    <t>86TG-I</t>
  </si>
  <si>
    <t>87G-I4</t>
  </si>
  <si>
    <t>SC-99G</t>
  </si>
  <si>
    <t xml:space="preserve">Lighting - Gas </t>
  </si>
  <si>
    <t>16G-C</t>
  </si>
  <si>
    <t>16G-R</t>
  </si>
  <si>
    <t>Residential - Gas</t>
  </si>
  <si>
    <t>11G-R</t>
  </si>
  <si>
    <t>23G</t>
  </si>
  <si>
    <t>23G-ND</t>
  </si>
  <si>
    <t>23G-NK</t>
  </si>
  <si>
    <t>23G-NR</t>
  </si>
  <si>
    <t>23G-NS</t>
  </si>
  <si>
    <t>53P</t>
  </si>
  <si>
    <t xml:space="preserve">Total from raw data </t>
  </si>
  <si>
    <t>Summary of Calendar Therms by Rate Class</t>
  </si>
  <si>
    <t>11,23,24</t>
  </si>
  <si>
    <t>New customer revenue (ND) Sch 23&amp;24</t>
  </si>
  <si>
    <t>New customer revenue (NK,NR) Sch 23&amp;24</t>
  </si>
  <si>
    <t>New customer revenue (NS) Sch 23&amp;24</t>
  </si>
  <si>
    <t>Commercial</t>
  </si>
  <si>
    <t xml:space="preserve">New customer revenue (ND) Sch 31 </t>
  </si>
  <si>
    <t>New customer revenue (NK,NR) Sch 31</t>
  </si>
  <si>
    <t>New customer revenue (NK) Sch 41</t>
  </si>
  <si>
    <t>New customer revenue (NS) Sch 31</t>
  </si>
  <si>
    <t>Industrial</t>
  </si>
  <si>
    <t>New customer revenue (NK &amp; NR) Sch 31</t>
  </si>
  <si>
    <t>Total by rate class</t>
  </si>
  <si>
    <t>Total plus 16</t>
  </si>
  <si>
    <t>Estimated Revenue from New Customer Charges (Schedule 107)</t>
  </si>
  <si>
    <t>Estimated Calendar Revenue from New Customer Charges</t>
  </si>
  <si>
    <t>Schedule 23 Residential</t>
  </si>
  <si>
    <t>New customer rates</t>
  </si>
  <si>
    <t>New customer rate (11.5)</t>
  </si>
  <si>
    <t>ND</t>
  </si>
  <si>
    <t>$/therm</t>
  </si>
  <si>
    <t>New customer rate (17.0)</t>
  </si>
  <si>
    <t>NK, NR</t>
  </si>
  <si>
    <t>New customer rate (34.0)</t>
  </si>
  <si>
    <t>NS</t>
  </si>
  <si>
    <t>New customer volume</t>
  </si>
  <si>
    <t>New customer charges (11.5)</t>
  </si>
  <si>
    <t>New customer charges (17.0)</t>
  </si>
  <si>
    <t>New customer charges (34.0)</t>
  </si>
  <si>
    <t>New customer revenue</t>
  </si>
  <si>
    <t>Schedule 31 General Service - Commercial</t>
  </si>
  <si>
    <t>Schedule 41 Large Volume - Commercial</t>
  </si>
  <si>
    <t>NK</t>
  </si>
  <si>
    <t>Schedule 31 General Service - Industrial</t>
  </si>
  <si>
    <t>Total calendar new customer revenue</t>
  </si>
  <si>
    <t>Total calendar new customer volume from CDARS</t>
  </si>
  <si>
    <t>Calculated Rental Revenue at Actual Rates</t>
  </si>
  <si>
    <t>Schedule 71 Residential Water Heater Rental</t>
  </si>
  <si>
    <t>Standard models</t>
  </si>
  <si>
    <t>$/month</t>
  </si>
  <si>
    <t>Conservation models</t>
  </si>
  <si>
    <t>Direct vent models</t>
  </si>
  <si>
    <t>High recovery models</t>
  </si>
  <si>
    <t>High efficiency standard</t>
  </si>
  <si>
    <t>High efficiency direct vent</t>
  </si>
  <si>
    <t>Billing Determinants</t>
  </si>
  <si>
    <t>Tanks</t>
  </si>
  <si>
    <t>Total units</t>
  </si>
  <si>
    <t>Estimated Revenue</t>
  </si>
  <si>
    <t>Total revenue</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</si>
  <si>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</si>
  <si>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</si>
  <si>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</si>
  <si>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</si>
  <si>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</si>
  <si>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</si>
  <si>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</si>
  <si>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</si>
  <si>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</si>
  <si>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</si>
  <si>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</si>
  <si>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</si>
  <si>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</si>
  <si>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</si>
  <si>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Summary of Billing Determinants &amp; Revenue</t>
  </si>
  <si>
    <t>Total Billing Determinants</t>
  </si>
  <si>
    <t>Residential water heater rental</t>
  </si>
  <si>
    <t>Large volume water heater rental</t>
  </si>
  <si>
    <t>Gas converstion burner rental</t>
  </si>
  <si>
    <t>Total rentals</t>
  </si>
  <si>
    <t>Estimated Total Revenue</t>
  </si>
  <si>
    <t>Gas conversion burner rental</t>
  </si>
  <si>
    <t>Total estimated revenue</t>
  </si>
  <si>
    <t>Calculated Rental Revenue at 2009 General Rate Case Rates</t>
  </si>
  <si>
    <t>Calculated Rental Revenue at 2010 Gas Tariff Increase Filing Rates</t>
  </si>
  <si>
    <t xml:space="preserve">Natural Gas Customers by Rate Schedule </t>
  </si>
  <si>
    <t>16R</t>
  </si>
  <si>
    <t>C31</t>
  </si>
  <si>
    <t>C41</t>
  </si>
  <si>
    <t>C41T</t>
  </si>
  <si>
    <t>C61</t>
  </si>
  <si>
    <t>C85</t>
  </si>
  <si>
    <t>C85T</t>
  </si>
  <si>
    <t>C86</t>
  </si>
  <si>
    <t>C87</t>
  </si>
  <si>
    <t>C87T</t>
  </si>
  <si>
    <t>C98</t>
  </si>
  <si>
    <t>I31</t>
  </si>
  <si>
    <t>I41</t>
  </si>
  <si>
    <t>I41T</t>
  </si>
  <si>
    <t>I61</t>
  </si>
  <si>
    <t>I85</t>
  </si>
  <si>
    <t>I85T</t>
  </si>
  <si>
    <t>I86</t>
  </si>
  <si>
    <t>I86T</t>
  </si>
  <si>
    <t>I87</t>
  </si>
  <si>
    <t>I87T</t>
  </si>
  <si>
    <t>R61</t>
  </si>
  <si>
    <t>Total from data file</t>
  </si>
  <si>
    <t>Total less 98</t>
  </si>
  <si>
    <t xml:space="preserve">Residential (16,23,53) </t>
  </si>
  <si>
    <t>Commercial &amp; industrial (31,61)</t>
  </si>
  <si>
    <t>Trans. large volume (41T)</t>
  </si>
  <si>
    <t>Trans. interrupt with firm option (85T)</t>
  </si>
  <si>
    <t>Trans. interrupt with firm option (86T)</t>
  </si>
  <si>
    <t>Trans. non-exclus inter w/firm option (87T)</t>
  </si>
  <si>
    <t>Total customer counts</t>
  </si>
  <si>
    <t>Data Source: Historic Customer Counts.xls</t>
  </si>
  <si>
    <t>Calculated Calendar Revenue at Actual Rates</t>
  </si>
  <si>
    <t>Schedule 16 Gas Lighting - Residential</t>
  </si>
  <si>
    <t>Delivery charge</t>
  </si>
  <si>
    <t>$/mantle</t>
  </si>
  <si>
    <t>Gas rate with RAF</t>
  </si>
  <si>
    <t>Gas cost</t>
  </si>
  <si>
    <t>Total mantles</t>
  </si>
  <si>
    <t>Therms per mantle</t>
  </si>
  <si>
    <t>Estimated volume</t>
  </si>
  <si>
    <t>BASE</t>
  </si>
  <si>
    <t>Total delivery charges</t>
  </si>
  <si>
    <t>GAS</t>
  </si>
  <si>
    <t>Gas revenue with RAF</t>
  </si>
  <si>
    <t>GASCOST</t>
  </si>
  <si>
    <t>Basic charge</t>
  </si>
  <si>
    <t>Schedule 53 Propane - Residential</t>
  </si>
  <si>
    <t>Cost of propane</t>
  </si>
  <si>
    <t>Schedule 61 Standby &amp; Auxiliary Heating - Residential</t>
  </si>
  <si>
    <t>Demand charge</t>
  </si>
  <si>
    <t>1,000 Btu/hr</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</si>
  <si>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</si>
  <si>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</si>
  <si>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</si>
  <si>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</si>
  <si>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</si>
  <si>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</si>
  <si>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</si>
  <si>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</si>
  <si>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</si>
  <si>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</si>
  <si>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</si>
  <si>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</si>
  <si>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</si>
  <si>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</si>
  <si>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</si>
  <si>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41T Large Volume - Commercial</t>
  </si>
  <si>
    <t>Balancing charge (gas cost)</t>
  </si>
  <si>
    <t>Gas procurement charge</t>
  </si>
  <si>
    <t xml:space="preserve">Billing Determinants </t>
  </si>
  <si>
    <t xml:space="preserve">Estimated Revenue </t>
  </si>
  <si>
    <t>Schedule 85T Interruptible with Firm Option - Commercial</t>
  </si>
  <si>
    <t xml:space="preserve">  First 25,000 therms</t>
  </si>
  <si>
    <t xml:space="preserve">  Next 25,000 therms</t>
  </si>
  <si>
    <t xml:space="preserve">  Over 50,000 therms</t>
  </si>
  <si>
    <t>Schedule 87T Non-exclusive Interruptible with Firm Option - Commercial</t>
  </si>
  <si>
    <t xml:space="preserve">  Next 50,000 therms</t>
  </si>
  <si>
    <t xml:space="preserve">  Next 100,000 therms</t>
  </si>
  <si>
    <t xml:space="preserve">  Next 300,000 therms</t>
  </si>
  <si>
    <t xml:space="preserve">  Over 500,000 therms</t>
  </si>
  <si>
    <t>Schedule 61 Standby &amp; Auxiliary Heating - Commercial</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</si>
  <si>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</si>
  <si>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</si>
  <si>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</si>
  <si>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</si>
  <si>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</si>
  <si>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</si>
  <si>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41 Large Volume - Industrial</t>
  </si>
  <si>
    <t>Schedule 41T Large Volume - Industrial</t>
  </si>
  <si>
    <t>Schedule 85T Interruptible with Firm Option - Industrial</t>
  </si>
  <si>
    <t>Schedule 86T Limited Interruptible with Firm Option - Industrial</t>
  </si>
  <si>
    <t>Balancing charge</t>
  </si>
  <si>
    <t>Schedule 87T Non-exclusive Interruptible with Firm Option - Industrial</t>
  </si>
  <si>
    <t>Schedule 61 Standby &amp; Auxiliary Heating - Industrial</t>
  </si>
  <si>
    <t>$/1,000 Btu/hr</t>
  </si>
  <si>
    <t>Schedule 85 Interruptible with Firm Option - Industrial</t>
  </si>
  <si>
    <t>Gas cupply demand cost</t>
  </si>
  <si>
    <t>Schedule 86 Limited Interruptible with Firm Option - Industrial</t>
  </si>
  <si>
    <t>Schedule 87 Non-exclusive Interruptible with Firm Option - Industrial</t>
  </si>
  <si>
    <t>Schedule 99 - Industrial</t>
  </si>
  <si>
    <t>Commodity charge</t>
  </si>
  <si>
    <t>First 25,000 therms</t>
  </si>
  <si>
    <t>Next 25,000 therms</t>
  </si>
  <si>
    <t>Next 50,000 therms</t>
  </si>
  <si>
    <t>Over 300,000 therms</t>
  </si>
  <si>
    <t>$/thm dem</t>
  </si>
  <si>
    <t>Total commodity charge</t>
  </si>
  <si>
    <t>Bills (basic charges)</t>
  </si>
  <si>
    <t>Propane</t>
  </si>
  <si>
    <t>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</si>
  <si>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</si>
  <si>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</si>
  <si>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</si>
  <si>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</si>
  <si>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</si>
  <si>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</si>
  <si>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</si>
  <si>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General service - industrial</t>
  </si>
  <si>
    <t>Large volume - industrial</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</si>
  <si>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</si>
  <si>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</si>
  <si>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</si>
  <si>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</si>
  <si>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</si>
  <si>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</si>
  <si>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</si>
  <si>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</si>
  <si>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</si>
  <si>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</si>
  <si>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</si>
  <si>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Commercial &amp; industrial</t>
  </si>
  <si>
    <t>Large volume</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</si>
  <si>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</si>
  <si>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</si>
  <si>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</si>
  <si>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</si>
  <si>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</si>
  <si>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</si>
  <si>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</si>
  <si>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</si>
  <si>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</si>
  <si>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</si>
  <si>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</si>
  <si>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</si>
  <si>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large volume - commercial</t>
  </si>
  <si>
    <t>Trans. interrupt with firm option - com</t>
  </si>
  <si>
    <t>Trans. non-exclus inter/firm option - com</t>
  </si>
  <si>
    <t>Trans. large volume - industrial</t>
  </si>
  <si>
    <t>Trans. interrupt with firm option - ind</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</si>
  <si>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</si>
  <si>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</si>
  <si>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</si>
  <si>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</si>
  <si>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</si>
  <si>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</si>
  <si>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</si>
  <si>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Standby &amp; auxiliary heating - residential</t>
  </si>
  <si>
    <t>Standby &amp; auxiliary heating - commercial</t>
  </si>
  <si>
    <t>Standby &amp; auxiliary heating - industrial</t>
  </si>
  <si>
    <t>Special contract</t>
  </si>
  <si>
    <t>Total billed demand</t>
  </si>
  <si>
    <t>Billed demand by rate schedule</t>
  </si>
  <si>
    <t>Standby &amp; auxiliary heating</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</si>
  <si>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</si>
  <si>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</si>
  <si>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</si>
  <si>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</si>
  <si>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</si>
  <si>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</si>
  <si>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</si>
  <si>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large volume (41T)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</si>
  <si>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</si>
  <si>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</si>
  <si>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</si>
  <si>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</si>
  <si>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</si>
  <si>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</si>
  <si>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</si>
  <si>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Total calendar volume from CDARS</t>
  </si>
  <si>
    <t>Total customer charges from A11a</t>
  </si>
  <si>
    <t>Total demand data from A11a</t>
  </si>
  <si>
    <t>Calculated Calendar Revenue at 2009 General Rate Case Rates</t>
  </si>
  <si>
    <t>Calculated Calendar Revenue at October 2010 Purchased Gas Adjustment Rates</t>
  </si>
  <si>
    <t xml:space="preserve">Gas cost </t>
  </si>
  <si>
    <t>Cost of Propane</t>
  </si>
  <si>
    <t>Total bills (customer charges)</t>
  </si>
  <si>
    <t>Calculated Calendar Revenue at 2010 Gas Tariff Increase Filing Rates</t>
  </si>
  <si>
    <t>Changes</t>
  </si>
  <si>
    <t>Delivery charges</t>
  </si>
  <si>
    <t>Delivery demand</t>
  </si>
  <si>
    <t>Schedule 85 &amp; 85T Minimum Charge Adjustment</t>
  </si>
  <si>
    <t>Proforma Adjustment</t>
  </si>
  <si>
    <t>Rate Schedule</t>
  </si>
  <si>
    <t>Total Test Year</t>
  </si>
  <si>
    <t xml:space="preserve">Billed </t>
  </si>
  <si>
    <t xml:space="preserve">Billed  </t>
  </si>
  <si>
    <t xml:space="preserve">Adjusted   </t>
  </si>
  <si>
    <t>Adjusted  Minimum</t>
  </si>
  <si>
    <t xml:space="preserve">Minimum </t>
  </si>
  <si>
    <t>Minimum Charges</t>
  </si>
  <si>
    <t xml:space="preserve">Base Price </t>
  </si>
  <si>
    <t xml:space="preserve">Calendar  </t>
  </si>
  <si>
    <t>Minimum Charge</t>
  </si>
  <si>
    <t>Charge Quantity</t>
  </si>
  <si>
    <t xml:space="preserve">Occurred  </t>
  </si>
  <si>
    <t>(Nov 2010 Method)</t>
  </si>
  <si>
    <t>Adjustments</t>
  </si>
  <si>
    <t>Month</t>
  </si>
  <si>
    <t>Minimum Charges Adjustment By Month</t>
  </si>
  <si>
    <t>Schedule 41 Migration Adjustment ( Minimum Volume Requirment)</t>
  </si>
  <si>
    <t>Test Year Ending December 31, 2010</t>
  </si>
  <si>
    <t>Margin Revenue</t>
  </si>
  <si>
    <t>Gas Cost</t>
  </si>
  <si>
    <t>RAF</t>
  </si>
  <si>
    <t>Transportation - interruptible (85T)</t>
  </si>
  <si>
    <t>Transportation - limited interruptible (86T)</t>
  </si>
  <si>
    <t>Transportation - non exclusive interruptible (87T)</t>
  </si>
  <si>
    <t>Billing Determinants Adjustment</t>
  </si>
  <si>
    <t>Rate Schedules</t>
  </si>
  <si>
    <t>12MO Total</t>
  </si>
  <si>
    <t>Next 4100 therms</t>
  </si>
  <si>
    <t>All Over 5000 therms</t>
  </si>
  <si>
    <t>Schedules 41T and 86T Migration Adjustment</t>
  </si>
  <si>
    <t>First 1000 therms</t>
  </si>
  <si>
    <t>All over 1000 therms</t>
  </si>
  <si>
    <t>Weather Normalization of Volume</t>
  </si>
  <si>
    <t>Rate Sch.</t>
  </si>
  <si>
    <t>Conditioned &amp; Calendarized Volume Net of Migration Adjustments (Therms)</t>
  </si>
  <si>
    <t>Residential lamps</t>
  </si>
  <si>
    <t>Interruptible with firm option - com</t>
  </si>
  <si>
    <t>Limited interrupt w/ firm option - com</t>
  </si>
  <si>
    <t>Non-exclus interrupt/firm option - com</t>
  </si>
  <si>
    <t>Interruptible with firm option - ind</t>
  </si>
  <si>
    <t>Limited interrupt w/ firm option - ind</t>
  </si>
  <si>
    <t>Non-excl interrupt w/ firm option - ind</t>
  </si>
  <si>
    <t>Trans. non-exclus inter w/ firm option - com</t>
  </si>
  <si>
    <t>Trans. limited interrupt w/ firm option - ind</t>
  </si>
  <si>
    <t>Trans. non-exclus inter w/ firm option - ind</t>
  </si>
  <si>
    <t>Special contracts - ind</t>
  </si>
  <si>
    <t>Total sales &amp; transportation volume</t>
  </si>
  <si>
    <t>Subtotal transportation</t>
  </si>
  <si>
    <t>Customer Counts Net of Migration</t>
  </si>
  <si>
    <t>Standby &amp; auxiliary heating - res</t>
  </si>
  <si>
    <t xml:space="preserve">General service - commercial </t>
  </si>
  <si>
    <t xml:space="preserve">Large volume - commercial </t>
  </si>
  <si>
    <t>Standby &amp; auxiliary heating - com</t>
  </si>
  <si>
    <t>Non-excl interrupt w/ firm option - com</t>
  </si>
  <si>
    <t>Standby &amp; auxiliary heating - ind</t>
  </si>
  <si>
    <t>Usage Per Customer (Therms)</t>
  </si>
  <si>
    <t>Weather Data</t>
  </si>
  <si>
    <t>Actual heating degree days (HDD)</t>
  </si>
  <si>
    <t>Normal heating degree days (HDD)</t>
  </si>
  <si>
    <t>Difference (actual - normal HDD)</t>
  </si>
  <si>
    <t>Weather Normalization Coefficients</t>
  </si>
  <si>
    <t>Weather Normalized Usage per Customer (Therms)</t>
  </si>
  <si>
    <t>Weather Normalized Volume - Rate Class Analysis (Therms)</t>
  </si>
  <si>
    <t>Total weather normalized portion of volume</t>
  </si>
  <si>
    <t>Weather Adjustment to Volume - Rate Class Analysis (Therms)</t>
  </si>
  <si>
    <t>Total adjustment</t>
  </si>
  <si>
    <t>Percent change</t>
  </si>
  <si>
    <t>Weather Adjustment by Group - System Level Analysis (Therms)</t>
  </si>
  <si>
    <t>Firm</t>
  </si>
  <si>
    <t>Interruptible</t>
  </si>
  <si>
    <t>Weather Adjustment to Volume - System Level Analysis Spread to Rate Classes (Therms)</t>
  </si>
  <si>
    <t>Weather Normalized Volume - System Level Analysis (Therms)</t>
  </si>
  <si>
    <t>Residential lights</t>
  </si>
  <si>
    <t>Total other volume</t>
  </si>
  <si>
    <t>Total weather normalized volume</t>
  </si>
  <si>
    <t>Weather Adjustment by Rate Class (Therms)</t>
  </si>
  <si>
    <t>Residential (23,53)</t>
  </si>
  <si>
    <t>Trans. limited interrupt w/ firm option (86T)</t>
  </si>
  <si>
    <t>Summary of Weather Normalized Volume by Rate Class (Therms)</t>
  </si>
  <si>
    <t>Total sales and transport volume</t>
  </si>
  <si>
    <t>Summary of Customer Counts by Rate Groups</t>
  </si>
  <si>
    <t>Summary of Weather Normalized Volume by Rate Groups (Therms)</t>
  </si>
  <si>
    <t>Weather Normalized Usage Per Customer (Therms)</t>
  </si>
  <si>
    <t>Residential &amp; residential propane</t>
  </si>
  <si>
    <t>General service - commercial &amp; industrial</t>
  </si>
  <si>
    <t xml:space="preserve">Large volume </t>
  </si>
  <si>
    <t xml:space="preserve">Interruptible with firm option </t>
  </si>
  <si>
    <t xml:space="preserve">Limited interrupt w/ firm option </t>
  </si>
  <si>
    <t xml:space="preserve">Non-exclus interrupt/firm option </t>
  </si>
  <si>
    <t>CDARS Calendar therms</t>
  </si>
  <si>
    <t>Calculated Weather Normalized Revenue at April 2010 General Rate Case Rates</t>
  </si>
  <si>
    <t>Change Excl.</t>
  </si>
  <si>
    <t>Migration</t>
  </si>
  <si>
    <t>Balancing charge (Gas cost portion)</t>
  </si>
  <si>
    <t>Non-exclus inter/firm option - com</t>
  </si>
  <si>
    <t>Calculated Proforma Revenue at April 2010 Rates with the Proposed RAF</t>
  </si>
  <si>
    <t>Current Revenue Adjustment Factor (RAF)</t>
  </si>
  <si>
    <t>Proposed Revenue Adjustment Factor (RAF)</t>
  </si>
  <si>
    <t>Existing Rates Without RAF ($/therm)</t>
  </si>
  <si>
    <t>Gas Supply</t>
  </si>
  <si>
    <t>Schedule 101 Rates</t>
  </si>
  <si>
    <t>16 ($/mantle)</t>
  </si>
  <si>
    <t>Existing Rates at Proposed RAF ($/therm)</t>
  </si>
  <si>
    <t>Jan10 - Dec10</t>
  </si>
  <si>
    <t>GAS cost</t>
  </si>
  <si>
    <t>Bills (customer charges)</t>
  </si>
  <si>
    <t>Trans. limited interrupt with firm option - ind</t>
  </si>
  <si>
    <t>Bills (Basic charges) by rate schedule</t>
  </si>
  <si>
    <t>Standby &amp; Auxiliary Heating - Residential</t>
  </si>
  <si>
    <t>Standby &amp; Auxiliary Heating - Commercial</t>
  </si>
  <si>
    <t>Standby &amp; Auxiliary Heating - Industrial</t>
  </si>
  <si>
    <t xml:space="preserve">Standby &amp; Auxiliary Heating </t>
  </si>
  <si>
    <t>Schedule 53 Gas Cost</t>
  </si>
  <si>
    <t>Base rates (customer, volume, demand, procure, bal, min)</t>
  </si>
  <si>
    <t>Revenue Adjustment With Proposed RAF</t>
  </si>
  <si>
    <t>Adjustment</t>
  </si>
  <si>
    <t>Revenue Adjustment</t>
  </si>
  <si>
    <t>Residential 16</t>
  </si>
  <si>
    <t>Residential 23</t>
  </si>
  <si>
    <t>Residential 53</t>
  </si>
  <si>
    <t>Commercial &amp; industrial 31</t>
  </si>
  <si>
    <t>2011 General Rate Case - Gas</t>
  </si>
  <si>
    <t>Reconciliation of Revenue by Rate Schedule</t>
  </si>
  <si>
    <t>Test Year Ended December 31, 2010</t>
  </si>
  <si>
    <t>Reconciliation of Test Year Revenue</t>
  </si>
  <si>
    <t>Pro forma Gas Costs and Revenue (Sched. 101) and Margin</t>
  </si>
  <si>
    <t>Transfer</t>
  </si>
  <si>
    <t>Remove</t>
  </si>
  <si>
    <t>Income</t>
  </si>
  <si>
    <t>Penalties &amp;</t>
  </si>
  <si>
    <t>Deferral</t>
  </si>
  <si>
    <t>Other</t>
  </si>
  <si>
    <t>April 2010</t>
  </si>
  <si>
    <t>November</t>
  </si>
  <si>
    <t>April 2011</t>
  </si>
  <si>
    <t>Sched. 85/85T</t>
  </si>
  <si>
    <t>Sched. 41T/86T</t>
  </si>
  <si>
    <t>Schedule 41</t>
  </si>
  <si>
    <t>Weather</t>
  </si>
  <si>
    <t>Statement</t>
  </si>
  <si>
    <t>Municipal</t>
  </si>
  <si>
    <t>New Customer</t>
  </si>
  <si>
    <t>Conservation</t>
  </si>
  <si>
    <t>Low Income</t>
  </si>
  <si>
    <t>Merger Credit</t>
  </si>
  <si>
    <t>Amortization</t>
  </si>
  <si>
    <t>Restating</t>
  </si>
  <si>
    <t>GRC (2)</t>
  </si>
  <si>
    <t>2010 PGA (3)</t>
  </si>
  <si>
    <t>GTIF (4)</t>
  </si>
  <si>
    <t>Min. Chrg.</t>
  </si>
  <si>
    <t xml:space="preserve">Migration </t>
  </si>
  <si>
    <t>Normalization</t>
  </si>
  <si>
    <t>RAF (5)</t>
  </si>
  <si>
    <t>Storage Rental</t>
  </si>
  <si>
    <t>Sch. 101</t>
  </si>
  <si>
    <t>Taxes</t>
  </si>
  <si>
    <t>Revenue (1)</t>
  </si>
  <si>
    <t>Sch. 120</t>
  </si>
  <si>
    <t>Sch. 129</t>
  </si>
  <si>
    <t>Sch. 132</t>
  </si>
  <si>
    <t>Sch. 106</t>
  </si>
  <si>
    <t>Q</t>
  </si>
  <si>
    <t>R</t>
  </si>
  <si>
    <t>S</t>
  </si>
  <si>
    <t>T</t>
  </si>
  <si>
    <t>U</t>
  </si>
  <si>
    <t>V</t>
  </si>
  <si>
    <t>W</t>
  </si>
  <si>
    <t>Other operating revenue</t>
  </si>
  <si>
    <t>Total other operating revenue</t>
  </si>
  <si>
    <t>Total operating revenue</t>
  </si>
  <si>
    <t>Gas cost (Schedule 101)</t>
  </si>
  <si>
    <t>Gas revenue (Schedule 101)</t>
  </si>
  <si>
    <t>Penalty revenue and new customer revenue (Rule 7) is transferred from revenue from sales to other operating revenue.</t>
  </si>
  <si>
    <t>General Rate Case UG-090705.</t>
  </si>
  <si>
    <t>(3)</t>
  </si>
  <si>
    <t>November 2010 Purchased Gas Adjustment.</t>
  </si>
  <si>
    <t>(4)</t>
  </si>
  <si>
    <t>Gas Tariff Increase Filing UG-101644.</t>
  </si>
  <si>
    <t>(5)</t>
  </si>
  <si>
    <t>Adjustment from actual to proposed revenue adjustment factor (RAF).</t>
  </si>
  <si>
    <t>Check RAF</t>
  </si>
  <si>
    <t>Adjustments to Volume (Therms) by Rate Schedule</t>
  </si>
  <si>
    <t>From Sales &amp;</t>
  </si>
  <si>
    <t xml:space="preserve">RAF (5) </t>
  </si>
  <si>
    <t>Trackers</t>
  </si>
  <si>
    <t xml:space="preserve">G  </t>
  </si>
  <si>
    <t xml:space="preserve">P </t>
  </si>
  <si>
    <t>Pro forma Gas Costs and Revenue (Schedule 101) and Margin</t>
  </si>
  <si>
    <t>(1) Penalty revenue and new customer revenue (Rule 7) are transferred from revenue from sales to other operating revenue.</t>
  </si>
  <si>
    <t>(2) General Rate Case UG-090705. Rates implemented April 8, 2010.</t>
  </si>
  <si>
    <t>(3) November 2010 Purchased Gas Adjustment.</t>
  </si>
  <si>
    <t>(4) Gas Tariff Increase Filing UG-101644. Rates implemented April 1, 2011.</t>
  </si>
  <si>
    <t>(5) Adjustment from actual to proposed revenue adjustment factor (RAF).</t>
  </si>
  <si>
    <t>Adjustments to Revenue by Rate Schedule</t>
  </si>
  <si>
    <t>Adjustments to Test Year Revenue</t>
  </si>
  <si>
    <t>Interruptible (85,85T)</t>
  </si>
  <si>
    <t>Limited interruptible (86,86T)</t>
  </si>
  <si>
    <t>Adjustments to Test Year Volume</t>
  </si>
  <si>
    <r>
      <t>1.</t>
    </r>
    <r>
      <rPr>
        <sz val="7"/>
        <color rgb="FFFF0000"/>
        <rFont val="Times New Roman"/>
        <family val="1"/>
      </rPr>
      <t xml:space="preserve">      </t>
    </r>
    <r>
      <rPr>
        <sz val="12"/>
        <color rgb="FFFF0000"/>
        <rFont val="Times New Roman"/>
        <family val="1"/>
      </rPr>
      <t>JKP-WP(C) Pro Forma Rev 2011 GRC.xlsx</t>
    </r>
  </si>
  <si>
    <r>
      <t>6.</t>
    </r>
    <r>
      <rPr>
        <sz val="7"/>
        <color rgb="FFFF0000"/>
        <rFont val="Times New Roman"/>
        <family val="1"/>
      </rPr>
      <t xml:space="preserve">      </t>
    </r>
    <r>
      <rPr>
        <sz val="12"/>
        <color rgb="FFFF0000"/>
        <rFont val="Times New Roman"/>
        <family val="1"/>
      </rPr>
      <t>JKP-WP(C) Gas Cost 2011 GRC.xls</t>
    </r>
  </si>
  <si>
    <r>
      <t>4.</t>
    </r>
    <r>
      <rPr>
        <sz val="7"/>
        <color rgb="FFFF0000"/>
        <rFont val="Times New Roman"/>
        <family val="1"/>
      </rPr>
      <t xml:space="preserve">      </t>
    </r>
    <r>
      <rPr>
        <sz val="12"/>
        <color rgb="FFFF0000"/>
        <rFont val="Times New Roman"/>
        <family val="1"/>
      </rPr>
      <t>JKP-WP(C) Services 2011 GRC.xls</t>
    </r>
  </si>
  <si>
    <r>
      <t>7.</t>
    </r>
    <r>
      <rPr>
        <sz val="7"/>
        <color rgb="FFFF0000"/>
        <rFont val="Times New Roman"/>
        <family val="1"/>
      </rPr>
      <t xml:space="preserve">      </t>
    </r>
    <r>
      <rPr>
        <sz val="12"/>
        <color rgb="FFFF0000"/>
        <rFont val="Times New Roman"/>
        <family val="1"/>
      </rPr>
      <t>JKP-WP(C) 2011 GRC 376_12 2010.xls</t>
    </r>
  </si>
  <si>
    <t/>
  </si>
  <si>
    <t>General Plant</t>
  </si>
  <si>
    <t>Customer Advances for Construction</t>
  </si>
  <si>
    <t>Depreciation Expense</t>
  </si>
  <si>
    <t>Production Depreciation Expense</t>
  </si>
  <si>
    <t>LNG Terminal/Processing Depr Exp</t>
  </si>
  <si>
    <t>Distribution Depreciation Expense</t>
  </si>
  <si>
    <t>Rental Depreciation Expense</t>
  </si>
  <si>
    <t>General Depreciation Expense</t>
  </si>
  <si>
    <t>Regulatory Debits</t>
  </si>
  <si>
    <t>TOTAL DEPRECIATION EXPENSES</t>
  </si>
  <si>
    <t>TOTAL</t>
  </si>
  <si>
    <t>Revenue Adjustment Factor Calculation</t>
  </si>
  <si>
    <t>2011 GRC - TY 12ME December 2010; RY 12ME April 2013</t>
  </si>
  <si>
    <t>Operating Revenue Deduction (Bad Debt Rate)</t>
  </si>
  <si>
    <t>State Utility Tax Rate</t>
  </si>
  <si>
    <t>WUTC Filing Fee</t>
  </si>
  <si>
    <t>Bad Debt</t>
  </si>
  <si>
    <t>Net St Utility Tax =   [(1-Bad Debt)*State Utility Tax Rate)]</t>
  </si>
  <si>
    <t>WUTC Fee</t>
  </si>
  <si>
    <t>Sum</t>
  </si>
  <si>
    <t>1-Sum</t>
  </si>
  <si>
    <t>1/(1-sum)</t>
  </si>
  <si>
    <t>Revenue Adjustment Factor Proof</t>
  </si>
  <si>
    <t>Factor</t>
  </si>
  <si>
    <t>Bad Debt Allowance  =  [Ln 16 x 7]</t>
  </si>
  <si>
    <t>State Utility Tax  =  [Ln 16 x 8]</t>
  </si>
  <si>
    <t>WUTC Fee  =  [Ln 16 x 9]</t>
  </si>
  <si>
    <t>Subtotal</t>
  </si>
  <si>
    <t>Net Unadjusted Cost  =  [Ln 16 - 21]</t>
  </si>
  <si>
    <t>Total Expenses Related to Revenue Sensitive Items</t>
  </si>
  <si>
    <t>2011 GRC - 12 ME 12/10</t>
  </si>
  <si>
    <t>Common</t>
  </si>
  <si>
    <t>Adjusted Results</t>
  </si>
  <si>
    <t>FERC Account Description</t>
  </si>
  <si>
    <t>Direct</t>
  </si>
  <si>
    <t>Alloc.</t>
  </si>
  <si>
    <t>of Operations</t>
  </si>
  <si>
    <t>OPERATING INCOME</t>
  </si>
  <si>
    <t>OPERATING REVENUES</t>
  </si>
  <si>
    <t>2 - SALES TO CUSTOMERS</t>
  </si>
  <si>
    <t>(2) 480 - Gas Residential Sales</t>
  </si>
  <si>
    <t>(2) 481 - Gas Commercial &amp; Industrial Sales</t>
  </si>
  <si>
    <t>(2) 489 - Rev From Transportation Of Gas To Others</t>
  </si>
  <si>
    <t>SUBTOTAL</t>
  </si>
  <si>
    <t>5 - OTHER OPERATING REVENUES</t>
  </si>
  <si>
    <t>(5) 412 - Lease Inc Everett Delta to NWP - Gas</t>
  </si>
  <si>
    <t>(5) 487 - Forfeited Discounts</t>
  </si>
  <si>
    <t>(5) 488 - Gas Misc Service Revenues</t>
  </si>
  <si>
    <t>(5) 4894 - Gas Revenues from Storing Gas of Others</t>
  </si>
  <si>
    <t>(5) 493 - Rent From Gas Property</t>
  </si>
  <si>
    <t>(5) 495 - Other Gas Revenues</t>
  </si>
  <si>
    <t>TOTAL OPERATING REVENUES</t>
  </si>
  <si>
    <t>ENERGY COST</t>
  </si>
  <si>
    <t>12 -  PURCHASED AND INTERCHANGED</t>
  </si>
  <si>
    <t>(12) 804 - Natural Gas City Gate Purchases</t>
  </si>
  <si>
    <t>(12) 805 - Other Gas Purchases</t>
  </si>
  <si>
    <t>(12) 8051 - Purchased Gas Cost Adjustments</t>
  </si>
  <si>
    <t>(12) 8081 - Gas Withdrawn From Storage</t>
  </si>
  <si>
    <t>(12) 8082 - Gas Delivered To Storage</t>
  </si>
  <si>
    <t>TOTAL ENERGY COST</t>
  </si>
  <si>
    <t>GROSS MARGIN</t>
  </si>
  <si>
    <t>OPERATING EXPENSES</t>
  </si>
  <si>
    <t>OPERATING AND MAINTENANCE</t>
  </si>
  <si>
    <t>17 - OTHER ENERGY SUPPLY EXPENSES</t>
  </si>
  <si>
    <t>(17) 710 - Production Operations Supv &amp; Engineering</t>
  </si>
  <si>
    <t>(17) 717 - Liquified Petroleum Gas Expenses</t>
  </si>
  <si>
    <t>(17) 735 - Misc Gas Production Exp</t>
  </si>
  <si>
    <t>(17) 741 - Production Plant Maint Structures</t>
  </si>
  <si>
    <t>(17) 742 - Production Plant Maint Prod Equip</t>
  </si>
  <si>
    <t>(17) 8072 - Operating of Purchased Gas Measuring Station</t>
  </si>
  <si>
    <t>(17) 8074 - Purchased Gas Calculation Exp</t>
  </si>
  <si>
    <t>(17) 812 - Gas Used For Other Utility Operations</t>
  </si>
  <si>
    <t>(17) 813 - Other Gas Supply Expenses</t>
  </si>
  <si>
    <t>(17) 814 - Undergrnd Strge - Operation Supv &amp; Eng</t>
  </si>
  <si>
    <t>(17) 815 - Undergrnd Strge - Oper Map &amp; Records</t>
  </si>
  <si>
    <t>(17) 816 - Undergrnd Strge - Oper Wells Expense</t>
  </si>
  <si>
    <t>(17) 817 - Undergrnd Strge - Oper Lines Expense</t>
  </si>
  <si>
    <t>(17) 818 - Undergrnd Strge - Oper Compressor Sta Exp</t>
  </si>
  <si>
    <t>(17) 819 - Undergrnd Strge - Oper Compressor Sta Fuel</t>
  </si>
  <si>
    <t>(17) 820 - Undergrnd Strge - Oper Meas &amp; Reg Sta Exp</t>
  </si>
  <si>
    <t>(17) 821 - Undergrnd Strge - Oper Purification Exp</t>
  </si>
  <si>
    <t>(17) 823 - Storage Gas Losses</t>
  </si>
  <si>
    <t>(17) 824 - Undergrnd Strge - Oper Other Expenses</t>
  </si>
  <si>
    <t>(17) 825 - Undergrnd Strge - Oper Storage Well Royalty</t>
  </si>
  <si>
    <t>(17) 826 - Undergrnd Strge - Oper Other Storage Rents</t>
  </si>
  <si>
    <t>(17) 830 - Undergrnd Strge - Maint Supv &amp; Engineering</t>
  </si>
  <si>
    <t>(17) 831 - Undergrnd Strge - Maint Structures</t>
  </si>
  <si>
    <t>(17) 832 - Undergrnd Strge - Maint Reservoirs &amp; Wells</t>
  </si>
  <si>
    <t>(17) 833 - Undergrnd Strge - Maint Of Lines</t>
  </si>
  <si>
    <t>(17) 834 - Undergrnd Strge - Maint Compressor Sta Equip</t>
  </si>
  <si>
    <t>(17) 835 - Undergrnd Strge - Maint Meas &amp; Reg Sta E</t>
  </si>
  <si>
    <t>(17) 836 - Undergrnd Strge - Maint Purification Equip</t>
  </si>
  <si>
    <t>(17) 837 - Undergrnd Strge-Maint Other Equipment</t>
  </si>
  <si>
    <t>(17) 841 - Operating Labor &amp; Expenses</t>
  </si>
  <si>
    <t>(17) 8432 - Maint Struc &amp; Impro</t>
  </si>
  <si>
    <t>(17) 8433 - Maintenance of Gas Holders</t>
  </si>
  <si>
    <t>(17) 8436 - Maintenance of Vaporizing Equipment</t>
  </si>
  <si>
    <t>(17) 8438 -  Maint Measur &amp; Reg</t>
  </si>
  <si>
    <t>(17) 8439 - Other Gas Maintenance</t>
  </si>
  <si>
    <t>Jackson Prairie Payroll Taxes &amp; Benefits</t>
  </si>
  <si>
    <t>18 - TRANSMISSION EXPENSE</t>
  </si>
  <si>
    <t>(18) 850 - Transmission Oper Supv &amp; Engineering</t>
  </si>
  <si>
    <t>(18) 856 - Transmission Oper Mains Expenses</t>
  </si>
  <si>
    <t>(18) 857 - Transmission Oper Meas &amp; Reg Sta Exp</t>
  </si>
  <si>
    <t>(18) 862 - Transmission Maint Structures &amp; Improvements</t>
  </si>
  <si>
    <t>(18) 863 - Transmission Maint Mains</t>
  </si>
  <si>
    <t>(18) 865 - Transmission Maint of measur &amp; regul station equip</t>
  </si>
  <si>
    <t>(18) 867 - Transmission Maint Other Equipment</t>
  </si>
  <si>
    <t>(18) 870 - Distribution Oper Supv &amp; Engineering</t>
  </si>
  <si>
    <t>19 - DISTRIBUTION EXPENSE</t>
  </si>
  <si>
    <t>(19) 870 - Distribution Oper Supv &amp; Engineering</t>
  </si>
  <si>
    <t>(19) 871 - Distribution Oper Load Dispatching</t>
  </si>
  <si>
    <t>(19) 874 - Distribution Oper Mains &amp; Services Exp</t>
  </si>
  <si>
    <t>(19) 875 - Distribution Oper Meas &amp; Reg Sta Gen</t>
  </si>
  <si>
    <t>(19) 876 - Distribution Oper Meas &amp; Reg Sta Indus</t>
  </si>
  <si>
    <t>(19) 878 - Distribution Oper Meter &amp; House Reg</t>
  </si>
  <si>
    <t>(19) 879 - Distribution Oper Customer Install Exp</t>
  </si>
  <si>
    <t>(19) 880 - Distribution Oper Other Expense</t>
  </si>
  <si>
    <t>(19) 881 - Distribution Oper Rents Expense</t>
  </si>
  <si>
    <t>(19) 887 - Distribution Maint Mains</t>
  </si>
  <si>
    <t>(19) 889 - Distribution Maint Meas &amp; Reg Sta Gen</t>
  </si>
  <si>
    <t>(19) 890 - Distribution Maint Meas &amp; Reg Sta Ind</t>
  </si>
  <si>
    <t>(19) 892 - Distribution Maint Services</t>
  </si>
  <si>
    <t>(19) 893 - Distribution Maint Meters &amp; House Reg</t>
  </si>
  <si>
    <t>(19) 894 - Distribution Maint Other Equipment</t>
  </si>
  <si>
    <t>20 - CUSTOMER ACCTS EXPENSES</t>
  </si>
  <si>
    <t>(20) 901 - Customer Accounts Supervision</t>
  </si>
  <si>
    <t>(20) 902 - Meter Reading Expense</t>
  </si>
  <si>
    <t>(20) 903 - Customer Records &amp; Collection Expense</t>
  </si>
  <si>
    <t>(20) 904 - Uncollectible Accounts</t>
  </si>
  <si>
    <t>(20) 905 - Misc. Customer Accounts Expense</t>
  </si>
  <si>
    <t>21 - CUSTOMER SERVICE EXPENSES</t>
  </si>
  <si>
    <t>(21) 908 - Customer Assistance Expense</t>
  </si>
  <si>
    <t>(21) 909 - Info &amp; Instructional Advertising</t>
  </si>
  <si>
    <t>(21) 910 - Misc Cust Svc &amp; Info Expense</t>
  </si>
  <si>
    <t>(21) 911 - Sales Supervision Exp</t>
  </si>
  <si>
    <t>(21) 912 - Demonstration &amp; Selling Expense</t>
  </si>
  <si>
    <t>(21) 913 - Advertising Expenses</t>
  </si>
  <si>
    <t>(21) 916 - Misc. Sales Expense</t>
  </si>
  <si>
    <t>22 - CONSERVATION AMORTIZATION</t>
  </si>
  <si>
    <t>(22) 908 - Customer Assistance Expense</t>
  </si>
  <si>
    <t>23 - ADMIN &amp; GENERAL EXPENSE</t>
  </si>
  <si>
    <t>(23) 920 - A &amp; G Salaries</t>
  </si>
  <si>
    <t>(23) 921 - Office Supplies and Expenses</t>
  </si>
  <si>
    <t>(23) 922 - Admin Expenses Transferred</t>
  </si>
  <si>
    <t>(23) 923 - Outside Services Employed</t>
  </si>
  <si>
    <t>(23) 924 - Property Insurance</t>
  </si>
  <si>
    <t>(23) 925 - Injuries &amp; Damages</t>
  </si>
  <si>
    <t>(23) 926 - Emp Pension &amp; Benefits</t>
  </si>
  <si>
    <t>(23) 928 - Regulatory Commission Expense</t>
  </si>
  <si>
    <t>(23) 9301 - Gen Advertising Exp</t>
  </si>
  <si>
    <t>(23) 9302 - Misc. General Expenses</t>
  </si>
  <si>
    <t>(23) 931 - Rents</t>
  </si>
  <si>
    <t>(23) 932 - Maint Of General Plant- Gas</t>
  </si>
  <si>
    <t>(23) 935 - Maint General Plant - Electric</t>
  </si>
  <si>
    <t>Jackson Prairie Benefits</t>
  </si>
  <si>
    <t xml:space="preserve">     TOTAL OPERATING AND MAINTENANCE</t>
  </si>
  <si>
    <t>DEPRECIATION, DEPLETION AND AMORTIZATION</t>
  </si>
  <si>
    <t>24 - DEPRECIATION</t>
  </si>
  <si>
    <t>(24) 403 - Depreciation Expense</t>
  </si>
  <si>
    <t>(24) 4031 - Depreciation Expense - FAS143</t>
  </si>
  <si>
    <t>25 - AMORTIZATION</t>
  </si>
  <si>
    <t>(25) 404 - Amort Ltd-Term Plant</t>
  </si>
  <si>
    <t>(25) 406 - Amortization Of Plant Acquisition Adj</t>
  </si>
  <si>
    <t>(25) 411 - Accretion Exp - FAS143</t>
  </si>
  <si>
    <t>26 - AMORTIZ OF PROPERTY LOSS</t>
  </si>
  <si>
    <t>(26) 407 - Amortization Of Prop. Losses</t>
  </si>
  <si>
    <t>27 - OTHER OPERATING EXPENSES</t>
  </si>
  <si>
    <t>(27) 4073 - Regulatory Debits</t>
  </si>
  <si>
    <t>(27) 4074 - Regulatory Credits</t>
  </si>
  <si>
    <t>(27) 4116 - Gains From Disposition Of Utility Plant</t>
  </si>
  <si>
    <t>(27) 4117 - Losses From Disposition Of Utility Plant</t>
  </si>
  <si>
    <t>(27) 4118 - Gains From Disposition Of Allowances</t>
  </si>
  <si>
    <t>(27) 414 - Other Utility Operating Income</t>
  </si>
  <si>
    <t>(27) 426 - Loss on FV of Derviative Instrument</t>
  </si>
  <si>
    <t>(27) 447 - Electric Sales For Resale</t>
  </si>
  <si>
    <t>TOTAL DEPRECIATION, DEPLETION AND AMORTIZATION</t>
  </si>
  <si>
    <t>28 - ADJUSTMENT TO TIE TO SETTLEMENT</t>
  </si>
  <si>
    <t>NOT IDENTIFIED TO SPECIFIC FERC ACCOUNTS</t>
  </si>
  <si>
    <t>29 - TAXES OTHER THAN F.I.T.</t>
  </si>
  <si>
    <t>(29) 4081 - Taxes Other-Util Income</t>
  </si>
  <si>
    <t>Jackson Prairie Payroll Taxes</t>
  </si>
  <si>
    <t>30 - FEDERAL INCOME TAXES</t>
  </si>
  <si>
    <t>(30) 4091 -  Fit-Util Oper Income</t>
  </si>
  <si>
    <t>31 - DEFERRED INCOME TAXES</t>
  </si>
  <si>
    <t>(31) 4101 - Def Fit-Util Oper Income</t>
  </si>
  <si>
    <t>(31) 4111 - Def Fit-Cr - Util Oper Income</t>
  </si>
  <si>
    <t>(31) 4114 - Inv Tax Cr Adj-Util Operations</t>
  </si>
  <si>
    <t>NET OPERATING INCOME</t>
  </si>
  <si>
    <t>Per PowerPlant</t>
  </si>
  <si>
    <t>Reconciling Items</t>
  </si>
  <si>
    <t>Per Test Year</t>
  </si>
  <si>
    <t>Adjustment 5.01</t>
  </si>
  <si>
    <t>Adjustment 5.02</t>
  </si>
  <si>
    <t>Adjustment 6.07</t>
  </si>
  <si>
    <t>AMA Monthly Reports</t>
  </si>
  <si>
    <t>YE-Dec 2010</t>
  </si>
  <si>
    <t>Between PowerPlant and SAP</t>
  </si>
  <si>
    <t>Rate Base MJS 3.03</t>
  </si>
  <si>
    <t>Gas Water Heater</t>
  </si>
  <si>
    <t>Steel Pipe</t>
  </si>
  <si>
    <t>Depreciation Rate</t>
  </si>
  <si>
    <t>Reclassification</t>
  </si>
  <si>
    <t>Depreciation</t>
  </si>
  <si>
    <t>PSE Gas </t>
  </si>
  <si>
    <t xml:space="preserve">     </t>
  </si>
  <si>
    <t>Gross Utility Plant In Service:</t>
  </si>
  <si>
    <t xml:space="preserve">     Production Plant</t>
  </si>
  <si>
    <t xml:space="preserve">          304 - Land &amp; Land Rights</t>
  </si>
  <si>
    <t xml:space="preserve">          305 - Structures &amp; Improvements</t>
  </si>
  <si>
    <t xml:space="preserve">          311 - Liquified Gas Equipment</t>
  </si>
  <si>
    <t xml:space="preserve">          320 - Other Equipment</t>
  </si>
  <si>
    <t xml:space="preserve">     Total Production Plant</t>
  </si>
  <si>
    <t xml:space="preserve">     Transmission Plant</t>
  </si>
  <si>
    <t xml:space="preserve">     Distribution Plant</t>
  </si>
  <si>
    <t xml:space="preserve">          374 - Land &amp; Land Rights</t>
  </si>
  <si>
    <t xml:space="preserve">          375 - Structures &amp; Improvements</t>
  </si>
  <si>
    <t xml:space="preserve">          376 - Mains</t>
  </si>
  <si>
    <t xml:space="preserve">          378 - Measuring &amp; Reg Station</t>
  </si>
  <si>
    <t xml:space="preserve">          380 - Services</t>
  </si>
  <si>
    <t xml:space="preserve">          381 - Meters</t>
  </si>
  <si>
    <t xml:space="preserve">          382 - Meter Installations</t>
  </si>
  <si>
    <t xml:space="preserve">          383 - House Regulators</t>
  </si>
  <si>
    <t xml:space="preserve">          384 - House Regulator Installs</t>
  </si>
  <si>
    <t xml:space="preserve">          385 - Industrial MSA</t>
  </si>
  <si>
    <t xml:space="preserve">          386 - Property-Customer Premis</t>
  </si>
  <si>
    <t xml:space="preserve">          387 - Other Equipment</t>
  </si>
  <si>
    <t xml:space="preserve">          388 - ARO Distribution</t>
  </si>
  <si>
    <t xml:space="preserve">     Total Distribution Plant</t>
  </si>
  <si>
    <t xml:space="preserve">     Underground Storage</t>
  </si>
  <si>
    <t xml:space="preserve">          350 - Land &amp; Land Rights</t>
  </si>
  <si>
    <t xml:space="preserve">          351 - Structures &amp; Improvements</t>
  </si>
  <si>
    <t xml:space="preserve">          352 - Wells</t>
  </si>
  <si>
    <t xml:space="preserve">          353 - Lines</t>
  </si>
  <si>
    <t xml:space="preserve">          354 - Compressor Station</t>
  </si>
  <si>
    <t xml:space="preserve">          355 - Regulating Station</t>
  </si>
  <si>
    <t xml:space="preserve">          356 - Purification Equipment</t>
  </si>
  <si>
    <t xml:space="preserve">          357 - Other Equipment</t>
  </si>
  <si>
    <t xml:space="preserve">          360 - Land &amp; Land Rights</t>
  </si>
  <si>
    <t xml:space="preserve">          361 - Structures &amp; Improvements</t>
  </si>
  <si>
    <t xml:space="preserve">          362 - Gas Holders</t>
  </si>
  <si>
    <t xml:space="preserve">          363 - Purification Equipment</t>
  </si>
  <si>
    <t xml:space="preserve">          364 - Terminating &amp; Processing</t>
  </si>
  <si>
    <t xml:space="preserve">     Total Underground Storage</t>
  </si>
  <si>
    <t xml:space="preserve">     General Plant</t>
  </si>
  <si>
    <t xml:space="preserve">          389 - Land &amp; Land Rights</t>
  </si>
  <si>
    <t xml:space="preserve">          390 - Structures &amp; Improvements</t>
  </si>
  <si>
    <t xml:space="preserve">          391 - Office Furniture &amp; Equipment</t>
  </si>
  <si>
    <t xml:space="preserve">          392 - Transportation Equipment</t>
  </si>
  <si>
    <t xml:space="preserve">          393 - Stores Equipment</t>
  </si>
  <si>
    <t xml:space="preserve">          394 - Tools/Shop/Garage</t>
  </si>
  <si>
    <t xml:space="preserve">          395 - Laboratory Equipment</t>
  </si>
  <si>
    <t xml:space="preserve">          396 - Power Operated Equipment</t>
  </si>
  <si>
    <t xml:space="preserve">          397 - Communication Equipment</t>
  </si>
  <si>
    <t xml:space="preserve">          398 - Misc Equipment</t>
  </si>
  <si>
    <t xml:space="preserve">          399 - Other Tangible Property</t>
  </si>
  <si>
    <t xml:space="preserve">     Total General Plant</t>
  </si>
  <si>
    <t>ARO - Asbestos Common</t>
  </si>
  <si>
    <t xml:space="preserve">     Intangible Plant</t>
  </si>
  <si>
    <t>ARO - Gas Mains</t>
  </si>
  <si>
    <t xml:space="preserve">          301 - Organization</t>
  </si>
  <si>
    <t>ARO-Gas Cast Iron Pipe Removal</t>
  </si>
  <si>
    <t xml:space="preserve">          302 - Franchises &amp; Consents</t>
  </si>
  <si>
    <t>ARO-Gas Bare Steel Pipe Removal</t>
  </si>
  <si>
    <t xml:space="preserve">          303 - Misc Intangible Plant</t>
  </si>
  <si>
    <t>ARO - Gas Cast Iron Pipe Removal to Short</t>
  </si>
  <si>
    <t xml:space="preserve">     Total Intangible Plant</t>
  </si>
  <si>
    <t>ARO - Gas Bare Steel Pipe Removal to Short</t>
  </si>
  <si>
    <t>ARO-Steel Wrapped Services</t>
  </si>
  <si>
    <t>Gross Utility Plant in Service</t>
  </si>
  <si>
    <t>ARO-Steel Wrapped Services - Gas ST</t>
  </si>
  <si>
    <t>ARO - Gas Short Term</t>
  </si>
  <si>
    <t>Other Plant Items</t>
  </si>
  <si>
    <t>25300212</t>
  </si>
  <si>
    <t>International Paper - Westcoast Capacity Agreement</t>
  </si>
  <si>
    <t>1823xxx Gas Rental Equip &amp; Pipe</t>
  </si>
  <si>
    <t>PSE Building (A) - Landlord Incentives</t>
  </si>
  <si>
    <t>ARO Gas 2300xxx Accounts</t>
  </si>
  <si>
    <t>PSE Building (B) - Landlord Incentives</t>
  </si>
  <si>
    <t>ARO Common 2300xxx Accounts</t>
  </si>
  <si>
    <t>25300413</t>
  </si>
  <si>
    <t>Landlord Incentive Bldg B - Floor 4</t>
  </si>
  <si>
    <t>Account 253xxxxx Deferred Credits- Landlord Incentives</t>
  </si>
  <si>
    <t>Redmond West on Willows - Landlord Ince</t>
  </si>
  <si>
    <t>Total Other Plant Items</t>
  </si>
  <si>
    <t>Total Gross Plant</t>
  </si>
  <si>
    <t>Accumulated Depreciation and Amortization:</t>
  </si>
  <si>
    <t>Total Accumulated Depreciation and Amortization</t>
  </si>
  <si>
    <t>Other Reserve Items</t>
  </si>
  <si>
    <t>Common-RWIP-RET1 C.O.R./Salvage PP</t>
  </si>
  <si>
    <t>Account 10800552 Gas RWIP</t>
  </si>
  <si>
    <t xml:space="preserve">Gas-RWIP-RET1 C.O.R./Salvage PP    </t>
  </si>
  <si>
    <t>Account 10800543 Common RWIP</t>
  </si>
  <si>
    <t>Total Reserve</t>
  </si>
  <si>
    <t>Total Net Utility Plant in Service</t>
  </si>
  <si>
    <t>Other Items</t>
  </si>
  <si>
    <t>Contributions In Aid of Const. DFIT</t>
  </si>
  <si>
    <t>DFIT - Liberalized Depreciation</t>
  </si>
  <si>
    <t>Account 11730002 Gas Stored</t>
  </si>
  <si>
    <t>Customer Deposits</t>
  </si>
  <si>
    <t>Total Other Items</t>
  </si>
  <si>
    <t>Total Net Investment</t>
  </si>
  <si>
    <t>Allowance For Working Capital</t>
  </si>
  <si>
    <t>Rounding</t>
  </si>
  <si>
    <t>Total Gas Rate Base</t>
  </si>
  <si>
    <t>SAP</t>
  </si>
  <si>
    <t>PAYROL TAXES</t>
  </si>
  <si>
    <t xml:space="preserve">40810002   State Excise Taxes                     </t>
  </si>
  <si>
    <t xml:space="preserve">40810003   Municipal Taxes                        </t>
  </si>
  <si>
    <t xml:space="preserve">40810005   Montana Electric Producer Taxes        </t>
  </si>
  <si>
    <t xml:space="preserve">40810006   Property Taxes-Washington-Electric     </t>
  </si>
  <si>
    <t xml:space="preserve">40810008   Property Tax Reimbursement-Qua         </t>
  </si>
  <si>
    <t xml:space="preserve">40810012   Property Taxes - Oregon                </t>
  </si>
  <si>
    <t xml:space="preserve">40810013   Property Taxes - Montana               </t>
  </si>
  <si>
    <t xml:space="preserve">40810014   1180 - Mint Farm Property Tax Expense  </t>
  </si>
  <si>
    <t xml:space="preserve">Electric Taxes Other-Util Inc                     </t>
  </si>
  <si>
    <t>40810301   Taxes Other Than Inc Tax - Gas - Util O</t>
  </si>
  <si>
    <t xml:space="preserve">40810302   State Excise Taxes                     </t>
  </si>
  <si>
    <t xml:space="preserve">40810303   Municipal Taxes                        </t>
  </si>
  <si>
    <t xml:space="preserve">40810304   Property Taxes-Washington-Gas          </t>
  </si>
  <si>
    <t xml:space="preserve">40810305   Property Tax Reimbursement-Pil         </t>
  </si>
  <si>
    <t xml:space="preserve">40810306   Property Tax Reimbursement-Quanta- Gas </t>
  </si>
  <si>
    <t xml:space="preserve">Gas Taxes Other-Util Inc                          </t>
  </si>
  <si>
    <t xml:space="preserve">40810602   Excise Taxes                           </t>
  </si>
  <si>
    <t xml:space="preserve">40810613   Payroll Tax Clearing from Cost Center  </t>
  </si>
  <si>
    <t xml:space="preserve"> Common Taxes Other-Util Inc       </t>
  </si>
  <si>
    <t xml:space="preserve"> Taxes Other Than Income Taxes     </t>
  </si>
  <si>
    <t>INCOME STATEMENT</t>
  </si>
  <si>
    <t xml:space="preserve">          (29) 4081 - Taxes Other-Util Income</t>
  </si>
  <si>
    <t>Account 408.1 Year Ending Dec 2010</t>
  </si>
  <si>
    <t>PAYROLL TAXES</t>
  </si>
  <si>
    <t>Payroll</t>
  </si>
  <si>
    <t xml:space="preserve">40810602   Excise Taxes </t>
  </si>
  <si>
    <t>El</t>
  </si>
  <si>
    <t>Gas</t>
  </si>
  <si>
    <t>Four Factor Allocator</t>
  </si>
  <si>
    <t>Electric</t>
  </si>
  <si>
    <t>408.1 Taxes Other Than Income</t>
  </si>
  <si>
    <t>Test Year Ending June 2010</t>
  </si>
  <si>
    <t>Property</t>
  </si>
  <si>
    <t>Excise</t>
  </si>
  <si>
    <t>Test Year</t>
  </si>
  <si>
    <t>Temperature Normalization</t>
  </si>
  <si>
    <t>Revenue &amp; Expense</t>
  </si>
  <si>
    <t>Pass Through Revenue &amp; Expense</t>
  </si>
  <si>
    <t>Property Taxes</t>
  </si>
  <si>
    <t>Wage Increase</t>
  </si>
  <si>
    <t>Incentive Pay</t>
  </si>
  <si>
    <t>Total Adjustments</t>
  </si>
  <si>
    <t>Total Adjusted Test Year</t>
  </si>
  <si>
    <t>Revenue Increase</t>
  </si>
  <si>
    <t>Adjusted Results of Operations</t>
  </si>
  <si>
    <t>Cost Of Service Allocator</t>
  </si>
  <si>
    <t>Revenue - separate gas and margin</t>
  </si>
  <si>
    <t>Labor</t>
  </si>
  <si>
    <t>Include in revenue</t>
  </si>
  <si>
    <t>Total Common</t>
  </si>
  <si>
    <t xml:space="preserve"> Test Year</t>
  </si>
  <si>
    <t>allocated</t>
  </si>
  <si>
    <t>Ending 12/31/2010</t>
  </si>
  <si>
    <t>12/31/10  YTD</t>
  </si>
  <si>
    <t>12/31/10 YTD</t>
  </si>
  <si>
    <t>U/G Storage Depreciation Expense</t>
  </si>
  <si>
    <t>Other Storage Depreciation Expense</t>
  </si>
  <si>
    <t>Depr. Expense - FAS 143 Asset Retirement Cost</t>
  </si>
  <si>
    <t>Amort. Ltd - Term Plant - Franchises</t>
  </si>
  <si>
    <t>Amort. Ltd - Term Plant - Computer Software</t>
  </si>
  <si>
    <t>Amort. Ltd - Term Plant - CLX Software</t>
  </si>
  <si>
    <t>Amort. Ltd - Term Plant - Leasehold Improvements</t>
  </si>
  <si>
    <t>Accretion Exp. - FAS 143</t>
  </si>
  <si>
    <t>Gain from disposal of utility plant</t>
  </si>
  <si>
    <t>Loss from disposal of utility plant</t>
  </si>
  <si>
    <t>Gain from Sales Allowance-Conserv</t>
  </si>
  <si>
    <t>Other Operating Income</t>
  </si>
  <si>
    <t>Fuel</t>
  </si>
  <si>
    <t>2006-2010</t>
  </si>
  <si>
    <t>Sum of Grand Total</t>
  </si>
  <si>
    <t>Tariff</t>
  </si>
  <si>
    <t>% to Total</t>
  </si>
  <si>
    <t>25 / 29</t>
  </si>
  <si>
    <t>Lights</t>
  </si>
  <si>
    <t>Amount</t>
  </si>
  <si>
    <t>Comm. &amp; Indus. (31,61)</t>
  </si>
  <si>
    <t>31-C</t>
  </si>
  <si>
    <t>Large Volume (41,41T)</t>
  </si>
  <si>
    <t>31-I</t>
  </si>
  <si>
    <t>Limited Interruptible (86)</t>
  </si>
  <si>
    <t>41-C</t>
  </si>
  <si>
    <t>Non-Exclusive Interruptible (87, 87T)</t>
  </si>
  <si>
    <t>41-I</t>
  </si>
  <si>
    <t>57-I</t>
  </si>
  <si>
    <t>61-C</t>
  </si>
  <si>
    <t>86-C</t>
  </si>
  <si>
    <t>COS</t>
  </si>
  <si>
    <t>should pay w/o gas</t>
  </si>
  <si>
    <t>should pay w/ gas</t>
  </si>
  <si>
    <t>Will Pay</t>
  </si>
  <si>
    <t>Should pay w/ gas</t>
  </si>
  <si>
    <t>Difference</t>
  </si>
  <si>
    <t xml:space="preserve">Test Year Ended December 2010 </t>
  </si>
  <si>
    <t>Check(1)</t>
  </si>
  <si>
    <t xml:space="preserve">Total less 98 </t>
  </si>
  <si>
    <t>(1) This customer switched to 86T in June 2010 and should've been a customer in June 2010.</t>
  </si>
  <si>
    <t>Test Year Ended December 2010 by Schedule</t>
  </si>
  <si>
    <t>23,53,16</t>
  </si>
  <si>
    <t>31,61</t>
  </si>
  <si>
    <t>Sales Total</t>
  </si>
  <si>
    <t>Transport Total</t>
  </si>
  <si>
    <t>Data Source: J:\GrpRates\Public\Gas GRC 2011\Pro Forma Revenue\Data\Historic Customer Counts.xls</t>
  </si>
  <si>
    <t>Rate Class Excluding Transportation</t>
  </si>
  <si>
    <t>Large Volume (41)</t>
  </si>
  <si>
    <t>Non-Exclusive Interruptible (87)</t>
  </si>
  <si>
    <t>Data Source: (C) Pro Forma Rev 2011 GRC.xlsx\Weather Adj</t>
  </si>
  <si>
    <t>Average Customer Count and 252 Customer Count</t>
  </si>
  <si>
    <t>Transp</t>
  </si>
  <si>
    <t>Res</t>
  </si>
  <si>
    <t>16, 23,53</t>
  </si>
  <si>
    <t>C&amp;I</t>
  </si>
  <si>
    <t>31,36,51,61</t>
  </si>
  <si>
    <t>LV</t>
  </si>
  <si>
    <t>41, 41T</t>
  </si>
  <si>
    <t>Inter.</t>
  </si>
  <si>
    <t>85, 85T</t>
  </si>
  <si>
    <t>Ltd. Inter</t>
  </si>
  <si>
    <t>86. 86T</t>
  </si>
  <si>
    <t>Non-Exl Inter</t>
  </si>
  <si>
    <t>87, 87T</t>
  </si>
  <si>
    <t>Contract</t>
  </si>
  <si>
    <t>Rental</t>
  </si>
  <si>
    <t>Avg Customers</t>
  </si>
  <si>
    <t>86, 86T</t>
  </si>
  <si>
    <t>Avg. Customers for A/C 252 (Cust. Adv.) Allocation</t>
  </si>
  <si>
    <t>Summary</t>
  </si>
  <si>
    <t>Allocation Factor</t>
  </si>
  <si>
    <t>PROD_ASGNT_BAS_PRIC_SCHED_NBR</t>
  </si>
  <si>
    <t>AMR_SYS_TYP</t>
  </si>
  <si>
    <t>HRLY_GAS_VOL_RATG_QNTY</t>
  </si>
  <si>
    <t>COUNT</t>
  </si>
  <si>
    <t>PERCENT</t>
  </si>
  <si>
    <t>CellNet</t>
  </si>
  <si>
    <t>Metretek</t>
  </si>
  <si>
    <t>98G-C</t>
  </si>
  <si>
    <t>31G</t>
  </si>
  <si>
    <t>41G</t>
  </si>
  <si>
    <t>AMR</t>
  </si>
  <si>
    <t xml:space="preserve">SC </t>
  </si>
  <si>
    <t>Summary by Type</t>
  </si>
  <si>
    <t>Base Price Rate</t>
  </si>
  <si>
    <t>AMR System Type</t>
  </si>
  <si>
    <t>Hourly Gas Volume Rating Quantity</t>
  </si>
  <si>
    <t>Count</t>
  </si>
  <si>
    <t>Cellnet</t>
  </si>
  <si>
    <t>Item</t>
  </si>
  <si>
    <t>Qty/Hours</t>
  </si>
  <si>
    <t>Unit cost</t>
  </si>
  <si>
    <t xml:space="preserve">   $ Cost</t>
  </si>
  <si>
    <t>Diaphragm250/275</t>
  </si>
  <si>
    <t xml:space="preserve">Regulator </t>
  </si>
  <si>
    <t>Stores overhead</t>
  </si>
  <si>
    <t>Small Tools Expense</t>
  </si>
  <si>
    <t>Meter installation</t>
  </si>
  <si>
    <t>-----</t>
  </si>
  <si>
    <t>General overhead</t>
  </si>
  <si>
    <t>TOTAL=</t>
  </si>
  <si>
    <t>=====</t>
  </si>
  <si>
    <t>250 AMR</t>
  </si>
  <si>
    <t>Diaphragm250/275AMR</t>
  </si>
  <si>
    <t>A9 Valve</t>
  </si>
  <si>
    <t>Stores overhead (A9 Valve)</t>
  </si>
  <si>
    <t>Diaphragm425</t>
  </si>
  <si>
    <t>Regulator</t>
  </si>
  <si>
    <t>425 AMR</t>
  </si>
  <si>
    <t>Diaphragm425AMR</t>
  </si>
  <si>
    <t>Meter Bar</t>
  </si>
  <si>
    <t>Stores overhead (meter bar)</t>
  </si>
  <si>
    <t>Diaphragm1000TC</t>
  </si>
  <si>
    <t>1000 AMR</t>
  </si>
  <si>
    <t>Diaphragm1000AMRTC</t>
  </si>
  <si>
    <t>Meter Bar (1000)</t>
  </si>
  <si>
    <t>Diaphragm1400TC</t>
  </si>
  <si>
    <t>Diaphragm2300TC</t>
  </si>
  <si>
    <t>Rotary3000TC</t>
  </si>
  <si>
    <t>Rotary5000TC</t>
  </si>
  <si>
    <t>Rotary7000TC</t>
  </si>
  <si>
    <t>Rotary11000TC</t>
  </si>
  <si>
    <t>Rotary16000TC</t>
  </si>
  <si>
    <t>Turbine18000</t>
  </si>
  <si>
    <t>Rotary23000TC</t>
  </si>
  <si>
    <t>Turbine30000</t>
  </si>
  <si>
    <t>Rotary38000TC</t>
  </si>
  <si>
    <t>Turbine60000</t>
  </si>
  <si>
    <t>Large Industrial Meter Assembly</t>
  </si>
  <si>
    <t>Turbine150000</t>
  </si>
  <si>
    <t>Meter Cost Allocation Factors</t>
  </si>
  <si>
    <t>With AMR</t>
  </si>
  <si>
    <t>Without AMR</t>
  </si>
  <si>
    <t>Meter</t>
  </si>
  <si>
    <t>Installation</t>
  </si>
  <si>
    <t>Total Unit</t>
  </si>
  <si>
    <t>Industrial Unit</t>
  </si>
  <si>
    <t>AMR: Automated Meter Reading</t>
  </si>
  <si>
    <t>Calculation of Costs by Rate Schedule</t>
  </si>
  <si>
    <t>381 Meter Unit Cost</t>
  </si>
  <si>
    <t>382 Installation Unit Cost</t>
  </si>
  <si>
    <t>385 Industrial Unit Cost</t>
  </si>
  <si>
    <t>381 Total Cost</t>
  </si>
  <si>
    <t>382 Total Cost</t>
  </si>
  <si>
    <t>385 Total Cost</t>
  </si>
  <si>
    <t>Meter Type</t>
  </si>
  <si>
    <t>Peak-Average Allocation Factor for Mains</t>
  </si>
  <si>
    <t>Contracts (SC)</t>
  </si>
  <si>
    <t>Peak</t>
  </si>
  <si>
    <t>Peak Related Costs</t>
  </si>
  <si>
    <t>Design Peak</t>
  </si>
  <si>
    <t>Average Related Costs</t>
  </si>
  <si>
    <t>Large Mains (=&gt; 4")</t>
  </si>
  <si>
    <t>Medium Mains (2-3")</t>
  </si>
  <si>
    <t>Volume Less 87, SC</t>
  </si>
  <si>
    <t>Small Mains (&lt; 2")</t>
  </si>
  <si>
    <t>Volume Less 85, 87, SC</t>
  </si>
  <si>
    <t>Total Average Related Costs</t>
  </si>
  <si>
    <t>Total (PA_MAINS)</t>
  </si>
  <si>
    <t>Allocators</t>
  </si>
  <si>
    <t>Total Annual Volume</t>
  </si>
  <si>
    <t>Total Allocated to 85, 87 and Contracts</t>
  </si>
  <si>
    <t>Percent Allocated to 85, 87 and Contracts</t>
  </si>
  <si>
    <t xml:space="preserve">2011 Gas General Rate Case Filing </t>
  </si>
  <si>
    <t>Estimated Design Day Peak Demand (Therms) by Rate Class</t>
  </si>
  <si>
    <t>Test Year: 12 Month Ended December 31, 2010</t>
  </si>
  <si>
    <t>Class/Schedule</t>
  </si>
  <si>
    <t>Peak Day Estimate</t>
  </si>
  <si>
    <t>Firm Service</t>
  </si>
  <si>
    <t>Rate 23/53: Residential</t>
  </si>
  <si>
    <t>Firm Residential</t>
  </si>
  <si>
    <t>Firm Commercial Schedules</t>
  </si>
  <si>
    <t>Rate 31: Commercial</t>
  </si>
  <si>
    <t>Rate 41: Commercial</t>
  </si>
  <si>
    <t>Firm Industrial Schedules</t>
  </si>
  <si>
    <t>Rate 31: Industrial</t>
  </si>
  <si>
    <t>Rate 41: Industrial</t>
  </si>
  <si>
    <t xml:space="preserve">Firm Schedules </t>
  </si>
  <si>
    <t>Interruptible Schedules</t>
  </si>
  <si>
    <t>Rate 85 - Com &amp; Ind</t>
  </si>
  <si>
    <t>Rate 86- Com &amp; Ind</t>
  </si>
  <si>
    <t>Rate 87- Com &amp; Ind</t>
  </si>
  <si>
    <t>Total Firm Sales Service</t>
  </si>
  <si>
    <t>41T  - Large Volume Com &amp; Ind</t>
  </si>
  <si>
    <t>85T  - Interruptible Com &amp; Ind</t>
  </si>
  <si>
    <t>86T  - Limited Interruptible Com &amp; Ind</t>
  </si>
  <si>
    <t>87T  - Non-exclusive Interruptible Com &amp; Ind</t>
  </si>
  <si>
    <t>Firm Transportation</t>
  </si>
  <si>
    <t>Total Firm</t>
  </si>
  <si>
    <t>Interruptible Service</t>
  </si>
  <si>
    <t>Commercial / Industrial Sales</t>
  </si>
  <si>
    <t>Rate 85 Interruptible Com &amp; Ind</t>
  </si>
  <si>
    <t>Rate 86 Limited Interruptible Com &amp; Ind</t>
  </si>
  <si>
    <t>Rate 87 Non-exclusive Interruptible Com &amp; Ind</t>
  </si>
  <si>
    <t>Interruptible Commercial / Industrial</t>
  </si>
  <si>
    <t>Interruptible Transportation</t>
  </si>
  <si>
    <t>Total Interruptible</t>
  </si>
  <si>
    <t>Total Firm and Interruptible</t>
  </si>
  <si>
    <t>Allocation Factors</t>
  </si>
  <si>
    <t>Cost of Service Classes</t>
  </si>
  <si>
    <t>Peak Day (PDAY)</t>
  </si>
  <si>
    <t>Allocation Percent - PDAY</t>
  </si>
  <si>
    <t>Peak Day w/o Transportation (PDAYXT)</t>
  </si>
  <si>
    <t>Allocation Percent - PDAYXT</t>
  </si>
  <si>
    <t>Residential (23,53,16)</t>
  </si>
  <si>
    <t>Commercial &amp; Industrial (31,61)</t>
  </si>
  <si>
    <t>Non-exclusive Interruptible (87,87T)</t>
  </si>
  <si>
    <t>Total - PDAY</t>
  </si>
  <si>
    <t>Estimated Design Day Peak Load (Therms) - Firm and Interruptible Sales</t>
  </si>
  <si>
    <t>Test Year Ended December 2010, Peak Month December 2010</t>
  </si>
  <si>
    <t>52 HDD (13 Degrees F)</t>
  </si>
  <si>
    <t xml:space="preserve">
Class</t>
  </si>
  <si>
    <t xml:space="preserve">
Rate Sch.</t>
  </si>
  <si>
    <t>Calendar Volume in Peak Month</t>
  </si>
  <si>
    <t>Allocated Peak</t>
  </si>
  <si>
    <t>Comments/Notes</t>
  </si>
  <si>
    <t>(d)  = c  / sum(c)</t>
  </si>
  <si>
    <t>Firm Schedules</t>
  </si>
  <si>
    <t>23, 53, 16</t>
  </si>
  <si>
    <t>Prorata of remainder based on actual use in peak month</t>
  </si>
  <si>
    <t xml:space="preserve">    Residential Total</t>
  </si>
  <si>
    <t>Firm Commercial Schedule</t>
  </si>
  <si>
    <t>Billed demand in peak month</t>
  </si>
  <si>
    <t xml:space="preserve">    Firm Commercial Schedules Total</t>
  </si>
  <si>
    <t xml:space="preserve">    Firm Industrial Schedules Total</t>
  </si>
  <si>
    <t xml:space="preserve">    Total Firm Schedules</t>
  </si>
  <si>
    <t>Contract demand in peak month</t>
  </si>
  <si>
    <t xml:space="preserve">    Total Interruptible Schedules</t>
  </si>
  <si>
    <t>Basis:  
[1]  Set design day peak demand estimate for Schedule 41 equal to their billed demand in the peak month. [2]  Set the design day estimate to contract demand in peak month for interruptible schedules. [3] Allocate the remaining peak day balance to Schedules 23, 16, 53 and 31 based on average day actual use in peak month.</t>
  </si>
  <si>
    <t>Estimated Peak Day Load (Therms)
Test Year Ended Dec. 2010
HDD=52 (~13 degrees F)</t>
  </si>
  <si>
    <t>peak month 2011 GRC</t>
  </si>
  <si>
    <t>Weather Normalized Volume</t>
  </si>
  <si>
    <t>Transport</t>
  </si>
  <si>
    <t>Volumes</t>
  </si>
  <si>
    <t>Total All</t>
  </si>
  <si>
    <t>(H)</t>
  </si>
  <si>
    <t>(I)</t>
  </si>
  <si>
    <t>(J)</t>
  </si>
  <si>
    <t>(K)</t>
  </si>
  <si>
    <t>(L)</t>
  </si>
  <si>
    <t>(M)</t>
  </si>
  <si>
    <t>(N)</t>
  </si>
  <si>
    <t>(O)</t>
  </si>
  <si>
    <t>(P)</t>
  </si>
  <si>
    <t>Summary of Gas Cost Allocation Factors</t>
  </si>
  <si>
    <t xml:space="preserve">  23, 53, 16</t>
  </si>
  <si>
    <t xml:space="preserve">  31, 61</t>
  </si>
  <si>
    <t xml:space="preserve">  41, 41T</t>
  </si>
  <si>
    <t xml:space="preserve">  85, 85T</t>
  </si>
  <si>
    <t xml:space="preserve">  86, 86T</t>
  </si>
  <si>
    <t xml:space="preserve">  87, 87T</t>
  </si>
  <si>
    <t>PDAY</t>
  </si>
  <si>
    <t>COM1</t>
  </si>
  <si>
    <t>(All Volumes)</t>
  </si>
  <si>
    <t>PAVG</t>
  </si>
  <si>
    <t>Load Factor Weighting of PDAY and COM1</t>
  </si>
  <si>
    <t>(Sales Volumes)</t>
  </si>
  <si>
    <t>SEAS2_COM</t>
  </si>
  <si>
    <t>(All NOV-MAR Sales Volumes)</t>
  </si>
  <si>
    <t>SEAS3_COM</t>
  </si>
  <si>
    <t>(All Apr-Oct Sales Volumes)</t>
  </si>
  <si>
    <t>No. Days Apr-Oct</t>
  </si>
  <si>
    <t xml:space="preserve">Apr-Oct Ave Daily Sales </t>
  </si>
  <si>
    <t>Nov-Mar Ave Daily Sales</t>
  </si>
  <si>
    <t>No. Days Nov-Mar</t>
  </si>
  <si>
    <t>(Incremental NOV-MAR Seasonal Sales)</t>
  </si>
  <si>
    <t>COM1XT Annual Sales</t>
  </si>
  <si>
    <t>Weighted Alloc. Percent:</t>
  </si>
  <si>
    <t>SEAS_2 Winter Sales</t>
  </si>
  <si>
    <t>PDAYXT Peak Day</t>
  </si>
  <si>
    <t>Sum of Weighted Alloc. Percent:</t>
  </si>
  <si>
    <t>Estimated System Load Factor</t>
  </si>
  <si>
    <t>Total System Load Factor Calculation</t>
  </si>
  <si>
    <t>DAYS PER YEAR</t>
  </si>
  <si>
    <t>Load Factor =</t>
  </si>
  <si>
    <t>(COM1)/(PDAY*DAYS PER YEAR) =</t>
  </si>
  <si>
    <t>System Load Factor Calculation - Sales</t>
  </si>
  <si>
    <t>(COM1XT)/(PDAY*DAYS PER YEAR) =</t>
  </si>
  <si>
    <t>Deposits</t>
  </si>
  <si>
    <t>FUEL</t>
  </si>
  <si>
    <t>Sum of  TOTAL AMOUNT</t>
  </si>
  <si>
    <t xml:space="preserve">Allocation </t>
  </si>
  <si>
    <t xml:space="preserve"> PRCE_SCH_ID</t>
  </si>
  <si>
    <t xml:space="preserve"> 23G </t>
  </si>
  <si>
    <t xml:space="preserve"> 23G-ND </t>
  </si>
  <si>
    <t xml:space="preserve"> 23G-NK </t>
  </si>
  <si>
    <t xml:space="preserve"> 23G-NR </t>
  </si>
  <si>
    <t xml:space="preserve"> 23G-NS </t>
  </si>
  <si>
    <t xml:space="preserve"> 31G-C </t>
  </si>
  <si>
    <t xml:space="preserve"> 31G-C-ND </t>
  </si>
  <si>
    <t xml:space="preserve"> 31G-C-NK </t>
  </si>
  <si>
    <t xml:space="preserve"> 31G-C-NR </t>
  </si>
  <si>
    <t xml:space="preserve"> 31G-I </t>
  </si>
  <si>
    <t xml:space="preserve"> 41G-C2 </t>
  </si>
  <si>
    <t xml:space="preserve"> 61G-C </t>
  </si>
  <si>
    <t>Sum of CDR_BAS_SUMM_AMT</t>
  </si>
  <si>
    <t>Charge Type</t>
  </si>
  <si>
    <t>Account Service Charge</t>
  </si>
  <si>
    <t>Connection / Reconnection Charge</t>
  </si>
  <si>
    <t>Disconnect Fee</t>
  </si>
  <si>
    <t>Late Payment Fee</t>
  </si>
  <si>
    <t>NSF Check Charge</t>
  </si>
  <si>
    <t>Other - QP</t>
  </si>
  <si>
    <t>Payment Return</t>
  </si>
  <si>
    <t>Service Guarantee Credit</t>
  </si>
  <si>
    <t>Other Revenue excluding QP</t>
  </si>
  <si>
    <t xml:space="preserve">Other Revenue </t>
  </si>
  <si>
    <t>Excluding QP</t>
  </si>
  <si>
    <t>Penalty/Overrun</t>
  </si>
  <si>
    <t xml:space="preserve">Excluding NCR, Penalty/ </t>
  </si>
  <si>
    <t>Revenue (2)</t>
  </si>
  <si>
    <t>Qualified Payment (QP)</t>
  </si>
  <si>
    <t>Overrun and QP</t>
  </si>
  <si>
    <t>Other Revenue</t>
  </si>
  <si>
    <t>Total Pro Forma Other Revenue</t>
  </si>
  <si>
    <t>(1) New Customer Revenue from the Pro forma revenue file</t>
  </si>
  <si>
    <t>(2) Penalty/Overrun Revenue from the Pro forma revenue file</t>
  </si>
  <si>
    <t>Line No.</t>
  </si>
  <si>
    <t>Total Company</t>
  </si>
  <si>
    <t>Rate Base</t>
  </si>
  <si>
    <t>Plant in Service</t>
  </si>
  <si>
    <t>Accumulated Reserve</t>
  </si>
  <si>
    <t>Other Rate Base Items</t>
  </si>
  <si>
    <t>TOTAL RATE BASE</t>
  </si>
  <si>
    <t>Revenue at Current Rates</t>
  </si>
  <si>
    <t>Gas Revenues</t>
  </si>
  <si>
    <t>Base Rate Revenues</t>
  </si>
  <si>
    <t>Other Revenues</t>
  </si>
  <si>
    <t>TOTAL REVENUE</t>
  </si>
  <si>
    <t>Expenses at Current Rates</t>
  </si>
  <si>
    <t>Operation and Maintenance</t>
  </si>
  <si>
    <t>Taxes Other Than Income</t>
  </si>
  <si>
    <t>Income Taxes</t>
  </si>
  <si>
    <t>TOTAL EXPENSES - Current</t>
  </si>
  <si>
    <t>Operating Income - Current</t>
  </si>
  <si>
    <t>Current Rate of Return</t>
  </si>
  <si>
    <t>Calculation of Rate Schedule Revenue Requirement at Equal Rates of Return</t>
  </si>
  <si>
    <t>Required Return</t>
  </si>
  <si>
    <t>Required Operating Income</t>
  </si>
  <si>
    <t>Operating Income (Deficiency)/Surplus</t>
  </si>
  <si>
    <t>Revenue Conversion Factor</t>
  </si>
  <si>
    <t>Revenue (Deficiency) / Surplus</t>
  </si>
  <si>
    <t>Revenue Requirement</t>
  </si>
  <si>
    <t>Revenues Other Than Rate Sch. Rev.</t>
  </si>
  <si>
    <t>Rate Schedule Revenue Requirement</t>
  </si>
  <si>
    <t>Deficiency / (Surplus) as % of Rate Rev</t>
  </si>
  <si>
    <t>Expenses at Required Return</t>
  </si>
  <si>
    <t>TOTAL EXPENSES - Required</t>
  </si>
  <si>
    <t>Rate Schedule Revenue as Proposed</t>
  </si>
  <si>
    <t>Revenue as Proposed</t>
  </si>
  <si>
    <t>Proposed Revenue Increase</t>
  </si>
  <si>
    <t>Proposed Revenue - Revenue Requirement</t>
  </si>
  <si>
    <t>Current Revenue to Cost Ratio</t>
  </si>
  <si>
    <t>Parity Ratio</t>
  </si>
  <si>
    <t>Proposed Revenue to Cost Ratio</t>
  </si>
  <si>
    <t>Proposed Test Year Without Gas</t>
  </si>
  <si>
    <t>Dockets UE-111048/UG-111049</t>
  </si>
  <si>
    <t>Puget Sound Energy - Gas</t>
  </si>
  <si>
    <t>COST OF SERVICE STUDY</t>
  </si>
  <si>
    <t>Test Year Ended December 2010</t>
  </si>
  <si>
    <t>ALLOCATION OF REVENUE DEFICIENCY</t>
  </si>
  <si>
    <t>CURRENT AND PROPOSED RATES BY RATE SCHEDULE - RESIDENTIAL</t>
  </si>
  <si>
    <t>CURRENT AND PROPOSED RATES BY RATE SCHEDULE - COMMERCIAL &amp; INDUSTRIAL</t>
  </si>
  <si>
    <t>CURRENT AND PROPOSED RATES BY RATE SCHEDULE - INTERRUPTIBLE &amp; TRANSPORTATION</t>
  </si>
  <si>
    <t>CURRENT AND PROPOSED RATES BY RATE SCHEDULE - RENTALS</t>
  </si>
  <si>
    <t xml:space="preserve">Line  </t>
  </si>
  <si>
    <t>Exhibit No.__ (CTM-4)</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</si>
</sst>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quot;$&quot;#,##0.00"/>
    <numFmt numFmtId="168" formatCode="#,##0.00000"/>
    <numFmt numFmtId="169" formatCode="&quot;$&quot;#,##0.00000"/>
    <numFmt numFmtId="170" formatCode="0.000%"/>
    <numFmt numFmtId="171" formatCode="_(&quot;$&quot;* #,##0.0000_);_(&quot;$&quot;* \(#,##0.0000\);_(&quot;$&quot;* &quot;-&quot;????_);_(@_)"/>
    <numFmt numFmtId="172" formatCode="&quot;$&quot;#,##0.00000\ ;\(&quot;$&quot;#,##0.00000\)"/>
    <numFmt numFmtId="173" formatCode="&quot;$&quot;#,##0.00\ ;\(&quot;$&quot;#,##0.00\)"/>
    <numFmt numFmtId="174" formatCode="#,##0.0"/>
    <numFmt numFmtId="175" formatCode="&quot;$&quot;#,##0\ ;\(&quot;$&quot;#,##0\)"/>
    <numFmt numFmtId="176" formatCode="&quot;$&quot;#,##0.0000\ ;\(&quot;$&quot;#,##0.0000\)"/>
    <numFmt numFmtId="177" formatCode="0.000000"/>
    <numFmt numFmtId="178" formatCode="0.0%"/>
    <numFmt numFmtId="179" formatCode="00000"/>
    <numFmt numFmtId="180" formatCode="#,##0.00000000000;[Red]\-#,##0.00000000000"/>
    <numFmt numFmtId="181" formatCode="_(&quot;$&quot;* #,##0.00000_);_(&quot;$&quot;* \(#,##0.00000\);_(&quot;$&quot;* &quot;-&quot;??_);_(@_)"/>
    <numFmt numFmtId="182" formatCode="0.0000%"/>
    <numFmt numFmtId="183" formatCode="&quot;$&quot;#,##0.000\ ;\(&quot;$&quot;#,##0.000\)"/>
    <numFmt numFmtId="184" formatCode="#,##0.000"/>
    <numFmt numFmtId="185" formatCode="_([$€-2]* #,##0.00_);_([$€-2]* \(#,##0.00\);_([$€-2]* &quot;-&quot;??_)"/>
    <numFmt numFmtId="186" formatCode="_(&quot;$&quot;* #,##0.00000_);_(&quot;$&quot;* \(#,##0.00000\);_(&quot;$&quot;* &quot;-&quot;_);_(@_)"/>
    <numFmt numFmtId="187" formatCode="_(&quot;$&quot;* #,##0.0000_);_(&quot;$&quot;* \(#,##0.0000\);_(&quot;$&quot;* &quot;-&quot;_);_(@_)"/>
    <numFmt numFmtId="188" formatCode="&quot;$&quot;#,##0.0000_);\(&quot;$&quot;#,##0.0000\)"/>
    <numFmt numFmtId="189" formatCode="_(&quot;$&quot;* #,##0.00000_);_(&quot;$&quot;* \(#,##0.00000\);_(&quot;$&quot;* &quot;-&quot;?????_);_(@_)"/>
    <numFmt numFmtId="190" formatCode="0.0000"/>
    <numFmt numFmtId="191" formatCode="&quot;$&quot;#,##0.0000"/>
    <numFmt numFmtId="192" formatCode="&quot;$&quot;#,##0.000"/>
    <numFmt numFmtId="193" formatCode="_(&quot;$&quot;* #,##0.0000_);_(&quot;$&quot;* \(#,##0.0000\);_(&quot;$&quot;* &quot;-&quot;?????_);_(@_)"/>
    <numFmt numFmtId="194" formatCode="_(* #,##0.00000_);_(* \(#,##0.00000\);_(* &quot;-&quot;??_);_(@_)"/>
    <numFmt numFmtId="195" formatCode="0_);\(0\)"/>
    <numFmt numFmtId="196" formatCode="_(* #,##0.000_);_(* \(#,##0.000\);_(* &quot;-&quot;??_);_(@_)"/>
    <numFmt numFmtId="197" formatCode="_(&quot;$&quot;* #,##0.00_);_(&quot;$&quot;* \(#,##0.00\);_(&quot;$&quot;* &quot;-&quot;_);_(@_)"/>
    <numFmt numFmtId="198" formatCode="_(&quot;$&quot;* #,##0.00_);_(&quot;$&quot;* \(#,##0.00\);_(&quot;$&quot;* &quot;-&quot;?????_);_(@_)"/>
    <numFmt numFmtId="199" formatCode="#,##0.000000_);\(#,##0.000000\)"/>
    <numFmt numFmtId="200" formatCode="#,##0.00000_);\(#,##0.00000\)"/>
    <numFmt numFmtId="201" formatCode="[$-409]mmm\-yy;@"/>
    <numFmt numFmtId="202" formatCode="0.00000"/>
    <numFmt numFmtId="203" formatCode="0.00000_);\(0.00000\)"/>
    <numFmt numFmtId="204" formatCode="0.000000_);\(0.000000\)"/>
    <numFmt numFmtId="205" formatCode="_(&quot;$&quot;* #,##0.000000_);_(&quot;$&quot;* \(#,##0.000000\);_(&quot;$&quot;* &quot;-&quot;_);_(@_)"/>
    <numFmt numFmtId="206" formatCode="_(&quot;$&quot;* #,##0.0000000_);_(&quot;$&quot;* \(#,##0.0000000\);_(&quot;$&quot;* &quot;-&quot;_);_(@_)"/>
    <numFmt numFmtId="207" formatCode="_(* #,##0.000000_);_(* \(#,##0.000000\);_(* &quot;-&quot;_);_(@_)"/>
    <numFmt numFmtId="208" formatCode="_(* #,##0.00000_);_(* \(#,##0.00000\);_(* &quot;-&quot;_);_(@_)"/>
    <numFmt numFmtId="209" formatCode="0.0000000"/>
    <numFmt numFmtId="210" formatCode="d\.mmm\.yy"/>
    <numFmt numFmtId="211" formatCode="#."/>
    <numFmt numFmtId="212" formatCode="_(* ###0_);_(* \(###0\);_(* &quot;-&quot;_);_(@_)"/>
    <numFmt numFmtId="213" formatCode="&quot;$&quot;#,##0;\-&quot;$&quot;#,##0"/>
    <numFmt numFmtId="214" formatCode="#,##0.00\ ;\(#,##0.00\)"/>
    <numFmt numFmtId="215" formatCode="mmmm\ d\,\ yyyy"/>
    <numFmt numFmtId="216" formatCode="_(* #,##0.0_);_(* \(#,##0.0\);_(* &quot;-&quot;_);_(@_)"/>
    <numFmt numFmtId="217" formatCode="_(* #,##0.0000000_);_(* \(#,##0.0000000\);_(* &quot;-&quot;???????_);_(@_)"/>
    <numFmt numFmtId="218" formatCode="#,##0_);[Red]\(#,##0\);&quot; &quot;"/>
    <numFmt numFmtId="219" formatCode="mm/yy"/>
    <numFmt numFmtId="220" formatCode="0.00_)"/>
    <numFmt numFmtId="221" formatCode="General_)"/>
    <numFmt numFmtId="222" formatCode="#,##0.0000000"/>
    <numFmt numFmtId="223" formatCode="#,##0.000000"/>
    <numFmt numFmtId="224" formatCode="#,##0.0000"/>
    <numFmt numFmtId="225" formatCode="_(* #,##0.000000_);_(* \(#,##0.000000\);_(* &quot;-&quot;??_);_(@_)"/>
    <numFmt numFmtId="226" formatCode="_(* #,##0.0000_);_(* \(#,##0.0000\);_(* &quot;-&quot;??_);_(@_)"/>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0"/>
      <name val="Arial"/>
      <family val="2"/>
    </font>
    <font>
      <b/>
      <i/>
      <sz val="10"/>
      <name val="Arial"/>
      <family val="2"/>
    </font>
    <font>
      <b/>
      <sz val="10"/>
      <name val="Arial"/>
      <family val="2"/>
    </font>
    <font>
      <i/>
      <sz val="10"/>
      <name val="Arial"/>
      <family val="2"/>
    </font>
    <font>
      <b/>
      <sz val="14"/>
      <color indexed="56"/>
      <name val="Arial"/>
      <family val="2"/>
    </font>
    <font>
      <b/>
      <sz val="12"/>
      <name val="Arial"/>
      <family val="2"/>
    </font>
    <font>
      <b/>
      <sz val="8"/>
      <color indexed="81"/>
      <name val="Tahoma"/>
      <family val="2"/>
    </font>
    <font>
      <sz val="12"/>
      <name val="Helv"/>
    </font>
    <font>
      <b/>
      <sz val="10"/>
      <name val="Helv"/>
    </font>
    <font>
      <b/>
      <sz val="12"/>
      <color indexed="60"/>
      <name val="Arial"/>
      <family val="2"/>
    </font>
    <font>
      <b/>
      <sz val="18"/>
      <name val="Arial"/>
      <family val="2"/>
    </font>
    <font>
      <b/>
      <i/>
      <sz val="10"/>
      <name val="Helv"/>
    </font>
    <font>
      <i/>
      <sz val="10"/>
      <name val="Helv"/>
    </font>
    <font>
      <sz val="8"/>
      <name val="Arial"/>
      <family val="2"/>
    </font>
    <font>
      <b/>
      <sz val="8"/>
      <name val="Arial"/>
      <family val="2"/>
    </font>
    <font>
      <b/>
      <sz val="10"/>
      <name val="Arial"/>
      <family val="2"/>
    </font>
    <font>
      <sz val="10"/>
      <color indexed="12"/>
      <name val="Arial"/>
      <family val="2"/>
    </font>
    <font>
      <sz val="8"/>
      <color indexed="81"/>
      <name val="Tahoma"/>
      <family val="2"/>
    </font>
    <font>
      <sz val="10"/>
      <color indexed="21"/>
      <name val="Arial"/>
      <family val="2"/>
    </font>
    <font>
      <sz val="10"/>
      <color indexed="10"/>
      <name val="Arial"/>
      <family val="2"/>
    </font>
    <font>
      <b/>
      <sz val="10"/>
      <color indexed="2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Times New Roman"/>
      <family val="1"/>
    </font>
    <font>
      <sz val="12"/>
      <name val="Times New Roman"/>
      <family val="1"/>
    </font>
    <font>
      <b/>
      <u/>
      <sz val="12"/>
      <name val="Times New Roman"/>
      <family val="1"/>
    </font>
    <font>
      <sz val="7"/>
      <name val="Times New Roman"/>
      <family val="1"/>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rgb="FF008080"/>
      <name val="Arial"/>
      <family val="2"/>
    </font>
    <font>
      <b/>
      <i/>
      <sz val="12"/>
      <name val="Arial"/>
      <family val="2"/>
    </font>
    <font>
      <i/>
      <sz val="12"/>
      <name val="Arial"/>
      <family val="2"/>
    </font>
    <font>
      <b/>
      <u/>
      <sz val="10"/>
      <name val="Arial"/>
      <family val="2"/>
    </font>
    <font>
      <u/>
      <sz val="10"/>
      <name val="Arial"/>
      <family val="2"/>
    </font>
    <font>
      <sz val="10"/>
      <color rgb="FFFF0000"/>
      <name val="Arial"/>
      <family val="2"/>
    </font>
    <font>
      <sz val="10"/>
      <color indexed="60"/>
      <name val="Arial"/>
      <family val="2"/>
    </font>
    <font>
      <sz val="10"/>
      <color rgb="FF0000FF"/>
      <name val="Arial"/>
      <family val="2"/>
    </font>
    <font>
      <sz val="10"/>
      <color theme="1"/>
      <name val="Arial"/>
      <family val="2"/>
    </font>
    <font>
      <b/>
      <sz val="10"/>
      <color theme="1"/>
      <name val="Arial"/>
      <family val="2"/>
    </font>
    <font>
      <sz val="10"/>
      <color rgb="FF006666"/>
      <name val="Arial"/>
      <family val="2"/>
    </font>
    <font>
      <sz val="11"/>
      <color rgb="FF0000FF"/>
      <name val="Calibri"/>
      <family val="2"/>
      <scheme val="minor"/>
    </font>
    <font>
      <sz val="11"/>
      <name val="Calibri"/>
      <family val="2"/>
      <scheme val="minor"/>
    </font>
    <font>
      <sz val="11"/>
      <color rgb="FF006666"/>
      <name val="Calibri"/>
      <family val="2"/>
      <scheme val="minor"/>
    </font>
    <font>
      <b/>
      <sz val="11"/>
      <color theme="1"/>
      <name val="Calibri"/>
      <family val="2"/>
      <scheme val="minor"/>
    </font>
    <font>
      <sz val="11"/>
      <color indexed="8"/>
      <name val="Calibri"/>
      <family val="2"/>
    </font>
    <font>
      <b/>
      <sz val="11"/>
      <color indexed="8"/>
      <name val="Calibri"/>
      <family val="2"/>
    </font>
    <font>
      <b/>
      <sz val="10"/>
      <color indexed="81"/>
      <name val="Tahoma"/>
      <family val="2"/>
    </font>
    <font>
      <sz val="10"/>
      <color indexed="81"/>
      <name val="Tahoma"/>
      <family val="2"/>
    </font>
    <font>
      <sz val="12"/>
      <color rgb="FFFF0000"/>
      <name val="Times New Roman"/>
      <family val="1"/>
    </font>
    <font>
      <sz val="7"/>
      <color rgb="FFFF0000"/>
      <name val="Times New Roman"/>
      <family val="1"/>
    </font>
    <font>
      <b/>
      <sz val="11"/>
      <name val="Arial"/>
      <family val="2"/>
    </font>
    <font>
      <b/>
      <sz val="12"/>
      <color indexed="56"/>
      <name val="Arial"/>
      <family val="2"/>
    </font>
    <font>
      <sz val="10"/>
      <color indexed="8"/>
      <name val="MS Sans Serif"/>
      <family val="2"/>
    </font>
    <font>
      <b/>
      <sz val="11"/>
      <color indexed="10"/>
      <name val="Calibri"/>
      <family val="2"/>
    </font>
    <font>
      <sz val="10"/>
      <name val="Helv"/>
    </font>
    <font>
      <sz val="12"/>
      <name val="TIMES"/>
    </font>
    <font>
      <sz val="12"/>
      <name val="Times"/>
      <family val="1"/>
    </font>
    <font>
      <sz val="10"/>
      <color indexed="24"/>
      <name val="Arial"/>
      <family val="2"/>
    </font>
    <font>
      <sz val="12"/>
      <color indexed="24"/>
      <name val="Arial"/>
      <family val="2"/>
    </font>
    <font>
      <sz val="1"/>
      <color indexed="16"/>
      <name val="Courier"/>
      <family val="3"/>
    </font>
    <font>
      <sz val="10"/>
      <name val="MS Serif"/>
      <family val="1"/>
    </font>
    <font>
      <sz val="10"/>
      <name val="Courier"/>
      <family val="3"/>
    </font>
    <font>
      <b/>
      <sz val="15"/>
      <color theme="3"/>
      <name val="Calibri"/>
      <family val="2"/>
      <scheme val="minor"/>
    </font>
    <font>
      <b/>
      <sz val="15"/>
      <color indexed="62"/>
      <name val="Calibri"/>
      <family val="2"/>
    </font>
    <font>
      <b/>
      <sz val="13"/>
      <color indexed="62"/>
      <name val="Calibri"/>
      <family val="2"/>
    </font>
    <font>
      <b/>
      <sz val="12"/>
      <color indexed="20"/>
      <name val="Arial"/>
      <family val="2"/>
    </font>
    <font>
      <sz val="7"/>
      <name val="Small Fonts"/>
      <family val="2"/>
    </font>
    <font>
      <sz val="10"/>
      <name val="MS Sans Serif"/>
      <family val="2"/>
    </font>
    <font>
      <sz val="8"/>
      <name val="Helv"/>
    </font>
    <font>
      <sz val="11"/>
      <name val="Arial"/>
      <family val="2"/>
    </font>
    <font>
      <b/>
      <sz val="10"/>
      <name val="MS Sans Serif"/>
      <family val="2"/>
    </font>
    <font>
      <sz val="12"/>
      <color indexed="10"/>
      <name val="Arial"/>
      <family val="2"/>
    </font>
    <font>
      <sz val="12"/>
      <color indexed="10"/>
      <name val="TIMES"/>
    </font>
    <font>
      <sz val="12"/>
      <color indexed="10"/>
      <name val="Times"/>
      <family val="1"/>
    </font>
    <font>
      <b/>
      <sz val="8"/>
      <color indexed="8"/>
      <name val="Helv"/>
    </font>
    <font>
      <sz val="12"/>
      <color theme="1"/>
      <name val="Calibri"/>
      <family val="2"/>
      <scheme val="minor"/>
    </font>
    <font>
      <b/>
      <sz val="12"/>
      <color theme="1"/>
      <name val="Calibri"/>
      <family val="2"/>
      <scheme val="minor"/>
    </font>
    <font>
      <b/>
      <i/>
      <sz val="12"/>
      <color theme="1"/>
      <name val="Calibri"/>
      <family val="2"/>
      <scheme val="minor"/>
    </font>
    <font>
      <sz val="8"/>
      <color indexed="8"/>
      <name val="Arial"/>
      <family val="2"/>
    </font>
    <font>
      <b/>
      <u/>
      <sz val="12"/>
      <color indexed="8"/>
      <name val="Calibri"/>
      <family val="2"/>
    </font>
    <font>
      <sz val="12"/>
      <color indexed="8"/>
      <name val="Calibri"/>
      <family val="2"/>
    </font>
    <font>
      <b/>
      <sz val="12"/>
      <color indexed="8"/>
      <name val="Calibri"/>
      <family val="2"/>
    </font>
    <font>
      <sz val="11"/>
      <color indexed="12"/>
      <name val="Arial"/>
      <family val="2"/>
    </font>
    <font>
      <sz val="11"/>
      <color rgb="FF008080"/>
      <name val="Arial"/>
      <family val="2"/>
    </font>
    <font>
      <sz val="9"/>
      <name val="Arial"/>
      <family val="2"/>
    </font>
    <font>
      <sz val="10"/>
      <name val="Times New Roman"/>
      <family val="1"/>
    </font>
    <font>
      <sz val="11"/>
      <color indexed="21"/>
      <name val="Arial"/>
      <family val="2"/>
    </font>
    <font>
      <sz val="8"/>
      <color theme="1"/>
      <name val="Arial"/>
      <family val="2"/>
    </font>
    <font>
      <b/>
      <sz val="18"/>
      <color theme="3"/>
      <name val="Cambria"/>
      <family val="2"/>
      <scheme val="major"/>
    </font>
    <font>
      <b/>
      <sz val="11"/>
      <color theme="3"/>
      <name val="Calibri"/>
      <family val="2"/>
      <scheme val="minor"/>
    </font>
    <font>
      <sz val="18"/>
      <name val="Arial"/>
      <family val="2"/>
    </font>
    <font>
      <b/>
      <i/>
      <sz val="16"/>
      <name val="Helv"/>
    </font>
    <font>
      <b/>
      <sz val="11"/>
      <color rgb="FFFA7D00"/>
      <name val="Calibri"/>
      <family val="2"/>
      <scheme val="minor"/>
    </font>
    <font>
      <b/>
      <sz val="13"/>
      <color theme="3"/>
      <name val="Calibri"/>
      <family val="2"/>
      <scheme val="minor"/>
    </font>
    <font>
      <b/>
      <sz val="10"/>
      <color indexed="10"/>
      <name val="Arial"/>
      <family val="2"/>
    </font>
    <font>
      <b/>
      <sz val="8"/>
      <color indexed="10"/>
      <name val="Arial"/>
      <family val="2"/>
    </font>
    <font>
      <sz val="10"/>
      <color theme="8" tint="-0.249977111117893"/>
      <name val="Arial"/>
      <family val="2"/>
    </font>
    <font>
      <sz val="8"/>
      <color indexed="12"/>
      <name val="Arial"/>
      <family val="2"/>
    </font>
    <font>
      <b/>
      <sz val="12"/>
      <color indexed="10"/>
      <name val="Arial"/>
      <family val="2"/>
    </font>
    <font>
      <b/>
      <sz val="10"/>
      <name val="Times New Roman"/>
      <family val="1"/>
    </font>
    <font>
      <sz val="10"/>
      <color rgb="FFFF0000"/>
      <name val="Times New Roman"/>
      <family val="1"/>
    </font>
  </fonts>
  <fills count="6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patternFill>
    </fill>
    <fill>
      <patternFill patternType="lightGray">
        <fgColor indexed="8"/>
        <bgColor indexed="8"/>
      </patternFill>
    </fill>
    <fill>
      <patternFill patternType="solid">
        <fgColor indexed="4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52"/>
      </patternFill>
    </fill>
    <fill>
      <patternFill patternType="solid">
        <fgColor indexed="9"/>
      </patternFill>
    </fill>
    <fill>
      <patternFill patternType="solid">
        <fgColor indexed="26"/>
      </patternFill>
    </fill>
    <fill>
      <patternFill patternType="mediumGray">
        <fgColor indexed="22"/>
      </patternFill>
    </fill>
    <fill>
      <patternFill patternType="gray0625">
        <fgColor indexed="8"/>
      </patternFill>
    </fill>
    <fill>
      <patternFill patternType="gray125">
        <fgColor indexed="8"/>
      </patternFill>
    </fill>
  </fills>
  <borders count="94">
    <border>
      <left/>
      <right/>
      <top/>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style="double">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right/>
      <top/>
      <bottom style="thick">
        <color theme="4"/>
      </bottom>
      <diagonal/>
    </border>
    <border>
      <left/>
      <right/>
      <top/>
      <bottom style="thick">
        <color indexed="56"/>
      </bottom>
      <diagonal/>
    </border>
    <border>
      <left/>
      <right/>
      <top/>
      <bottom style="thick">
        <color indexed="27"/>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style="double">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theme="4" tint="0.39997558519241921"/>
      </bottom>
      <diagonal/>
    </border>
    <border>
      <left/>
      <right/>
      <top/>
      <bottom style="thick">
        <color theme="4" tint="0.499984740745262"/>
      </bottom>
      <diagonal/>
    </border>
    <border>
      <left/>
      <right/>
      <top style="thin">
        <color theme="4"/>
      </top>
      <bottom style="double">
        <color theme="4"/>
      </bottom>
      <diagonal/>
    </border>
    <border>
      <left style="thin">
        <color indexed="64"/>
      </left>
      <right style="thin">
        <color indexed="64"/>
      </right>
      <top style="thin">
        <color indexed="8"/>
      </top>
      <bottom/>
      <diagonal/>
    </border>
    <border>
      <left style="thin">
        <color indexed="8"/>
      </left>
      <right/>
      <top style="thin">
        <color indexed="64"/>
      </top>
      <bottom style="thin">
        <color indexed="64"/>
      </bottom>
      <diagonal/>
    </border>
    <border>
      <left/>
      <right/>
      <top style="double">
        <color indexed="64"/>
      </top>
      <bottom style="double">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5"/>
      </left>
      <right/>
      <top style="thin">
        <color indexed="64"/>
      </top>
      <bottom/>
      <diagonal/>
    </border>
    <border>
      <left style="thin">
        <color indexed="65"/>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s>
  <cellStyleXfs count="951">
    <xf numFmtId="0" fontId="0" fillId="0" borderId="0"/>
    <xf numFmtId="41" fontId="4" fillId="2" borderId="0"/>
    <xf numFmtId="43" fontId="4" fillId="0" borderId="0" applyFont="0" applyFill="0" applyBorder="0" applyAlignment="0" applyProtection="0"/>
    <xf numFmtId="3" fontId="5" fillId="0" borderId="0" applyFont="0" applyFill="0" applyBorder="0" applyAlignment="0" applyProtection="0"/>
    <xf numFmtId="0" fontId="13" fillId="0" borderId="0"/>
    <xf numFmtId="0" fontId="13" fillId="0" borderId="0"/>
    <xf numFmtId="0" fontId="13" fillId="0" borderId="0"/>
    <xf numFmtId="44" fontId="4" fillId="0" borderId="0" applyFont="0" applyFill="0" applyBorder="0" applyAlignment="0" applyProtection="0"/>
    <xf numFmtId="175" fontId="5" fillId="0" borderId="0" applyFont="0" applyFill="0" applyBorder="0" applyAlignment="0" applyProtection="0"/>
    <xf numFmtId="0" fontId="4" fillId="0" borderId="0" applyFont="0" applyFill="0" applyBorder="0" applyAlignment="0" applyProtection="0"/>
    <xf numFmtId="179" fontId="4" fillId="0" borderId="0"/>
    <xf numFmtId="2" fontId="5" fillId="0" borderId="0" applyFont="0" applyFill="0" applyBorder="0" applyAlignment="0" applyProtection="0"/>
    <xf numFmtId="38" fontId="19" fillId="3" borderId="0" applyNumberFormat="0" applyBorder="0" applyAlignment="0" applyProtection="0"/>
    <xf numFmtId="0" fontId="16" fillId="0" borderId="0" applyNumberFormat="0" applyFill="0" applyBorder="0" applyAlignment="0" applyProtection="0"/>
    <xf numFmtId="0" fontId="11" fillId="0" borderId="0" applyNumberFormat="0" applyFill="0" applyBorder="0" applyAlignment="0" applyProtection="0"/>
    <xf numFmtId="38" fontId="20" fillId="0" borderId="0"/>
    <xf numFmtId="40" fontId="20" fillId="0" borderId="0"/>
    <xf numFmtId="10" fontId="19" fillId="2" borderId="1" applyNumberFormat="0" applyBorder="0" applyAlignment="0" applyProtection="0"/>
    <xf numFmtId="44" fontId="21" fillId="0" borderId="2" applyNumberFormat="0" applyFont="0" applyAlignment="0">
      <alignment horizontal="center"/>
    </xf>
    <xf numFmtId="44" fontId="21" fillId="0" borderId="3" applyNumberFormat="0" applyFont="0" applyAlignment="0">
      <alignment horizontal="center"/>
    </xf>
    <xf numFmtId="180" fontId="4" fillId="0" borderId="0"/>
    <xf numFmtId="0" fontId="13" fillId="0" borderId="0"/>
    <xf numFmtId="0" fontId="13" fillId="0" borderId="0"/>
    <xf numFmtId="9" fontId="4" fillId="0" borderId="0" applyFont="0" applyFill="0" applyBorder="0" applyAlignment="0" applyProtection="0"/>
    <xf numFmtId="10" fontId="4" fillId="0" borderId="0" applyFont="0" applyFill="0" applyBorder="0" applyAlignment="0" applyProtection="0"/>
    <xf numFmtId="42" fontId="6" fillId="2" borderId="0"/>
    <xf numFmtId="0" fontId="13" fillId="4" borderId="0"/>
    <xf numFmtId="0" fontId="14" fillId="4" borderId="4"/>
    <xf numFmtId="0" fontId="17" fillId="5" borderId="5"/>
    <xf numFmtId="0" fontId="18" fillId="4" borderId="6"/>
    <xf numFmtId="42" fontId="7" fillId="6" borderId="7">
      <alignment vertical="center"/>
    </xf>
    <xf numFmtId="0" fontId="8" fillId="2" borderId="8" applyNumberFormat="0">
      <alignment horizontal="center" vertical="center" wrapText="1"/>
    </xf>
    <xf numFmtId="171" fontId="4" fillId="2" borderId="0"/>
    <xf numFmtId="42" fontId="9" fillId="2" borderId="9">
      <alignment horizontal="left"/>
    </xf>
    <xf numFmtId="38" fontId="19" fillId="0" borderId="10"/>
    <xf numFmtId="38" fontId="20" fillId="0" borderId="9"/>
    <xf numFmtId="177" fontId="4" fillId="0" borderId="0">
      <alignment horizontal="left" wrapText="1"/>
    </xf>
    <xf numFmtId="0" fontId="6" fillId="0" borderId="0" applyNumberFormat="0" applyBorder="0" applyAlignment="0"/>
    <xf numFmtId="0" fontId="13" fillId="0" borderId="0"/>
    <xf numFmtId="0" fontId="14" fillId="4" borderId="0"/>
    <xf numFmtId="167" fontId="15" fillId="0" borderId="0">
      <alignment horizontal="left" vertical="center"/>
    </xf>
    <xf numFmtId="0" fontId="8" fillId="2" borderId="0">
      <alignment horizontal="left" wrapText="1"/>
    </xf>
    <xf numFmtId="0" fontId="10" fillId="0" borderId="0">
      <alignment horizontal="left" vertical="center"/>
    </xf>
    <xf numFmtId="0" fontId="4" fillId="0" borderId="11" applyNumberFormat="0" applyFont="0" applyFill="0" applyAlignment="0" applyProtection="0"/>
    <xf numFmtId="0" fontId="6" fillId="0" borderId="0"/>
    <xf numFmtId="185" fontId="6" fillId="0" borderId="0" applyFont="0" applyFill="0" applyBorder="0" applyAlignment="0" applyProtection="0"/>
    <xf numFmtId="4" fontId="41" fillId="6" borderId="28" applyNumberFormat="0" applyProtection="0">
      <alignment vertical="center"/>
    </xf>
    <xf numFmtId="4" fontId="42" fillId="6" borderId="28" applyNumberFormat="0" applyProtection="0">
      <alignment vertical="center"/>
    </xf>
    <xf numFmtId="4" fontId="41" fillId="6" borderId="28" applyNumberFormat="0" applyProtection="0">
      <alignment horizontal="left" vertical="center" indent="1"/>
    </xf>
    <xf numFmtId="4" fontId="41" fillId="6" borderId="28" applyNumberFormat="0" applyProtection="0">
      <alignment horizontal="left" vertical="center" indent="1"/>
    </xf>
    <xf numFmtId="0" fontId="6" fillId="31" borderId="28" applyNumberFormat="0" applyProtection="0">
      <alignment horizontal="left" vertical="center" indent="1"/>
    </xf>
    <xf numFmtId="4" fontId="41" fillId="32" borderId="28" applyNumberFormat="0" applyProtection="0">
      <alignment horizontal="right" vertical="center"/>
    </xf>
    <xf numFmtId="4" fontId="41" fillId="33" borderId="28" applyNumberFormat="0" applyProtection="0">
      <alignment horizontal="right" vertical="center"/>
    </xf>
    <xf numFmtId="4" fontId="41" fillId="34" borderId="28" applyNumberFormat="0" applyProtection="0">
      <alignment horizontal="right" vertical="center"/>
    </xf>
    <xf numFmtId="4" fontId="41" fillId="35" borderId="28" applyNumberFormat="0" applyProtection="0">
      <alignment horizontal="right" vertical="center"/>
    </xf>
    <xf numFmtId="4" fontId="41" fillId="36" borderId="28" applyNumberFormat="0" applyProtection="0">
      <alignment horizontal="right" vertical="center"/>
    </xf>
    <xf numFmtId="4" fontId="41" fillId="37" borderId="28" applyNumberFormat="0" applyProtection="0">
      <alignment horizontal="right" vertical="center"/>
    </xf>
    <xf numFmtId="4" fontId="41" fillId="38" borderId="28" applyNumberFormat="0" applyProtection="0">
      <alignment horizontal="right" vertical="center"/>
    </xf>
    <xf numFmtId="4" fontId="41" fillId="39" borderId="28" applyNumberFormat="0" applyProtection="0">
      <alignment horizontal="right" vertical="center"/>
    </xf>
    <xf numFmtId="4" fontId="41" fillId="40" borderId="28" applyNumberFormat="0" applyProtection="0">
      <alignment horizontal="right" vertical="center"/>
    </xf>
    <xf numFmtId="4" fontId="43" fillId="41" borderId="28" applyNumberFormat="0" applyProtection="0">
      <alignment horizontal="left" vertical="center" indent="1"/>
    </xf>
    <xf numFmtId="4" fontId="41" fillId="42" borderId="29" applyNumberFormat="0" applyProtection="0">
      <alignment horizontal="left" vertical="center" indent="1"/>
    </xf>
    <xf numFmtId="4" fontId="44" fillId="43" borderId="0" applyNumberFormat="0" applyProtection="0">
      <alignment horizontal="left" vertical="center" indent="1"/>
    </xf>
    <xf numFmtId="0" fontId="6" fillId="31" borderId="28" applyNumberFormat="0" applyProtection="0">
      <alignment horizontal="left" vertical="center" indent="1"/>
    </xf>
    <xf numFmtId="4" fontId="41" fillId="42" borderId="28" applyNumberFormat="0" applyProtection="0">
      <alignment horizontal="left" vertical="center" indent="1"/>
    </xf>
    <xf numFmtId="4" fontId="41" fillId="44" borderId="28" applyNumberFormat="0" applyProtection="0">
      <alignment horizontal="left" vertical="center" indent="1"/>
    </xf>
    <xf numFmtId="0" fontId="6" fillId="44" borderId="28" applyNumberFormat="0" applyProtection="0">
      <alignment horizontal="left" vertical="center" indent="1"/>
    </xf>
    <xf numFmtId="0" fontId="6" fillId="44" borderId="28" applyNumberFormat="0" applyProtection="0">
      <alignment horizontal="left" vertical="center" indent="1"/>
    </xf>
    <xf numFmtId="0" fontId="6" fillId="45" borderId="28" applyNumberFormat="0" applyProtection="0">
      <alignment horizontal="left" vertical="center" indent="1"/>
    </xf>
    <xf numFmtId="0" fontId="6" fillId="45" borderId="28" applyNumberFormat="0" applyProtection="0">
      <alignment horizontal="left" vertical="center" indent="1"/>
    </xf>
    <xf numFmtId="0" fontId="6" fillId="3" borderId="28" applyNumberFormat="0" applyProtection="0">
      <alignment horizontal="left" vertical="center" indent="1"/>
    </xf>
    <xf numFmtId="0" fontId="6" fillId="3" borderId="28" applyNumberFormat="0" applyProtection="0">
      <alignment horizontal="left" vertical="center" indent="1"/>
    </xf>
    <xf numFmtId="0" fontId="6" fillId="31" borderId="28" applyNumberFormat="0" applyProtection="0">
      <alignment horizontal="left" vertical="center" indent="1"/>
    </xf>
    <xf numFmtId="0" fontId="6" fillId="31" borderId="28" applyNumberFormat="0" applyProtection="0">
      <alignment horizontal="left" vertical="center" indent="1"/>
    </xf>
    <xf numFmtId="4" fontId="41" fillId="46" borderId="28" applyNumberFormat="0" applyProtection="0">
      <alignment vertical="center"/>
    </xf>
    <xf numFmtId="4" fontId="42" fillId="46" borderId="28" applyNumberFormat="0" applyProtection="0">
      <alignment vertical="center"/>
    </xf>
    <xf numFmtId="4" fontId="41" fillId="46" borderId="28" applyNumberFormat="0" applyProtection="0">
      <alignment horizontal="left" vertical="center" indent="1"/>
    </xf>
    <xf numFmtId="4" fontId="41" fillId="46" borderId="28" applyNumberFormat="0" applyProtection="0">
      <alignment horizontal="left" vertical="center" indent="1"/>
    </xf>
    <xf numFmtId="4" fontId="41" fillId="42" borderId="28" applyNumberFormat="0" applyProtection="0">
      <alignment horizontal="right" vertical="center"/>
    </xf>
    <xf numFmtId="4" fontId="42" fillId="42" borderId="28" applyNumberFormat="0" applyProtection="0">
      <alignment horizontal="right" vertical="center"/>
    </xf>
    <xf numFmtId="0" fontId="6" fillId="31" borderId="28" applyNumberFormat="0" applyProtection="0">
      <alignment horizontal="left" vertical="center" indent="1"/>
    </xf>
    <xf numFmtId="0" fontId="6" fillId="31" borderId="28" applyNumberFormat="0" applyProtection="0">
      <alignment horizontal="left" vertical="center" indent="1"/>
    </xf>
    <xf numFmtId="0" fontId="45" fillId="0" borderId="0"/>
    <xf numFmtId="4" fontId="25" fillId="42" borderId="28" applyNumberFormat="0" applyProtection="0">
      <alignment horizontal="right" vertical="center"/>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19" fillId="0" borderId="0"/>
    <xf numFmtId="9" fontId="6" fillId="0" borderId="0" applyFont="0" applyFill="0" applyBorder="0" applyAlignment="0" applyProtection="0"/>
    <xf numFmtId="43" fontId="4" fillId="0" borderId="0" applyFont="0" applyFill="0" applyBorder="0" applyAlignment="0" applyProtection="0"/>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0" fontId="6" fillId="0" borderId="0"/>
    <xf numFmtId="0" fontId="6" fillId="0" borderId="0"/>
    <xf numFmtId="0" fontId="6"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0" fontId="6" fillId="0" borderId="0"/>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67" fontId="68" fillId="2" borderId="0">
      <alignment horizontal="left" vertical="center"/>
    </xf>
    <xf numFmtId="41" fontId="22" fillId="6" borderId="51">
      <alignment horizontal="left"/>
      <protection locked="0"/>
    </xf>
    <xf numFmtId="41" fontId="6" fillId="2" borderId="0"/>
    <xf numFmtId="10" fontId="22" fillId="6" borderId="51">
      <alignment horizontal="right"/>
      <protection locked="0"/>
    </xf>
    <xf numFmtId="10" fontId="6" fillId="0" borderId="51"/>
    <xf numFmtId="0" fontId="19" fillId="0" borderId="0" applyNumberFormat="0" applyFill="0" applyBorder="0" applyAlignment="0" applyProtection="0"/>
    <xf numFmtId="41" fontId="7" fillId="2" borderId="0">
      <alignment horizontal="left"/>
    </xf>
    <xf numFmtId="41" fontId="8" fillId="2" borderId="0">
      <alignment horizontal="left"/>
    </xf>
    <xf numFmtId="41" fontId="6" fillId="3" borderId="0"/>
    <xf numFmtId="41" fontId="6" fillId="47" borderId="51"/>
    <xf numFmtId="171" fontId="6" fillId="2" borderId="0"/>
    <xf numFmtId="42" fontId="6" fillId="2" borderId="47">
      <alignment vertical="center"/>
    </xf>
    <xf numFmtId="42" fontId="6" fillId="2" borderId="9">
      <alignment horizontal="left"/>
    </xf>
    <xf numFmtId="171" fontId="9" fillId="2" borderId="9">
      <alignment horizontal="left"/>
    </xf>
    <xf numFmtId="0" fontId="6" fillId="0" borderId="0"/>
    <xf numFmtId="194"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7" fontId="6" fillId="0" borderId="0">
      <alignment horizontal="left" wrapText="1"/>
    </xf>
    <xf numFmtId="209"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209" fontId="6" fillId="0" borderId="0">
      <alignment horizontal="left" wrapText="1"/>
    </xf>
    <xf numFmtId="209" fontId="6" fillId="0" borderId="0">
      <alignment horizontal="left" wrapText="1"/>
    </xf>
    <xf numFmtId="209" fontId="6" fillId="0" borderId="0">
      <alignment horizontal="left" wrapText="1"/>
    </xf>
    <xf numFmtId="209" fontId="6" fillId="0" borderId="0">
      <alignment horizontal="left" wrapText="1"/>
    </xf>
    <xf numFmtId="209"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38" fillId="0" borderId="0"/>
    <xf numFmtId="0" fontId="38" fillId="0" borderId="0"/>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0" fontId="38" fillId="0" borderId="0"/>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7" fontId="6" fillId="0" borderId="0">
      <alignment horizontal="left" wrapText="1"/>
    </xf>
    <xf numFmtId="0" fontId="38" fillId="0" borderId="0"/>
    <xf numFmtId="0" fontId="38" fillId="0" borderId="0"/>
    <xf numFmtId="194" fontId="6" fillId="0" borderId="0">
      <alignment horizontal="left" wrapText="1"/>
    </xf>
    <xf numFmtId="194" fontId="6" fillId="0" borderId="0">
      <alignment horizontal="left" wrapText="1"/>
    </xf>
    <xf numFmtId="194"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209"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0" fontId="38" fillId="0" borderId="0"/>
    <xf numFmtId="0" fontId="38" fillId="0" borderId="0"/>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38" fillId="0" borderId="0"/>
    <xf numFmtId="0" fontId="61" fillId="48" borderId="0" applyNumberFormat="0" applyBorder="0" applyAlignment="0" applyProtection="0"/>
    <xf numFmtId="0" fontId="61" fillId="48" borderId="0" applyNumberFormat="0" applyBorder="0" applyAlignment="0" applyProtection="0"/>
    <xf numFmtId="0" fontId="3"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3" fillId="49"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3"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3"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3" fillId="2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3" fillId="29"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3" fillId="16"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3" fillId="19"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3" fillId="56"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3" fillId="23"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3" fillId="26" borderId="0" applyNumberFormat="0" applyBorder="0" applyAlignment="0" applyProtection="0"/>
    <xf numFmtId="0" fontId="61" fillId="57" borderId="0" applyNumberFormat="0" applyBorder="0" applyAlignment="0" applyProtection="0"/>
    <xf numFmtId="0" fontId="61" fillId="57" borderId="0" applyNumberFormat="0" applyBorder="0" applyAlignment="0" applyProtection="0"/>
    <xf numFmtId="0" fontId="3" fillId="30"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56" borderId="0" applyNumberFormat="0" applyBorder="0" applyAlignment="0" applyProtection="0"/>
    <xf numFmtId="0" fontId="36" fillId="58" borderId="0" applyNumberFormat="0" applyBorder="0" applyAlignment="0" applyProtection="0"/>
    <xf numFmtId="0" fontId="36" fillId="27" borderId="0" applyNumberFormat="0" applyBorder="0" applyAlignment="0" applyProtection="0"/>
    <xf numFmtId="0" fontId="36" fillId="59" borderId="0" applyNumberFormat="0" applyBorder="0" applyAlignment="0" applyProtection="0"/>
    <xf numFmtId="0" fontId="36" fillId="15" borderId="0" applyNumberFormat="0" applyBorder="0" applyAlignment="0" applyProtection="0"/>
    <xf numFmtId="0" fontId="36" fillId="18"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28" fillId="9" borderId="0" applyNumberFormat="0" applyBorder="0" applyAlignment="0" applyProtection="0"/>
    <xf numFmtId="210" fontId="69" fillId="0" borderId="0" applyFill="0" applyBorder="0" applyAlignment="0"/>
    <xf numFmtId="210" fontId="69" fillId="0" borderId="0" applyFill="0" applyBorder="0" applyAlignment="0"/>
    <xf numFmtId="210" fontId="69" fillId="0" borderId="0" applyFill="0" applyBorder="0" applyAlignment="0"/>
    <xf numFmtId="0" fontId="70" fillId="60" borderId="67" applyNumberFormat="0" applyAlignment="0" applyProtection="0"/>
    <xf numFmtId="0" fontId="33" fillId="13" borderId="26" applyNumberFormat="0" applyAlignment="0" applyProtection="0"/>
    <xf numFmtId="41" fontId="6" fillId="3" borderId="0"/>
    <xf numFmtId="41" fontId="6" fillId="3"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1" fillId="0" borderId="0"/>
    <xf numFmtId="0" fontId="72" fillId="0" borderId="0"/>
    <xf numFmtId="0" fontId="73" fillId="0" borderId="0"/>
    <xf numFmtId="0" fontId="73" fillId="0" borderId="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211" fontId="76" fillId="0" borderId="0">
      <protection locked="0"/>
    </xf>
    <xf numFmtId="0" fontId="73" fillId="0" borderId="0"/>
    <xf numFmtId="0" fontId="73" fillId="0" borderId="0"/>
    <xf numFmtId="0" fontId="77" fillId="0" borderId="0" applyNumberFormat="0" applyAlignment="0">
      <alignment horizontal="left"/>
    </xf>
    <xf numFmtId="0" fontId="77" fillId="0" borderId="0" applyNumberFormat="0" applyAlignment="0">
      <alignment horizontal="left"/>
    </xf>
    <xf numFmtId="0" fontId="77" fillId="0" borderId="0" applyNumberFormat="0" applyAlignment="0">
      <alignment horizontal="left"/>
    </xf>
    <xf numFmtId="0" fontId="78" fillId="0" borderId="0" applyNumberFormat="0" applyAlignment="0"/>
    <xf numFmtId="0" fontId="78" fillId="0" borderId="0" applyNumberFormat="0" applyAlignment="0"/>
    <xf numFmtId="0" fontId="78" fillId="0" borderId="0" applyNumberFormat="0" applyAlignment="0"/>
    <xf numFmtId="0" fontId="71" fillId="0" borderId="0"/>
    <xf numFmtId="0" fontId="73" fillId="0" borderId="0"/>
    <xf numFmtId="0" fontId="73" fillId="0" borderId="0"/>
    <xf numFmtId="0" fontId="71" fillId="0" borderId="0"/>
    <xf numFmtId="0" fontId="72" fillId="0" borderId="0"/>
    <xf numFmtId="0" fontId="73" fillId="0" borderId="0"/>
    <xf numFmtId="0" fontId="73"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5" fontId="5" fillId="0" borderId="0" applyFill="0" applyBorder="0" applyAlignment="0" applyProtection="0"/>
    <xf numFmtId="212" fontId="6"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0" fontId="35" fillId="0" borderId="0" applyNumberFormat="0" applyFill="0" applyBorder="0" applyAlignment="0" applyProtection="0"/>
    <xf numFmtId="2" fontId="75" fillId="0" borderId="0" applyFont="0" applyFill="0" applyBorder="0" applyAlignment="0" applyProtection="0"/>
    <xf numFmtId="2" fontId="75" fillId="0" borderId="0" applyFont="0" applyFill="0" applyBorder="0" applyAlignment="0" applyProtection="0"/>
    <xf numFmtId="2" fontId="5" fillId="0" borderId="0" applyFill="0" applyBorder="0" applyAlignment="0" applyProtection="0"/>
    <xf numFmtId="2" fontId="75" fillId="0" borderId="0" applyFont="0" applyFill="0" applyBorder="0" applyAlignment="0" applyProtection="0"/>
    <xf numFmtId="0" fontId="71" fillId="0" borderId="0"/>
    <xf numFmtId="0" fontId="27" fillId="8" borderId="0" applyNumberFormat="0" applyBorder="0" applyAlignment="0" applyProtection="0"/>
    <xf numFmtId="38" fontId="19" fillId="3" borderId="0" applyNumberFormat="0" applyBorder="0" applyAlignment="0" applyProtection="0"/>
    <xf numFmtId="38" fontId="19" fillId="3" borderId="0" applyNumberFormat="0" applyBorder="0" applyAlignment="0" applyProtection="0"/>
    <xf numFmtId="38" fontId="19" fillId="3" borderId="0" applyNumberFormat="0" applyBorder="0" applyAlignment="0" applyProtection="0"/>
    <xf numFmtId="38" fontId="19" fillId="3" borderId="0" applyNumberFormat="0" applyBorder="0" applyAlignment="0" applyProtection="0"/>
    <xf numFmtId="0" fontId="11" fillId="0" borderId="68" applyNumberFormat="0" applyAlignment="0" applyProtection="0">
      <alignment horizontal="left"/>
    </xf>
    <xf numFmtId="0" fontId="11" fillId="0" borderId="68" applyNumberFormat="0" applyAlignment="0" applyProtection="0">
      <alignment horizontal="left"/>
    </xf>
    <xf numFmtId="0" fontId="11" fillId="0" borderId="68" applyNumberFormat="0" applyAlignment="0" applyProtection="0">
      <alignment horizontal="left"/>
    </xf>
    <xf numFmtId="0" fontId="11" fillId="0" borderId="7">
      <alignment horizontal="left"/>
    </xf>
    <xf numFmtId="0" fontId="11" fillId="0" borderId="7">
      <alignment horizontal="left"/>
    </xf>
    <xf numFmtId="0" fontId="11" fillId="0" borderId="7">
      <alignment horizontal="left"/>
    </xf>
    <xf numFmtId="0" fontId="79" fillId="0" borderId="69" applyNumberFormat="0" applyFill="0" applyAlignment="0" applyProtection="0"/>
    <xf numFmtId="0" fontId="80" fillId="0" borderId="70" applyNumberFormat="0" applyFill="0" applyAlignment="0" applyProtection="0"/>
    <xf numFmtId="0" fontId="81" fillId="0" borderId="71" applyNumberFormat="0" applyFill="0" applyAlignment="0" applyProtection="0"/>
    <xf numFmtId="38" fontId="20" fillId="0" borderId="0"/>
    <xf numFmtId="38" fontId="20" fillId="0" borderId="0"/>
    <xf numFmtId="40" fontId="20" fillId="0" borderId="0"/>
    <xf numFmtId="40" fontId="20" fillId="0" borderId="0"/>
    <xf numFmtId="10" fontId="19" fillId="2" borderId="1" applyNumberFormat="0" applyBorder="0" applyAlignment="0" applyProtection="0"/>
    <xf numFmtId="10" fontId="19" fillId="2" borderId="1" applyNumberFormat="0" applyBorder="0" applyAlignment="0" applyProtection="0"/>
    <xf numFmtId="10" fontId="19" fillId="2" borderId="1" applyNumberFormat="0" applyBorder="0" applyAlignment="0" applyProtection="0"/>
    <xf numFmtId="10" fontId="19" fillId="2" borderId="1" applyNumberFormat="0" applyBorder="0" applyAlignment="0" applyProtection="0"/>
    <xf numFmtId="0" fontId="30" fillId="11" borderId="23" applyNumberFormat="0" applyAlignment="0" applyProtection="0"/>
    <xf numFmtId="0" fontId="30" fillId="11" borderId="23" applyNumberFormat="0" applyAlignment="0" applyProtection="0"/>
    <xf numFmtId="41" fontId="52" fillId="6" borderId="51">
      <alignment horizontal="left"/>
      <protection locked="0"/>
    </xf>
    <xf numFmtId="0" fontId="19" fillId="3" borderId="0"/>
    <xf numFmtId="0" fontId="19" fillId="3" borderId="0"/>
    <xf numFmtId="0" fontId="19" fillId="3" borderId="0"/>
    <xf numFmtId="3" fontId="82" fillId="0" borderId="0" applyFill="0" applyBorder="0" applyAlignment="0" applyProtection="0"/>
    <xf numFmtId="0" fontId="32" fillId="0" borderId="25" applyNumberFormat="0" applyFill="0" applyAlignment="0" applyProtection="0"/>
    <xf numFmtId="44" fontId="8" fillId="0" borderId="2" applyNumberFormat="0" applyFont="0" applyAlignment="0">
      <alignment horizontal="center"/>
    </xf>
    <xf numFmtId="44" fontId="8" fillId="0" borderId="2" applyNumberFormat="0" applyFont="0" applyAlignment="0">
      <alignment horizontal="center"/>
    </xf>
    <xf numFmtId="44" fontId="8" fillId="0" borderId="2" applyNumberFormat="0" applyFont="0" applyAlignment="0">
      <alignment horizontal="center"/>
    </xf>
    <xf numFmtId="44" fontId="8" fillId="0" borderId="3" applyNumberFormat="0" applyFont="0" applyAlignment="0">
      <alignment horizontal="center"/>
    </xf>
    <xf numFmtId="44" fontId="8" fillId="0" borderId="3" applyNumberFormat="0" applyFont="0" applyAlignment="0">
      <alignment horizontal="center"/>
    </xf>
    <xf numFmtId="44" fontId="8" fillId="0" borderId="3" applyNumberFormat="0" applyFont="0" applyAlignment="0">
      <alignment horizontal="center"/>
    </xf>
    <xf numFmtId="0" fontId="29" fillId="10" borderId="0" applyNumberFormat="0" applyBorder="0" applyAlignment="0" applyProtection="0"/>
    <xf numFmtId="37" fontId="83" fillId="0" borderId="0"/>
    <xf numFmtId="37" fontId="83" fillId="0" borderId="0"/>
    <xf numFmtId="37" fontId="83" fillId="0" borderId="0"/>
    <xf numFmtId="213" fontId="6" fillId="0" borderId="0"/>
    <xf numFmtId="213" fontId="6" fillId="0" borderId="0"/>
    <xf numFmtId="213" fontId="6" fillId="0" borderId="0"/>
    <xf numFmtId="214" fontId="6" fillId="0" borderId="0"/>
    <xf numFmtId="18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1" fillId="0" borderId="0"/>
    <xf numFmtId="0" fontId="61" fillId="0" borderId="0"/>
    <xf numFmtId="0" fontId="84" fillId="0" borderId="0"/>
    <xf numFmtId="0" fontId="84" fillId="0" borderId="0"/>
    <xf numFmtId="0" fontId="84" fillId="0" borderId="0"/>
    <xf numFmtId="0" fontId="6" fillId="0" borderId="0"/>
    <xf numFmtId="0" fontId="6" fillId="0" borderId="0"/>
    <xf numFmtId="0" fontId="6" fillId="0" borderId="0"/>
    <xf numFmtId="0" fontId="6" fillId="0" borderId="0"/>
    <xf numFmtId="0" fontId="6" fillId="0" borderId="0"/>
    <xf numFmtId="0" fontId="61" fillId="0" borderId="0"/>
    <xf numFmtId="0" fontId="85" fillId="0" borderId="0"/>
    <xf numFmtId="0" fontId="86" fillId="0" borderId="0"/>
    <xf numFmtId="215" fontId="6" fillId="0" borderId="0">
      <alignment horizontal="left" wrapText="1"/>
    </xf>
    <xf numFmtId="0" fontId="3" fillId="0" borderId="0"/>
    <xf numFmtId="0" fontId="6" fillId="0" borderId="0"/>
    <xf numFmtId="0" fontId="61" fillId="14" borderId="27" applyNumberFormat="0" applyFont="0" applyAlignment="0" applyProtection="0"/>
    <xf numFmtId="0" fontId="61" fillId="61" borderId="72" applyNumberFormat="0" applyFont="0" applyAlignment="0" applyProtection="0"/>
    <xf numFmtId="0" fontId="61" fillId="61" borderId="72" applyNumberFormat="0" applyFont="0" applyAlignment="0" applyProtection="0"/>
    <xf numFmtId="0" fontId="61" fillId="61" borderId="72" applyNumberFormat="0" applyFont="0" applyAlignment="0" applyProtection="0"/>
    <xf numFmtId="0" fontId="61" fillId="61" borderId="72" applyNumberFormat="0" applyFont="0" applyAlignment="0" applyProtection="0"/>
    <xf numFmtId="0" fontId="31" fillId="12" borderId="24" applyNumberFormat="0" applyAlignment="0" applyProtection="0"/>
    <xf numFmtId="0" fontId="71" fillId="0" borderId="0"/>
    <xf numFmtId="0" fontId="73" fillId="0" borderId="0"/>
    <xf numFmtId="0" fontId="7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1" fillId="0" borderId="0" applyFont="0" applyFill="0" applyBorder="0" applyAlignment="0" applyProtection="0"/>
    <xf numFmtId="9" fontId="6" fillId="0" borderId="0" applyFont="0" applyFill="0" applyBorder="0" applyAlignment="0" applyProtection="0"/>
    <xf numFmtId="9" fontId="61" fillId="0" borderId="0" applyFont="0" applyFill="0" applyBorder="0" applyAlignment="0" applyProtection="0"/>
    <xf numFmtId="41" fontId="6" fillId="47" borderId="51"/>
    <xf numFmtId="41" fontId="6" fillId="47" borderId="51"/>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15" fontId="84" fillId="0" borderId="0" applyFont="0" applyFill="0" applyBorder="0" applyAlignment="0" applyProtection="0"/>
    <xf numFmtId="15"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0" fontId="87" fillId="0" borderId="39">
      <alignment horizontal="center"/>
    </xf>
    <xf numFmtId="0" fontId="87" fillId="0" borderId="39">
      <alignment horizontal="center"/>
    </xf>
    <xf numFmtId="0" fontId="87" fillId="0" borderId="39">
      <alignment horizontal="center"/>
    </xf>
    <xf numFmtId="3" fontId="84" fillId="0" borderId="0" applyFont="0" applyFill="0" applyBorder="0" applyAlignment="0" applyProtection="0"/>
    <xf numFmtId="3" fontId="84" fillId="0" borderId="0" applyFont="0" applyFill="0" applyBorder="0" applyAlignment="0" applyProtection="0"/>
    <xf numFmtId="3" fontId="84" fillId="0" borderId="0" applyFont="0" applyFill="0" applyBorder="0" applyAlignment="0" applyProtection="0"/>
    <xf numFmtId="0" fontId="84" fillId="62" borderId="0" applyNumberFormat="0" applyFont="0" applyBorder="0" applyAlignment="0" applyProtection="0"/>
    <xf numFmtId="0" fontId="84" fillId="62" borderId="0" applyNumberFormat="0" applyFont="0" applyBorder="0" applyAlignment="0" applyProtection="0"/>
    <xf numFmtId="0" fontId="84" fillId="62" borderId="0" applyNumberFormat="0" applyFont="0" applyBorder="0" applyAlignment="0" applyProtection="0"/>
    <xf numFmtId="0" fontId="72" fillId="0" borderId="0"/>
    <xf numFmtId="0" fontId="73" fillId="0" borderId="0"/>
    <xf numFmtId="0" fontId="73" fillId="0" borderId="0"/>
    <xf numFmtId="3" fontId="88" fillId="0" borderId="0" applyFill="0" applyBorder="0" applyAlignment="0" applyProtection="0"/>
    <xf numFmtId="0" fontId="89" fillId="0" borderId="0"/>
    <xf numFmtId="0" fontId="90" fillId="0" borderId="0"/>
    <xf numFmtId="0" fontId="90" fillId="0" borderId="0"/>
    <xf numFmtId="3" fontId="88" fillId="0" borderId="0" applyFill="0" applyBorder="0" applyAlignment="0" applyProtection="0"/>
    <xf numFmtId="42" fontId="6" fillId="2" borderId="0"/>
    <xf numFmtId="42" fontId="6" fillId="2" borderId="47">
      <alignment vertical="center"/>
    </xf>
    <xf numFmtId="0" fontId="8" fillId="2" borderId="8" applyNumberFormat="0">
      <alignment horizontal="center" vertical="center" wrapText="1"/>
    </xf>
    <xf numFmtId="0" fontId="8" fillId="2" borderId="8" applyNumberFormat="0">
      <alignment horizontal="center" vertical="center" wrapText="1"/>
    </xf>
    <xf numFmtId="10" fontId="6" fillId="2" borderId="0"/>
    <xf numFmtId="10" fontId="6" fillId="2" borderId="0"/>
    <xf numFmtId="10" fontId="6" fillId="2" borderId="0"/>
    <xf numFmtId="171" fontId="6" fillId="2" borderId="0"/>
    <xf numFmtId="42" fontId="6" fillId="2" borderId="0"/>
    <xf numFmtId="164" fontId="20" fillId="0" borderId="0" applyBorder="0" applyAlignment="0"/>
    <xf numFmtId="42" fontId="6" fillId="2" borderId="9">
      <alignment horizontal="left"/>
    </xf>
    <xf numFmtId="164" fontId="20" fillId="0" borderId="0" applyBorder="0" applyAlignment="0"/>
    <xf numFmtId="14" fontId="85" fillId="0" borderId="0" applyNumberFormat="0" applyFill="0" applyBorder="0" applyAlignment="0" applyProtection="0">
      <alignment horizontal="left"/>
    </xf>
    <xf numFmtId="216" fontId="6" fillId="0" borderId="0" applyFont="0" applyFill="0" applyAlignment="0">
      <alignment horizontal="right"/>
    </xf>
    <xf numFmtId="216" fontId="6" fillId="0" borderId="0" applyFont="0" applyFill="0" applyAlignment="0">
      <alignment horizontal="right"/>
    </xf>
    <xf numFmtId="216" fontId="6" fillId="0" borderId="0" applyFont="0" applyFill="0" applyAlignment="0">
      <alignment horizontal="right"/>
    </xf>
    <xf numFmtId="39" fontId="6" fillId="63" borderId="0"/>
    <xf numFmtId="39" fontId="6" fillId="63" borderId="0"/>
    <xf numFmtId="39" fontId="6" fillId="63" borderId="0"/>
    <xf numFmtId="39" fontId="6" fillId="63" borderId="0"/>
    <xf numFmtId="38" fontId="19" fillId="0" borderId="10"/>
    <xf numFmtId="38" fontId="19" fillId="0" borderId="10"/>
    <xf numFmtId="38" fontId="19" fillId="0" borderId="10"/>
    <xf numFmtId="38" fontId="19" fillId="0" borderId="10"/>
    <xf numFmtId="38" fontId="20" fillId="0" borderId="9"/>
    <xf numFmtId="38" fontId="20" fillId="0" borderId="9"/>
    <xf numFmtId="39" fontId="85" fillId="64" borderId="0"/>
    <xf numFmtId="194"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40" fontId="91" fillId="0" borderId="0" applyBorder="0">
      <alignment horizontal="right"/>
    </xf>
    <xf numFmtId="0" fontId="8" fillId="2" borderId="0">
      <alignment horizontal="left" wrapText="1"/>
    </xf>
    <xf numFmtId="0" fontId="8" fillId="2" borderId="0">
      <alignment horizontal="left" wrapText="1"/>
    </xf>
    <xf numFmtId="0" fontId="62" fillId="0" borderId="73" applyNumberFormat="0" applyFill="0" applyAlignment="0" applyProtection="0"/>
    <xf numFmtId="0" fontId="72" fillId="0" borderId="74"/>
    <xf numFmtId="0" fontId="73" fillId="0" borderId="74"/>
    <xf numFmtId="0" fontId="73" fillId="0" borderId="74"/>
    <xf numFmtId="0" fontId="34" fillId="0" borderId="0" applyNumberFormat="0" applyFill="0" applyBorder="0" applyAlignment="0" applyProtection="0"/>
    <xf numFmtId="0" fontId="6" fillId="0" borderId="0"/>
    <xf numFmtId="9" fontId="6" fillId="0" borderId="0" applyFont="0" applyFill="0" applyBorder="0" applyAlignment="0" applyProtection="0"/>
    <xf numFmtId="9" fontId="3" fillId="0" borderId="0" applyFont="0" applyFill="0" applyBorder="0" applyAlignment="0" applyProtection="0"/>
    <xf numFmtId="217" fontId="6" fillId="0" borderId="0">
      <alignment horizontal="left" wrapText="1"/>
    </xf>
    <xf numFmtId="0" fontId="86" fillId="0" borderId="0"/>
    <xf numFmtId="0" fontId="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0" fontId="86" fillId="0" borderId="0"/>
    <xf numFmtId="0" fontId="104" fillId="0" borderId="0"/>
    <xf numFmtId="9" fontId="95" fillId="0" borderId="0" applyFont="0" applyFill="0" applyBorder="0" applyAlignment="0" applyProtection="0"/>
    <xf numFmtId="0" fontId="105" fillId="0" borderId="0" applyNumberFormat="0" applyFill="0" applyBorder="0" applyAlignment="0" applyProtection="0"/>
    <xf numFmtId="0" fontId="106" fillId="0" borderId="82" applyNumberFormat="0" applyFill="0" applyAlignment="0" applyProtection="0"/>
    <xf numFmtId="0" fontId="106" fillId="0" borderId="0" applyNumberFormat="0" applyFill="0" applyBorder="0" applyAlignment="0" applyProtection="0"/>
    <xf numFmtId="177" fontId="4" fillId="0" borderId="0">
      <alignment horizontal="left" wrapText="1"/>
    </xf>
    <xf numFmtId="0" fontId="4" fillId="0" borderId="0"/>
    <xf numFmtId="194"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209"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209" fontId="4" fillId="0" borderId="0">
      <alignment horizontal="left" wrapText="1"/>
    </xf>
    <xf numFmtId="209" fontId="4" fillId="0" borderId="0">
      <alignment horizontal="left" wrapText="1"/>
    </xf>
    <xf numFmtId="209" fontId="4" fillId="0" borderId="0">
      <alignment horizontal="left" wrapText="1"/>
    </xf>
    <xf numFmtId="209" fontId="4" fillId="0" borderId="0">
      <alignment horizontal="left" wrapText="1"/>
    </xf>
    <xf numFmtId="209"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209"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194" fontId="4" fillId="0" borderId="0">
      <alignment horizontal="left" wrapText="1"/>
    </xf>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56"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109" fillId="12" borderId="23" applyNumberFormat="0" applyAlignment="0" applyProtection="0"/>
    <xf numFmtId="41" fontId="4" fillId="3" borderId="0"/>
    <xf numFmtId="41" fontId="4" fillId="3"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5" fillId="0" borderId="0" applyFont="0" applyFill="0" applyBorder="0" applyAlignment="0" applyProtection="0"/>
    <xf numFmtId="43" fontId="4" fillId="0" borderId="0" applyFont="0" applyFill="0" applyBorder="0" applyAlignment="0" applyProtection="0"/>
    <xf numFmtId="43" fontId="8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5" fillId="0" borderId="0" applyFill="0" applyBorder="0" applyAlignment="0" applyProtection="0"/>
    <xf numFmtId="0" fontId="71" fillId="0" borderId="0"/>
    <xf numFmtId="0" fontId="72" fillId="0" borderId="0"/>
    <xf numFmtId="0" fontId="72"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5" fillId="0" borderId="0" applyFill="0" applyBorder="0" applyAlignment="0" applyProtection="0"/>
    <xf numFmtId="177" fontId="4" fillId="0" borderId="0"/>
    <xf numFmtId="185" fontId="4" fillId="0" borderId="0" applyFont="0" applyFill="0" applyBorder="0" applyAlignment="0" applyProtection="0">
      <alignment horizontal="left" wrapText="1"/>
    </xf>
    <xf numFmtId="0" fontId="107" fillId="0" borderId="0" applyNumberFormat="0" applyFill="0" applyBorder="0" applyAlignment="0" applyProtection="0"/>
    <xf numFmtId="0" fontId="110" fillId="0" borderId="83" applyNumberFormat="0" applyFill="0" applyAlignment="0" applyProtection="0"/>
    <xf numFmtId="220" fontId="108" fillId="0" borderId="0"/>
    <xf numFmtId="213" fontId="4" fillId="0" borderId="0"/>
    <xf numFmtId="213" fontId="4" fillId="0" borderId="0"/>
    <xf numFmtId="213" fontId="4" fillId="0" borderId="0"/>
    <xf numFmtId="214" fontId="4" fillId="0" borderId="0"/>
    <xf numFmtId="0" fontId="4" fillId="0" borderId="0"/>
    <xf numFmtId="0" fontId="4" fillId="0" borderId="0"/>
    <xf numFmtId="0" fontId="4" fillId="0" borderId="0"/>
    <xf numFmtId="0" fontId="4" fillId="0" borderId="0"/>
    <xf numFmtId="0" fontId="4" fillId="0" borderId="0"/>
    <xf numFmtId="0" fontId="4" fillId="0" borderId="0"/>
    <xf numFmtId="21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86" fillId="0" borderId="0"/>
    <xf numFmtId="0" fontId="2" fillId="0" borderId="0"/>
    <xf numFmtId="215" fontId="4" fillId="0" borderId="0">
      <alignment horizontal="left" wrapText="1"/>
    </xf>
    <xf numFmtId="0" fontId="2" fillId="0" borderId="0"/>
    <xf numFmtId="0" fontId="4" fillId="0" borderId="0"/>
    <xf numFmtId="0" fontId="71" fillId="0" borderId="0"/>
    <xf numFmtId="0" fontId="72" fillId="0" borderId="0"/>
    <xf numFmtId="10" fontId="4" fillId="0" borderId="51"/>
    <xf numFmtId="9" fontId="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4" fillId="47" borderId="51"/>
    <xf numFmtId="41" fontId="4" fillId="47" borderId="51"/>
    <xf numFmtId="42" fontId="4" fillId="2" borderId="0"/>
    <xf numFmtId="42" fontId="4" fillId="2" borderId="0"/>
    <xf numFmtId="42" fontId="4" fillId="2" borderId="47">
      <alignment vertical="center"/>
    </xf>
    <xf numFmtId="42" fontId="4" fillId="2" borderId="47">
      <alignment vertical="center"/>
    </xf>
    <xf numFmtId="10" fontId="4" fillId="2" borderId="0"/>
    <xf numFmtId="10" fontId="4" fillId="2" borderId="0"/>
    <xf numFmtId="171" fontId="4" fillId="2" borderId="0"/>
    <xf numFmtId="42" fontId="4" fillId="2" borderId="9">
      <alignment horizontal="left"/>
    </xf>
    <xf numFmtId="42" fontId="4" fillId="2" borderId="9">
      <alignment horizontal="left"/>
    </xf>
    <xf numFmtId="216" fontId="4" fillId="0" borderId="0" applyFont="0" applyFill="0" applyAlignment="0">
      <alignment horizontal="right"/>
    </xf>
    <xf numFmtId="216" fontId="4" fillId="0" borderId="0" applyFont="0" applyFill="0" applyAlignment="0">
      <alignment horizontal="right"/>
    </xf>
    <xf numFmtId="216" fontId="4" fillId="0" borderId="0" applyFont="0" applyFill="0" applyAlignment="0">
      <alignment horizontal="right"/>
    </xf>
    <xf numFmtId="0" fontId="4" fillId="31" borderId="28" applyNumberFormat="0" applyProtection="0">
      <alignment horizontal="left" vertical="center" indent="1"/>
    </xf>
    <xf numFmtId="0" fontId="4" fillId="31" borderId="28" applyNumberFormat="0" applyProtection="0">
      <alignment horizontal="left" vertical="center" indent="1"/>
    </xf>
    <xf numFmtId="0" fontId="4" fillId="44" borderId="28" applyNumberFormat="0" applyProtection="0">
      <alignment horizontal="left" vertical="center" indent="1"/>
    </xf>
    <xf numFmtId="0" fontId="4" fillId="44" borderId="28" applyNumberFormat="0" applyProtection="0">
      <alignment horizontal="left" vertical="center" indent="1"/>
    </xf>
    <xf numFmtId="0" fontId="4" fillId="45" borderId="28" applyNumberFormat="0" applyProtection="0">
      <alignment horizontal="left" vertical="center" indent="1"/>
    </xf>
    <xf numFmtId="0" fontId="4" fillId="45" borderId="28" applyNumberFormat="0" applyProtection="0">
      <alignment horizontal="left" vertical="center" indent="1"/>
    </xf>
    <xf numFmtId="0" fontId="4" fillId="3" borderId="28" applyNumberFormat="0" applyProtection="0">
      <alignment horizontal="left" vertical="center" indent="1"/>
    </xf>
    <xf numFmtId="0" fontId="4" fillId="3" borderId="28" applyNumberFormat="0" applyProtection="0">
      <alignment horizontal="left" vertical="center" indent="1"/>
    </xf>
    <xf numFmtId="0" fontId="4" fillId="31" borderId="28" applyNumberFormat="0" applyProtection="0">
      <alignment horizontal="left" vertical="center" indent="1"/>
    </xf>
    <xf numFmtId="0" fontId="4" fillId="31" borderId="28" applyNumberFormat="0" applyProtection="0">
      <alignment horizontal="left" vertical="center" indent="1"/>
    </xf>
    <xf numFmtId="0" fontId="4" fillId="31" borderId="28" applyNumberFormat="0" applyProtection="0">
      <alignment horizontal="left" vertical="center" indent="1"/>
    </xf>
    <xf numFmtId="0" fontId="4" fillId="31" borderId="28" applyNumberFormat="0" applyProtection="0">
      <alignment horizontal="left" vertical="center" indent="1"/>
    </xf>
    <xf numFmtId="39" fontId="4" fillId="63" borderId="0"/>
    <xf numFmtId="39" fontId="4" fillId="63" borderId="0"/>
    <xf numFmtId="39" fontId="4" fillId="63" borderId="0"/>
    <xf numFmtId="209" fontId="4" fillId="0" borderId="0">
      <alignment horizontal="left" wrapText="1"/>
    </xf>
    <xf numFmtId="194" fontId="4" fillId="0" borderId="0">
      <alignment horizontal="left" wrapText="1"/>
    </xf>
    <xf numFmtId="177" fontId="4" fillId="0" borderId="0">
      <alignment horizontal="left" wrapText="1"/>
    </xf>
    <xf numFmtId="177" fontId="4" fillId="0" borderId="0">
      <alignment horizontal="left" wrapText="1"/>
    </xf>
    <xf numFmtId="0" fontId="4" fillId="0" borderId="0" applyNumberFormat="0" applyBorder="0" applyAlignment="0"/>
    <xf numFmtId="0" fontId="60" fillId="0" borderId="84" applyNumberFormat="0" applyFill="0" applyAlignment="0" applyProtection="0"/>
    <xf numFmtId="177" fontId="4" fillId="0" borderId="0">
      <alignment horizontal="left" wrapText="1"/>
    </xf>
    <xf numFmtId="3" fontId="5" fillId="0" borderId="0" applyFill="0" applyBorder="0" applyAlignment="0" applyProtection="0"/>
    <xf numFmtId="212" fontId="4" fillId="0" borderId="0">
      <alignment horizontal="left" wrapText="1"/>
    </xf>
    <xf numFmtId="10" fontId="4" fillId="0" borderId="51"/>
    <xf numFmtId="42" fontId="4" fillId="2" borderId="0"/>
    <xf numFmtId="0" fontId="1" fillId="0" borderId="0"/>
    <xf numFmtId="221" fontId="19" fillId="0" borderId="0"/>
    <xf numFmtId="41" fontId="52" fillId="6" borderId="51">
      <alignment horizontal="left"/>
      <protection locked="0"/>
    </xf>
    <xf numFmtId="4" fontId="4" fillId="0" borderId="0" applyFont="0" applyFill="0" applyBorder="0" applyAlignment="0" applyProtection="0"/>
    <xf numFmtId="10" fontId="4" fillId="0" borderId="0" applyFont="0" applyFill="0" applyBorder="0" applyAlignment="0" applyProtection="0"/>
    <xf numFmtId="0" fontId="4" fillId="0" borderId="0"/>
    <xf numFmtId="4" fontId="4" fillId="0" borderId="0" applyFont="0" applyFill="0" applyBorder="0" applyAlignment="0" applyProtection="0"/>
    <xf numFmtId="177" fontId="4" fillId="0" borderId="0">
      <alignment horizontal="left" wrapText="1"/>
    </xf>
    <xf numFmtId="9" fontId="1" fillId="0" borderId="0" applyFont="0" applyFill="0" applyBorder="0" applyAlignment="0" applyProtection="0"/>
    <xf numFmtId="44" fontId="1" fillId="0" borderId="0" applyFont="0" applyFill="0" applyBorder="0" applyAlignment="0" applyProtection="0"/>
  </cellStyleXfs>
  <cellXfs count="1895">
    <xf numFmtId="0" fontId="0" fillId="0" borderId="0" xfId="0"/>
    <xf numFmtId="0" fontId="6" fillId="0" borderId="0" xfId="0" applyFont="1"/>
    <xf numFmtId="0" fontId="6" fillId="0" borderId="0" xfId="0" applyFont="1" applyBorder="1"/>
    <xf numFmtId="0" fontId="6" fillId="0" borderId="0" xfId="0" applyFont="1" applyAlignment="1">
      <alignment horizontal="center"/>
    </xf>
    <xf numFmtId="0" fontId="6" fillId="0" borderId="8" xfId="0" applyFont="1" applyBorder="1" applyAlignment="1">
      <alignment horizontal="center"/>
    </xf>
    <xf numFmtId="3" fontId="6" fillId="0" borderId="0" xfId="0" applyNumberFormat="1" applyFont="1" applyBorder="1"/>
    <xf numFmtId="0" fontId="6" fillId="0" borderId="0" xfId="0" applyFont="1" applyFill="1"/>
    <xf numFmtId="0" fontId="8" fillId="0" borderId="0" xfId="0" applyFont="1"/>
    <xf numFmtId="0" fontId="0" fillId="0" borderId="0" xfId="0" applyBorder="1"/>
    <xf numFmtId="0" fontId="0" fillId="0" borderId="0" xfId="0" applyFill="1"/>
    <xf numFmtId="0" fontId="0" fillId="0" borderId="0" xfId="0" applyFill="1" applyBorder="1"/>
    <xf numFmtId="0" fontId="6" fillId="0" borderId="0" xfId="0" applyFont="1" applyFill="1" applyBorder="1"/>
    <xf numFmtId="0" fontId="0" fillId="0" borderId="0" xfId="0" applyAlignment="1">
      <alignment horizontal="centerContinuous"/>
    </xf>
    <xf numFmtId="0" fontId="0" fillId="0" borderId="0" xfId="0" applyAlignment="1">
      <alignment horizontal="left"/>
    </xf>
    <xf numFmtId="3" fontId="6" fillId="0" borderId="0" xfId="0" applyNumberFormat="1" applyFont="1" applyFill="1" applyBorder="1"/>
    <xf numFmtId="0" fontId="8" fillId="0" borderId="12" xfId="0" applyFont="1" applyFill="1" applyBorder="1"/>
    <xf numFmtId="0" fontId="8" fillId="0" borderId="0" xfId="0" applyFont="1" applyFill="1" applyBorder="1"/>
    <xf numFmtId="0" fontId="0" fillId="0" borderId="0" xfId="0" applyAlignment="1">
      <alignment horizontal="center"/>
    </xf>
    <xf numFmtId="42" fontId="0" fillId="0" borderId="0" xfId="0" applyNumberFormat="1"/>
    <xf numFmtId="42" fontId="0" fillId="0" borderId="0" xfId="0" applyNumberFormat="1" applyBorder="1"/>
    <xf numFmtId="0" fontId="8" fillId="0" borderId="0" xfId="0" applyFont="1" applyBorder="1"/>
    <xf numFmtId="178" fontId="22" fillId="0" borderId="0" xfId="23" applyNumberFormat="1" applyFont="1"/>
    <xf numFmtId="0" fontId="6" fillId="0" borderId="0" xfId="0" applyFont="1" applyBorder="1" applyAlignment="1">
      <alignment horizontal="center"/>
    </xf>
    <xf numFmtId="10" fontId="4" fillId="0" borderId="0" xfId="23" applyNumberFormat="1" applyFill="1"/>
    <xf numFmtId="42" fontId="4" fillId="0" borderId="0" xfId="0" applyNumberFormat="1" applyFont="1" applyFill="1" applyBorder="1"/>
    <xf numFmtId="42" fontId="0" fillId="0" borderId="0" xfId="0" applyNumberFormat="1" applyFill="1" applyBorder="1"/>
    <xf numFmtId="0" fontId="6" fillId="0" borderId="0" xfId="0" applyFont="1" applyBorder="1" applyAlignment="1">
      <alignment horizontal="left"/>
    </xf>
    <xf numFmtId="42" fontId="6" fillId="0" borderId="0" xfId="0" applyNumberFormat="1" applyFont="1"/>
    <xf numFmtId="178" fontId="22" fillId="0" borderId="0" xfId="23" applyNumberFormat="1" applyFont="1" applyFill="1"/>
    <xf numFmtId="42" fontId="22" fillId="0" borderId="0" xfId="0" applyNumberFormat="1" applyFont="1" applyFill="1"/>
    <xf numFmtId="0" fontId="6" fillId="0" borderId="0" xfId="0" applyFont="1" applyBorder="1" applyAlignment="1">
      <alignment horizontal="centerContinuous"/>
    </xf>
    <xf numFmtId="0" fontId="37" fillId="0" borderId="0" xfId="44" applyFont="1" applyAlignment="1">
      <alignment horizontal="center" vertical="center"/>
    </xf>
    <xf numFmtId="0" fontId="6" fillId="0" borderId="0" xfId="44"/>
    <xf numFmtId="15" fontId="37" fillId="0" borderId="0" xfId="44" applyNumberFormat="1" applyFont="1" applyAlignment="1">
      <alignment horizontal="center" vertical="center"/>
    </xf>
    <xf numFmtId="0" fontId="38" fillId="0" borderId="0" xfId="44" applyFont="1" applyAlignment="1">
      <alignment vertical="center"/>
    </xf>
    <xf numFmtId="0" fontId="39" fillId="0" borderId="0" xfId="44" applyFont="1" applyAlignment="1">
      <alignment vertical="center"/>
    </xf>
    <xf numFmtId="0" fontId="38" fillId="0" borderId="0" xfId="44" applyFont="1" applyAlignment="1">
      <alignment horizontal="left" vertical="center" indent="2"/>
    </xf>
    <xf numFmtId="0" fontId="0" fillId="0" borderId="0" xfId="0" applyBorder="1" applyAlignment="1">
      <alignment horizontal="centerContinuous"/>
    </xf>
    <xf numFmtId="0" fontId="0" fillId="0" borderId="0" xfId="0" applyBorder="1" applyAlignment="1">
      <alignment horizontal="center"/>
    </xf>
    <xf numFmtId="0" fontId="0" fillId="0" borderId="0" xfId="0" applyFill="1" applyBorder="1" applyAlignment="1">
      <alignment horizontal="center"/>
    </xf>
    <xf numFmtId="0" fontId="0" fillId="0" borderId="8" xfId="0" applyBorder="1" applyAlignment="1">
      <alignment horizontal="center"/>
    </xf>
    <xf numFmtId="0" fontId="0" fillId="0" borderId="8" xfId="0" applyBorder="1" applyAlignment="1">
      <alignment horizontal="centerContinuous"/>
    </xf>
    <xf numFmtId="0" fontId="0" fillId="0" borderId="8" xfId="0" applyBorder="1"/>
    <xf numFmtId="9" fontId="4" fillId="0" borderId="0" xfId="23"/>
    <xf numFmtId="42" fontId="24" fillId="0" borderId="0" xfId="0" applyNumberFormat="1" applyFont="1"/>
    <xf numFmtId="42" fontId="4" fillId="0" borderId="0" xfId="0" applyNumberFormat="1" applyFont="1"/>
    <xf numFmtId="42" fontId="4" fillId="0" borderId="0" xfId="0" applyNumberFormat="1" applyFont="1" applyBorder="1"/>
    <xf numFmtId="42" fontId="24" fillId="0" borderId="0" xfId="0" applyNumberFormat="1" applyFont="1" applyFill="1"/>
    <xf numFmtId="42" fontId="4" fillId="0" borderId="9" xfId="0" applyNumberFormat="1" applyFont="1" applyBorder="1"/>
    <xf numFmtId="42" fontId="24" fillId="0" borderId="0" xfId="0" applyNumberFormat="1" applyFont="1" applyBorder="1"/>
    <xf numFmtId="178" fontId="4" fillId="0" borderId="0" xfId="23" applyNumberFormat="1"/>
    <xf numFmtId="9" fontId="4" fillId="0" borderId="0" xfId="23" applyFill="1"/>
    <xf numFmtId="42" fontId="4" fillId="0" borderId="0" xfId="0" applyNumberFormat="1" applyFont="1" applyFill="1"/>
    <xf numFmtId="178" fontId="0" fillId="0" borderId="0" xfId="0" applyNumberFormat="1"/>
    <xf numFmtId="42" fontId="4" fillId="0" borderId="9" xfId="0" applyNumberFormat="1" applyFont="1" applyFill="1" applyBorder="1"/>
    <xf numFmtId="42" fontId="46" fillId="0" borderId="0" xfId="0" applyNumberFormat="1" applyFont="1" applyFill="1"/>
    <xf numFmtId="37" fontId="46" fillId="0" borderId="0" xfId="0" applyNumberFormat="1" applyFont="1" applyFill="1"/>
    <xf numFmtId="37" fontId="22" fillId="0" borderId="0" xfId="0" applyNumberFormat="1" applyFont="1" applyFill="1"/>
    <xf numFmtId="37" fontId="4" fillId="0" borderId="9" xfId="0" applyNumberFormat="1" applyFont="1" applyBorder="1"/>
    <xf numFmtId="178" fontId="4" fillId="0" borderId="0" xfId="23" applyNumberFormat="1" applyBorder="1"/>
    <xf numFmtId="178" fontId="4" fillId="0" borderId="0" xfId="23" applyNumberFormat="1" applyFont="1"/>
    <xf numFmtId="186" fontId="4" fillId="0" borderId="0" xfId="0" applyNumberFormat="1" applyFont="1" applyFill="1"/>
    <xf numFmtId="187" fontId="0" fillId="0" borderId="0" xfId="0" applyNumberFormat="1"/>
    <xf numFmtId="0" fontId="8" fillId="0" borderId="0" xfId="0" applyFont="1" applyFill="1" applyBorder="1" applyAlignment="1">
      <alignment horizontal="right"/>
    </xf>
    <xf numFmtId="0" fontId="11" fillId="0" borderId="0" xfId="0" applyFont="1" applyFill="1"/>
    <xf numFmtId="0" fontId="6" fillId="0" borderId="30" xfId="0" applyFont="1" applyBorder="1"/>
    <xf numFmtId="0" fontId="8" fillId="0" borderId="0" xfId="0" applyFont="1" applyBorder="1" applyAlignment="1">
      <alignment horizontal="right"/>
    </xf>
    <xf numFmtId="0" fontId="22" fillId="0" borderId="31" xfId="0" quotePrefix="1" applyFont="1" applyBorder="1"/>
    <xf numFmtId="0" fontId="8" fillId="0" borderId="0" xfId="0" applyFont="1" applyBorder="1" applyAlignment="1">
      <alignment horizontal="right" vertical="top"/>
    </xf>
    <xf numFmtId="0" fontId="11" fillId="0" borderId="0" xfId="0" applyFont="1" applyBorder="1" applyAlignment="1">
      <alignment horizontal="centerContinuous"/>
    </xf>
    <xf numFmtId="5" fontId="47" fillId="0" borderId="0" xfId="0" applyNumberFormat="1" applyFont="1" applyBorder="1" applyAlignment="1">
      <alignment horizontal="centerContinuous"/>
    </xf>
    <xf numFmtId="0" fontId="48" fillId="0" borderId="0" xfId="0" applyFont="1" applyBorder="1" applyAlignment="1">
      <alignment horizontal="centerContinuous"/>
    </xf>
    <xf numFmtId="37" fontId="47" fillId="0" borderId="0" xfId="0" applyNumberFormat="1" applyFont="1" applyBorder="1" applyAlignment="1">
      <alignment horizontal="centerContinuous"/>
    </xf>
    <xf numFmtId="37" fontId="48" fillId="0" borderId="0" xfId="0" applyNumberFormat="1" applyFont="1" applyBorder="1" applyAlignment="1">
      <alignment horizontal="centerContinuous"/>
    </xf>
    <xf numFmtId="188" fontId="48" fillId="0" borderId="0" xfId="0" applyNumberFormat="1" applyFont="1" applyBorder="1" applyAlignment="1">
      <alignment horizontal="centerContinuous"/>
    </xf>
    <xf numFmtId="0" fontId="49" fillId="0" borderId="0" xfId="0" applyFont="1" applyBorder="1" applyAlignment="1">
      <alignment horizontal="left"/>
    </xf>
    <xf numFmtId="5" fontId="7" fillId="0" borderId="0" xfId="0" applyNumberFormat="1" applyFont="1" applyBorder="1" applyAlignment="1">
      <alignment horizontal="left"/>
    </xf>
    <xf numFmtId="0" fontId="9" fillId="0" borderId="0" xfId="0" applyFont="1" applyBorder="1" applyAlignment="1">
      <alignment horizontal="left"/>
    </xf>
    <xf numFmtId="37" fontId="7" fillId="0" borderId="0" xfId="0" applyNumberFormat="1" applyFont="1" applyBorder="1" applyAlignment="1">
      <alignment horizontal="left"/>
    </xf>
    <xf numFmtId="37" fontId="9" fillId="0" borderId="0" xfId="0" applyNumberFormat="1" applyFont="1" applyBorder="1" applyAlignment="1">
      <alignment horizontal="left"/>
    </xf>
    <xf numFmtId="188" fontId="9" fillId="0" borderId="0" xfId="0" applyNumberFormat="1" applyFont="1" applyBorder="1" applyAlignment="1">
      <alignment horizontal="left"/>
    </xf>
    <xf numFmtId="37" fontId="11" fillId="0" borderId="0" xfId="0" applyNumberFormat="1" applyFont="1" applyFill="1" applyBorder="1" applyAlignment="1">
      <alignment horizontal="centerContinuous"/>
    </xf>
    <xf numFmtId="37" fontId="8" fillId="0" borderId="0" xfId="0" applyNumberFormat="1" applyFont="1" applyFill="1" applyBorder="1" applyAlignment="1"/>
    <xf numFmtId="0" fontId="8" fillId="0" borderId="0" xfId="0" applyFont="1" applyBorder="1" applyAlignment="1">
      <alignment horizontal="left"/>
    </xf>
    <xf numFmtId="0" fontId="8" fillId="0" borderId="0" xfId="0" applyFont="1" applyBorder="1" applyAlignment="1">
      <alignment horizontal="center"/>
    </xf>
    <xf numFmtId="0" fontId="49" fillId="0" borderId="0" xfId="0" applyFont="1" applyBorder="1" applyAlignment="1">
      <alignment horizontal="center"/>
    </xf>
    <xf numFmtId="44" fontId="6" fillId="0" borderId="8" xfId="84" applyFont="1" applyBorder="1" applyAlignment="1">
      <alignment horizontal="center"/>
    </xf>
    <xf numFmtId="44" fontId="6" fillId="0" borderId="0" xfId="84" applyFont="1" applyBorder="1" applyAlignment="1">
      <alignment horizontal="center"/>
    </xf>
    <xf numFmtId="0" fontId="49" fillId="0" borderId="0" xfId="0" applyFont="1" applyBorder="1"/>
    <xf numFmtId="5" fontId="6" fillId="0" borderId="0" xfId="0" applyNumberFormat="1" applyFont="1" applyBorder="1"/>
    <xf numFmtId="0" fontId="6" fillId="0" borderId="32" xfId="0" applyFont="1" applyFill="1" applyBorder="1"/>
    <xf numFmtId="0" fontId="6" fillId="0" borderId="33" xfId="0" applyFont="1" applyFill="1" applyBorder="1"/>
    <xf numFmtId="3" fontId="6" fillId="0" borderId="34" xfId="0" applyNumberFormat="1" applyFont="1" applyFill="1" applyBorder="1" applyAlignment="1">
      <alignment horizontal="right"/>
    </xf>
    <xf numFmtId="189" fontId="6" fillId="0" borderId="0" xfId="0" applyNumberFormat="1" applyFont="1" applyBorder="1"/>
    <xf numFmtId="190" fontId="6" fillId="0" borderId="0" xfId="0" applyNumberFormat="1" applyFont="1" applyBorder="1"/>
    <xf numFmtId="42" fontId="6" fillId="0" borderId="32" xfId="0" applyNumberFormat="1" applyFont="1" applyFill="1" applyBorder="1"/>
    <xf numFmtId="42" fontId="6" fillId="0" borderId="33" xfId="0" applyNumberFormat="1" applyFont="1" applyFill="1" applyBorder="1"/>
    <xf numFmtId="42" fontId="6" fillId="0" borderId="35" xfId="0" applyNumberFormat="1" applyFont="1" applyFill="1" applyBorder="1"/>
    <xf numFmtId="178" fontId="6" fillId="0" borderId="34" xfId="85" applyNumberFormat="1" applyFont="1" applyBorder="1"/>
    <xf numFmtId="44" fontId="6" fillId="0" borderId="0" xfId="0" applyNumberFormat="1" applyFont="1" applyBorder="1"/>
    <xf numFmtId="3" fontId="6" fillId="0" borderId="0" xfId="0" applyNumberFormat="1" applyFont="1" applyBorder="1" applyAlignment="1">
      <alignment horizontal="right"/>
    </xf>
    <xf numFmtId="191" fontId="6" fillId="0" borderId="0" xfId="0" applyNumberFormat="1" applyFont="1" applyBorder="1"/>
    <xf numFmtId="5" fontId="6" fillId="0" borderId="0" xfId="0" applyNumberFormat="1" applyFont="1" applyFill="1" applyBorder="1"/>
    <xf numFmtId="0" fontId="6" fillId="0" borderId="36" xfId="0" applyFont="1" applyFill="1" applyBorder="1"/>
    <xf numFmtId="3" fontId="6" fillId="0" borderId="37" xfId="0" applyNumberFormat="1" applyFont="1" applyFill="1" applyBorder="1" applyAlignment="1">
      <alignment horizontal="right"/>
    </xf>
    <xf numFmtId="192" fontId="6" fillId="0" borderId="0" xfId="0" applyNumberFormat="1" applyFont="1" applyBorder="1"/>
    <xf numFmtId="42" fontId="6" fillId="0" borderId="36" xfId="0" applyNumberFormat="1" applyFont="1" applyFill="1" applyBorder="1"/>
    <xf numFmtId="42" fontId="6" fillId="0" borderId="0" xfId="0" applyNumberFormat="1" applyFont="1" applyFill="1" applyBorder="1"/>
    <xf numFmtId="178" fontId="6" fillId="0" borderId="19" xfId="85" applyNumberFormat="1" applyFont="1" applyFill="1" applyBorder="1"/>
    <xf numFmtId="0" fontId="6" fillId="0" borderId="37" xfId="0" applyFont="1" applyBorder="1"/>
    <xf numFmtId="191" fontId="6" fillId="0" borderId="36" xfId="0" applyNumberFormat="1" applyFont="1" applyFill="1" applyBorder="1"/>
    <xf numFmtId="178" fontId="6" fillId="0" borderId="37" xfId="85" applyNumberFormat="1" applyFont="1" applyBorder="1"/>
    <xf numFmtId="42" fontId="6" fillId="0" borderId="0" xfId="0" applyNumberFormat="1" applyFont="1" applyBorder="1"/>
    <xf numFmtId="3" fontId="6" fillId="0" borderId="37" xfId="0" applyNumberFormat="1" applyFont="1" applyFill="1" applyBorder="1"/>
    <xf numFmtId="3" fontId="6" fillId="0" borderId="0" xfId="0" applyNumberFormat="1" applyFont="1" applyFill="1" applyBorder="1" applyAlignment="1">
      <alignment horizontal="right"/>
    </xf>
    <xf numFmtId="189" fontId="6" fillId="0" borderId="0" xfId="0" applyNumberFormat="1" applyFont="1" applyBorder="1" applyAlignment="1">
      <alignment horizontal="center"/>
    </xf>
    <xf numFmtId="0" fontId="6" fillId="0" borderId="38" xfId="0" applyFont="1" applyFill="1" applyBorder="1"/>
    <xf numFmtId="0" fontId="6" fillId="0" borderId="39" xfId="0" applyFont="1" applyFill="1" applyBorder="1"/>
    <xf numFmtId="3" fontId="6" fillId="0" borderId="40" xfId="0" applyNumberFormat="1" applyFont="1" applyFill="1" applyBorder="1"/>
    <xf numFmtId="42" fontId="6" fillId="0" borderId="41" xfId="0" applyNumberFormat="1" applyFont="1" applyFill="1" applyBorder="1"/>
    <xf numFmtId="42" fontId="6" fillId="0" borderId="9" xfId="0" applyNumberFormat="1" applyFont="1" applyFill="1" applyBorder="1"/>
    <xf numFmtId="0" fontId="7" fillId="0" borderId="0" xfId="0" applyFont="1" applyBorder="1"/>
    <xf numFmtId="189" fontId="6" fillId="0" borderId="0" xfId="0" applyNumberFormat="1" applyFont="1" applyBorder="1" applyAlignment="1">
      <alignment horizontal="right"/>
    </xf>
    <xf numFmtId="0" fontId="6" fillId="0" borderId="0" xfId="0" applyFont="1" applyBorder="1" applyAlignment="1">
      <alignment horizontal="right"/>
    </xf>
    <xf numFmtId="189" fontId="6" fillId="0" borderId="0" xfId="0" applyNumberFormat="1" applyFont="1" applyFill="1" applyBorder="1" applyAlignment="1">
      <alignment horizontal="right"/>
    </xf>
    <xf numFmtId="0" fontId="6" fillId="0" borderId="0" xfId="0" applyFont="1" applyFill="1" applyBorder="1" applyAlignment="1">
      <alignment horizontal="right"/>
    </xf>
    <xf numFmtId="3" fontId="6" fillId="0" borderId="33" xfId="0" applyNumberFormat="1" applyFont="1" applyFill="1" applyBorder="1"/>
    <xf numFmtId="189" fontId="6" fillId="0" borderId="34" xfId="0" applyNumberFormat="1" applyFont="1" applyFill="1" applyBorder="1" applyAlignment="1">
      <alignment horizontal="right"/>
    </xf>
    <xf numFmtId="193" fontId="6" fillId="0" borderId="37" xfId="0" applyNumberFormat="1" applyFont="1" applyFill="1" applyBorder="1"/>
    <xf numFmtId="3" fontId="6" fillId="0" borderId="42" xfId="0" applyNumberFormat="1" applyFont="1" applyFill="1" applyBorder="1"/>
    <xf numFmtId="193" fontId="6" fillId="0" borderId="40" xfId="0" applyNumberFormat="1" applyFont="1" applyFill="1" applyBorder="1"/>
    <xf numFmtId="42" fontId="6" fillId="0" borderId="43" xfId="0" applyNumberFormat="1" applyFont="1" applyFill="1" applyBorder="1"/>
    <xf numFmtId="42" fontId="6" fillId="0" borderId="42" xfId="0" applyNumberFormat="1" applyFont="1" applyFill="1" applyBorder="1"/>
    <xf numFmtId="178" fontId="6" fillId="0" borderId="44" xfId="85" applyNumberFormat="1" applyFont="1" applyFill="1" applyBorder="1"/>
    <xf numFmtId="178" fontId="6" fillId="0" borderId="40" xfId="85" applyNumberFormat="1" applyFont="1" applyBorder="1"/>
    <xf numFmtId="193" fontId="6" fillId="0" borderId="0" xfId="0" applyNumberFormat="1" applyFont="1" applyFill="1" applyBorder="1"/>
    <xf numFmtId="178" fontId="6" fillId="0" borderId="35" xfId="85" applyNumberFormat="1" applyFont="1" applyFill="1" applyBorder="1"/>
    <xf numFmtId="0" fontId="6" fillId="0" borderId="19" xfId="0" applyFont="1" applyBorder="1"/>
    <xf numFmtId="0" fontId="6" fillId="0" borderId="40" xfId="0" applyFont="1" applyBorder="1"/>
    <xf numFmtId="182" fontId="6" fillId="0" borderId="33" xfId="85" applyNumberFormat="1" applyFont="1" applyFill="1" applyBorder="1"/>
    <xf numFmtId="10" fontId="6" fillId="0" borderId="33" xfId="0" applyNumberFormat="1" applyFont="1" applyFill="1" applyBorder="1"/>
    <xf numFmtId="3" fontId="6" fillId="0" borderId="33" xfId="0" applyNumberFormat="1" applyFont="1" applyFill="1" applyBorder="1" applyAlignment="1">
      <alignment horizontal="right"/>
    </xf>
    <xf numFmtId="178" fontId="6" fillId="0" borderId="35" xfId="85" applyNumberFormat="1" applyFont="1" applyFill="1" applyBorder="1" applyAlignment="1">
      <alignment horizontal="right"/>
    </xf>
    <xf numFmtId="178" fontId="6" fillId="0" borderId="34" xfId="85" applyNumberFormat="1" applyFont="1" applyBorder="1" applyAlignment="1">
      <alignment horizontal="right"/>
    </xf>
    <xf numFmtId="10" fontId="8" fillId="0" borderId="0" xfId="0" applyNumberFormat="1" applyFont="1" applyBorder="1"/>
    <xf numFmtId="10" fontId="6" fillId="0" borderId="0" xfId="0" applyNumberFormat="1" applyFont="1" applyBorder="1"/>
    <xf numFmtId="3" fontId="6" fillId="0" borderId="0" xfId="0" applyNumberFormat="1" applyFont="1" applyBorder="1" applyAlignment="1">
      <alignment horizontal="center"/>
    </xf>
    <xf numFmtId="10" fontId="6" fillId="0" borderId="0" xfId="0" applyNumberFormat="1" applyFont="1" applyFill="1" applyBorder="1"/>
    <xf numFmtId="3" fontId="6" fillId="0" borderId="0" xfId="0" applyNumberFormat="1" applyFont="1" applyFill="1" applyBorder="1" applyAlignment="1">
      <alignment horizontal="center"/>
    </xf>
    <xf numFmtId="3" fontId="6" fillId="0" borderId="19" xfId="0" applyNumberFormat="1" applyFont="1" applyFill="1" applyBorder="1" applyAlignment="1">
      <alignment horizontal="center"/>
    </xf>
    <xf numFmtId="169" fontId="6" fillId="0" borderId="0" xfId="0" applyNumberFormat="1" applyFont="1" applyFill="1" applyBorder="1" applyAlignment="1">
      <alignment horizontal="right"/>
    </xf>
    <xf numFmtId="169" fontId="6" fillId="0" borderId="0" xfId="0" applyNumberFormat="1" applyFont="1" applyFill="1" applyBorder="1" applyAlignment="1"/>
    <xf numFmtId="169" fontId="8" fillId="0" borderId="0" xfId="0" applyNumberFormat="1" applyFont="1" applyBorder="1" applyAlignment="1">
      <alignment horizontal="center"/>
    </xf>
    <xf numFmtId="3" fontId="8" fillId="0" borderId="0" xfId="0" applyNumberFormat="1" applyFont="1" applyBorder="1" applyAlignment="1">
      <alignment horizontal="center"/>
    </xf>
    <xf numFmtId="9" fontId="6" fillId="0" borderId="39" xfId="85" applyFont="1" applyFill="1" applyBorder="1"/>
    <xf numFmtId="0" fontId="6" fillId="0" borderId="39" xfId="0" applyFont="1" applyBorder="1"/>
    <xf numFmtId="0" fontId="6" fillId="0" borderId="44" xfId="0" applyFont="1" applyBorder="1"/>
    <xf numFmtId="169" fontId="6" fillId="0" borderId="39" xfId="0" applyNumberFormat="1" applyFont="1" applyFill="1" applyBorder="1" applyAlignment="1">
      <alignment horizontal="right"/>
    </xf>
    <xf numFmtId="178" fontId="6" fillId="0" borderId="40" xfId="85" applyNumberFormat="1" applyFont="1" applyFill="1" applyBorder="1" applyAlignment="1">
      <alignment horizontal="right"/>
    </xf>
    <xf numFmtId="9" fontId="6" fillId="0" borderId="0" xfId="85" applyFont="1" applyBorder="1"/>
    <xf numFmtId="169" fontId="8" fillId="0" borderId="0" xfId="0" applyNumberFormat="1" applyFont="1" applyBorder="1" applyAlignment="1">
      <alignment horizontal="centerContinuous"/>
    </xf>
    <xf numFmtId="0" fontId="8" fillId="0" borderId="0" xfId="0" applyFont="1" applyBorder="1" applyAlignment="1">
      <alignment horizontal="centerContinuous"/>
    </xf>
    <xf numFmtId="166" fontId="6" fillId="0" borderId="0" xfId="0" applyNumberFormat="1" applyFont="1" applyBorder="1"/>
    <xf numFmtId="0" fontId="6" fillId="0" borderId="0" xfId="0" quotePrefix="1" applyFont="1" applyAlignment="1">
      <alignment horizontal="center"/>
    </xf>
    <xf numFmtId="3" fontId="6" fillId="0" borderId="0" xfId="0" applyNumberFormat="1" applyFont="1"/>
    <xf numFmtId="9" fontId="6" fillId="0" borderId="0" xfId="85" applyFont="1"/>
    <xf numFmtId="0" fontId="6" fillId="0" borderId="0" xfId="0" applyFont="1" applyFill="1" applyBorder="1" applyAlignment="1">
      <alignment horizontal="center" vertical="top" textRotation="180"/>
    </xf>
    <xf numFmtId="9" fontId="6" fillId="0" borderId="0" xfId="0" applyNumberFormat="1" applyFont="1"/>
    <xf numFmtId="0" fontId="6" fillId="0" borderId="0" xfId="0" applyFont="1" applyBorder="1" applyAlignment="1">
      <alignment horizontal="right" vertical="top"/>
    </xf>
    <xf numFmtId="0" fontId="6" fillId="0" borderId="0" xfId="0" applyFont="1" applyAlignment="1">
      <alignment horizontal="right"/>
    </xf>
    <xf numFmtId="0" fontId="6" fillId="0" borderId="0" xfId="0" applyFont="1" applyBorder="1" applyAlignment="1">
      <alignment vertical="top" textRotation="180"/>
    </xf>
    <xf numFmtId="0" fontId="6" fillId="0" borderId="0" xfId="0" applyFont="1" applyAlignment="1">
      <alignment horizontal="right" textRotation="180"/>
    </xf>
    <xf numFmtId="0" fontId="6" fillId="0" borderId="0" xfId="0" applyFont="1" applyFill="1" applyBorder="1" applyAlignment="1">
      <alignment horizontal="right" textRotation="180"/>
    </xf>
    <xf numFmtId="194" fontId="6" fillId="0" borderId="0" xfId="86" applyNumberFormat="1" applyFont="1" applyBorder="1"/>
    <xf numFmtId="169" fontId="6" fillId="0" borderId="0" xfId="0" applyNumberFormat="1" applyFont="1" applyBorder="1" applyAlignment="1">
      <alignment horizontal="right"/>
    </xf>
    <xf numFmtId="178" fontId="6" fillId="0" borderId="0" xfId="85" applyNumberFormat="1" applyFont="1"/>
    <xf numFmtId="10" fontId="6" fillId="0" borderId="0" xfId="85" applyNumberFormat="1" applyFont="1" applyBorder="1"/>
    <xf numFmtId="10" fontId="6" fillId="0" borderId="0" xfId="85" applyNumberFormat="1" applyFont="1" applyFill="1" applyBorder="1"/>
    <xf numFmtId="0" fontId="8" fillId="0" borderId="0" xfId="87" applyFont="1" applyFill="1" applyAlignment="1"/>
    <xf numFmtId="0" fontId="6" fillId="0" borderId="0" xfId="44" applyFont="1" applyFill="1"/>
    <xf numFmtId="0" fontId="11" fillId="0" borderId="0" xfId="87" applyFont="1" applyFill="1" applyAlignment="1">
      <alignment horizontal="centerContinuous"/>
    </xf>
    <xf numFmtId="0" fontId="8" fillId="0" borderId="0" xfId="87" applyFont="1" applyFill="1" applyAlignment="1">
      <alignment horizontal="centerContinuous"/>
    </xf>
    <xf numFmtId="0" fontId="8" fillId="0" borderId="0" xfId="44" applyFont="1" applyFill="1"/>
    <xf numFmtId="0" fontId="8" fillId="0" borderId="0" xfId="87" applyFont="1" applyFill="1" applyAlignment="1">
      <alignment horizontal="center"/>
    </xf>
    <xf numFmtId="0" fontId="11" fillId="0" borderId="0" xfId="44" applyFont="1" applyFill="1"/>
    <xf numFmtId="0" fontId="6" fillId="0" borderId="8" xfId="44" applyFont="1" applyFill="1" applyBorder="1" applyAlignment="1">
      <alignment horizontal="center"/>
    </xf>
    <xf numFmtId="17" fontId="6" fillId="0" borderId="8" xfId="88" applyNumberFormat="1" applyFont="1" applyFill="1" applyBorder="1" applyAlignment="1">
      <alignment horizontal="center"/>
    </xf>
    <xf numFmtId="0" fontId="6" fillId="0" borderId="0" xfId="89" applyFont="1" applyFill="1" applyAlignment="1">
      <alignment horizontal="center"/>
    </xf>
    <xf numFmtId="37" fontId="6" fillId="0" borderId="0" xfId="44" applyNumberFormat="1" applyFont="1" applyFill="1" applyBorder="1"/>
    <xf numFmtId="164" fontId="6" fillId="0" borderId="0" xfId="88" applyNumberFormat="1" applyFont="1" applyFill="1"/>
    <xf numFmtId="164" fontId="6" fillId="0" borderId="0" xfId="88" applyNumberFormat="1" applyFont="1" applyFill="1" applyBorder="1"/>
    <xf numFmtId="37" fontId="6" fillId="0" borderId="9" xfId="44" applyNumberFormat="1" applyFont="1" applyFill="1" applyBorder="1"/>
    <xf numFmtId="37" fontId="6" fillId="0" borderId="0" xfId="44" applyNumberFormat="1" applyFont="1" applyFill="1"/>
    <xf numFmtId="0" fontId="6" fillId="0" borderId="0" xfId="44" applyFont="1" applyFill="1" applyAlignment="1">
      <alignment horizontal="center"/>
    </xf>
    <xf numFmtId="10" fontId="6" fillId="0" borderId="0" xfId="90" applyNumberFormat="1" applyFont="1" applyFill="1"/>
    <xf numFmtId="0" fontId="6" fillId="0" borderId="0" xfId="44" applyFont="1" applyFill="1" applyBorder="1"/>
    <xf numFmtId="0" fontId="6" fillId="0" borderId="0" xfId="44" applyFont="1" applyFill="1" applyAlignment="1">
      <alignment horizontal="left"/>
    </xf>
    <xf numFmtId="0" fontId="6" fillId="0" borderId="8" xfId="89" applyFont="1" applyFill="1" applyBorder="1" applyAlignment="1">
      <alignment horizontal="center"/>
    </xf>
    <xf numFmtId="17" fontId="6" fillId="0" borderId="8" xfId="44" applyNumberFormat="1" applyFont="1" applyFill="1" applyBorder="1"/>
    <xf numFmtId="0" fontId="50" fillId="0" borderId="0" xfId="44" applyFont="1" applyFill="1" applyAlignment="1">
      <alignment horizontal="center"/>
    </xf>
    <xf numFmtId="0" fontId="50" fillId="0" borderId="0" xfId="44" applyFont="1" applyFill="1" applyAlignment="1">
      <alignment horizontal="left"/>
    </xf>
    <xf numFmtId="166" fontId="0" fillId="0" borderId="0" xfId="0" applyNumberFormat="1" applyFill="1" applyBorder="1"/>
    <xf numFmtId="0" fontId="25" fillId="0" borderId="12" xfId="0" applyFont="1" applyFill="1" applyBorder="1"/>
    <xf numFmtId="0" fontId="0" fillId="0" borderId="32" xfId="0" applyFill="1" applyBorder="1"/>
    <xf numFmtId="166" fontId="0" fillId="0" borderId="33" xfId="0" applyNumberFormat="1" applyFill="1" applyBorder="1"/>
    <xf numFmtId="0" fontId="0" fillId="0" borderId="34" xfId="0" applyFill="1" applyBorder="1"/>
    <xf numFmtId="0" fontId="8" fillId="0" borderId="36" xfId="0" applyFont="1" applyFill="1" applyBorder="1"/>
    <xf numFmtId="166" fontId="8" fillId="0" borderId="0" xfId="0" applyNumberFormat="1" applyFont="1" applyAlignment="1">
      <alignment horizontal="left"/>
    </xf>
    <xf numFmtId="0" fontId="8" fillId="0" borderId="37" xfId="0" applyFont="1" applyFill="1" applyBorder="1"/>
    <xf numFmtId="0" fontId="0" fillId="0" borderId="36" xfId="0" applyFill="1" applyBorder="1"/>
    <xf numFmtId="0" fontId="0" fillId="0" borderId="37" xfId="0" applyFill="1" applyBorder="1"/>
    <xf numFmtId="166" fontId="0" fillId="0" borderId="0" xfId="0" applyNumberFormat="1" applyFill="1" applyBorder="1" applyAlignment="1">
      <alignment horizontal="left"/>
    </xf>
    <xf numFmtId="166" fontId="4" fillId="0" borderId="0" xfId="2" applyNumberFormat="1" applyFill="1" applyBorder="1" applyAlignment="1">
      <alignment horizontal="left"/>
    </xf>
    <xf numFmtId="166" fontId="24" fillId="0" borderId="0" xfId="2" applyNumberFormat="1" applyFont="1" applyFill="1" applyBorder="1" applyAlignment="1">
      <alignment horizontal="left"/>
    </xf>
    <xf numFmtId="0" fontId="0" fillId="0" borderId="38" xfId="0" applyFill="1" applyBorder="1"/>
    <xf numFmtId="166" fontId="0" fillId="0" borderId="39" xfId="0" applyNumberFormat="1" applyFill="1" applyBorder="1"/>
    <xf numFmtId="0" fontId="0" fillId="0" borderId="40" xfId="0" applyFill="1" applyBorder="1"/>
    <xf numFmtId="0" fontId="0" fillId="0" borderId="12" xfId="0" applyFill="1" applyBorder="1"/>
    <xf numFmtId="0" fontId="8" fillId="0" borderId="0" xfId="0" applyFont="1" applyFill="1" applyAlignment="1">
      <alignment horizontal="center"/>
    </xf>
    <xf numFmtId="0" fontId="8" fillId="0" borderId="0" xfId="0" applyFont="1" applyAlignment="1">
      <alignment horizontal="center"/>
    </xf>
    <xf numFmtId="0" fontId="8" fillId="0" borderId="8" xfId="0" applyFont="1" applyFill="1" applyBorder="1" applyAlignment="1">
      <alignment horizontal="center"/>
    </xf>
    <xf numFmtId="0" fontId="8" fillId="0" borderId="8" xfId="0" applyFont="1" applyBorder="1" applyAlignment="1">
      <alignment horizontal="center"/>
    </xf>
    <xf numFmtId="165" fontId="0" fillId="0" borderId="0" xfId="7" applyNumberFormat="1" applyFont="1"/>
    <xf numFmtId="164" fontId="0" fillId="0" borderId="0" xfId="91" applyNumberFormat="1" applyFont="1"/>
    <xf numFmtId="44" fontId="0" fillId="0" borderId="0" xfId="7" applyFont="1"/>
    <xf numFmtId="9" fontId="0" fillId="0" borderId="0" xfId="23" applyFont="1"/>
    <xf numFmtId="42" fontId="0" fillId="0" borderId="8" xfId="0" applyNumberFormat="1" applyBorder="1"/>
    <xf numFmtId="164" fontId="0" fillId="0" borderId="8" xfId="91" applyNumberFormat="1" applyFont="1" applyBorder="1"/>
    <xf numFmtId="9" fontId="0" fillId="0" borderId="8" xfId="23" applyFont="1" applyBorder="1"/>
    <xf numFmtId="3" fontId="0" fillId="0" borderId="0" xfId="0" applyNumberFormat="1"/>
    <xf numFmtId="42" fontId="0" fillId="0" borderId="9" xfId="0" applyNumberFormat="1" applyBorder="1"/>
    <xf numFmtId="3" fontId="0" fillId="0" borderId="9" xfId="0" applyNumberFormat="1" applyBorder="1"/>
    <xf numFmtId="44" fontId="0" fillId="0" borderId="0" xfId="0" applyNumberFormat="1"/>
    <xf numFmtId="165" fontId="0" fillId="0" borderId="8" xfId="7" applyNumberFormat="1" applyFont="1" applyBorder="1"/>
    <xf numFmtId="164" fontId="0" fillId="0" borderId="0" xfId="0" applyNumberFormat="1"/>
    <xf numFmtId="44" fontId="0" fillId="0" borderId="0" xfId="7" applyFont="1" applyBorder="1"/>
    <xf numFmtId="43" fontId="0" fillId="0" borderId="0" xfId="91" applyFont="1"/>
    <xf numFmtId="0" fontId="0" fillId="0" borderId="0" xfId="0" applyBorder="1" applyAlignment="1">
      <alignment horizontal="left"/>
    </xf>
    <xf numFmtId="42" fontId="0" fillId="0" borderId="0" xfId="7" applyNumberFormat="1" applyFont="1"/>
    <xf numFmtId="9" fontId="0" fillId="0" borderId="0" xfId="23" applyNumberFormat="1" applyFont="1"/>
    <xf numFmtId="16" fontId="0" fillId="0" borderId="0" xfId="0" quotePrefix="1" applyNumberFormat="1" applyBorder="1"/>
    <xf numFmtId="0" fontId="0" fillId="0" borderId="0" xfId="0" quotePrefix="1" applyFill="1" applyBorder="1"/>
    <xf numFmtId="42" fontId="0" fillId="0" borderId="8" xfId="7" applyNumberFormat="1" applyFont="1" applyBorder="1"/>
    <xf numFmtId="9" fontId="0" fillId="0" borderId="8" xfId="23" applyNumberFormat="1" applyFont="1" applyBorder="1"/>
    <xf numFmtId="9" fontId="0" fillId="0" borderId="0" xfId="0" applyNumberFormat="1"/>
    <xf numFmtId="0" fontId="8" fillId="0" borderId="1" xfId="0" applyFont="1" applyFill="1" applyBorder="1" applyAlignment="1">
      <alignment horizontal="center" wrapText="1"/>
    </xf>
    <xf numFmtId="1" fontId="8" fillId="0" borderId="1" xfId="0" applyNumberFormat="1" applyFont="1" applyFill="1" applyBorder="1" applyAlignment="1">
      <alignment horizontal="center" wrapText="1"/>
    </xf>
    <xf numFmtId="3" fontId="8" fillId="0" borderId="1" xfId="0" applyNumberFormat="1" applyFont="1" applyFill="1" applyBorder="1" applyAlignment="1">
      <alignment horizontal="center" wrapText="1"/>
    </xf>
    <xf numFmtId="39" fontId="8" fillId="0" borderId="1" xfId="0" applyNumberFormat="1" applyFont="1" applyFill="1" applyBorder="1" applyAlignment="1">
      <alignment horizontal="center" wrapText="1"/>
    </xf>
    <xf numFmtId="39" fontId="8" fillId="0" borderId="16" xfId="0" applyNumberFormat="1" applyFont="1" applyFill="1" applyBorder="1" applyAlignment="1">
      <alignment horizontal="center" wrapText="1"/>
    </xf>
    <xf numFmtId="0" fontId="8" fillId="0" borderId="45" xfId="0" applyFont="1" applyFill="1" applyBorder="1" applyAlignment="1">
      <alignment horizontal="center" wrapText="1"/>
    </xf>
    <xf numFmtId="0" fontId="8" fillId="0" borderId="46" xfId="0" applyFont="1" applyFill="1" applyBorder="1" applyAlignment="1">
      <alignment horizontal="center" wrapText="1"/>
    </xf>
    <xf numFmtId="39" fontId="8" fillId="0" borderId="17" xfId="2" applyNumberFormat="1" applyFont="1" applyFill="1" applyBorder="1" applyAlignment="1">
      <alignment horizontal="center" wrapText="1"/>
    </xf>
    <xf numFmtId="0" fontId="0" fillId="0" borderId="0" xfId="0" applyAlignment="1">
      <alignment horizontal="right"/>
    </xf>
    <xf numFmtId="39" fontId="0" fillId="0" borderId="0" xfId="0" applyNumberFormat="1"/>
    <xf numFmtId="0" fontId="0" fillId="0" borderId="36" xfId="0" applyBorder="1"/>
    <xf numFmtId="0" fontId="0" fillId="0" borderId="37" xfId="0" applyBorder="1"/>
    <xf numFmtId="0" fontId="0" fillId="0" borderId="0" xfId="0" quotePrefix="1" applyAlignment="1">
      <alignment horizontal="right"/>
    </xf>
    <xf numFmtId="16" fontId="0" fillId="0" borderId="0" xfId="0" quotePrefix="1" applyNumberFormat="1" applyAlignment="1">
      <alignment horizontal="right"/>
    </xf>
    <xf numFmtId="3" fontId="0" fillId="0" borderId="8" xfId="0" applyNumberFormat="1" applyBorder="1"/>
    <xf numFmtId="39" fontId="0" fillId="0" borderId="8" xfId="0" applyNumberFormat="1" applyBorder="1"/>
    <xf numFmtId="3" fontId="0" fillId="0" borderId="36" xfId="0" applyNumberFormat="1" applyBorder="1"/>
    <xf numFmtId="3" fontId="0" fillId="0" borderId="37" xfId="0" applyNumberFormat="1" applyBorder="1"/>
    <xf numFmtId="39" fontId="0" fillId="0" borderId="0" xfId="2" applyNumberFormat="1" applyFont="1"/>
    <xf numFmtId="3" fontId="0" fillId="0" borderId="38" xfId="0" applyNumberFormat="1" applyBorder="1"/>
    <xf numFmtId="3" fontId="0" fillId="0" borderId="40" xfId="0" applyNumberFormat="1" applyBorder="1"/>
    <xf numFmtId="3" fontId="8" fillId="0" borderId="47" xfId="0" applyNumberFormat="1" applyFont="1" applyBorder="1"/>
    <xf numFmtId="3" fontId="8" fillId="0" borderId="0" xfId="0" applyNumberFormat="1" applyFont="1"/>
    <xf numFmtId="39" fontId="8" fillId="0" borderId="47" xfId="0" applyNumberFormat="1" applyFont="1" applyBorder="1"/>
    <xf numFmtId="0" fontId="8" fillId="0" borderId="1" xfId="44" applyFont="1" applyFill="1" applyBorder="1" applyAlignment="1">
      <alignment horizontal="center" wrapText="1"/>
    </xf>
    <xf numFmtId="1" fontId="8" fillId="0" borderId="1" xfId="44" applyNumberFormat="1" applyFont="1" applyFill="1" applyBorder="1" applyAlignment="1">
      <alignment horizontal="center" wrapText="1"/>
    </xf>
    <xf numFmtId="39" fontId="8" fillId="0" borderId="1" xfId="44" applyNumberFormat="1" applyFont="1" applyFill="1" applyBorder="1" applyAlignment="1">
      <alignment horizontal="center" wrapText="1"/>
    </xf>
    <xf numFmtId="39" fontId="8" fillId="0" borderId="16" xfId="44" applyNumberFormat="1" applyFont="1" applyFill="1" applyBorder="1" applyAlignment="1">
      <alignment horizontal="center" wrapText="1"/>
    </xf>
    <xf numFmtId="39" fontId="8" fillId="0" borderId="45" xfId="44" applyNumberFormat="1" applyFont="1" applyFill="1" applyBorder="1" applyAlignment="1">
      <alignment horizontal="center" wrapText="1"/>
    </xf>
    <xf numFmtId="195" fontId="8" fillId="0" borderId="46" xfId="44" applyNumberFormat="1" applyFont="1" applyFill="1" applyBorder="1" applyAlignment="1">
      <alignment horizontal="center" wrapText="1"/>
    </xf>
    <xf numFmtId="39" fontId="8" fillId="0" borderId="17" xfId="44" applyNumberFormat="1" applyFont="1" applyFill="1" applyBorder="1" applyAlignment="1">
      <alignment horizontal="center" wrapText="1"/>
    </xf>
    <xf numFmtId="0" fontId="8" fillId="0" borderId="0" xfId="44" applyFont="1"/>
    <xf numFmtId="0" fontId="6" fillId="0" borderId="0" xfId="44" applyFont="1"/>
    <xf numFmtId="1" fontId="6" fillId="0" borderId="0" xfId="44" applyNumberFormat="1"/>
    <xf numFmtId="3" fontId="6" fillId="0" borderId="0" xfId="44" applyNumberFormat="1"/>
    <xf numFmtId="39" fontId="6" fillId="0" borderId="0" xfId="44" applyNumberFormat="1"/>
    <xf numFmtId="0" fontId="6" fillId="0" borderId="36" xfId="44" applyBorder="1"/>
    <xf numFmtId="195" fontId="6" fillId="0" borderId="37" xfId="44" applyNumberFormat="1" applyBorder="1"/>
    <xf numFmtId="195" fontId="6" fillId="0" borderId="37" xfId="44" applyNumberFormat="1" applyFill="1" applyBorder="1"/>
    <xf numFmtId="195" fontId="6" fillId="0" borderId="37" xfId="44" applyNumberFormat="1" applyBorder="1" applyProtection="1">
      <protection locked="0"/>
    </xf>
    <xf numFmtId="3" fontId="6" fillId="0" borderId="8" xfId="44" applyNumberFormat="1" applyBorder="1"/>
    <xf numFmtId="39" fontId="6" fillId="0" borderId="8" xfId="44" applyNumberFormat="1" applyBorder="1"/>
    <xf numFmtId="0" fontId="6" fillId="0" borderId="48" xfId="44" applyBorder="1"/>
    <xf numFmtId="195" fontId="6" fillId="0" borderId="49" xfId="44" applyNumberFormat="1" applyBorder="1"/>
    <xf numFmtId="164" fontId="6" fillId="0" borderId="0" xfId="2" applyNumberFormat="1" applyFont="1"/>
    <xf numFmtId="0" fontId="6" fillId="0" borderId="38" xfId="0" applyFont="1" applyBorder="1"/>
    <xf numFmtId="164" fontId="6" fillId="0" borderId="40" xfId="2" applyNumberFormat="1" applyFont="1" applyBorder="1"/>
    <xf numFmtId="165" fontId="6" fillId="0" borderId="0" xfId="2" applyNumberFormat="1" applyFont="1"/>
    <xf numFmtId="43" fontId="6" fillId="0" borderId="0" xfId="2" applyFont="1" applyBorder="1"/>
    <xf numFmtId="195" fontId="6" fillId="0" borderId="0" xfId="44" applyNumberFormat="1"/>
    <xf numFmtId="164" fontId="0" fillId="0" borderId="0" xfId="2" applyNumberFormat="1" applyFont="1"/>
    <xf numFmtId="1" fontId="0" fillId="0" borderId="0" xfId="0" applyNumberFormat="1"/>
    <xf numFmtId="43" fontId="0" fillId="0" borderId="0" xfId="0" applyNumberFormat="1"/>
    <xf numFmtId="0" fontId="0" fillId="0" borderId="0" xfId="0" applyFill="1" applyBorder="1" applyAlignment="1">
      <alignment horizontal="center" wrapText="1"/>
    </xf>
    <xf numFmtId="0" fontId="0" fillId="0" borderId="8" xfId="0" applyFill="1" applyBorder="1" applyAlignment="1">
      <alignment horizontal="center"/>
    </xf>
    <xf numFmtId="0" fontId="0" fillId="0" borderId="8" xfId="0" applyFill="1" applyBorder="1" applyAlignment="1">
      <alignment horizontal="center" wrapText="1"/>
    </xf>
    <xf numFmtId="0" fontId="4" fillId="0" borderId="0" xfId="0" applyFont="1" applyFill="1" applyBorder="1"/>
    <xf numFmtId="0" fontId="4" fillId="0" borderId="0" xfId="0" applyFont="1" applyFill="1" applyBorder="1" applyAlignment="1">
      <alignment horizontal="center"/>
    </xf>
    <xf numFmtId="44" fontId="0" fillId="0" borderId="0" xfId="7" applyFont="1" applyFill="1"/>
    <xf numFmtId="44" fontId="0" fillId="0" borderId="0" xfId="0" applyNumberFormat="1" applyFill="1"/>
    <xf numFmtId="12" fontId="4" fillId="0" borderId="0" xfId="0" applyNumberFormat="1" applyFont="1" applyFill="1" applyBorder="1" applyAlignment="1">
      <alignment horizontal="center"/>
    </xf>
    <xf numFmtId="0" fontId="51" fillId="0" borderId="0" xfId="0" applyFont="1" applyFill="1"/>
    <xf numFmtId="16" fontId="4" fillId="0" borderId="0" xfId="0" applyNumberFormat="1" applyFont="1" applyFill="1" applyBorder="1" applyAlignment="1">
      <alignment horizontal="center"/>
    </xf>
    <xf numFmtId="196" fontId="0" fillId="0" borderId="0" xfId="2" applyNumberFormat="1" applyFont="1" applyFill="1" applyBorder="1" applyAlignment="1">
      <alignment horizontal="center"/>
    </xf>
    <xf numFmtId="165" fontId="4" fillId="0" borderId="0" xfId="7" applyNumberFormat="1" applyFill="1" applyBorder="1" applyAlignment="1">
      <alignment horizontal="center"/>
    </xf>
    <xf numFmtId="0" fontId="0" fillId="0" borderId="8" xfId="0" applyBorder="1" applyAlignment="1">
      <alignment wrapText="1"/>
    </xf>
    <xf numFmtId="0" fontId="0" fillId="0" borderId="8" xfId="0" applyBorder="1" applyAlignment="1"/>
    <xf numFmtId="0" fontId="0" fillId="0" borderId="8" xfId="0" applyFill="1" applyBorder="1" applyAlignment="1">
      <alignment wrapText="1"/>
    </xf>
    <xf numFmtId="165" fontId="4" fillId="0" borderId="8" xfId="7" applyNumberFormat="1" applyFill="1" applyBorder="1" applyAlignment="1">
      <alignment horizontal="center"/>
    </xf>
    <xf numFmtId="0" fontId="0" fillId="0" borderId="0" xfId="0" applyNumberFormat="1" applyBorder="1" applyAlignment="1">
      <alignment horizontal="center"/>
    </xf>
    <xf numFmtId="44" fontId="4" fillId="0" borderId="0" xfId="7"/>
    <xf numFmtId="197" fontId="0" fillId="0" borderId="0" xfId="0" applyNumberFormat="1"/>
    <xf numFmtId="165" fontId="0" fillId="0" borderId="0" xfId="7" applyNumberFormat="1" applyFont="1" applyFill="1"/>
    <xf numFmtId="178" fontId="0" fillId="0" borderId="0" xfId="23" applyNumberFormat="1" applyFont="1"/>
    <xf numFmtId="178" fontId="0" fillId="0" borderId="8" xfId="23" applyNumberFormat="1" applyFont="1" applyBorder="1"/>
    <xf numFmtId="165" fontId="0" fillId="0" borderId="9" xfId="0" applyNumberFormat="1" applyBorder="1"/>
    <xf numFmtId="165" fontId="0" fillId="0" borderId="0" xfId="0" applyNumberFormat="1"/>
    <xf numFmtId="165" fontId="24" fillId="0" borderId="0" xfId="7" applyNumberFormat="1" applyFont="1"/>
    <xf numFmtId="165" fontId="0" fillId="0" borderId="50" xfId="7" applyNumberFormat="1" applyFont="1" applyFill="1" applyBorder="1"/>
    <xf numFmtId="165" fontId="22" fillId="0" borderId="0" xfId="7" applyNumberFormat="1" applyFont="1" applyFill="1"/>
    <xf numFmtId="165" fontId="0" fillId="0" borderId="50" xfId="7" applyNumberFormat="1" applyFont="1" applyBorder="1"/>
    <xf numFmtId="0" fontId="4" fillId="0" borderId="8" xfId="0" applyFont="1" applyBorder="1" applyAlignment="1">
      <alignment horizontal="center"/>
    </xf>
    <xf numFmtId="164" fontId="22" fillId="0" borderId="0" xfId="2" applyNumberFormat="1" applyFont="1" applyBorder="1"/>
    <xf numFmtId="2" fontId="0" fillId="0" borderId="0" xfId="0" applyNumberFormat="1"/>
    <xf numFmtId="164" fontId="22" fillId="0" borderId="0" xfId="2" applyNumberFormat="1" applyFont="1"/>
    <xf numFmtId="164" fontId="4" fillId="0" borderId="0" xfId="2" applyNumberFormat="1"/>
    <xf numFmtId="0" fontId="26" fillId="0" borderId="0" xfId="44" applyFont="1"/>
    <xf numFmtId="17" fontId="6" fillId="0" borderId="8" xfId="44" applyNumberFormat="1" applyBorder="1" applyAlignment="1">
      <alignment horizontal="center"/>
    </xf>
    <xf numFmtId="0" fontId="6" fillId="0" borderId="8" xfId="44" applyBorder="1" applyAlignment="1">
      <alignment horizontal="center"/>
    </xf>
    <xf numFmtId="17" fontId="6" fillId="0" borderId="0" xfId="44" applyNumberFormat="1" applyFill="1" applyBorder="1" applyAlignment="1">
      <alignment horizontal="center"/>
    </xf>
    <xf numFmtId="0" fontId="6" fillId="0" borderId="0" xfId="44" applyFill="1" applyBorder="1" applyAlignment="1">
      <alignment horizontal="center"/>
    </xf>
    <xf numFmtId="0" fontId="6" fillId="0" borderId="0" xfId="44" applyFill="1"/>
    <xf numFmtId="42" fontId="22" fillId="0" borderId="0" xfId="44" applyNumberFormat="1" applyFont="1" applyFill="1"/>
    <xf numFmtId="0" fontId="6" fillId="0" borderId="0" xfId="44" applyFill="1" applyAlignment="1">
      <alignment horizontal="left"/>
    </xf>
    <xf numFmtId="42" fontId="6" fillId="0" borderId="9" xfId="44" applyNumberFormat="1" applyFill="1" applyBorder="1"/>
    <xf numFmtId="42" fontId="6" fillId="0" borderId="0" xfId="44" applyNumberFormat="1" applyFill="1" applyBorder="1"/>
    <xf numFmtId="42" fontId="6" fillId="0" borderId="0" xfId="44" applyNumberFormat="1" applyFont="1"/>
    <xf numFmtId="42" fontId="6" fillId="0" borderId="9" xfId="44" applyNumberFormat="1" applyFont="1" applyBorder="1"/>
    <xf numFmtId="0" fontId="6" fillId="0" borderId="0" xfId="44" applyAlignment="1">
      <alignment horizontal="left"/>
    </xf>
    <xf numFmtId="42" fontId="6" fillId="0" borderId="9" xfId="44" applyNumberFormat="1" applyFont="1" applyFill="1" applyBorder="1"/>
    <xf numFmtId="165" fontId="22" fillId="0" borderId="0" xfId="84" applyNumberFormat="1" applyFont="1"/>
    <xf numFmtId="0" fontId="6" fillId="0" borderId="0" xfId="44" applyFill="1" applyBorder="1" applyAlignment="1">
      <alignment horizontal="left"/>
    </xf>
    <xf numFmtId="165" fontId="22" fillId="0" borderId="8" xfId="84" applyNumberFormat="1" applyFont="1" applyBorder="1"/>
    <xf numFmtId="0" fontId="6" fillId="0" borderId="0" xfId="44" applyBorder="1" applyAlignment="1">
      <alignment horizontal="left"/>
    </xf>
    <xf numFmtId="165" fontId="0" fillId="0" borderId="0" xfId="84" applyNumberFormat="1" applyFont="1"/>
    <xf numFmtId="42" fontId="22" fillId="0" borderId="0" xfId="44" applyNumberFormat="1" applyFont="1"/>
    <xf numFmtId="165" fontId="6" fillId="0" borderId="0" xfId="44" applyNumberFormat="1"/>
    <xf numFmtId="165" fontId="22" fillId="0" borderId="0" xfId="84" applyNumberFormat="1" applyFont="1" applyFill="1"/>
    <xf numFmtId="165" fontId="6" fillId="0" borderId="9" xfId="44" applyNumberFormat="1" applyFill="1" applyBorder="1"/>
    <xf numFmtId="165" fontId="6" fillId="0" borderId="9" xfId="44" applyNumberFormat="1" applyBorder="1"/>
    <xf numFmtId="0" fontId="6" fillId="0" borderId="0" xfId="106" applyFill="1" applyBorder="1"/>
    <xf numFmtId="3" fontId="22" fillId="0" borderId="0" xfId="107" applyNumberFormat="1" applyFont="1"/>
    <xf numFmtId="3" fontId="6" fillId="0" borderId="9" xfId="44" applyNumberFormat="1" applyBorder="1"/>
    <xf numFmtId="3" fontId="22" fillId="0" borderId="0" xfId="107" applyNumberFormat="1" applyFont="1" applyBorder="1"/>
    <xf numFmtId="3" fontId="22" fillId="0" borderId="8" xfId="107" applyNumberFormat="1" applyFont="1" applyBorder="1"/>
    <xf numFmtId="0" fontId="8" fillId="0" borderId="0" xfId="44" applyFont="1" applyAlignment="1">
      <alignment horizontal="left"/>
    </xf>
    <xf numFmtId="3" fontId="22" fillId="0" borderId="0" xfId="107" applyNumberFormat="1" applyFont="1" applyFill="1"/>
    <xf numFmtId="3" fontId="6" fillId="0" borderId="0" xfId="44" applyNumberFormat="1" applyFill="1"/>
    <xf numFmtId="0" fontId="8" fillId="0" borderId="0" xfId="44" applyFont="1" applyFill="1" applyAlignment="1">
      <alignment horizontal="left"/>
    </xf>
    <xf numFmtId="42" fontId="6" fillId="0" borderId="0" xfId="44" applyNumberFormat="1"/>
    <xf numFmtId="42" fontId="6" fillId="0" borderId="9" xfId="44" applyNumberFormat="1" applyBorder="1"/>
    <xf numFmtId="0" fontId="8" fillId="0" borderId="0" xfId="44" applyFont="1" applyAlignment="1"/>
    <xf numFmtId="0" fontId="6" fillId="0" borderId="0" xfId="44" applyFill="1" applyAlignment="1">
      <alignment wrapText="1"/>
    </xf>
    <xf numFmtId="0" fontId="6" fillId="0" borderId="8" xfId="44" applyBorder="1" applyAlignment="1">
      <alignment horizontal="center" wrapText="1"/>
    </xf>
    <xf numFmtId="49" fontId="6" fillId="0" borderId="8" xfId="44" applyNumberFormat="1" applyFill="1" applyBorder="1" applyAlignment="1">
      <alignment horizontal="center" wrapText="1"/>
    </xf>
    <xf numFmtId="17" fontId="24" fillId="0" borderId="8" xfId="44" applyNumberFormat="1" applyFont="1" applyBorder="1" applyAlignment="1">
      <alignment horizontal="center"/>
    </xf>
    <xf numFmtId="0" fontId="6" fillId="0" borderId="0" xfId="44" applyAlignment="1">
      <alignment wrapText="1"/>
    </xf>
    <xf numFmtId="0" fontId="6" fillId="0" borderId="0" xfId="44" quotePrefix="1" applyNumberFormat="1"/>
    <xf numFmtId="0" fontId="6" fillId="0" borderId="0" xfId="44" quotePrefix="1" applyNumberFormat="1" applyFill="1"/>
    <xf numFmtId="3" fontId="25" fillId="0" borderId="0" xfId="44" applyNumberFormat="1" applyFont="1"/>
    <xf numFmtId="3" fontId="25" fillId="0" borderId="0" xfId="44" applyNumberFormat="1" applyFont="1" applyFill="1"/>
    <xf numFmtId="164" fontId="6" fillId="0" borderId="0" xfId="86" applyNumberFormat="1" applyFont="1" applyFill="1"/>
    <xf numFmtId="49" fontId="6" fillId="0" borderId="0" xfId="44" applyNumberFormat="1" applyFill="1"/>
    <xf numFmtId="3" fontId="6" fillId="0" borderId="0" xfId="44" applyNumberFormat="1" applyFont="1" applyFill="1"/>
    <xf numFmtId="0" fontId="6" fillId="0" borderId="0" xfId="44" applyNumberFormat="1" applyFill="1"/>
    <xf numFmtId="3" fontId="22" fillId="0" borderId="0" xfId="44" applyNumberFormat="1" applyFont="1" applyFill="1"/>
    <xf numFmtId="3" fontId="22" fillId="0" borderId="0" xfId="44" applyNumberFormat="1" applyFont="1"/>
    <xf numFmtId="0" fontId="6" fillId="0" borderId="0" xfId="44" applyFill="1" applyAlignment="1">
      <alignment horizontal="right"/>
    </xf>
    <xf numFmtId="164" fontId="6" fillId="0" borderId="0" xfId="86" applyNumberFormat="1"/>
    <xf numFmtId="0" fontId="6" fillId="0" borderId="0" xfId="108"/>
    <xf numFmtId="0" fontId="24" fillId="0" borderId="0" xfId="44" applyFont="1" applyAlignment="1">
      <alignment horizontal="centerContinuous"/>
    </xf>
    <xf numFmtId="0" fontId="6" fillId="0" borderId="0" xfId="44" applyAlignment="1">
      <alignment horizontal="centerContinuous"/>
    </xf>
    <xf numFmtId="0" fontId="6" fillId="0" borderId="0" xfId="44" applyFill="1" applyAlignment="1">
      <alignment horizontal="centerContinuous"/>
    </xf>
    <xf numFmtId="0" fontId="8" fillId="0" borderId="0" xfId="44" applyFont="1" applyAlignment="1">
      <alignment horizontal="centerContinuous"/>
    </xf>
    <xf numFmtId="42" fontId="22" fillId="0" borderId="0" xfId="44" applyNumberFormat="1" applyFont="1" applyFill="1" applyAlignment="1">
      <alignment horizontal="centerContinuous"/>
    </xf>
    <xf numFmtId="0" fontId="6" fillId="0" borderId="0" xfId="44" applyBorder="1"/>
    <xf numFmtId="0" fontId="6" fillId="0" borderId="0" xfId="44" applyBorder="1" applyAlignment="1">
      <alignment horizontal="center"/>
    </xf>
    <xf numFmtId="17" fontId="6" fillId="0" borderId="0" xfId="44" applyNumberFormat="1" applyBorder="1" applyAlignment="1">
      <alignment horizontal="center"/>
    </xf>
    <xf numFmtId="189" fontId="6" fillId="0" borderId="0" xfId="44" applyNumberFormat="1"/>
    <xf numFmtId="189" fontId="6" fillId="0" borderId="0" xfId="44" applyNumberFormat="1" applyBorder="1"/>
    <xf numFmtId="189" fontId="22" fillId="0" borderId="0" xfId="44" applyNumberFormat="1" applyFont="1"/>
    <xf numFmtId="3" fontId="24" fillId="0" borderId="0" xfId="44" applyNumberFormat="1" applyFont="1" applyBorder="1"/>
    <xf numFmtId="3" fontId="24" fillId="0" borderId="0" xfId="44" applyNumberFormat="1" applyFont="1"/>
    <xf numFmtId="3" fontId="6" fillId="0" borderId="0" xfId="44" applyNumberFormat="1" applyFont="1"/>
    <xf numFmtId="3" fontId="53" fillId="0" borderId="0" xfId="44" applyNumberFormat="1" applyFont="1"/>
    <xf numFmtId="42" fontId="6" fillId="0" borderId="0" xfId="85" applyNumberFormat="1"/>
    <xf numFmtId="0" fontId="6" fillId="0" borderId="52" xfId="44" applyBorder="1"/>
    <xf numFmtId="0" fontId="6" fillId="0" borderId="53" xfId="44" applyBorder="1"/>
    <xf numFmtId="37" fontId="6" fillId="0" borderId="53" xfId="44" applyNumberFormat="1" applyBorder="1"/>
    <xf numFmtId="42" fontId="6" fillId="0" borderId="54" xfId="44" applyNumberFormat="1" applyFill="1" applyBorder="1"/>
    <xf numFmtId="0" fontId="6" fillId="0" borderId="55" xfId="44" applyBorder="1"/>
    <xf numFmtId="37" fontId="24" fillId="0" borderId="0" xfId="44" applyNumberFormat="1" applyFont="1" applyBorder="1"/>
    <xf numFmtId="42" fontId="6" fillId="0" borderId="56" xfId="44" applyNumberFormat="1" applyFill="1" applyBorder="1"/>
    <xf numFmtId="0" fontId="6" fillId="0" borderId="57" xfId="44" applyBorder="1"/>
    <xf numFmtId="0" fontId="6" fillId="0" borderId="58" xfId="44" applyBorder="1"/>
    <xf numFmtId="37" fontId="6" fillId="0" borderId="58" xfId="44" applyNumberFormat="1" applyBorder="1"/>
    <xf numFmtId="37" fontId="6" fillId="0" borderId="59" xfId="44" applyNumberFormat="1" applyBorder="1"/>
    <xf numFmtId="37" fontId="6" fillId="0" borderId="0" xfId="44" applyNumberFormat="1" applyBorder="1"/>
    <xf numFmtId="44" fontId="6" fillId="0" borderId="0" xfId="44" applyNumberFormat="1"/>
    <xf numFmtId="44" fontId="22" fillId="0" borderId="0" xfId="44" applyNumberFormat="1" applyFont="1"/>
    <xf numFmtId="0" fontId="6" fillId="0" borderId="0" xfId="44" applyFill="1" applyBorder="1"/>
    <xf numFmtId="0" fontId="22" fillId="0" borderId="0" xfId="44" applyFont="1" applyFill="1"/>
    <xf numFmtId="42" fontId="6" fillId="0" borderId="0" xfId="44" applyNumberFormat="1" applyBorder="1"/>
    <xf numFmtId="42" fontId="6" fillId="0" borderId="0" xfId="44" applyNumberFormat="1" applyFill="1"/>
    <xf numFmtId="9" fontId="6" fillId="0" borderId="0" xfId="85"/>
    <xf numFmtId="178" fontId="6" fillId="0" borderId="0" xfId="85" applyNumberFormat="1"/>
    <xf numFmtId="3" fontId="24" fillId="0" borderId="0" xfId="44" applyNumberFormat="1" applyFont="1" applyFill="1"/>
    <xf numFmtId="0" fontId="24" fillId="0" borderId="0" xfId="44" applyFont="1" applyFill="1"/>
    <xf numFmtId="3" fontId="22" fillId="0" borderId="0" xfId="44" applyNumberFormat="1" applyFont="1" applyBorder="1"/>
    <xf numFmtId="3" fontId="6" fillId="0" borderId="0" xfId="44" applyNumberFormat="1" applyBorder="1"/>
    <xf numFmtId="0" fontId="6" fillId="0" borderId="0" xfId="44" applyFont="1" applyBorder="1"/>
    <xf numFmtId="0" fontId="6" fillId="0" borderId="0" xfId="44" applyFont="1" applyBorder="1" applyAlignment="1">
      <alignment horizontal="left"/>
    </xf>
    <xf numFmtId="3" fontId="53" fillId="0" borderId="0" xfId="44" applyNumberFormat="1" applyFont="1" applyBorder="1"/>
    <xf numFmtId="3" fontId="6" fillId="0" borderId="0" xfId="44" applyNumberFormat="1" applyFont="1" applyBorder="1"/>
    <xf numFmtId="164" fontId="6" fillId="0" borderId="0" xfId="44" applyNumberFormat="1" applyBorder="1"/>
    <xf numFmtId="3" fontId="6" fillId="0" borderId="9" xfId="44" applyNumberFormat="1" applyFont="1" applyBorder="1"/>
    <xf numFmtId="0" fontId="8" fillId="0" borderId="0" xfId="44" applyFont="1" applyFill="1" applyAlignment="1">
      <alignment horizontal="centerContinuous"/>
    </xf>
    <xf numFmtId="0" fontId="6" fillId="0" borderId="8" xfId="44" applyBorder="1"/>
    <xf numFmtId="0" fontId="6" fillId="0" borderId="8" xfId="44" applyBorder="1" applyAlignment="1">
      <alignment horizontal="centerContinuous"/>
    </xf>
    <xf numFmtId="44" fontId="22" fillId="0" borderId="0" xfId="44" applyNumberFormat="1" applyFont="1" applyFill="1" applyBorder="1"/>
    <xf numFmtId="44" fontId="6" fillId="0" borderId="0" xfId="44" applyNumberFormat="1" applyFill="1" applyBorder="1"/>
    <xf numFmtId="3" fontId="6" fillId="0" borderId="9" xfId="44" applyNumberFormat="1" applyFont="1" applyFill="1" applyBorder="1"/>
    <xf numFmtId="42" fontId="6" fillId="0" borderId="0" xfId="44" applyNumberFormat="1" applyFont="1" applyFill="1"/>
    <xf numFmtId="42" fontId="6" fillId="0" borderId="0" xfId="44" applyNumberFormat="1" applyBorder="1" applyAlignment="1">
      <alignment horizontal="center"/>
    </xf>
    <xf numFmtId="44" fontId="6" fillId="0" borderId="0" xfId="44" applyNumberFormat="1" applyBorder="1"/>
    <xf numFmtId="189" fontId="22" fillId="0" borderId="0" xfId="44" applyNumberFormat="1" applyFont="1" applyFill="1"/>
    <xf numFmtId="189" fontId="6" fillId="0" borderId="0" xfId="44" applyNumberFormat="1" applyFill="1" applyBorder="1"/>
    <xf numFmtId="44" fontId="22" fillId="0" borderId="0" xfId="44" applyNumberFormat="1" applyFont="1" applyFill="1"/>
    <xf numFmtId="3" fontId="24" fillId="0" borderId="9" xfId="44" applyNumberFormat="1" applyFont="1" applyBorder="1"/>
    <xf numFmtId="0" fontId="6" fillId="0" borderId="0" xfId="44" applyAlignment="1">
      <alignment horizontal="right"/>
    </xf>
    <xf numFmtId="3" fontId="24" fillId="0" borderId="9" xfId="44" applyNumberFormat="1" applyFont="1" applyFill="1" applyBorder="1"/>
    <xf numFmtId="42" fontId="6" fillId="0" borderId="8" xfId="44" applyNumberFormat="1" applyBorder="1"/>
    <xf numFmtId="42" fontId="24" fillId="0" borderId="0" xfId="44" applyNumberFormat="1" applyFont="1" applyFill="1"/>
    <xf numFmtId="189" fontId="6" fillId="0" borderId="0" xfId="44" applyNumberFormat="1" applyFill="1"/>
    <xf numFmtId="0" fontId="6" fillId="0" borderId="0" xfId="44" applyFill="1" applyBorder="1" applyAlignment="1">
      <alignment horizontal="right"/>
    </xf>
    <xf numFmtId="44" fontId="6" fillId="0" borderId="0" xfId="44" applyNumberFormat="1" applyFill="1"/>
    <xf numFmtId="42" fontId="6" fillId="0" borderId="8" xfId="44" applyNumberFormat="1" applyFont="1" applyBorder="1"/>
    <xf numFmtId="189" fontId="22" fillId="0" borderId="0" xfId="44" applyNumberFormat="1" applyFont="1" applyFill="1" applyBorder="1"/>
    <xf numFmtId="189" fontId="6" fillId="0" borderId="0" xfId="44" applyNumberFormat="1" applyFont="1"/>
    <xf numFmtId="44" fontId="6" fillId="0" borderId="0" xfId="44" applyNumberFormat="1" applyFont="1"/>
    <xf numFmtId="44" fontId="6" fillId="0" borderId="0" xfId="44" applyNumberFormat="1" applyFill="1" applyAlignment="1">
      <alignment horizontal="right"/>
    </xf>
    <xf numFmtId="189" fontId="6" fillId="0" borderId="0" xfId="44" applyNumberFormat="1" applyFill="1" applyAlignment="1">
      <alignment horizontal="right"/>
    </xf>
    <xf numFmtId="189" fontId="6" fillId="0" borderId="0" xfId="44" applyNumberFormat="1" applyFont="1" applyAlignment="1">
      <alignment horizontal="right"/>
    </xf>
    <xf numFmtId="198" fontId="6" fillId="0" borderId="0" xfId="44" applyNumberFormat="1" applyFont="1" applyAlignment="1">
      <alignment horizontal="right"/>
    </xf>
    <xf numFmtId="189" fontId="6" fillId="0" borderId="0" xfId="44" applyNumberFormat="1" applyFont="1" applyFill="1"/>
    <xf numFmtId="44" fontId="6" fillId="0" borderId="0" xfId="44" applyNumberFormat="1" applyFont="1" applyFill="1"/>
    <xf numFmtId="189" fontId="22" fillId="0" borderId="0" xfId="44" applyNumberFormat="1" applyFont="1" applyBorder="1"/>
    <xf numFmtId="0" fontId="6" fillId="0" borderId="0" xfId="44" applyBorder="1" applyAlignment="1">
      <alignment horizontal="right"/>
    </xf>
    <xf numFmtId="42" fontId="6" fillId="0" borderId="0" xfId="44" applyNumberFormat="1" applyFont="1" applyBorder="1"/>
    <xf numFmtId="0" fontId="8" fillId="0" borderId="32" xfId="44" applyFont="1" applyBorder="1"/>
    <xf numFmtId="0" fontId="6" fillId="0" borderId="33" xfId="44" applyBorder="1"/>
    <xf numFmtId="0" fontId="6" fillId="0" borderId="34" xfId="44" applyBorder="1"/>
    <xf numFmtId="44" fontId="6" fillId="0" borderId="37" xfId="44" applyNumberFormat="1" applyBorder="1"/>
    <xf numFmtId="0" fontId="22" fillId="0" borderId="0" xfId="44" applyFont="1" applyFill="1" applyBorder="1"/>
    <xf numFmtId="0" fontId="6" fillId="0" borderId="37" xfId="44" applyBorder="1"/>
    <xf numFmtId="189" fontId="6" fillId="0" borderId="37" xfId="44" applyNumberFormat="1" applyBorder="1"/>
    <xf numFmtId="0" fontId="8" fillId="0" borderId="36" xfId="44" applyFont="1" applyBorder="1"/>
    <xf numFmtId="3" fontId="6" fillId="0" borderId="37" xfId="44" applyNumberFormat="1" applyFont="1" applyFill="1" applyBorder="1"/>
    <xf numFmtId="0" fontId="6" fillId="0" borderId="36" xfId="44" applyFill="1" applyBorder="1"/>
    <xf numFmtId="3" fontId="22" fillId="0" borderId="0" xfId="44" applyNumberFormat="1" applyFont="1" applyFill="1" applyBorder="1"/>
    <xf numFmtId="3" fontId="6" fillId="0" borderId="37" xfId="44" applyNumberFormat="1" applyFill="1" applyBorder="1"/>
    <xf numFmtId="3" fontId="6" fillId="0" borderId="0" xfId="44" applyNumberFormat="1" applyFont="1" applyFill="1" applyBorder="1"/>
    <xf numFmtId="3" fontId="6" fillId="0" borderId="60" xfId="44" applyNumberFormat="1" applyFont="1" applyFill="1" applyBorder="1"/>
    <xf numFmtId="3" fontId="24" fillId="0" borderId="0" xfId="44" applyNumberFormat="1" applyFont="1" applyFill="1" applyBorder="1"/>
    <xf numFmtId="42" fontId="6" fillId="0" borderId="37" xfId="44" applyNumberFormat="1" applyBorder="1"/>
    <xf numFmtId="42" fontId="6" fillId="0" borderId="60" xfId="44" applyNumberFormat="1" applyBorder="1"/>
    <xf numFmtId="0" fontId="6" fillId="0" borderId="38" xfId="44" applyBorder="1"/>
    <xf numFmtId="0" fontId="6" fillId="0" borderId="39" xfId="44" applyBorder="1"/>
    <xf numFmtId="42" fontId="6" fillId="0" borderId="42" xfId="44" applyNumberFormat="1" applyBorder="1"/>
    <xf numFmtId="42" fontId="6" fillId="0" borderId="61" xfId="44" applyNumberFormat="1" applyBorder="1"/>
    <xf numFmtId="199" fontId="22" fillId="0" borderId="0" xfId="44" applyNumberFormat="1" applyFont="1" applyFill="1"/>
    <xf numFmtId="199" fontId="6" fillId="0" borderId="0" xfId="44" applyNumberFormat="1" applyFont="1" applyFill="1"/>
    <xf numFmtId="199" fontId="53" fillId="0" borderId="0" xfId="44" applyNumberFormat="1" applyFont="1" applyFill="1"/>
    <xf numFmtId="0" fontId="8" fillId="0" borderId="0" xfId="44" applyFont="1" applyBorder="1" applyAlignment="1">
      <alignment horizontal="left"/>
    </xf>
    <xf numFmtId="37" fontId="24" fillId="0" borderId="53" xfId="44" applyNumberFormat="1" applyFont="1" applyBorder="1"/>
    <xf numFmtId="37" fontId="6" fillId="0" borderId="54" xfId="44" applyNumberFormat="1" applyBorder="1"/>
    <xf numFmtId="37" fontId="6" fillId="0" borderId="56" xfId="44" applyNumberFormat="1" applyBorder="1"/>
    <xf numFmtId="0" fontId="6" fillId="0" borderId="55" xfId="44" applyFill="1" applyBorder="1"/>
    <xf numFmtId="0" fontId="6" fillId="0" borderId="57" xfId="44" applyFill="1" applyBorder="1"/>
    <xf numFmtId="44" fontId="24" fillId="0" borderId="0" xfId="44" applyNumberFormat="1" applyFont="1" applyFill="1" applyBorder="1"/>
    <xf numFmtId="189" fontId="24" fillId="0" borderId="0" xfId="44" applyNumberFormat="1" applyFont="1"/>
    <xf numFmtId="189" fontId="24" fillId="0" borderId="0" xfId="44" applyNumberFormat="1" applyFont="1" applyFill="1"/>
    <xf numFmtId="189" fontId="24" fillId="0" borderId="0" xfId="44" applyNumberFormat="1" applyFont="1" applyFill="1" applyBorder="1"/>
    <xf numFmtId="199" fontId="46" fillId="0" borderId="0" xfId="44" applyNumberFormat="1" applyFont="1" applyFill="1"/>
    <xf numFmtId="200" fontId="6" fillId="0" borderId="0" xfId="44" applyNumberFormat="1" applyFont="1" applyFill="1"/>
    <xf numFmtId="44" fontId="24" fillId="0" borderId="0" xfId="44" applyNumberFormat="1" applyFont="1"/>
    <xf numFmtId="44" fontId="24" fillId="0" borderId="0" xfId="44" applyNumberFormat="1" applyFont="1" applyFill="1"/>
    <xf numFmtId="198" fontId="6" fillId="0" borderId="0" xfId="44" applyNumberFormat="1"/>
    <xf numFmtId="44" fontId="24" fillId="0" borderId="0" xfId="44" applyNumberFormat="1" applyFont="1" applyBorder="1"/>
    <xf numFmtId="0" fontId="24" fillId="0" borderId="0" xfId="44" applyFont="1" applyBorder="1"/>
    <xf numFmtId="189" fontId="24" fillId="0" borderId="0" xfId="44" applyNumberFormat="1" applyFont="1" applyBorder="1"/>
    <xf numFmtId="3" fontId="6" fillId="0" borderId="0" xfId="44" applyNumberFormat="1" applyFill="1" applyBorder="1"/>
    <xf numFmtId="3" fontId="6" fillId="0" borderId="0" xfId="44" applyNumberFormat="1" applyBorder="1" applyAlignment="1">
      <alignment horizontal="center"/>
    </xf>
    <xf numFmtId="165" fontId="0" fillId="0" borderId="0" xfId="84" applyNumberFormat="1" applyFont="1" applyFill="1"/>
    <xf numFmtId="37" fontId="24" fillId="0" borderId="54" xfId="44" applyNumberFormat="1" applyFont="1" applyBorder="1"/>
    <xf numFmtId="37" fontId="24" fillId="0" borderId="56" xfId="44" applyNumberFormat="1" applyFont="1" applyBorder="1"/>
    <xf numFmtId="42" fontId="6" fillId="0" borderId="56" xfId="44" applyNumberFormat="1" applyBorder="1"/>
    <xf numFmtId="0" fontId="6" fillId="0" borderId="58" xfId="44" applyFill="1" applyBorder="1"/>
    <xf numFmtId="37" fontId="6" fillId="0" borderId="58" xfId="44" applyNumberFormat="1" applyFill="1" applyBorder="1"/>
    <xf numFmtId="37" fontId="6" fillId="0" borderId="59" xfId="44" applyNumberFormat="1" applyFill="1" applyBorder="1"/>
    <xf numFmtId="181" fontId="22" fillId="0" borderId="0" xfId="44" applyNumberFormat="1" applyFont="1" applyFill="1" applyBorder="1"/>
    <xf numFmtId="189" fontId="6" fillId="0" borderId="0" xfId="44" applyNumberFormat="1" applyFill="1" applyBorder="1" applyAlignment="1">
      <alignment horizontal="center"/>
    </xf>
    <xf numFmtId="198" fontId="6" fillId="0" borderId="0" xfId="44" applyNumberFormat="1" applyFont="1"/>
    <xf numFmtId="198" fontId="6" fillId="0" borderId="0" xfId="44" applyNumberFormat="1" applyBorder="1"/>
    <xf numFmtId="44" fontId="22" fillId="0" borderId="0" xfId="44" applyNumberFormat="1" applyFont="1" applyBorder="1"/>
    <xf numFmtId="0" fontId="22" fillId="0" borderId="0" xfId="44" applyFont="1" applyBorder="1"/>
    <xf numFmtId="199" fontId="24" fillId="0" borderId="0" xfId="44" applyNumberFormat="1" applyFont="1" applyFill="1"/>
    <xf numFmtId="165" fontId="6" fillId="0" borderId="0" xfId="84" applyNumberFormat="1"/>
    <xf numFmtId="165" fontId="6" fillId="0" borderId="0" xfId="84" applyNumberFormat="1" applyFill="1"/>
    <xf numFmtId="0" fontId="6" fillId="0" borderId="0" xfId="44" applyFill="1" applyAlignment="1"/>
    <xf numFmtId="0" fontId="6" fillId="0" borderId="0" xfId="44" applyFill="1" applyBorder="1" applyAlignment="1"/>
    <xf numFmtId="0" fontId="6" fillId="0" borderId="0" xfId="44" applyAlignment="1"/>
    <xf numFmtId="0" fontId="54" fillId="0" borderId="0" xfId="109" applyFont="1" applyFill="1"/>
    <xf numFmtId="0" fontId="3" fillId="0" borderId="0" xfId="109" applyFill="1"/>
    <xf numFmtId="0" fontId="55" fillId="0" borderId="0" xfId="109" applyFont="1" applyFill="1" applyAlignment="1"/>
    <xf numFmtId="201" fontId="54" fillId="0" borderId="0" xfId="109" applyNumberFormat="1" applyFont="1" applyFill="1" applyAlignment="1">
      <alignment wrapText="1"/>
    </xf>
    <xf numFmtId="201" fontId="53" fillId="0" borderId="0" xfId="109" applyNumberFormat="1" applyFont="1" applyFill="1" applyAlignment="1">
      <alignment wrapText="1"/>
    </xf>
    <xf numFmtId="164" fontId="6" fillId="0" borderId="0" xfId="110" applyNumberFormat="1" applyFont="1" applyFill="1"/>
    <xf numFmtId="6" fontId="56" fillId="0" borderId="0" xfId="109" applyNumberFormat="1" applyFont="1" applyFill="1"/>
    <xf numFmtId="164" fontId="56" fillId="0" borderId="0" xfId="110" applyNumberFormat="1" applyFont="1" applyFill="1"/>
    <xf numFmtId="165" fontId="6" fillId="0" borderId="0" xfId="111" applyNumberFormat="1" applyFont="1" applyFill="1"/>
    <xf numFmtId="0" fontId="54" fillId="0" borderId="8" xfId="109" applyFont="1" applyFill="1" applyBorder="1" applyAlignment="1"/>
    <xf numFmtId="0" fontId="54" fillId="0" borderId="8" xfId="109" applyFont="1" applyFill="1" applyBorder="1"/>
    <xf numFmtId="165" fontId="54" fillId="0" borderId="0" xfId="84" applyNumberFormat="1" applyFont="1" applyFill="1"/>
    <xf numFmtId="164" fontId="53" fillId="0" borderId="0" xfId="110" applyNumberFormat="1" applyFont="1" applyFill="1"/>
    <xf numFmtId="164" fontId="54" fillId="0" borderId="0" xfId="109" applyNumberFormat="1" applyFont="1" applyFill="1"/>
    <xf numFmtId="0" fontId="54" fillId="0" borderId="9" xfId="109" applyFont="1" applyFill="1" applyBorder="1"/>
    <xf numFmtId="165" fontId="54" fillId="0" borderId="9" xfId="109" applyNumberFormat="1" applyFont="1" applyFill="1" applyBorder="1"/>
    <xf numFmtId="0" fontId="54" fillId="0" borderId="0" xfId="109" applyFont="1" applyFill="1" applyAlignment="1">
      <alignment horizontal="center"/>
    </xf>
    <xf numFmtId="0" fontId="54" fillId="0" borderId="0" xfId="109" applyFont="1" applyFill="1" applyBorder="1"/>
    <xf numFmtId="0" fontId="6" fillId="0" borderId="8" xfId="44" applyFont="1" applyBorder="1" applyAlignment="1">
      <alignment horizontal="center" wrapText="1"/>
    </xf>
    <xf numFmtId="165" fontId="6" fillId="0" borderId="8" xfId="111" applyNumberFormat="1" applyFont="1" applyBorder="1" applyAlignment="1">
      <alignment horizontal="center" wrapText="1"/>
    </xf>
    <xf numFmtId="0" fontId="54" fillId="0" borderId="8" xfId="109" applyFont="1" applyFill="1" applyBorder="1" applyAlignment="1">
      <alignment horizontal="center" wrapText="1"/>
    </xf>
    <xf numFmtId="0" fontId="54" fillId="0" borderId="0" xfId="109" applyFont="1" applyFill="1" applyBorder="1" applyAlignment="1">
      <alignment horizontal="center" wrapText="1"/>
    </xf>
    <xf numFmtId="0" fontId="3" fillId="0" borderId="0" xfId="109" applyFill="1" applyAlignment="1">
      <alignment wrapText="1"/>
    </xf>
    <xf numFmtId="0" fontId="6" fillId="0" borderId="0" xfId="44" applyFont="1" applyAlignment="1">
      <alignment horizontal="center"/>
    </xf>
    <xf numFmtId="164" fontId="6" fillId="0" borderId="0" xfId="110" applyNumberFormat="1" applyFont="1"/>
    <xf numFmtId="165" fontId="6" fillId="0" borderId="0" xfId="111" applyNumberFormat="1" applyFont="1"/>
    <xf numFmtId="201" fontId="6" fillId="0" borderId="0" xfId="44" applyNumberFormat="1" applyFont="1"/>
    <xf numFmtId="0" fontId="54" fillId="0" borderId="0" xfId="109" applyFont="1" applyFill="1" applyBorder="1" applyAlignment="1">
      <alignment wrapText="1"/>
    </xf>
    <xf numFmtId="0" fontId="6" fillId="0" borderId="0" xfId="109" applyFont="1" applyFill="1" applyBorder="1" applyAlignment="1">
      <alignment wrapText="1"/>
    </xf>
    <xf numFmtId="164" fontId="56" fillId="0" borderId="0" xfId="110" applyNumberFormat="1" applyFont="1" applyFill="1" applyBorder="1"/>
    <xf numFmtId="165" fontId="6" fillId="0" borderId="0" xfId="111" applyNumberFormat="1" applyFont="1" applyFill="1" applyBorder="1"/>
    <xf numFmtId="164" fontId="6" fillId="0" borderId="0" xfId="110" applyNumberFormat="1" applyFont="1" applyFill="1" applyBorder="1"/>
    <xf numFmtId="164" fontId="54" fillId="0" borderId="0" xfId="109" applyNumberFormat="1" applyFont="1" applyFill="1" applyBorder="1"/>
    <xf numFmtId="0" fontId="56" fillId="0" borderId="0" xfId="109" applyFont="1" applyFill="1" applyBorder="1"/>
    <xf numFmtId="0" fontId="56" fillId="0" borderId="0" xfId="109" applyFont="1" applyFill="1" applyBorder="1" applyAlignment="1">
      <alignment wrapText="1"/>
    </xf>
    <xf numFmtId="165" fontId="6" fillId="0" borderId="0" xfId="111" applyNumberFormat="1" applyFont="1" applyFill="1" applyBorder="1" applyAlignment="1">
      <alignment wrapText="1"/>
    </xf>
    <xf numFmtId="0" fontId="6" fillId="0" borderId="9" xfId="44" applyFont="1" applyBorder="1"/>
    <xf numFmtId="164" fontId="6" fillId="0" borderId="9" xfId="44" applyNumberFormat="1" applyFont="1" applyBorder="1"/>
    <xf numFmtId="165" fontId="6" fillId="0" borderId="9" xfId="111" applyNumberFormat="1" applyFont="1" applyBorder="1"/>
    <xf numFmtId="0" fontId="54" fillId="0" borderId="0" xfId="109" applyFont="1" applyFill="1" applyAlignment="1"/>
    <xf numFmtId="201" fontId="6" fillId="0" borderId="8" xfId="44" applyNumberFormat="1" applyFont="1" applyBorder="1"/>
    <xf numFmtId="165" fontId="6" fillId="0" borderId="0" xfId="84" applyNumberFormat="1" applyFont="1" applyFill="1"/>
    <xf numFmtId="0" fontId="6" fillId="0" borderId="0" xfId="109" applyFont="1" applyFill="1"/>
    <xf numFmtId="164" fontId="0" fillId="0" borderId="0" xfId="110" applyNumberFormat="1" applyFont="1" applyFill="1"/>
    <xf numFmtId="164" fontId="57" fillId="0" borderId="0" xfId="110" applyNumberFormat="1" applyFont="1" applyFill="1"/>
    <xf numFmtId="164" fontId="58" fillId="0" borderId="0" xfId="110" applyNumberFormat="1" applyFont="1" applyFill="1"/>
    <xf numFmtId="6" fontId="59" fillId="0" borderId="0" xfId="109" applyNumberFormat="1" applyFont="1" applyFill="1"/>
    <xf numFmtId="164" fontId="59" fillId="0" borderId="0" xfId="110" applyNumberFormat="1" applyFont="1" applyFill="1"/>
    <xf numFmtId="165" fontId="58" fillId="0" borderId="0" xfId="111" applyNumberFormat="1" applyFont="1" applyFill="1"/>
    <xf numFmtId="164" fontId="3" fillId="0" borderId="0" xfId="109" applyNumberFormat="1" applyFill="1"/>
    <xf numFmtId="0" fontId="3" fillId="0" borderId="0" xfId="109" applyFill="1" applyAlignment="1">
      <alignment horizontal="center" wrapText="1"/>
    </xf>
    <xf numFmtId="0" fontId="57" fillId="0" borderId="0" xfId="109" applyFont="1" applyFill="1" applyAlignment="1">
      <alignment horizontal="center" wrapText="1"/>
    </xf>
    <xf numFmtId="0" fontId="60" fillId="0" borderId="0" xfId="109" applyFont="1" applyFill="1" applyAlignment="1"/>
    <xf numFmtId="201" fontId="3" fillId="0" borderId="0" xfId="109" applyNumberFormat="1" applyFill="1" applyAlignment="1">
      <alignment wrapText="1"/>
    </xf>
    <xf numFmtId="201" fontId="57" fillId="0" borderId="0" xfId="109" applyNumberFormat="1" applyFont="1" applyFill="1" applyAlignment="1">
      <alignment wrapText="1"/>
    </xf>
    <xf numFmtId="165" fontId="0" fillId="0" borderId="0" xfId="111" applyNumberFormat="1" applyFont="1" applyFill="1"/>
    <xf numFmtId="165" fontId="3" fillId="0" borderId="0" xfId="109" applyNumberFormat="1" applyFill="1"/>
    <xf numFmtId="0" fontId="54" fillId="0" borderId="0" xfId="112" applyFont="1"/>
    <xf numFmtId="0" fontId="55" fillId="0" borderId="0" xfId="112" applyFont="1"/>
    <xf numFmtId="0" fontId="54" fillId="0" borderId="8" xfId="112" applyFont="1" applyBorder="1"/>
    <xf numFmtId="0" fontId="54" fillId="0" borderId="8" xfId="112" applyFont="1" applyBorder="1" applyAlignment="1">
      <alignment horizontal="center"/>
    </xf>
    <xf numFmtId="0" fontId="41" fillId="0" borderId="8" xfId="113" applyFont="1" applyBorder="1" applyAlignment="1">
      <alignment horizontal="center"/>
    </xf>
    <xf numFmtId="0" fontId="54" fillId="0" borderId="0" xfId="112" applyFont="1" applyAlignment="1">
      <alignment horizontal="left"/>
    </xf>
    <xf numFmtId="164" fontId="46" fillId="0" borderId="0" xfId="114" applyNumberFormat="1" applyFont="1"/>
    <xf numFmtId="165" fontId="46" fillId="0" borderId="0" xfId="115" applyNumberFormat="1" applyFont="1"/>
    <xf numFmtId="0" fontId="6" fillId="0" borderId="0" xfId="112" applyFont="1" applyFill="1" applyAlignment="1">
      <alignment horizontal="left"/>
    </xf>
    <xf numFmtId="0" fontId="54" fillId="0" borderId="0" xfId="112" applyFont="1" applyFill="1" applyBorder="1" applyAlignment="1">
      <alignment horizontal="left"/>
    </xf>
    <xf numFmtId="164" fontId="6" fillId="0" borderId="0" xfId="114" applyNumberFormat="1" applyFont="1"/>
    <xf numFmtId="165" fontId="6" fillId="0" borderId="0" xfId="115" applyNumberFormat="1" applyFont="1"/>
    <xf numFmtId="165" fontId="6" fillId="0" borderId="0" xfId="112" applyNumberFormat="1" applyFont="1" applyFill="1" applyBorder="1" applyAlignment="1">
      <alignment horizontal="left"/>
    </xf>
    <xf numFmtId="0" fontId="53" fillId="0" borderId="0" xfId="113" applyFont="1"/>
    <xf numFmtId="165" fontId="6" fillId="0" borderId="0" xfId="112" applyNumberFormat="1" applyFont="1" applyFill="1" applyAlignment="1">
      <alignment horizontal="left"/>
    </xf>
    <xf numFmtId="0" fontId="6" fillId="0" borderId="0" xfId="112" applyFont="1" applyAlignment="1">
      <alignment horizontal="left"/>
    </xf>
    <xf numFmtId="0" fontId="54" fillId="0" borderId="9" xfId="112" applyFont="1" applyBorder="1" applyAlignment="1">
      <alignment horizontal="left"/>
    </xf>
    <xf numFmtId="164" fontId="6" fillId="0" borderId="9" xfId="114" applyNumberFormat="1" applyFont="1" applyBorder="1"/>
    <xf numFmtId="165" fontId="6" fillId="0" borderId="9" xfId="115" applyNumberFormat="1" applyFont="1" applyBorder="1"/>
    <xf numFmtId="0" fontId="55" fillId="0" borderId="0" xfId="112" applyFont="1" applyFill="1" applyBorder="1" applyAlignment="1">
      <alignment horizontal="left"/>
    </xf>
    <xf numFmtId="0" fontId="46" fillId="0" borderId="0" xfId="112" applyFont="1"/>
    <xf numFmtId="165" fontId="54" fillId="0" borderId="0" xfId="112" applyNumberFormat="1" applyFont="1"/>
    <xf numFmtId="0" fontId="54" fillId="0" borderId="8" xfId="112" applyFont="1" applyFill="1" applyBorder="1" applyAlignment="1">
      <alignment horizontal="left"/>
    </xf>
    <xf numFmtId="201" fontId="54" fillId="0" borderId="8" xfId="112" applyNumberFormat="1" applyFont="1" applyBorder="1" applyAlignment="1">
      <alignment wrapText="1"/>
    </xf>
    <xf numFmtId="164" fontId="54" fillId="0" borderId="0" xfId="112" applyNumberFormat="1" applyFont="1"/>
    <xf numFmtId="0" fontId="6" fillId="0" borderId="0" xfId="112" applyFont="1"/>
    <xf numFmtId="0" fontId="54" fillId="0" borderId="9" xfId="112" applyFont="1" applyBorder="1"/>
    <xf numFmtId="0" fontId="54" fillId="0" borderId="0" xfId="112" applyFont="1" applyBorder="1"/>
    <xf numFmtId="164" fontId="54" fillId="0" borderId="9" xfId="112" applyNumberFormat="1" applyFont="1" applyBorder="1"/>
    <xf numFmtId="0" fontId="41" fillId="0" borderId="0" xfId="113" applyFont="1"/>
    <xf numFmtId="0" fontId="43" fillId="0" borderId="0" xfId="113" applyFont="1"/>
    <xf numFmtId="0" fontId="41" fillId="0" borderId="8" xfId="113" applyFont="1" applyBorder="1"/>
    <xf numFmtId="0" fontId="41" fillId="0" borderId="0" xfId="113" applyFont="1" applyAlignment="1">
      <alignment horizontal="left"/>
    </xf>
    <xf numFmtId="164" fontId="6" fillId="0" borderId="0" xfId="116" applyNumberFormat="1" applyFont="1"/>
    <xf numFmtId="165" fontId="6" fillId="0" borderId="0" xfId="117" applyNumberFormat="1" applyFont="1"/>
    <xf numFmtId="165" fontId="6" fillId="0" borderId="0" xfId="113" applyNumberFormat="1" applyFont="1" applyFill="1" applyAlignment="1">
      <alignment horizontal="left"/>
    </xf>
    <xf numFmtId="0" fontId="41" fillId="0" borderId="0" xfId="113" applyFont="1" applyFill="1" applyBorder="1" applyAlignment="1">
      <alignment horizontal="left"/>
    </xf>
    <xf numFmtId="0" fontId="41" fillId="0" borderId="9" xfId="113" applyFont="1" applyBorder="1" applyAlignment="1">
      <alignment horizontal="left"/>
    </xf>
    <xf numFmtId="164" fontId="6" fillId="0" borderId="9" xfId="116" applyNumberFormat="1" applyFont="1" applyBorder="1"/>
    <xf numFmtId="165" fontId="6" fillId="0" borderId="9" xfId="117" applyNumberFormat="1" applyFont="1" applyBorder="1"/>
    <xf numFmtId="0" fontId="43" fillId="0" borderId="0" xfId="113" applyFont="1" applyFill="1" applyBorder="1" applyAlignment="1">
      <alignment horizontal="left"/>
    </xf>
    <xf numFmtId="0" fontId="24" fillId="0" borderId="0" xfId="113" applyFont="1"/>
    <xf numFmtId="0" fontId="41" fillId="0" borderId="8" xfId="113" applyFont="1" applyFill="1" applyBorder="1" applyAlignment="1">
      <alignment horizontal="left"/>
    </xf>
    <xf numFmtId="201" fontId="41" fillId="0" borderId="8" xfId="113" applyNumberFormat="1" applyFont="1" applyBorder="1" applyAlignment="1">
      <alignment wrapText="1"/>
    </xf>
    <xf numFmtId="0" fontId="41" fillId="0" borderId="62" xfId="113" applyFont="1" applyBorder="1" applyAlignment="1">
      <alignment horizontal="center"/>
    </xf>
    <xf numFmtId="164" fontId="41" fillId="0" borderId="0" xfId="113" applyNumberFormat="1" applyFont="1"/>
    <xf numFmtId="164" fontId="41" fillId="0" borderId="63" xfId="113" applyNumberFormat="1" applyFont="1" applyBorder="1"/>
    <xf numFmtId="0" fontId="41" fillId="0" borderId="63" xfId="113" applyFont="1" applyBorder="1"/>
    <xf numFmtId="0" fontId="41" fillId="0" borderId="64" xfId="113" applyFont="1" applyBorder="1"/>
    <xf numFmtId="0" fontId="6" fillId="0" borderId="0" xfId="113" applyFont="1"/>
    <xf numFmtId="0" fontId="41" fillId="0" borderId="9" xfId="113" applyFont="1" applyBorder="1"/>
    <xf numFmtId="0" fontId="62" fillId="0" borderId="0" xfId="44" applyFont="1"/>
    <xf numFmtId="0" fontId="6" fillId="0" borderId="8" xfId="44" applyFill="1" applyBorder="1" applyAlignment="1">
      <alignment horizontal="left"/>
    </xf>
    <xf numFmtId="201" fontId="6" fillId="0" borderId="8" xfId="44" applyNumberFormat="1" applyBorder="1" applyAlignment="1">
      <alignment wrapText="1"/>
    </xf>
    <xf numFmtId="164" fontId="6" fillId="0" borderId="0" xfId="86" applyNumberFormat="1" applyFont="1"/>
    <xf numFmtId="164" fontId="6" fillId="0" borderId="0" xfId="44" applyNumberFormat="1"/>
    <xf numFmtId="164" fontId="41" fillId="0" borderId="9" xfId="113" applyNumberFormat="1" applyFont="1" applyBorder="1"/>
    <xf numFmtId="0" fontId="8" fillId="0" borderId="0" xfId="44" applyFont="1" applyAlignment="1">
      <alignment horizontal="right"/>
    </xf>
    <xf numFmtId="4" fontId="6" fillId="0" borderId="0" xfId="44" applyNumberFormat="1"/>
    <xf numFmtId="0" fontId="6" fillId="0" borderId="0" xfId="44" applyFont="1" applyFill="1" applyAlignment="1">
      <alignment horizontal="right"/>
    </xf>
    <xf numFmtId="3" fontId="6" fillId="0" borderId="9" xfId="44" applyNumberFormat="1" applyFill="1" applyBorder="1"/>
    <xf numFmtId="177" fontId="22" fillId="0" borderId="0" xfId="44" applyNumberFormat="1" applyFont="1" applyFill="1"/>
    <xf numFmtId="190" fontId="22" fillId="0" borderId="0" xfId="44" applyNumberFormat="1" applyFont="1" applyFill="1"/>
    <xf numFmtId="202" fontId="22" fillId="0" borderId="0" xfId="44" applyNumberFormat="1" applyFont="1" applyFill="1"/>
    <xf numFmtId="170" fontId="0" fillId="0" borderId="0" xfId="85" applyNumberFormat="1" applyFont="1"/>
    <xf numFmtId="10" fontId="0" fillId="0" borderId="0" xfId="85" applyNumberFormat="1" applyFont="1" applyFill="1"/>
    <xf numFmtId="178" fontId="6" fillId="0" borderId="0" xfId="85" applyNumberFormat="1" applyFill="1" applyBorder="1"/>
    <xf numFmtId="9" fontId="0" fillId="0" borderId="0" xfId="85" applyFont="1" applyFill="1"/>
    <xf numFmtId="3" fontId="0" fillId="0" borderId="0" xfId="85" applyNumberFormat="1" applyFont="1" applyFill="1" applyBorder="1"/>
    <xf numFmtId="3" fontId="6" fillId="0" borderId="0" xfId="85" applyNumberFormat="1" applyFill="1" applyBorder="1"/>
    <xf numFmtId="0" fontId="6" fillId="0" borderId="0" xfId="44" applyFont="1" applyFill="1" applyBorder="1" applyAlignment="1">
      <alignment horizontal="left"/>
    </xf>
    <xf numFmtId="3" fontId="6" fillId="0" borderId="0" xfId="44" applyNumberFormat="1" applyFill="1" applyAlignment="1"/>
    <xf numFmtId="3" fontId="24" fillId="0" borderId="53" xfId="44" applyNumberFormat="1" applyFont="1" applyBorder="1"/>
    <xf numFmtId="3" fontId="24" fillId="0" borderId="54" xfId="44" applyNumberFormat="1" applyFont="1" applyBorder="1"/>
    <xf numFmtId="3" fontId="6" fillId="0" borderId="57" xfId="44" applyNumberFormat="1" applyBorder="1"/>
    <xf numFmtId="3" fontId="6" fillId="0" borderId="58" xfId="44" applyNumberFormat="1" applyBorder="1"/>
    <xf numFmtId="3" fontId="6" fillId="0" borderId="59" xfId="44" applyNumberFormat="1" applyBorder="1"/>
    <xf numFmtId="0" fontId="24" fillId="0" borderId="0" xfId="44" applyFont="1" applyFill="1" applyAlignment="1">
      <alignment horizontal="centerContinuous"/>
    </xf>
    <xf numFmtId="0" fontId="6" fillId="0" borderId="8" xfId="44" applyFill="1" applyBorder="1"/>
    <xf numFmtId="0" fontId="6" fillId="0" borderId="8" xfId="44" applyFill="1" applyBorder="1" applyAlignment="1">
      <alignment horizontal="centerContinuous"/>
    </xf>
    <xf numFmtId="0" fontId="6" fillId="0" borderId="8" xfId="44" applyFill="1" applyBorder="1" applyAlignment="1">
      <alignment horizontal="center"/>
    </xf>
    <xf numFmtId="42" fontId="6" fillId="0" borderId="0" xfId="44" applyNumberFormat="1" applyFill="1" applyBorder="1" applyAlignment="1">
      <alignment horizontal="center"/>
    </xf>
    <xf numFmtId="44" fontId="24" fillId="0" borderId="0" xfId="44" applyNumberFormat="1" applyFont="1" applyFill="1" applyAlignment="1">
      <alignment horizontal="right"/>
    </xf>
    <xf numFmtId="198" fontId="24" fillId="0" borderId="0" xfId="44" applyNumberFormat="1" applyFont="1" applyFill="1"/>
    <xf numFmtId="42" fontId="6" fillId="0" borderId="8" xfId="44" applyNumberFormat="1" applyFill="1" applyBorder="1"/>
    <xf numFmtId="42" fontId="6" fillId="0" borderId="8" xfId="44" applyNumberFormat="1" applyFont="1" applyFill="1" applyBorder="1"/>
    <xf numFmtId="198" fontId="6" fillId="0" borderId="0" xfId="44" applyNumberFormat="1" applyFill="1"/>
    <xf numFmtId="189" fontId="6" fillId="0" borderId="0" xfId="44" applyNumberFormat="1" applyFont="1" applyFill="1" applyAlignment="1">
      <alignment horizontal="right"/>
    </xf>
    <xf numFmtId="198" fontId="6" fillId="0" borderId="0" xfId="44" applyNumberFormat="1" applyFont="1" applyFill="1" applyAlignment="1">
      <alignment horizontal="right"/>
    </xf>
    <xf numFmtId="44" fontId="46" fillId="0" borderId="0" xfId="44" applyNumberFormat="1" applyFont="1" applyFill="1"/>
    <xf numFmtId="189" fontId="46" fillId="0" borderId="0" xfId="44" applyNumberFormat="1" applyFont="1" applyFill="1"/>
    <xf numFmtId="189" fontId="46" fillId="0" borderId="0" xfId="44" applyNumberFormat="1" applyFont="1" applyFill="1" applyBorder="1"/>
    <xf numFmtId="42" fontId="6" fillId="0" borderId="0" xfId="44" applyNumberFormat="1" applyFont="1" applyFill="1" applyBorder="1"/>
    <xf numFmtId="0" fontId="8" fillId="0" borderId="32" xfId="44" applyFont="1" applyFill="1" applyBorder="1"/>
    <xf numFmtId="0" fontId="6" fillId="0" borderId="33" xfId="44" applyFill="1" applyBorder="1"/>
    <xf numFmtId="0" fontId="6" fillId="0" borderId="34" xfId="44" applyFill="1" applyBorder="1"/>
    <xf numFmtId="44" fontId="6" fillId="0" borderId="37" xfId="44" applyNumberFormat="1" applyFill="1" applyBorder="1"/>
    <xf numFmtId="0" fontId="6" fillId="0" borderId="37" xfId="44" applyFill="1" applyBorder="1"/>
    <xf numFmtId="189" fontId="6" fillId="0" borderId="37" xfId="44" applyNumberFormat="1" applyFill="1" applyBorder="1"/>
    <xf numFmtId="198" fontId="24" fillId="0" borderId="0" xfId="44" applyNumberFormat="1" applyFont="1" applyFill="1" applyBorder="1"/>
    <xf numFmtId="0" fontId="8" fillId="0" borderId="36" xfId="44" applyFont="1" applyFill="1" applyBorder="1"/>
    <xf numFmtId="42" fontId="6" fillId="0" borderId="37" xfId="44" applyNumberFormat="1" applyFill="1" applyBorder="1"/>
    <xf numFmtId="42" fontId="6" fillId="0" borderId="60" xfId="44" applyNumberFormat="1" applyFill="1" applyBorder="1"/>
    <xf numFmtId="0" fontId="6" fillId="0" borderId="38" xfId="44" applyFill="1" applyBorder="1"/>
    <xf numFmtId="0" fontId="6" fillId="0" borderId="39" xfId="44" applyFill="1" applyBorder="1"/>
    <xf numFmtId="42" fontId="6" fillId="0" borderId="42" xfId="44" applyNumberFormat="1" applyFill="1" applyBorder="1"/>
    <xf numFmtId="42" fontId="6" fillId="0" borderId="61" xfId="44" applyNumberFormat="1" applyFill="1" applyBorder="1"/>
    <xf numFmtId="181" fontId="6" fillId="0" borderId="0" xfId="44" applyNumberFormat="1" applyFill="1" applyBorder="1"/>
    <xf numFmtId="0" fontId="8" fillId="0" borderId="0" xfId="44" applyFont="1" applyFill="1" applyBorder="1" applyAlignment="1">
      <alignment horizontal="left"/>
    </xf>
    <xf numFmtId="0" fontId="6" fillId="0" borderId="52" xfId="44" applyFill="1" applyBorder="1"/>
    <xf numFmtId="0" fontId="6" fillId="0" borderId="53" xfId="44" applyFill="1" applyBorder="1"/>
    <xf numFmtId="37" fontId="24" fillId="0" borderId="53" xfId="44" applyNumberFormat="1" applyFont="1" applyFill="1" applyBorder="1"/>
    <xf numFmtId="37" fontId="6" fillId="0" borderId="54" xfId="44" applyNumberFormat="1" applyFill="1" applyBorder="1"/>
    <xf numFmtId="37" fontId="6" fillId="0" borderId="0" xfId="44" applyNumberFormat="1" applyFill="1" applyBorder="1"/>
    <xf numFmtId="37" fontId="6" fillId="0" borderId="56" xfId="44" applyNumberFormat="1" applyFill="1" applyBorder="1"/>
    <xf numFmtId="37" fontId="24" fillId="0" borderId="0" xfId="44" applyNumberFormat="1" applyFont="1" applyFill="1" applyBorder="1"/>
    <xf numFmtId="200" fontId="22" fillId="0" borderId="0" xfId="44" applyNumberFormat="1" applyFont="1" applyFill="1"/>
    <xf numFmtId="189" fontId="22" fillId="0" borderId="0" xfId="44" applyNumberFormat="1" applyFont="1" applyFill="1" applyAlignment="1"/>
    <xf numFmtId="44" fontId="22" fillId="0" borderId="0" xfId="44" applyNumberFormat="1" applyFont="1" applyFill="1" applyAlignment="1">
      <alignment horizontal="centerContinuous"/>
    </xf>
    <xf numFmtId="198" fontId="22" fillId="0" borderId="0" xfId="44" applyNumberFormat="1" applyFont="1" applyFill="1" applyAlignment="1"/>
    <xf numFmtId="43" fontId="6" fillId="0" borderId="0" xfId="44" applyNumberFormat="1" applyFill="1" applyBorder="1"/>
    <xf numFmtId="202" fontId="22" fillId="0" borderId="0" xfId="44" applyNumberFormat="1" applyFont="1" applyFill="1" applyAlignment="1"/>
    <xf numFmtId="2" fontId="22" fillId="0" borderId="0" xfId="44" applyNumberFormat="1" applyFont="1" applyFill="1" applyAlignment="1">
      <alignment horizontal="centerContinuous"/>
    </xf>
    <xf numFmtId="202" fontId="6" fillId="0" borderId="0" xfId="44" applyNumberFormat="1" applyFill="1" applyAlignment="1"/>
    <xf numFmtId="189" fontId="6" fillId="0" borderId="0" xfId="44" applyNumberFormat="1" applyFill="1" applyAlignment="1"/>
    <xf numFmtId="44" fontId="6" fillId="0" borderId="0" xfId="44" applyNumberFormat="1" applyFill="1" applyAlignment="1">
      <alignment horizontal="centerContinuous"/>
    </xf>
    <xf numFmtId="198" fontId="6" fillId="0" borderId="0" xfId="44" applyNumberFormat="1" applyFill="1" applyAlignment="1"/>
    <xf numFmtId="0" fontId="6" fillId="0" borderId="0" xfId="44" applyAlignment="1">
      <alignment horizontal="center"/>
    </xf>
    <xf numFmtId="44" fontId="6" fillId="0" borderId="0" xfId="44" applyNumberFormat="1" applyFont="1" applyFill="1" applyBorder="1"/>
    <xf numFmtId="42" fontId="24" fillId="0" borderId="0" xfId="44" applyNumberFormat="1" applyFont="1" applyFill="1" applyBorder="1"/>
    <xf numFmtId="42" fontId="24" fillId="0" borderId="0" xfId="44" applyNumberFormat="1" applyFont="1"/>
    <xf numFmtId="42" fontId="24" fillId="0" borderId="0" xfId="44" applyNumberFormat="1" applyFont="1" applyBorder="1"/>
    <xf numFmtId="198" fontId="6" fillId="0" borderId="0" xfId="44" applyNumberFormat="1" applyFont="1" applyFill="1"/>
    <xf numFmtId="42" fontId="24" fillId="0" borderId="8" xfId="44" applyNumberFormat="1" applyFont="1" applyBorder="1"/>
    <xf numFmtId="203" fontId="6" fillId="0" borderId="0" xfId="44" applyNumberFormat="1"/>
    <xf numFmtId="203" fontId="6" fillId="0" borderId="0" xfId="44" applyNumberFormat="1" applyAlignment="1">
      <alignment horizontal="center"/>
    </xf>
    <xf numFmtId="204" fontId="6" fillId="0" borderId="0" xfId="44" applyNumberFormat="1" applyFont="1"/>
    <xf numFmtId="204" fontId="22" fillId="0" borderId="0" xfId="44" applyNumberFormat="1" applyFont="1"/>
    <xf numFmtId="203" fontId="6" fillId="0" borderId="9" xfId="44" applyNumberFormat="1" applyBorder="1"/>
    <xf numFmtId="42" fontId="6" fillId="0" borderId="59" xfId="44" applyNumberFormat="1" applyFill="1" applyBorder="1"/>
    <xf numFmtId="0" fontId="22" fillId="0" borderId="0" xfId="44" applyFont="1" applyAlignment="1">
      <alignment horizontal="left"/>
    </xf>
    <xf numFmtId="0" fontId="22" fillId="0" borderId="0" xfId="44" applyFont="1"/>
    <xf numFmtId="0" fontId="6" fillId="0" borderId="0" xfId="44" applyFill="1" applyBorder="1" applyAlignment="1">
      <alignment horizontal="centerContinuous"/>
    </xf>
    <xf numFmtId="41" fontId="6" fillId="0" borderId="0" xfId="44" applyNumberFormat="1" applyFill="1" applyAlignment="1">
      <alignment horizontal="left"/>
    </xf>
    <xf numFmtId="0" fontId="6" fillId="0" borderId="0" xfId="44" applyBorder="1" applyAlignment="1">
      <alignment horizontal="centerContinuous"/>
    </xf>
    <xf numFmtId="0" fontId="6" fillId="0" borderId="19" xfId="44" applyBorder="1" applyAlignment="1"/>
    <xf numFmtId="0" fontId="6" fillId="0" borderId="0" xfId="44" applyFill="1" applyAlignment="1">
      <alignment horizontal="center"/>
    </xf>
    <xf numFmtId="0" fontId="6" fillId="0" borderId="19" xfId="44" applyBorder="1"/>
    <xf numFmtId="0" fontId="6" fillId="0" borderId="0" xfId="44" quotePrefix="1" applyFill="1" applyBorder="1" applyAlignment="1">
      <alignment horizontal="center"/>
    </xf>
    <xf numFmtId="0" fontId="6" fillId="0" borderId="0" xfId="44" applyFont="1" applyFill="1" applyBorder="1" applyAlignment="1">
      <alignment horizontal="center"/>
    </xf>
    <xf numFmtId="0" fontId="6" fillId="0" borderId="0" xfId="44" applyFont="1" applyBorder="1" applyAlignment="1">
      <alignment horizontal="center"/>
    </xf>
    <xf numFmtId="0" fontId="6" fillId="0" borderId="19" xfId="44" applyFont="1" applyBorder="1" applyAlignment="1">
      <alignment horizontal="center"/>
    </xf>
    <xf numFmtId="0" fontId="6" fillId="0" borderId="8" xfId="44" applyFont="1" applyBorder="1" applyAlignment="1">
      <alignment horizontal="center"/>
    </xf>
    <xf numFmtId="42" fontId="6" fillId="0" borderId="8" xfId="44" applyNumberFormat="1" applyFont="1" applyBorder="1" applyAlignment="1">
      <alignment horizontal="center"/>
    </xf>
    <xf numFmtId="0" fontId="6" fillId="0" borderId="52" xfId="44" applyFill="1" applyBorder="1" applyAlignment="1">
      <alignment horizontal="center"/>
    </xf>
    <xf numFmtId="0" fontId="6" fillId="0" borderId="53" xfId="44" applyFill="1" applyBorder="1" applyAlignment="1">
      <alignment horizontal="center"/>
    </xf>
    <xf numFmtId="0" fontId="6" fillId="0" borderId="54" xfId="44" applyFill="1" applyBorder="1" applyAlignment="1">
      <alignment horizontal="center"/>
    </xf>
    <xf numFmtId="42" fontId="6" fillId="0" borderId="0" xfId="44" applyNumberFormat="1" applyFont="1" applyBorder="1" applyAlignment="1">
      <alignment horizontal="center"/>
    </xf>
    <xf numFmtId="0" fontId="6" fillId="0" borderId="55" xfId="44" applyFill="1" applyBorder="1" applyAlignment="1">
      <alignment horizontal="center"/>
    </xf>
    <xf numFmtId="0" fontId="6" fillId="0" borderId="56" xfId="44" applyBorder="1" applyAlignment="1"/>
    <xf numFmtId="42" fontId="22" fillId="0" borderId="0" xfId="44" applyNumberFormat="1" applyFont="1" applyFill="1" applyBorder="1" applyAlignment="1">
      <alignment horizontal="center"/>
    </xf>
    <xf numFmtId="42" fontId="24" fillId="0" borderId="0" xfId="44" applyNumberFormat="1" applyFont="1" applyFill="1" applyBorder="1" applyAlignment="1">
      <alignment horizontal="center"/>
    </xf>
    <xf numFmtId="42" fontId="24" fillId="0" borderId="19" xfId="44" applyNumberFormat="1" applyFont="1" applyFill="1" applyBorder="1" applyAlignment="1">
      <alignment horizontal="center"/>
    </xf>
    <xf numFmtId="42" fontId="24" fillId="0" borderId="0" xfId="44" applyNumberFormat="1" applyFont="1" applyBorder="1" applyAlignment="1">
      <alignment horizontal="center"/>
    </xf>
    <xf numFmtId="37" fontId="6" fillId="0" borderId="55" xfId="44" applyNumberFormat="1" applyBorder="1"/>
    <xf numFmtId="41" fontId="22" fillId="0" borderId="0" xfId="44" applyNumberFormat="1" applyFont="1" applyFill="1" applyBorder="1" applyAlignment="1">
      <alignment horizontal="center"/>
    </xf>
    <xf numFmtId="41" fontId="24" fillId="0" borderId="0" xfId="44" applyNumberFormat="1" applyFont="1" applyFill="1"/>
    <xf numFmtId="41" fontId="24" fillId="0" borderId="0" xfId="44" applyNumberFormat="1" applyFont="1" applyFill="1" applyBorder="1" applyAlignment="1">
      <alignment horizontal="center"/>
    </xf>
    <xf numFmtId="41" fontId="24" fillId="0" borderId="0" xfId="44" applyNumberFormat="1" applyFont="1" applyBorder="1" applyAlignment="1">
      <alignment horizontal="center"/>
    </xf>
    <xf numFmtId="41" fontId="6" fillId="0" borderId="0" xfId="44" applyNumberFormat="1" applyBorder="1" applyAlignment="1">
      <alignment horizontal="center"/>
    </xf>
    <xf numFmtId="41" fontId="24" fillId="0" borderId="19" xfId="44" applyNumberFormat="1" applyFont="1" applyFill="1" applyBorder="1" applyAlignment="1">
      <alignment horizontal="center"/>
    </xf>
    <xf numFmtId="41" fontId="6" fillId="0" borderId="0" xfId="44" applyNumberFormat="1" applyFont="1" applyBorder="1"/>
    <xf numFmtId="41" fontId="22" fillId="0" borderId="0" xfId="44" applyNumberFormat="1" applyFont="1" applyFill="1"/>
    <xf numFmtId="42" fontId="6" fillId="0" borderId="19" xfId="44" applyNumberFormat="1" applyFill="1" applyBorder="1"/>
    <xf numFmtId="42" fontId="6" fillId="0" borderId="19" xfId="44" applyNumberFormat="1" applyBorder="1"/>
    <xf numFmtId="0" fontId="6" fillId="0" borderId="56" xfId="44" applyBorder="1"/>
    <xf numFmtId="42" fontId="24" fillId="0" borderId="19" xfId="44" applyNumberFormat="1" applyFont="1" applyFill="1" applyBorder="1"/>
    <xf numFmtId="42" fontId="6" fillId="0" borderId="19" xfId="44" applyNumberFormat="1" applyFont="1" applyFill="1" applyBorder="1"/>
    <xf numFmtId="0" fontId="6" fillId="0" borderId="56" xfId="44" applyFill="1" applyBorder="1"/>
    <xf numFmtId="42" fontId="22" fillId="0" borderId="0" xfId="44" applyNumberFormat="1" applyFont="1" applyFill="1" applyBorder="1"/>
    <xf numFmtId="37" fontId="6" fillId="0" borderId="57" xfId="44" applyNumberFormat="1" applyBorder="1"/>
    <xf numFmtId="0" fontId="6" fillId="0" borderId="59" xfId="44" applyFill="1" applyBorder="1"/>
    <xf numFmtId="205" fontId="6" fillId="0" borderId="0" xfId="44" applyNumberFormat="1" applyBorder="1"/>
    <xf numFmtId="41" fontId="6" fillId="0" borderId="0" xfId="44" applyNumberFormat="1" applyFill="1"/>
    <xf numFmtId="41" fontId="6" fillId="0" borderId="0" xfId="44" applyNumberFormat="1"/>
    <xf numFmtId="41" fontId="6" fillId="0" borderId="0" xfId="44" applyNumberFormat="1" applyBorder="1"/>
    <xf numFmtId="37" fontId="6" fillId="0" borderId="0" xfId="44" applyNumberFormat="1"/>
    <xf numFmtId="0" fontId="6" fillId="0" borderId="0" xfId="44" quotePrefix="1" applyAlignment="1">
      <alignment vertical="top"/>
    </xf>
    <xf numFmtId="0" fontId="6" fillId="0" borderId="0" xfId="44" applyAlignment="1">
      <alignment vertical="top" wrapText="1"/>
    </xf>
    <xf numFmtId="0" fontId="6" fillId="0" borderId="0" xfId="44" applyFill="1" applyAlignment="1">
      <alignment vertical="top"/>
    </xf>
    <xf numFmtId="0" fontId="6" fillId="0" borderId="0" xfId="44" applyFill="1" applyAlignment="1">
      <alignment vertical="top" wrapText="1"/>
    </xf>
    <xf numFmtId="206" fontId="6" fillId="0" borderId="0" xfId="44" applyNumberFormat="1" applyFill="1" applyBorder="1"/>
    <xf numFmtId="42" fontId="6" fillId="0" borderId="53" xfId="44" applyNumberFormat="1" applyBorder="1"/>
    <xf numFmtId="42" fontId="6" fillId="0" borderId="53" xfId="44" applyNumberFormat="1" applyFill="1" applyBorder="1"/>
    <xf numFmtId="42" fontId="6" fillId="0" borderId="54" xfId="44" applyNumberFormat="1" applyBorder="1"/>
    <xf numFmtId="207" fontId="6" fillId="0" borderId="58" xfId="44" applyNumberFormat="1" applyBorder="1"/>
    <xf numFmtId="207" fontId="6" fillId="0" borderId="59" xfId="44" applyNumberFormat="1" applyBorder="1"/>
    <xf numFmtId="208" fontId="6" fillId="0" borderId="0" xfId="44" applyNumberFormat="1" applyBorder="1"/>
    <xf numFmtId="0" fontId="6" fillId="0" borderId="65" xfId="44" applyFill="1" applyBorder="1" applyAlignment="1">
      <alignment horizontal="center"/>
    </xf>
    <xf numFmtId="0" fontId="6" fillId="0" borderId="66" xfId="44" applyFill="1" applyBorder="1" applyAlignment="1">
      <alignment horizontal="center"/>
    </xf>
    <xf numFmtId="3" fontId="22" fillId="0" borderId="0" xfId="118" applyNumberFormat="1" applyFont="1" applyFill="1"/>
    <xf numFmtId="3" fontId="6" fillId="0" borderId="55" xfId="44" applyNumberFormat="1" applyBorder="1"/>
    <xf numFmtId="3" fontId="6" fillId="0" borderId="56" xfId="44" applyNumberFormat="1" applyBorder="1"/>
    <xf numFmtId="3" fontId="25" fillId="0" borderId="0" xfId="44" applyNumberFormat="1" applyFont="1" applyFill="1" applyBorder="1"/>
    <xf numFmtId="17" fontId="6" fillId="0" borderId="0" xfId="44" quotePrefix="1" applyNumberFormat="1" applyFill="1" applyBorder="1" applyAlignment="1">
      <alignment horizontal="center"/>
    </xf>
    <xf numFmtId="0" fontId="6" fillId="0" borderId="0" xfId="44" applyFont="1" applyBorder="1" applyAlignment="1"/>
    <xf numFmtId="0" fontId="6" fillId="0" borderId="0" xfId="44" applyFont="1" applyFill="1" applyBorder="1" applyAlignment="1"/>
    <xf numFmtId="42" fontId="6" fillId="0" borderId="0" xfId="44" applyNumberFormat="1" applyFont="1" applyFill="1" applyBorder="1" applyAlignment="1">
      <alignment horizontal="center"/>
    </xf>
    <xf numFmtId="42" fontId="6" fillId="0" borderId="0" xfId="85" applyNumberFormat="1" applyFont="1" applyFill="1" applyBorder="1"/>
    <xf numFmtId="41" fontId="6" fillId="0" borderId="0" xfId="44" applyNumberFormat="1" applyFont="1" applyFill="1" applyBorder="1" applyAlignment="1">
      <alignment horizontal="center"/>
    </xf>
    <xf numFmtId="0" fontId="6" fillId="0" borderId="0" xfId="44" applyFont="1" applyAlignment="1">
      <alignment horizontal="left"/>
    </xf>
    <xf numFmtId="42" fontId="46" fillId="0" borderId="0" xfId="44" applyNumberFormat="1" applyFont="1" applyFill="1" applyBorder="1"/>
    <xf numFmtId="37" fontId="6" fillId="0" borderId="0" xfId="44" applyNumberFormat="1" applyFont="1"/>
    <xf numFmtId="41" fontId="24" fillId="0" borderId="0" xfId="44" applyNumberFormat="1" applyFont="1"/>
    <xf numFmtId="41" fontId="6" fillId="0" borderId="0" xfId="44" applyNumberFormat="1" applyFont="1"/>
    <xf numFmtId="208" fontId="6" fillId="0" borderId="0" xfId="44" applyNumberFormat="1"/>
    <xf numFmtId="42" fontId="6" fillId="0" borderId="8" xfId="44" applyNumberFormat="1" applyBorder="1" applyAlignment="1">
      <alignment horizontal="center"/>
    </xf>
    <xf numFmtId="42" fontId="24" fillId="0" borderId="0" xfId="44" applyNumberFormat="1" applyFont="1" applyFill="1" applyAlignment="1">
      <alignment horizontal="left"/>
    </xf>
    <xf numFmtId="41" fontId="24" fillId="0" borderId="0" xfId="44" applyNumberFormat="1" applyFont="1" applyFill="1" applyBorder="1" applyAlignment="1">
      <alignment horizontal="left"/>
    </xf>
    <xf numFmtId="41" fontId="24" fillId="0" borderId="0" xfId="44" applyNumberFormat="1" applyFont="1" applyFill="1" applyAlignment="1">
      <alignment horizontal="left"/>
    </xf>
    <xf numFmtId="42" fontId="6" fillId="0" borderId="9" xfId="44" applyNumberFormat="1" applyFill="1" applyBorder="1" applyAlignment="1">
      <alignment horizontal="left"/>
    </xf>
    <xf numFmtId="42" fontId="6" fillId="0" borderId="0" xfId="44" applyNumberFormat="1" applyFill="1" applyBorder="1" applyAlignment="1">
      <alignment horizontal="left"/>
    </xf>
    <xf numFmtId="42" fontId="6" fillId="0" borderId="0" xfId="44" applyNumberFormat="1" applyFill="1" applyAlignment="1">
      <alignment horizontal="left"/>
    </xf>
    <xf numFmtId="42" fontId="6" fillId="0" borderId="9" xfId="44" applyNumberFormat="1" applyBorder="1" applyAlignment="1">
      <alignment horizontal="left"/>
    </xf>
    <xf numFmtId="42" fontId="6" fillId="0" borderId="0" xfId="44" applyNumberFormat="1" applyBorder="1" applyAlignment="1">
      <alignment horizontal="left"/>
    </xf>
    <xf numFmtId="164" fontId="24" fillId="0" borderId="0" xfId="86" applyNumberFormat="1" applyFont="1" applyFill="1" applyBorder="1" applyAlignment="1">
      <alignment horizontal="center"/>
    </xf>
    <xf numFmtId="37" fontId="6" fillId="0" borderId="9" xfId="44" applyNumberFormat="1" applyBorder="1"/>
    <xf numFmtId="0" fontId="65" fillId="0" borderId="0" xfId="44" applyFont="1" applyAlignment="1">
      <alignment horizontal="left" vertical="center" indent="2"/>
    </xf>
    <xf numFmtId="164" fontId="6" fillId="0" borderId="0" xfId="86" applyNumberFormat="1" applyFill="1"/>
    <xf numFmtId="0" fontId="6" fillId="0" borderId="0" xfId="606"/>
    <xf numFmtId="0" fontId="6" fillId="0" borderId="0" xfId="606" applyAlignment="1">
      <alignment horizontal="centerContinuous"/>
    </xf>
    <xf numFmtId="0" fontId="8" fillId="0" borderId="0" xfId="606" applyFont="1" applyAlignment="1">
      <alignment horizontal="center"/>
    </xf>
    <xf numFmtId="0" fontId="6" fillId="0" borderId="0" xfId="606" applyAlignment="1">
      <alignment horizontal="center"/>
    </xf>
    <xf numFmtId="209" fontId="22" fillId="0" borderId="0" xfId="606" applyNumberFormat="1" applyFont="1"/>
    <xf numFmtId="182" fontId="6" fillId="0" borderId="0" xfId="607" applyNumberFormat="1"/>
    <xf numFmtId="209" fontId="6" fillId="0" borderId="0" xfId="606" applyNumberFormat="1"/>
    <xf numFmtId="0" fontId="8" fillId="0" borderId="0" xfId="606" applyFont="1"/>
    <xf numFmtId="177" fontId="6" fillId="0" borderId="0" xfId="606" applyNumberFormat="1"/>
    <xf numFmtId="0" fontId="6" fillId="0" borderId="0" xfId="606" applyAlignment="1">
      <alignment horizontal="right"/>
    </xf>
    <xf numFmtId="177" fontId="6" fillId="0" borderId="7" xfId="606" applyNumberFormat="1" applyBorder="1"/>
    <xf numFmtId="177" fontId="6" fillId="0" borderId="47" xfId="606" applyNumberFormat="1" applyBorder="1"/>
    <xf numFmtId="0" fontId="6" fillId="0" borderId="0" xfId="606" applyAlignment="1">
      <alignment horizontal="left" indent="1"/>
    </xf>
    <xf numFmtId="178" fontId="6" fillId="0" borderId="0" xfId="608" applyNumberFormat="1" applyFont="1"/>
    <xf numFmtId="165" fontId="6" fillId="0" borderId="0" xfId="606" applyNumberFormat="1"/>
    <xf numFmtId="178" fontId="6" fillId="0" borderId="7" xfId="608" applyNumberFormat="1" applyFont="1" applyBorder="1"/>
    <xf numFmtId="165" fontId="6" fillId="0" borderId="7" xfId="606" applyNumberFormat="1" applyBorder="1"/>
    <xf numFmtId="0" fontId="6" fillId="0" borderId="0" xfId="503" applyFont="1"/>
    <xf numFmtId="165" fontId="53" fillId="0" borderId="0" xfId="115" applyNumberFormat="1" applyFont="1"/>
    <xf numFmtId="0" fontId="8" fillId="0" borderId="0" xfId="609" applyNumberFormat="1" applyFont="1" applyFill="1" applyAlignment="1"/>
    <xf numFmtId="0" fontId="6" fillId="0" borderId="0" xfId="609" applyNumberFormat="1" applyFont="1" applyFill="1" applyBorder="1" applyAlignment="1"/>
    <xf numFmtId="164" fontId="8" fillId="0" borderId="0" xfId="86" applyNumberFormat="1" applyFont="1" applyFill="1" applyAlignment="1">
      <alignment horizontal="centerContinuous"/>
    </xf>
    <xf numFmtId="0" fontId="6" fillId="0" borderId="0" xfId="609" applyNumberFormat="1" applyFill="1" applyAlignment="1"/>
    <xf numFmtId="43" fontId="8" fillId="0" borderId="0" xfId="86" applyFont="1" applyFill="1" applyBorder="1"/>
    <xf numFmtId="164" fontId="8" fillId="0" borderId="0" xfId="86" applyNumberFormat="1" applyFont="1" applyFill="1" applyBorder="1" applyAlignment="1">
      <alignment horizontal="center"/>
    </xf>
    <xf numFmtId="0" fontId="8" fillId="0" borderId="8" xfId="609" applyNumberFormat="1" applyFont="1" applyFill="1" applyBorder="1" applyAlignment="1"/>
    <xf numFmtId="0" fontId="8" fillId="0" borderId="8" xfId="609" applyNumberFormat="1" applyFont="1" applyFill="1" applyBorder="1" applyAlignment="1">
      <alignment horizontal="left"/>
    </xf>
    <xf numFmtId="164" fontId="8" fillId="0" borderId="8" xfId="86" applyNumberFormat="1" applyFont="1" applyFill="1" applyBorder="1" applyAlignment="1">
      <alignment horizontal="center"/>
    </xf>
    <xf numFmtId="0" fontId="7" fillId="0" borderId="0" xfId="609" applyNumberFormat="1" applyFont="1" applyFill="1" applyBorder="1" applyAlignment="1">
      <alignment horizontal="left"/>
    </xf>
    <xf numFmtId="0" fontId="6" fillId="0" borderId="0" xfId="609" applyNumberFormat="1" applyFill="1" applyBorder="1" applyAlignment="1"/>
    <xf numFmtId="0" fontId="8" fillId="0" borderId="0" xfId="609" quotePrefix="1" applyNumberFormat="1" applyFont="1" applyFill="1" applyBorder="1" applyAlignment="1">
      <alignment horizontal="left"/>
    </xf>
    <xf numFmtId="0" fontId="8" fillId="0" borderId="0" xfId="609" applyNumberFormat="1" applyFont="1" applyFill="1" applyBorder="1" applyAlignment="1"/>
    <xf numFmtId="164" fontId="6" fillId="0" borderId="0" xfId="86" applyNumberFormat="1" applyFill="1" applyBorder="1"/>
    <xf numFmtId="218" fontId="6" fillId="0" borderId="0" xfId="610" applyNumberFormat="1" applyFont="1" applyFill="1" applyAlignment="1">
      <alignment horizontal="right"/>
    </xf>
    <xf numFmtId="164" fontId="6" fillId="0" borderId="9" xfId="86" applyNumberFormat="1" applyFill="1" applyBorder="1"/>
    <xf numFmtId="5" fontId="6" fillId="0" borderId="0" xfId="611" applyNumberFormat="1" applyFill="1" applyBorder="1"/>
    <xf numFmtId="164" fontId="8" fillId="0" borderId="0" xfId="86" applyNumberFormat="1" applyFont="1" applyFill="1"/>
    <xf numFmtId="0" fontId="25" fillId="0" borderId="0" xfId="609" applyNumberFormat="1" applyFont="1" applyFill="1" applyAlignment="1"/>
    <xf numFmtId="164" fontId="6" fillId="0" borderId="9" xfId="86" applyNumberFormat="1" applyFont="1" applyFill="1" applyBorder="1"/>
    <xf numFmtId="218" fontId="6" fillId="0" borderId="0" xfId="609" applyNumberFormat="1" applyFont="1" applyFill="1" applyAlignment="1">
      <alignment horizontal="right"/>
    </xf>
    <xf numFmtId="164" fontId="6" fillId="0" borderId="0" xfId="609" applyNumberFormat="1" applyFill="1" applyAlignment="1"/>
    <xf numFmtId="164" fontId="6" fillId="0" borderId="0" xfId="86" applyNumberFormat="1" applyFont="1" applyFill="1" applyBorder="1"/>
    <xf numFmtId="164" fontId="6" fillId="0" borderId="8" xfId="86" applyNumberFormat="1" applyFill="1" applyBorder="1"/>
    <xf numFmtId="37" fontId="8" fillId="0" borderId="0" xfId="609" quotePrefix="1" applyNumberFormat="1" applyFont="1" applyFill="1" applyBorder="1" applyAlignment="1">
      <alignment horizontal="left"/>
    </xf>
    <xf numFmtId="218" fontId="6" fillId="0" borderId="8" xfId="610" applyNumberFormat="1" applyFont="1" applyFill="1" applyBorder="1" applyAlignment="1">
      <alignment horizontal="right"/>
    </xf>
    <xf numFmtId="218" fontId="6" fillId="0" borderId="0" xfId="610" applyNumberFormat="1" applyFont="1" applyFill="1" applyBorder="1" applyAlignment="1">
      <alignment horizontal="right"/>
    </xf>
    <xf numFmtId="164" fontId="6" fillId="0" borderId="0" xfId="86" applyNumberFormat="1" applyFont="1" applyFill="1" applyAlignment="1">
      <alignment horizontal="right"/>
    </xf>
    <xf numFmtId="164" fontId="8" fillId="0" borderId="47" xfId="86" applyNumberFormat="1" applyFont="1" applyFill="1" applyBorder="1"/>
    <xf numFmtId="49" fontId="92" fillId="0" borderId="0" xfId="113" applyNumberFormat="1" applyFont="1" applyAlignment="1">
      <alignment horizontal="center" wrapText="1"/>
    </xf>
    <xf numFmtId="49" fontId="93" fillId="0" borderId="0" xfId="113" applyNumberFormat="1" applyFont="1" applyAlignment="1">
      <alignment horizontal="center" wrapText="1"/>
    </xf>
    <xf numFmtId="49" fontId="93" fillId="0" borderId="0" xfId="113" applyNumberFormat="1" applyFont="1" applyAlignment="1">
      <alignment horizontal="center"/>
    </xf>
    <xf numFmtId="218" fontId="94" fillId="0" borderId="0" xfId="113" applyNumberFormat="1" applyFont="1" applyAlignment="1">
      <alignment horizontal="left"/>
    </xf>
    <xf numFmtId="218" fontId="92" fillId="0" borderId="0" xfId="113" applyNumberFormat="1" applyFont="1" applyAlignment="1">
      <alignment horizontal="right"/>
    </xf>
    <xf numFmtId="218" fontId="93" fillId="0" borderId="0" xfId="113" applyNumberFormat="1" applyFont="1" applyAlignment="1">
      <alignment horizontal="left"/>
    </xf>
    <xf numFmtId="218" fontId="92" fillId="0" borderId="0" xfId="113" applyNumberFormat="1" applyFont="1" applyAlignment="1">
      <alignment horizontal="left"/>
    </xf>
    <xf numFmtId="218" fontId="92" fillId="0" borderId="8" xfId="113" applyNumberFormat="1" applyFont="1" applyBorder="1" applyAlignment="1">
      <alignment horizontal="right"/>
    </xf>
    <xf numFmtId="49" fontId="19" fillId="0" borderId="0" xfId="113" applyNumberFormat="1" applyFont="1" applyFill="1" applyAlignment="1">
      <alignment horizontal="left"/>
    </xf>
    <xf numFmtId="0" fontId="19" fillId="0" borderId="0" xfId="113" applyFont="1" applyFill="1"/>
    <xf numFmtId="43" fontId="20" fillId="0" borderId="0" xfId="114" applyFont="1" applyFill="1" applyBorder="1"/>
    <xf numFmtId="218" fontId="92" fillId="0" borderId="7" xfId="113" applyNumberFormat="1" applyFont="1" applyBorder="1" applyAlignment="1">
      <alignment horizontal="right"/>
    </xf>
    <xf numFmtId="0" fontId="95" fillId="0" borderId="0" xfId="113" applyFont="1" applyFill="1" applyAlignment="1">
      <alignment horizontal="left"/>
    </xf>
    <xf numFmtId="0" fontId="95" fillId="0" borderId="0" xfId="113" applyFont="1" applyFill="1"/>
    <xf numFmtId="218" fontId="96" fillId="0" borderId="0" xfId="113" applyNumberFormat="1" applyFont="1" applyAlignment="1">
      <alignment horizontal="left"/>
    </xf>
    <xf numFmtId="218" fontId="97" fillId="0" borderId="0" xfId="113" applyNumberFormat="1" applyFont="1" applyAlignment="1">
      <alignment horizontal="left"/>
    </xf>
    <xf numFmtId="218" fontId="98" fillId="0" borderId="0" xfId="113" applyNumberFormat="1" applyFont="1" applyAlignment="1">
      <alignment horizontal="left"/>
    </xf>
    <xf numFmtId="218" fontId="92" fillId="0" borderId="9" xfId="113" applyNumberFormat="1" applyFont="1" applyBorder="1" applyAlignment="1">
      <alignment horizontal="right"/>
    </xf>
    <xf numFmtId="0" fontId="19" fillId="0" borderId="0" xfId="113" applyFont="1" applyFill="1" applyAlignment="1">
      <alignment horizontal="left"/>
    </xf>
    <xf numFmtId="219" fontId="19" fillId="0" borderId="0" xfId="113" applyNumberFormat="1" applyFont="1" applyFill="1" applyAlignment="1">
      <alignment horizontal="center"/>
    </xf>
    <xf numFmtId="218" fontId="92" fillId="0" borderId="0" xfId="113" applyNumberFormat="1" applyFont="1" applyBorder="1" applyAlignment="1">
      <alignment horizontal="right"/>
    </xf>
    <xf numFmtId="0" fontId="3" fillId="0" borderId="0" xfId="113"/>
    <xf numFmtId="218" fontId="92" fillId="0" borderId="47" xfId="113" applyNumberFormat="1" applyFont="1" applyBorder="1" applyAlignment="1">
      <alignment horizontal="right"/>
    </xf>
    <xf numFmtId="41" fontId="6" fillId="0" borderId="0" xfId="113" applyNumberFormat="1" applyFont="1" applyFill="1" applyBorder="1"/>
    <xf numFmtId="0" fontId="86" fillId="0" borderId="0" xfId="520"/>
    <xf numFmtId="4" fontId="99" fillId="0" borderId="0" xfId="520" applyNumberFormat="1" applyFont="1"/>
    <xf numFmtId="0" fontId="99" fillId="0" borderId="0" xfId="520" applyFont="1"/>
    <xf numFmtId="4" fontId="86" fillId="0" borderId="0" xfId="520" applyNumberFormat="1"/>
    <xf numFmtId="43" fontId="0" fillId="0" borderId="0" xfId="612" applyFont="1" applyAlignment="1">
      <alignment wrapText="1"/>
    </xf>
    <xf numFmtId="0" fontId="67" fillId="0" borderId="0" xfId="520" applyFont="1"/>
    <xf numFmtId="4" fontId="86" fillId="0" borderId="0" xfId="520" applyNumberFormat="1" applyFont="1"/>
    <xf numFmtId="43" fontId="99" fillId="0" borderId="0" xfId="612" applyFont="1" applyFill="1" applyAlignment="1">
      <alignment wrapText="1"/>
    </xf>
    <xf numFmtId="4" fontId="99" fillId="0" borderId="0" xfId="520" applyNumberFormat="1" applyFont="1" applyFill="1"/>
    <xf numFmtId="0" fontId="99" fillId="0" borderId="0" xfId="520" applyFont="1" applyFill="1"/>
    <xf numFmtId="4" fontId="86" fillId="0" borderId="0" xfId="520" applyNumberFormat="1" applyFont="1" applyFill="1"/>
    <xf numFmtId="4" fontId="86" fillId="0" borderId="0" xfId="520" applyNumberFormat="1" applyFill="1"/>
    <xf numFmtId="43" fontId="86" fillId="0" borderId="0" xfId="612" applyFont="1" applyFill="1" applyAlignment="1">
      <alignment wrapText="1"/>
    </xf>
    <xf numFmtId="218" fontId="86" fillId="0" borderId="0" xfId="520" applyNumberFormat="1"/>
    <xf numFmtId="218" fontId="86" fillId="0" borderId="0" xfId="613" applyNumberFormat="1" applyFont="1" applyAlignment="1">
      <alignment horizontal="left"/>
    </xf>
    <xf numFmtId="218" fontId="99" fillId="0" borderId="0" xfId="613" applyNumberFormat="1" applyFont="1" applyFill="1" applyAlignment="1">
      <alignment horizontal="right"/>
    </xf>
    <xf numFmtId="10" fontId="99" fillId="0" borderId="0" xfId="614" applyNumberFormat="1" applyFont="1"/>
    <xf numFmtId="10" fontId="86" fillId="0" borderId="0" xfId="520" applyNumberFormat="1"/>
    <xf numFmtId="43" fontId="86" fillId="0" borderId="0" xfId="520" applyNumberFormat="1"/>
    <xf numFmtId="0" fontId="86" fillId="0" borderId="8" xfId="520" applyBorder="1" applyAlignment="1">
      <alignment horizontal="center"/>
    </xf>
    <xf numFmtId="3" fontId="100" fillId="0" borderId="0" xfId="520" applyNumberFormat="1" applyFont="1" applyFill="1"/>
    <xf numFmtId="3" fontId="86" fillId="0" borderId="0" xfId="520" applyNumberFormat="1"/>
    <xf numFmtId="218" fontId="86" fillId="0" borderId="0" xfId="520" applyNumberFormat="1" applyFont="1" applyAlignment="1">
      <alignment horizontal="right"/>
    </xf>
    <xf numFmtId="218" fontId="86" fillId="0" borderId="0" xfId="520" applyNumberFormat="1" applyFont="1" applyAlignment="1">
      <alignment horizontal="left"/>
    </xf>
    <xf numFmtId="43" fontId="86" fillId="0" borderId="0" xfId="612" applyAlignment="1">
      <alignment wrapText="1"/>
    </xf>
    <xf numFmtId="3" fontId="86" fillId="0" borderId="0" xfId="520" applyNumberFormat="1" applyFont="1"/>
    <xf numFmtId="3" fontId="99" fillId="0" borderId="0" xfId="520" applyNumberFormat="1" applyFont="1"/>
    <xf numFmtId="3" fontId="86" fillId="0" borderId="0" xfId="520" applyNumberFormat="1" applyFill="1"/>
    <xf numFmtId="3" fontId="100" fillId="0" borderId="0" xfId="612" applyNumberFormat="1" applyFont="1" applyAlignment="1">
      <alignment wrapText="1"/>
    </xf>
    <xf numFmtId="3" fontId="86" fillId="0" borderId="9" xfId="612" applyNumberFormat="1" applyBorder="1" applyAlignment="1">
      <alignment wrapText="1"/>
    </xf>
    <xf numFmtId="3" fontId="86" fillId="0" borderId="0" xfId="612" applyNumberFormat="1" applyBorder="1" applyAlignment="1">
      <alignment wrapText="1"/>
    </xf>
    <xf numFmtId="3" fontId="100" fillId="0" borderId="0" xfId="520" applyNumberFormat="1" applyFont="1"/>
    <xf numFmtId="218" fontId="101" fillId="0" borderId="0" xfId="615" applyNumberFormat="1" applyFont="1" applyAlignment="1">
      <alignment horizontal="right"/>
    </xf>
    <xf numFmtId="3" fontId="86" fillId="0" borderId="9" xfId="520" applyNumberFormat="1" applyBorder="1"/>
    <xf numFmtId="3" fontId="86" fillId="0" borderId="0" xfId="520" applyNumberFormat="1" applyBorder="1"/>
    <xf numFmtId="3" fontId="86" fillId="0" borderId="0" xfId="612" applyNumberFormat="1" applyAlignment="1">
      <alignment wrapText="1"/>
    </xf>
    <xf numFmtId="41" fontId="102" fillId="0" borderId="0" xfId="520" applyNumberFormat="1" applyFont="1" applyFill="1" applyAlignment="1"/>
    <xf numFmtId="0" fontId="86" fillId="0" borderId="0" xfId="520" applyAlignment="1">
      <alignment wrapText="1"/>
    </xf>
    <xf numFmtId="3" fontId="86" fillId="0" borderId="0" xfId="612" applyNumberFormat="1" applyFont="1" applyAlignment="1">
      <alignment wrapText="1"/>
    </xf>
    <xf numFmtId="218" fontId="101" fillId="0" borderId="0" xfId="613" applyNumberFormat="1" applyFont="1" applyAlignment="1">
      <alignment horizontal="right"/>
    </xf>
    <xf numFmtId="0" fontId="86" fillId="0" borderId="32" xfId="520" applyBorder="1"/>
    <xf numFmtId="0" fontId="86" fillId="0" borderId="33" xfId="520" applyBorder="1"/>
    <xf numFmtId="0" fontId="86" fillId="0" borderId="34" xfId="520" applyBorder="1"/>
    <xf numFmtId="218" fontId="86" fillId="0" borderId="36" xfId="613" applyNumberFormat="1" applyFont="1" applyBorder="1" applyAlignment="1">
      <alignment horizontal="left"/>
    </xf>
    <xf numFmtId="218" fontId="100" fillId="0" borderId="0" xfId="613" applyNumberFormat="1" applyFont="1" applyBorder="1" applyAlignment="1">
      <alignment horizontal="right"/>
    </xf>
    <xf numFmtId="218" fontId="100" fillId="0" borderId="37" xfId="613" applyNumberFormat="1" applyFont="1" applyBorder="1" applyAlignment="1">
      <alignment horizontal="right"/>
    </xf>
    <xf numFmtId="0" fontId="86" fillId="0" borderId="36" xfId="520" applyBorder="1"/>
    <xf numFmtId="0" fontId="86" fillId="0" borderId="0" xfId="520" applyBorder="1"/>
    <xf numFmtId="218" fontId="86" fillId="0" borderId="37" xfId="520" applyNumberFormat="1" applyBorder="1"/>
    <xf numFmtId="0" fontId="86" fillId="0" borderId="48" xfId="520" applyBorder="1"/>
    <xf numFmtId="43" fontId="86" fillId="0" borderId="0" xfId="612" applyBorder="1" applyAlignment="1">
      <alignment wrapText="1"/>
    </xf>
    <xf numFmtId="43" fontId="86" fillId="0" borderId="37" xfId="612" applyBorder="1" applyAlignment="1">
      <alignment wrapText="1"/>
    </xf>
    <xf numFmtId="10" fontId="100" fillId="0" borderId="0" xfId="614" applyNumberFormat="1" applyFont="1" applyBorder="1"/>
    <xf numFmtId="0" fontId="86" fillId="0" borderId="37" xfId="520" applyBorder="1"/>
    <xf numFmtId="0" fontId="86" fillId="0" borderId="38" xfId="520" applyBorder="1"/>
    <xf numFmtId="10" fontId="86" fillId="0" borderId="39" xfId="520" applyNumberFormat="1" applyBorder="1"/>
    <xf numFmtId="0" fontId="86" fillId="0" borderId="39" xfId="520" applyBorder="1"/>
    <xf numFmtId="0" fontId="86" fillId="0" borderId="40" xfId="520" applyBorder="1"/>
    <xf numFmtId="0" fontId="86" fillId="0" borderId="0" xfId="520" applyBorder="1" applyAlignment="1">
      <alignment horizontal="center"/>
    </xf>
    <xf numFmtId="0" fontId="86" fillId="0" borderId="8" xfId="520" applyFill="1" applyBorder="1" applyAlignment="1">
      <alignment horizontal="center"/>
    </xf>
    <xf numFmtId="42" fontId="86" fillId="0" borderId="0" xfId="520" applyNumberFormat="1"/>
    <xf numFmtId="42" fontId="103" fillId="0" borderId="0" xfId="520" applyNumberFormat="1" applyFont="1"/>
    <xf numFmtId="42" fontId="86" fillId="0" borderId="9" xfId="520" applyNumberFormat="1" applyBorder="1"/>
    <xf numFmtId="42" fontId="86" fillId="0" borderId="0" xfId="520" applyNumberFormat="1" applyBorder="1"/>
    <xf numFmtId="42" fontId="99" fillId="0" borderId="0" xfId="520" applyNumberFormat="1" applyFont="1" applyFill="1" applyBorder="1" applyAlignment="1"/>
    <xf numFmtId="42" fontId="99" fillId="0" borderId="0" xfId="520" applyNumberFormat="1" applyFont="1"/>
    <xf numFmtId="42" fontId="86" fillId="0" borderId="0" xfId="520" applyNumberFormat="1" applyFont="1" applyFill="1" applyBorder="1" applyAlignment="1"/>
    <xf numFmtId="42" fontId="99" fillId="0" borderId="0" xfId="612" applyNumberFormat="1" applyFont="1" applyFill="1" applyBorder="1"/>
    <xf numFmtId="42" fontId="99" fillId="0" borderId="0" xfId="520" applyNumberFormat="1" applyFont="1" applyFill="1"/>
    <xf numFmtId="0" fontId="86" fillId="0" borderId="0" xfId="520" applyAlignment="1">
      <alignment vertical="top"/>
    </xf>
    <xf numFmtId="42" fontId="86" fillId="0" borderId="0" xfId="520" applyNumberFormat="1" applyAlignment="1">
      <alignment vertical="top"/>
    </xf>
    <xf numFmtId="42" fontId="86" fillId="0" borderId="0" xfId="520" applyNumberFormat="1" applyAlignment="1">
      <alignment vertical="top" wrapText="1"/>
    </xf>
    <xf numFmtId="0" fontId="86" fillId="0" borderId="0" xfId="520" applyAlignment="1">
      <alignment vertical="top" wrapText="1"/>
    </xf>
    <xf numFmtId="0" fontId="6" fillId="0" borderId="0" xfId="501" applyNumberFormat="1" applyAlignment="1">
      <alignment horizontal="center"/>
    </xf>
    <xf numFmtId="0" fontId="6" fillId="0" borderId="0" xfId="501"/>
    <xf numFmtId="0" fontId="8" fillId="0" borderId="0" xfId="501" applyFont="1"/>
    <xf numFmtId="0" fontId="8" fillId="0" borderId="0" xfId="501" applyFont="1" applyAlignment="1">
      <alignment horizontal="center"/>
    </xf>
    <xf numFmtId="0" fontId="8" fillId="0" borderId="0" xfId="501" applyNumberFormat="1" applyFont="1" applyAlignment="1">
      <alignment horizontal="center"/>
    </xf>
    <xf numFmtId="10" fontId="8" fillId="0" borderId="0" xfId="501" applyNumberFormat="1" applyFont="1" applyAlignment="1">
      <alignment horizontal="center"/>
    </xf>
    <xf numFmtId="43" fontId="0" fillId="0" borderId="0" xfId="394" applyFont="1"/>
    <xf numFmtId="43" fontId="6" fillId="0" borderId="0" xfId="501" applyNumberFormat="1"/>
    <xf numFmtId="0" fontId="104" fillId="0" borderId="75" xfId="616" applyBorder="1"/>
    <xf numFmtId="0" fontId="104" fillId="0" borderId="0" xfId="616"/>
    <xf numFmtId="0" fontId="104" fillId="6" borderId="75" xfId="616" applyFill="1" applyBorder="1"/>
    <xf numFmtId="0" fontId="104" fillId="6" borderId="0" xfId="616" applyFill="1"/>
    <xf numFmtId="0" fontId="104" fillId="0" borderId="75" xfId="616" applyBorder="1" applyAlignment="1">
      <alignment horizontal="left"/>
    </xf>
    <xf numFmtId="0" fontId="104" fillId="6" borderId="75" xfId="616" applyFill="1" applyBorder="1" applyAlignment="1">
      <alignment horizontal="left"/>
    </xf>
    <xf numFmtId="0" fontId="104" fillId="0" borderId="76" xfId="616" applyBorder="1"/>
    <xf numFmtId="0" fontId="104" fillId="0" borderId="77" xfId="616" applyBorder="1"/>
    <xf numFmtId="0" fontId="104" fillId="6" borderId="76" xfId="616" applyFill="1" applyBorder="1"/>
    <xf numFmtId="0" fontId="104" fillId="6" borderId="77" xfId="616" applyFill="1" applyBorder="1"/>
    <xf numFmtId="0" fontId="104" fillId="6" borderId="77" xfId="616" quotePrefix="1" applyFill="1" applyBorder="1" applyAlignment="1">
      <alignment horizontal="left"/>
    </xf>
    <xf numFmtId="0" fontId="104" fillId="0" borderId="76" xfId="616" applyBorder="1" applyAlignment="1">
      <alignment horizontal="center"/>
    </xf>
    <xf numFmtId="44" fontId="104" fillId="0" borderId="77" xfId="616" applyNumberFormat="1" applyBorder="1"/>
    <xf numFmtId="0" fontId="104" fillId="6" borderId="76" xfId="616" applyFill="1" applyBorder="1" applyAlignment="1">
      <alignment horizontal="center"/>
    </xf>
    <xf numFmtId="44" fontId="104" fillId="6" borderId="22" xfId="616" applyNumberFormat="1" applyFill="1" applyBorder="1"/>
    <xf numFmtId="10" fontId="104" fillId="6" borderId="22" xfId="617" applyNumberFormat="1" applyFont="1" applyFill="1" applyBorder="1"/>
    <xf numFmtId="0" fontId="104" fillId="0" borderId="78" xfId="616" applyBorder="1" applyAlignment="1">
      <alignment horizontal="center"/>
    </xf>
    <xf numFmtId="44" fontId="104" fillId="0" borderId="79" xfId="616" applyNumberFormat="1" applyBorder="1"/>
    <xf numFmtId="0" fontId="104" fillId="6" borderId="78" xfId="616" applyFill="1" applyBorder="1" applyAlignment="1">
      <alignment horizontal="center"/>
    </xf>
    <xf numFmtId="44" fontId="104" fillId="6" borderId="21" xfId="616" applyNumberFormat="1" applyFill="1" applyBorder="1"/>
    <xf numFmtId="10" fontId="104" fillId="6" borderId="21" xfId="617" applyNumberFormat="1" applyFont="1" applyFill="1" applyBorder="1"/>
    <xf numFmtId="0" fontId="104" fillId="0" borderId="80" xfId="616" applyBorder="1"/>
    <xf numFmtId="44" fontId="104" fillId="0" borderId="75" xfId="616" applyNumberFormat="1" applyBorder="1"/>
    <xf numFmtId="0" fontId="104" fillId="6" borderId="80" xfId="616" applyFill="1" applyBorder="1"/>
    <xf numFmtId="44" fontId="104" fillId="6" borderId="75" xfId="616" applyNumberFormat="1" applyFill="1" applyBorder="1"/>
    <xf numFmtId="10" fontId="104" fillId="6" borderId="75" xfId="617" applyNumberFormat="1" applyFont="1" applyFill="1" applyBorder="1"/>
    <xf numFmtId="0" fontId="104" fillId="47" borderId="75" xfId="616" applyFill="1" applyBorder="1"/>
    <xf numFmtId="0" fontId="104" fillId="47" borderId="0" xfId="616" applyFill="1"/>
    <xf numFmtId="0" fontId="104" fillId="47" borderId="75" xfId="616" applyFill="1" applyBorder="1" applyAlignment="1">
      <alignment horizontal="left"/>
    </xf>
    <xf numFmtId="0" fontId="104" fillId="47" borderId="76" xfId="616" applyFill="1" applyBorder="1"/>
    <xf numFmtId="0" fontId="104" fillId="47" borderId="77" xfId="616" applyFill="1" applyBorder="1"/>
    <xf numFmtId="0" fontId="104" fillId="47" borderId="77" xfId="616" quotePrefix="1" applyFill="1" applyBorder="1" applyAlignment="1">
      <alignment horizontal="left"/>
    </xf>
    <xf numFmtId="0" fontId="104" fillId="0" borderId="76" xfId="616" applyFill="1" applyBorder="1" applyAlignment="1">
      <alignment horizontal="center"/>
    </xf>
    <xf numFmtId="44" fontId="104" fillId="0" borderId="77" xfId="616" applyNumberFormat="1" applyFill="1" applyBorder="1"/>
    <xf numFmtId="0" fontId="104" fillId="0" borderId="0" xfId="616" applyFill="1"/>
    <xf numFmtId="0" fontId="104" fillId="47" borderId="76" xfId="616" applyFill="1" applyBorder="1" applyAlignment="1">
      <alignment horizontal="center"/>
    </xf>
    <xf numFmtId="44" fontId="104" fillId="47" borderId="22" xfId="616" applyNumberFormat="1" applyFill="1" applyBorder="1"/>
    <xf numFmtId="10" fontId="104" fillId="47" borderId="22" xfId="617" applyNumberFormat="1" applyFont="1" applyFill="1" applyBorder="1"/>
    <xf numFmtId="44" fontId="104" fillId="0" borderId="0" xfId="616" applyNumberFormat="1"/>
    <xf numFmtId="0" fontId="104" fillId="0" borderId="78" xfId="616" applyFill="1" applyBorder="1" applyAlignment="1">
      <alignment horizontal="center"/>
    </xf>
    <xf numFmtId="44" fontId="104" fillId="0" borderId="79" xfId="616" applyNumberFormat="1" applyFill="1" applyBorder="1"/>
    <xf numFmtId="0" fontId="104" fillId="47" borderId="78" xfId="616" applyFill="1" applyBorder="1" applyAlignment="1">
      <alignment horizontal="center"/>
    </xf>
    <xf numFmtId="44" fontId="104" fillId="47" borderId="21" xfId="616" applyNumberFormat="1" applyFill="1" applyBorder="1"/>
    <xf numFmtId="10" fontId="104" fillId="47" borderId="21" xfId="617" applyNumberFormat="1" applyFont="1" applyFill="1" applyBorder="1"/>
    <xf numFmtId="0" fontId="104" fillId="0" borderId="78" xfId="616" applyFont="1" applyBorder="1" applyAlignment="1">
      <alignment horizontal="center"/>
    </xf>
    <xf numFmtId="44" fontId="104" fillId="47" borderId="20" xfId="616" applyNumberFormat="1" applyFill="1" applyBorder="1"/>
    <xf numFmtId="10" fontId="104" fillId="47" borderId="20" xfId="617" applyNumberFormat="1" applyFont="1" applyFill="1" applyBorder="1"/>
    <xf numFmtId="0" fontId="104" fillId="47" borderId="80" xfId="616" applyFill="1" applyBorder="1"/>
    <xf numFmtId="44" fontId="104" fillId="47" borderId="81" xfId="616" applyNumberFormat="1" applyFill="1" applyBorder="1"/>
    <xf numFmtId="10" fontId="104" fillId="47" borderId="81" xfId="617" applyNumberFormat="1" applyFont="1" applyFill="1" applyBorder="1"/>
    <xf numFmtId="0" fontId="104" fillId="0" borderId="8" xfId="616" applyBorder="1"/>
    <xf numFmtId="0" fontId="104" fillId="0" borderId="81" xfId="616" applyBorder="1"/>
    <xf numFmtId="0" fontId="104" fillId="0" borderId="81" xfId="616" applyBorder="1" applyAlignment="1">
      <alignment horizontal="left"/>
    </xf>
    <xf numFmtId="0" fontId="104" fillId="0" borderId="77" xfId="616" quotePrefix="1" applyBorder="1" applyAlignment="1">
      <alignment horizontal="left"/>
    </xf>
    <xf numFmtId="10" fontId="104" fillId="0" borderId="77" xfId="617" applyNumberFormat="1" applyFont="1" applyBorder="1"/>
    <xf numFmtId="0" fontId="104" fillId="0" borderId="78" xfId="616" applyBorder="1"/>
    <xf numFmtId="10" fontId="104" fillId="0" borderId="79" xfId="617" applyNumberFormat="1" applyFont="1" applyBorder="1"/>
    <xf numFmtId="10" fontId="104" fillId="0" borderId="75" xfId="617" applyNumberFormat="1" applyFont="1" applyBorder="1"/>
    <xf numFmtId="0" fontId="8" fillId="0" borderId="0" xfId="875" applyFont="1"/>
    <xf numFmtId="0" fontId="4" fillId="0" borderId="0" xfId="875"/>
    <xf numFmtId="0" fontId="4" fillId="0" borderId="0" xfId="875" applyBorder="1"/>
    <xf numFmtId="164" fontId="4" fillId="0" borderId="0" xfId="875" applyNumberFormat="1" applyFill="1" applyBorder="1"/>
    <xf numFmtId="164" fontId="4" fillId="0" borderId="0" xfId="875" applyNumberFormat="1" applyBorder="1"/>
    <xf numFmtId="0" fontId="4" fillId="0" borderId="8" xfId="875" applyBorder="1" applyAlignment="1">
      <alignment horizontal="center"/>
    </xf>
    <xf numFmtId="17" fontId="4" fillId="0" borderId="8" xfId="875" applyNumberFormat="1" applyBorder="1" applyAlignment="1">
      <alignment horizontal="center"/>
    </xf>
    <xf numFmtId="164" fontId="4" fillId="0" borderId="8" xfId="875" applyNumberFormat="1" applyFont="1" applyBorder="1" applyAlignment="1">
      <alignment horizontal="center"/>
    </xf>
    <xf numFmtId="0" fontId="4" fillId="0" borderId="0" xfId="875" applyBorder="1" applyAlignment="1">
      <alignment horizontal="left"/>
    </xf>
    <xf numFmtId="3" fontId="22" fillId="0" borderId="0" xfId="875" applyNumberFormat="1" applyFont="1" applyBorder="1"/>
    <xf numFmtId="3" fontId="4" fillId="0" borderId="0" xfId="875" applyNumberFormat="1" applyBorder="1"/>
    <xf numFmtId="3" fontId="4" fillId="0" borderId="0" xfId="875" applyNumberFormat="1" applyBorder="1" applyAlignment="1">
      <alignment horizontal="right"/>
    </xf>
    <xf numFmtId="0" fontId="4" fillId="0" borderId="0" xfId="875" applyFont="1" applyBorder="1"/>
    <xf numFmtId="0" fontId="4" fillId="0" borderId="0" xfId="875" applyFont="1" applyBorder="1" applyAlignment="1">
      <alignment horizontal="left"/>
    </xf>
    <xf numFmtId="3" fontId="4" fillId="0" borderId="9" xfId="875" applyNumberFormat="1" applyBorder="1"/>
    <xf numFmtId="0" fontId="4" fillId="0" borderId="0" xfId="875" applyFill="1" applyBorder="1" applyAlignment="1">
      <alignment horizontal="left"/>
    </xf>
    <xf numFmtId="3" fontId="4" fillId="0" borderId="0" xfId="875" applyNumberFormat="1" applyFont="1" applyBorder="1"/>
    <xf numFmtId="3" fontId="4" fillId="0" borderId="0" xfId="875" applyNumberFormat="1" applyBorder="1" applyAlignment="1">
      <alignment horizontal="left"/>
    </xf>
    <xf numFmtId="0" fontId="4" fillId="0" borderId="0" xfId="875" applyFont="1" applyFill="1" applyBorder="1"/>
    <xf numFmtId="3" fontId="4" fillId="0" borderId="0" xfId="875" applyNumberFormat="1" applyFont="1" applyBorder="1" applyAlignment="1">
      <alignment horizontal="right"/>
    </xf>
    <xf numFmtId="0" fontId="4" fillId="0" borderId="0" xfId="875" applyFont="1" applyAlignment="1">
      <alignment horizontal="left"/>
    </xf>
    <xf numFmtId="3" fontId="4" fillId="0" borderId="0" xfId="875" applyNumberFormat="1"/>
    <xf numFmtId="0" fontId="4" fillId="0" borderId="0" xfId="875" applyAlignment="1">
      <alignment horizontal="left"/>
    </xf>
    <xf numFmtId="3" fontId="4" fillId="0" borderId="0" xfId="875" applyNumberFormat="1" applyFont="1" applyAlignment="1">
      <alignment horizontal="right"/>
    </xf>
    <xf numFmtId="0" fontId="4" fillId="0" borderId="0" xfId="875" applyFont="1"/>
    <xf numFmtId="3" fontId="4" fillId="0" borderId="9" xfId="875" applyNumberFormat="1" applyFont="1" applyBorder="1" applyAlignment="1">
      <alignment horizontal="right"/>
    </xf>
    <xf numFmtId="3" fontId="4" fillId="0" borderId="0" xfId="875" applyNumberFormat="1" applyFont="1"/>
    <xf numFmtId="0" fontId="8" fillId="0" borderId="0" xfId="941" applyFont="1"/>
    <xf numFmtId="0" fontId="8" fillId="0" borderId="0" xfId="941" applyFont="1" applyAlignment="1">
      <alignment horizontal="right"/>
    </xf>
    <xf numFmtId="3" fontId="54" fillId="0" borderId="0" xfId="941" applyNumberFormat="1" applyFont="1"/>
    <xf numFmtId="0" fontId="54" fillId="0" borderId="0" xfId="941" applyFont="1"/>
    <xf numFmtId="17" fontId="4" fillId="0" borderId="8" xfId="941" applyNumberFormat="1" applyFont="1" applyBorder="1" applyAlignment="1">
      <alignment horizontal="center"/>
    </xf>
    <xf numFmtId="0" fontId="4" fillId="0" borderId="8" xfId="941" applyFont="1" applyBorder="1" applyAlignment="1">
      <alignment horizontal="center"/>
    </xf>
    <xf numFmtId="0" fontId="54" fillId="0" borderId="0" xfId="941" applyFont="1" applyFill="1"/>
    <xf numFmtId="0" fontId="4" fillId="0" borderId="0" xfId="941" applyFont="1" applyFill="1" applyAlignment="1">
      <alignment horizontal="right"/>
    </xf>
    <xf numFmtId="3" fontId="53" fillId="0" borderId="0" xfId="941" applyNumberFormat="1" applyFont="1" applyFill="1"/>
    <xf numFmtId="3" fontId="54" fillId="0" borderId="0" xfId="941" applyNumberFormat="1" applyFont="1" applyFill="1"/>
    <xf numFmtId="0" fontId="54" fillId="0" borderId="0" xfId="941" applyFont="1" applyAlignment="1">
      <alignment horizontal="right"/>
    </xf>
    <xf numFmtId="3" fontId="54" fillId="0" borderId="9" xfId="941" applyNumberFormat="1" applyFont="1" applyFill="1" applyBorder="1"/>
    <xf numFmtId="0" fontId="4" fillId="0" borderId="0" xfId="875" applyFont="1" applyFill="1" applyBorder="1" applyAlignment="1">
      <alignment horizontal="left"/>
    </xf>
    <xf numFmtId="164" fontId="4" fillId="0" borderId="8" xfId="875" applyNumberFormat="1" applyBorder="1"/>
    <xf numFmtId="0" fontId="4" fillId="0" borderId="8" xfId="875" applyBorder="1"/>
    <xf numFmtId="164" fontId="4" fillId="0" borderId="0" xfId="875" applyNumberFormat="1" applyFont="1" applyBorder="1"/>
    <xf numFmtId="164" fontId="4" fillId="0" borderId="8" xfId="875" applyNumberFormat="1" applyFill="1" applyBorder="1"/>
    <xf numFmtId="0" fontId="4" fillId="0" borderId="8" xfId="875" applyBorder="1" applyAlignment="1">
      <alignment horizontal="center" wrapText="1"/>
    </xf>
    <xf numFmtId="165" fontId="4" fillId="0" borderId="0" xfId="875" applyNumberFormat="1"/>
    <xf numFmtId="164" fontId="22" fillId="0" borderId="0" xfId="2" applyNumberFormat="1" applyFont="1" applyFill="1"/>
    <xf numFmtId="164" fontId="4" fillId="0" borderId="0" xfId="875" applyNumberFormat="1"/>
    <xf numFmtId="164" fontId="4" fillId="0" borderId="0" xfId="2" applyNumberFormat="1" applyFont="1"/>
    <xf numFmtId="44" fontId="4" fillId="0" borderId="0" xfId="875" applyNumberFormat="1"/>
    <xf numFmtId="0" fontId="4" fillId="0" borderId="0" xfId="875" applyFill="1"/>
    <xf numFmtId="0" fontId="4" fillId="0" borderId="0" xfId="875" applyFill="1" applyAlignment="1">
      <alignment horizontal="center"/>
    </xf>
    <xf numFmtId="0" fontId="4" fillId="0" borderId="0" xfId="875" applyBorder="1" applyAlignment="1">
      <alignment horizontal="center"/>
    </xf>
    <xf numFmtId="164" fontId="4" fillId="0" borderId="0" xfId="2" applyNumberFormat="1" applyBorder="1"/>
    <xf numFmtId="178" fontId="0" fillId="0" borderId="0" xfId="23" applyNumberFormat="1" applyFont="1" applyBorder="1"/>
    <xf numFmtId="0" fontId="8" fillId="0" borderId="0" xfId="875" applyFont="1" applyFill="1"/>
    <xf numFmtId="0" fontId="4" fillId="0" borderId="0" xfId="875" applyNumberFormat="1"/>
    <xf numFmtId="0" fontId="4" fillId="0" borderId="0" xfId="875" applyFill="1" applyBorder="1"/>
    <xf numFmtId="0" fontId="4" fillId="0" borderId="19" xfId="875" applyBorder="1"/>
    <xf numFmtId="0" fontId="4" fillId="0" borderId="0" xfId="875" applyFont="1" applyFill="1"/>
    <xf numFmtId="0" fontId="4" fillId="0" borderId="7" xfId="875" applyFont="1" applyBorder="1" applyAlignment="1">
      <alignment horizontal="center"/>
    </xf>
    <xf numFmtId="0" fontId="4" fillId="0" borderId="0" xfId="875" applyBorder="1" applyAlignment="1">
      <alignment horizontal="right"/>
    </xf>
    <xf numFmtId="0" fontId="4" fillId="0" borderId="0" xfId="875" applyAlignment="1">
      <alignment horizontal="center"/>
    </xf>
    <xf numFmtId="164" fontId="0" fillId="0" borderId="9" xfId="2" applyNumberFormat="1" applyFont="1" applyBorder="1"/>
    <xf numFmtId="0" fontId="4" fillId="0" borderId="0" xfId="875" applyFont="1" applyAlignment="1">
      <alignment horizontal="right"/>
    </xf>
    <xf numFmtId="9" fontId="4" fillId="0" borderId="9" xfId="875" applyNumberFormat="1" applyBorder="1"/>
    <xf numFmtId="221" fontId="19" fillId="0" borderId="0" xfId="942"/>
    <xf numFmtId="221" fontId="20" fillId="0" borderId="0" xfId="942" applyNumberFormat="1" applyFont="1" applyAlignment="1" applyProtection="1"/>
    <xf numFmtId="221" fontId="19" fillId="0" borderId="0" xfId="942" applyFont="1" applyAlignment="1">
      <alignment horizontal="left"/>
    </xf>
    <xf numFmtId="221" fontId="19" fillId="0" borderId="0" xfId="942" applyFont="1"/>
    <xf numFmtId="221" fontId="19" fillId="0" borderId="0" xfId="942" applyFont="1" applyAlignment="1">
      <alignment horizontal="right"/>
    </xf>
    <xf numFmtId="7" fontId="19" fillId="0" borderId="0" xfId="942" applyNumberFormat="1" applyFont="1" applyAlignment="1" applyProtection="1">
      <alignment horizontal="right"/>
    </xf>
    <xf numFmtId="221" fontId="19" fillId="0" borderId="0" xfId="942" applyNumberFormat="1" applyFont="1" applyAlignment="1" applyProtection="1"/>
    <xf numFmtId="221" fontId="19" fillId="0" borderId="0" xfId="942" applyNumberFormat="1" applyFont="1" applyAlignment="1" applyProtection="1">
      <alignment horizontal="left"/>
    </xf>
    <xf numFmtId="221" fontId="19" fillId="0" borderId="0" xfId="942" applyNumberFormat="1" applyFont="1" applyAlignment="1" applyProtection="1">
      <alignment horizontal="right"/>
    </xf>
    <xf numFmtId="221" fontId="19" fillId="0" borderId="0" xfId="942" applyFont="1" applyAlignment="1"/>
    <xf numFmtId="5" fontId="19" fillId="0" borderId="0" xfId="942" applyNumberFormat="1" applyFont="1" applyAlignment="1" applyProtection="1">
      <alignment horizontal="right"/>
    </xf>
    <xf numFmtId="10" fontId="19" fillId="0" borderId="0" xfId="942" applyNumberFormat="1" applyFont="1" applyAlignment="1" applyProtection="1">
      <alignment horizontal="right"/>
    </xf>
    <xf numFmtId="5" fontId="112" fillId="0" borderId="0" xfId="942" applyNumberFormat="1" applyFont="1" applyAlignment="1" applyProtection="1">
      <alignment horizontal="right"/>
    </xf>
    <xf numFmtId="221" fontId="19" fillId="0" borderId="0" xfId="942" applyNumberFormat="1" applyFont="1" applyFill="1" applyAlignment="1" applyProtection="1"/>
    <xf numFmtId="221" fontId="19" fillId="0" borderId="0" xfId="942" applyFont="1" applyFill="1" applyAlignment="1">
      <alignment horizontal="left"/>
    </xf>
    <xf numFmtId="221" fontId="19" fillId="0" borderId="0" xfId="942" applyFont="1" applyFill="1"/>
    <xf numFmtId="221" fontId="19" fillId="0" borderId="0" xfId="942" applyFont="1" applyFill="1" applyAlignment="1">
      <alignment horizontal="right"/>
    </xf>
    <xf numFmtId="221" fontId="19" fillId="0" borderId="0" xfId="942" applyNumberFormat="1" applyFont="1" applyFill="1" applyAlignment="1" applyProtection="1">
      <alignment horizontal="right"/>
    </xf>
    <xf numFmtId="7" fontId="19" fillId="0" borderId="0" xfId="942" applyNumberFormat="1" applyFont="1" applyFill="1" applyAlignment="1" applyProtection="1">
      <alignment horizontal="right"/>
    </xf>
    <xf numFmtId="5" fontId="20" fillId="0" borderId="0" xfId="942" applyNumberFormat="1" applyFont="1" applyFill="1" applyAlignment="1" applyProtection="1">
      <alignment horizontal="right"/>
    </xf>
    <xf numFmtId="5" fontId="19" fillId="0" borderId="0" xfId="942" applyNumberFormat="1" applyFont="1" applyFill="1" applyAlignment="1" applyProtection="1">
      <alignment horizontal="right"/>
    </xf>
    <xf numFmtId="167" fontId="19" fillId="0" borderId="0" xfId="942" applyNumberFormat="1" applyFill="1"/>
    <xf numFmtId="10" fontId="19" fillId="0" borderId="0" xfId="942" applyNumberFormat="1" applyFont="1" applyFill="1" applyAlignment="1" applyProtection="1">
      <alignment horizontal="right"/>
    </xf>
    <xf numFmtId="5" fontId="20" fillId="0" borderId="0" xfId="942" applyNumberFormat="1" applyFont="1" applyAlignment="1" applyProtection="1">
      <alignment horizontal="right"/>
    </xf>
    <xf numFmtId="0" fontId="4" fillId="0" borderId="0" xfId="875" applyFont="1" applyAlignment="1">
      <alignment horizontal="center"/>
    </xf>
    <xf numFmtId="0" fontId="4" fillId="0" borderId="9" xfId="875" applyFont="1" applyBorder="1" applyAlignment="1">
      <alignment horizontal="center"/>
    </xf>
    <xf numFmtId="0" fontId="4" fillId="0" borderId="13" xfId="875" applyFont="1" applyBorder="1" applyAlignment="1">
      <alignment horizontal="center"/>
    </xf>
    <xf numFmtId="0" fontId="4" fillId="0" borderId="18" xfId="875" applyFont="1" applyBorder="1" applyAlignment="1">
      <alignment horizontal="center"/>
    </xf>
    <xf numFmtId="0" fontId="4" fillId="0" borderId="12" xfId="875" applyFont="1" applyFill="1" applyBorder="1" applyAlignment="1">
      <alignment horizontal="center"/>
    </xf>
    <xf numFmtId="0" fontId="4" fillId="0" borderId="8" xfId="875" applyFont="1" applyBorder="1" applyAlignment="1">
      <alignment horizontal="center"/>
    </xf>
    <xf numFmtId="0" fontId="4" fillId="0" borderId="14" xfId="875" applyFont="1" applyBorder="1" applyAlignment="1">
      <alignment horizontal="center"/>
    </xf>
    <xf numFmtId="0" fontId="4" fillId="0" borderId="15" xfId="875" applyFont="1" applyBorder="1" applyAlignment="1">
      <alignment horizontal="center"/>
    </xf>
    <xf numFmtId="0" fontId="4" fillId="0" borderId="14" xfId="875" applyFont="1" applyFill="1" applyBorder="1" applyAlignment="1">
      <alignment horizontal="center"/>
    </xf>
    <xf numFmtId="44" fontId="53" fillId="0" borderId="0" xfId="7" applyNumberFormat="1" applyFont="1"/>
    <xf numFmtId="165" fontId="113" fillId="0" borderId="0" xfId="7" applyNumberFormat="1" applyFont="1"/>
    <xf numFmtId="5" fontId="113" fillId="0" borderId="0" xfId="7" applyNumberFormat="1" applyFont="1"/>
    <xf numFmtId="0" fontId="19" fillId="0" borderId="0" xfId="875" applyFont="1" applyFill="1"/>
    <xf numFmtId="0" fontId="114" fillId="0" borderId="0" xfId="875" applyFont="1" applyFill="1"/>
    <xf numFmtId="0" fontId="19" fillId="0" borderId="0" xfId="875" applyFont="1" applyFill="1" applyAlignment="1">
      <alignment horizontal="center"/>
    </xf>
    <xf numFmtId="0" fontId="19" fillId="0" borderId="21" xfId="875" applyFont="1" applyFill="1" applyBorder="1" applyAlignment="1">
      <alignment horizontal="center"/>
    </xf>
    <xf numFmtId="0" fontId="114" fillId="0" borderId="19" xfId="875" applyFont="1" applyFill="1" applyBorder="1"/>
    <xf numFmtId="0" fontId="19" fillId="0" borderId="8" xfId="875" applyFont="1" applyFill="1" applyBorder="1" applyAlignment="1">
      <alignment horizontal="centerContinuous"/>
    </xf>
    <xf numFmtId="0" fontId="19" fillId="0" borderId="15" xfId="875" applyFont="1" applyFill="1" applyBorder="1" applyAlignment="1">
      <alignment horizontal="centerContinuous"/>
    </xf>
    <xf numFmtId="0" fontId="19" fillId="0" borderId="8" xfId="875" applyFont="1" applyFill="1" applyBorder="1" applyAlignment="1">
      <alignment horizontal="center"/>
    </xf>
    <xf numFmtId="0" fontId="19" fillId="0" borderId="20" xfId="875" applyFont="1" applyFill="1" applyBorder="1" applyAlignment="1">
      <alignment horizontal="center"/>
    </xf>
    <xf numFmtId="0" fontId="19" fillId="0" borderId="7" xfId="875" applyFont="1" applyFill="1" applyBorder="1" applyAlignment="1">
      <alignment horizontal="center"/>
    </xf>
    <xf numFmtId="0" fontId="19" fillId="0" borderId="17" xfId="875" applyFont="1" applyFill="1" applyBorder="1" applyAlignment="1">
      <alignment horizontal="center"/>
    </xf>
    <xf numFmtId="0" fontId="19" fillId="0" borderId="14" xfId="875" applyFont="1" applyFill="1" applyBorder="1" applyAlignment="1">
      <alignment horizontal="center"/>
    </xf>
    <xf numFmtId="0" fontId="19" fillId="0" borderId="15" xfId="875" applyFont="1" applyFill="1" applyBorder="1" applyAlignment="1">
      <alignment horizontal="center"/>
    </xf>
    <xf numFmtId="0" fontId="19" fillId="0" borderId="16" xfId="875" applyFont="1" applyFill="1" applyBorder="1" applyAlignment="1">
      <alignment horizontal="center"/>
    </xf>
    <xf numFmtId="0" fontId="19" fillId="0" borderId="0" xfId="875" applyFont="1"/>
    <xf numFmtId="164" fontId="19" fillId="0" borderId="0" xfId="2" applyNumberFormat="1" applyFont="1"/>
    <xf numFmtId="164" fontId="19" fillId="0" borderId="0" xfId="875" applyNumberFormat="1" applyFont="1"/>
    <xf numFmtId="44" fontId="19" fillId="0" borderId="0" xfId="7" applyFont="1"/>
    <xf numFmtId="165" fontId="19" fillId="0" borderId="0" xfId="7" applyNumberFormat="1" applyFont="1"/>
    <xf numFmtId="165" fontId="19" fillId="0" borderId="0" xfId="875" applyNumberFormat="1" applyFont="1"/>
    <xf numFmtId="0" fontId="104" fillId="0" borderId="0" xfId="875" applyFont="1"/>
    <xf numFmtId="3" fontId="19" fillId="0" borderId="0" xfId="875" applyNumberFormat="1" applyFont="1"/>
    <xf numFmtId="0" fontId="4" fillId="0" borderId="7" xfId="875" applyFont="1" applyBorder="1" applyAlignment="1">
      <alignment horizontal="center" wrapText="1"/>
    </xf>
    <xf numFmtId="0" fontId="4" fillId="0" borderId="16" xfId="875" applyFont="1" applyBorder="1" applyAlignment="1">
      <alignment horizontal="center"/>
    </xf>
    <xf numFmtId="165" fontId="0" fillId="0" borderId="0" xfId="7" applyNumberFormat="1" applyFont="1" applyBorder="1"/>
    <xf numFmtId="164" fontId="0" fillId="0" borderId="8" xfId="2" applyNumberFormat="1" applyFont="1" applyBorder="1"/>
    <xf numFmtId="9" fontId="4" fillId="0" borderId="0" xfId="875" applyNumberFormat="1"/>
    <xf numFmtId="165" fontId="4" fillId="0" borderId="9" xfId="875" applyNumberFormat="1" applyBorder="1"/>
    <xf numFmtId="0" fontId="4" fillId="0" borderId="0" xfId="875" applyAlignment="1">
      <alignment horizontal="centerContinuous"/>
    </xf>
    <xf numFmtId="0" fontId="4" fillId="0" borderId="0" xfId="875" applyFill="1" applyAlignment="1">
      <alignment horizontal="centerContinuous"/>
    </xf>
    <xf numFmtId="0" fontId="8" fillId="0" borderId="0" xfId="875" applyFont="1" applyAlignment="1">
      <alignment horizontal="center"/>
    </xf>
    <xf numFmtId="14" fontId="8" fillId="0" borderId="0" xfId="875" applyNumberFormat="1" applyFont="1" applyAlignment="1">
      <alignment horizontal="center"/>
    </xf>
    <xf numFmtId="14" fontId="4" fillId="0" borderId="0" xfId="875" applyNumberFormat="1" applyFont="1" applyAlignment="1">
      <alignment horizontal="center"/>
    </xf>
    <xf numFmtId="0" fontId="8" fillId="0" borderId="0" xfId="875" applyFont="1" applyBorder="1" applyAlignment="1">
      <alignment horizontal="center"/>
    </xf>
    <xf numFmtId="42" fontId="4" fillId="0" borderId="0" xfId="875" applyNumberFormat="1"/>
    <xf numFmtId="42" fontId="4" fillId="0" borderId="8" xfId="875" applyNumberFormat="1" applyBorder="1"/>
    <xf numFmtId="42" fontId="4" fillId="0" borderId="0" xfId="875" applyNumberFormat="1" applyBorder="1"/>
    <xf numFmtId="164" fontId="0" fillId="0" borderId="0" xfId="2" applyNumberFormat="1" applyFont="1" applyBorder="1"/>
    <xf numFmtId="43" fontId="0" fillId="0" borderId="0" xfId="2" applyFont="1"/>
    <xf numFmtId="16" fontId="4" fillId="0" borderId="0" xfId="875" quotePrefix="1" applyNumberFormat="1" applyBorder="1"/>
    <xf numFmtId="0" fontId="4" fillId="0" borderId="0" xfId="875" quotePrefix="1" applyFill="1" applyBorder="1"/>
    <xf numFmtId="0" fontId="4" fillId="0" borderId="0" xfId="875" applyFont="1" applyAlignment="1">
      <alignment horizontal="centerContinuous"/>
    </xf>
    <xf numFmtId="0" fontId="4" fillId="0" borderId="0" xfId="875" applyBorder="1" applyAlignment="1">
      <alignment horizontal="center" wrapText="1"/>
    </xf>
    <xf numFmtId="0" fontId="4" fillId="0" borderId="0" xfId="875" applyFill="1" applyBorder="1" applyAlignment="1">
      <alignment horizontal="center" wrapText="1"/>
    </xf>
    <xf numFmtId="0" fontId="49" fillId="0" borderId="0" xfId="875" applyFont="1"/>
    <xf numFmtId="42" fontId="4" fillId="0" borderId="0" xfId="2" applyNumberFormat="1"/>
    <xf numFmtId="178" fontId="4" fillId="0" borderId="0" xfId="875" applyNumberFormat="1"/>
    <xf numFmtId="195" fontId="4" fillId="0" borderId="0" xfId="875" applyNumberFormat="1"/>
    <xf numFmtId="178" fontId="22" fillId="0" borderId="0" xfId="875" applyNumberFormat="1" applyFont="1" applyFill="1"/>
    <xf numFmtId="178" fontId="53" fillId="0" borderId="0" xfId="875" applyNumberFormat="1" applyFont="1" applyFill="1"/>
    <xf numFmtId="42" fontId="24" fillId="0" borderId="0" xfId="2" applyNumberFormat="1" applyFont="1" applyFill="1" applyBorder="1"/>
    <xf numFmtId="42" fontId="24" fillId="0" borderId="8" xfId="2" applyNumberFormat="1" applyFont="1" applyFill="1" applyBorder="1"/>
    <xf numFmtId="42" fontId="4" fillId="0" borderId="8" xfId="2" applyNumberFormat="1" applyBorder="1"/>
    <xf numFmtId="42" fontId="4" fillId="0" borderId="0" xfId="2" applyNumberFormat="1" applyBorder="1"/>
    <xf numFmtId="165" fontId="22" fillId="0" borderId="0" xfId="7" applyNumberFormat="1" applyFont="1" applyAlignment="1">
      <alignment horizontal="right"/>
    </xf>
    <xf numFmtId="10" fontId="4" fillId="0" borderId="0" xfId="875" applyNumberFormat="1"/>
    <xf numFmtId="10" fontId="4" fillId="0" borderId="0" xfId="23" applyNumberFormat="1"/>
    <xf numFmtId="164" fontId="22" fillId="0" borderId="0" xfId="943" applyNumberFormat="1" applyFont="1" applyFill="1" applyBorder="1">
      <alignment horizontal="left"/>
      <protection locked="0"/>
    </xf>
    <xf numFmtId="164" fontId="22" fillId="0" borderId="0" xfId="2" applyNumberFormat="1" applyFont="1" applyFill="1" applyBorder="1"/>
    <xf numFmtId="41" fontId="22" fillId="0" borderId="0" xfId="943" applyFont="1" applyFill="1" applyBorder="1">
      <alignment horizontal="left"/>
      <protection locked="0"/>
    </xf>
    <xf numFmtId="43" fontId="4" fillId="0" borderId="0" xfId="2"/>
    <xf numFmtId="164" fontId="4" fillId="0" borderId="0" xfId="2" applyNumberFormat="1" applyFont="1" applyBorder="1"/>
    <xf numFmtId="15" fontId="4" fillId="0" borderId="0" xfId="875" applyNumberFormat="1" applyBorder="1"/>
    <xf numFmtId="0" fontId="4" fillId="0" borderId="0" xfId="2" applyNumberFormat="1" applyBorder="1" applyAlignment="1">
      <alignment horizontal="left"/>
    </xf>
    <xf numFmtId="0" fontId="4" fillId="0" borderId="8" xfId="875" applyFill="1" applyBorder="1" applyAlignment="1">
      <alignment horizontal="center" wrapText="1"/>
    </xf>
    <xf numFmtId="0" fontId="4" fillId="0" borderId="0" xfId="875" applyAlignment="1">
      <alignment wrapText="1"/>
    </xf>
    <xf numFmtId="0" fontId="8" fillId="0" borderId="0" xfId="875" applyFont="1" applyBorder="1" applyAlignment="1">
      <alignment horizontal="left"/>
    </xf>
    <xf numFmtId="3" fontId="4" fillId="0" borderId="0" xfId="875" applyNumberFormat="1" applyFill="1" applyBorder="1" applyAlignment="1">
      <alignment horizontal="center" wrapText="1"/>
    </xf>
    <xf numFmtId="0" fontId="8" fillId="0" borderId="0" xfId="875" applyFont="1" applyAlignment="1">
      <alignment horizontal="left"/>
    </xf>
    <xf numFmtId="3" fontId="4" fillId="0" borderId="0" xfId="875" applyNumberFormat="1" applyFill="1" applyAlignment="1">
      <alignment horizontal="center"/>
    </xf>
    <xf numFmtId="0" fontId="4" fillId="0" borderId="0" xfId="875" applyAlignment="1"/>
    <xf numFmtId="3" fontId="4" fillId="0" borderId="0" xfId="875" applyNumberFormat="1" applyFill="1"/>
    <xf numFmtId="3" fontId="24" fillId="0" borderId="0" xfId="944" applyNumberFormat="1" applyFont="1" applyFill="1" applyAlignment="1">
      <alignment horizontal="right"/>
    </xf>
    <xf numFmtId="3" fontId="4" fillId="0" borderId="7" xfId="944" applyNumberFormat="1" applyFill="1" applyBorder="1" applyAlignment="1">
      <alignment horizontal="right"/>
    </xf>
    <xf numFmtId="3" fontId="4" fillId="0" borderId="0" xfId="944" applyNumberFormat="1" applyFill="1" applyBorder="1" applyAlignment="1">
      <alignment horizontal="right"/>
    </xf>
    <xf numFmtId="0" fontId="8" fillId="0" borderId="0" xfId="875" applyFont="1" applyFill="1" applyBorder="1"/>
    <xf numFmtId="3" fontId="4" fillId="0" borderId="0" xfId="944" applyNumberFormat="1" applyFill="1" applyAlignment="1">
      <alignment horizontal="right"/>
    </xf>
    <xf numFmtId="3" fontId="22" fillId="0" borderId="0" xfId="944" applyNumberFormat="1" applyFont="1" applyFill="1" applyAlignment="1">
      <alignment horizontal="right"/>
    </xf>
    <xf numFmtId="3" fontId="4" fillId="0" borderId="9" xfId="944" applyNumberFormat="1" applyFill="1" applyBorder="1" applyAlignment="1">
      <alignment horizontal="right"/>
    </xf>
    <xf numFmtId="3" fontId="4" fillId="0" borderId="47" xfId="944" applyNumberFormat="1" applyFill="1" applyBorder="1" applyAlignment="1">
      <alignment horizontal="right"/>
    </xf>
    <xf numFmtId="0" fontId="8" fillId="0" borderId="0" xfId="875" applyFont="1" applyAlignment="1"/>
    <xf numFmtId="3" fontId="4" fillId="0" borderId="87" xfId="944" applyNumberFormat="1" applyFill="1" applyBorder="1" applyAlignment="1">
      <alignment horizontal="right"/>
    </xf>
    <xf numFmtId="10" fontId="4" fillId="0" borderId="0" xfId="945" applyNumberFormat="1" applyFill="1"/>
    <xf numFmtId="10" fontId="4" fillId="0" borderId="0" xfId="945" applyFill="1"/>
    <xf numFmtId="3" fontId="22" fillId="0" borderId="0" xfId="944" applyNumberFormat="1" applyFont="1" applyFill="1" applyBorder="1" applyAlignment="1">
      <alignment horizontal="right"/>
    </xf>
    <xf numFmtId="3" fontId="4" fillId="0" borderId="8" xfId="944" applyNumberFormat="1" applyFill="1" applyBorder="1" applyAlignment="1">
      <alignment horizontal="right"/>
    </xf>
    <xf numFmtId="174" fontId="4" fillId="0" borderId="0" xfId="875" applyNumberFormat="1" applyBorder="1"/>
    <xf numFmtId="0" fontId="4" fillId="0" borderId="0" xfId="875" applyBorder="1" applyAlignment="1"/>
    <xf numFmtId="0" fontId="8" fillId="0" borderId="0" xfId="946" applyFont="1" applyBorder="1" applyAlignment="1">
      <alignment horizontal="centerContinuous"/>
    </xf>
    <xf numFmtId="0" fontId="4" fillId="0" borderId="0" xfId="946" applyBorder="1" applyAlignment="1">
      <alignment horizontal="centerContinuous"/>
    </xf>
    <xf numFmtId="0" fontId="4" fillId="0" borderId="0" xfId="946" applyFill="1" applyBorder="1" applyAlignment="1">
      <alignment horizontal="centerContinuous"/>
    </xf>
    <xf numFmtId="0" fontId="4" fillId="0" borderId="0" xfId="946" applyBorder="1"/>
    <xf numFmtId="0" fontId="115" fillId="0" borderId="0" xfId="946" applyFont="1" applyFill="1" applyBorder="1" applyAlignment="1">
      <alignment horizontal="centerContinuous"/>
    </xf>
    <xf numFmtId="0" fontId="8" fillId="0" borderId="0" xfId="946" applyFont="1" applyBorder="1"/>
    <xf numFmtId="0" fontId="22" fillId="0" borderId="0" xfId="946" applyFont="1" applyBorder="1" applyAlignment="1"/>
    <xf numFmtId="0" fontId="4" fillId="0" borderId="0" xfId="946" applyBorder="1" applyAlignment="1">
      <alignment horizontal="center" vertical="center"/>
    </xf>
    <xf numFmtId="0" fontId="4" fillId="0" borderId="8" xfId="946" applyBorder="1" applyAlignment="1">
      <alignment horizontal="center" wrapText="1"/>
    </xf>
    <xf numFmtId="0" fontId="4" fillId="0" borderId="8" xfId="946" applyFill="1" applyBorder="1" applyAlignment="1">
      <alignment horizontal="center" wrapText="1"/>
    </xf>
    <xf numFmtId="0" fontId="4" fillId="0" borderId="8" xfId="946" applyBorder="1" applyAlignment="1">
      <alignment horizontal="center" vertical="center" wrapText="1"/>
    </xf>
    <xf numFmtId="0" fontId="4" fillId="0" borderId="0" xfId="946" applyBorder="1" applyAlignment="1">
      <alignment horizontal="center"/>
    </xf>
    <xf numFmtId="17" fontId="4" fillId="0" borderId="0" xfId="946" applyNumberFormat="1" applyFill="1" applyBorder="1" applyAlignment="1">
      <alignment horizontal="center"/>
    </xf>
    <xf numFmtId="0" fontId="8" fillId="0" borderId="0" xfId="946" applyFont="1" applyBorder="1" applyAlignment="1">
      <alignment horizontal="left"/>
    </xf>
    <xf numFmtId="0" fontId="4" fillId="0" borderId="0" xfId="946" applyBorder="1" applyAlignment="1">
      <alignment horizontal="left"/>
    </xf>
    <xf numFmtId="0" fontId="4" fillId="0" borderId="0" xfId="946" applyBorder="1" applyAlignment="1">
      <alignment horizontal="right"/>
    </xf>
    <xf numFmtId="3" fontId="22" fillId="0" borderId="0" xfId="2" applyNumberFormat="1" applyFont="1" applyFill="1" applyBorder="1" applyAlignment="1">
      <alignment horizontal="right"/>
    </xf>
    <xf numFmtId="182" fontId="4" fillId="0" borderId="0" xfId="23" applyNumberFormat="1" applyFont="1" applyBorder="1" applyAlignment="1">
      <alignment horizontal="center"/>
    </xf>
    <xf numFmtId="3" fontId="24" fillId="0" borderId="0" xfId="2" applyNumberFormat="1" applyFont="1" applyFill="1" applyBorder="1" applyAlignment="1">
      <alignment horizontal="right"/>
    </xf>
    <xf numFmtId="0" fontId="8" fillId="0" borderId="7" xfId="946" applyFont="1" applyBorder="1" applyAlignment="1">
      <alignment horizontal="left"/>
    </xf>
    <xf numFmtId="0" fontId="8" fillId="0" borderId="7" xfId="946" applyFont="1" applyBorder="1" applyAlignment="1">
      <alignment horizontal="right"/>
    </xf>
    <xf numFmtId="3" fontId="8" fillId="0" borderId="7" xfId="2" applyNumberFormat="1" applyFont="1" applyFill="1" applyBorder="1" applyAlignment="1">
      <alignment horizontal="right"/>
    </xf>
    <xf numFmtId="182" fontId="8" fillId="0" borderId="7" xfId="23" applyNumberFormat="1" applyFont="1" applyBorder="1" applyAlignment="1">
      <alignment horizontal="center"/>
    </xf>
    <xf numFmtId="0" fontId="111" fillId="0" borderId="0" xfId="946" applyFont="1" applyBorder="1" applyAlignment="1"/>
    <xf numFmtId="3" fontId="8" fillId="0" borderId="0" xfId="2" applyNumberFormat="1" applyFont="1" applyFill="1" applyBorder="1" applyAlignment="1">
      <alignment horizontal="right"/>
    </xf>
    <xf numFmtId="170" fontId="8" fillId="0" borderId="0" xfId="23" applyNumberFormat="1" applyFont="1" applyBorder="1" applyAlignment="1">
      <alignment horizontal="center"/>
    </xf>
    <xf numFmtId="0" fontId="4" fillId="0" borderId="0" xfId="946" applyBorder="1" applyAlignment="1">
      <alignment wrapText="1"/>
    </xf>
    <xf numFmtId="170" fontId="4" fillId="0" borderId="0" xfId="23" applyNumberFormat="1" applyFont="1" applyBorder="1" applyAlignment="1">
      <alignment horizontal="center"/>
    </xf>
    <xf numFmtId="0" fontId="4" fillId="0" borderId="0" xfId="946" applyFill="1" applyBorder="1" applyAlignment="1">
      <alignment wrapText="1"/>
    </xf>
    <xf numFmtId="0" fontId="8" fillId="0" borderId="7" xfId="946" applyFont="1" applyBorder="1"/>
    <xf numFmtId="0" fontId="4" fillId="0" borderId="7" xfId="946" applyBorder="1"/>
    <xf numFmtId="3" fontId="4" fillId="0" borderId="0" xfId="2" applyNumberFormat="1" applyFont="1" applyFill="1" applyBorder="1" applyAlignment="1">
      <alignment horizontal="right"/>
    </xf>
    <xf numFmtId="3" fontId="8" fillId="0" borderId="7" xfId="2" applyNumberFormat="1" applyFont="1" applyBorder="1" applyAlignment="1">
      <alignment horizontal="right"/>
    </xf>
    <xf numFmtId="3" fontId="4" fillId="0" borderId="0" xfId="2" applyNumberFormat="1" applyFont="1" applyBorder="1" applyAlignment="1">
      <alignment horizontal="right"/>
    </xf>
    <xf numFmtId="3" fontId="8" fillId="0" borderId="0" xfId="2" applyNumberFormat="1" applyFont="1" applyBorder="1" applyAlignment="1">
      <alignment horizontal="right"/>
    </xf>
    <xf numFmtId="0" fontId="8" fillId="0" borderId="47" xfId="946" applyFont="1" applyBorder="1"/>
    <xf numFmtId="0" fontId="4" fillId="0" borderId="47" xfId="946" applyBorder="1"/>
    <xf numFmtId="3" fontId="8" fillId="0" borderId="47" xfId="946" applyNumberFormat="1" applyFont="1" applyBorder="1" applyAlignment="1">
      <alignment horizontal="right"/>
    </xf>
    <xf numFmtId="170" fontId="8" fillId="0" borderId="47" xfId="23" applyNumberFormat="1" applyFont="1" applyBorder="1" applyAlignment="1">
      <alignment horizontal="center"/>
    </xf>
    <xf numFmtId="3" fontId="8" fillId="0" borderId="47" xfId="2" applyNumberFormat="1" applyFont="1" applyBorder="1" applyAlignment="1">
      <alignment horizontal="right"/>
    </xf>
    <xf numFmtId="0" fontId="4" fillId="0" borderId="11" xfId="946" applyFont="1" applyBorder="1" applyAlignment="1"/>
    <xf numFmtId="3" fontId="4" fillId="0" borderId="0" xfId="946" applyNumberFormat="1" applyFill="1" applyBorder="1" applyAlignment="1">
      <alignment horizontal="right"/>
    </xf>
    <xf numFmtId="164" fontId="4" fillId="0" borderId="0" xfId="946" applyNumberFormat="1" applyFill="1" applyBorder="1" applyAlignment="1">
      <alignment horizontal="center"/>
    </xf>
    <xf numFmtId="164" fontId="4" fillId="0" borderId="0" xfId="946" applyNumberFormat="1" applyFill="1" applyBorder="1"/>
    <xf numFmtId="0" fontId="8" fillId="0" borderId="0" xfId="946" applyFont="1" applyBorder="1" applyAlignment="1">
      <alignment horizontal="right"/>
    </xf>
    <xf numFmtId="170" fontId="4" fillId="0" borderId="0" xfId="23" applyNumberFormat="1" applyFont="1" applyFill="1" applyBorder="1" applyAlignment="1">
      <alignment horizontal="center"/>
    </xf>
    <xf numFmtId="0" fontId="8" fillId="0" borderId="47" xfId="946" applyFont="1" applyBorder="1" applyAlignment="1">
      <alignment horizontal="left"/>
    </xf>
    <xf numFmtId="0" fontId="8" fillId="0" borderId="47" xfId="946" applyFont="1" applyBorder="1" applyAlignment="1">
      <alignment horizontal="right"/>
    </xf>
    <xf numFmtId="3" fontId="4" fillId="0" borderId="47" xfId="946" applyNumberFormat="1" applyFill="1" applyBorder="1" applyAlignment="1">
      <alignment horizontal="right"/>
    </xf>
    <xf numFmtId="164" fontId="4" fillId="0" borderId="47" xfId="946" applyNumberFormat="1" applyFill="1" applyBorder="1" applyAlignment="1">
      <alignment horizontal="center"/>
    </xf>
    <xf numFmtId="164" fontId="8" fillId="0" borderId="47" xfId="946" applyNumberFormat="1" applyFont="1" applyFill="1" applyBorder="1"/>
    <xf numFmtId="0" fontId="7" fillId="0" borderId="0" xfId="946" applyFont="1" applyBorder="1" applyAlignment="1">
      <alignment horizontal="right"/>
    </xf>
    <xf numFmtId="164" fontId="22" fillId="0" borderId="0" xfId="2" applyNumberFormat="1" applyFont="1" applyFill="1" applyBorder="1" applyAlignment="1">
      <alignment horizontal="center"/>
    </xf>
    <xf numFmtId="0" fontId="4" fillId="0" borderId="0" xfId="946" applyFill="1" applyBorder="1" applyAlignment="1">
      <alignment horizontal="center"/>
    </xf>
    <xf numFmtId="164" fontId="4" fillId="0" borderId="0" xfId="2" applyNumberFormat="1" applyFont="1" applyFill="1" applyBorder="1"/>
    <xf numFmtId="0" fontId="4" fillId="0" borderId="0" xfId="946" quotePrefix="1" applyFill="1" applyBorder="1" applyAlignment="1">
      <alignment horizontal="left" vertical="center"/>
    </xf>
    <xf numFmtId="0" fontId="4" fillId="0" borderId="0" xfId="946" quotePrefix="1" applyFill="1" applyBorder="1" applyAlignment="1">
      <alignment horizontal="center" vertical="center"/>
    </xf>
    <xf numFmtId="3" fontId="4" fillId="0" borderId="0" xfId="946" quotePrefix="1" applyNumberFormat="1" applyFill="1" applyBorder="1" applyAlignment="1">
      <alignment horizontal="left" vertical="center"/>
    </xf>
    <xf numFmtId="0" fontId="4" fillId="0" borderId="0" xfId="946" applyBorder="1" applyAlignment="1"/>
    <xf numFmtId="0" fontId="4" fillId="0" borderId="0" xfId="946" quotePrefix="1" applyFill="1" applyBorder="1"/>
    <xf numFmtId="3" fontId="4" fillId="0" borderId="0" xfId="946" applyNumberFormat="1" applyFill="1" applyBorder="1"/>
    <xf numFmtId="0" fontId="4" fillId="0" borderId="0" xfId="946" applyFill="1" applyBorder="1"/>
    <xf numFmtId="0" fontId="4" fillId="0" borderId="0" xfId="946" applyFont="1" applyAlignment="1">
      <alignment horizontal="left" vertical="center"/>
    </xf>
    <xf numFmtId="0" fontId="4" fillId="0" borderId="0" xfId="946" applyAlignment="1">
      <alignment horizontal="center"/>
    </xf>
    <xf numFmtId="0" fontId="4" fillId="0" borderId="0" xfId="946"/>
    <xf numFmtId="0" fontId="4" fillId="0" borderId="0" xfId="946" applyFont="1" applyAlignment="1">
      <alignment horizontal="left"/>
    </xf>
    <xf numFmtId="0" fontId="8" fillId="0" borderId="0" xfId="946" applyFont="1" applyAlignment="1">
      <alignment horizontal="center"/>
    </xf>
    <xf numFmtId="164" fontId="8" fillId="0" borderId="0" xfId="2" applyNumberFormat="1" applyFont="1" applyAlignment="1">
      <alignment horizontal="center"/>
    </xf>
    <xf numFmtId="164" fontId="8" fillId="0" borderId="0" xfId="2" applyNumberFormat="1" applyFont="1" applyFill="1" applyAlignment="1">
      <alignment horizontal="center" vertical="center" wrapText="1"/>
    </xf>
    <xf numFmtId="0" fontId="8" fillId="0" borderId="0" xfId="946" applyFont="1" applyFill="1" applyAlignment="1">
      <alignment horizontal="center" vertical="center" wrapText="1"/>
    </xf>
    <xf numFmtId="164" fontId="8" fillId="0" borderId="0" xfId="2" applyNumberFormat="1" applyFont="1" applyAlignment="1">
      <alignment horizontal="center" wrapText="1"/>
    </xf>
    <xf numFmtId="0" fontId="4" fillId="0" borderId="39" xfId="946" applyFont="1" applyBorder="1" applyAlignment="1">
      <alignment horizontal="center" wrapText="1"/>
    </xf>
    <xf numFmtId="164" fontId="4" fillId="0" borderId="39" xfId="2" applyNumberFormat="1" applyFont="1" applyBorder="1" applyAlignment="1">
      <alignment horizontal="center" wrapText="1"/>
    </xf>
    <xf numFmtId="0" fontId="8" fillId="0" borderId="0" xfId="946" applyFont="1" applyAlignment="1">
      <alignment horizontal="center" vertical="center" wrapText="1"/>
    </xf>
    <xf numFmtId="0" fontId="8" fillId="0" borderId="0" xfId="946" applyFont="1" applyAlignment="1">
      <alignment horizontal="center" vertical="center"/>
    </xf>
    <xf numFmtId="0" fontId="4" fillId="0" borderId="0" xfId="946" applyAlignment="1">
      <alignment vertical="center"/>
    </xf>
    <xf numFmtId="3" fontId="4" fillId="0" borderId="0" xfId="2" applyNumberFormat="1" applyFont="1" applyAlignment="1">
      <alignment horizontal="center"/>
    </xf>
    <xf numFmtId="3" fontId="22" fillId="0" borderId="1" xfId="2" applyNumberFormat="1" applyFont="1" applyBorder="1"/>
    <xf numFmtId="0" fontId="4" fillId="0" borderId="0" xfId="946" applyFont="1" applyFill="1" applyAlignment="1">
      <alignment shrinkToFit="1"/>
    </xf>
    <xf numFmtId="3" fontId="4" fillId="0" borderId="0" xfId="2" applyNumberFormat="1" applyFont="1" applyBorder="1"/>
    <xf numFmtId="0" fontId="8" fillId="0" borderId="0" xfId="875" applyFont="1" applyAlignment="1">
      <alignment horizontal="centerContinuous"/>
    </xf>
    <xf numFmtId="0" fontId="4" fillId="0" borderId="8" xfId="875" applyFont="1" applyFill="1" applyBorder="1" applyAlignment="1">
      <alignment horizontal="center"/>
    </xf>
    <xf numFmtId="0" fontId="4" fillId="0" borderId="0" xfId="875" applyAlignment="1">
      <alignment horizontal="right"/>
    </xf>
    <xf numFmtId="3" fontId="4" fillId="0" borderId="8" xfId="875" applyNumberFormat="1" applyBorder="1" applyAlignment="1">
      <alignment horizontal="center"/>
    </xf>
    <xf numFmtId="0" fontId="4" fillId="0" borderId="8" xfId="875" applyFill="1" applyBorder="1" applyAlignment="1">
      <alignment horizontal="center"/>
    </xf>
    <xf numFmtId="3" fontId="4" fillId="0" borderId="0" xfId="875" applyNumberFormat="1" applyAlignment="1">
      <alignment horizontal="center"/>
    </xf>
    <xf numFmtId="3" fontId="4" fillId="0" borderId="0" xfId="875" applyNumberFormat="1" applyFill="1" applyAlignment="1"/>
    <xf numFmtId="164" fontId="0" fillId="0" borderId="0" xfId="2" applyNumberFormat="1" applyFont="1" applyFill="1"/>
    <xf numFmtId="0" fontId="4" fillId="0" borderId="0" xfId="875" applyFill="1" applyAlignment="1">
      <alignment horizontal="left"/>
    </xf>
    <xf numFmtId="0" fontId="4" fillId="0" borderId="0" xfId="875" applyBorder="1" applyAlignment="1">
      <alignment horizontal="centerContinuous"/>
    </xf>
    <xf numFmtId="0" fontId="4" fillId="0" borderId="0" xfId="875" applyFont="1" applyFill="1" applyBorder="1" applyAlignment="1">
      <alignment horizontal="centerContinuous"/>
    </xf>
    <xf numFmtId="0" fontId="4" fillId="0" borderId="0" xfId="875" applyFont="1" applyBorder="1" applyAlignment="1">
      <alignment horizontal="centerContinuous"/>
    </xf>
    <xf numFmtId="3" fontId="4" fillId="0" borderId="8" xfId="947" applyNumberFormat="1" applyBorder="1" applyAlignment="1">
      <alignment horizontal="center"/>
    </xf>
    <xf numFmtId="3" fontId="4" fillId="0" borderId="8" xfId="875" applyNumberFormat="1" applyFont="1" applyFill="1" applyBorder="1" applyAlignment="1">
      <alignment horizontal="center" wrapText="1"/>
    </xf>
    <xf numFmtId="3" fontId="4" fillId="0" borderId="8" xfId="875" quotePrefix="1" applyNumberFormat="1" applyBorder="1" applyAlignment="1">
      <alignment horizontal="center" wrapText="1"/>
    </xf>
    <xf numFmtId="174" fontId="4" fillId="0" borderId="8" xfId="875" applyNumberFormat="1" applyBorder="1" applyAlignment="1">
      <alignment horizontal="center" wrapText="1"/>
    </xf>
    <xf numFmtId="174" fontId="4" fillId="0" borderId="8" xfId="875" applyNumberFormat="1" applyFont="1" applyBorder="1" applyAlignment="1">
      <alignment horizontal="center" wrapText="1"/>
    </xf>
    <xf numFmtId="0" fontId="4" fillId="0" borderId="8" xfId="875" applyFont="1" applyBorder="1" applyAlignment="1">
      <alignment horizontal="center" wrapText="1"/>
    </xf>
    <xf numFmtId="0" fontId="4" fillId="0" borderId="0" xfId="875" applyBorder="1" applyAlignment="1">
      <alignment wrapText="1"/>
    </xf>
    <xf numFmtId="3" fontId="4" fillId="0" borderId="0" xfId="947" applyNumberFormat="1" applyBorder="1" applyAlignment="1">
      <alignment horizontal="center"/>
    </xf>
    <xf numFmtId="3" fontId="8" fillId="0" borderId="0" xfId="875" applyNumberFormat="1" applyFont="1" applyFill="1" applyBorder="1" applyAlignment="1">
      <alignment horizontal="left" wrapText="1"/>
    </xf>
    <xf numFmtId="3" fontId="4" fillId="0" borderId="0" xfId="875" quotePrefix="1" applyNumberFormat="1" applyBorder="1" applyAlignment="1">
      <alignment horizontal="center" wrapText="1"/>
    </xf>
    <xf numFmtId="3" fontId="24" fillId="0" borderId="0" xfId="875" applyNumberFormat="1" applyFont="1" applyBorder="1" applyAlignment="1">
      <alignment horizontal="right" wrapText="1"/>
    </xf>
    <xf numFmtId="3" fontId="22" fillId="0" borderId="0" xfId="875" applyNumberFormat="1" applyFont="1" applyBorder="1" applyAlignment="1">
      <alignment horizontal="right" wrapText="1"/>
    </xf>
    <xf numFmtId="174" fontId="4" fillId="0" borderId="0" xfId="875" applyNumberFormat="1" applyBorder="1" applyAlignment="1">
      <alignment wrapText="1"/>
    </xf>
    <xf numFmtId="3" fontId="4" fillId="0" borderId="0" xfId="875" applyNumberFormat="1" applyFont="1" applyFill="1" applyBorder="1" applyAlignment="1">
      <alignment horizontal="center" wrapText="1"/>
    </xf>
    <xf numFmtId="10" fontId="0" fillId="0" borderId="0" xfId="23" applyNumberFormat="1" applyFont="1" applyBorder="1" applyAlignment="1">
      <alignment horizontal="right" wrapText="1"/>
    </xf>
    <xf numFmtId="222" fontId="4" fillId="0" borderId="0" xfId="875" applyNumberFormat="1" applyBorder="1" applyAlignment="1">
      <alignment horizontal="center" wrapText="1"/>
    </xf>
    <xf numFmtId="3" fontId="4" fillId="0" borderId="0" xfId="875" applyNumberFormat="1" applyBorder="1" applyAlignment="1">
      <alignment horizontal="center" wrapText="1"/>
    </xf>
    <xf numFmtId="174" fontId="8" fillId="0" borderId="0" xfId="875" applyNumberFormat="1" applyFont="1" applyFill="1" applyBorder="1" applyAlignment="1">
      <alignment horizontal="left" wrapText="1"/>
    </xf>
    <xf numFmtId="177" fontId="4" fillId="0" borderId="0" xfId="875" applyNumberFormat="1" applyBorder="1"/>
    <xf numFmtId="3" fontId="4" fillId="0" borderId="0" xfId="875" applyNumberFormat="1" applyFont="1" applyBorder="1" applyAlignment="1">
      <alignment horizontal="right" wrapText="1"/>
    </xf>
    <xf numFmtId="17" fontId="4" fillId="0" borderId="52" xfId="875" applyNumberFormat="1" applyBorder="1" applyAlignment="1">
      <alignment horizontal="right" wrapText="1"/>
    </xf>
    <xf numFmtId="0" fontId="4" fillId="0" borderId="54" xfId="875" applyFill="1" applyBorder="1"/>
    <xf numFmtId="3" fontId="4" fillId="0" borderId="0" xfId="947" applyNumberFormat="1" applyFont="1" applyFill="1" applyBorder="1" applyAlignment="1">
      <alignment horizontal="left"/>
    </xf>
    <xf numFmtId="10" fontId="0" fillId="0" borderId="0" xfId="23" applyNumberFormat="1" applyFont="1" applyBorder="1"/>
    <xf numFmtId="0" fontId="4" fillId="0" borderId="55" xfId="875" applyBorder="1"/>
    <xf numFmtId="0" fontId="4" fillId="0" borderId="56" xfId="875" applyBorder="1"/>
    <xf numFmtId="223" fontId="4" fillId="0" borderId="0" xfId="875" applyNumberFormat="1" applyBorder="1"/>
    <xf numFmtId="174" fontId="4" fillId="0" borderId="0" xfId="875" applyNumberFormat="1" applyFill="1" applyBorder="1" applyAlignment="1">
      <alignment wrapText="1"/>
    </xf>
    <xf numFmtId="0" fontId="9" fillId="0" borderId="0" xfId="875" applyFont="1" applyFill="1" applyBorder="1" applyAlignment="1">
      <alignment horizontal="left" wrapText="1"/>
    </xf>
    <xf numFmtId="0" fontId="7" fillId="0" borderId="0" xfId="875" applyFont="1" applyFill="1" applyBorder="1" applyAlignment="1">
      <alignment horizontal="center" wrapText="1"/>
    </xf>
    <xf numFmtId="174" fontId="4" fillId="0" borderId="0" xfId="875" applyNumberFormat="1" applyFont="1" applyFill="1" applyBorder="1" applyAlignment="1">
      <alignment horizontal="left" wrapText="1"/>
    </xf>
    <xf numFmtId="224" fontId="4" fillId="0" borderId="0" xfId="875" applyNumberFormat="1" applyBorder="1" applyAlignment="1">
      <alignment horizontal="right" wrapText="1"/>
    </xf>
    <xf numFmtId="3" fontId="4" fillId="0" borderId="0" xfId="875" applyNumberFormat="1" applyBorder="1" applyAlignment="1">
      <alignment horizontal="center"/>
    </xf>
    <xf numFmtId="3" fontId="4" fillId="0" borderId="0" xfId="875" applyNumberFormat="1" applyFont="1" applyFill="1" applyBorder="1" applyAlignment="1">
      <alignment horizontal="left"/>
    </xf>
    <xf numFmtId="0" fontId="9" fillId="0" borderId="0" xfId="875" applyFont="1" applyFill="1" applyBorder="1" applyAlignment="1">
      <alignment horizontal="left" wrapText="1" shrinkToFit="1"/>
    </xf>
    <xf numFmtId="0" fontId="7" fillId="0" borderId="0" xfId="875" applyFont="1" applyFill="1" applyBorder="1" applyAlignment="1">
      <alignment horizontal="center" wrapText="1" shrinkToFit="1"/>
    </xf>
    <xf numFmtId="174" fontId="4" fillId="0" borderId="0" xfId="875" applyNumberFormat="1" applyFont="1" applyBorder="1"/>
    <xf numFmtId="3" fontId="24" fillId="0" borderId="0" xfId="875" applyNumberFormat="1" applyFont="1" applyBorder="1"/>
    <xf numFmtId="0" fontId="4" fillId="0" borderId="0" xfId="875" applyFont="1" applyFill="1" applyBorder="1" applyAlignment="1">
      <alignment horizontal="left" wrapText="1"/>
    </xf>
    <xf numFmtId="0" fontId="4" fillId="0" borderId="0" xfId="875" applyFill="1" applyBorder="1" applyAlignment="1">
      <alignment wrapText="1"/>
    </xf>
    <xf numFmtId="0" fontId="4" fillId="0" borderId="0" xfId="875" applyFill="1" applyBorder="1" applyAlignment="1">
      <alignment horizontal="right" wrapText="1"/>
    </xf>
    <xf numFmtId="3" fontId="24" fillId="0" borderId="0" xfId="875" applyNumberFormat="1" applyFont="1" applyFill="1" applyBorder="1"/>
    <xf numFmtId="0" fontId="4" fillId="0" borderId="0" xfId="875" applyBorder="1" applyAlignment="1">
      <alignment horizontal="right" wrapText="1"/>
    </xf>
    <xf numFmtId="3" fontId="4" fillId="0" borderId="0" xfId="947" applyNumberFormat="1" applyBorder="1"/>
    <xf numFmtId="17" fontId="4" fillId="0" borderId="55" xfId="875" applyNumberFormat="1" applyBorder="1" applyAlignment="1">
      <alignment horizontal="right" wrapText="1"/>
    </xf>
    <xf numFmtId="0" fontId="4" fillId="0" borderId="56" xfId="875" applyFill="1" applyBorder="1"/>
    <xf numFmtId="0" fontId="9" fillId="0" borderId="0" xfId="875" applyFont="1" applyFill="1" applyBorder="1" applyAlignment="1">
      <alignment horizontal="left"/>
    </xf>
    <xf numFmtId="0" fontId="7" fillId="0" borderId="0" xfId="875" applyFont="1" applyBorder="1" applyAlignment="1">
      <alignment horizontal="center" wrapText="1" shrinkToFit="1"/>
    </xf>
    <xf numFmtId="10" fontId="4" fillId="0" borderId="0" xfId="23" applyNumberFormat="1" applyFont="1" applyBorder="1"/>
    <xf numFmtId="3" fontId="0" fillId="0" borderId="0" xfId="23" applyNumberFormat="1" applyFont="1" applyBorder="1"/>
    <xf numFmtId="0" fontId="8" fillId="0" borderId="0" xfId="875" applyFont="1" applyFill="1" applyBorder="1" applyAlignment="1">
      <alignment horizontal="left" wrapText="1"/>
    </xf>
    <xf numFmtId="3" fontId="4" fillId="0" borderId="0" xfId="23" applyNumberFormat="1" applyFont="1" applyBorder="1"/>
    <xf numFmtId="178" fontId="22" fillId="0" borderId="0" xfId="23" applyNumberFormat="1" applyFont="1" applyFill="1" applyBorder="1"/>
    <xf numFmtId="0" fontId="4" fillId="0" borderId="56" xfId="875" applyBorder="1" applyAlignment="1">
      <alignment wrapText="1"/>
    </xf>
    <xf numFmtId="17" fontId="4" fillId="0" borderId="57" xfId="875" applyNumberFormat="1" applyBorder="1" applyAlignment="1">
      <alignment horizontal="right" wrapText="1"/>
    </xf>
    <xf numFmtId="0" fontId="4" fillId="0" borderId="59" xfId="875" applyBorder="1"/>
    <xf numFmtId="0" fontId="4" fillId="0" borderId="0" xfId="875" applyFont="1" applyFill="1" applyBorder="1" applyAlignment="1">
      <alignment wrapText="1"/>
    </xf>
    <xf numFmtId="0" fontId="22" fillId="0" borderId="0" xfId="875" applyFont="1" applyFill="1" applyBorder="1"/>
    <xf numFmtId="0" fontId="8" fillId="0" borderId="16" xfId="875" applyFont="1" applyBorder="1"/>
    <xf numFmtId="0" fontId="8" fillId="0" borderId="7" xfId="875" applyFont="1" applyBorder="1" applyAlignment="1">
      <alignment horizontal="center"/>
    </xf>
    <xf numFmtId="0" fontId="8" fillId="0" borderId="17" xfId="875" applyFont="1" applyBorder="1" applyAlignment="1">
      <alignment horizontal="center"/>
    </xf>
    <xf numFmtId="0" fontId="8" fillId="0" borderId="13" xfId="875" applyFont="1" applyBorder="1"/>
    <xf numFmtId="3" fontId="24" fillId="0" borderId="9" xfId="875" applyNumberFormat="1" applyFont="1" applyBorder="1" applyAlignment="1">
      <alignment horizontal="right"/>
    </xf>
    <xf numFmtId="164" fontId="24" fillId="0" borderId="9" xfId="2" applyNumberFormat="1" applyFont="1" applyBorder="1" applyAlignment="1">
      <alignment horizontal="right"/>
    </xf>
    <xf numFmtId="3" fontId="24" fillId="0" borderId="18" xfId="875" applyNumberFormat="1" applyFont="1" applyBorder="1" applyAlignment="1">
      <alignment horizontal="right"/>
    </xf>
    <xf numFmtId="0" fontId="4" fillId="0" borderId="12" xfId="875" applyBorder="1" applyAlignment="1">
      <alignment horizontal="right"/>
    </xf>
    <xf numFmtId="0" fontId="4" fillId="0" borderId="14" xfId="875" applyBorder="1" applyAlignment="1">
      <alignment horizontal="right"/>
    </xf>
    <xf numFmtId="9" fontId="0" fillId="0" borderId="8" xfId="23" applyNumberFormat="1" applyFont="1" applyBorder="1" applyAlignment="1">
      <alignment horizontal="right"/>
    </xf>
    <xf numFmtId="9" fontId="4" fillId="0" borderId="8" xfId="875" applyNumberFormat="1" applyBorder="1" applyAlignment="1">
      <alignment horizontal="right"/>
    </xf>
    <xf numFmtId="9" fontId="4" fillId="0" borderId="15" xfId="875" applyNumberFormat="1" applyBorder="1" applyAlignment="1">
      <alignment horizontal="right"/>
    </xf>
    <xf numFmtId="170" fontId="0" fillId="0" borderId="0" xfId="23" applyNumberFormat="1" applyFont="1" applyBorder="1" applyAlignment="1">
      <alignment horizontal="right"/>
    </xf>
    <xf numFmtId="170" fontId="4" fillId="0" borderId="0" xfId="875" applyNumberFormat="1" applyBorder="1" applyAlignment="1">
      <alignment horizontal="right"/>
    </xf>
    <xf numFmtId="170" fontId="0" fillId="0" borderId="0" xfId="23" applyNumberFormat="1" applyFont="1" applyAlignment="1">
      <alignment horizontal="right"/>
    </xf>
    <xf numFmtId="170" fontId="4" fillId="0" borderId="0" xfId="875" applyNumberFormat="1" applyAlignment="1">
      <alignment horizontal="right"/>
    </xf>
    <xf numFmtId="3" fontId="4" fillId="0" borderId="18" xfId="875" applyNumberFormat="1" applyBorder="1" applyAlignment="1">
      <alignment horizontal="right"/>
    </xf>
    <xf numFmtId="0" fontId="54" fillId="0" borderId="1" xfId="941" applyFont="1" applyBorder="1"/>
    <xf numFmtId="0" fontId="54" fillId="0" borderId="88" xfId="941" applyFont="1" applyBorder="1"/>
    <xf numFmtId="0" fontId="54" fillId="0" borderId="22" xfId="941" applyFont="1" applyBorder="1"/>
    <xf numFmtId="0" fontId="54" fillId="0" borderId="0" xfId="941" applyFont="1" applyAlignment="1">
      <alignment horizontal="center"/>
    </xf>
    <xf numFmtId="0" fontId="54" fillId="0" borderId="77" xfId="941" applyFont="1" applyBorder="1"/>
    <xf numFmtId="0" fontId="54" fillId="0" borderId="8" xfId="941" applyFont="1" applyBorder="1"/>
    <xf numFmtId="0" fontId="54" fillId="0" borderId="8" xfId="941" applyFont="1" applyFill="1" applyBorder="1" applyAlignment="1">
      <alignment horizontal="center"/>
    </xf>
    <xf numFmtId="165" fontId="54" fillId="0" borderId="89" xfId="941" applyNumberFormat="1" applyFont="1" applyBorder="1"/>
    <xf numFmtId="165" fontId="54" fillId="0" borderId="0" xfId="941" applyNumberFormat="1" applyFont="1"/>
    <xf numFmtId="10" fontId="54" fillId="0" borderId="0" xfId="949" applyNumberFormat="1" applyFont="1"/>
    <xf numFmtId="0" fontId="54" fillId="0" borderId="21" xfId="941" applyFont="1" applyBorder="1"/>
    <xf numFmtId="165" fontId="54" fillId="0" borderId="90" xfId="941" applyNumberFormat="1" applyFont="1" applyBorder="1"/>
    <xf numFmtId="0" fontId="54" fillId="0" borderId="9" xfId="941" applyFont="1" applyBorder="1"/>
    <xf numFmtId="165" fontId="54" fillId="0" borderId="9" xfId="950" applyNumberFormat="1" applyFont="1" applyBorder="1"/>
    <xf numFmtId="10" fontId="54" fillId="0" borderId="9" xfId="949" applyNumberFormat="1" applyFont="1" applyBorder="1"/>
    <xf numFmtId="165" fontId="54" fillId="0" borderId="1" xfId="941" applyNumberFormat="1" applyFont="1" applyBorder="1"/>
    <xf numFmtId="0" fontId="54" fillId="0" borderId="89" xfId="941" applyFont="1" applyBorder="1"/>
    <xf numFmtId="0" fontId="54" fillId="0" borderId="91" xfId="941" applyFont="1" applyBorder="1"/>
    <xf numFmtId="0" fontId="54" fillId="0" borderId="92" xfId="941" applyFont="1" applyBorder="1"/>
    <xf numFmtId="0" fontId="54" fillId="0" borderId="1" xfId="941" applyFont="1" applyBorder="1" applyAlignment="1">
      <alignment wrapText="1"/>
    </xf>
    <xf numFmtId="0" fontId="54" fillId="0" borderId="86" xfId="941" applyFont="1" applyBorder="1" applyAlignment="1">
      <alignment wrapText="1"/>
    </xf>
    <xf numFmtId="0" fontId="54" fillId="0" borderId="7" xfId="941" applyFont="1" applyBorder="1" applyAlignment="1">
      <alignment wrapText="1"/>
    </xf>
    <xf numFmtId="0" fontId="54" fillId="0" borderId="17" xfId="941" applyFont="1" applyBorder="1" applyAlignment="1">
      <alignment wrapText="1"/>
    </xf>
    <xf numFmtId="0" fontId="54" fillId="0" borderId="88" xfId="941" applyFont="1" applyBorder="1" applyAlignment="1">
      <alignment wrapText="1"/>
    </xf>
    <xf numFmtId="0" fontId="54" fillId="0" borderId="0" xfId="941" applyFont="1" applyFill="1" applyBorder="1" applyAlignment="1">
      <alignment wrapText="1"/>
    </xf>
    <xf numFmtId="0" fontId="54" fillId="0" borderId="0" xfId="941" applyFont="1" applyAlignment="1">
      <alignment wrapText="1"/>
    </xf>
    <xf numFmtId="0" fontId="54" fillId="0" borderId="85" xfId="941" applyFont="1" applyBorder="1" applyAlignment="1">
      <alignment horizontal="right"/>
    </xf>
    <xf numFmtId="44" fontId="54" fillId="0" borderId="76" xfId="941" applyNumberFormat="1" applyFont="1" applyBorder="1"/>
    <xf numFmtId="44" fontId="54" fillId="0" borderId="6" xfId="941" applyNumberFormat="1" applyFont="1" applyBorder="1"/>
    <xf numFmtId="44" fontId="54" fillId="0" borderId="0" xfId="941" applyNumberFormat="1" applyFont="1"/>
    <xf numFmtId="0" fontId="54" fillId="0" borderId="21" xfId="941" applyFont="1" applyBorder="1" applyAlignment="1">
      <alignment horizontal="right"/>
    </xf>
    <xf numFmtId="44" fontId="54" fillId="0" borderId="78" xfId="941" applyNumberFormat="1" applyFont="1" applyBorder="1"/>
    <xf numFmtId="44" fontId="54" fillId="0" borderId="21" xfId="941" applyNumberFormat="1" applyFont="1" applyBorder="1"/>
    <xf numFmtId="44" fontId="54" fillId="0" borderId="16" xfId="941" applyNumberFormat="1" applyFont="1" applyBorder="1"/>
    <xf numFmtId="44" fontId="54" fillId="0" borderId="7" xfId="941" applyNumberFormat="1" applyFont="1" applyBorder="1"/>
    <xf numFmtId="44" fontId="54" fillId="0" borderId="1" xfId="941" applyNumberFormat="1" applyFont="1" applyBorder="1"/>
    <xf numFmtId="0" fontId="1" fillId="0" borderId="0" xfId="941"/>
    <xf numFmtId="0" fontId="54" fillId="0" borderId="0" xfId="941" applyFont="1" applyBorder="1" applyAlignment="1">
      <alignment horizontal="center"/>
    </xf>
    <xf numFmtId="0" fontId="54" fillId="0" borderId="8" xfId="941" applyFont="1" applyBorder="1" applyAlignment="1">
      <alignment horizontal="center"/>
    </xf>
    <xf numFmtId="9" fontId="54" fillId="0" borderId="0" xfId="949" applyFont="1"/>
    <xf numFmtId="44" fontId="54" fillId="0" borderId="9" xfId="941" applyNumberFormat="1" applyFont="1" applyBorder="1"/>
    <xf numFmtId="9" fontId="54" fillId="0" borderId="9" xfId="949" applyFont="1" applyBorder="1"/>
    <xf numFmtId="0" fontId="54" fillId="0" borderId="0" xfId="941" applyFont="1" applyFill="1" applyBorder="1" applyAlignment="1">
      <alignment horizontal="center"/>
    </xf>
    <xf numFmtId="9" fontId="54" fillId="0" borderId="0" xfId="949" applyFont="1" applyBorder="1" applyAlignment="1">
      <alignment horizontal="center"/>
    </xf>
    <xf numFmtId="9" fontId="54" fillId="0" borderId="8" xfId="949" applyFont="1" applyBorder="1" applyAlignment="1">
      <alignment horizontal="center"/>
    </xf>
    <xf numFmtId="44" fontId="53" fillId="0" borderId="0" xfId="941" applyNumberFormat="1" applyFont="1"/>
    <xf numFmtId="44" fontId="54" fillId="0" borderId="0" xfId="949" applyNumberFormat="1" applyFont="1"/>
    <xf numFmtId="44" fontId="4" fillId="0" borderId="9" xfId="941" applyNumberFormat="1" applyFont="1" applyBorder="1"/>
    <xf numFmtId="9" fontId="54" fillId="0" borderId="9" xfId="941" applyNumberFormat="1" applyFont="1" applyBorder="1"/>
    <xf numFmtId="42" fontId="54" fillId="0" borderId="0" xfId="949" applyNumberFormat="1" applyFont="1"/>
    <xf numFmtId="0" fontId="102" fillId="0" borderId="0" xfId="0" applyFont="1"/>
    <xf numFmtId="0" fontId="116" fillId="2" borderId="0" xfId="41" applyFont="1" applyFill="1" applyBorder="1">
      <alignment horizontal="left" wrapText="1"/>
    </xf>
    <xf numFmtId="0" fontId="116" fillId="2" borderId="8" xfId="31" applyFont="1" applyFill="1" applyBorder="1">
      <alignment horizontal="center" vertical="center" wrapText="1"/>
    </xf>
    <xf numFmtId="41" fontId="116" fillId="2" borderId="8" xfId="31" applyNumberFormat="1" applyFont="1" applyFill="1" applyBorder="1">
      <alignment horizontal="center" vertical="center" wrapText="1"/>
    </xf>
    <xf numFmtId="0" fontId="102" fillId="2" borderId="0" xfId="0" applyNumberFormat="1" applyFont="1" applyFill="1" applyBorder="1" applyAlignment="1"/>
    <xf numFmtId="0" fontId="102" fillId="2" borderId="0" xfId="0" applyNumberFormat="1" applyFont="1" applyFill="1" applyBorder="1" applyAlignment="1">
      <alignment horizontal="center"/>
    </xf>
    <xf numFmtId="0" fontId="116" fillId="2" borderId="0" xfId="0" applyNumberFormat="1" applyFont="1" applyFill="1" applyBorder="1" applyAlignment="1"/>
    <xf numFmtId="42" fontId="102" fillId="2" borderId="0" xfId="904" applyFont="1" applyFill="1" applyBorder="1"/>
    <xf numFmtId="165" fontId="102" fillId="2" borderId="0" xfId="7" applyNumberFormat="1" applyFont="1" applyFill="1" applyBorder="1"/>
    <xf numFmtId="41" fontId="102" fillId="2" borderId="0" xfId="0" applyNumberFormat="1" applyFont="1" applyFill="1" applyBorder="1" applyAlignment="1"/>
    <xf numFmtId="42" fontId="102" fillId="2" borderId="47" xfId="906" applyFont="1" applyFill="1" applyBorder="1">
      <alignment vertical="center"/>
    </xf>
    <xf numFmtId="42" fontId="102" fillId="2" borderId="0" xfId="0" applyNumberFormat="1" applyFont="1" applyFill="1" applyBorder="1" applyAlignment="1"/>
    <xf numFmtId="164" fontId="102" fillId="2" borderId="0" xfId="2" applyNumberFormat="1" applyFont="1" applyFill="1" applyBorder="1"/>
    <xf numFmtId="165" fontId="102" fillId="2" borderId="0" xfId="0" applyNumberFormat="1" applyFont="1" applyFill="1" applyBorder="1" applyAlignment="1"/>
    <xf numFmtId="42" fontId="102" fillId="2" borderId="47" xfId="911" applyFont="1" applyFill="1" applyBorder="1">
      <alignment horizontal="left"/>
    </xf>
    <xf numFmtId="42" fontId="102" fillId="2" borderId="47" xfId="904" applyFont="1" applyFill="1" applyBorder="1"/>
    <xf numFmtId="10" fontId="102" fillId="2" borderId="47" xfId="893" applyNumberFormat="1" applyFont="1" applyFill="1" applyBorder="1"/>
    <xf numFmtId="182" fontId="102" fillId="2" borderId="0" xfId="893" applyNumberFormat="1" applyFont="1" applyFill="1" applyBorder="1"/>
    <xf numFmtId="0" fontId="116" fillId="2" borderId="0" xfId="41" applyFont="1" applyFill="1" applyBorder="1" applyAlignment="1">
      <alignment horizontal="left"/>
    </xf>
    <xf numFmtId="43" fontId="102" fillId="2" borderId="0" xfId="2" applyFont="1" applyFill="1" applyBorder="1"/>
    <xf numFmtId="10" fontId="102" fillId="2" borderId="0" xfId="893" applyNumberFormat="1" applyFont="1" applyFill="1" applyBorder="1"/>
    <xf numFmtId="225" fontId="102" fillId="2" borderId="0" xfId="2" applyNumberFormat="1" applyFont="1" applyFill="1" applyBorder="1"/>
    <xf numFmtId="226" fontId="102" fillId="2" borderId="0" xfId="2" applyNumberFormat="1" applyFont="1" applyFill="1" applyBorder="1"/>
    <xf numFmtId="42" fontId="102" fillId="2" borderId="7" xfId="904" applyFont="1" applyFill="1" applyBorder="1"/>
    <xf numFmtId="42" fontId="102" fillId="2" borderId="0" xfId="904" applyNumberFormat="1" applyFont="1" applyFill="1" applyBorder="1"/>
    <xf numFmtId="186" fontId="102" fillId="2" borderId="0" xfId="904" applyNumberFormat="1" applyFont="1" applyFill="1" applyBorder="1"/>
    <xf numFmtId="187" fontId="102" fillId="2" borderId="0" xfId="904" applyNumberFormat="1" applyFont="1" applyFill="1" applyBorder="1"/>
    <xf numFmtId="42" fontId="102" fillId="2" borderId="9" xfId="906" applyFont="1" applyFill="1" applyBorder="1">
      <alignment vertical="center"/>
    </xf>
    <xf numFmtId="42" fontId="102" fillId="2" borderId="9" xfId="911" applyFont="1" applyFill="1" applyBorder="1">
      <alignment horizontal="left"/>
    </xf>
    <xf numFmtId="42" fontId="102" fillId="2" borderId="0" xfId="906" applyFont="1" applyFill="1" applyBorder="1">
      <alignment vertical="center"/>
    </xf>
    <xf numFmtId="164" fontId="102" fillId="2" borderId="0" xfId="2" applyNumberFormat="1" applyFont="1" applyFill="1" applyBorder="1" applyAlignment="1">
      <alignment horizontal="left"/>
    </xf>
    <xf numFmtId="42" fontId="102" fillId="2" borderId="8" xfId="906" applyFont="1" applyFill="1" applyBorder="1">
      <alignment vertical="center"/>
    </xf>
    <xf numFmtId="42" fontId="102" fillId="2" borderId="8" xfId="911" applyFont="1" applyFill="1" applyBorder="1">
      <alignment horizontal="left"/>
    </xf>
    <xf numFmtId="42" fontId="102" fillId="2" borderId="0" xfId="911" applyFont="1" applyFill="1" applyBorder="1">
      <alignment horizontal="left"/>
    </xf>
    <xf numFmtId="42" fontId="102" fillId="2" borderId="50" xfId="906" applyFont="1" applyFill="1" applyBorder="1">
      <alignment vertical="center"/>
    </xf>
    <xf numFmtId="42" fontId="116" fillId="2" borderId="9" xfId="904" applyFont="1" applyFill="1" applyBorder="1"/>
    <xf numFmtId="43" fontId="116" fillId="2" borderId="9" xfId="2" applyFont="1" applyFill="1" applyBorder="1"/>
    <xf numFmtId="178" fontId="102" fillId="0" borderId="51" xfId="893" applyNumberFormat="1" applyFont="1" applyBorder="1"/>
    <xf numFmtId="0" fontId="116" fillId="2" borderId="0" xfId="0" applyNumberFormat="1" applyFont="1" applyFill="1" applyBorder="1" applyAlignment="1">
      <alignment horizontal="center"/>
    </xf>
    <xf numFmtId="226" fontId="102" fillId="2" borderId="0" xfId="2" applyNumberFormat="1" applyFont="1" applyFill="1" applyBorder="1" applyAlignment="1">
      <alignment horizontal="left"/>
    </xf>
    <xf numFmtId="0" fontId="102" fillId="0" borderId="0" xfId="0" applyFont="1" applyBorder="1"/>
    <xf numFmtId="0" fontId="102" fillId="0" borderId="0" xfId="37" applyFont="1" applyFill="1"/>
    <xf numFmtId="0" fontId="102" fillId="0" borderId="0" xfId="37" applyFont="1" applyFill="1" applyBorder="1"/>
    <xf numFmtId="0" fontId="116" fillId="0" borderId="0" xfId="0" applyFont="1" applyAlignment="1">
      <alignment horizontal="centerContinuous"/>
    </xf>
    <xf numFmtId="0" fontId="102" fillId="0" borderId="0" xfId="37" applyFont="1" applyFill="1" applyAlignment="1">
      <alignment horizontal="centerContinuous"/>
    </xf>
    <xf numFmtId="0" fontId="102" fillId="0" borderId="0" xfId="37" applyFont="1" applyFill="1" applyBorder="1" applyAlignment="1"/>
    <xf numFmtId="0" fontId="102" fillId="0" borderId="0" xfId="37" applyFont="1" applyFill="1" applyAlignment="1">
      <alignment horizontal="center"/>
    </xf>
    <xf numFmtId="0" fontId="102" fillId="0" borderId="0" xfId="37" applyFont="1" applyFill="1" applyBorder="1" applyAlignment="1">
      <alignment horizontal="center"/>
    </xf>
    <xf numFmtId="0" fontId="102" fillId="0" borderId="0" xfId="37" applyFont="1" applyFill="1" applyAlignment="1"/>
    <xf numFmtId="0" fontId="102" fillId="0" borderId="0" xfId="0" applyFont="1" applyAlignment="1">
      <alignment horizontal="center"/>
    </xf>
    <xf numFmtId="0" fontId="102" fillId="0" borderId="8" xfId="37" applyFont="1" applyFill="1" applyBorder="1" applyAlignment="1">
      <alignment horizontal="center"/>
    </xf>
    <xf numFmtId="0" fontId="102" fillId="0" borderId="0" xfId="37" applyFont="1" applyFill="1" applyBorder="1" applyAlignment="1">
      <alignment horizontal="center" wrapText="1"/>
    </xf>
    <xf numFmtId="165" fontId="102" fillId="0" borderId="0" xfId="37" applyNumberFormat="1" applyFont="1" applyFill="1"/>
    <xf numFmtId="44" fontId="102" fillId="0" borderId="0" xfId="37" applyNumberFormat="1" applyFont="1" applyFill="1" applyBorder="1"/>
    <xf numFmtId="42" fontId="102" fillId="0" borderId="0" xfId="37" applyNumberFormat="1" applyFont="1" applyFill="1"/>
    <xf numFmtId="44" fontId="102" fillId="0" borderId="0" xfId="37" applyNumberFormat="1" applyFont="1" applyFill="1"/>
    <xf numFmtId="41" fontId="102" fillId="0" borderId="0" xfId="37" applyNumberFormat="1" applyFont="1" applyFill="1"/>
    <xf numFmtId="9" fontId="102" fillId="0" borderId="0" xfId="23" applyNumberFormat="1" applyFont="1" applyFill="1" applyBorder="1"/>
    <xf numFmtId="44" fontId="102" fillId="0" borderId="22" xfId="37" applyNumberFormat="1" applyFont="1" applyFill="1" applyBorder="1" applyAlignment="1">
      <alignment horizontal="center"/>
    </xf>
    <xf numFmtId="44" fontId="102" fillId="0" borderId="21" xfId="37" applyNumberFormat="1" applyFont="1" applyFill="1" applyBorder="1" applyAlignment="1">
      <alignment horizontal="center"/>
    </xf>
    <xf numFmtId="165" fontId="102" fillId="0" borderId="20" xfId="37" applyNumberFormat="1" applyFont="1" applyFill="1" applyBorder="1"/>
    <xf numFmtId="3" fontId="102" fillId="0" borderId="0" xfId="37" applyNumberFormat="1" applyFont="1" applyFill="1" applyBorder="1"/>
    <xf numFmtId="165" fontId="102" fillId="0" borderId="9" xfId="37" applyNumberFormat="1" applyFont="1" applyFill="1" applyBorder="1"/>
    <xf numFmtId="42" fontId="102" fillId="0" borderId="9" xfId="37" applyNumberFormat="1" applyFont="1" applyFill="1" applyBorder="1"/>
    <xf numFmtId="165" fontId="102" fillId="0" borderId="0" xfId="37" applyNumberFormat="1" applyFont="1" applyFill="1" applyBorder="1"/>
    <xf numFmtId="9" fontId="102" fillId="0" borderId="0" xfId="23" applyFont="1" applyFill="1" applyBorder="1"/>
    <xf numFmtId="0" fontId="102" fillId="0" borderId="0" xfId="37" applyFont="1" applyFill="1" applyBorder="1" applyAlignment="1">
      <alignment horizontal="right"/>
    </xf>
    <xf numFmtId="165" fontId="102" fillId="0" borderId="0" xfId="37" applyNumberFormat="1" applyFont="1" applyFill="1" applyBorder="1" applyAlignment="1">
      <alignment horizontal="center"/>
    </xf>
    <xf numFmtId="44" fontId="102" fillId="0" borderId="0" xfId="37" applyNumberFormat="1" applyFont="1" applyFill="1" applyBorder="1" applyAlignment="1">
      <alignment horizontal="right"/>
    </xf>
    <xf numFmtId="10" fontId="102" fillId="0" borderId="0" xfId="37" applyNumberFormat="1" applyFont="1" applyFill="1" applyBorder="1"/>
    <xf numFmtId="10" fontId="102" fillId="0" borderId="0" xfId="37" applyNumberFormat="1" applyFont="1" applyFill="1"/>
    <xf numFmtId="0" fontId="102" fillId="0" borderId="0" xfId="37" applyFont="1"/>
    <xf numFmtId="0" fontId="102" fillId="0" borderId="0" xfId="37" applyFont="1" applyAlignment="1">
      <alignment horizontal="centerContinuous"/>
    </xf>
    <xf numFmtId="170" fontId="102" fillId="0" borderId="0" xfId="37" applyNumberFormat="1" applyFont="1" applyAlignment="1">
      <alignment horizontal="centerContinuous"/>
    </xf>
    <xf numFmtId="170" fontId="102" fillId="0" borderId="0" xfId="37" applyNumberFormat="1" applyFont="1" applyBorder="1" applyAlignment="1">
      <alignment horizontal="centerContinuous"/>
    </xf>
    <xf numFmtId="0" fontId="102" fillId="0" borderId="0" xfId="37" applyFont="1" applyBorder="1" applyAlignment="1">
      <alignment horizontal="centerContinuous"/>
    </xf>
    <xf numFmtId="0" fontId="102" fillId="0" borderId="0" xfId="37" applyFont="1" applyBorder="1"/>
    <xf numFmtId="172" fontId="102" fillId="0" borderId="0" xfId="37" applyNumberFormat="1" applyFont="1" applyBorder="1"/>
    <xf numFmtId="173" fontId="102" fillId="0" borderId="0" xfId="37" applyNumberFormat="1" applyFont="1" applyBorder="1"/>
    <xf numFmtId="173" fontId="102" fillId="0" borderId="0" xfId="37" applyNumberFormat="1" applyFont="1" applyFill="1" applyBorder="1"/>
    <xf numFmtId="170" fontId="102" fillId="0" borderId="0" xfId="37" applyNumberFormat="1" applyFont="1" applyBorder="1" applyAlignment="1">
      <alignment horizontal="right"/>
    </xf>
    <xf numFmtId="170" fontId="102" fillId="0" borderId="0" xfId="37" applyNumberFormat="1" applyFont="1" applyBorder="1" applyAlignment="1">
      <alignment horizontal="left"/>
    </xf>
    <xf numFmtId="0" fontId="102" fillId="0" borderId="13" xfId="37" applyFont="1" applyBorder="1" applyAlignment="1">
      <alignment horizontal="center"/>
    </xf>
    <xf numFmtId="0" fontId="102" fillId="0" borderId="9" xfId="37" applyFont="1" applyBorder="1" applyAlignment="1">
      <alignment horizontal="center"/>
    </xf>
    <xf numFmtId="3" fontId="102" fillId="0" borderId="9" xfId="37" applyNumberFormat="1" applyFont="1" applyFill="1" applyBorder="1" applyAlignment="1">
      <alignment horizontal="center"/>
    </xf>
    <xf numFmtId="0" fontId="102" fillId="0" borderId="7" xfId="0" applyFont="1" applyBorder="1" applyAlignment="1">
      <alignment horizontal="centerContinuous"/>
    </xf>
    <xf numFmtId="173" fontId="102" fillId="0" borderId="7" xfId="37" applyNumberFormat="1" applyFont="1" applyBorder="1" applyAlignment="1">
      <alignment horizontal="centerContinuous"/>
    </xf>
    <xf numFmtId="173" fontId="102" fillId="0" borderId="7" xfId="37" applyNumberFormat="1" applyFont="1" applyFill="1" applyBorder="1" applyAlignment="1">
      <alignment horizontal="centerContinuous"/>
    </xf>
    <xf numFmtId="173" fontId="102" fillId="0" borderId="9" xfId="37" applyNumberFormat="1" applyFont="1" applyBorder="1" applyAlignment="1">
      <alignment horizontal="left"/>
    </xf>
    <xf numFmtId="0" fontId="102" fillId="0" borderId="0" xfId="37" applyFont="1" applyBorder="1" applyAlignment="1">
      <alignment horizontal="center"/>
    </xf>
    <xf numFmtId="169" fontId="102" fillId="0" borderId="0" xfId="0" applyNumberFormat="1" applyFont="1" applyBorder="1" applyAlignment="1">
      <alignment horizontal="center"/>
    </xf>
    <xf numFmtId="0" fontId="102" fillId="0" borderId="14" xfId="37" applyFont="1" applyBorder="1" applyAlignment="1">
      <alignment horizontal="center"/>
    </xf>
    <xf numFmtId="3" fontId="102" fillId="0" borderId="8" xfId="37" applyNumberFormat="1" applyFont="1" applyBorder="1" applyAlignment="1">
      <alignment horizontal="center"/>
    </xf>
    <xf numFmtId="3" fontId="102" fillId="0" borderId="8" xfId="37" applyNumberFormat="1" applyFont="1" applyFill="1" applyBorder="1" applyAlignment="1">
      <alignment horizontal="center"/>
    </xf>
    <xf numFmtId="172" fontId="102" fillId="0" borderId="8" xfId="37" applyNumberFormat="1" applyFont="1" applyBorder="1" applyAlignment="1">
      <alignment horizontal="center"/>
    </xf>
    <xf numFmtId="173" fontId="102" fillId="0" borderId="8" xfId="37" applyNumberFormat="1" applyFont="1" applyBorder="1" applyAlignment="1">
      <alignment horizontal="center"/>
    </xf>
    <xf numFmtId="173" fontId="102" fillId="0" borderId="8" xfId="37" applyNumberFormat="1" applyFont="1" applyFill="1" applyBorder="1" applyAlignment="1">
      <alignment horizontal="center"/>
    </xf>
    <xf numFmtId="170" fontId="102" fillId="0" borderId="15" xfId="37" applyNumberFormat="1" applyFont="1" applyBorder="1" applyAlignment="1">
      <alignment horizontal="center"/>
    </xf>
    <xf numFmtId="170" fontId="102" fillId="0" borderId="0" xfId="0" applyNumberFormat="1" applyFont="1" applyBorder="1" applyAlignment="1">
      <alignment horizontal="center"/>
    </xf>
    <xf numFmtId="0" fontId="102" fillId="0" borderId="8" xfId="37" applyFont="1" applyBorder="1" applyAlignment="1">
      <alignment horizontal="center"/>
    </xf>
    <xf numFmtId="169" fontId="102" fillId="0" borderId="8" xfId="0" applyNumberFormat="1" applyFont="1" applyBorder="1" applyAlignment="1">
      <alignment horizontal="center"/>
    </xf>
    <xf numFmtId="0" fontId="102" fillId="0" borderId="12" xfId="37" applyFont="1" applyBorder="1" applyProtection="1">
      <protection locked="0"/>
    </xf>
    <xf numFmtId="0" fontId="102" fillId="0" borderId="0" xfId="37" applyFont="1" applyBorder="1" applyProtection="1">
      <protection locked="0"/>
    </xf>
    <xf numFmtId="3" fontId="102" fillId="0" borderId="0" xfId="37" applyNumberFormat="1" applyFont="1" applyFill="1" applyBorder="1" applyProtection="1">
      <protection locked="0"/>
    </xf>
    <xf numFmtId="173" fontId="102" fillId="0" borderId="0" xfId="37" applyNumberFormat="1" applyFont="1" applyBorder="1" applyAlignment="1">
      <alignment horizontal="right"/>
    </xf>
    <xf numFmtId="170" fontId="102" fillId="0" borderId="19" xfId="37" applyNumberFormat="1" applyFont="1" applyBorder="1" applyAlignment="1">
      <alignment horizontal="right"/>
    </xf>
    <xf numFmtId="0" fontId="116" fillId="0" borderId="16" xfId="37" applyFont="1" applyBorder="1" applyProtection="1">
      <protection locked="0"/>
    </xf>
    <xf numFmtId="0" fontId="102" fillId="0" borderId="9" xfId="37" applyFont="1" applyBorder="1" applyProtection="1">
      <protection locked="0"/>
    </xf>
    <xf numFmtId="3" fontId="102" fillId="0" borderId="9" xfId="37" applyNumberFormat="1" applyFont="1" applyFill="1" applyBorder="1"/>
    <xf numFmtId="172" fontId="102" fillId="0" borderId="9" xfId="37" applyNumberFormat="1" applyFont="1" applyBorder="1"/>
    <xf numFmtId="175" fontId="102" fillId="0" borderId="9" xfId="37" applyNumberFormat="1" applyFont="1" applyBorder="1"/>
    <xf numFmtId="3" fontId="102" fillId="0" borderId="9" xfId="37" applyNumberFormat="1" applyFont="1" applyFill="1" applyBorder="1" applyProtection="1">
      <protection locked="0"/>
    </xf>
    <xf numFmtId="173" fontId="102" fillId="0" borderId="9" xfId="37" applyNumberFormat="1" applyFont="1" applyFill="1" applyBorder="1"/>
    <xf numFmtId="173" fontId="102" fillId="0" borderId="9" xfId="37" applyNumberFormat="1" applyFont="1" applyBorder="1" applyAlignment="1">
      <alignment horizontal="right"/>
    </xf>
    <xf numFmtId="178" fontId="102" fillId="0" borderId="18" xfId="37" applyNumberFormat="1" applyFont="1" applyBorder="1" applyAlignment="1">
      <alignment horizontal="right"/>
    </xf>
    <xf numFmtId="0" fontId="102" fillId="0" borderId="22" xfId="37" applyFont="1" applyBorder="1" applyAlignment="1">
      <alignment horizontal="center"/>
    </xf>
    <xf numFmtId="0" fontId="102" fillId="0" borderId="12" xfId="37" applyFont="1" applyBorder="1"/>
    <xf numFmtId="175" fontId="102" fillId="0" borderId="0" xfId="37" applyNumberFormat="1" applyFont="1" applyBorder="1"/>
    <xf numFmtId="175" fontId="102" fillId="0" borderId="0" xfId="37" applyNumberFormat="1" applyFont="1" applyBorder="1" applyAlignment="1">
      <alignment horizontal="right"/>
    </xf>
    <xf numFmtId="178" fontId="102" fillId="0" borderId="19" xfId="37" applyNumberFormat="1" applyFont="1" applyBorder="1" applyAlignment="1">
      <alignment horizontal="right"/>
    </xf>
    <xf numFmtId="175" fontId="102" fillId="0" borderId="21" xfId="37" applyNumberFormat="1" applyFont="1" applyBorder="1" applyAlignment="1">
      <alignment horizontal="center"/>
    </xf>
    <xf numFmtId="170" fontId="102" fillId="0" borderId="0" xfId="23" applyNumberFormat="1" applyFont="1" applyBorder="1"/>
    <xf numFmtId="175" fontId="102" fillId="0" borderId="20" xfId="37" applyNumberFormat="1" applyFont="1" applyBorder="1" applyAlignment="1">
      <alignment horizontal="center"/>
    </xf>
    <xf numFmtId="172" fontId="102" fillId="0" borderId="0" xfId="37" applyNumberFormat="1" applyFont="1" applyFill="1" applyBorder="1"/>
    <xf numFmtId="10" fontId="102" fillId="0" borderId="0" xfId="37" applyNumberFormat="1" applyFont="1" applyBorder="1" applyAlignment="1">
      <alignment horizontal="center"/>
    </xf>
    <xf numFmtId="178" fontId="102" fillId="0" borderId="19" xfId="37" applyNumberFormat="1" applyFont="1" applyBorder="1"/>
    <xf numFmtId="0" fontId="102" fillId="0" borderId="12" xfId="0" applyFont="1" applyBorder="1" applyProtection="1">
      <protection locked="0"/>
    </xf>
    <xf numFmtId="175" fontId="102" fillId="0" borderId="9" xfId="37" applyNumberFormat="1" applyFont="1" applyBorder="1" applyAlignment="1">
      <alignment horizontal="right"/>
    </xf>
    <xf numFmtId="178" fontId="102" fillId="0" borderId="18" xfId="37" applyNumberFormat="1" applyFont="1" applyFill="1" applyBorder="1" applyAlignment="1">
      <alignment horizontal="right"/>
    </xf>
    <xf numFmtId="172" fontId="102" fillId="0" borderId="0" xfId="37" applyNumberFormat="1" applyFont="1" applyFill="1" applyAlignment="1">
      <alignment horizontal="center"/>
    </xf>
    <xf numFmtId="169" fontId="102" fillId="0" borderId="0" xfId="37" applyNumberFormat="1" applyFont="1" applyFill="1" applyAlignment="1">
      <alignment horizontal="center"/>
    </xf>
    <xf numFmtId="173" fontId="102" fillId="0" borderId="0" xfId="37" applyNumberFormat="1" applyFont="1" applyAlignment="1">
      <alignment horizontal="center"/>
    </xf>
    <xf numFmtId="0" fontId="102" fillId="0" borderId="0" xfId="37" applyFont="1" applyAlignment="1">
      <alignment horizontal="center"/>
    </xf>
    <xf numFmtId="169" fontId="102" fillId="0" borderId="0" xfId="37" applyNumberFormat="1" applyFont="1" applyAlignment="1">
      <alignment horizontal="center"/>
    </xf>
    <xf numFmtId="0" fontId="102" fillId="0" borderId="12" xfId="0" applyFont="1" applyBorder="1"/>
    <xf numFmtId="3" fontId="102" fillId="0" borderId="0" xfId="37" applyNumberFormat="1" applyFont="1" applyFill="1" applyBorder="1" applyAlignment="1">
      <alignment horizontal="right"/>
    </xf>
    <xf numFmtId="3" fontId="102" fillId="0" borderId="0" xfId="37" applyNumberFormat="1" applyFont="1" applyFill="1" applyBorder="1" applyAlignment="1">
      <alignment horizontal="center"/>
    </xf>
    <xf numFmtId="178" fontId="102" fillId="0" borderId="0" xfId="37" applyNumberFormat="1" applyFont="1" applyFill="1" applyBorder="1" applyAlignment="1">
      <alignment horizontal="left"/>
    </xf>
    <xf numFmtId="175" fontId="102" fillId="0" borderId="0" xfId="37" applyNumberFormat="1" applyFont="1" applyFill="1" applyBorder="1"/>
    <xf numFmtId="0" fontId="102" fillId="0" borderId="14" xfId="37" applyFont="1" applyBorder="1"/>
    <xf numFmtId="0" fontId="102" fillId="0" borderId="8" xfId="37" applyFont="1" applyBorder="1"/>
    <xf numFmtId="3" fontId="102" fillId="0" borderId="8" xfId="37" applyNumberFormat="1" applyFont="1" applyFill="1" applyBorder="1"/>
    <xf numFmtId="172" fontId="102" fillId="0" borderId="8" xfId="37" applyNumberFormat="1" applyFont="1" applyBorder="1"/>
    <xf numFmtId="175" fontId="102" fillId="0" borderId="8" xfId="37" applyNumberFormat="1" applyFont="1" applyBorder="1"/>
    <xf numFmtId="173" fontId="102" fillId="0" borderId="8" xfId="37" applyNumberFormat="1" applyFont="1" applyFill="1" applyBorder="1"/>
    <xf numFmtId="173" fontId="102" fillId="0" borderId="8" xfId="37" applyNumberFormat="1" applyFont="1" applyBorder="1" applyAlignment="1">
      <alignment horizontal="right"/>
    </xf>
    <xf numFmtId="178" fontId="102" fillId="0" borderId="15" xfId="37" applyNumberFormat="1" applyFont="1" applyBorder="1"/>
    <xf numFmtId="175" fontId="102" fillId="0" borderId="0" xfId="37" applyNumberFormat="1" applyFont="1" applyFill="1" applyBorder="1" applyAlignment="1">
      <alignment horizontal="right"/>
    </xf>
    <xf numFmtId="173" fontId="102" fillId="0" borderId="0" xfId="37" applyNumberFormat="1" applyFont="1" applyFill="1" applyBorder="1" applyAlignment="1">
      <alignment horizontal="right"/>
    </xf>
    <xf numFmtId="178" fontId="102" fillId="0" borderId="0" xfId="37" applyNumberFormat="1" applyFont="1" applyFill="1" applyBorder="1"/>
    <xf numFmtId="0" fontId="116" fillId="0" borderId="0" xfId="37" applyFont="1" applyFill="1" applyBorder="1" applyProtection="1">
      <protection locked="0"/>
    </xf>
    <xf numFmtId="0" fontId="102" fillId="0" borderId="0" xfId="37" applyFont="1" applyFill="1" applyBorder="1" applyProtection="1">
      <protection locked="0"/>
    </xf>
    <xf numFmtId="175" fontId="102" fillId="0" borderId="0" xfId="37" applyNumberFormat="1" applyFont="1" applyFill="1" applyBorder="1" applyProtection="1">
      <protection locked="0"/>
    </xf>
    <xf numFmtId="175" fontId="102" fillId="0" borderId="8" xfId="37" applyNumberFormat="1" applyFont="1" applyBorder="1" applyAlignment="1">
      <alignment horizontal="right"/>
    </xf>
    <xf numFmtId="0" fontId="116" fillId="0" borderId="16" xfId="37" applyFont="1" applyFill="1" applyBorder="1" applyProtection="1">
      <protection locked="0"/>
    </xf>
    <xf numFmtId="178" fontId="102" fillId="0" borderId="19" xfId="37" applyNumberFormat="1" applyFont="1" applyFill="1" applyBorder="1" applyAlignment="1">
      <alignment horizontal="right"/>
    </xf>
    <xf numFmtId="175" fontId="102" fillId="0" borderId="8" xfId="37" applyNumberFormat="1" applyFont="1" applyFill="1" applyBorder="1"/>
    <xf numFmtId="178" fontId="102" fillId="0" borderId="19" xfId="37" applyNumberFormat="1" applyFont="1" applyFill="1" applyBorder="1"/>
    <xf numFmtId="175" fontId="102" fillId="0" borderId="9" xfId="37" applyNumberFormat="1" applyFont="1" applyFill="1" applyBorder="1" applyAlignment="1">
      <alignment horizontal="right"/>
    </xf>
    <xf numFmtId="172" fontId="102" fillId="0" borderId="8" xfId="37" applyNumberFormat="1" applyFont="1" applyFill="1" applyBorder="1"/>
    <xf numFmtId="175" fontId="102" fillId="0" borderId="8" xfId="37" applyNumberFormat="1" applyFont="1" applyFill="1" applyBorder="1" applyAlignment="1">
      <alignment horizontal="right"/>
    </xf>
    <xf numFmtId="173" fontId="102" fillId="0" borderId="8" xfId="37" applyNumberFormat="1" applyFont="1" applyFill="1" applyBorder="1" applyAlignment="1">
      <alignment horizontal="right"/>
    </xf>
    <xf numFmtId="178" fontId="102" fillId="0" borderId="15" xfId="37" applyNumberFormat="1" applyFont="1" applyFill="1" applyBorder="1"/>
    <xf numFmtId="178" fontId="102" fillId="0" borderId="18" xfId="37" applyNumberFormat="1" applyFont="1" applyBorder="1"/>
    <xf numFmtId="170" fontId="102" fillId="0" borderId="19" xfId="37" applyNumberFormat="1" applyFont="1" applyBorder="1" applyAlignment="1">
      <alignment horizontal="left"/>
    </xf>
    <xf numFmtId="0" fontId="102" fillId="0" borderId="19" xfId="37" applyFont="1" applyBorder="1" applyAlignment="1">
      <alignment horizontal="center"/>
    </xf>
    <xf numFmtId="172" fontId="102" fillId="0" borderId="0" xfId="37" applyNumberFormat="1" applyFont="1" applyBorder="1" applyAlignment="1">
      <alignment horizontal="center"/>
    </xf>
    <xf numFmtId="0" fontId="102" fillId="0" borderId="12" xfId="37" applyFont="1" applyFill="1" applyBorder="1"/>
    <xf numFmtId="172" fontId="102" fillId="0" borderId="0" xfId="37" applyNumberFormat="1" applyFont="1" applyAlignment="1">
      <alignment horizontal="center"/>
    </xf>
    <xf numFmtId="172" fontId="102" fillId="0" borderId="8" xfId="37" applyNumberFormat="1" applyFont="1" applyFill="1" applyBorder="1" applyAlignment="1">
      <alignment horizontal="right"/>
    </xf>
    <xf numFmtId="178" fontId="102" fillId="0" borderId="15" xfId="37" applyNumberFormat="1" applyFont="1" applyBorder="1" applyAlignment="1">
      <alignment horizontal="right"/>
    </xf>
    <xf numFmtId="0" fontId="102" fillId="0" borderId="18" xfId="37" applyFont="1" applyBorder="1" applyAlignment="1">
      <alignment horizontal="center"/>
    </xf>
    <xf numFmtId="178" fontId="102" fillId="0" borderId="19" xfId="37" applyNumberFormat="1" applyFont="1" applyBorder="1" applyAlignment="1">
      <alignment horizontal="center"/>
    </xf>
    <xf numFmtId="175" fontId="102" fillId="0" borderId="19" xfId="37" applyNumberFormat="1" applyFont="1" applyBorder="1" applyAlignment="1">
      <alignment horizontal="center"/>
    </xf>
    <xf numFmtId="175" fontId="102" fillId="0" borderId="15" xfId="37" applyNumberFormat="1" applyFont="1" applyBorder="1" applyAlignment="1">
      <alignment horizontal="center"/>
    </xf>
    <xf numFmtId="175" fontId="102" fillId="0" borderId="0" xfId="37" applyNumberFormat="1" applyFont="1" applyBorder="1" applyAlignment="1">
      <alignment horizontal="center"/>
    </xf>
    <xf numFmtId="4" fontId="102" fillId="0" borderId="0" xfId="37" applyNumberFormat="1" applyFont="1" applyBorder="1" applyAlignment="1">
      <alignment horizontal="center"/>
    </xf>
    <xf numFmtId="3" fontId="102" fillId="0" borderId="0" xfId="37" applyNumberFormat="1" applyFont="1" applyBorder="1" applyAlignment="1">
      <alignment horizontal="center"/>
    </xf>
    <xf numFmtId="183" fontId="102" fillId="0" borderId="0" xfId="37" applyNumberFormat="1" applyFont="1" applyFill="1" applyBorder="1" applyAlignment="1">
      <alignment horizontal="center"/>
    </xf>
    <xf numFmtId="175" fontId="102" fillId="0" borderId="0" xfId="37" applyNumberFormat="1" applyFont="1" applyFill="1" applyBorder="1" applyAlignment="1">
      <alignment horizontal="center"/>
    </xf>
    <xf numFmtId="178" fontId="102" fillId="0" borderId="0" xfId="23" applyNumberFormat="1" applyFont="1"/>
    <xf numFmtId="178" fontId="102" fillId="0" borderId="0" xfId="23" applyNumberFormat="1" applyFont="1" applyBorder="1"/>
    <xf numFmtId="175" fontId="102" fillId="0" borderId="19" xfId="2" applyNumberFormat="1" applyFont="1" applyBorder="1" applyAlignment="1">
      <alignment horizontal="right"/>
    </xf>
    <xf numFmtId="175" fontId="102" fillId="0" borderId="0" xfId="37" applyNumberFormat="1" applyFont="1"/>
    <xf numFmtId="0" fontId="102" fillId="0" borderId="9" xfId="37" applyFont="1" applyFill="1" applyBorder="1" applyProtection="1">
      <protection locked="0"/>
    </xf>
    <xf numFmtId="172" fontId="102" fillId="0" borderId="9" xfId="37" applyNumberFormat="1" applyFont="1" applyFill="1" applyBorder="1"/>
    <xf numFmtId="175" fontId="102" fillId="0" borderId="9" xfId="37" applyNumberFormat="1" applyFont="1" applyFill="1" applyBorder="1"/>
    <xf numFmtId="173" fontId="102" fillId="0" borderId="9" xfId="37" applyNumberFormat="1" applyFont="1" applyFill="1" applyBorder="1" applyAlignment="1">
      <alignment horizontal="right"/>
    </xf>
    <xf numFmtId="0" fontId="102" fillId="0" borderId="12" xfId="37" applyFont="1" applyFill="1" applyBorder="1" applyProtection="1">
      <protection locked="0"/>
    </xf>
    <xf numFmtId="178" fontId="102" fillId="0" borderId="19" xfId="37" applyNumberFormat="1" applyFont="1" applyFill="1" applyBorder="1" applyAlignment="1">
      <alignment horizontal="center"/>
    </xf>
    <xf numFmtId="0" fontId="102" fillId="0" borderId="12" xfId="0" applyFont="1" applyFill="1" applyBorder="1"/>
    <xf numFmtId="178" fontId="102" fillId="0" borderId="18" xfId="37" applyNumberFormat="1" applyFont="1" applyFill="1" applyBorder="1"/>
    <xf numFmtId="173" fontId="102" fillId="0" borderId="8" xfId="37" applyNumberFormat="1" applyFont="1" applyBorder="1"/>
    <xf numFmtId="170" fontId="102" fillId="0" borderId="0" xfId="37" applyNumberFormat="1" applyFont="1" applyBorder="1"/>
    <xf numFmtId="175" fontId="102" fillId="0" borderId="8" xfId="37" applyNumberFormat="1" applyFont="1" applyBorder="1" applyAlignment="1">
      <alignment horizontal="center"/>
    </xf>
    <xf numFmtId="3" fontId="102" fillId="0" borderId="0" xfId="37" applyNumberFormat="1" applyFont="1" applyFill="1"/>
    <xf numFmtId="0" fontId="116" fillId="0" borderId="0" xfId="0" applyFont="1"/>
    <xf numFmtId="5" fontId="102" fillId="0" borderId="0" xfId="37" applyNumberFormat="1" applyFont="1" applyBorder="1"/>
    <xf numFmtId="5" fontId="102" fillId="0" borderId="0" xfId="37" applyNumberFormat="1" applyFont="1" applyFill="1" applyBorder="1"/>
    <xf numFmtId="3" fontId="102" fillId="0" borderId="0" xfId="37" applyNumberFormat="1" applyFont="1" applyBorder="1"/>
    <xf numFmtId="5" fontId="102" fillId="0" borderId="9" xfId="37" applyNumberFormat="1" applyFont="1" applyBorder="1"/>
    <xf numFmtId="3" fontId="102" fillId="0" borderId="9" xfId="37" applyNumberFormat="1" applyFont="1" applyBorder="1"/>
    <xf numFmtId="5" fontId="102" fillId="0" borderId="0" xfId="37" applyNumberFormat="1" applyFont="1" applyFill="1" applyBorder="1" applyAlignment="1">
      <alignment horizontal="center"/>
    </xf>
    <xf numFmtId="170" fontId="102" fillId="0" borderId="0" xfId="37" applyNumberFormat="1" applyFont="1" applyAlignment="1">
      <alignment horizontal="right"/>
    </xf>
    <xf numFmtId="173" fontId="102" fillId="0" borderId="0" xfId="37" applyNumberFormat="1" applyFont="1"/>
    <xf numFmtId="173" fontId="102" fillId="0" borderId="0" xfId="37" applyNumberFormat="1" applyFont="1" applyFill="1"/>
    <xf numFmtId="172" fontId="102" fillId="0" borderId="0" xfId="37" applyNumberFormat="1" applyFont="1"/>
    <xf numFmtId="169" fontId="102" fillId="0" borderId="0" xfId="37" applyNumberFormat="1" applyFont="1" applyAlignment="1">
      <alignment horizontal="centerContinuous"/>
    </xf>
    <xf numFmtId="0" fontId="102" fillId="0" borderId="0" xfId="37" applyFont="1" applyAlignment="1"/>
    <xf numFmtId="173" fontId="102" fillId="0" borderId="0" xfId="37" applyNumberFormat="1" applyFont="1" applyAlignment="1"/>
    <xf numFmtId="3" fontId="102" fillId="0" borderId="8" xfId="37" applyNumberFormat="1" applyFont="1" applyFill="1" applyBorder="1" applyAlignment="1"/>
    <xf numFmtId="178" fontId="102" fillId="0" borderId="0" xfId="37" applyNumberFormat="1" applyFont="1" applyAlignment="1"/>
    <xf numFmtId="169" fontId="102" fillId="0" borderId="0" xfId="37" applyNumberFormat="1" applyFont="1"/>
    <xf numFmtId="0" fontId="102" fillId="0" borderId="9" xfId="37" applyFont="1" applyFill="1" applyBorder="1" applyAlignment="1">
      <alignment horizontal="center"/>
    </xf>
    <xf numFmtId="0" fontId="102" fillId="0" borderId="7" xfId="37" applyFont="1" applyFill="1" applyBorder="1" applyAlignment="1">
      <alignment horizontal="centerContinuous"/>
    </xf>
    <xf numFmtId="178" fontId="102" fillId="0" borderId="15" xfId="37" applyNumberFormat="1" applyFont="1" applyBorder="1" applyAlignment="1">
      <alignment horizontal="center"/>
    </xf>
    <xf numFmtId="170" fontId="102" fillId="0" borderId="0" xfId="37" applyNumberFormat="1" applyFont="1" applyBorder="1" applyAlignment="1">
      <alignment horizontal="center"/>
    </xf>
    <xf numFmtId="173" fontId="102" fillId="0" borderId="0" xfId="37" applyNumberFormat="1" applyFont="1" applyBorder="1" applyAlignment="1">
      <alignment horizontal="center"/>
    </xf>
    <xf numFmtId="169" fontId="102" fillId="0" borderId="0" xfId="37" applyNumberFormat="1" applyFont="1" applyBorder="1"/>
    <xf numFmtId="0" fontId="102" fillId="0" borderId="9" xfId="37" applyFont="1" applyBorder="1"/>
    <xf numFmtId="0" fontId="102" fillId="0" borderId="9" xfId="37" applyFont="1" applyFill="1" applyBorder="1"/>
    <xf numFmtId="173" fontId="102" fillId="0" borderId="0" xfId="0" applyNumberFormat="1" applyFont="1" applyFill="1" applyBorder="1"/>
    <xf numFmtId="175" fontId="102" fillId="0" borderId="20" xfId="37" applyNumberFormat="1" applyFont="1" applyFill="1" applyBorder="1" applyAlignment="1">
      <alignment horizontal="center"/>
    </xf>
    <xf numFmtId="0" fontId="102" fillId="0" borderId="0" xfId="37" applyFont="1" applyBorder="1" applyAlignment="1">
      <alignment horizontal="center" wrapText="1"/>
    </xf>
    <xf numFmtId="169" fontId="102" fillId="0" borderId="0" xfId="37" applyNumberFormat="1" applyFont="1" applyBorder="1" applyAlignment="1">
      <alignment horizontal="center" wrapText="1"/>
    </xf>
    <xf numFmtId="174" fontId="102" fillId="0" borderId="0" xfId="37" applyNumberFormat="1" applyFont="1" applyFill="1" applyBorder="1"/>
    <xf numFmtId="168" fontId="102" fillId="0" borderId="0" xfId="37" applyNumberFormat="1" applyFont="1" applyFill="1" applyBorder="1"/>
    <xf numFmtId="9" fontId="102" fillId="0" borderId="0" xfId="37" applyNumberFormat="1" applyFont="1" applyFill="1" applyBorder="1"/>
    <xf numFmtId="42" fontId="102" fillId="0" borderId="0" xfId="37" applyNumberFormat="1" applyFont="1" applyBorder="1" applyAlignment="1">
      <alignment horizontal="right"/>
    </xf>
    <xf numFmtId="0" fontId="102" fillId="0" borderId="8" xfId="37" applyFont="1" applyBorder="1" applyProtection="1">
      <protection locked="0"/>
    </xf>
    <xf numFmtId="0" fontId="102" fillId="0" borderId="8" xfId="37" applyFont="1" applyFill="1" applyBorder="1"/>
    <xf numFmtId="175" fontId="102" fillId="0" borderId="8" xfId="37" applyNumberFormat="1" applyFont="1" applyFill="1" applyBorder="1" applyAlignment="1">
      <alignment horizontal="center"/>
    </xf>
    <xf numFmtId="9" fontId="102" fillId="0" borderId="8" xfId="37" applyNumberFormat="1" applyFont="1" applyFill="1" applyBorder="1"/>
    <xf numFmtId="170" fontId="102" fillId="0" borderId="0" xfId="37" applyNumberFormat="1" applyFont="1"/>
    <xf numFmtId="0" fontId="102" fillId="0" borderId="14" xfId="37" applyFont="1" applyFill="1" applyBorder="1"/>
    <xf numFmtId="170" fontId="102" fillId="0" borderId="19" xfId="37" applyNumberFormat="1" applyFont="1" applyBorder="1"/>
    <xf numFmtId="0" fontId="102" fillId="0" borderId="18" xfId="37" applyFont="1" applyFill="1" applyBorder="1" applyAlignment="1">
      <alignment horizontal="center"/>
    </xf>
    <xf numFmtId="170" fontId="102" fillId="0" borderId="19" xfId="37" applyNumberFormat="1" applyFont="1" applyBorder="1" applyAlignment="1">
      <alignment horizontal="center"/>
    </xf>
    <xf numFmtId="175" fontId="102" fillId="0" borderId="21" xfId="37" applyNumberFormat="1" applyFont="1" applyFill="1" applyBorder="1" applyAlignment="1">
      <alignment horizontal="center"/>
    </xf>
    <xf numFmtId="175" fontId="102" fillId="0" borderId="15" xfId="37" applyNumberFormat="1" applyFont="1" applyFill="1" applyBorder="1" applyAlignment="1">
      <alignment horizontal="center"/>
    </xf>
    <xf numFmtId="10" fontId="102" fillId="0" borderId="0" xfId="37" applyNumberFormat="1" applyFont="1" applyFill="1" applyBorder="1" applyAlignment="1">
      <alignment horizontal="center"/>
    </xf>
    <xf numFmtId="169" fontId="102" fillId="0" borderId="0" xfId="37" applyNumberFormat="1" applyFont="1" applyFill="1"/>
    <xf numFmtId="166" fontId="102" fillId="0" borderId="0" xfId="37" applyNumberFormat="1" applyFont="1"/>
    <xf numFmtId="172" fontId="102" fillId="0" borderId="0" xfId="37" applyNumberFormat="1" applyFont="1" applyFill="1" applyBorder="1" applyAlignment="1">
      <alignment horizontal="center"/>
    </xf>
    <xf numFmtId="173" fontId="102" fillId="0" borderId="0" xfId="37" applyNumberFormat="1" applyFont="1" applyFill="1" applyAlignment="1">
      <alignment horizontal="center"/>
    </xf>
    <xf numFmtId="2" fontId="102" fillId="0" borderId="0" xfId="37" applyNumberFormat="1" applyFont="1" applyFill="1"/>
    <xf numFmtId="170" fontId="102" fillId="0" borderId="0" xfId="37" applyNumberFormat="1" applyFont="1" applyFill="1" applyBorder="1"/>
    <xf numFmtId="8" fontId="102" fillId="0" borderId="0" xfId="37" applyNumberFormat="1" applyFont="1" applyBorder="1"/>
    <xf numFmtId="178" fontId="102" fillId="0" borderId="0" xfId="37" applyNumberFormat="1" applyFont="1"/>
    <xf numFmtId="166" fontId="102" fillId="0" borderId="0" xfId="37" applyNumberFormat="1" applyFont="1" applyFill="1"/>
    <xf numFmtId="166" fontId="102" fillId="0" borderId="0" xfId="37" applyNumberFormat="1" applyFont="1" applyBorder="1"/>
    <xf numFmtId="166" fontId="102" fillId="0" borderId="9" xfId="37" applyNumberFormat="1" applyFont="1" applyBorder="1"/>
    <xf numFmtId="0" fontId="102" fillId="0" borderId="0" xfId="0" applyFont="1" applyAlignment="1">
      <alignment horizontal="centerContinuous"/>
    </xf>
    <xf numFmtId="175" fontId="102" fillId="0" borderId="0" xfId="0" applyNumberFormat="1" applyFont="1" applyAlignment="1">
      <alignment horizontal="centerContinuous"/>
    </xf>
    <xf numFmtId="169" fontId="102" fillId="0" borderId="0" xfId="0" applyNumberFormat="1" applyFont="1" applyAlignment="1">
      <alignment horizontal="centerContinuous"/>
    </xf>
    <xf numFmtId="0" fontId="102" fillId="0" borderId="0" xfId="0" applyFont="1" applyFill="1"/>
    <xf numFmtId="3" fontId="102" fillId="0" borderId="0" xfId="0" applyNumberFormat="1" applyFont="1" applyBorder="1"/>
    <xf numFmtId="173" fontId="102" fillId="0" borderId="0" xfId="0" applyNumberFormat="1" applyFont="1"/>
    <xf numFmtId="173" fontId="102" fillId="0" borderId="0" xfId="0" applyNumberFormat="1" applyFont="1" applyBorder="1"/>
    <xf numFmtId="175" fontId="102" fillId="0" borderId="0" xfId="0" applyNumberFormat="1" applyFont="1" applyAlignment="1">
      <alignment horizontal="right"/>
    </xf>
    <xf numFmtId="175" fontId="102" fillId="0" borderId="0" xfId="0" applyNumberFormat="1" applyFont="1" applyBorder="1" applyAlignment="1">
      <alignment horizontal="right"/>
    </xf>
    <xf numFmtId="169" fontId="102" fillId="0" borderId="0" xfId="0" applyNumberFormat="1" applyFont="1"/>
    <xf numFmtId="0" fontId="102" fillId="0" borderId="9" xfId="0" applyFont="1" applyBorder="1" applyAlignment="1">
      <alignment horizontal="center"/>
    </xf>
    <xf numFmtId="0" fontId="102" fillId="0" borderId="9" xfId="0" applyFont="1" applyFill="1" applyBorder="1" applyAlignment="1">
      <alignment horizontal="center"/>
    </xf>
    <xf numFmtId="173" fontId="102" fillId="0" borderId="7" xfId="0" applyNumberFormat="1" applyFont="1" applyBorder="1" applyAlignment="1">
      <alignment horizontal="centerContinuous"/>
    </xf>
    <xf numFmtId="0" fontId="102" fillId="0" borderId="9" xfId="0" applyFont="1" applyBorder="1" applyAlignment="1">
      <alignment horizontal="left"/>
    </xf>
    <xf numFmtId="173" fontId="102" fillId="0" borderId="9" xfId="0" applyNumberFormat="1" applyFont="1" applyBorder="1" applyAlignment="1">
      <alignment horizontal="left"/>
    </xf>
    <xf numFmtId="173" fontId="102" fillId="0" borderId="17" xfId="0" applyNumberFormat="1" applyFont="1" applyBorder="1" applyAlignment="1">
      <alignment horizontal="centerContinuous"/>
    </xf>
    <xf numFmtId="173" fontId="102" fillId="0" borderId="0" xfId="0" applyNumberFormat="1" applyFont="1" applyBorder="1" applyAlignment="1">
      <alignment horizontal="left"/>
    </xf>
    <xf numFmtId="0" fontId="102" fillId="0" borderId="8" xfId="0" applyFont="1" applyBorder="1" applyAlignment="1">
      <alignment horizontal="center"/>
    </xf>
    <xf numFmtId="0" fontId="102" fillId="0" borderId="8" xfId="0" applyFont="1" applyFill="1" applyBorder="1" applyAlignment="1">
      <alignment horizontal="center"/>
    </xf>
    <xf numFmtId="173" fontId="102" fillId="0" borderId="8" xfId="0" applyNumberFormat="1" applyFont="1" applyBorder="1" applyAlignment="1">
      <alignment horizontal="center"/>
    </xf>
    <xf numFmtId="170" fontId="102" fillId="0" borderId="15" xfId="0" applyNumberFormat="1" applyFont="1" applyBorder="1" applyAlignment="1">
      <alignment horizontal="center"/>
    </xf>
    <xf numFmtId="0" fontId="102" fillId="0" borderId="0" xfId="0" applyFont="1" applyFill="1" applyBorder="1"/>
    <xf numFmtId="0" fontId="116" fillId="0" borderId="16" xfId="0" applyFont="1" applyBorder="1" applyProtection="1">
      <protection locked="0"/>
    </xf>
    <xf numFmtId="0" fontId="116" fillId="0" borderId="9" xfId="0" applyFont="1" applyBorder="1" applyProtection="1">
      <protection locked="0"/>
    </xf>
    <xf numFmtId="0" fontId="102" fillId="0" borderId="9" xfId="0" applyFont="1" applyFill="1" applyBorder="1"/>
    <xf numFmtId="0" fontId="102" fillId="0" borderId="9" xfId="0" applyFont="1" applyBorder="1"/>
    <xf numFmtId="3" fontId="102" fillId="0" borderId="9" xfId="0" applyNumberFormat="1" applyFont="1" applyBorder="1"/>
    <xf numFmtId="175" fontId="102" fillId="0" borderId="9" xfId="0" applyNumberFormat="1" applyFont="1" applyBorder="1"/>
    <xf numFmtId="178" fontId="102" fillId="0" borderId="18" xfId="23" applyNumberFormat="1" applyFont="1" applyBorder="1" applyAlignment="1">
      <alignment horizontal="right"/>
    </xf>
    <xf numFmtId="3" fontId="102" fillId="0" borderId="0" xfId="0" applyNumberFormat="1" applyFont="1" applyBorder="1" applyProtection="1">
      <protection locked="0"/>
    </xf>
    <xf numFmtId="175" fontId="102" fillId="0" borderId="0" xfId="0" applyNumberFormat="1" applyFont="1" applyBorder="1"/>
    <xf numFmtId="178" fontId="102" fillId="0" borderId="19" xfId="23" applyNumberFormat="1" applyFont="1" applyBorder="1" applyAlignment="1">
      <alignment horizontal="right"/>
    </xf>
    <xf numFmtId="0" fontId="102" fillId="0" borderId="22" xfId="0" applyFont="1" applyBorder="1" applyAlignment="1">
      <alignment horizontal="center"/>
    </xf>
    <xf numFmtId="0" fontId="102" fillId="0" borderId="12" xfId="0" applyFont="1" applyFill="1" applyBorder="1" applyProtection="1">
      <protection locked="0"/>
    </xf>
    <xf numFmtId="0" fontId="102" fillId="0" borderId="0" xfId="0" applyFont="1" applyFill="1" applyBorder="1" applyProtection="1">
      <protection locked="0"/>
    </xf>
    <xf numFmtId="178" fontId="102" fillId="0" borderId="19" xfId="23" applyNumberFormat="1" applyFont="1" applyBorder="1"/>
    <xf numFmtId="172" fontId="102" fillId="0" borderId="0" xfId="0" applyNumberFormat="1" applyFont="1" applyFill="1" applyBorder="1"/>
    <xf numFmtId="175" fontId="102" fillId="0" borderId="21" xfId="0" applyNumberFormat="1" applyFont="1" applyBorder="1" applyAlignment="1">
      <alignment horizontal="center"/>
    </xf>
    <xf numFmtId="0" fontId="116" fillId="0" borderId="12" xfId="0" applyFont="1" applyBorder="1"/>
    <xf numFmtId="0" fontId="102" fillId="0" borderId="0" xfId="0" applyFont="1" applyBorder="1" applyProtection="1">
      <protection locked="0"/>
    </xf>
    <xf numFmtId="3" fontId="102" fillId="0" borderId="0" xfId="0" applyNumberFormat="1" applyFont="1" applyFill="1" applyBorder="1"/>
    <xf numFmtId="178" fontId="102" fillId="0" borderId="18" xfId="23" applyNumberFormat="1" applyFont="1" applyBorder="1"/>
    <xf numFmtId="175" fontId="102" fillId="0" borderId="20" xfId="0" applyNumberFormat="1" applyFont="1" applyBorder="1" applyAlignment="1">
      <alignment horizontal="center"/>
    </xf>
    <xf numFmtId="169" fontId="102" fillId="0" borderId="0" xfId="0" applyNumberFormat="1" applyFont="1" applyFill="1" applyBorder="1" applyAlignment="1">
      <alignment horizontal="center"/>
    </xf>
    <xf numFmtId="0" fontId="116" fillId="0" borderId="0" xfId="0" applyFont="1" applyBorder="1"/>
    <xf numFmtId="172" fontId="102" fillId="0" borderId="0" xfId="0" applyNumberFormat="1" applyFont="1" applyBorder="1"/>
    <xf numFmtId="175" fontId="116" fillId="0" borderId="0" xfId="0" applyNumberFormat="1" applyFont="1" applyBorder="1"/>
    <xf numFmtId="9" fontId="102" fillId="0" borderId="0" xfId="23" applyFont="1" applyBorder="1" applyAlignment="1">
      <alignment horizontal="center"/>
    </xf>
    <xf numFmtId="169" fontId="102" fillId="0" borderId="0" xfId="0" applyNumberFormat="1" applyFont="1" applyBorder="1"/>
    <xf numFmtId="0" fontId="102" fillId="0" borderId="0" xfId="0" applyFont="1" applyBorder="1" applyAlignment="1">
      <alignment horizontal="center"/>
    </xf>
    <xf numFmtId="168" fontId="102" fillId="0" borderId="0" xfId="0" applyNumberFormat="1" applyFont="1" applyFill="1" applyBorder="1"/>
    <xf numFmtId="172" fontId="102" fillId="0" borderId="0" xfId="0" applyNumberFormat="1" applyFont="1"/>
    <xf numFmtId="175" fontId="102" fillId="0" borderId="0" xfId="0" applyNumberFormat="1" applyFont="1" applyFill="1" applyBorder="1"/>
    <xf numFmtId="0" fontId="102" fillId="0" borderId="14" xfId="0" applyFont="1" applyFill="1" applyBorder="1"/>
    <xf numFmtId="0" fontId="102" fillId="0" borderId="8" xfId="0" applyFont="1" applyFill="1" applyBorder="1"/>
    <xf numFmtId="175" fontId="102" fillId="0" borderId="8" xfId="0" applyNumberFormat="1" applyFont="1" applyFill="1" applyBorder="1"/>
    <xf numFmtId="3" fontId="102" fillId="0" borderId="8" xfId="0" applyNumberFormat="1" applyFont="1" applyFill="1" applyBorder="1"/>
    <xf numFmtId="178" fontId="102" fillId="0" borderId="15" xfId="23" applyNumberFormat="1" applyFont="1" applyFill="1" applyBorder="1"/>
    <xf numFmtId="178" fontId="102" fillId="0" borderId="0" xfId="23" applyNumberFormat="1" applyFont="1" applyFill="1" applyBorder="1"/>
    <xf numFmtId="0" fontId="116" fillId="0" borderId="16" xfId="0" applyFont="1" applyFill="1" applyBorder="1" applyProtection="1">
      <protection locked="0"/>
    </xf>
    <xf numFmtId="0" fontId="116" fillId="0" borderId="9" xfId="0" applyFont="1" applyFill="1" applyBorder="1" applyProtection="1">
      <protection locked="0"/>
    </xf>
    <xf numFmtId="3" fontId="102" fillId="0" borderId="0" xfId="0" applyNumberFormat="1" applyFont="1" applyFill="1" applyBorder="1" applyProtection="1">
      <protection locked="0"/>
    </xf>
    <xf numFmtId="178" fontId="102" fillId="0" borderId="19" xfId="23" applyNumberFormat="1" applyFont="1" applyFill="1" applyBorder="1" applyAlignment="1">
      <alignment horizontal="right"/>
    </xf>
    <xf numFmtId="175" fontId="102" fillId="0" borderId="0" xfId="0" applyNumberFormat="1" applyFont="1" applyFill="1" applyBorder="1" applyAlignment="1">
      <alignment horizontal="right"/>
    </xf>
    <xf numFmtId="169" fontId="102" fillId="0" borderId="0" xfId="0" applyNumberFormat="1" applyFont="1" applyFill="1" applyBorder="1"/>
    <xf numFmtId="178" fontId="102" fillId="0" borderId="19" xfId="23" applyNumberFormat="1" applyFont="1" applyFill="1" applyBorder="1"/>
    <xf numFmtId="175" fontId="102" fillId="0" borderId="0" xfId="0" applyNumberFormat="1" applyFont="1" applyBorder="1" applyAlignment="1">
      <alignment horizontal="center"/>
    </xf>
    <xf numFmtId="0" fontId="116" fillId="0" borderId="12" xfId="0" applyFont="1" applyFill="1" applyBorder="1"/>
    <xf numFmtId="0" fontId="116" fillId="0" borderId="0" xfId="0" applyFont="1" applyFill="1" applyBorder="1"/>
    <xf numFmtId="175" fontId="116" fillId="0" borderId="0" xfId="0" applyNumberFormat="1" applyFont="1" applyFill="1" applyBorder="1"/>
    <xf numFmtId="0" fontId="102" fillId="0" borderId="0" xfId="0" applyFont="1" applyFill="1" applyBorder="1" applyAlignment="1">
      <alignment horizontal="center"/>
    </xf>
    <xf numFmtId="172" fontId="102" fillId="0" borderId="0" xfId="0" applyNumberFormat="1" applyFont="1" applyBorder="1" applyAlignment="1">
      <alignment horizontal="center"/>
    </xf>
    <xf numFmtId="170" fontId="102" fillId="0" borderId="0" xfId="23" applyNumberFormat="1" applyFont="1" applyFill="1" applyBorder="1"/>
    <xf numFmtId="172" fontId="102" fillId="0" borderId="0" xfId="0" applyNumberFormat="1" applyFont="1" applyFill="1" applyAlignment="1">
      <alignment horizontal="center"/>
    </xf>
    <xf numFmtId="3" fontId="102" fillId="0" borderId="0" xfId="0" applyNumberFormat="1" applyFont="1" applyBorder="1" applyAlignment="1" applyProtection="1">
      <alignment horizontal="center"/>
      <protection locked="0"/>
    </xf>
    <xf numFmtId="0" fontId="102" fillId="0" borderId="22" xfId="0" applyFont="1" applyFill="1" applyBorder="1" applyAlignment="1">
      <alignment horizontal="center"/>
    </xf>
    <xf numFmtId="3" fontId="102" fillId="0" borderId="0" xfId="0" applyNumberFormat="1" applyFont="1" applyFill="1" applyBorder="1" applyAlignment="1" applyProtection="1">
      <alignment horizontal="center"/>
      <protection locked="0"/>
    </xf>
    <xf numFmtId="176" fontId="102" fillId="0" borderId="0" xfId="0" applyNumberFormat="1" applyFont="1" applyBorder="1" applyAlignment="1">
      <alignment horizontal="right"/>
    </xf>
    <xf numFmtId="174" fontId="102" fillId="0" borderId="0" xfId="0" applyNumberFormat="1" applyFont="1" applyBorder="1"/>
    <xf numFmtId="178" fontId="102" fillId="0" borderId="19" xfId="23" applyNumberFormat="1" applyFont="1" applyBorder="1" applyAlignment="1">
      <alignment horizontal="center"/>
    </xf>
    <xf numFmtId="0" fontId="116" fillId="0" borderId="14" xfId="0" applyFont="1" applyBorder="1"/>
    <xf numFmtId="0" fontId="116" fillId="0" borderId="8" xfId="0" applyFont="1" applyBorder="1"/>
    <xf numFmtId="0" fontId="102" fillId="0" borderId="8" xfId="0" applyFont="1" applyBorder="1"/>
    <xf numFmtId="175" fontId="116" fillId="0" borderId="8" xfId="0" applyNumberFormat="1" applyFont="1" applyBorder="1"/>
    <xf numFmtId="3" fontId="102" fillId="0" borderId="8" xfId="0" applyNumberFormat="1" applyFont="1" applyBorder="1"/>
    <xf numFmtId="173" fontId="102" fillId="0" borderId="8" xfId="0" applyNumberFormat="1" applyFont="1" applyBorder="1"/>
    <xf numFmtId="178" fontId="102" fillId="0" borderId="15" xfId="23" applyNumberFormat="1" applyFont="1" applyBorder="1" applyAlignment="1">
      <alignment horizontal="right"/>
    </xf>
    <xf numFmtId="175" fontId="102" fillId="0" borderId="0" xfId="0" applyNumberFormat="1" applyFont="1"/>
    <xf numFmtId="0" fontId="102" fillId="0" borderId="0" xfId="0" applyFont="1" applyAlignment="1"/>
    <xf numFmtId="0" fontId="102" fillId="0" borderId="0" xfId="0" applyFont="1" applyFill="1" applyAlignment="1"/>
    <xf numFmtId="0" fontId="102" fillId="0" borderId="0" xfId="0" applyFont="1" applyBorder="1" applyAlignment="1"/>
    <xf numFmtId="0" fontId="102" fillId="0" borderId="0" xfId="0" applyFont="1" applyBorder="1" applyAlignment="1">
      <alignment horizontal="left"/>
    </xf>
    <xf numFmtId="0" fontId="102" fillId="0" borderId="0" xfId="0" applyFont="1" applyFill="1" applyAlignment="1">
      <alignment horizontal="center"/>
    </xf>
    <xf numFmtId="0" fontId="102" fillId="0" borderId="0" xfId="0" applyFont="1" applyAlignment="1">
      <alignment horizontal="left"/>
    </xf>
    <xf numFmtId="42" fontId="102" fillId="0" borderId="0" xfId="0" applyNumberFormat="1" applyFont="1" applyFill="1"/>
    <xf numFmtId="9" fontId="102" fillId="0" borderId="0" xfId="23" applyFont="1" applyFill="1" applyBorder="1" applyAlignment="1">
      <alignment horizontal="right"/>
    </xf>
    <xf numFmtId="10" fontId="102" fillId="0" borderId="0" xfId="23" applyNumberFormat="1" applyFont="1"/>
    <xf numFmtId="42" fontId="102" fillId="0" borderId="0" xfId="0" applyNumberFormat="1" applyFont="1"/>
    <xf numFmtId="10" fontId="102" fillId="0" borderId="0" xfId="23" applyNumberFormat="1" applyFont="1" applyFill="1"/>
    <xf numFmtId="3" fontId="102" fillId="0" borderId="0" xfId="0" applyNumberFormat="1" applyFont="1"/>
    <xf numFmtId="0" fontId="102" fillId="0" borderId="0" xfId="0" applyFont="1" applyFill="1" applyBorder="1" applyAlignment="1">
      <alignment horizontal="left"/>
    </xf>
    <xf numFmtId="41" fontId="102" fillId="0" borderId="0" xfId="0" applyNumberFormat="1" applyFont="1" applyFill="1"/>
    <xf numFmtId="41" fontId="102" fillId="0" borderId="0" xfId="0" applyNumberFormat="1" applyFont="1"/>
    <xf numFmtId="0" fontId="102" fillId="0" borderId="0" xfId="0" applyFont="1" applyFill="1" applyAlignment="1">
      <alignment horizontal="left"/>
    </xf>
    <xf numFmtId="10" fontId="102" fillId="0" borderId="8" xfId="23" applyNumberFormat="1" applyFont="1" applyFill="1" applyBorder="1"/>
    <xf numFmtId="42" fontId="102" fillId="0" borderId="9" xfId="0" applyNumberFormat="1" applyFont="1" applyBorder="1"/>
    <xf numFmtId="9" fontId="102" fillId="0" borderId="9" xfId="23" applyFont="1" applyBorder="1"/>
    <xf numFmtId="42" fontId="102" fillId="0" borderId="9" xfId="0" applyNumberFormat="1" applyFont="1" applyFill="1" applyBorder="1"/>
    <xf numFmtId="10" fontId="102" fillId="0" borderId="9" xfId="23" applyNumberFormat="1" applyFont="1" applyFill="1" applyBorder="1"/>
    <xf numFmtId="178" fontId="102" fillId="0" borderId="0" xfId="23" applyNumberFormat="1" applyFont="1" applyFill="1"/>
    <xf numFmtId="178" fontId="102" fillId="0" borderId="8" xfId="23" applyNumberFormat="1" applyFont="1" applyFill="1" applyBorder="1"/>
    <xf numFmtId="9" fontId="102" fillId="0" borderId="0" xfId="23" applyFont="1" applyBorder="1"/>
    <xf numFmtId="178" fontId="102" fillId="0" borderId="9" xfId="23" applyNumberFormat="1" applyFont="1" applyFill="1" applyBorder="1"/>
    <xf numFmtId="178" fontId="102" fillId="0" borderId="0" xfId="0" applyNumberFormat="1" applyFont="1" applyFill="1"/>
    <xf numFmtId="170" fontId="102" fillId="0" borderId="0" xfId="23" applyNumberFormat="1" applyFont="1"/>
    <xf numFmtId="42" fontId="102" fillId="0" borderId="0" xfId="23" applyNumberFormat="1" applyFont="1" applyFill="1"/>
    <xf numFmtId="42" fontId="102" fillId="0" borderId="0" xfId="0" applyNumberFormat="1" applyFont="1" applyBorder="1"/>
    <xf numFmtId="42" fontId="102" fillId="0" borderId="0" xfId="0" applyNumberFormat="1" applyFont="1" applyFill="1" applyBorder="1"/>
    <xf numFmtId="184" fontId="102" fillId="0" borderId="0" xfId="0" applyNumberFormat="1" applyFont="1" applyFill="1"/>
    <xf numFmtId="9" fontId="102" fillId="0" borderId="0" xfId="0" applyNumberFormat="1" applyFont="1" applyFill="1"/>
    <xf numFmtId="42" fontId="102" fillId="2" borderId="50" xfId="911" applyFont="1" applyFill="1" applyBorder="1">
      <alignment horizontal="left"/>
    </xf>
    <xf numFmtId="43" fontId="102" fillId="2" borderId="47" xfId="2" applyFont="1" applyFill="1" applyBorder="1"/>
    <xf numFmtId="164" fontId="102" fillId="0" borderId="0" xfId="0" applyNumberFormat="1" applyFont="1" applyBorder="1"/>
    <xf numFmtId="44" fontId="102" fillId="0" borderId="0" xfId="7" applyFont="1"/>
    <xf numFmtId="165" fontId="102" fillId="0" borderId="21" xfId="37" applyNumberFormat="1" applyFont="1" applyFill="1" applyBorder="1"/>
    <xf numFmtId="164" fontId="102" fillId="0" borderId="8" xfId="0" applyNumberFormat="1" applyFont="1" applyBorder="1"/>
    <xf numFmtId="170" fontId="102" fillId="0" borderId="1" xfId="23" applyNumberFormat="1" applyFont="1" applyFill="1" applyBorder="1" applyAlignment="1">
      <alignment horizontal="right"/>
    </xf>
    <xf numFmtId="0" fontId="102" fillId="0" borderId="0" xfId="37" applyFont="1" applyBorder="1" applyAlignment="1">
      <alignment horizontal="left"/>
    </xf>
    <xf numFmtId="182" fontId="102" fillId="0" borderId="1" xfId="23" applyNumberFormat="1" applyFont="1" applyFill="1" applyBorder="1"/>
    <xf numFmtId="175" fontId="102" fillId="0" borderId="19" xfId="37" applyNumberFormat="1" applyFont="1" applyFill="1" applyBorder="1" applyAlignment="1">
      <alignment horizontal="center"/>
    </xf>
    <xf numFmtId="182" fontId="102" fillId="0" borderId="1" xfId="23" applyNumberFormat="1" applyFont="1" applyFill="1" applyBorder="1" applyAlignment="1">
      <alignment horizontal="center"/>
    </xf>
    <xf numFmtId="182" fontId="102" fillId="0" borderId="0" xfId="23" applyNumberFormat="1" applyFont="1" applyFill="1" applyBorder="1"/>
    <xf numFmtId="182" fontId="102" fillId="0" borderId="9" xfId="37" applyNumberFormat="1" applyFont="1" applyFill="1" applyBorder="1" applyAlignment="1">
      <alignment horizontal="center"/>
    </xf>
    <xf numFmtId="181" fontId="102" fillId="0" borderId="0" xfId="7" applyNumberFormat="1" applyFont="1" applyBorder="1"/>
    <xf numFmtId="181" fontId="102" fillId="0" borderId="0" xfId="7" applyNumberFormat="1" applyFont="1" applyFill="1" applyBorder="1"/>
    <xf numFmtId="175" fontId="102" fillId="0" borderId="21" xfId="0" applyNumberFormat="1" applyFont="1" applyFill="1" applyBorder="1" applyAlignment="1">
      <alignment horizontal="center"/>
    </xf>
    <xf numFmtId="182" fontId="102" fillId="7" borderId="0" xfId="23" applyNumberFormat="1" applyFont="1" applyFill="1" applyBorder="1" applyAlignment="1">
      <alignment horizontal="center"/>
    </xf>
    <xf numFmtId="175" fontId="102" fillId="0" borderId="0" xfId="0" applyNumberFormat="1" applyFont="1" applyFill="1" applyBorder="1" applyAlignment="1">
      <alignment horizontal="center"/>
    </xf>
    <xf numFmtId="165" fontId="102" fillId="0" borderId="0" xfId="7" applyNumberFormat="1" applyFont="1"/>
    <xf numFmtId="178" fontId="102" fillId="0" borderId="8" xfId="23" applyNumberFormat="1" applyFont="1" applyBorder="1"/>
    <xf numFmtId="165" fontId="102" fillId="0" borderId="8" xfId="7" applyNumberFormat="1" applyFont="1" applyBorder="1"/>
    <xf numFmtId="10" fontId="102" fillId="0" borderId="0" xfId="23" applyNumberFormat="1" applyFont="1" applyFill="1" applyBorder="1"/>
    <xf numFmtId="0" fontId="116" fillId="2" borderId="0" xfId="138" applyNumberFormat="1" applyFont="1" applyFill="1" applyBorder="1" applyAlignment="1">
      <alignment horizontal="center" vertical="center"/>
    </xf>
    <xf numFmtId="177" fontId="116" fillId="0" borderId="0" xfId="0" applyNumberFormat="1" applyFont="1" applyFill="1" applyAlignment="1">
      <alignment horizontal="right"/>
    </xf>
    <xf numFmtId="0" fontId="116" fillId="0" borderId="0" xfId="0" applyFont="1" applyFill="1" applyAlignment="1">
      <alignment horizontal="right"/>
    </xf>
    <xf numFmtId="0" fontId="116" fillId="0" borderId="93" xfId="0" applyNumberFormat="1" applyFont="1" applyFill="1" applyBorder="1" applyAlignment="1">
      <alignment horizontal="right"/>
    </xf>
    <xf numFmtId="0" fontId="102" fillId="0" borderId="0" xfId="37" applyNumberFormat="1" applyFont="1" applyFill="1" applyAlignment="1">
      <alignment horizontal="center"/>
    </xf>
    <xf numFmtId="0" fontId="102" fillId="0" borderId="0" xfId="37" applyNumberFormat="1" applyFont="1" applyAlignment="1">
      <alignment horizontal="center"/>
    </xf>
    <xf numFmtId="0" fontId="116" fillId="0" borderId="0" xfId="0" applyNumberFormat="1" applyFont="1" applyAlignment="1">
      <alignment horizontal="center"/>
    </xf>
    <xf numFmtId="0" fontId="116" fillId="0" borderId="0" xfId="0" applyNumberFormat="1" applyFont="1" applyAlignment="1">
      <alignment horizontal="center"/>
    </xf>
    <xf numFmtId="0" fontId="102" fillId="0" borderId="0" xfId="0" applyFont="1" applyAlignment="1">
      <alignment horizontal="center"/>
    </xf>
    <xf numFmtId="0" fontId="102" fillId="0" borderId="0" xfId="37" applyNumberFormat="1" applyFont="1" applyAlignment="1">
      <alignment horizontal="center"/>
    </xf>
    <xf numFmtId="6" fontId="116" fillId="0" borderId="0" xfId="0" applyNumberFormat="1" applyFont="1" applyFill="1" applyBorder="1"/>
    <xf numFmtId="164" fontId="102" fillId="0" borderId="0" xfId="2" applyNumberFormat="1" applyFont="1" applyAlignment="1">
      <alignment horizontal="right"/>
    </xf>
    <xf numFmtId="0" fontId="116" fillId="0" borderId="9" xfId="0" applyFont="1" applyBorder="1"/>
    <xf numFmtId="173" fontId="102" fillId="0" borderId="9" xfId="0" applyNumberFormat="1" applyFont="1" applyBorder="1"/>
    <xf numFmtId="175" fontId="102" fillId="0" borderId="18" xfId="0" applyNumberFormat="1" applyFont="1" applyBorder="1" applyAlignment="1">
      <alignment horizontal="right"/>
    </xf>
    <xf numFmtId="175" fontId="102" fillId="0" borderId="19" xfId="0" applyNumberFormat="1" applyFont="1" applyBorder="1" applyAlignment="1">
      <alignment horizontal="right"/>
    </xf>
    <xf numFmtId="0" fontId="102" fillId="0" borderId="14" xfId="0" applyFont="1" applyBorder="1"/>
    <xf numFmtId="44" fontId="102" fillId="0" borderId="8" xfId="0" applyNumberFormat="1" applyFont="1" applyBorder="1"/>
    <xf numFmtId="175" fontId="102" fillId="0" borderId="15" xfId="0" applyNumberFormat="1" applyFont="1" applyBorder="1" applyAlignment="1">
      <alignment horizontal="right"/>
    </xf>
    <xf numFmtId="166" fontId="102" fillId="0" borderId="0" xfId="37" applyNumberFormat="1" applyFont="1" applyFill="1" applyBorder="1"/>
    <xf numFmtId="0" fontId="116" fillId="0" borderId="12" xfId="37" applyFont="1" applyBorder="1"/>
    <xf numFmtId="166" fontId="102" fillId="0" borderId="8" xfId="37" applyNumberFormat="1" applyFont="1" applyBorder="1"/>
    <xf numFmtId="166" fontId="102" fillId="0" borderId="8" xfId="37" applyNumberFormat="1" applyFont="1" applyFill="1" applyBorder="1"/>
    <xf numFmtId="0" fontId="102" fillId="0" borderId="0" xfId="37" applyNumberFormat="1" applyFont="1" applyAlignment="1"/>
    <xf numFmtId="173" fontId="102" fillId="0" borderId="9" xfId="37" applyNumberFormat="1" applyFont="1" applyBorder="1"/>
    <xf numFmtId="170" fontId="102" fillId="0" borderId="18" xfId="37" applyNumberFormat="1" applyFont="1" applyBorder="1"/>
    <xf numFmtId="173" fontId="102" fillId="0" borderId="12" xfId="37" applyNumberFormat="1" applyFont="1" applyBorder="1"/>
    <xf numFmtId="173" fontId="102" fillId="0" borderId="12" xfId="37" applyNumberFormat="1" applyFont="1" applyFill="1" applyBorder="1"/>
    <xf numFmtId="170" fontId="102" fillId="0" borderId="15" xfId="37" applyNumberFormat="1" applyFont="1" applyBorder="1" applyAlignment="1">
      <alignment horizontal="right"/>
    </xf>
    <xf numFmtId="0" fontId="116" fillId="0" borderId="0" xfId="0" applyNumberFormat="1" applyFont="1" applyFill="1" applyBorder="1" applyAlignment="1">
      <alignment horizontal="right"/>
    </xf>
    <xf numFmtId="42" fontId="102" fillId="0" borderId="0" xfId="37" applyNumberFormat="1" applyFont="1" applyFill="1" applyBorder="1"/>
    <xf numFmtId="0" fontId="102" fillId="0" borderId="0" xfId="37" applyNumberFormat="1" applyFont="1" applyFill="1" applyAlignment="1"/>
    <xf numFmtId="173" fontId="102" fillId="0" borderId="0" xfId="37" applyNumberFormat="1" applyFont="1" applyFill="1" applyBorder="1" applyAlignment="1">
      <alignment horizontal="center"/>
    </xf>
    <xf numFmtId="182" fontId="117" fillId="0" borderId="1" xfId="23" applyNumberFormat="1" applyFont="1" applyFill="1" applyBorder="1" applyAlignment="1">
      <alignment horizontal="center"/>
    </xf>
    <xf numFmtId="5" fontId="102" fillId="0" borderId="0" xfId="0" applyNumberFormat="1" applyFont="1"/>
    <xf numFmtId="5" fontId="102" fillId="0" borderId="0" xfId="23" applyNumberFormat="1" applyFont="1" applyFill="1"/>
    <xf numFmtId="41" fontId="102" fillId="0" borderId="0" xfId="37" applyNumberFormat="1" applyFont="1" applyBorder="1"/>
    <xf numFmtId="0" fontId="116" fillId="2" borderId="0" xfId="138" applyNumberFormat="1" applyFont="1" applyFill="1" applyBorder="1" applyAlignment="1">
      <alignment horizontal="center" vertical="center"/>
    </xf>
    <xf numFmtId="0" fontId="116" fillId="0" borderId="0" xfId="0" applyNumberFormat="1" applyFont="1" applyAlignment="1">
      <alignment horizontal="center"/>
    </xf>
    <xf numFmtId="0" fontId="102" fillId="0" borderId="0" xfId="0" applyFont="1" applyAlignment="1">
      <alignment horizontal="center" wrapText="1"/>
    </xf>
    <xf numFmtId="0" fontId="102" fillId="0" borderId="0" xfId="0" applyFont="1" applyAlignment="1">
      <alignment horizontal="center"/>
    </xf>
    <xf numFmtId="173" fontId="102" fillId="0" borderId="7" xfId="37" applyNumberFormat="1" applyFont="1" applyBorder="1" applyAlignment="1">
      <alignment horizontal="center"/>
    </xf>
    <xf numFmtId="173" fontId="102" fillId="0" borderId="17" xfId="37" applyNumberFormat="1" applyFont="1" applyBorder="1" applyAlignment="1">
      <alignment horizontal="center"/>
    </xf>
    <xf numFmtId="0" fontId="6" fillId="0" borderId="0" xfId="44" applyFill="1" applyAlignment="1">
      <alignment wrapText="1"/>
    </xf>
    <xf numFmtId="0" fontId="8" fillId="0" borderId="0" xfId="44" applyFont="1" applyAlignment="1">
      <alignment horizontal="left" wrapText="1"/>
    </xf>
    <xf numFmtId="0" fontId="6" fillId="0" borderId="0" xfId="606" applyAlignment="1">
      <alignment horizontal="center"/>
    </xf>
    <xf numFmtId="0" fontId="6" fillId="0" borderId="0" xfId="0" applyFont="1" applyFill="1" applyAlignment="1">
      <alignment wrapText="1"/>
    </xf>
    <xf numFmtId="0" fontId="0" fillId="0" borderId="0" xfId="0" applyAlignment="1">
      <alignment wrapText="1"/>
    </xf>
    <xf numFmtId="0" fontId="6" fillId="0" borderId="13" xfId="0" applyFont="1" applyFill="1" applyBorder="1" applyAlignment="1">
      <alignment horizontal="center" vertical="center" textRotation="180"/>
    </xf>
    <xf numFmtId="0" fontId="6" fillId="0" borderId="12" xfId="0" applyFont="1" applyFill="1" applyBorder="1" applyAlignment="1">
      <alignment horizontal="center" vertical="center" textRotation="180"/>
    </xf>
    <xf numFmtId="0" fontId="6" fillId="0" borderId="14" xfId="0" applyFont="1" applyFill="1" applyBorder="1" applyAlignment="1">
      <alignment horizontal="center" vertical="center" textRotation="180"/>
    </xf>
    <xf numFmtId="0" fontId="6" fillId="0" borderId="9" xfId="0" applyFont="1" applyFill="1" applyBorder="1" applyAlignment="1">
      <alignment horizontal="center" vertical="center" textRotation="180"/>
    </xf>
    <xf numFmtId="0" fontId="6" fillId="0" borderId="0" xfId="0" applyFont="1" applyFill="1" applyBorder="1" applyAlignment="1">
      <alignment horizontal="center" vertical="center" textRotation="180"/>
    </xf>
    <xf numFmtId="0" fontId="6" fillId="0" borderId="8" xfId="0" applyFont="1" applyFill="1" applyBorder="1" applyAlignment="1">
      <alignment horizontal="center" vertical="center" textRotation="180"/>
    </xf>
    <xf numFmtId="0" fontId="6" fillId="0" borderId="18" xfId="0" applyFont="1" applyFill="1" applyBorder="1" applyAlignment="1">
      <alignment horizontal="center" vertical="center" textRotation="180"/>
    </xf>
    <xf numFmtId="0" fontId="6" fillId="0" borderId="19" xfId="0" applyFont="1" applyFill="1" applyBorder="1" applyAlignment="1">
      <alignment horizontal="center" vertical="center" textRotation="180"/>
    </xf>
    <xf numFmtId="0" fontId="6" fillId="0" borderId="15" xfId="0" applyFont="1" applyFill="1" applyBorder="1" applyAlignment="1">
      <alignment horizontal="center" vertical="center" textRotation="180"/>
    </xf>
    <xf numFmtId="0" fontId="11" fillId="0" borderId="0" xfId="87" applyFont="1" applyFill="1" applyAlignment="1">
      <alignment horizontal="center"/>
    </xf>
    <xf numFmtId="0" fontId="0" fillId="0" borderId="8" xfId="0" applyFill="1" applyBorder="1" applyAlignment="1">
      <alignment horizontal="center"/>
    </xf>
    <xf numFmtId="0" fontId="0" fillId="0" borderId="0" xfId="0" applyAlignment="1">
      <alignment horizontal="center"/>
    </xf>
    <xf numFmtId="0" fontId="4" fillId="0" borderId="0" xfId="0" applyFont="1" applyAlignment="1">
      <alignment horizontal="center"/>
    </xf>
    <xf numFmtId="0" fontId="4" fillId="0" borderId="8" xfId="875" applyFont="1" applyBorder="1" applyAlignment="1">
      <alignment horizontal="center"/>
    </xf>
    <xf numFmtId="0" fontId="4" fillId="0" borderId="14" xfId="875" applyFont="1" applyBorder="1" applyAlignment="1">
      <alignment horizontal="center"/>
    </xf>
    <xf numFmtId="0" fontId="4" fillId="0" borderId="15" xfId="875" applyFont="1" applyBorder="1" applyAlignment="1">
      <alignment horizontal="center"/>
    </xf>
    <xf numFmtId="0" fontId="19" fillId="0" borderId="8" xfId="875" applyFont="1" applyFill="1" applyBorder="1" applyAlignment="1">
      <alignment horizontal="center"/>
    </xf>
    <xf numFmtId="0" fontId="19" fillId="0" borderId="14" xfId="875" applyFont="1" applyFill="1" applyBorder="1" applyAlignment="1">
      <alignment horizontal="center"/>
    </xf>
    <xf numFmtId="0" fontId="19" fillId="0" borderId="15" xfId="875" applyFont="1" applyFill="1" applyBorder="1" applyAlignment="1">
      <alignment horizontal="center"/>
    </xf>
    <xf numFmtId="0" fontId="8" fillId="0" borderId="0" xfId="946" applyFont="1" applyBorder="1" applyAlignment="1">
      <alignment horizontal="right"/>
    </xf>
    <xf numFmtId="17" fontId="4" fillId="0" borderId="0" xfId="946" applyNumberFormat="1" applyFill="1" applyBorder="1" applyAlignment="1">
      <alignment horizontal="left" vertical="top" wrapText="1"/>
    </xf>
    <xf numFmtId="0" fontId="4" fillId="0" borderId="0" xfId="946" applyFill="1" applyAlignment="1">
      <alignment horizontal="center" vertical="center" wrapText="1" shrinkToFit="1"/>
    </xf>
  </cellXfs>
  <cellStyles count="951">
    <cellStyle name="_x0013_" xfId="152"/>
    <cellStyle name="_x0013_ 2" xfId="622"/>
    <cellStyle name="_09GRC Gas Transport For Review" xfId="153"/>
    <cellStyle name="_09GRC Gas Transport For Review 2" xfId="623"/>
    <cellStyle name="_4.06E Pass Throughs" xfId="154"/>
    <cellStyle name="_4.06E Pass Throughs 2" xfId="155"/>
    <cellStyle name="_4.06E Pass Throughs 2 2" xfId="625"/>
    <cellStyle name="_4.06E Pass Throughs 3" xfId="156"/>
    <cellStyle name="_4.06E Pass Throughs 3 2" xfId="626"/>
    <cellStyle name="_4.06E Pass Throughs 4" xfId="624"/>
    <cellStyle name="_4.06E Pass Throughs_04 07E Wild Horse Wind Expansion (C) (2)" xfId="157"/>
    <cellStyle name="_4.06E Pass Throughs_04 07E Wild Horse Wind Expansion (C) (2) 2" xfId="627"/>
    <cellStyle name="_4.06E Pass Throughs_4 31 Regulatory Assets and Liabilities  7 06- Exhibit D" xfId="158"/>
    <cellStyle name="_4.06E Pass Throughs_4 31 Regulatory Assets and Liabilities  7 06- Exhibit D 2" xfId="628"/>
    <cellStyle name="_4.06E Pass Throughs_4 32 Regulatory Assets and Liabilities  7 06- Exhibit D" xfId="159"/>
    <cellStyle name="_4.06E Pass Throughs_4 32 Regulatory Assets and Liabilities  7 06- Exhibit D 2" xfId="629"/>
    <cellStyle name="_4.06E Pass Throughs_Book9" xfId="160"/>
    <cellStyle name="_4.06E Pass Throughs_Book9 2" xfId="630"/>
    <cellStyle name="_4.13E Montana Energy Tax" xfId="161"/>
    <cellStyle name="_4.13E Montana Energy Tax 2" xfId="162"/>
    <cellStyle name="_4.13E Montana Energy Tax 2 2" xfId="632"/>
    <cellStyle name="_4.13E Montana Energy Tax 3" xfId="163"/>
    <cellStyle name="_4.13E Montana Energy Tax 3 2" xfId="633"/>
    <cellStyle name="_4.13E Montana Energy Tax 4" xfId="631"/>
    <cellStyle name="_4.13E Montana Energy Tax_04 07E Wild Horse Wind Expansion (C) (2)" xfId="164"/>
    <cellStyle name="_4.13E Montana Energy Tax_04 07E Wild Horse Wind Expansion (C) (2) 2" xfId="634"/>
    <cellStyle name="_4.13E Montana Energy Tax_4 31 Regulatory Assets and Liabilities  7 06- Exhibit D" xfId="165"/>
    <cellStyle name="_4.13E Montana Energy Tax_4 31 Regulatory Assets and Liabilities  7 06- Exhibit D 2" xfId="635"/>
    <cellStyle name="_4.13E Montana Energy Tax_4 32 Regulatory Assets and Liabilities  7 06- Exhibit D" xfId="166"/>
    <cellStyle name="_4.13E Montana Energy Tax_4 32 Regulatory Assets and Liabilities  7 06- Exhibit D 2" xfId="636"/>
    <cellStyle name="_4.13E Montana Energy Tax_Book9" xfId="167"/>
    <cellStyle name="_4.13E Montana Energy Tax_Book9 2" xfId="637"/>
    <cellStyle name="_AURORA WIP" xfId="168"/>
    <cellStyle name="_AURORA WIP 2" xfId="638"/>
    <cellStyle name="_Book1" xfId="169"/>
    <cellStyle name="_Book1 (2)" xfId="170"/>
    <cellStyle name="_Book1 (2) 2" xfId="171"/>
    <cellStyle name="_Book1 (2) 2 2" xfId="641"/>
    <cellStyle name="_Book1 (2) 3" xfId="172"/>
    <cellStyle name="_Book1 (2) 3 2" xfId="642"/>
    <cellStyle name="_Book1 (2) 4" xfId="640"/>
    <cellStyle name="_Book1 (2)_04 07E Wild Horse Wind Expansion (C) (2)" xfId="173"/>
    <cellStyle name="_Book1 (2)_04 07E Wild Horse Wind Expansion (C) (2) 2" xfId="643"/>
    <cellStyle name="_Book1 (2)_4 31 Regulatory Assets and Liabilities  7 06- Exhibit D" xfId="174"/>
    <cellStyle name="_Book1 (2)_4 31 Regulatory Assets and Liabilities  7 06- Exhibit D 2" xfId="644"/>
    <cellStyle name="_Book1 (2)_4 32 Regulatory Assets and Liabilities  7 06- Exhibit D" xfId="175"/>
    <cellStyle name="_Book1 (2)_4 32 Regulatory Assets and Liabilities  7 06- Exhibit D 2" xfId="645"/>
    <cellStyle name="_Book1 (2)_ACCOUNTS" xfId="176"/>
    <cellStyle name="_Book1 (2)_ACCOUNTS 2" xfId="646"/>
    <cellStyle name="_Book1 (2)_Book9" xfId="177"/>
    <cellStyle name="_Book1 (2)_Book9 2" xfId="647"/>
    <cellStyle name="_Book1 (2)_Gas Rev Req Model (2010 GRC)" xfId="178"/>
    <cellStyle name="_Book1 (2)_Gas Rev Req Model (2010 GRC) 2" xfId="648"/>
    <cellStyle name="_Book1 2" xfId="179"/>
    <cellStyle name="_Book1 2 2" xfId="649"/>
    <cellStyle name="_Book1 3" xfId="180"/>
    <cellStyle name="_Book1 3 2" xfId="650"/>
    <cellStyle name="_Book1 4" xfId="639"/>
    <cellStyle name="_Book1 5" xfId="930"/>
    <cellStyle name="_Book1_4 31 Regulatory Assets and Liabilities  7 06- Exhibit D" xfId="181"/>
    <cellStyle name="_Book1_4 31 Regulatory Assets and Liabilities  7 06- Exhibit D 2" xfId="651"/>
    <cellStyle name="_Book1_4 32 Regulatory Assets and Liabilities  7 06- Exhibit D" xfId="182"/>
    <cellStyle name="_Book1_4 32 Regulatory Assets and Liabilities  7 06- Exhibit D 2" xfId="652"/>
    <cellStyle name="_Book1_Book9" xfId="183"/>
    <cellStyle name="_Book1_Book9 2" xfId="653"/>
    <cellStyle name="_Book2" xfId="184"/>
    <cellStyle name="_Book2 2" xfId="185"/>
    <cellStyle name="_Book2 2 2" xfId="655"/>
    <cellStyle name="_Book2 3" xfId="186"/>
    <cellStyle name="_Book2 3 2" xfId="656"/>
    <cellStyle name="_Book2 4" xfId="654"/>
    <cellStyle name="_Book2_04 07E Wild Horse Wind Expansion (C) (2)" xfId="187"/>
    <cellStyle name="_Book2_04 07E Wild Horse Wind Expansion (C) (2) 2" xfId="657"/>
    <cellStyle name="_Book2_4 31 Regulatory Assets and Liabilities  7 06- Exhibit D" xfId="188"/>
    <cellStyle name="_Book2_4 31 Regulatory Assets and Liabilities  7 06- Exhibit D 2" xfId="658"/>
    <cellStyle name="_Book2_4 32 Regulatory Assets and Liabilities  7 06- Exhibit D" xfId="189"/>
    <cellStyle name="_Book2_4 32 Regulatory Assets and Liabilities  7 06- Exhibit D 2" xfId="659"/>
    <cellStyle name="_Book2_ACCOUNTS" xfId="190"/>
    <cellStyle name="_Book2_ACCOUNTS 2" xfId="660"/>
    <cellStyle name="_Book2_Book9" xfId="191"/>
    <cellStyle name="_Book2_Book9 2" xfId="661"/>
    <cellStyle name="_Book2_Gas Rev Req Model (2010 GRC)" xfId="192"/>
    <cellStyle name="_Book2_Gas Rev Req Model (2010 GRC) 2" xfId="662"/>
    <cellStyle name="_Book3" xfId="193"/>
    <cellStyle name="_Book5" xfId="194"/>
    <cellStyle name="_Chelan Debt Forecast 12.19.05" xfId="195"/>
    <cellStyle name="_Chelan Debt Forecast 12.19.05 2" xfId="196"/>
    <cellStyle name="_Chelan Debt Forecast 12.19.05 2 2" xfId="664"/>
    <cellStyle name="_Chelan Debt Forecast 12.19.05 3" xfId="197"/>
    <cellStyle name="_Chelan Debt Forecast 12.19.05 3 2" xfId="665"/>
    <cellStyle name="_Chelan Debt Forecast 12.19.05 4" xfId="663"/>
    <cellStyle name="_Chelan Debt Forecast 12.19.05_4 31 Regulatory Assets and Liabilities  7 06- Exhibit D" xfId="198"/>
    <cellStyle name="_Chelan Debt Forecast 12.19.05_4 31 Regulatory Assets and Liabilities  7 06- Exhibit D 2" xfId="666"/>
    <cellStyle name="_Chelan Debt Forecast 12.19.05_4 32 Regulatory Assets and Liabilities  7 06- Exhibit D" xfId="199"/>
    <cellStyle name="_Chelan Debt Forecast 12.19.05_4 32 Regulatory Assets and Liabilities  7 06- Exhibit D 2" xfId="667"/>
    <cellStyle name="_Chelan Debt Forecast 12.19.05_ACCOUNTS" xfId="200"/>
    <cellStyle name="_Chelan Debt Forecast 12.19.05_ACCOUNTS 2" xfId="668"/>
    <cellStyle name="_Chelan Debt Forecast 12.19.05_Book9" xfId="201"/>
    <cellStyle name="_Chelan Debt Forecast 12.19.05_Book9 2" xfId="669"/>
    <cellStyle name="_Chelan Debt Forecast 12.19.05_Gas Rev Req Model (2010 GRC)" xfId="202"/>
    <cellStyle name="_Chelan Debt Forecast 12.19.05_Gas Rev Req Model (2010 GRC) 2" xfId="670"/>
    <cellStyle name="_Copy 11-9 Sumas Proforma - Current" xfId="203"/>
    <cellStyle name="_Costs not in AURORA 06GRC" xfId="204"/>
    <cellStyle name="_Costs not in AURORA 06GRC 2" xfId="205"/>
    <cellStyle name="_Costs not in AURORA 06GRC 2 2" xfId="672"/>
    <cellStyle name="_Costs not in AURORA 06GRC 3" xfId="206"/>
    <cellStyle name="_Costs not in AURORA 06GRC 3 2" xfId="673"/>
    <cellStyle name="_Costs not in AURORA 06GRC 4" xfId="671"/>
    <cellStyle name="_Costs not in AURORA 06GRC_04 07E Wild Horse Wind Expansion (C) (2)" xfId="207"/>
    <cellStyle name="_Costs not in AURORA 06GRC_04 07E Wild Horse Wind Expansion (C) (2) 2" xfId="674"/>
    <cellStyle name="_Costs not in AURORA 06GRC_4 31 Regulatory Assets and Liabilities  7 06- Exhibit D" xfId="208"/>
    <cellStyle name="_Costs not in AURORA 06GRC_4 31 Regulatory Assets and Liabilities  7 06- Exhibit D 2" xfId="675"/>
    <cellStyle name="_Costs not in AURORA 06GRC_4 32 Regulatory Assets and Liabilities  7 06- Exhibit D" xfId="209"/>
    <cellStyle name="_Costs not in AURORA 06GRC_4 32 Regulatory Assets and Liabilities  7 06- Exhibit D 2" xfId="676"/>
    <cellStyle name="_Costs not in AURORA 06GRC_ACCOUNTS" xfId="210"/>
    <cellStyle name="_Costs not in AURORA 06GRC_ACCOUNTS 2" xfId="677"/>
    <cellStyle name="_Costs not in AURORA 06GRC_Book9" xfId="211"/>
    <cellStyle name="_Costs not in AURORA 06GRC_Book9 2" xfId="678"/>
    <cellStyle name="_Costs not in AURORA 06GRC_Gas Rev Req Model (2010 GRC)" xfId="212"/>
    <cellStyle name="_Costs not in AURORA 06GRC_Gas Rev Req Model (2010 GRC) 2" xfId="679"/>
    <cellStyle name="_Costs not in AURORA 2006GRC 6.15.06" xfId="213"/>
    <cellStyle name="_Costs not in AURORA 2006GRC 6.15.06 2" xfId="214"/>
    <cellStyle name="_Costs not in AURORA 2006GRC 6.15.06 2 2" xfId="681"/>
    <cellStyle name="_Costs not in AURORA 2006GRC 6.15.06 3" xfId="215"/>
    <cellStyle name="_Costs not in AURORA 2006GRC 6.15.06 3 2" xfId="682"/>
    <cellStyle name="_Costs not in AURORA 2006GRC 6.15.06 4" xfId="680"/>
    <cellStyle name="_Costs not in AURORA 2006GRC 6.15.06_04 07E Wild Horse Wind Expansion (C) (2)" xfId="216"/>
    <cellStyle name="_Costs not in AURORA 2006GRC 6.15.06_04 07E Wild Horse Wind Expansion (C) (2) 2" xfId="683"/>
    <cellStyle name="_Costs not in AURORA 2006GRC 6.15.06_4 31 Regulatory Assets and Liabilities  7 06- Exhibit D" xfId="217"/>
    <cellStyle name="_Costs not in AURORA 2006GRC 6.15.06_4 31 Regulatory Assets and Liabilities  7 06- Exhibit D 2" xfId="684"/>
    <cellStyle name="_Costs not in AURORA 2006GRC 6.15.06_4 32 Regulatory Assets and Liabilities  7 06- Exhibit D" xfId="218"/>
    <cellStyle name="_Costs not in AURORA 2006GRC 6.15.06_4 32 Regulatory Assets and Liabilities  7 06- Exhibit D 2" xfId="685"/>
    <cellStyle name="_Costs not in AURORA 2006GRC 6.15.06_ACCOUNTS" xfId="219"/>
    <cellStyle name="_Costs not in AURORA 2006GRC 6.15.06_ACCOUNTS 2" xfId="686"/>
    <cellStyle name="_Costs not in AURORA 2006GRC 6.15.06_Book9" xfId="220"/>
    <cellStyle name="_Costs not in AURORA 2006GRC 6.15.06_Book9 2" xfId="687"/>
    <cellStyle name="_Costs not in AURORA 2006GRC 6.15.06_Gas Rev Req Model (2010 GRC)" xfId="221"/>
    <cellStyle name="_Costs not in AURORA 2006GRC 6.15.06_Gas Rev Req Model (2010 GRC) 2" xfId="688"/>
    <cellStyle name="_Costs not in AURORA 2006GRC w gas price updated" xfId="222"/>
    <cellStyle name="_Costs not in AURORA 2006GRC w gas price updated 2" xfId="689"/>
    <cellStyle name="_Costs not in AURORA 2007 Rate Case" xfId="223"/>
    <cellStyle name="_Costs not in AURORA 2007 Rate Case 2" xfId="224"/>
    <cellStyle name="_Costs not in AURORA 2007 Rate Case 2 2" xfId="691"/>
    <cellStyle name="_Costs not in AURORA 2007 Rate Case 3" xfId="225"/>
    <cellStyle name="_Costs not in AURORA 2007 Rate Case 3 2" xfId="692"/>
    <cellStyle name="_Costs not in AURORA 2007 Rate Case 4" xfId="690"/>
    <cellStyle name="_Costs not in AURORA 2007 Rate Case_4 31 Regulatory Assets and Liabilities  7 06- Exhibit D" xfId="226"/>
    <cellStyle name="_Costs not in AURORA 2007 Rate Case_4 31 Regulatory Assets and Liabilities  7 06- Exhibit D 2" xfId="693"/>
    <cellStyle name="_Costs not in AURORA 2007 Rate Case_4 32 Regulatory Assets and Liabilities  7 06- Exhibit D" xfId="227"/>
    <cellStyle name="_Costs not in AURORA 2007 Rate Case_4 32 Regulatory Assets and Liabilities  7 06- Exhibit D 2" xfId="694"/>
    <cellStyle name="_Costs not in AURORA 2007 Rate Case_Book9" xfId="228"/>
    <cellStyle name="_Costs not in AURORA 2007 Rate Case_Book9 2" xfId="695"/>
    <cellStyle name="_Costs not in KWI3000 '06Budget" xfId="229"/>
    <cellStyle name="_Costs not in KWI3000 '06Budget 2" xfId="230"/>
    <cellStyle name="_Costs not in KWI3000 '06Budget 2 2" xfId="697"/>
    <cellStyle name="_Costs not in KWI3000 '06Budget 3" xfId="231"/>
    <cellStyle name="_Costs not in KWI3000 '06Budget 3 2" xfId="698"/>
    <cellStyle name="_Costs not in KWI3000 '06Budget 4" xfId="696"/>
    <cellStyle name="_Costs not in KWI3000 '06Budget_4 31 Regulatory Assets and Liabilities  7 06- Exhibit D" xfId="232"/>
    <cellStyle name="_Costs not in KWI3000 '06Budget_4 31 Regulatory Assets and Liabilities  7 06- Exhibit D 2" xfId="699"/>
    <cellStyle name="_Costs not in KWI3000 '06Budget_4 32 Regulatory Assets and Liabilities  7 06- Exhibit D" xfId="233"/>
    <cellStyle name="_Costs not in KWI3000 '06Budget_4 32 Regulatory Assets and Liabilities  7 06- Exhibit D 2" xfId="700"/>
    <cellStyle name="_Costs not in KWI3000 '06Budget_ACCOUNTS" xfId="234"/>
    <cellStyle name="_Costs not in KWI3000 '06Budget_ACCOUNTS 2" xfId="701"/>
    <cellStyle name="_Costs not in KWI3000 '06Budget_Book9" xfId="235"/>
    <cellStyle name="_Costs not in KWI3000 '06Budget_Book9 2" xfId="702"/>
    <cellStyle name="_Costs not in KWI3000 '06Budget_Gas Rev Req Model (2010 GRC)" xfId="236"/>
    <cellStyle name="_Costs not in KWI3000 '06Budget_Gas Rev Req Model (2010 GRC) 2" xfId="703"/>
    <cellStyle name="_DEM-WP (C) Power Cost 2006GRC Order" xfId="237"/>
    <cellStyle name="_DEM-WP (C) Power Cost 2006GRC Order 2" xfId="238"/>
    <cellStyle name="_DEM-WP (C) Power Cost 2006GRC Order 2 2" xfId="705"/>
    <cellStyle name="_DEM-WP (C) Power Cost 2006GRC Order 3" xfId="239"/>
    <cellStyle name="_DEM-WP (C) Power Cost 2006GRC Order 3 2" xfId="706"/>
    <cellStyle name="_DEM-WP (C) Power Cost 2006GRC Order 4" xfId="704"/>
    <cellStyle name="_DEM-WP (C) Power Cost 2006GRC Order_04 07E Wild Horse Wind Expansion (C) (2)" xfId="240"/>
    <cellStyle name="_DEM-WP (C) Power Cost 2006GRC Order_04 07E Wild Horse Wind Expansion (C) (2) 2" xfId="707"/>
    <cellStyle name="_DEM-WP (C) Power Cost 2006GRC Order_4 31 Regulatory Assets and Liabilities  7 06- Exhibit D" xfId="241"/>
    <cellStyle name="_DEM-WP (C) Power Cost 2006GRC Order_4 31 Regulatory Assets and Liabilities  7 06- Exhibit D 2" xfId="708"/>
    <cellStyle name="_DEM-WP (C) Power Cost 2006GRC Order_4 32 Regulatory Assets and Liabilities  7 06- Exhibit D" xfId="242"/>
    <cellStyle name="_DEM-WP (C) Power Cost 2006GRC Order_4 32 Regulatory Assets and Liabilities  7 06- Exhibit D 2" xfId="709"/>
    <cellStyle name="_DEM-WP (C) Power Cost 2006GRC Order_Book9" xfId="243"/>
    <cellStyle name="_DEM-WP (C) Power Cost 2006GRC Order_Book9 2" xfId="710"/>
    <cellStyle name="_DEM-WP Revised (HC) Wild Horse 2006GRC" xfId="244"/>
    <cellStyle name="_DEM-WP Revised (HC) Wild Horse 2006GRC 2" xfId="711"/>
    <cellStyle name="_DEM-WP Revised (HC) Wild Horse 2006GRC_Electric Rev Req Model (2009 GRC) Rebuttal" xfId="245"/>
    <cellStyle name="_DEM-WP Revised (HC) Wild Horse 2006GRC_Electric Rev Req Model (2009 GRC) Rebuttal 2" xfId="712"/>
    <cellStyle name="_DEM-WP(C) Colstrip FOR" xfId="246"/>
    <cellStyle name="_DEM-WP(C) Colstrip FOR 2" xfId="713"/>
    <cellStyle name="_DEM-WP(C) Costs not in AURORA 2006GRC" xfId="247"/>
    <cellStyle name="_DEM-WP(C) Costs not in AURORA 2006GRC 2" xfId="248"/>
    <cellStyle name="_DEM-WP(C) Costs not in AURORA 2006GRC 2 2" xfId="715"/>
    <cellStyle name="_DEM-WP(C) Costs not in AURORA 2006GRC 3" xfId="249"/>
    <cellStyle name="_DEM-WP(C) Costs not in AURORA 2006GRC 3 2" xfId="716"/>
    <cellStyle name="_DEM-WP(C) Costs not in AURORA 2006GRC 4" xfId="714"/>
    <cellStyle name="_DEM-WP(C) Costs not in AURORA 2006GRC_4 31 Regulatory Assets and Liabilities  7 06- Exhibit D" xfId="250"/>
    <cellStyle name="_DEM-WP(C) Costs not in AURORA 2006GRC_4 31 Regulatory Assets and Liabilities  7 06- Exhibit D 2" xfId="717"/>
    <cellStyle name="_DEM-WP(C) Costs not in AURORA 2006GRC_4 32 Regulatory Assets and Liabilities  7 06- Exhibit D" xfId="251"/>
    <cellStyle name="_DEM-WP(C) Costs not in AURORA 2006GRC_4 32 Regulatory Assets and Liabilities  7 06- Exhibit D 2" xfId="718"/>
    <cellStyle name="_DEM-WP(C) Costs not in AURORA 2006GRC_Book9" xfId="252"/>
    <cellStyle name="_DEM-WP(C) Costs not in AURORA 2006GRC_Book9 2" xfId="719"/>
    <cellStyle name="_DEM-WP(C) Costs not in AURORA 2007GRC" xfId="253"/>
    <cellStyle name="_DEM-WP(C) Costs not in AURORA 2007GRC 2" xfId="720"/>
    <cellStyle name="_DEM-WP(C) Costs not in AURORA 2007GRC_Electric Rev Req Model (2009 GRC) Rebuttal" xfId="254"/>
    <cellStyle name="_DEM-WP(C) Costs not in AURORA 2007GRC_Electric Rev Req Model (2009 GRC) Rebuttal 2" xfId="721"/>
    <cellStyle name="_DEM-WP(C) Costs not in AURORA 2007PCORC-5.07Update" xfId="255"/>
    <cellStyle name="_DEM-WP(C) Costs not in AURORA 2007PCORC-5.07Update 2" xfId="722"/>
    <cellStyle name="_DEM-WP(C) Costs not in AURORA 2007PCORC-5.07Update_DEM-WP(C) Production O&amp;M 2009GRC Rebuttal" xfId="256"/>
    <cellStyle name="_DEM-WP(C) Costs not in AURORA 2007PCORC-5.07Update_DEM-WP(C) Production O&amp;M 2009GRC Rebuttal 2" xfId="723"/>
    <cellStyle name="_DEM-WP(C) Costs not in AURORA 2007PCORC-5.07Update_Electric Rev Req Model (2009 GRC) Rebuttal" xfId="257"/>
    <cellStyle name="_DEM-WP(C) Costs not in AURORA 2007PCORC-5.07Update_Electric Rev Req Model (2009 GRC) Rebuttal 2" xfId="724"/>
    <cellStyle name="_DEM-WP(C) Prod O&amp;M 2007GRC" xfId="258"/>
    <cellStyle name="_DEM-WP(C) Prod O&amp;M 2007GRC 2" xfId="725"/>
    <cellStyle name="_DEM-WP(C) Rate Year Sumas by Month Update Corrected" xfId="259"/>
    <cellStyle name="_DEM-WP(C) Sumas Proforma 11.5.07" xfId="260"/>
    <cellStyle name="_DEM-WP(C) Westside Hydro Data_051007" xfId="261"/>
    <cellStyle name="_DEM-WP(C) Westside Hydro Data_051007 2" xfId="726"/>
    <cellStyle name="_DEM-WP(C) Westside Hydro Data_051007_Electric Rev Req Model (2009 GRC) Rebuttal" xfId="262"/>
    <cellStyle name="_DEM-WP(C) Westside Hydro Data_051007_Electric Rev Req Model (2009 GRC) Rebuttal 2" xfId="727"/>
    <cellStyle name="_Fixed Gas Transport 1 19 09" xfId="263"/>
    <cellStyle name="_Fixed Gas Transport 1 19 09 2" xfId="728"/>
    <cellStyle name="_Fuel Prices 4-14" xfId="264"/>
    <cellStyle name="_Fuel Prices 4-14 2" xfId="265"/>
    <cellStyle name="_Fuel Prices 4-14 2 2" xfId="730"/>
    <cellStyle name="_Fuel Prices 4-14 3" xfId="266"/>
    <cellStyle name="_Fuel Prices 4-14 3 2" xfId="731"/>
    <cellStyle name="_Fuel Prices 4-14 4" xfId="729"/>
    <cellStyle name="_Fuel Prices 4-14_04 07E Wild Horse Wind Expansion (C) (2)" xfId="267"/>
    <cellStyle name="_Fuel Prices 4-14_04 07E Wild Horse Wind Expansion (C) (2) 2" xfId="732"/>
    <cellStyle name="_Fuel Prices 4-14_4 31 Regulatory Assets and Liabilities  7 06- Exhibit D" xfId="268"/>
    <cellStyle name="_Fuel Prices 4-14_4 31 Regulatory Assets and Liabilities  7 06- Exhibit D 2" xfId="733"/>
    <cellStyle name="_Fuel Prices 4-14_4 32 Regulatory Assets and Liabilities  7 06- Exhibit D" xfId="269"/>
    <cellStyle name="_Fuel Prices 4-14_4 32 Regulatory Assets and Liabilities  7 06- Exhibit D 2" xfId="734"/>
    <cellStyle name="_Fuel Prices 4-14_Book9" xfId="270"/>
    <cellStyle name="_Fuel Prices 4-14_Book9 2" xfId="735"/>
    <cellStyle name="_Gas Transportation Charges_2009GRC_120308" xfId="271"/>
    <cellStyle name="_Gas Transportation Charges_2009GRC_120308 2" xfId="736"/>
    <cellStyle name="_NIM 06 Base Case Current Trends" xfId="272"/>
    <cellStyle name="_NIM 06 Base Case Current Trends 2" xfId="737"/>
    <cellStyle name="_Peak Allocator 2010 GRC" xfId="948"/>
    <cellStyle name="_Portfolio SPlan Base Case.xls Chart 1" xfId="273"/>
    <cellStyle name="_Portfolio SPlan Base Case.xls Chart 1 2" xfId="738"/>
    <cellStyle name="_Portfolio SPlan Base Case.xls Chart 2" xfId="274"/>
    <cellStyle name="_Portfolio SPlan Base Case.xls Chart 2 2" xfId="739"/>
    <cellStyle name="_Portfolio SPlan Base Case.xls Chart 3" xfId="275"/>
    <cellStyle name="_Portfolio SPlan Base Case.xls Chart 3 2" xfId="740"/>
    <cellStyle name="_Power Cost Value Copy 11.30.05 gas 1.09.06 AURORA at 1.10.06" xfId="276"/>
    <cellStyle name="_Power Cost Value Copy 11.30.05 gas 1.09.06 AURORA at 1.10.06 2" xfId="277"/>
    <cellStyle name="_Power Cost Value Copy 11.30.05 gas 1.09.06 AURORA at 1.10.06 2 2" xfId="742"/>
    <cellStyle name="_Power Cost Value Copy 11.30.05 gas 1.09.06 AURORA at 1.10.06 3" xfId="278"/>
    <cellStyle name="_Power Cost Value Copy 11.30.05 gas 1.09.06 AURORA at 1.10.06 3 2" xfId="743"/>
    <cellStyle name="_Power Cost Value Copy 11.30.05 gas 1.09.06 AURORA at 1.10.06 4" xfId="741"/>
    <cellStyle name="_Power Cost Value Copy 11.30.05 gas 1.09.06 AURORA at 1.10.06_04 07E Wild Horse Wind Expansion (C) (2)" xfId="279"/>
    <cellStyle name="_Power Cost Value Copy 11.30.05 gas 1.09.06 AURORA at 1.10.06_04 07E Wild Horse Wind Expansion (C) (2) 2" xfId="744"/>
    <cellStyle name="_Power Cost Value Copy 11.30.05 gas 1.09.06 AURORA at 1.10.06_4 31 Regulatory Assets and Liabilities  7 06- Exhibit D" xfId="280"/>
    <cellStyle name="_Power Cost Value Copy 11.30.05 gas 1.09.06 AURORA at 1.10.06_4 31 Regulatory Assets and Liabilities  7 06- Exhibit D 2" xfId="745"/>
    <cellStyle name="_Power Cost Value Copy 11.30.05 gas 1.09.06 AURORA at 1.10.06_4 32 Regulatory Assets and Liabilities  7 06- Exhibit D" xfId="281"/>
    <cellStyle name="_Power Cost Value Copy 11.30.05 gas 1.09.06 AURORA at 1.10.06_4 32 Regulatory Assets and Liabilities  7 06- Exhibit D 2" xfId="746"/>
    <cellStyle name="_Power Cost Value Copy 11.30.05 gas 1.09.06 AURORA at 1.10.06_ACCOUNTS" xfId="282"/>
    <cellStyle name="_Power Cost Value Copy 11.30.05 gas 1.09.06 AURORA at 1.10.06_ACCOUNTS 2" xfId="747"/>
    <cellStyle name="_Power Cost Value Copy 11.30.05 gas 1.09.06 AURORA at 1.10.06_Book9" xfId="283"/>
    <cellStyle name="_Power Cost Value Copy 11.30.05 gas 1.09.06 AURORA at 1.10.06_Book9 2" xfId="748"/>
    <cellStyle name="_Power Cost Value Copy 11.30.05 gas 1.09.06 AURORA at 1.10.06_Gas Rev Req Model (2010 GRC)" xfId="284"/>
    <cellStyle name="_Power Cost Value Copy 11.30.05 gas 1.09.06 AURORA at 1.10.06_Gas Rev Req Model (2010 GRC) 2" xfId="749"/>
    <cellStyle name="_Pro Forma Rev 07 GRC" xfId="92"/>
    <cellStyle name="_Pro Forma Rev 07 GRC 2" xfId="750"/>
    <cellStyle name="_Recon to Darrin's 5.11.05 proforma" xfId="285"/>
    <cellStyle name="_Recon to Darrin's 5.11.05 proforma 2" xfId="286"/>
    <cellStyle name="_Recon to Darrin's 5.11.05 proforma 2 2" xfId="752"/>
    <cellStyle name="_Recon to Darrin's 5.11.05 proforma 3" xfId="287"/>
    <cellStyle name="_Recon to Darrin's 5.11.05 proforma 3 2" xfId="753"/>
    <cellStyle name="_Recon to Darrin's 5.11.05 proforma 4" xfId="751"/>
    <cellStyle name="_Recon to Darrin's 5.11.05 proforma_4 31 Regulatory Assets and Liabilities  7 06- Exhibit D" xfId="288"/>
    <cellStyle name="_Recon to Darrin's 5.11.05 proforma_4 31 Regulatory Assets and Liabilities  7 06- Exhibit D 2" xfId="754"/>
    <cellStyle name="_Recon to Darrin's 5.11.05 proforma_4 32 Regulatory Assets and Liabilities  7 06- Exhibit D" xfId="289"/>
    <cellStyle name="_Recon to Darrin's 5.11.05 proforma_4 32 Regulatory Assets and Liabilities  7 06- Exhibit D 2" xfId="755"/>
    <cellStyle name="_Recon to Darrin's 5.11.05 proforma_ACCOUNTS" xfId="290"/>
    <cellStyle name="_Recon to Darrin's 5.11.05 proforma_ACCOUNTS 2" xfId="756"/>
    <cellStyle name="_Recon to Darrin's 5.11.05 proforma_Book9" xfId="291"/>
    <cellStyle name="_Recon to Darrin's 5.11.05 proforma_Book9 2" xfId="757"/>
    <cellStyle name="_Recon to Darrin's 5.11.05 proforma_Gas Rev Req Model (2010 GRC)" xfId="292"/>
    <cellStyle name="_Recon to Darrin's 5.11.05 proforma_Gas Rev Req Model (2010 GRC) 2" xfId="758"/>
    <cellStyle name="_Revenue" xfId="93"/>
    <cellStyle name="_Revenue 2" xfId="759"/>
    <cellStyle name="_Revenue_Data" xfId="94"/>
    <cellStyle name="_Revenue_Data 2" xfId="760"/>
    <cellStyle name="_Revenue_Data_1" xfId="95"/>
    <cellStyle name="_Revenue_Data_1 2" xfId="761"/>
    <cellStyle name="_Revenue_Data_Pro Forma Rev 09 GRC" xfId="96"/>
    <cellStyle name="_Revenue_Data_Pro Forma Rev 09 GRC 2" xfId="762"/>
    <cellStyle name="_Revenue_Data_Pro Forma Rev 2010 GRC" xfId="119"/>
    <cellStyle name="_Revenue_Data_Pro Forma Rev 2010 GRC_Preliminary" xfId="120"/>
    <cellStyle name="_Revenue_Data_Revenue (Feb 09 - Jan 10)" xfId="121"/>
    <cellStyle name="_Revenue_Data_Revenue (Jan 09 - Dec 09)" xfId="122"/>
    <cellStyle name="_Revenue_Data_Revenue (Mar 09 - Feb 10)" xfId="123"/>
    <cellStyle name="_Revenue_Data_Volume Exhibit (Jan09 - Dec09)" xfId="124"/>
    <cellStyle name="_Revenue_Mins" xfId="97"/>
    <cellStyle name="_Revenue_Mins 2" xfId="763"/>
    <cellStyle name="_Revenue_Pro Forma Rev 07 GRC" xfId="98"/>
    <cellStyle name="_Revenue_Pro Forma Rev 07 GRC 2" xfId="764"/>
    <cellStyle name="_Revenue_Pro Forma Rev 08 GRC" xfId="99"/>
    <cellStyle name="_Revenue_Pro Forma Rev 08 GRC 2" xfId="765"/>
    <cellStyle name="_Revenue_Pro Forma Rev 09 GRC" xfId="100"/>
    <cellStyle name="_Revenue_Pro Forma Rev 09 GRC 2" xfId="766"/>
    <cellStyle name="_Revenue_Pro Forma Rev 2010 GRC" xfId="125"/>
    <cellStyle name="_Revenue_Pro Forma Rev 2010 GRC_Preliminary" xfId="126"/>
    <cellStyle name="_Revenue_Revenue (Feb 09 - Jan 10)" xfId="127"/>
    <cellStyle name="_Revenue_Revenue (Jan 09 - Dec 09)" xfId="128"/>
    <cellStyle name="_Revenue_Revenue (Mar 09 - Feb 10)" xfId="129"/>
    <cellStyle name="_Revenue_Sheet2" xfId="101"/>
    <cellStyle name="_Revenue_Sheet2 2" xfId="767"/>
    <cellStyle name="_Revenue_Therms Data" xfId="102"/>
    <cellStyle name="_Revenue_Therms Data 2" xfId="768"/>
    <cellStyle name="_Revenue_Therms Data Rerun" xfId="103"/>
    <cellStyle name="_Revenue_Therms Data Rerun 2" xfId="769"/>
    <cellStyle name="_Revenue_Volume Exhibit (Jan09 - Dec09)" xfId="130"/>
    <cellStyle name="_Sumas Proforma - 11-09-07" xfId="293"/>
    <cellStyle name="_Sumas Property Taxes v1" xfId="294"/>
    <cellStyle name="_Tenaska Comparison" xfId="295"/>
    <cellStyle name="_Tenaska Comparison 2" xfId="296"/>
    <cellStyle name="_Tenaska Comparison 2 2" xfId="771"/>
    <cellStyle name="_Tenaska Comparison 3" xfId="297"/>
    <cellStyle name="_Tenaska Comparison 3 2" xfId="772"/>
    <cellStyle name="_Tenaska Comparison 4" xfId="770"/>
    <cellStyle name="_Tenaska Comparison_4 31 Regulatory Assets and Liabilities  7 06- Exhibit D" xfId="298"/>
    <cellStyle name="_Tenaska Comparison_4 31 Regulatory Assets and Liabilities  7 06- Exhibit D 2" xfId="773"/>
    <cellStyle name="_Tenaska Comparison_4 32 Regulatory Assets and Liabilities  7 06- Exhibit D" xfId="299"/>
    <cellStyle name="_Tenaska Comparison_4 32 Regulatory Assets and Liabilities  7 06- Exhibit D 2" xfId="774"/>
    <cellStyle name="_Tenaska Comparison_Book9" xfId="300"/>
    <cellStyle name="_Tenaska Comparison_Book9 2" xfId="775"/>
    <cellStyle name="_Therms Data" xfId="104"/>
    <cellStyle name="_Therms Data 2" xfId="776"/>
    <cellStyle name="_Therms Data_Pro Forma Rev 09 GRC" xfId="105"/>
    <cellStyle name="_Therms Data_Pro Forma Rev 09 GRC 2" xfId="777"/>
    <cellStyle name="_Therms Data_Pro Forma Rev 2010 GRC" xfId="131"/>
    <cellStyle name="_Therms Data_Pro Forma Rev 2010 GRC_Preliminary" xfId="132"/>
    <cellStyle name="_Therms Data_Revenue (Feb 09 - Jan 10)" xfId="133"/>
    <cellStyle name="_Therms Data_Revenue (Jan 09 - Dec 09)" xfId="134"/>
    <cellStyle name="_Therms Data_Revenue (Mar 09 - Feb 10)" xfId="135"/>
    <cellStyle name="_Therms Data_Volume Exhibit (Jan09 - Dec09)" xfId="136"/>
    <cellStyle name="_Value Copy 11 30 05 gas 12 09 05 AURORA at 12 14 05" xfId="301"/>
    <cellStyle name="_Value Copy 11 30 05 gas 12 09 05 AURORA at 12 14 05 2" xfId="302"/>
    <cellStyle name="_Value Copy 11 30 05 gas 12 09 05 AURORA at 12 14 05 2 2" xfId="779"/>
    <cellStyle name="_Value Copy 11 30 05 gas 12 09 05 AURORA at 12 14 05 3" xfId="303"/>
    <cellStyle name="_Value Copy 11 30 05 gas 12 09 05 AURORA at 12 14 05 3 2" xfId="780"/>
    <cellStyle name="_Value Copy 11 30 05 gas 12 09 05 AURORA at 12 14 05 4" xfId="778"/>
    <cellStyle name="_Value Copy 11 30 05 gas 12 09 05 AURORA at 12 14 05_04 07E Wild Horse Wind Expansion (C) (2)" xfId="304"/>
    <cellStyle name="_Value Copy 11 30 05 gas 12 09 05 AURORA at 12 14 05_04 07E Wild Horse Wind Expansion (C) (2) 2" xfId="781"/>
    <cellStyle name="_Value Copy 11 30 05 gas 12 09 05 AURORA at 12 14 05_4 31 Regulatory Assets and Liabilities  7 06- Exhibit D" xfId="305"/>
    <cellStyle name="_Value Copy 11 30 05 gas 12 09 05 AURORA at 12 14 05_4 31 Regulatory Assets and Liabilities  7 06- Exhibit D 2" xfId="782"/>
    <cellStyle name="_Value Copy 11 30 05 gas 12 09 05 AURORA at 12 14 05_4 32 Regulatory Assets and Liabilities  7 06- Exhibit D" xfId="306"/>
    <cellStyle name="_Value Copy 11 30 05 gas 12 09 05 AURORA at 12 14 05_4 32 Regulatory Assets and Liabilities  7 06- Exhibit D 2" xfId="783"/>
    <cellStyle name="_Value Copy 11 30 05 gas 12 09 05 AURORA at 12 14 05_ACCOUNTS" xfId="307"/>
    <cellStyle name="_Value Copy 11 30 05 gas 12 09 05 AURORA at 12 14 05_ACCOUNTS 2" xfId="784"/>
    <cellStyle name="_Value Copy 11 30 05 gas 12 09 05 AURORA at 12 14 05_Book9" xfId="308"/>
    <cellStyle name="_Value Copy 11 30 05 gas 12 09 05 AURORA at 12 14 05_Book9 2" xfId="785"/>
    <cellStyle name="_Value Copy 11 30 05 gas 12 09 05 AURORA at 12 14 05_Gas Rev Req Model (2010 GRC)" xfId="309"/>
    <cellStyle name="_Value Copy 11 30 05 gas 12 09 05 AURORA at 12 14 05_Gas Rev Req Model (2010 GRC) 2" xfId="786"/>
    <cellStyle name="_VC 6.15.06 update on 06GRC power costs.xls Chart 1" xfId="310"/>
    <cellStyle name="_VC 6.15.06 update on 06GRC power costs.xls Chart 1 2" xfId="311"/>
    <cellStyle name="_VC 6.15.06 update on 06GRC power costs.xls Chart 1 2 2" xfId="788"/>
    <cellStyle name="_VC 6.15.06 update on 06GRC power costs.xls Chart 1 3" xfId="312"/>
    <cellStyle name="_VC 6.15.06 update on 06GRC power costs.xls Chart 1 3 2" xfId="789"/>
    <cellStyle name="_VC 6.15.06 update on 06GRC power costs.xls Chart 1 4" xfId="787"/>
    <cellStyle name="_VC 6.15.06 update on 06GRC power costs.xls Chart 1_04 07E Wild Horse Wind Expansion (C) (2)" xfId="313"/>
    <cellStyle name="_VC 6.15.06 update on 06GRC power costs.xls Chart 1_04 07E Wild Horse Wind Expansion (C) (2) 2" xfId="790"/>
    <cellStyle name="_VC 6.15.06 update on 06GRC power costs.xls Chart 1_4 31 Regulatory Assets and Liabilities  7 06- Exhibit D" xfId="314"/>
    <cellStyle name="_VC 6.15.06 update on 06GRC power costs.xls Chart 1_4 31 Regulatory Assets and Liabilities  7 06- Exhibit D 2" xfId="791"/>
    <cellStyle name="_VC 6.15.06 update on 06GRC power costs.xls Chart 1_4 32 Regulatory Assets and Liabilities  7 06- Exhibit D" xfId="315"/>
    <cellStyle name="_VC 6.15.06 update on 06GRC power costs.xls Chart 1_4 32 Regulatory Assets and Liabilities  7 06- Exhibit D 2" xfId="792"/>
    <cellStyle name="_VC 6.15.06 update on 06GRC power costs.xls Chart 1_ACCOUNTS" xfId="316"/>
    <cellStyle name="_VC 6.15.06 update on 06GRC power costs.xls Chart 1_ACCOUNTS 2" xfId="793"/>
    <cellStyle name="_VC 6.15.06 update on 06GRC power costs.xls Chart 1_Book9" xfId="317"/>
    <cellStyle name="_VC 6.15.06 update on 06GRC power costs.xls Chart 1_Book9 2" xfId="794"/>
    <cellStyle name="_VC 6.15.06 update on 06GRC power costs.xls Chart 1_Gas Rev Req Model (2010 GRC)" xfId="318"/>
    <cellStyle name="_VC 6.15.06 update on 06GRC power costs.xls Chart 1_Gas Rev Req Model (2010 GRC) 2" xfId="795"/>
    <cellStyle name="_VC 6.15.06 update on 06GRC power costs.xls Chart 2" xfId="319"/>
    <cellStyle name="_VC 6.15.06 update on 06GRC power costs.xls Chart 2 2" xfId="320"/>
    <cellStyle name="_VC 6.15.06 update on 06GRC power costs.xls Chart 2 2 2" xfId="797"/>
    <cellStyle name="_VC 6.15.06 update on 06GRC power costs.xls Chart 2 3" xfId="321"/>
    <cellStyle name="_VC 6.15.06 update on 06GRC power costs.xls Chart 2 3 2" xfId="798"/>
    <cellStyle name="_VC 6.15.06 update on 06GRC power costs.xls Chart 2 4" xfId="796"/>
    <cellStyle name="_VC 6.15.06 update on 06GRC power costs.xls Chart 2_04 07E Wild Horse Wind Expansion (C) (2)" xfId="322"/>
    <cellStyle name="_VC 6.15.06 update on 06GRC power costs.xls Chart 2_04 07E Wild Horse Wind Expansion (C) (2) 2" xfId="799"/>
    <cellStyle name="_VC 6.15.06 update on 06GRC power costs.xls Chart 2_4 31 Regulatory Assets and Liabilities  7 06- Exhibit D" xfId="323"/>
    <cellStyle name="_VC 6.15.06 update on 06GRC power costs.xls Chart 2_4 31 Regulatory Assets and Liabilities  7 06- Exhibit D 2" xfId="800"/>
    <cellStyle name="_VC 6.15.06 update on 06GRC power costs.xls Chart 2_4 32 Regulatory Assets and Liabilities  7 06- Exhibit D" xfId="324"/>
    <cellStyle name="_VC 6.15.06 update on 06GRC power costs.xls Chart 2_4 32 Regulatory Assets and Liabilities  7 06- Exhibit D 2" xfId="801"/>
    <cellStyle name="_VC 6.15.06 update on 06GRC power costs.xls Chart 2_ACCOUNTS" xfId="325"/>
    <cellStyle name="_VC 6.15.06 update on 06GRC power costs.xls Chart 2_ACCOUNTS 2" xfId="802"/>
    <cellStyle name="_VC 6.15.06 update on 06GRC power costs.xls Chart 2_Book9" xfId="326"/>
    <cellStyle name="_VC 6.15.06 update on 06GRC power costs.xls Chart 2_Book9 2" xfId="803"/>
    <cellStyle name="_VC 6.15.06 update on 06GRC power costs.xls Chart 2_Gas Rev Req Model (2010 GRC)" xfId="327"/>
    <cellStyle name="_VC 6.15.06 update on 06GRC power costs.xls Chart 2_Gas Rev Req Model (2010 GRC) 2" xfId="804"/>
    <cellStyle name="_VC 6.15.06 update on 06GRC power costs.xls Chart 3" xfId="328"/>
    <cellStyle name="_VC 6.15.06 update on 06GRC power costs.xls Chart 3 2" xfId="329"/>
    <cellStyle name="_VC 6.15.06 update on 06GRC power costs.xls Chart 3 2 2" xfId="806"/>
    <cellStyle name="_VC 6.15.06 update on 06GRC power costs.xls Chart 3 3" xfId="330"/>
    <cellStyle name="_VC 6.15.06 update on 06GRC power costs.xls Chart 3 3 2" xfId="807"/>
    <cellStyle name="_VC 6.15.06 update on 06GRC power costs.xls Chart 3 4" xfId="805"/>
    <cellStyle name="_VC 6.15.06 update on 06GRC power costs.xls Chart 3_04 07E Wild Horse Wind Expansion (C) (2)" xfId="331"/>
    <cellStyle name="_VC 6.15.06 update on 06GRC power costs.xls Chart 3_04 07E Wild Horse Wind Expansion (C) (2) 2" xfId="808"/>
    <cellStyle name="_VC 6.15.06 update on 06GRC power costs.xls Chart 3_4 31 Regulatory Assets and Liabilities  7 06- Exhibit D" xfId="332"/>
    <cellStyle name="_VC 6.15.06 update on 06GRC power costs.xls Chart 3_4 31 Regulatory Assets and Liabilities  7 06- Exhibit D 2" xfId="809"/>
    <cellStyle name="_VC 6.15.06 update on 06GRC power costs.xls Chart 3_4 32 Regulatory Assets and Liabilities  7 06- Exhibit D" xfId="333"/>
    <cellStyle name="_VC 6.15.06 update on 06GRC power costs.xls Chart 3_4 32 Regulatory Assets and Liabilities  7 06- Exhibit D 2" xfId="810"/>
    <cellStyle name="_VC 6.15.06 update on 06GRC power costs.xls Chart 3_ACCOUNTS" xfId="334"/>
    <cellStyle name="_VC 6.15.06 update on 06GRC power costs.xls Chart 3_ACCOUNTS 2" xfId="811"/>
    <cellStyle name="_VC 6.15.06 update on 06GRC power costs.xls Chart 3_Book9" xfId="335"/>
    <cellStyle name="_VC 6.15.06 update on 06GRC power costs.xls Chart 3_Book9 2" xfId="812"/>
    <cellStyle name="_VC 6.15.06 update on 06GRC power costs.xls Chart 3_Gas Rev Req Model (2010 GRC)" xfId="336"/>
    <cellStyle name="_VC 6.15.06 update on 06GRC power costs.xls Chart 3_Gas Rev Req Model (2010 GRC) 2" xfId="813"/>
    <cellStyle name="0,0_x000d__x000a_NA_x000d__x000a_" xfId="337"/>
    <cellStyle name="20% - Accent1 2" xfId="338"/>
    <cellStyle name="20% - Accent1 3" xfId="339"/>
    <cellStyle name="20% - Accent1 4" xfId="340"/>
    <cellStyle name="20% - Accent1 4 2" xfId="814"/>
    <cellStyle name="20% - Accent2 2" xfId="341"/>
    <cellStyle name="20% - Accent2 3" xfId="342"/>
    <cellStyle name="20% - Accent2 4" xfId="343"/>
    <cellStyle name="20% - Accent2 4 2" xfId="815"/>
    <cellStyle name="20% - Accent3 2" xfId="344"/>
    <cellStyle name="20% - Accent3 3" xfId="345"/>
    <cellStyle name="20% - Accent3 4" xfId="346"/>
    <cellStyle name="20% - Accent3 4 2" xfId="816"/>
    <cellStyle name="20% - Accent4 2" xfId="347"/>
    <cellStyle name="20% - Accent4 3" xfId="348"/>
    <cellStyle name="20% - Accent4 4" xfId="349"/>
    <cellStyle name="20% - Accent4 4 2" xfId="817"/>
    <cellStyle name="20% - Accent5 2" xfId="350"/>
    <cellStyle name="20% - Accent5 3" xfId="351"/>
    <cellStyle name="20% - Accent5 4" xfId="352"/>
    <cellStyle name="20% - Accent5 4 2" xfId="818"/>
    <cellStyle name="20% - Accent6 2" xfId="353"/>
    <cellStyle name="20% - Accent6 3" xfId="354"/>
    <cellStyle name="20% - Accent6 4" xfId="355"/>
    <cellStyle name="20% - Accent6 4 2" xfId="819"/>
    <cellStyle name="40% - Accent1 2" xfId="356"/>
    <cellStyle name="40% - Accent1 3" xfId="357"/>
    <cellStyle name="40% - Accent1 4" xfId="358"/>
    <cellStyle name="40% - Accent1 4 2" xfId="820"/>
    <cellStyle name="40% - Accent2 2" xfId="359"/>
    <cellStyle name="40% - Accent2 3" xfId="360"/>
    <cellStyle name="40% - Accent2 4" xfId="361"/>
    <cellStyle name="40% - Accent2 4 2" xfId="821"/>
    <cellStyle name="40% - Accent3 2" xfId="362"/>
    <cellStyle name="40% - Accent3 3" xfId="363"/>
    <cellStyle name="40% - Accent3 4" xfId="364"/>
    <cellStyle name="40% - Accent3 4 2" xfId="822"/>
    <cellStyle name="40% - Accent4 2" xfId="365"/>
    <cellStyle name="40% - Accent4 3" xfId="366"/>
    <cellStyle name="40% - Accent4 4" xfId="367"/>
    <cellStyle name="40% - Accent4 4 2" xfId="823"/>
    <cellStyle name="40% - Accent5 2" xfId="368"/>
    <cellStyle name="40% - Accent5 3" xfId="369"/>
    <cellStyle name="40% - Accent5 4" xfId="370"/>
    <cellStyle name="40% - Accent5 4 2" xfId="824"/>
    <cellStyle name="40% - Accent6 2" xfId="371"/>
    <cellStyle name="40% - Accent6 3" xfId="372"/>
    <cellStyle name="40% - Accent6 4" xfId="373"/>
    <cellStyle name="40% - Accent6 4 2" xfId="825"/>
    <cellStyle name="60% - Accent1 2" xfId="374"/>
    <cellStyle name="60% - Accent2 2" xfId="375"/>
    <cellStyle name="60% - Accent3 2" xfId="376"/>
    <cellStyle name="60% - Accent4 2" xfId="377"/>
    <cellStyle name="60% - Accent5 2" xfId="378"/>
    <cellStyle name="60% - Accent6 2" xfId="379"/>
    <cellStyle name="Accent1 2" xfId="380"/>
    <cellStyle name="Accent2 2" xfId="381"/>
    <cellStyle name="Accent3 2" xfId="382"/>
    <cellStyle name="Accent4 2" xfId="383"/>
    <cellStyle name="Accent5 2" xfId="384"/>
    <cellStyle name="Accent6 2" xfId="385"/>
    <cellStyle name="Bad 2" xfId="386"/>
    <cellStyle name="Calc Currency (0)" xfId="387"/>
    <cellStyle name="Calc Currency (0) 2" xfId="388"/>
    <cellStyle name="Calc Currency (0) 3" xfId="389"/>
    <cellStyle name="Calculation" xfId="1" builtinId="22" customBuiltin="1"/>
    <cellStyle name="Calculation 2" xfId="140"/>
    <cellStyle name="Calculation 2 2" xfId="826"/>
    <cellStyle name="Calculation 3" xfId="390"/>
    <cellStyle name="Check Cell 2" xfId="391"/>
    <cellStyle name="CheckCell" xfId="146"/>
    <cellStyle name="CheckCell 2" xfId="392"/>
    <cellStyle name="CheckCell 2 2" xfId="828"/>
    <cellStyle name="CheckCell 3" xfId="827"/>
    <cellStyle name="CheckCell_Electric Rev Req Model (2009 GRC) Rebuttal" xfId="393"/>
    <cellStyle name="Comma" xfId="2" builtinId="3"/>
    <cellStyle name="Comma 10" xfId="394"/>
    <cellStyle name="Comma 10 2" xfId="829"/>
    <cellStyle name="Comma 11" xfId="395"/>
    <cellStyle name="Comma 11 2" xfId="830"/>
    <cellStyle name="Comma 12" xfId="396"/>
    <cellStyle name="Comma 12 2" xfId="831"/>
    <cellStyle name="Comma 13" xfId="397"/>
    <cellStyle name="Comma 13 2" xfId="832"/>
    <cellStyle name="Comma 14" xfId="612"/>
    <cellStyle name="Comma 2" xfId="86"/>
    <cellStyle name="Comma 2 2" xfId="91"/>
    <cellStyle name="Comma 2 3" xfId="116"/>
    <cellStyle name="Comma 2 4" xfId="398"/>
    <cellStyle name="Comma 2 4 2" xfId="834"/>
    <cellStyle name="Comma 2 5" xfId="833"/>
    <cellStyle name="Comma 3" xfId="88"/>
    <cellStyle name="Comma 3 2" xfId="114"/>
    <cellStyle name="Comma 3 2 2" xfId="836"/>
    <cellStyle name="Comma 3 3" xfId="835"/>
    <cellStyle name="Comma 4" xfId="110"/>
    <cellStyle name="Comma 4 2" xfId="399"/>
    <cellStyle name="Comma 4 3" xfId="837"/>
    <cellStyle name="Comma 5" xfId="400"/>
    <cellStyle name="Comma 5 2" xfId="838"/>
    <cellStyle name="Comma 6" xfId="401"/>
    <cellStyle name="Comma 6 2" xfId="839"/>
    <cellStyle name="Comma 7" xfId="402"/>
    <cellStyle name="Comma 7 2" xfId="840"/>
    <cellStyle name="Comma 8" xfId="403"/>
    <cellStyle name="Comma 8 2" xfId="404"/>
    <cellStyle name="Comma 8 2 2" xfId="842"/>
    <cellStyle name="Comma 8 3" xfId="841"/>
    <cellStyle name="Comma 9" xfId="405"/>
    <cellStyle name="Comma 9 2" xfId="843"/>
    <cellStyle name="Comma_gas cos factors 03272004" xfId="944"/>
    <cellStyle name="Comma_gas cos factors settlement 06172002" xfId="947"/>
    <cellStyle name="Comma0" xfId="3"/>
    <cellStyle name="Comma0 - Style2" xfId="406"/>
    <cellStyle name="Comma0 - Style4" xfId="4"/>
    <cellStyle name="Comma0 - Style4 2" xfId="845"/>
    <cellStyle name="Comma0 - Style5" xfId="407"/>
    <cellStyle name="Comma0 - Style5 2" xfId="408"/>
    <cellStyle name="Comma0 - Style5_ACCOUNTS" xfId="409"/>
    <cellStyle name="Comma0 2" xfId="410"/>
    <cellStyle name="Comma0 3" xfId="411"/>
    <cellStyle name="Comma0 4" xfId="412"/>
    <cellStyle name="Comma0 5" xfId="413"/>
    <cellStyle name="Comma0 6" xfId="414"/>
    <cellStyle name="Comma0 7" xfId="844"/>
    <cellStyle name="Comma0 8" xfId="937"/>
    <cellStyle name="Comma0_00COS Ind Allocators" xfId="415"/>
    <cellStyle name="Comma1 - Style1" xfId="5"/>
    <cellStyle name="Comma1 - Style1 2" xfId="416"/>
    <cellStyle name="Comma1 - Style1 3" xfId="846"/>
    <cellStyle name="Comma1 - Style1_ACCOUNTS" xfId="417"/>
    <cellStyle name="Copied" xfId="418"/>
    <cellStyle name="Copied 2" xfId="419"/>
    <cellStyle name="Copied 3" xfId="420"/>
    <cellStyle name="COST1" xfId="421"/>
    <cellStyle name="COST1 2" xfId="422"/>
    <cellStyle name="COST1 3" xfId="423"/>
    <cellStyle name="Curren - Style1" xfId="424"/>
    <cellStyle name="Curren - Style2" xfId="6"/>
    <cellStyle name="Curren - Style2 2" xfId="425"/>
    <cellStyle name="Curren - Style2 3" xfId="847"/>
    <cellStyle name="Curren - Style2_ACCOUNTS" xfId="426"/>
    <cellStyle name="Curren - Style5" xfId="427"/>
    <cellStyle name="Curren - Style6" xfId="428"/>
    <cellStyle name="Curren - Style6 2" xfId="429"/>
    <cellStyle name="Curren - Style6_ACCOUNTS" xfId="430"/>
    <cellStyle name="Currency" xfId="7" builtinId="4"/>
    <cellStyle name="Currency 10" xfId="431"/>
    <cellStyle name="Currency 10 2" xfId="848"/>
    <cellStyle name="Currency 11" xfId="432"/>
    <cellStyle name="Currency 11 2" xfId="849"/>
    <cellStyle name="Currency 12" xfId="950"/>
    <cellStyle name="Currency 2" xfId="84"/>
    <cellStyle name="Currency 2 2" xfId="117"/>
    <cellStyle name="Currency 2 2 2" xfId="851"/>
    <cellStyle name="Currency 2 3" xfId="433"/>
    <cellStyle name="Currency 2 3 2" xfId="852"/>
    <cellStyle name="Currency 2 4" xfId="434"/>
    <cellStyle name="Currency 2 4 2" xfId="853"/>
    <cellStyle name="Currency 2 5" xfId="850"/>
    <cellStyle name="Currency 3" xfId="115"/>
    <cellStyle name="Currency 3 2" xfId="435"/>
    <cellStyle name="Currency 3 2 2" xfId="855"/>
    <cellStyle name="Currency 3 3" xfId="854"/>
    <cellStyle name="Currency 4" xfId="111"/>
    <cellStyle name="Currency 4 2" xfId="856"/>
    <cellStyle name="Currency 5" xfId="436"/>
    <cellStyle name="Currency 5 2" xfId="857"/>
    <cellStyle name="Currency 6" xfId="437"/>
    <cellStyle name="Currency 6 2" xfId="858"/>
    <cellStyle name="Currency 7" xfId="438"/>
    <cellStyle name="Currency 7 2" xfId="859"/>
    <cellStyle name="Currency 8" xfId="439"/>
    <cellStyle name="Currency 8 2" xfId="860"/>
    <cellStyle name="Currency 9" xfId="440"/>
    <cellStyle name="Currency 9 2" xfId="861"/>
    <cellStyle name="Currency0" xfId="8"/>
    <cellStyle name="Currency0 2" xfId="441"/>
    <cellStyle name="Currency0 2 2" xfId="862"/>
    <cellStyle name="Currency0 3" xfId="442"/>
    <cellStyle name="Currency0 3 2" xfId="863"/>
    <cellStyle name="Currency0 4" xfId="443"/>
    <cellStyle name="Currency0_ACCOUNTS" xfId="444"/>
    <cellStyle name="Date" xfId="9"/>
    <cellStyle name="Date 2" xfId="445"/>
    <cellStyle name="Date 3" xfId="446"/>
    <cellStyle name="Date 4" xfId="447"/>
    <cellStyle name="Date 5" xfId="448"/>
    <cellStyle name="Date 6" xfId="864"/>
    <cellStyle name="Date_ACCOUNTS" xfId="449"/>
    <cellStyle name="Entered" xfId="10"/>
    <cellStyle name="Entered 2" xfId="865"/>
    <cellStyle name="Euro" xfId="45"/>
    <cellStyle name="Euro 2" xfId="866"/>
    <cellStyle name="Explanatory Text 2" xfId="450"/>
    <cellStyle name="Fixed" xfId="11"/>
    <cellStyle name="Fixed 2" xfId="451"/>
    <cellStyle name="Fixed 3" xfId="452"/>
    <cellStyle name="Fixed 4" xfId="453"/>
    <cellStyle name="Fixed_ACCOUNTS" xfId="454"/>
    <cellStyle name="Fixed3 - Style3" xfId="455"/>
    <cellStyle name="Good 2" xfId="456"/>
    <cellStyle name="Grey" xfId="12"/>
    <cellStyle name="Grey 2" xfId="457"/>
    <cellStyle name="Grey 3" xfId="458"/>
    <cellStyle name="Grey 4" xfId="459"/>
    <cellStyle name="Grey_Gas Rev Req Model (2010 GRC)" xfId="460"/>
    <cellStyle name="Header1" xfId="461"/>
    <cellStyle name="Header1 2" xfId="462"/>
    <cellStyle name="Header1 3" xfId="463"/>
    <cellStyle name="Header2" xfId="464"/>
    <cellStyle name="Header2 2" xfId="465"/>
    <cellStyle name="Header2 3" xfId="466"/>
    <cellStyle name="Heading 1" xfId="13" builtinId="16" customBuiltin="1"/>
    <cellStyle name="Heading 1 2" xfId="467"/>
    <cellStyle name="Heading 1 3" xfId="468"/>
    <cellStyle name="Heading 1 4" xfId="867"/>
    <cellStyle name="Heading 2" xfId="14" builtinId="17" customBuiltin="1"/>
    <cellStyle name="Heading 2 2" xfId="143"/>
    <cellStyle name="Heading 2 2 2" xfId="868"/>
    <cellStyle name="Heading 2 3" xfId="469"/>
    <cellStyle name="Heading 3" xfId="619" builtinId="18" customBuiltin="1"/>
    <cellStyle name="Heading 4" xfId="620" builtinId="19" customBuiltin="1"/>
    <cellStyle name="Heading1" xfId="15"/>
    <cellStyle name="Heading1 2" xfId="470"/>
    <cellStyle name="Heading1 3" xfId="471"/>
    <cellStyle name="Heading2" xfId="16"/>
    <cellStyle name="Heading2 2" xfId="472"/>
    <cellStyle name="Heading2 3" xfId="473"/>
    <cellStyle name="Input [yellow]" xfId="17"/>
    <cellStyle name="Input [yellow] 2" xfId="474"/>
    <cellStyle name="Input [yellow] 3" xfId="475"/>
    <cellStyle name="Input [yellow] 4" xfId="476"/>
    <cellStyle name="Input [yellow]_Gas Rev Req Model (2010 GRC)" xfId="477"/>
    <cellStyle name="Input 2" xfId="478"/>
    <cellStyle name="Input 3" xfId="479"/>
    <cellStyle name="Input Cells" xfId="139"/>
    <cellStyle name="Input Cells Percent" xfId="141"/>
    <cellStyle name="Input Cells_ACCOUNTALLOC" xfId="480"/>
    <cellStyle name="Input Cells_EXTERNAL" xfId="943"/>
    <cellStyle name="Lines" xfId="481"/>
    <cellStyle name="Lines 2" xfId="482"/>
    <cellStyle name="Lines_Electric Rev Req Model (2009 GRC) Rebuttal" xfId="483"/>
    <cellStyle name="LINKED" xfId="484"/>
    <cellStyle name="Linked Cell 2" xfId="485"/>
    <cellStyle name="modified border" xfId="18"/>
    <cellStyle name="modified border 2" xfId="486"/>
    <cellStyle name="modified border 3" xfId="487"/>
    <cellStyle name="modified border 4" xfId="488"/>
    <cellStyle name="modified border1" xfId="19"/>
    <cellStyle name="modified border1 2" xfId="489"/>
    <cellStyle name="modified border1 3" xfId="490"/>
    <cellStyle name="modified border1 4" xfId="491"/>
    <cellStyle name="Neutral 2" xfId="492"/>
    <cellStyle name="no dec" xfId="493"/>
    <cellStyle name="no dec 2" xfId="494"/>
    <cellStyle name="no dec 3" xfId="495"/>
    <cellStyle name="Normal" xfId="0" builtinId="0"/>
    <cellStyle name="Normal - Style1" xfId="20"/>
    <cellStyle name="Normal - Style1 2" xfId="496"/>
    <cellStyle name="Normal - Style1 2 2" xfId="870"/>
    <cellStyle name="Normal - Style1 3" xfId="497"/>
    <cellStyle name="Normal - Style1 3 2" xfId="871"/>
    <cellStyle name="Normal - Style1 4" xfId="498"/>
    <cellStyle name="Normal - Style1 4 2" xfId="872"/>
    <cellStyle name="Normal - Style1 5" xfId="499"/>
    <cellStyle name="Normal - Style1 5 2" xfId="873"/>
    <cellStyle name="Normal - Style1 6" xfId="869"/>
    <cellStyle name="Normal - Style1_Book2" xfId="500"/>
    <cellStyle name="Normal 10" xfId="501"/>
    <cellStyle name="Normal 10 2" xfId="502"/>
    <cellStyle name="Normal 10 2 2" xfId="875"/>
    <cellStyle name="Normal 10 3" xfId="874"/>
    <cellStyle name="Normal 11" xfId="503"/>
    <cellStyle name="Normal 11 2" xfId="876"/>
    <cellStyle name="Normal 12" xfId="504"/>
    <cellStyle name="Normal 12 2" xfId="877"/>
    <cellStyle name="Normal 13" xfId="505"/>
    <cellStyle name="Normal 13 2" xfId="878"/>
    <cellStyle name="Normal 14" xfId="506"/>
    <cellStyle name="Normal 14 2" xfId="879"/>
    <cellStyle name="Normal 15" xfId="616"/>
    <cellStyle name="Normal 16" xfId="621"/>
    <cellStyle name="Normal 17" xfId="936"/>
    <cellStyle name="Normal 2" xfId="44"/>
    <cellStyle name="Normal 2 10" xfId="941"/>
    <cellStyle name="Normal 2 11" xfId="942"/>
    <cellStyle name="Normal 2 2" xfId="113"/>
    <cellStyle name="Normal 2 2 2" xfId="507"/>
    <cellStyle name="Normal 2 2 3" xfId="508"/>
    <cellStyle name="Normal 2 2 4" xfId="881"/>
    <cellStyle name="Normal 2 2_ACCOUNTS" xfId="509"/>
    <cellStyle name="Normal 2 3" xfId="510"/>
    <cellStyle name="Normal 2 4" xfId="511"/>
    <cellStyle name="Normal 2 5" xfId="512"/>
    <cellStyle name="Normal 2 6" xfId="513"/>
    <cellStyle name="Normal 2 6 2" xfId="882"/>
    <cellStyle name="Normal 2 7" xfId="609"/>
    <cellStyle name="Normal 2 8" xfId="880"/>
    <cellStyle name="Normal 2 9" xfId="938"/>
    <cellStyle name="Normal 2_ACCOUNTS" xfId="514"/>
    <cellStyle name="Normal 3" xfId="112"/>
    <cellStyle name="Normal 3 2" xfId="515"/>
    <cellStyle name="Normal 3 2 2" xfId="884"/>
    <cellStyle name="Normal 3 3" xfId="516"/>
    <cellStyle name="Normal 3 3 2" xfId="885"/>
    <cellStyle name="Normal 3 4" xfId="883"/>
    <cellStyle name="Normal 3_Electric Rev Req Model (2009 GRC) Rebuttal" xfId="517"/>
    <cellStyle name="Normal 4" xfId="109"/>
    <cellStyle name="Normal 4 2" xfId="518"/>
    <cellStyle name="Normal 4 3" xfId="886"/>
    <cellStyle name="Normal 4_ACCOUNTS" xfId="519"/>
    <cellStyle name="Normal 5" xfId="137"/>
    <cellStyle name="Normal 5 2" xfId="887"/>
    <cellStyle name="Normal 6" xfId="520"/>
    <cellStyle name="Normal 7" xfId="521"/>
    <cellStyle name="Normal 7 2" xfId="888"/>
    <cellStyle name="Normal 8" xfId="522"/>
    <cellStyle name="Normal 8 2" xfId="889"/>
    <cellStyle name="Normal 9" xfId="523"/>
    <cellStyle name="Normal 9 2" xfId="890"/>
    <cellStyle name="Normal_2004 GRC Gas Conv&amp;Gross-up Factor" xfId="606"/>
    <cellStyle name="Normal_Data" xfId="107"/>
    <cellStyle name="Normal_Detail 12MEJun10" xfId="615"/>
    <cellStyle name="Normal_Detail June 10" xfId="613"/>
    <cellStyle name="Normal_Income Statement 12ME Sept_07" xfId="611"/>
    <cellStyle name="Normal_Mantles" xfId="106"/>
    <cellStyle name="Normal_MigrationAdjust-Apr03" xfId="89"/>
    <cellStyle name="Normal_Peak Allocator 2010 GRC" xfId="946"/>
    <cellStyle name="Normal_Sheet1" xfId="87"/>
    <cellStyle name="Normal_Sheet2" xfId="118"/>
    <cellStyle name="Normal_Therms Data Actual" xfId="108"/>
    <cellStyle name="Normal_UIP Detail 12ME1210" xfId="610"/>
    <cellStyle name="Note 2" xfId="524"/>
    <cellStyle name="Note 3" xfId="525"/>
    <cellStyle name="Note 4" xfId="526"/>
    <cellStyle name="Note 8" xfId="527"/>
    <cellStyle name="Note 9" xfId="528"/>
    <cellStyle name="Output 2" xfId="529"/>
    <cellStyle name="Percen - Style1" xfId="530"/>
    <cellStyle name="Percen - Style2" xfId="21"/>
    <cellStyle name="Percen - Style2 2" xfId="891"/>
    <cellStyle name="Percen - Style3" xfId="22"/>
    <cellStyle name="Percen - Style3 2" xfId="531"/>
    <cellStyle name="Percen - Style3 3" xfId="892"/>
    <cellStyle name="Percen - Style3_ACCOUNTS" xfId="532"/>
    <cellStyle name="Percent" xfId="23" builtinId="5"/>
    <cellStyle name="Percent [2]" xfId="24"/>
    <cellStyle name="Percent 10" xfId="617"/>
    <cellStyle name="Percent 11" xfId="893"/>
    <cellStyle name="Percent 12" xfId="939"/>
    <cellStyle name="Percent 13" xfId="949"/>
    <cellStyle name="Percent 2" xfId="85"/>
    <cellStyle name="Percent 2 2" xfId="533"/>
    <cellStyle name="Percent 2 2 2" xfId="895"/>
    <cellStyle name="Percent 2 3" xfId="534"/>
    <cellStyle name="Percent 2 3 2" xfId="896"/>
    <cellStyle name="Percent 2 4" xfId="535"/>
    <cellStyle name="Percent 2 4 2" xfId="897"/>
    <cellStyle name="Percent 2 5" xfId="894"/>
    <cellStyle name="Percent 3" xfId="90"/>
    <cellStyle name="Percent 3 2" xfId="898"/>
    <cellStyle name="Percent 4" xfId="142"/>
    <cellStyle name="Percent 4 2" xfId="536"/>
    <cellStyle name="Percent 4 3" xfId="899"/>
    <cellStyle name="Percent 5" xfId="537"/>
    <cellStyle name="Percent 5 2" xfId="900"/>
    <cellStyle name="Percent 6" xfId="538"/>
    <cellStyle name="Percent 7" xfId="608"/>
    <cellStyle name="Percent 8" xfId="607"/>
    <cellStyle name="Percent 9" xfId="614"/>
    <cellStyle name="Percent_gas cos factors 03272004" xfId="945"/>
    <cellStyle name="Processing" xfId="147"/>
    <cellStyle name="Processing 2" xfId="539"/>
    <cellStyle name="Processing 2 2" xfId="902"/>
    <cellStyle name="Processing 3" xfId="901"/>
    <cellStyle name="Processing_Electric Rev Req Model (2009 GRC) Rebuttal" xfId="540"/>
    <cellStyle name="PSChar" xfId="541"/>
    <cellStyle name="PSChar 2" xfId="542"/>
    <cellStyle name="PSChar 3" xfId="543"/>
    <cellStyle name="PSDate" xfId="544"/>
    <cellStyle name="PSDate 2" xfId="545"/>
    <cellStyle name="PSDate 3" xfId="546"/>
    <cellStyle name="PSDec" xfId="547"/>
    <cellStyle name="PSDec 2" xfId="548"/>
    <cellStyle name="PSDec 3" xfId="549"/>
    <cellStyle name="PSHeading" xfId="550"/>
    <cellStyle name="PSHeading 2" xfId="551"/>
    <cellStyle name="PSHeading 3" xfId="552"/>
    <cellStyle name="PSInt" xfId="553"/>
    <cellStyle name="PSInt 2" xfId="554"/>
    <cellStyle name="PSInt 3" xfId="555"/>
    <cellStyle name="PSSpacer" xfId="556"/>
    <cellStyle name="PSSpacer 2" xfId="557"/>
    <cellStyle name="PSSpacer 3" xfId="558"/>
    <cellStyle name="purple - Style8" xfId="559"/>
    <cellStyle name="purple - Style8 2" xfId="560"/>
    <cellStyle name="purple - Style8_ACCOUNTS" xfId="561"/>
    <cellStyle name="RED" xfId="562"/>
    <cellStyle name="Red - Style7" xfId="563"/>
    <cellStyle name="Red - Style7 2" xfId="564"/>
    <cellStyle name="Red - Style7_ACCOUNTS" xfId="565"/>
    <cellStyle name="RED_04 07E Wild Horse Wind Expansion (C) (2)" xfId="566"/>
    <cellStyle name="Report" xfId="25"/>
    <cellStyle name="Report - Style5" xfId="26"/>
    <cellStyle name="Report - Style6" xfId="27"/>
    <cellStyle name="Report - Style7" xfId="28"/>
    <cellStyle name="Report - Style8" xfId="29"/>
    <cellStyle name="Report 2" xfId="567"/>
    <cellStyle name="Report 2 2" xfId="904"/>
    <cellStyle name="Report 3" xfId="903"/>
    <cellStyle name="Report 4" xfId="940"/>
    <cellStyle name="Report Bar" xfId="30"/>
    <cellStyle name="Report Bar 2" xfId="149"/>
    <cellStyle name="Report Bar 2 2" xfId="906"/>
    <cellStyle name="Report Bar 3" xfId="905"/>
    <cellStyle name="Report Bar_Electric Rev Req Model (2009 GRC) Rebuttal" xfId="568"/>
    <cellStyle name="Report Heading" xfId="31"/>
    <cellStyle name="Report Heading 2" xfId="569"/>
    <cellStyle name="Report Heading_Electric Rev Req Model (2009 GRC) Rebuttal" xfId="570"/>
    <cellStyle name="Report Percent" xfId="571"/>
    <cellStyle name="Report Percent 2" xfId="572"/>
    <cellStyle name="Report Percent 2 2" xfId="908"/>
    <cellStyle name="Report Percent 3" xfId="907"/>
    <cellStyle name="Report Percent_ACCOUNTS" xfId="573"/>
    <cellStyle name="Report Unit Cost" xfId="32"/>
    <cellStyle name="Report Unit Cost 2" xfId="148"/>
    <cellStyle name="Report Unit Cost 2 2" xfId="909"/>
    <cellStyle name="Report Unit Cost_ACCOUNTS" xfId="574"/>
    <cellStyle name="Report_Electric Rev Req Model (2009 GRC) Rebuttal" xfId="575"/>
    <cellStyle name="Reports" xfId="576"/>
    <cellStyle name="Reports Total" xfId="33"/>
    <cellStyle name="Reports Total 2" xfId="150"/>
    <cellStyle name="Reports Total 2 2" xfId="911"/>
    <cellStyle name="Reports Total 3" xfId="910"/>
    <cellStyle name="Reports Total_Electric Rev Req Model (2009 GRC) Rebuttal" xfId="577"/>
    <cellStyle name="Reports Unit Cost Total" xfId="151"/>
    <cellStyle name="Reports_Book9" xfId="578"/>
    <cellStyle name="RevList" xfId="579"/>
    <cellStyle name="round100" xfId="580"/>
    <cellStyle name="round100 2" xfId="581"/>
    <cellStyle name="round100 2 2" xfId="913"/>
    <cellStyle name="round100 3" xfId="582"/>
    <cellStyle name="round100 3 2" xfId="914"/>
    <cellStyle name="round100 4" xfId="912"/>
    <cellStyle name="SAPBEXaggData" xfId="46"/>
    <cellStyle name="SAPBEXaggDataEmph" xfId="47"/>
    <cellStyle name="SAPBEXaggItem" xfId="48"/>
    <cellStyle name="SAPBEXaggItemX" xfId="49"/>
    <cellStyle name="SAPBEXchaText" xfId="50"/>
    <cellStyle name="SAPBEXchaText 2" xfId="915"/>
    <cellStyle name="SAPBEXexcBad7" xfId="51"/>
    <cellStyle name="SAPBEXexcBad8" xfId="52"/>
    <cellStyle name="SAPBEXexcBad9" xfId="53"/>
    <cellStyle name="SAPBEXexcCritical4" xfId="54"/>
    <cellStyle name="SAPBEXexcCritical5" xfId="55"/>
    <cellStyle name="SAPBEXexcCritical6" xfId="56"/>
    <cellStyle name="SAPBEXexcGood1" xfId="57"/>
    <cellStyle name="SAPBEXexcGood2" xfId="58"/>
    <cellStyle name="SAPBEXexcGood3" xfId="59"/>
    <cellStyle name="SAPBEXfilterDrill" xfId="60"/>
    <cellStyle name="SAPBEXfilterItem" xfId="61"/>
    <cellStyle name="SAPBEXfilterText" xfId="62"/>
    <cellStyle name="SAPBEXformats" xfId="63"/>
    <cellStyle name="SAPBEXformats 2" xfId="916"/>
    <cellStyle name="SAPBEXheaderItem" xfId="64"/>
    <cellStyle name="SAPBEXheaderText" xfId="65"/>
    <cellStyle name="SAPBEXHLevel0" xfId="66"/>
    <cellStyle name="SAPBEXHLevel0 2" xfId="917"/>
    <cellStyle name="SAPBEXHLevel0X" xfId="67"/>
    <cellStyle name="SAPBEXHLevel0X 2" xfId="918"/>
    <cellStyle name="SAPBEXHLevel1" xfId="68"/>
    <cellStyle name="SAPBEXHLevel1 2" xfId="919"/>
    <cellStyle name="SAPBEXHLevel1X" xfId="69"/>
    <cellStyle name="SAPBEXHLevel1X 2" xfId="920"/>
    <cellStyle name="SAPBEXHLevel2" xfId="70"/>
    <cellStyle name="SAPBEXHLevel2 2" xfId="921"/>
    <cellStyle name="SAPBEXHLevel2X" xfId="71"/>
    <cellStyle name="SAPBEXHLevel2X 2" xfId="922"/>
    <cellStyle name="SAPBEXHLevel3" xfId="72"/>
    <cellStyle name="SAPBEXHLevel3 2" xfId="923"/>
    <cellStyle name="SAPBEXHLevel3X" xfId="73"/>
    <cellStyle name="SAPBEXHLevel3X 2" xfId="924"/>
    <cellStyle name="SAPBEXresData" xfId="74"/>
    <cellStyle name="SAPBEXresDataEmph" xfId="75"/>
    <cellStyle name="SAPBEXresItem" xfId="76"/>
    <cellStyle name="SAPBEXresItemX" xfId="77"/>
    <cellStyle name="SAPBEXstdData" xfId="78"/>
    <cellStyle name="SAPBEXstdDataEmph" xfId="79"/>
    <cellStyle name="SAPBEXstdItem" xfId="80"/>
    <cellStyle name="SAPBEXstdItem 2" xfId="925"/>
    <cellStyle name="SAPBEXstdItemX" xfId="81"/>
    <cellStyle name="SAPBEXstdItemX 2" xfId="926"/>
    <cellStyle name="SAPBEXtitle" xfId="82"/>
    <cellStyle name="SAPBEXundefined" xfId="83"/>
    <cellStyle name="shade" xfId="583"/>
    <cellStyle name="shade 2" xfId="584"/>
    <cellStyle name="shade 2 2" xfId="928"/>
    <cellStyle name="shade 3" xfId="585"/>
    <cellStyle name="shade 3 2" xfId="929"/>
    <cellStyle name="shade 4" xfId="927"/>
    <cellStyle name="shade_ACCOUNTS" xfId="586"/>
    <cellStyle name="StmtTtl1" xfId="34"/>
    <cellStyle name="StmtTtl1 2" xfId="587"/>
    <cellStyle name="StmtTtl1 3" xfId="588"/>
    <cellStyle name="StmtTtl1 4" xfId="589"/>
    <cellStyle name="StmtTtl1_Gas Rev Req Model (2010 GRC)" xfId="590"/>
    <cellStyle name="StmtTtl2" xfId="35"/>
    <cellStyle name="StmtTtl2 2" xfId="591"/>
    <cellStyle name="StmtTtl2 3" xfId="592"/>
    <cellStyle name="STYL1 - Style1" xfId="593"/>
    <cellStyle name="Style 1" xfId="36"/>
    <cellStyle name="Style 1 2" xfId="594"/>
    <cellStyle name="Style 1 2 2" xfId="931"/>
    <cellStyle name="Style 1 3" xfId="595"/>
    <cellStyle name="Style 1 3 2" xfId="932"/>
    <cellStyle name="Style 1 4" xfId="596"/>
    <cellStyle name="Style 1 4 2" xfId="933"/>
    <cellStyle name="Style 1_4 31 Regulatory Assets and Liabilities  7 06- Exhibit D" xfId="597"/>
    <cellStyle name="Subtotal" xfId="598"/>
    <cellStyle name="Sub-total" xfId="144"/>
    <cellStyle name="Test" xfId="37"/>
    <cellStyle name="Test 2" xfId="934"/>
    <cellStyle name="Title" xfId="618" builtinId="15" customBuiltin="1"/>
    <cellStyle name="Title: - Style3" xfId="38"/>
    <cellStyle name="Title: - Style4" xfId="39"/>
    <cellStyle name="Title: Major" xfId="40"/>
    <cellStyle name="Title: Major 2" xfId="138"/>
    <cellStyle name="Title: Minor" xfId="41"/>
    <cellStyle name="Title: Minor 2" xfId="599"/>
    <cellStyle name="Title: Minor_Electric Rev Req Model (2009 GRC) Rebuttal" xfId="600"/>
    <cellStyle name="Title: Worksheet" xfId="42"/>
    <cellStyle name="Total" xfId="43" builtinId="25" customBuiltin="1"/>
    <cellStyle name="Total 2" xfId="145"/>
    <cellStyle name="Total 2 2" xfId="935"/>
    <cellStyle name="Total 3" xfId="601"/>
    <cellStyle name="Total4 - Style4" xfId="602"/>
    <cellStyle name="Total4 - Style4 2" xfId="603"/>
    <cellStyle name="Total4 - Style4_ACCOUNTS" xfId="604"/>
    <cellStyle name="Warning Text 2" xfId="605"/>
  </cellStyles>
  <dxfs count="0"/>
  <tableStyles count="0" defaultTableStyle="TableStyleMedium9" defaultPivotStyle="PivotStyleLight16"/>
  <colors>
    <mruColors>
      <color rgb="FFFFFF66"/>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5.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externalLink" Target="externalLinks/externalLink1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externalLink" Target="externalLinks/externalLink14.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externalLink" Target="externalLinks/externalLink12.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externalLink" Target="externalLinks/externalLink2.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3.xml"/><Relationship Id="rId19" Type="http://schemas.openxmlformats.org/officeDocument/2006/relationships/worksheet" Target="worksheets/sheet19.xml"/></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752475</xdr:colOff>
      <xdr:row>38</xdr:row>
      <xdr:rowOff>57150</xdr:rowOff>
    </xdr:from>
    <xdr:to>
      <xdr:col>13</xdr:col>
      <xdr:colOff>600075</xdr:colOff>
      <xdr:row>49</xdr:row>
      <xdr:rowOff>19050</xdr:rowOff>
    </xdr:to>
    <xdr:sp macro="" textlink="">
      <xdr:nvSpPr>
        <xdr:cNvPr id="2" name="Text Box 6"/>
        <xdr:cNvSpPr txBox="1">
          <a:spLocks noChangeArrowheads="1"/>
        </xdr:cNvSpPr>
      </xdr:nvSpPr>
      <xdr:spPr bwMode="auto">
        <a:xfrm>
          <a:off x="10858500" y="6362700"/>
          <a:ext cx="647700" cy="1743075"/>
        </a:xfrm>
        <a:prstGeom prst="rect">
          <a:avLst/>
        </a:prstGeom>
        <a:solidFill>
          <a:srgbClr val="FFFFFF"/>
        </a:solidFill>
        <a:ln w="9525">
          <a:solidFill>
            <a:srgbClr val="000000"/>
          </a:solidFill>
          <a:miter lim="800000"/>
          <a:headEnd/>
          <a:tailEnd/>
        </a:ln>
      </xdr:spPr>
      <xdr:txBody>
        <a:bodyPr vertOverflow="clip" vert="vert" wrap="square" lIns="36576" tIns="22860" rIns="0" bIns="22860" anchor="b" upright="1"/>
        <a:lstStyle/>
        <a:p>
          <a:pPr algn="ctr" rtl="0">
            <a:defRPr sz="1000"/>
          </a:pPr>
          <a:r>
            <a:rPr lang="en-US" sz="1200" b="0" i="0" u="none" strike="noStrike" baseline="0">
              <a:solidFill>
                <a:srgbClr val="000000"/>
              </a:solidFill>
              <a:latin typeface="Arial"/>
              <a:cs typeface="Arial"/>
            </a:rPr>
            <a:t>Advice No. 2010 - 23</a:t>
          </a:r>
        </a:p>
        <a:p>
          <a:pPr algn="ctr" rtl="0">
            <a:defRPr sz="1000"/>
          </a:pPr>
          <a:r>
            <a:rPr lang="en-US" sz="1200" b="0" i="0" u="none" strike="noStrike" baseline="0">
              <a:solidFill>
                <a:srgbClr val="000000"/>
              </a:solidFill>
              <a:latin typeface="Arial"/>
              <a:cs typeface="Arial"/>
            </a:rPr>
            <a:t>Exhibit___(PGA 3)</a:t>
          </a:r>
        </a:p>
        <a:p>
          <a:pPr algn="ctr" rtl="0">
            <a:defRPr sz="1000"/>
          </a:pPr>
          <a:r>
            <a:rPr lang="en-US" sz="1200" b="0" i="0" u="none" strike="noStrike" baseline="0">
              <a:solidFill>
                <a:srgbClr val="000000"/>
              </a:solidFill>
              <a:latin typeface="Arial"/>
              <a:cs typeface="Arial"/>
            </a:rPr>
            <a:t>Page 1 of 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4</xdr:col>
          <xdr:colOff>466725</xdr:colOff>
          <xdr:row>2</xdr:row>
          <xdr:rowOff>123825</xdr:rowOff>
        </xdr:to>
        <xdr:sp macro="" textlink="">
          <xdr:nvSpPr>
            <xdr:cNvPr id="95233" name="Object 1" hidden="1">
              <a:extLst>
                <a:ext uri="{63B3BB69-23CF-44E3-9099-C40C66FF867C}">
                  <a14:compatExt spid="_x0000_s9523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oad%20&amp;%20Price%20Develop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20Summary%202004-2008%20Aurora%20+%20Not%20Auro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mickels/AppData/Local/Microsoft/Windows/Temporary%20Internet%20Files/Content.Outlook/LVSH1P8H/PSE%20-%20Revenue%20Requirement%20-%20Gas%20(GRC%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TIL/ELECTRIC/Chris%20M/PSE/Year%202011/UE-111048%20&amp;%20UG-111049%20(GRC)/Workpapers/Janet%20K.%20Phelps/JKP-WP(NC)%20JKP-8%20COS%20Allocation%20Factors/Meter%20Cost%20Study%20011510%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mickels/AppData/Local/Microsoft/Windows/Temporary%20Internet%20Files/Content.Outlook/LVSH1P8H/PSE%20-%20Cost%20of%20Service%20-%20Gas%20(GRC%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pRevnu/PUBLIC/%23%202007%20GRC%20-%20to%20be%20filed%20December%201,%202007/2007%20GRC%20Final%20Order%20&amp;%20Compl%20Filing/2007%20GRC%20Conv%20Facto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ignments"/>
      <sheetName val="Exhibit No._(CTM-2), Summary"/>
      <sheetName val="Gas Assignments"/>
      <sheetName val="Compare GRCs"/>
      <sheetName val="MJS"/>
      <sheetName val="Exhibit No._(CTM-2), Pg. 1-5"/>
      <sheetName val="Exhibit No._(CTM-2), Pg. 6-8"/>
      <sheetName val="Exhibit No._(CTM-2), Pg. 9-29"/>
      <sheetName val="Exhibit No._(CTM-2), Pg. 30"/>
      <sheetName val="Exhibit No._(CTM-2), Pg. 31-33"/>
      <sheetName val="Exhibit No._(CTM-2), Unit Cost"/>
      <sheetName val="UG-101644 - Revenue"/>
      <sheetName val="UG-101644 - Revenue Exhibit"/>
      <sheetName val="JKP-10"/>
      <sheetName val="3.05"/>
      <sheetName val="3.05 - Joint Meter Customers"/>
      <sheetName val="3.05 - E &amp; G RB"/>
      <sheetName val="3.05 - 2010 IS"/>
      <sheetName val="3.05 - FERC Pg 354 &amp; 355"/>
      <sheetName val="3.05 - SAP DL Download"/>
      <sheetName val="3.05 - DLReconBBS"/>
      <sheetName val="3.05 - SAP DL"/>
      <sheetName val="3.05 - GL DL Rep-2010"/>
      <sheetName val="3.05 - Electric"/>
      <sheetName val="3.05 - Electric Rtrmt"/>
      <sheetName val="3.05 - Gas"/>
      <sheetName val="3.05 - Gas Rtrmt"/>
      <sheetName val="3.05E - Customer Count Pg 6a"/>
      <sheetName val="3.05G - Customer Count Pg6b"/>
      <sheetName val="5.02G"/>
      <sheetName val="5.02G - DEPN Transfers"/>
      <sheetName val="5.02G - Accum DEPN"/>
      <sheetName val="5.03G"/>
      <sheetName val="5.03G - Breakdown"/>
      <sheetName val="5.03G - Data (HC)"/>
      <sheetName val="5.03G - Cost Savings Analysis"/>
      <sheetName val="5.03G - 2010"/>
      <sheetName val="6.02G"/>
      <sheetName val="6.02G - Revenue"/>
      <sheetName val="6.03G"/>
      <sheetName val="6.03G - LowInc Rev 12ME 12-2010"/>
      <sheetName val="6.03G - LoInBilled 12ME 12-2010"/>
      <sheetName val="6.03G - LowIncExp 12ME 12-2010"/>
      <sheetName val="6.03G - ConsvRev 12ME 12-210"/>
      <sheetName val="6.03G - 12ME 12-31-2010 SOG "/>
      <sheetName val="6.03G - IS Gas 12ME 12-2010"/>
      <sheetName val="6.03G - Cons Expense Dec 2010"/>
      <sheetName val="6.03G - PGA Amort Dec 2010"/>
      <sheetName val="6.03G - MuniTax Rev 12-2010"/>
      <sheetName val="6.03G - MuniTax Exp 12-2010"/>
      <sheetName val="6.03G - PGA REV 6-2010"/>
      <sheetName val="6.09G"/>
      <sheetName val="6.09G - 3-YR AVG"/>
      <sheetName val="6.09G - Writeoffs"/>
      <sheetName val="6.09G - 12ME 8-2010"/>
      <sheetName val="6.09G - 12ME 8-2009"/>
      <sheetName val="6.09G - 12ME 8-2008"/>
      <sheetName val="6.09G - 12ME 8-2007"/>
      <sheetName val="6.09G - 12ME 8-2006"/>
      <sheetName val="6.09G - BS Acct-Gas"/>
      <sheetName val="6.09G - Muni Tax Other Ops"/>
      <sheetName val="6.09G - 12ME 12-2010"/>
      <sheetName val="6.12G"/>
      <sheetName val="6.12G - UTC Annual Filing Fee"/>
      <sheetName val="6.12G - UTC Paid Annual Fee '10"/>
      <sheetName val="6.12G - Excise Taxes '10"/>
      <sheetName val="6.14G"/>
      <sheetName val="6.14G - Decrease in Interest"/>
      <sheetName val="6.14G - 2010 Rates"/>
      <sheetName val="6.14G - 2011 Rates"/>
      <sheetName val="6.14G - SAP"/>
      <sheetName val="6.14G - Balance Calculation"/>
      <sheetName val="6.16G"/>
      <sheetName val="6.16G - Rate Year"/>
      <sheetName val="6.16G - Charged to IS"/>
      <sheetName val="6.16G - Acct 18700052"/>
      <sheetName val="6.16G - Acct 25600092"/>
    </sheetNames>
    <sheetDataSet>
      <sheetData sheetId="0"/>
      <sheetData sheetId="1"/>
      <sheetData sheetId="2"/>
      <sheetData sheetId="3"/>
      <sheetData sheetId="4"/>
      <sheetData sheetId="5">
        <row r="19">
          <cell r="I19">
            <v>1526333</v>
          </cell>
        </row>
      </sheetData>
      <sheetData sheetId="6"/>
      <sheetData sheetId="7"/>
      <sheetData sheetId="8"/>
      <sheetData sheetId="9">
        <row r="18">
          <cell r="J18">
            <v>7.5899999999999995E-2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row r="6">
          <cell r="A6" t="str">
            <v xml:space="preserve">PUGET SOUND ENERGY-GAS </v>
          </cell>
        </row>
        <row r="8">
          <cell r="A8" t="str">
            <v>FOR THE TWELVE MONTHS ENDED DECEMBER 31, 2010</v>
          </cell>
        </row>
        <row r="9">
          <cell r="A9" t="str">
            <v>2011 GENERAL RATE CASE</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st Factors"/>
      <sheetName val="Install-Remove"/>
      <sheetName val="Costs-Secondary"/>
      <sheetName val="Costs-Primary"/>
      <sheetName val="Cost-Large Pwr"/>
      <sheetName val="Cogen-NET-Excess"/>
      <sheetName val="Production Mtr"/>
      <sheetName val="Costs-Misc"/>
      <sheetName val="Gas Install"/>
      <sheetName val="Obsolete"/>
    </sheetNames>
    <sheetDataSet>
      <sheetData sheetId="0"/>
      <sheetData sheetId="1">
        <row r="71">
          <cell r="A71">
            <v>322.11</v>
          </cell>
        </row>
        <row r="84">
          <cell r="A84">
            <v>99.21</v>
          </cell>
        </row>
      </sheetData>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s>
    <sheetDataSet>
      <sheetData sheetId="0"/>
      <sheetData sheetId="1">
        <row r="11">
          <cell r="C11">
            <v>5</v>
          </cell>
        </row>
        <row r="16">
          <cell r="C16" t="str">
            <v>Residential (16,23,53)</v>
          </cell>
        </row>
        <row r="17">
          <cell r="C17" t="str">
            <v>Comm. &amp; Indus. (31,61)</v>
          </cell>
        </row>
        <row r="18">
          <cell r="C18" t="str">
            <v>Large Volume (41,41T)</v>
          </cell>
        </row>
        <row r="19">
          <cell r="C19" t="str">
            <v>Interruptible (85, 85T)</v>
          </cell>
        </row>
        <row r="20">
          <cell r="C20" t="str">
            <v>Limited Interruptible (86, 86T)</v>
          </cell>
        </row>
        <row r="21">
          <cell r="C21" t="str">
            <v>Non-Exclusive Interruptible (87, 87T)</v>
          </cell>
        </row>
        <row r="22">
          <cell r="C22" t="str">
            <v>Contracts</v>
          </cell>
        </row>
        <row r="23">
          <cell r="C23" t="str">
            <v>Rentals</v>
          </cell>
        </row>
        <row r="48">
          <cell r="F48">
            <v>0</v>
          </cell>
        </row>
        <row r="58">
          <cell r="D58">
            <v>683933835.19273996</v>
          </cell>
          <cell r="E58">
            <v>289229013.37180001</v>
          </cell>
          <cell r="F58">
            <v>684989425.78093994</v>
          </cell>
          <cell r="G58">
            <v>290284603.95999998</v>
          </cell>
        </row>
        <row r="59">
          <cell r="D59">
            <v>229957497.50940001</v>
          </cell>
          <cell r="E59">
            <v>85374212.859899998</v>
          </cell>
          <cell r="F59">
            <v>230267868.50950003</v>
          </cell>
          <cell r="G59">
            <v>85684583.859999999</v>
          </cell>
        </row>
        <row r="60">
          <cell r="D60">
            <v>66546917.139749996</v>
          </cell>
          <cell r="E60">
            <v>18192108.604619987</v>
          </cell>
          <cell r="F60">
            <v>66594252.033830009</v>
          </cell>
          <cell r="G60">
            <v>18239443.4987</v>
          </cell>
        </row>
        <row r="61">
          <cell r="D61">
            <v>20171935.279069997</v>
          </cell>
          <cell r="E61">
            <v>8563124.0175099988</v>
          </cell>
          <cell r="F61">
            <v>20187344.271559998</v>
          </cell>
          <cell r="G61">
            <v>8578533.0099999998</v>
          </cell>
        </row>
        <row r="62">
          <cell r="D62">
            <v>12410859.56308</v>
          </cell>
          <cell r="E62">
            <v>3045621.4169799984</v>
          </cell>
          <cell r="F62">
            <v>12411952.146100001</v>
          </cell>
          <cell r="G62">
            <v>3046714</v>
          </cell>
        </row>
        <row r="63">
          <cell r="D63">
            <v>25742572.911910001</v>
          </cell>
          <cell r="E63">
            <v>5844434.5487099998</v>
          </cell>
          <cell r="F63">
            <v>25774581.353200004</v>
          </cell>
          <cell r="G63">
            <v>5876442.9900000002</v>
          </cell>
        </row>
        <row r="64">
          <cell r="D64">
            <v>1658615.8571499998</v>
          </cell>
          <cell r="E64">
            <v>1658615.8571499998</v>
          </cell>
          <cell r="F64">
            <v>1739140.8571500001</v>
          </cell>
          <cell r="G64">
            <v>1739140.8571500001</v>
          </cell>
        </row>
        <row r="65">
          <cell r="D65">
            <v>8138781.5399999991</v>
          </cell>
          <cell r="E65">
            <v>8138781.5399999991</v>
          </cell>
          <cell r="F65">
            <v>8138781.5399999991</v>
          </cell>
          <cell r="G65">
            <v>8138781.5399999991</v>
          </cell>
        </row>
      </sheetData>
      <sheetData sheetId="2"/>
      <sheetData sheetId="3"/>
      <sheetData sheetId="4"/>
      <sheetData sheetId="5"/>
      <sheetData sheetId="6"/>
      <sheetData sheetId="7"/>
      <sheetData sheetId="8">
        <row r="319">
          <cell r="F319">
            <v>2787911459.4195461</v>
          </cell>
          <cell r="H319">
            <v>1890181986.4829156</v>
          </cell>
          <cell r="I319">
            <v>631421219.17318416</v>
          </cell>
          <cell r="J319">
            <v>102727120.59398919</v>
          </cell>
          <cell r="K319">
            <v>48653941.916662976</v>
          </cell>
          <cell r="L319">
            <v>12568362.917955004</v>
          </cell>
          <cell r="M319">
            <v>47872865.277014278</v>
          </cell>
          <cell r="N319">
            <v>16713412.941295339</v>
          </cell>
          <cell r="O319">
            <v>37772550.116529651</v>
          </cell>
        </row>
        <row r="477">
          <cell r="F477">
            <v>-926793660.13410079</v>
          </cell>
          <cell r="H477">
            <v>-618676870.51142216</v>
          </cell>
          <cell r="I477">
            <v>-208179277.32395685</v>
          </cell>
          <cell r="J477">
            <v>-30485610.599740759</v>
          </cell>
          <cell r="K477">
            <v>-14313573.328218415</v>
          </cell>
          <cell r="L477">
            <v>-3796129.2179827895</v>
          </cell>
          <cell r="M477">
            <v>-13867386.381829416</v>
          </cell>
          <cell r="N477">
            <v>-4832365.0451084431</v>
          </cell>
          <cell r="O477">
            <v>-32642447.725841846</v>
          </cell>
        </row>
        <row r="635">
          <cell r="F635">
            <v>-240387574.12733316</v>
          </cell>
          <cell r="H635">
            <v>-165845031.16611242</v>
          </cell>
          <cell r="I635">
            <v>-54357592.724365592</v>
          </cell>
          <cell r="J635">
            <v>-9148865.3868824542</v>
          </cell>
          <cell r="K635">
            <v>-4315439.5883712983</v>
          </cell>
          <cell r="L635">
            <v>-946801.27895313583</v>
          </cell>
          <cell r="M635">
            <v>-4259818.4485223833</v>
          </cell>
          <cell r="N635">
            <v>-1571574.2679476363</v>
          </cell>
          <cell r="O635">
            <v>57548.733821709407</v>
          </cell>
        </row>
        <row r="1111">
          <cell r="F1111">
            <v>122939881.52028695</v>
          </cell>
          <cell r="H1111">
            <v>91789436.810894191</v>
          </cell>
          <cell r="I1111">
            <v>22522540.826904099</v>
          </cell>
          <cell r="J1111">
            <v>3153971.289032456</v>
          </cell>
          <cell r="K1111">
            <v>1598758.6975932033</v>
          </cell>
          <cell r="L1111">
            <v>501480.69026905228</v>
          </cell>
          <cell r="M1111">
            <v>1379928.2168339279</v>
          </cell>
          <cell r="N1111">
            <v>437832.93825601815</v>
          </cell>
          <cell r="O1111">
            <v>1555932.0505040195</v>
          </cell>
        </row>
        <row r="1429">
          <cell r="F1429">
            <v>108609791.72938827</v>
          </cell>
          <cell r="H1429">
            <v>74088814.720380068</v>
          </cell>
          <cell r="I1429">
            <v>24370528.625295658</v>
          </cell>
          <cell r="J1429">
            <v>3939448.2863560575</v>
          </cell>
          <cell r="K1429">
            <v>1875563.1083630773</v>
          </cell>
          <cell r="L1429">
            <v>483135.77392972441</v>
          </cell>
          <cell r="M1429">
            <v>1830871.2225195819</v>
          </cell>
          <cell r="N1429">
            <v>639964.03293971985</v>
          </cell>
          <cell r="O1429">
            <v>1381465.9596043758</v>
          </cell>
        </row>
        <row r="1589">
          <cell r="F1589">
            <v>35023613.772307485</v>
          </cell>
          <cell r="H1589">
            <v>23960346.691485312</v>
          </cell>
          <cell r="I1589">
            <v>7475722.1696228031</v>
          </cell>
          <cell r="J1589">
            <v>1383562.9401299453</v>
          </cell>
          <cell r="K1589">
            <v>663549.01391294668</v>
          </cell>
          <cell r="L1589">
            <v>207729.12280384096</v>
          </cell>
          <cell r="M1589">
            <v>535572.82754266507</v>
          </cell>
          <cell r="N1589">
            <v>170275.85416163391</v>
          </cell>
          <cell r="O1589">
            <v>626855.15264833707</v>
          </cell>
        </row>
        <row r="1747">
          <cell r="F1747">
            <v>38734784.291000001</v>
          </cell>
          <cell r="H1747">
            <v>26424820.256515618</v>
          </cell>
          <cell r="I1747">
            <v>8816183.884201644</v>
          </cell>
          <cell r="J1747">
            <v>1507888.1983438237</v>
          </cell>
          <cell r="K1747">
            <v>717583.42635769001</v>
          </cell>
          <cell r="L1747">
            <v>187024.60909705132</v>
          </cell>
          <cell r="M1747">
            <v>710909.02305002557</v>
          </cell>
          <cell r="N1747">
            <v>246392.16998908203</v>
          </cell>
          <cell r="O1747">
            <v>123982.72344506707</v>
          </cell>
        </row>
        <row r="2227">
          <cell r="F2227">
            <v>0</v>
          </cell>
          <cell r="H2227">
            <v>0</v>
          </cell>
          <cell r="I2227">
            <v>0</v>
          </cell>
          <cell r="J2227">
            <v>0</v>
          </cell>
          <cell r="K2227">
            <v>0</v>
          </cell>
          <cell r="L2227">
            <v>0</v>
          </cell>
          <cell r="M2227">
            <v>0</v>
          </cell>
          <cell r="N2227">
            <v>0</v>
          </cell>
          <cell r="O2227">
            <v>0</v>
          </cell>
        </row>
        <row r="2228">
          <cell r="F2228">
            <v>0</v>
          </cell>
          <cell r="H2228">
            <v>0</v>
          </cell>
          <cell r="I2228">
            <v>0</v>
          </cell>
          <cell r="J2228">
            <v>0</v>
          </cell>
          <cell r="K2228">
            <v>0</v>
          </cell>
          <cell r="L2228">
            <v>0</v>
          </cell>
          <cell r="M2228">
            <v>0</v>
          </cell>
          <cell r="N2228">
            <v>0</v>
          </cell>
          <cell r="O2228">
            <v>0</v>
          </cell>
        </row>
        <row r="2229">
          <cell r="F2229">
            <v>397809125.75042999</v>
          </cell>
          <cell r="H2229">
            <v>289229013.37180001</v>
          </cell>
          <cell r="I2229">
            <v>85374212.859899998</v>
          </cell>
          <cell r="J2229">
            <v>16561409.198699996</v>
          </cell>
          <cell r="K2229">
            <v>1891752.9895900004</v>
          </cell>
          <cell r="L2229">
            <v>3029030.30504</v>
          </cell>
          <cell r="M2229">
            <v>1723707.0254000016</v>
          </cell>
          <cell r="N2229">
            <v>0</v>
          </cell>
          <cell r="O2229">
            <v>0</v>
          </cell>
        </row>
        <row r="2230">
          <cell r="F2230">
            <v>14098004.926240001</v>
          </cell>
          <cell r="H2230">
            <v>0</v>
          </cell>
          <cell r="I2230">
            <v>0</v>
          </cell>
          <cell r="J2230">
            <v>1630699.4059199996</v>
          </cell>
          <cell r="K2230">
            <v>6671371.0279200003</v>
          </cell>
          <cell r="L2230">
            <v>16591.111940000003</v>
          </cell>
          <cell r="M2230">
            <v>4120727.5233100001</v>
          </cell>
          <cell r="N2230">
            <v>1658615.8571499998</v>
          </cell>
          <cell r="O2230">
            <v>0</v>
          </cell>
        </row>
        <row r="2231">
          <cell r="F2231">
            <v>6760042.1649999991</v>
          </cell>
          <cell r="H2231">
            <v>4549895.4034020314</v>
          </cell>
          <cell r="I2231">
            <v>1932278.7945358464</v>
          </cell>
          <cell r="J2231">
            <v>121667.32458930287</v>
          </cell>
          <cell r="K2231">
            <v>62597.699708686698</v>
          </cell>
          <cell r="L2231">
            <v>25835.516809727553</v>
          </cell>
          <cell r="M2231">
            <v>36238.781981410873</v>
          </cell>
          <cell r="N2231">
            <v>24.707889921985704</v>
          </cell>
          <cell r="O2231">
            <v>31503.936083070519</v>
          </cell>
        </row>
        <row r="2232">
          <cell r="F2232">
            <v>8138781.5399999991</v>
          </cell>
          <cell r="H2232">
            <v>0</v>
          </cell>
          <cell r="I2232">
            <v>0</v>
          </cell>
          <cell r="J2232">
            <v>0</v>
          </cell>
          <cell r="K2232">
            <v>0</v>
          </cell>
          <cell r="L2232">
            <v>0</v>
          </cell>
          <cell r="M2232">
            <v>0</v>
          </cell>
          <cell r="N2232">
            <v>0</v>
          </cell>
          <cell r="O2232">
            <v>8138781.5399999991</v>
          </cell>
        </row>
        <row r="2233">
          <cell r="F2233">
            <v>0</v>
          </cell>
          <cell r="H2233">
            <v>0</v>
          </cell>
          <cell r="I2233">
            <v>0</v>
          </cell>
          <cell r="J2233">
            <v>0</v>
          </cell>
          <cell r="K2233">
            <v>0</v>
          </cell>
          <cell r="L2233">
            <v>0</v>
          </cell>
          <cell r="M2233">
            <v>0</v>
          </cell>
          <cell r="N2233">
            <v>0</v>
          </cell>
          <cell r="O2233">
            <v>0</v>
          </cell>
        </row>
      </sheetData>
      <sheetData sheetId="9">
        <row r="342">
          <cell r="D342">
            <v>5304</v>
          </cell>
          <cell r="L342">
            <v>4319.7474946838292</v>
          </cell>
          <cell r="T342">
            <v>878.98900949675567</v>
          </cell>
          <cell r="AB342">
            <v>54.092412907507736</v>
          </cell>
          <cell r="AJ342">
            <v>2.9954207297381825</v>
          </cell>
          <cell r="AR342">
            <v>5.0458746041250357</v>
          </cell>
          <cell r="AZ342">
            <v>0</v>
          </cell>
          <cell r="BH342">
            <v>0</v>
          </cell>
          <cell r="BP342">
            <v>43.129787578045132</v>
          </cell>
        </row>
        <row r="388">
          <cell r="D388">
            <v>3053</v>
          </cell>
          <cell r="L388">
            <v>2102.1896705630215</v>
          </cell>
          <cell r="T388">
            <v>620.52138654506484</v>
          </cell>
          <cell r="AB388">
            <v>132.22484960466818</v>
          </cell>
          <cell r="AJ388">
            <v>62.238952612334231</v>
          </cell>
          <cell r="AR388">
            <v>22.136347279208035</v>
          </cell>
          <cell r="AZ388">
            <v>42.478829476163895</v>
          </cell>
          <cell r="BH388">
            <v>12.055239831180501</v>
          </cell>
          <cell r="BP388">
            <v>59.154724088358563</v>
          </cell>
        </row>
        <row r="546">
          <cell r="D546">
            <v>58590</v>
          </cell>
          <cell r="L546">
            <v>40343.037274250717</v>
          </cell>
          <cell r="T546">
            <v>11908.400929471127</v>
          </cell>
          <cell r="AB546">
            <v>2537.5217616565701</v>
          </cell>
          <cell r="AJ546">
            <v>1194.4252320853791</v>
          </cell>
          <cell r="AR546">
            <v>424.81774880078569</v>
          </cell>
          <cell r="AZ546">
            <v>815.20950507973885</v>
          </cell>
          <cell r="BH546">
            <v>231.35162191577646</v>
          </cell>
          <cell r="BP546">
            <v>1135.2359267399045</v>
          </cell>
        </row>
        <row r="557">
          <cell r="D557">
            <v>510786</v>
          </cell>
        </row>
      </sheetData>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GRC Elec CF"/>
      <sheetName val="2007 GRC Gas CF"/>
      <sheetName val="2007 GRC Gas RAF"/>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54.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JPT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opLeftCell="A6" workbookViewId="0">
      <selection activeCell="C35" sqref="C35"/>
    </sheetView>
  </sheetViews>
  <sheetFormatPr defaultRowHeight="12.75" x14ac:dyDescent="0.2"/>
  <cols>
    <col min="1" max="1" width="93.28515625" style="32" bestFit="1" customWidth="1"/>
    <col min="2" max="16384" width="9.140625" style="32"/>
  </cols>
  <sheetData>
    <row r="1" spans="1:1" ht="15.75" x14ac:dyDescent="0.2">
      <c r="A1" s="31" t="s">
        <v>70</v>
      </c>
    </row>
    <row r="2" spans="1:1" ht="15.75" x14ac:dyDescent="0.2">
      <c r="A2" s="31" t="s">
        <v>206</v>
      </c>
    </row>
    <row r="3" spans="1:1" ht="15.75" x14ac:dyDescent="0.2">
      <c r="A3" s="31" t="s">
        <v>207</v>
      </c>
    </row>
    <row r="4" spans="1:1" ht="15.75" x14ac:dyDescent="0.2">
      <c r="A4" s="31" t="s">
        <v>208</v>
      </c>
    </row>
    <row r="5" spans="1:1" ht="15.75" x14ac:dyDescent="0.2">
      <c r="A5" s="33">
        <v>40697</v>
      </c>
    </row>
    <row r="6" spans="1:1" ht="15.75" x14ac:dyDescent="0.2">
      <c r="A6" s="34"/>
    </row>
    <row r="7" spans="1:1" ht="15.75" x14ac:dyDescent="0.2">
      <c r="A7" s="34"/>
    </row>
    <row r="8" spans="1:1" ht="15.75" x14ac:dyDescent="0.2">
      <c r="A8" s="35" t="s">
        <v>209</v>
      </c>
    </row>
    <row r="9" spans="1:1" ht="15.75" x14ac:dyDescent="0.2">
      <c r="A9" s="811" t="s">
        <v>1407</v>
      </c>
    </row>
    <row r="10" spans="1:1" ht="15.75" x14ac:dyDescent="0.2">
      <c r="A10" s="36" t="s">
        <v>210</v>
      </c>
    </row>
    <row r="11" spans="1:1" ht="15.75" x14ac:dyDescent="0.2">
      <c r="A11" s="34"/>
    </row>
    <row r="12" spans="1:1" ht="15.75" x14ac:dyDescent="0.2">
      <c r="A12" s="35" t="s">
        <v>211</v>
      </c>
    </row>
    <row r="13" spans="1:1" ht="15.75" x14ac:dyDescent="0.2">
      <c r="A13" s="34" t="s">
        <v>212</v>
      </c>
    </row>
    <row r="14" spans="1:1" ht="15.75" x14ac:dyDescent="0.2">
      <c r="A14" s="34"/>
    </row>
    <row r="15" spans="1:1" ht="15.75" x14ac:dyDescent="0.2">
      <c r="A15" s="35" t="s">
        <v>213</v>
      </c>
    </row>
    <row r="16" spans="1:1" ht="15.75" x14ac:dyDescent="0.2">
      <c r="A16" s="36" t="s">
        <v>214</v>
      </c>
    </row>
    <row r="17" spans="1:1" ht="15.75" x14ac:dyDescent="0.2">
      <c r="A17" s="36" t="s">
        <v>215</v>
      </c>
    </row>
    <row r="18" spans="1:1" ht="15.75" x14ac:dyDescent="0.2">
      <c r="A18" s="36" t="s">
        <v>216</v>
      </c>
    </row>
    <row r="19" spans="1:1" ht="15.75" x14ac:dyDescent="0.2">
      <c r="A19" s="36" t="s">
        <v>217</v>
      </c>
    </row>
    <row r="20" spans="1:1" ht="15.75" x14ac:dyDescent="0.2">
      <c r="A20" s="36" t="s">
        <v>218</v>
      </c>
    </row>
    <row r="21" spans="1:1" ht="15.75" x14ac:dyDescent="0.2">
      <c r="A21" s="811" t="s">
        <v>1408</v>
      </c>
    </row>
    <row r="22" spans="1:1" ht="15.75" x14ac:dyDescent="0.2">
      <c r="A22" s="36" t="s">
        <v>219</v>
      </c>
    </row>
    <row r="23" spans="1:1" ht="15.75" x14ac:dyDescent="0.2">
      <c r="A23" s="36" t="s">
        <v>220</v>
      </c>
    </row>
    <row r="24" spans="1:1" ht="15.75" x14ac:dyDescent="0.2">
      <c r="A24" s="34"/>
    </row>
    <row r="25" spans="1:1" ht="15.75" x14ac:dyDescent="0.2">
      <c r="A25" s="35" t="s">
        <v>221</v>
      </c>
    </row>
    <row r="26" spans="1:1" ht="15.75" x14ac:dyDescent="0.2">
      <c r="A26" s="36" t="s">
        <v>222</v>
      </c>
    </row>
    <row r="27" spans="1:1" ht="15.75" x14ac:dyDescent="0.2">
      <c r="A27" s="36" t="s">
        <v>223</v>
      </c>
    </row>
    <row r="28" spans="1:1" ht="15.75" x14ac:dyDescent="0.2">
      <c r="A28" s="36" t="s">
        <v>224</v>
      </c>
    </row>
    <row r="29" spans="1:1" ht="15.75" x14ac:dyDescent="0.2">
      <c r="A29" s="811" t="s">
        <v>1409</v>
      </c>
    </row>
    <row r="30" spans="1:1" ht="15.75" x14ac:dyDescent="0.2">
      <c r="A30" s="36" t="s">
        <v>225</v>
      </c>
    </row>
    <row r="31" spans="1:1" ht="15.75" x14ac:dyDescent="0.2">
      <c r="A31" s="36" t="s">
        <v>226</v>
      </c>
    </row>
    <row r="32" spans="1:1" ht="15.75" x14ac:dyDescent="0.2">
      <c r="A32" s="811" t="s">
        <v>1410</v>
      </c>
    </row>
    <row r="33" spans="1:1" ht="15.75" x14ac:dyDescent="0.2">
      <c r="A33" s="36" t="s">
        <v>227</v>
      </c>
    </row>
    <row r="34" spans="1:1" ht="15.75" x14ac:dyDescent="0.2">
      <c r="A34" s="36" t="s">
        <v>228</v>
      </c>
    </row>
    <row r="35" spans="1:1" ht="15.75" x14ac:dyDescent="0.2">
      <c r="A35" s="36" t="s">
        <v>229</v>
      </c>
    </row>
    <row r="36" spans="1:1" ht="15.75" x14ac:dyDescent="0.2">
      <c r="A36" s="34"/>
    </row>
    <row r="37" spans="1:1" ht="15.75" x14ac:dyDescent="0.2">
      <c r="A37" s="35" t="s">
        <v>230</v>
      </c>
    </row>
    <row r="38" spans="1:1" ht="15.75" x14ac:dyDescent="0.2">
      <c r="A38" s="36" t="s">
        <v>231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R64"/>
  <sheetViews>
    <sheetView workbookViewId="0">
      <selection activeCell="C35" sqref="C35"/>
    </sheetView>
  </sheetViews>
  <sheetFormatPr defaultRowHeight="12.75" x14ac:dyDescent="0.2"/>
  <cols>
    <col min="1" max="1" width="3.85546875" style="32" customWidth="1"/>
    <col min="2" max="2" width="1.42578125" style="32" customWidth="1"/>
    <col min="3" max="3" width="29.7109375" style="32" customWidth="1"/>
    <col min="4" max="4" width="9.5703125" style="32" customWidth="1"/>
    <col min="5" max="5" width="7.85546875" style="32" bestFit="1" customWidth="1"/>
    <col min="6" max="6" width="11.140625" style="32" bestFit="1" customWidth="1"/>
    <col min="7" max="13" width="11" style="32" bestFit="1" customWidth="1"/>
    <col min="14" max="14" width="11.28515625" style="32" bestFit="1" customWidth="1"/>
    <col min="15" max="17" width="11.28515625" style="32" customWidth="1"/>
    <col min="18" max="18" width="11.28515625" style="32" bestFit="1" customWidth="1"/>
    <col min="19" max="19" width="14.5703125" style="32" bestFit="1" customWidth="1"/>
    <col min="20" max="16384" width="9.140625" style="32"/>
  </cols>
  <sheetData>
    <row r="1" spans="1:18" x14ac:dyDescent="0.2">
      <c r="B1" s="385" t="str">
        <f>'JKP-3.1c - Revenue'!$B$1</f>
        <v>Puget Sound Energy</v>
      </c>
      <c r="C1" s="386"/>
      <c r="D1" s="387"/>
      <c r="E1" s="387"/>
      <c r="F1" s="387"/>
      <c r="G1" s="386"/>
      <c r="H1" s="386"/>
      <c r="I1" s="386"/>
      <c r="J1" s="386"/>
      <c r="K1" s="386"/>
      <c r="L1" s="386"/>
      <c r="M1" s="386"/>
      <c r="N1" s="386"/>
      <c r="O1" s="386"/>
      <c r="P1" s="386"/>
      <c r="Q1" s="386"/>
      <c r="R1" s="386"/>
    </row>
    <row r="2" spans="1:18" x14ac:dyDescent="0.2">
      <c r="B2" s="385" t="str">
        <f>'JKP-3.1c - Revenue'!$B$2</f>
        <v>2011 General Rate Case - Gas</v>
      </c>
      <c r="C2" s="386"/>
      <c r="D2" s="386"/>
      <c r="E2" s="386"/>
      <c r="F2" s="388"/>
      <c r="G2" s="386"/>
      <c r="H2" s="386"/>
      <c r="I2" s="386"/>
      <c r="J2" s="386"/>
      <c r="K2" s="386"/>
      <c r="L2" s="386"/>
      <c r="M2" s="386"/>
      <c r="N2" s="386"/>
      <c r="O2" s="386"/>
      <c r="P2" s="386"/>
      <c r="Q2" s="386"/>
      <c r="R2" s="386"/>
    </row>
    <row r="3" spans="1:18" x14ac:dyDescent="0.2">
      <c r="B3" s="386" t="s">
        <v>951</v>
      </c>
      <c r="C3" s="386"/>
      <c r="D3" s="386"/>
      <c r="E3" s="386"/>
      <c r="F3" s="389"/>
      <c r="G3" s="389"/>
      <c r="H3" s="389"/>
      <c r="I3" s="389"/>
      <c r="J3" s="389"/>
      <c r="K3" s="389"/>
      <c r="L3" s="389"/>
      <c r="M3" s="389"/>
      <c r="N3" s="389"/>
      <c r="O3" s="389"/>
      <c r="P3" s="389"/>
      <c r="Q3" s="389"/>
      <c r="R3" s="386"/>
    </row>
    <row r="4" spans="1:18" x14ac:dyDescent="0.2">
      <c r="A4" s="390"/>
      <c r="B4" s="385" t="str">
        <f>'JKP-3.1c - Revenue'!$B$4</f>
        <v>Test Year Ended December 31, 2010</v>
      </c>
      <c r="C4" s="386"/>
      <c r="D4" s="386"/>
      <c r="E4" s="386"/>
      <c r="F4" s="386"/>
      <c r="G4" s="386"/>
      <c r="H4" s="386"/>
      <c r="I4" s="386"/>
      <c r="J4" s="386"/>
      <c r="K4" s="386"/>
      <c r="L4" s="386"/>
      <c r="M4" s="386"/>
      <c r="N4" s="386"/>
      <c r="O4" s="386"/>
      <c r="P4" s="386"/>
      <c r="Q4" s="386"/>
      <c r="R4" s="386"/>
    </row>
    <row r="5" spans="1:18" x14ac:dyDescent="0.2">
      <c r="A5" s="390"/>
      <c r="B5" s="388"/>
      <c r="C5" s="386"/>
      <c r="D5" s="386"/>
      <c r="E5" s="386"/>
      <c r="F5" s="386"/>
      <c r="G5" s="386"/>
      <c r="H5" s="386"/>
      <c r="I5" s="386"/>
      <c r="J5" s="386"/>
      <c r="K5" s="386"/>
      <c r="L5" s="386"/>
      <c r="M5" s="386"/>
      <c r="N5" s="386"/>
      <c r="O5" s="386"/>
      <c r="P5" s="386"/>
      <c r="Q5" s="386"/>
      <c r="R5" s="276"/>
    </row>
    <row r="6" spans="1:18" x14ac:dyDescent="0.2">
      <c r="A6" s="390"/>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row>
    <row r="7" spans="1:18" x14ac:dyDescent="0.2">
      <c r="A7" s="390"/>
      <c r="B7" s="276" t="s">
        <v>952</v>
      </c>
      <c r="D7" s="391"/>
      <c r="E7" s="391"/>
      <c r="F7" s="392"/>
      <c r="G7" s="392"/>
      <c r="H7" s="392"/>
      <c r="I7" s="392"/>
      <c r="J7" s="392"/>
      <c r="K7" s="392"/>
      <c r="L7" s="392"/>
      <c r="M7" s="392"/>
      <c r="N7" s="392"/>
      <c r="O7" s="392"/>
      <c r="P7" s="392"/>
      <c r="Q7" s="392"/>
      <c r="R7" s="391"/>
    </row>
    <row r="8" spans="1:18" x14ac:dyDescent="0.2">
      <c r="A8" s="390"/>
      <c r="B8" s="276" t="s">
        <v>953</v>
      </c>
      <c r="C8" s="276"/>
    </row>
    <row r="9" spans="1:18" x14ac:dyDescent="0.2">
      <c r="A9" s="390"/>
      <c r="B9" s="32" t="s">
        <v>954</v>
      </c>
      <c r="F9" s="393"/>
      <c r="G9" s="393"/>
      <c r="H9" s="393"/>
      <c r="I9" s="393"/>
      <c r="J9" s="393"/>
      <c r="K9" s="393"/>
      <c r="L9" s="393"/>
      <c r="M9" s="393"/>
      <c r="N9" s="393"/>
      <c r="O9" s="393"/>
      <c r="P9" s="393"/>
      <c r="Q9" s="393"/>
      <c r="R9" s="394"/>
    </row>
    <row r="10" spans="1:18" x14ac:dyDescent="0.2">
      <c r="C10" s="32" t="s">
        <v>955</v>
      </c>
      <c r="D10" s="32" t="s">
        <v>956</v>
      </c>
      <c r="E10" s="32" t="s">
        <v>957</v>
      </c>
      <c r="F10" s="395">
        <v>0.115</v>
      </c>
      <c r="G10" s="395">
        <v>0.115</v>
      </c>
      <c r="H10" s="395">
        <v>0.115</v>
      </c>
      <c r="I10" s="395">
        <v>0.115</v>
      </c>
      <c r="J10" s="395">
        <v>0.115</v>
      </c>
      <c r="K10" s="395">
        <v>0.115</v>
      </c>
      <c r="L10" s="395">
        <v>0.115</v>
      </c>
      <c r="M10" s="395">
        <v>0.115</v>
      </c>
      <c r="N10" s="395">
        <v>0.115</v>
      </c>
      <c r="O10" s="395">
        <v>0.115</v>
      </c>
      <c r="P10" s="395">
        <v>0.115</v>
      </c>
      <c r="Q10" s="395">
        <v>0.115</v>
      </c>
      <c r="R10" s="394"/>
    </row>
    <row r="11" spans="1:18" x14ac:dyDescent="0.2">
      <c r="C11" s="32" t="s">
        <v>958</v>
      </c>
      <c r="D11" s="32" t="s">
        <v>959</v>
      </c>
      <c r="E11" s="32" t="s">
        <v>957</v>
      </c>
      <c r="F11" s="395">
        <v>0.17</v>
      </c>
      <c r="G11" s="395">
        <v>0.17</v>
      </c>
      <c r="H11" s="395">
        <v>0.17</v>
      </c>
      <c r="I11" s="395">
        <v>0.17</v>
      </c>
      <c r="J11" s="395">
        <v>0.17</v>
      </c>
      <c r="K11" s="395">
        <v>0.17</v>
      </c>
      <c r="L11" s="395">
        <v>0.17</v>
      </c>
      <c r="M11" s="395">
        <v>0.17</v>
      </c>
      <c r="N11" s="395">
        <v>0.17</v>
      </c>
      <c r="O11" s="395">
        <v>0.17</v>
      </c>
      <c r="P11" s="395">
        <v>0.17</v>
      </c>
      <c r="Q11" s="395">
        <v>0.17</v>
      </c>
      <c r="R11" s="394"/>
    </row>
    <row r="12" spans="1:18" x14ac:dyDescent="0.2">
      <c r="C12" s="32" t="s">
        <v>960</v>
      </c>
      <c r="D12" s="32" t="s">
        <v>961</v>
      </c>
      <c r="E12" s="32" t="s">
        <v>957</v>
      </c>
      <c r="F12" s="395">
        <v>0.34</v>
      </c>
      <c r="G12" s="395">
        <v>0.34</v>
      </c>
      <c r="H12" s="395">
        <v>0.34</v>
      </c>
      <c r="I12" s="395">
        <v>0.34</v>
      </c>
      <c r="J12" s="395">
        <v>0.34</v>
      </c>
      <c r="K12" s="395">
        <v>0.34</v>
      </c>
      <c r="L12" s="395">
        <v>0.34</v>
      </c>
      <c r="M12" s="395">
        <v>0.34</v>
      </c>
      <c r="N12" s="395">
        <v>0.34</v>
      </c>
      <c r="O12" s="395">
        <v>0.34</v>
      </c>
      <c r="P12" s="395">
        <v>0.34</v>
      </c>
      <c r="Q12" s="395">
        <v>0.34</v>
      </c>
      <c r="R12" s="394"/>
    </row>
    <row r="13" spans="1:18" x14ac:dyDescent="0.2">
      <c r="F13" s="393"/>
      <c r="G13" s="393"/>
      <c r="H13" s="393"/>
      <c r="I13" s="393"/>
      <c r="J13" s="393"/>
      <c r="K13" s="393"/>
      <c r="L13" s="393"/>
      <c r="M13" s="393"/>
      <c r="N13" s="393"/>
      <c r="O13" s="393"/>
      <c r="P13" s="393"/>
      <c r="Q13" s="393"/>
      <c r="R13" s="394"/>
    </row>
    <row r="14" spans="1:18" x14ac:dyDescent="0.2">
      <c r="B14" s="32" t="s">
        <v>962</v>
      </c>
    </row>
    <row r="15" spans="1:18" x14ac:dyDescent="0.2">
      <c r="B15" s="336"/>
      <c r="C15" s="336" t="s">
        <v>963</v>
      </c>
      <c r="D15" s="32" t="s">
        <v>956</v>
      </c>
      <c r="E15" s="336" t="s">
        <v>10</v>
      </c>
      <c r="F15" s="396">
        <f>'JKP-3.1c - Therms Data'!E64</f>
        <v>59539</v>
      </c>
      <c r="G15" s="396">
        <f>'JKP-3.1c - Therms Data'!F64</f>
        <v>49034</v>
      </c>
      <c r="H15" s="396">
        <f>'JKP-3.1c - Therms Data'!G64</f>
        <v>50175</v>
      </c>
      <c r="I15" s="396">
        <f>'JKP-3.1c - Therms Data'!H64</f>
        <v>40206</v>
      </c>
      <c r="J15" s="396">
        <f>'JKP-3.1c - Therms Data'!I64</f>
        <v>30304</v>
      </c>
      <c r="K15" s="396">
        <f>'JKP-3.1c - Therms Data'!J64</f>
        <v>21621</v>
      </c>
      <c r="L15" s="396">
        <f>'JKP-3.1c - Therms Data'!K64</f>
        <v>16109</v>
      </c>
      <c r="M15" s="396">
        <f>'JKP-3.1c - Therms Data'!L64</f>
        <v>15947</v>
      </c>
      <c r="N15" s="396">
        <f>'JKP-3.1c - Therms Data'!M64</f>
        <v>18189</v>
      </c>
      <c r="O15" s="396">
        <f>'JKP-3.1c - Therms Data'!N64</f>
        <v>33635</v>
      </c>
      <c r="P15" s="396">
        <f>'JKP-3.1c - Therms Data'!O64</f>
        <v>62437</v>
      </c>
      <c r="Q15" s="396">
        <f>'JKP-3.1c - Therms Data'!P64</f>
        <v>76516</v>
      </c>
      <c r="R15" s="378">
        <f>SUM(F15:Q15)</f>
        <v>473712</v>
      </c>
    </row>
    <row r="16" spans="1:18" x14ac:dyDescent="0.2">
      <c r="B16" s="336"/>
      <c r="C16" s="336" t="s">
        <v>964</v>
      </c>
      <c r="D16" s="32" t="s">
        <v>959</v>
      </c>
      <c r="E16" s="336" t="s">
        <v>10</v>
      </c>
      <c r="F16" s="396">
        <f>'JKP-3.1c - Therms Data'!E65</f>
        <v>579487</v>
      </c>
      <c r="G16" s="396">
        <f>'JKP-3.1c - Therms Data'!F65</f>
        <v>469497</v>
      </c>
      <c r="H16" s="396">
        <f>'JKP-3.1c - Therms Data'!G65</f>
        <v>474246</v>
      </c>
      <c r="I16" s="396">
        <f>'JKP-3.1c - Therms Data'!H65</f>
        <v>371895</v>
      </c>
      <c r="J16" s="396">
        <f>'JKP-3.1c - Therms Data'!I65</f>
        <v>270891</v>
      </c>
      <c r="K16" s="396">
        <f>'JKP-3.1c - Therms Data'!J65</f>
        <v>179206</v>
      </c>
      <c r="L16" s="396">
        <f>'JKP-3.1c - Therms Data'!K65</f>
        <v>127651</v>
      </c>
      <c r="M16" s="396">
        <f>'JKP-3.1c - Therms Data'!L65</f>
        <v>120626</v>
      </c>
      <c r="N16" s="396">
        <f>'JKP-3.1c - Therms Data'!M65</f>
        <v>150720</v>
      </c>
      <c r="O16" s="396">
        <f>'JKP-3.1c - Therms Data'!N65</f>
        <v>298600</v>
      </c>
      <c r="P16" s="396">
        <f>'JKP-3.1c - Therms Data'!O65</f>
        <v>550153</v>
      </c>
      <c r="Q16" s="396">
        <f>'JKP-3.1c - Therms Data'!P65</f>
        <v>697930</v>
      </c>
      <c r="R16" s="378">
        <f>SUM(F16:Q16)</f>
        <v>4290902</v>
      </c>
    </row>
    <row r="17" spans="2:18" x14ac:dyDescent="0.2">
      <c r="B17" s="336"/>
      <c r="C17" s="336" t="s">
        <v>965</v>
      </c>
      <c r="D17" s="32" t="s">
        <v>961</v>
      </c>
      <c r="E17" s="336" t="s">
        <v>10</v>
      </c>
      <c r="F17" s="396">
        <f>'JKP-3.1c - Therms Data'!E66</f>
        <v>53524</v>
      </c>
      <c r="G17" s="396">
        <f>'JKP-3.1c - Therms Data'!F66</f>
        <v>38406</v>
      </c>
      <c r="H17" s="396">
        <f>'JKP-3.1c - Therms Data'!G66</f>
        <v>36980</v>
      </c>
      <c r="I17" s="396">
        <f>'JKP-3.1c - Therms Data'!H66</f>
        <v>27855</v>
      </c>
      <c r="J17" s="396">
        <f>'JKP-3.1c - Therms Data'!I66</f>
        <v>20013</v>
      </c>
      <c r="K17" s="396">
        <f>'JKP-3.1c - Therms Data'!J66</f>
        <v>12863</v>
      </c>
      <c r="L17" s="396">
        <f>'JKP-3.1c - Therms Data'!K66</f>
        <v>9708</v>
      </c>
      <c r="M17" s="396">
        <f>'JKP-3.1c - Therms Data'!L66</f>
        <v>9809</v>
      </c>
      <c r="N17" s="396">
        <f>'JKP-3.1c - Therms Data'!M66</f>
        <v>11051</v>
      </c>
      <c r="O17" s="396">
        <f>'JKP-3.1c - Therms Data'!N66</f>
        <v>21798</v>
      </c>
      <c r="P17" s="396">
        <f>'JKP-3.1c - Therms Data'!O66</f>
        <v>48949</v>
      </c>
      <c r="Q17" s="396">
        <f>'JKP-3.1c - Therms Data'!P66</f>
        <v>65565</v>
      </c>
      <c r="R17" s="378">
        <f>SUM(F17:Q17)</f>
        <v>356521</v>
      </c>
    </row>
    <row r="18" spans="2:18" x14ac:dyDescent="0.2">
      <c r="R18" s="277"/>
    </row>
    <row r="19" spans="2:18" x14ac:dyDescent="0.2">
      <c r="B19" s="32" t="s">
        <v>966</v>
      </c>
      <c r="F19" s="364">
        <f>F10*F15+F11*F16+F12*F17</f>
        <v>123557.93500000001</v>
      </c>
      <c r="G19" s="364">
        <f t="shared" ref="G19:Q19" si="0">G10*G15+G11*G16+G12*G17</f>
        <v>98511.44</v>
      </c>
      <c r="H19" s="364">
        <f t="shared" si="0"/>
        <v>98965.145000000004</v>
      </c>
      <c r="I19" s="364">
        <f t="shared" si="0"/>
        <v>77316.539999999994</v>
      </c>
      <c r="J19" s="364">
        <f t="shared" si="0"/>
        <v>56340.85</v>
      </c>
      <c r="K19" s="364">
        <f t="shared" si="0"/>
        <v>37324.854999999996</v>
      </c>
      <c r="L19" s="364">
        <f t="shared" si="0"/>
        <v>26853.925000000003</v>
      </c>
      <c r="M19" s="364">
        <f t="shared" si="0"/>
        <v>25675.385000000002</v>
      </c>
      <c r="N19" s="364">
        <f t="shared" si="0"/>
        <v>31471.475000000002</v>
      </c>
      <c r="O19" s="364">
        <f t="shared" si="0"/>
        <v>62041.345000000008</v>
      </c>
      <c r="P19" s="364">
        <f t="shared" si="0"/>
        <v>117348.92500000002</v>
      </c>
      <c r="Q19" s="364">
        <f t="shared" si="0"/>
        <v>149739.54</v>
      </c>
      <c r="R19" s="341">
        <f>SUM(F19:Q19)</f>
        <v>905147.36</v>
      </c>
    </row>
    <row r="21" spans="2:18" x14ac:dyDescent="0.2">
      <c r="B21" s="276" t="s">
        <v>967</v>
      </c>
      <c r="C21" s="276"/>
    </row>
    <row r="22" spans="2:18" x14ac:dyDescent="0.2">
      <c r="B22" s="32" t="s">
        <v>954</v>
      </c>
      <c r="F22" s="393"/>
      <c r="G22" s="393"/>
      <c r="H22" s="393"/>
      <c r="I22" s="393"/>
      <c r="J22" s="393"/>
      <c r="K22" s="393"/>
      <c r="L22" s="393"/>
      <c r="M22" s="393"/>
      <c r="N22" s="393"/>
      <c r="O22" s="393"/>
      <c r="P22" s="393"/>
      <c r="Q22" s="393"/>
      <c r="R22" s="394"/>
    </row>
    <row r="23" spans="2:18" x14ac:dyDescent="0.2">
      <c r="C23" s="32" t="s">
        <v>955</v>
      </c>
      <c r="D23" s="32" t="s">
        <v>956</v>
      </c>
      <c r="E23" s="32" t="s">
        <v>957</v>
      </c>
      <c r="F23" s="395">
        <v>0.115</v>
      </c>
      <c r="G23" s="395">
        <v>0.115</v>
      </c>
      <c r="H23" s="395">
        <v>0.115</v>
      </c>
      <c r="I23" s="395">
        <v>0.115</v>
      </c>
      <c r="J23" s="395">
        <v>0.115</v>
      </c>
      <c r="K23" s="395">
        <v>0.115</v>
      </c>
      <c r="L23" s="395">
        <v>0.115</v>
      </c>
      <c r="M23" s="395">
        <v>0.115</v>
      </c>
      <c r="N23" s="395">
        <v>0.115</v>
      </c>
      <c r="O23" s="395">
        <v>0.115</v>
      </c>
      <c r="P23" s="395">
        <v>0.115</v>
      </c>
      <c r="Q23" s="395">
        <v>0.115</v>
      </c>
      <c r="R23" s="394"/>
    </row>
    <row r="24" spans="2:18" x14ac:dyDescent="0.2">
      <c r="C24" s="32" t="s">
        <v>958</v>
      </c>
      <c r="D24" s="32" t="s">
        <v>959</v>
      </c>
      <c r="E24" s="32" t="s">
        <v>957</v>
      </c>
      <c r="F24" s="395">
        <v>0.17</v>
      </c>
      <c r="G24" s="395">
        <v>0.17</v>
      </c>
      <c r="H24" s="395">
        <v>0.17</v>
      </c>
      <c r="I24" s="395">
        <v>0.17</v>
      </c>
      <c r="J24" s="395">
        <v>0.17</v>
      </c>
      <c r="K24" s="395">
        <v>0.17</v>
      </c>
      <c r="L24" s="395">
        <v>0.17</v>
      </c>
      <c r="M24" s="395">
        <v>0.17</v>
      </c>
      <c r="N24" s="395">
        <v>0.17</v>
      </c>
      <c r="O24" s="395">
        <v>0.17</v>
      </c>
      <c r="P24" s="395">
        <v>0.17</v>
      </c>
      <c r="Q24" s="395">
        <v>0.17</v>
      </c>
      <c r="R24" s="394"/>
    </row>
    <row r="25" spans="2:18" x14ac:dyDescent="0.2">
      <c r="C25" s="32" t="s">
        <v>960</v>
      </c>
      <c r="D25" s="32" t="s">
        <v>961</v>
      </c>
      <c r="E25" s="32" t="s">
        <v>957</v>
      </c>
      <c r="F25" s="395">
        <v>0.34</v>
      </c>
      <c r="G25" s="395">
        <v>0.34</v>
      </c>
      <c r="H25" s="395">
        <v>0.34</v>
      </c>
      <c r="I25" s="395">
        <v>0.34</v>
      </c>
      <c r="J25" s="395">
        <v>0.34</v>
      </c>
      <c r="K25" s="395">
        <v>0.34</v>
      </c>
      <c r="L25" s="395">
        <v>0.34</v>
      </c>
      <c r="M25" s="395">
        <v>0.34</v>
      </c>
      <c r="N25" s="395">
        <v>0.34</v>
      </c>
      <c r="O25" s="395">
        <v>0.34</v>
      </c>
      <c r="P25" s="395">
        <v>0.34</v>
      </c>
      <c r="Q25" s="395">
        <v>0.34</v>
      </c>
      <c r="R25" s="394"/>
    </row>
    <row r="27" spans="2:18" x14ac:dyDescent="0.2">
      <c r="B27" s="32" t="s">
        <v>962</v>
      </c>
      <c r="F27" s="397"/>
      <c r="G27" s="397"/>
      <c r="H27" s="397"/>
      <c r="I27" s="397"/>
      <c r="J27" s="397"/>
      <c r="K27" s="397"/>
      <c r="L27" s="397"/>
      <c r="M27" s="397"/>
      <c r="N27" s="397"/>
      <c r="O27" s="397"/>
      <c r="P27" s="397"/>
      <c r="Q27" s="397"/>
      <c r="R27" s="398"/>
    </row>
    <row r="28" spans="2:18" x14ac:dyDescent="0.2">
      <c r="C28" s="32" t="s">
        <v>963</v>
      </c>
      <c r="D28" s="32" t="s">
        <v>956</v>
      </c>
      <c r="E28" s="32" t="s">
        <v>10</v>
      </c>
      <c r="F28" s="397">
        <f>'JKP-3.1c - Therms Data'!E80</f>
        <v>1613</v>
      </c>
      <c r="G28" s="397">
        <f>'JKP-3.1c - Therms Data'!F80</f>
        <v>1567</v>
      </c>
      <c r="H28" s="397">
        <f>'JKP-3.1c - Therms Data'!G80</f>
        <v>1488</v>
      </c>
      <c r="I28" s="397">
        <f>'JKP-3.1c - Therms Data'!H80</f>
        <v>984</v>
      </c>
      <c r="J28" s="397">
        <f>'JKP-3.1c - Therms Data'!I80</f>
        <v>503</v>
      </c>
      <c r="K28" s="397">
        <f>'JKP-3.1c - Therms Data'!J80</f>
        <v>241</v>
      </c>
      <c r="L28" s="397">
        <f>'JKP-3.1c - Therms Data'!K80</f>
        <v>153</v>
      </c>
      <c r="M28" s="397">
        <f>'JKP-3.1c - Therms Data'!L80</f>
        <v>137</v>
      </c>
      <c r="N28" s="397">
        <f>'JKP-3.1c - Therms Data'!M80</f>
        <v>186</v>
      </c>
      <c r="O28" s="397">
        <f>'JKP-3.1c - Therms Data'!N80</f>
        <v>561</v>
      </c>
      <c r="P28" s="397">
        <f>'JKP-3.1c - Therms Data'!O80</f>
        <v>1362</v>
      </c>
      <c r="Q28" s="397">
        <f>'JKP-3.1c - Therms Data'!P80</f>
        <v>2438</v>
      </c>
      <c r="R28" s="398">
        <f>SUM(F28:Q28)</f>
        <v>11233</v>
      </c>
    </row>
    <row r="29" spans="2:18" x14ac:dyDescent="0.2">
      <c r="C29" s="32" t="s">
        <v>964</v>
      </c>
      <c r="D29" s="32" t="s">
        <v>959</v>
      </c>
      <c r="E29" s="32" t="s">
        <v>10</v>
      </c>
      <c r="F29" s="397">
        <f>'JKP-3.1c - Therms Data'!E81</f>
        <v>90040</v>
      </c>
      <c r="G29" s="397">
        <f>'JKP-3.1c - Therms Data'!F81</f>
        <v>77350</v>
      </c>
      <c r="H29" s="397">
        <f>'JKP-3.1c - Therms Data'!G81</f>
        <v>84133</v>
      </c>
      <c r="I29" s="397">
        <f>'JKP-3.1c - Therms Data'!H81</f>
        <v>68541</v>
      </c>
      <c r="J29" s="397">
        <f>'JKP-3.1c - Therms Data'!I81</f>
        <v>53254</v>
      </c>
      <c r="K29" s="397">
        <f>'JKP-3.1c - Therms Data'!J81</f>
        <v>40484</v>
      </c>
      <c r="L29" s="397">
        <f>'JKP-3.1c - Therms Data'!K81</f>
        <v>28993</v>
      </c>
      <c r="M29" s="397">
        <f>'JKP-3.1c - Therms Data'!L81</f>
        <v>25539</v>
      </c>
      <c r="N29" s="397">
        <f>'JKP-3.1c - Therms Data'!M81</f>
        <v>29017</v>
      </c>
      <c r="O29" s="397">
        <f>'JKP-3.1c - Therms Data'!N81</f>
        <v>44751</v>
      </c>
      <c r="P29" s="397">
        <f>'JKP-3.1c - Therms Data'!O81</f>
        <v>85854</v>
      </c>
      <c r="Q29" s="397">
        <f>'JKP-3.1c - Therms Data'!P81</f>
        <v>115761</v>
      </c>
      <c r="R29" s="398">
        <f>SUM(F29:Q29)</f>
        <v>743717</v>
      </c>
    </row>
    <row r="30" spans="2:18" x14ac:dyDescent="0.2">
      <c r="C30" s="336" t="s">
        <v>965</v>
      </c>
      <c r="D30" s="32" t="s">
        <v>961</v>
      </c>
      <c r="E30" s="32" t="s">
        <v>10</v>
      </c>
      <c r="F30" s="397">
        <f>'JKP-3.1c - Therms Data'!E83</f>
        <v>23084</v>
      </c>
      <c r="G30" s="397">
        <f>'JKP-3.1c - Therms Data'!F83</f>
        <v>18928</v>
      </c>
      <c r="H30" s="397">
        <f>'JKP-3.1c - Therms Data'!G83</f>
        <v>22085</v>
      </c>
      <c r="I30" s="397">
        <f>'JKP-3.1c - Therms Data'!H83</f>
        <v>21441</v>
      </c>
      <c r="J30" s="397">
        <f>'JKP-3.1c - Therms Data'!I83</f>
        <v>22069</v>
      </c>
      <c r="K30" s="397">
        <f>'JKP-3.1c - Therms Data'!J83</f>
        <v>20208</v>
      </c>
      <c r="L30" s="397">
        <f>'JKP-3.1c - Therms Data'!K83</f>
        <v>18629</v>
      </c>
      <c r="M30" s="397">
        <f>'JKP-3.1c - Therms Data'!L83</f>
        <v>19441</v>
      </c>
      <c r="N30" s="397">
        <f>'JKP-3.1c - Therms Data'!M83</f>
        <v>20934</v>
      </c>
      <c r="O30" s="397">
        <f>'JKP-3.1c - Therms Data'!N83</f>
        <v>25165</v>
      </c>
      <c r="P30" s="397">
        <f>'JKP-3.1c - Therms Data'!O83</f>
        <v>30224</v>
      </c>
      <c r="Q30" s="397">
        <f>'JKP-3.1c - Therms Data'!P83</f>
        <v>34221</v>
      </c>
      <c r="R30" s="398">
        <f>SUM(F30:Q30)</f>
        <v>276429</v>
      </c>
    </row>
    <row r="31" spans="2:18" x14ac:dyDescent="0.2">
      <c r="R31" s="277"/>
    </row>
    <row r="32" spans="2:18" x14ac:dyDescent="0.2">
      <c r="B32" s="32" t="s">
        <v>966</v>
      </c>
      <c r="F32" s="364">
        <f>F23*F28+F24*F29+F25*F30</f>
        <v>23340.855000000003</v>
      </c>
      <c r="G32" s="364">
        <f t="shared" ref="G32:Q32" si="1">G23*G28+G24*G29+G25*G30</f>
        <v>19765.225000000002</v>
      </c>
      <c r="H32" s="364">
        <f t="shared" si="1"/>
        <v>21982.63</v>
      </c>
      <c r="I32" s="364">
        <f t="shared" si="1"/>
        <v>19055.07</v>
      </c>
      <c r="J32" s="364">
        <f t="shared" si="1"/>
        <v>16614.485000000001</v>
      </c>
      <c r="K32" s="364">
        <f t="shared" si="1"/>
        <v>13780.715</v>
      </c>
      <c r="L32" s="364">
        <f t="shared" si="1"/>
        <v>11280.265000000001</v>
      </c>
      <c r="M32" s="364">
        <f t="shared" si="1"/>
        <v>10967.325000000001</v>
      </c>
      <c r="N32" s="364">
        <f t="shared" si="1"/>
        <v>12071.84</v>
      </c>
      <c r="O32" s="364">
        <f t="shared" si="1"/>
        <v>16228.285000000002</v>
      </c>
      <c r="P32" s="364">
        <f t="shared" si="1"/>
        <v>25027.97</v>
      </c>
      <c r="Q32" s="364">
        <f t="shared" si="1"/>
        <v>31594.880000000005</v>
      </c>
      <c r="R32" s="341">
        <f>SUM(F32:Q32)</f>
        <v>221709.54500000001</v>
      </c>
    </row>
    <row r="33" spans="2:18" x14ac:dyDescent="0.2">
      <c r="B33" s="336"/>
      <c r="C33" s="336"/>
      <c r="D33" s="336"/>
      <c r="E33" s="336"/>
      <c r="F33" s="336"/>
      <c r="G33" s="336"/>
      <c r="H33" s="336"/>
      <c r="I33" s="336"/>
      <c r="J33" s="336"/>
      <c r="K33" s="336"/>
      <c r="L33" s="336"/>
      <c r="M33" s="336"/>
      <c r="N33" s="336"/>
      <c r="O33" s="336"/>
      <c r="P33" s="336"/>
      <c r="Q33" s="336"/>
      <c r="R33" s="336"/>
    </row>
    <row r="34" spans="2:18" x14ac:dyDescent="0.2">
      <c r="B34" s="276" t="s">
        <v>968</v>
      </c>
      <c r="C34" s="276"/>
    </row>
    <row r="35" spans="2:18" x14ac:dyDescent="0.2">
      <c r="B35" s="32" t="s">
        <v>954</v>
      </c>
      <c r="F35" s="393"/>
      <c r="G35" s="393"/>
      <c r="H35" s="393"/>
      <c r="I35" s="393"/>
      <c r="J35" s="393"/>
      <c r="K35" s="393"/>
      <c r="L35" s="393"/>
      <c r="M35" s="393"/>
      <c r="N35" s="393"/>
      <c r="O35" s="393"/>
      <c r="P35" s="393"/>
      <c r="Q35" s="393"/>
      <c r="R35" s="394"/>
    </row>
    <row r="36" spans="2:18" x14ac:dyDescent="0.2">
      <c r="C36" s="32" t="s">
        <v>955</v>
      </c>
      <c r="D36" s="32" t="s">
        <v>956</v>
      </c>
      <c r="E36" s="32" t="s">
        <v>957</v>
      </c>
      <c r="F36" s="395">
        <v>0.115</v>
      </c>
      <c r="G36" s="395">
        <v>0.115</v>
      </c>
      <c r="H36" s="395">
        <v>0.115</v>
      </c>
      <c r="I36" s="395">
        <v>0.115</v>
      </c>
      <c r="J36" s="395">
        <v>0.115</v>
      </c>
      <c r="K36" s="395">
        <v>0.115</v>
      </c>
      <c r="L36" s="395">
        <v>0.115</v>
      </c>
      <c r="M36" s="395">
        <v>0.115</v>
      </c>
      <c r="N36" s="395">
        <v>0.115</v>
      </c>
      <c r="O36" s="395">
        <v>0.115</v>
      </c>
      <c r="P36" s="395">
        <v>0.115</v>
      </c>
      <c r="Q36" s="395">
        <v>0.115</v>
      </c>
      <c r="R36" s="394"/>
    </row>
    <row r="37" spans="2:18" x14ac:dyDescent="0.2">
      <c r="C37" s="32" t="s">
        <v>958</v>
      </c>
      <c r="D37" s="32" t="s">
        <v>969</v>
      </c>
      <c r="E37" s="32" t="s">
        <v>957</v>
      </c>
      <c r="F37" s="395">
        <v>0.17</v>
      </c>
      <c r="G37" s="395">
        <v>0.17</v>
      </c>
      <c r="H37" s="395">
        <v>0.17</v>
      </c>
      <c r="I37" s="395">
        <v>0.17</v>
      </c>
      <c r="J37" s="395">
        <v>0.17</v>
      </c>
      <c r="K37" s="395">
        <v>0.17</v>
      </c>
      <c r="L37" s="395">
        <v>0.17</v>
      </c>
      <c r="M37" s="395">
        <v>0.17</v>
      </c>
      <c r="N37" s="395">
        <v>0.17</v>
      </c>
      <c r="O37" s="395">
        <v>0.17</v>
      </c>
      <c r="P37" s="395">
        <v>0.17</v>
      </c>
      <c r="Q37" s="395">
        <v>0.17</v>
      </c>
      <c r="R37" s="394"/>
    </row>
    <row r="39" spans="2:18" x14ac:dyDescent="0.2">
      <c r="B39" s="32" t="s">
        <v>962</v>
      </c>
    </row>
    <row r="40" spans="2:18" x14ac:dyDescent="0.2">
      <c r="C40" s="32" t="s">
        <v>963</v>
      </c>
      <c r="D40" s="32" t="s">
        <v>956</v>
      </c>
      <c r="E40" s="32" t="s">
        <v>10</v>
      </c>
      <c r="F40" s="399">
        <v>0</v>
      </c>
      <c r="G40" s="399">
        <v>0</v>
      </c>
      <c r="H40" s="399">
        <v>0</v>
      </c>
      <c r="I40" s="399">
        <v>0</v>
      </c>
      <c r="J40" s="399">
        <v>0</v>
      </c>
      <c r="K40" s="399">
        <v>0</v>
      </c>
      <c r="L40" s="399">
        <v>0</v>
      </c>
      <c r="M40" s="399">
        <v>0</v>
      </c>
      <c r="N40" s="399">
        <v>0</v>
      </c>
      <c r="O40" s="399">
        <v>0</v>
      </c>
      <c r="P40" s="399">
        <v>0</v>
      </c>
      <c r="Q40" s="399">
        <v>0</v>
      </c>
      <c r="R40" s="398">
        <f>SUM(F40:Q40)</f>
        <v>0</v>
      </c>
    </row>
    <row r="41" spans="2:18" x14ac:dyDescent="0.2">
      <c r="C41" s="32" t="s">
        <v>964</v>
      </c>
      <c r="D41" s="32" t="s">
        <v>969</v>
      </c>
      <c r="E41" s="32" t="s">
        <v>10</v>
      </c>
      <c r="F41" s="397">
        <f>'JKP-3.1c - Therms Data'!E82</f>
        <v>23552</v>
      </c>
      <c r="G41" s="397">
        <f>'JKP-3.1c - Therms Data'!F82</f>
        <v>13642</v>
      </c>
      <c r="H41" s="397">
        <f>'JKP-3.1c - Therms Data'!G82</f>
        <v>13077</v>
      </c>
      <c r="I41" s="397">
        <f>'JKP-3.1c - Therms Data'!H82</f>
        <v>13279</v>
      </c>
      <c r="J41" s="397">
        <f>'JKP-3.1c - Therms Data'!I82</f>
        <v>7561</v>
      </c>
      <c r="K41" s="397">
        <f>'JKP-3.1c - Therms Data'!J82</f>
        <v>4802</v>
      </c>
      <c r="L41" s="397">
        <f>'JKP-3.1c - Therms Data'!K82</f>
        <v>2081</v>
      </c>
      <c r="M41" s="397">
        <f>'JKP-3.1c - Therms Data'!L82</f>
        <v>2653</v>
      </c>
      <c r="N41" s="397">
        <f>'JKP-3.1c - Therms Data'!M82</f>
        <v>4259</v>
      </c>
      <c r="O41" s="397">
        <f>'JKP-3.1c - Therms Data'!N82</f>
        <v>9193</v>
      </c>
      <c r="P41" s="397">
        <f>'JKP-3.1c - Therms Data'!O82</f>
        <v>17831</v>
      </c>
      <c r="Q41" s="397">
        <f>'JKP-3.1c - Therms Data'!P82</f>
        <v>24467</v>
      </c>
      <c r="R41" s="398">
        <f>SUM(F41:Q41)</f>
        <v>136397</v>
      </c>
    </row>
    <row r="42" spans="2:18" x14ac:dyDescent="0.2">
      <c r="R42" s="277"/>
    </row>
    <row r="43" spans="2:18" x14ac:dyDescent="0.2">
      <c r="B43" s="32" t="s">
        <v>966</v>
      </c>
      <c r="F43" s="364">
        <f t="shared" ref="F43:Q43" si="2">F36*F40+F37*F41</f>
        <v>4003.84</v>
      </c>
      <c r="G43" s="364">
        <f t="shared" si="2"/>
        <v>2319.1400000000003</v>
      </c>
      <c r="H43" s="364">
        <f t="shared" si="2"/>
        <v>2223.09</v>
      </c>
      <c r="I43" s="364">
        <f t="shared" si="2"/>
        <v>2257.4300000000003</v>
      </c>
      <c r="J43" s="364">
        <f t="shared" si="2"/>
        <v>1285.3700000000001</v>
      </c>
      <c r="K43" s="364">
        <f t="shared" si="2"/>
        <v>816.34</v>
      </c>
      <c r="L43" s="364">
        <f t="shared" si="2"/>
        <v>353.77000000000004</v>
      </c>
      <c r="M43" s="364">
        <f t="shared" si="2"/>
        <v>451.01000000000005</v>
      </c>
      <c r="N43" s="364">
        <f t="shared" si="2"/>
        <v>724.03000000000009</v>
      </c>
      <c r="O43" s="364">
        <f t="shared" si="2"/>
        <v>1562.8100000000002</v>
      </c>
      <c r="P43" s="364">
        <f t="shared" si="2"/>
        <v>3031.2700000000004</v>
      </c>
      <c r="Q43" s="364">
        <f t="shared" si="2"/>
        <v>4159.3900000000003</v>
      </c>
      <c r="R43" s="341">
        <f>SUM(F43:Q43)</f>
        <v>23187.49</v>
      </c>
    </row>
    <row r="45" spans="2:18" x14ac:dyDescent="0.2">
      <c r="B45" s="276" t="s">
        <v>970</v>
      </c>
      <c r="C45" s="276"/>
    </row>
    <row r="46" spans="2:18" x14ac:dyDescent="0.2">
      <c r="B46" s="32" t="s">
        <v>954</v>
      </c>
      <c r="F46" s="393"/>
      <c r="G46" s="393"/>
      <c r="H46" s="393"/>
      <c r="I46" s="393"/>
      <c r="J46" s="393"/>
      <c r="K46" s="393"/>
      <c r="L46" s="393"/>
      <c r="M46" s="393"/>
      <c r="N46" s="393"/>
      <c r="O46" s="393"/>
      <c r="P46" s="393"/>
      <c r="Q46" s="393"/>
      <c r="R46" s="394"/>
    </row>
    <row r="47" spans="2:18" x14ac:dyDescent="0.2">
      <c r="C47" s="32" t="s">
        <v>955</v>
      </c>
      <c r="D47" s="32" t="s">
        <v>956</v>
      </c>
      <c r="E47" s="32" t="s">
        <v>957</v>
      </c>
      <c r="F47" s="395">
        <v>0.115</v>
      </c>
      <c r="G47" s="395">
        <v>0.115</v>
      </c>
      <c r="H47" s="395">
        <v>0.115</v>
      </c>
      <c r="I47" s="395">
        <v>0.115</v>
      </c>
      <c r="J47" s="395">
        <v>0.115</v>
      </c>
      <c r="K47" s="395">
        <v>0.115</v>
      </c>
      <c r="L47" s="395">
        <v>0.115</v>
      </c>
      <c r="M47" s="395">
        <v>0.115</v>
      </c>
      <c r="N47" s="395">
        <v>0.115</v>
      </c>
      <c r="O47" s="395">
        <v>0.115</v>
      </c>
      <c r="P47" s="395">
        <v>0.115</v>
      </c>
      <c r="Q47" s="395">
        <v>0.115</v>
      </c>
      <c r="R47" s="394"/>
    </row>
    <row r="48" spans="2:18" x14ac:dyDescent="0.2">
      <c r="C48" s="32" t="s">
        <v>958</v>
      </c>
      <c r="D48" s="32" t="s">
        <v>959</v>
      </c>
      <c r="E48" s="32" t="s">
        <v>957</v>
      </c>
      <c r="F48" s="395">
        <v>0.17</v>
      </c>
      <c r="G48" s="395">
        <v>0.17</v>
      </c>
      <c r="H48" s="395">
        <v>0.17</v>
      </c>
      <c r="I48" s="395">
        <v>0.17</v>
      </c>
      <c r="J48" s="395">
        <v>0.17</v>
      </c>
      <c r="K48" s="395">
        <v>0.17</v>
      </c>
      <c r="L48" s="395">
        <v>0.17</v>
      </c>
      <c r="M48" s="395">
        <v>0.17</v>
      </c>
      <c r="N48" s="395">
        <v>0.17</v>
      </c>
      <c r="O48" s="395">
        <v>0.17</v>
      </c>
      <c r="P48" s="395">
        <v>0.17</v>
      </c>
      <c r="Q48" s="395">
        <v>0.17</v>
      </c>
      <c r="R48" s="394"/>
    </row>
    <row r="50" spans="2:18" x14ac:dyDescent="0.2">
      <c r="B50" s="32" t="s">
        <v>76</v>
      </c>
      <c r="F50" s="397"/>
      <c r="G50" s="397"/>
      <c r="H50" s="397"/>
      <c r="I50" s="397"/>
      <c r="J50" s="397"/>
      <c r="K50" s="397"/>
      <c r="L50" s="397"/>
      <c r="M50" s="397"/>
      <c r="N50" s="397"/>
      <c r="O50" s="397"/>
      <c r="P50" s="397"/>
      <c r="Q50" s="397"/>
      <c r="R50" s="398"/>
    </row>
    <row r="51" spans="2:18" x14ac:dyDescent="0.2">
      <c r="C51" s="32" t="s">
        <v>963</v>
      </c>
      <c r="D51" s="32" t="s">
        <v>956</v>
      </c>
      <c r="E51" s="32" t="s">
        <v>10</v>
      </c>
      <c r="F51" s="397">
        <f>'JKP-3.1c - Therms Data'!E98</f>
        <v>0</v>
      </c>
      <c r="G51" s="397">
        <f>'JKP-3.1c - Therms Data'!F98</f>
        <v>0</v>
      </c>
      <c r="H51" s="397">
        <f>'JKP-3.1c - Therms Data'!G98</f>
        <v>0</v>
      </c>
      <c r="I51" s="397">
        <f>'JKP-3.1c - Therms Data'!H98</f>
        <v>0</v>
      </c>
      <c r="J51" s="397">
        <f>'JKP-3.1c - Therms Data'!I98</f>
        <v>0</v>
      </c>
      <c r="K51" s="397">
        <f>'JKP-3.1c - Therms Data'!J98</f>
        <v>0</v>
      </c>
      <c r="L51" s="397">
        <f>'JKP-3.1c - Therms Data'!K98</f>
        <v>0</v>
      </c>
      <c r="M51" s="397">
        <f>'JKP-3.1c - Therms Data'!L98</f>
        <v>0</v>
      </c>
      <c r="N51" s="397">
        <f>'JKP-3.1c - Therms Data'!M98</f>
        <v>0</v>
      </c>
      <c r="O51" s="397">
        <f>'JKP-3.1c - Therms Data'!N98</f>
        <v>0</v>
      </c>
      <c r="P51" s="397">
        <f>'JKP-3.1c - Therms Data'!O98</f>
        <v>0</v>
      </c>
      <c r="Q51" s="397">
        <f>'JKP-3.1c - Therms Data'!P98</f>
        <v>0</v>
      </c>
      <c r="R51" s="398">
        <f>SUM(F51:Q51)</f>
        <v>0</v>
      </c>
    </row>
    <row r="52" spans="2:18" x14ac:dyDescent="0.2">
      <c r="C52" s="32" t="s">
        <v>964</v>
      </c>
      <c r="D52" s="32" t="s">
        <v>959</v>
      </c>
      <c r="E52" s="32" t="s">
        <v>10</v>
      </c>
      <c r="F52" s="397">
        <f>'JKP-3.1c - Therms Data'!E99</f>
        <v>6271</v>
      </c>
      <c r="G52" s="397">
        <f>'JKP-3.1c - Therms Data'!F99</f>
        <v>5087</v>
      </c>
      <c r="H52" s="397">
        <f>'JKP-3.1c - Therms Data'!G99</f>
        <v>4199</v>
      </c>
      <c r="I52" s="397">
        <f>'JKP-3.1c - Therms Data'!H99</f>
        <v>3196</v>
      </c>
      <c r="J52" s="397">
        <f>'JKP-3.1c - Therms Data'!I99</f>
        <v>2127</v>
      </c>
      <c r="K52" s="397">
        <f>'JKP-3.1c - Therms Data'!J99</f>
        <v>721</v>
      </c>
      <c r="L52" s="397">
        <f>'JKP-3.1c - Therms Data'!K99</f>
        <v>0</v>
      </c>
      <c r="M52" s="397">
        <f>'JKP-3.1c - Therms Data'!L99</f>
        <v>0</v>
      </c>
      <c r="N52" s="397">
        <f>'JKP-3.1c - Therms Data'!M99</f>
        <v>0</v>
      </c>
      <c r="O52" s="397">
        <f>'JKP-3.1c - Therms Data'!N99</f>
        <v>2832</v>
      </c>
      <c r="P52" s="397">
        <f>'JKP-3.1c - Therms Data'!O99</f>
        <v>4514</v>
      </c>
      <c r="Q52" s="397">
        <f>'JKP-3.1c - Therms Data'!P99</f>
        <v>6615</v>
      </c>
      <c r="R52" s="398">
        <f>SUM(F52:Q52)</f>
        <v>35562</v>
      </c>
    </row>
    <row r="53" spans="2:18" x14ac:dyDescent="0.2">
      <c r="R53" s="277"/>
    </row>
    <row r="54" spans="2:18" x14ac:dyDescent="0.2">
      <c r="B54" s="32" t="s">
        <v>966</v>
      </c>
      <c r="F54" s="364">
        <f t="shared" ref="F54:Q54" si="3">F47*F51+F48*F52</f>
        <v>1066.0700000000002</v>
      </c>
      <c r="G54" s="364">
        <f t="shared" si="3"/>
        <v>864.79000000000008</v>
      </c>
      <c r="H54" s="364">
        <f t="shared" si="3"/>
        <v>713.83</v>
      </c>
      <c r="I54" s="364">
        <f t="shared" si="3"/>
        <v>543.32000000000005</v>
      </c>
      <c r="J54" s="364">
        <f t="shared" si="3"/>
        <v>361.59000000000003</v>
      </c>
      <c r="K54" s="364">
        <f t="shared" si="3"/>
        <v>122.57000000000001</v>
      </c>
      <c r="L54" s="364">
        <f t="shared" si="3"/>
        <v>0</v>
      </c>
      <c r="M54" s="364">
        <f t="shared" si="3"/>
        <v>0</v>
      </c>
      <c r="N54" s="364">
        <f t="shared" si="3"/>
        <v>0</v>
      </c>
      <c r="O54" s="364">
        <f t="shared" si="3"/>
        <v>481.44000000000005</v>
      </c>
      <c r="P54" s="364">
        <f t="shared" si="3"/>
        <v>767.38000000000011</v>
      </c>
      <c r="Q54" s="364">
        <f t="shared" si="3"/>
        <v>1124.5500000000002</v>
      </c>
      <c r="R54" s="341">
        <f>SUM(F54:Q54)</f>
        <v>6045.5400000000009</v>
      </c>
    </row>
    <row r="55" spans="2:18" x14ac:dyDescent="0.2">
      <c r="B55" s="336"/>
      <c r="C55" s="336"/>
      <c r="D55" s="336"/>
      <c r="E55" s="336"/>
      <c r="F55" s="336"/>
      <c r="G55" s="336"/>
      <c r="H55" s="336"/>
      <c r="I55" s="336"/>
      <c r="J55" s="336"/>
      <c r="K55" s="336"/>
      <c r="L55" s="336"/>
      <c r="M55" s="336"/>
      <c r="N55" s="336"/>
      <c r="O55" s="336"/>
      <c r="P55" s="336"/>
      <c r="Q55" s="336"/>
      <c r="R55" s="336"/>
    </row>
    <row r="56" spans="2:18" x14ac:dyDescent="0.2">
      <c r="B56" s="32" t="s">
        <v>971</v>
      </c>
      <c r="F56" s="400">
        <f t="shared" ref="F56:Q56" si="4">F19+F32+F43+F54</f>
        <v>151968.70000000001</v>
      </c>
      <c r="G56" s="400">
        <f t="shared" si="4"/>
        <v>121460.595</v>
      </c>
      <c r="H56" s="400">
        <f t="shared" si="4"/>
        <v>123884.69500000001</v>
      </c>
      <c r="I56" s="400">
        <f t="shared" si="4"/>
        <v>99172.359999999986</v>
      </c>
      <c r="J56" s="400">
        <f t="shared" si="4"/>
        <v>74602.294999999984</v>
      </c>
      <c r="K56" s="400">
        <f t="shared" si="4"/>
        <v>52044.479999999989</v>
      </c>
      <c r="L56" s="400">
        <f t="shared" si="4"/>
        <v>38487.96</v>
      </c>
      <c r="M56" s="400">
        <f t="shared" si="4"/>
        <v>37093.720000000008</v>
      </c>
      <c r="N56" s="400">
        <f t="shared" si="4"/>
        <v>44267.345000000001</v>
      </c>
      <c r="O56" s="400">
        <f t="shared" si="4"/>
        <v>80313.88</v>
      </c>
      <c r="P56" s="400">
        <f t="shared" si="4"/>
        <v>146175.54500000001</v>
      </c>
      <c r="Q56" s="400">
        <f t="shared" si="4"/>
        <v>186618.36000000002</v>
      </c>
      <c r="R56" s="400">
        <f>R19+R32+R43+R54</f>
        <v>1156089.9350000001</v>
      </c>
    </row>
    <row r="57" spans="2:18" ht="13.5" thickBot="1" x14ac:dyDescent="0.25"/>
    <row r="58" spans="2:18" x14ac:dyDescent="0.2">
      <c r="B58" s="401" t="s">
        <v>954</v>
      </c>
      <c r="C58" s="402"/>
      <c r="D58" s="402"/>
      <c r="E58" s="402"/>
      <c r="F58" s="403"/>
      <c r="G58" s="403"/>
      <c r="H58" s="403"/>
      <c r="I58" s="403"/>
      <c r="J58" s="403"/>
      <c r="K58" s="403"/>
      <c r="L58" s="403"/>
      <c r="M58" s="403"/>
      <c r="N58" s="403"/>
      <c r="O58" s="403"/>
      <c r="P58" s="403"/>
      <c r="Q58" s="403"/>
      <c r="R58" s="404"/>
    </row>
    <row r="59" spans="2:18" x14ac:dyDescent="0.2">
      <c r="B59" s="405" t="s">
        <v>972</v>
      </c>
      <c r="C59" s="390"/>
      <c r="D59" s="390"/>
      <c r="E59" s="390"/>
      <c r="F59" s="406">
        <f>SUM('JKP-3.1c - Therms Data'!E64:E65,'JKP-3.1c - Therms Data'!E80:E82,'JKP-3.1c - Therms Data'!E98:E99)</f>
        <v>760502</v>
      </c>
      <c r="G59" s="406">
        <f>SUM('JKP-3.1c - Therms Data'!F64:F65,'JKP-3.1c - Therms Data'!F80:F82,'JKP-3.1c - Therms Data'!F98:F99)</f>
        <v>616177</v>
      </c>
      <c r="H59" s="406">
        <f>SUM('JKP-3.1c - Therms Data'!G64:G65,'JKP-3.1c - Therms Data'!G80:G82,'JKP-3.1c - Therms Data'!G98:G99)</f>
        <v>627318</v>
      </c>
      <c r="I59" s="406">
        <f>SUM('JKP-3.1c - Therms Data'!H64:H65,'JKP-3.1c - Therms Data'!H80:H82,'JKP-3.1c - Therms Data'!H98:H99)</f>
        <v>498101</v>
      </c>
      <c r="J59" s="406">
        <f>SUM('JKP-3.1c - Therms Data'!I64:I65,'JKP-3.1c - Therms Data'!I80:I82,'JKP-3.1c - Therms Data'!I98:I99)</f>
        <v>364640</v>
      </c>
      <c r="K59" s="406">
        <f>SUM('JKP-3.1c - Therms Data'!J64:J65,'JKP-3.1c - Therms Data'!J80:J82,'JKP-3.1c - Therms Data'!J98:J99)</f>
        <v>247075</v>
      </c>
      <c r="L59" s="406">
        <f>SUM('JKP-3.1c - Therms Data'!K64:K65,'JKP-3.1c - Therms Data'!K80:K82,'JKP-3.1c - Therms Data'!K98:K99)</f>
        <v>174987</v>
      </c>
      <c r="M59" s="406">
        <f>SUM('JKP-3.1c - Therms Data'!L64:L65,'JKP-3.1c - Therms Data'!L80:L82,'JKP-3.1c - Therms Data'!L98:L99)</f>
        <v>164902</v>
      </c>
      <c r="N59" s="406">
        <f>SUM('JKP-3.1c - Therms Data'!M64:M65,'JKP-3.1c - Therms Data'!M80:M82,'JKP-3.1c - Therms Data'!M98:M99)</f>
        <v>202371</v>
      </c>
      <c r="O59" s="406">
        <f>SUM('JKP-3.1c - Therms Data'!N64:N65,'JKP-3.1c - Therms Data'!N80:N82,'JKP-3.1c - Therms Data'!N98:N99)</f>
        <v>389572</v>
      </c>
      <c r="P59" s="406">
        <f>SUM('JKP-3.1c - Therms Data'!O64:O65,'JKP-3.1c - Therms Data'!O80:O82,'JKP-3.1c - Therms Data'!O98:O99)</f>
        <v>722151</v>
      </c>
      <c r="Q59" s="406">
        <f>SUM('JKP-3.1c - Therms Data'!P64:P65,'JKP-3.1c - Therms Data'!P80:P82,'JKP-3.1c - Therms Data'!P98:P99)</f>
        <v>923727</v>
      </c>
      <c r="R59" s="407">
        <f>SUM('JKP-3.1c - Therms Data'!Q64:Q65,'JKP-3.1c - Therms Data'!Q80:Q82,'JKP-3.1c - Therms Data'!Q98:Q99)</f>
        <v>5691523</v>
      </c>
    </row>
    <row r="60" spans="2:18" ht="13.5" thickBot="1" x14ac:dyDescent="0.25">
      <c r="B60" s="408" t="s">
        <v>131</v>
      </c>
      <c r="C60" s="409"/>
      <c r="D60" s="409"/>
      <c r="E60" s="409"/>
      <c r="F60" s="410">
        <f t="shared" ref="F60:R60" si="5">F15+F16+F28+F29+F51+F52+F40+F41-F59</f>
        <v>0</v>
      </c>
      <c r="G60" s="410">
        <f t="shared" si="5"/>
        <v>0</v>
      </c>
      <c r="H60" s="410">
        <f t="shared" si="5"/>
        <v>0</v>
      </c>
      <c r="I60" s="410">
        <f t="shared" si="5"/>
        <v>0</v>
      </c>
      <c r="J60" s="410">
        <f t="shared" si="5"/>
        <v>0</v>
      </c>
      <c r="K60" s="410">
        <f t="shared" si="5"/>
        <v>0</v>
      </c>
      <c r="L60" s="410">
        <f t="shared" si="5"/>
        <v>0</v>
      </c>
      <c r="M60" s="410">
        <f t="shared" si="5"/>
        <v>0</v>
      </c>
      <c r="N60" s="410">
        <f t="shared" si="5"/>
        <v>0</v>
      </c>
      <c r="O60" s="410">
        <f t="shared" si="5"/>
        <v>0</v>
      </c>
      <c r="P60" s="410">
        <f t="shared" si="5"/>
        <v>0</v>
      </c>
      <c r="Q60" s="410">
        <f t="shared" si="5"/>
        <v>0</v>
      </c>
      <c r="R60" s="411">
        <f t="shared" si="5"/>
        <v>0</v>
      </c>
    </row>
    <row r="61" spans="2:18" x14ac:dyDescent="0.2">
      <c r="B61" s="390"/>
      <c r="C61" s="390"/>
      <c r="D61" s="390"/>
      <c r="E61" s="390"/>
      <c r="F61" s="412"/>
      <c r="G61" s="412"/>
      <c r="H61" s="412"/>
      <c r="I61" s="412"/>
      <c r="J61" s="412"/>
      <c r="K61" s="412"/>
      <c r="L61" s="412"/>
      <c r="M61" s="412"/>
      <c r="N61" s="412"/>
      <c r="O61" s="412"/>
      <c r="P61" s="412"/>
      <c r="Q61" s="412"/>
    </row>
    <row r="64" spans="2:18" x14ac:dyDescent="0.2">
      <c r="F64" s="413"/>
      <c r="G64" s="413"/>
      <c r="H64" s="413"/>
      <c r="I64" s="413"/>
      <c r="J64" s="413"/>
      <c r="K64" s="413"/>
      <c r="L64" s="413"/>
      <c r="M64" s="413"/>
      <c r="N64" s="413"/>
      <c r="O64" s="413"/>
      <c r="P64" s="413"/>
      <c r="Q64" s="413"/>
    </row>
  </sheetData>
  <pageMargins left="0.7" right="0.7" top="0.75" bottom="0.75" header="0.3" footer="0.3"/>
  <pageSetup orientation="portrait" r:id="rId1"/>
  <rowBreaks count="1" manualBreakCount="1">
    <brk id="6" min="1" max="1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U100"/>
  <sheetViews>
    <sheetView workbookViewId="0">
      <selection activeCell="C35" sqref="C35"/>
    </sheetView>
  </sheetViews>
  <sheetFormatPr defaultRowHeight="12.75" x14ac:dyDescent="0.2"/>
  <cols>
    <col min="1" max="1" width="2" style="32" customWidth="1"/>
    <col min="2" max="2" width="1.42578125" style="32" customWidth="1"/>
    <col min="3" max="3" width="32" style="32" customWidth="1"/>
    <col min="4" max="4" width="12" style="32" bestFit="1" customWidth="1"/>
    <col min="5" max="5" width="10.140625" style="32" customWidth="1"/>
    <col min="6" max="17" width="10.85546875" style="32" customWidth="1"/>
    <col min="18" max="18" width="12" style="32" customWidth="1"/>
    <col min="19" max="19" width="14.5703125" style="390" bestFit="1" customWidth="1"/>
    <col min="20" max="20" width="14.5703125" style="32" bestFit="1" customWidth="1"/>
    <col min="21" max="16384" width="9.140625" style="32"/>
  </cols>
  <sheetData>
    <row r="1" spans="2:18" x14ac:dyDescent="0.2">
      <c r="B1" s="385" t="str">
        <f>'JKP-3.1c - Revenue'!$B$1</f>
        <v>Puget Sound Energy</v>
      </c>
      <c r="C1" s="386"/>
      <c r="D1" s="387"/>
      <c r="E1" s="387"/>
      <c r="F1" s="387"/>
      <c r="G1" s="386"/>
      <c r="H1" s="386"/>
      <c r="I1" s="386"/>
      <c r="J1" s="386"/>
      <c r="K1" s="386"/>
      <c r="L1" s="386"/>
      <c r="M1" s="386"/>
      <c r="N1" s="386"/>
      <c r="O1" s="386"/>
      <c r="P1" s="386"/>
      <c r="Q1" s="386"/>
      <c r="R1" s="386"/>
    </row>
    <row r="2" spans="2:18" x14ac:dyDescent="0.2">
      <c r="B2" s="385" t="str">
        <f>'JKP-3.1c - Revenue'!$B$2</f>
        <v>2011 General Rate Case - Gas</v>
      </c>
      <c r="C2" s="386"/>
      <c r="D2" s="386"/>
      <c r="E2" s="386"/>
      <c r="F2" s="388"/>
      <c r="G2" s="386"/>
      <c r="H2" s="386"/>
      <c r="I2" s="386"/>
      <c r="J2" s="386"/>
      <c r="K2" s="386"/>
      <c r="L2" s="386"/>
      <c r="M2" s="386"/>
      <c r="N2" s="386"/>
      <c r="O2" s="386"/>
      <c r="P2" s="386"/>
      <c r="Q2" s="386"/>
      <c r="R2" s="386"/>
    </row>
    <row r="3" spans="2:18" x14ac:dyDescent="0.2">
      <c r="B3" s="386" t="s">
        <v>973</v>
      </c>
      <c r="C3" s="386"/>
      <c r="D3" s="386"/>
      <c r="E3" s="386"/>
      <c r="F3" s="389"/>
      <c r="G3" s="389"/>
      <c r="H3" s="389"/>
      <c r="I3" s="389"/>
      <c r="J3" s="389"/>
      <c r="K3" s="389"/>
      <c r="L3" s="389"/>
      <c r="M3" s="389"/>
      <c r="N3" s="389"/>
      <c r="O3" s="389"/>
      <c r="P3" s="389"/>
      <c r="Q3" s="389"/>
      <c r="R3" s="386"/>
    </row>
    <row r="4" spans="2:18"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2:18" x14ac:dyDescent="0.2">
      <c r="R5" s="276"/>
    </row>
    <row r="6" spans="2:18" x14ac:dyDescent="0.2">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row>
    <row r="7" spans="2:18" x14ac:dyDescent="0.2">
      <c r="B7" s="276" t="s">
        <v>974</v>
      </c>
    </row>
    <row r="8" spans="2:18" x14ac:dyDescent="0.2">
      <c r="B8" s="276" t="s">
        <v>5</v>
      </c>
    </row>
    <row r="9" spans="2:18" x14ac:dyDescent="0.2">
      <c r="B9" s="32" t="s">
        <v>975</v>
      </c>
      <c r="D9" s="32">
        <v>71</v>
      </c>
      <c r="E9" s="32" t="s">
        <v>976</v>
      </c>
      <c r="F9" s="414">
        <v>7.31</v>
      </c>
      <c r="G9" s="414">
        <v>7.31</v>
      </c>
      <c r="H9" s="414">
        <v>7.31</v>
      </c>
      <c r="I9" s="414">
        <v>7.51</v>
      </c>
      <c r="J9" s="414">
        <v>7.51</v>
      </c>
      <c r="K9" s="414">
        <v>7.51</v>
      </c>
      <c r="L9" s="414">
        <v>7.51</v>
      </c>
      <c r="M9" s="414">
        <v>7.51</v>
      </c>
      <c r="N9" s="414">
        <v>7.51</v>
      </c>
      <c r="O9" s="414">
        <v>7.51</v>
      </c>
      <c r="P9" s="414">
        <v>7.51</v>
      </c>
      <c r="Q9" s="414">
        <v>7.51</v>
      </c>
    </row>
    <row r="10" spans="2:18" x14ac:dyDescent="0.2">
      <c r="B10" s="32" t="s">
        <v>977</v>
      </c>
      <c r="D10" s="32">
        <v>71</v>
      </c>
      <c r="E10" s="32" t="s">
        <v>976</v>
      </c>
      <c r="F10" s="414">
        <v>11.74</v>
      </c>
      <c r="G10" s="414">
        <v>11.74</v>
      </c>
      <c r="H10" s="414">
        <v>11.74</v>
      </c>
      <c r="I10" s="414">
        <v>12.05</v>
      </c>
      <c r="J10" s="414">
        <v>12.05</v>
      </c>
      <c r="K10" s="414">
        <v>12.05</v>
      </c>
      <c r="L10" s="414">
        <v>12.05</v>
      </c>
      <c r="M10" s="414">
        <v>12.05</v>
      </c>
      <c r="N10" s="414">
        <v>12.05</v>
      </c>
      <c r="O10" s="414">
        <v>12.05</v>
      </c>
      <c r="P10" s="414">
        <v>12.05</v>
      </c>
      <c r="Q10" s="414">
        <v>12.05</v>
      </c>
    </row>
    <row r="11" spans="2:18" x14ac:dyDescent="0.2">
      <c r="B11" s="32" t="s">
        <v>978</v>
      </c>
      <c r="D11" s="32">
        <v>71</v>
      </c>
      <c r="E11" s="32" t="s">
        <v>976</v>
      </c>
      <c r="F11" s="414">
        <v>16.47</v>
      </c>
      <c r="G11" s="414">
        <v>16.47</v>
      </c>
      <c r="H11" s="414">
        <v>16.47</v>
      </c>
      <c r="I11" s="414">
        <v>16.91</v>
      </c>
      <c r="J11" s="414">
        <v>16.91</v>
      </c>
      <c r="K11" s="414">
        <v>16.91</v>
      </c>
      <c r="L11" s="414">
        <v>16.91</v>
      </c>
      <c r="M11" s="414">
        <v>16.91</v>
      </c>
      <c r="N11" s="414">
        <v>16.91</v>
      </c>
      <c r="O11" s="414">
        <v>16.91</v>
      </c>
      <c r="P11" s="414">
        <v>16.91</v>
      </c>
      <c r="Q11" s="414">
        <v>16.91</v>
      </c>
    </row>
    <row r="12" spans="2:18" x14ac:dyDescent="0.2">
      <c r="B12" s="32" t="s">
        <v>979</v>
      </c>
      <c r="D12" s="32">
        <v>71</v>
      </c>
      <c r="E12" s="32" t="s">
        <v>976</v>
      </c>
      <c r="F12" s="414">
        <v>16.12</v>
      </c>
      <c r="G12" s="414">
        <v>16.12</v>
      </c>
      <c r="H12" s="414">
        <v>16.12</v>
      </c>
      <c r="I12" s="414">
        <v>16.55</v>
      </c>
      <c r="J12" s="414">
        <v>16.55</v>
      </c>
      <c r="K12" s="414">
        <v>16.55</v>
      </c>
      <c r="L12" s="414">
        <v>16.55</v>
      </c>
      <c r="M12" s="414">
        <v>16.55</v>
      </c>
      <c r="N12" s="414">
        <v>16.55</v>
      </c>
      <c r="O12" s="414">
        <v>16.55</v>
      </c>
      <c r="P12" s="414">
        <v>16.55</v>
      </c>
      <c r="Q12" s="414">
        <v>16.55</v>
      </c>
    </row>
    <row r="13" spans="2:18" x14ac:dyDescent="0.2">
      <c r="B13" s="32" t="s">
        <v>980</v>
      </c>
      <c r="D13" s="32">
        <v>71</v>
      </c>
      <c r="E13" s="32" t="s">
        <v>976</v>
      </c>
      <c r="F13" s="414">
        <v>5.88</v>
      </c>
      <c r="G13" s="414">
        <v>5.88</v>
      </c>
      <c r="H13" s="414">
        <v>5.88</v>
      </c>
      <c r="I13" s="414">
        <v>6.04</v>
      </c>
      <c r="J13" s="414">
        <v>6.04</v>
      </c>
      <c r="K13" s="414">
        <v>6.04</v>
      </c>
      <c r="L13" s="414">
        <v>6.04</v>
      </c>
      <c r="M13" s="414">
        <v>6.04</v>
      </c>
      <c r="N13" s="414">
        <v>6.04</v>
      </c>
      <c r="O13" s="414">
        <v>6.04</v>
      </c>
      <c r="P13" s="414">
        <v>6.04</v>
      </c>
      <c r="Q13" s="414">
        <v>6.04</v>
      </c>
    </row>
    <row r="14" spans="2:18" x14ac:dyDescent="0.2">
      <c r="B14" s="32" t="s">
        <v>981</v>
      </c>
      <c r="D14" s="32">
        <v>71</v>
      </c>
      <c r="E14" s="32" t="s">
        <v>976</v>
      </c>
      <c r="F14" s="414">
        <v>10.31</v>
      </c>
      <c r="G14" s="414">
        <v>10.31</v>
      </c>
      <c r="H14" s="414">
        <v>10.31</v>
      </c>
      <c r="I14" s="414">
        <v>10.59</v>
      </c>
      <c r="J14" s="414">
        <v>10.59</v>
      </c>
      <c r="K14" s="414">
        <v>10.59</v>
      </c>
      <c r="L14" s="414">
        <v>10.59</v>
      </c>
      <c r="M14" s="414">
        <v>10.59</v>
      </c>
      <c r="N14" s="414">
        <v>10.59</v>
      </c>
      <c r="O14" s="414">
        <v>10.59</v>
      </c>
      <c r="P14" s="414">
        <v>10.59</v>
      </c>
      <c r="Q14" s="414">
        <v>10.59</v>
      </c>
    </row>
    <row r="16" spans="2:18" x14ac:dyDescent="0.2">
      <c r="B16" s="276" t="s">
        <v>982</v>
      </c>
      <c r="F16" s="279"/>
      <c r="G16" s="279"/>
      <c r="H16" s="279"/>
      <c r="I16" s="279"/>
      <c r="J16" s="279"/>
      <c r="K16" s="279"/>
      <c r="L16" s="279"/>
      <c r="M16" s="279"/>
      <c r="N16" s="279"/>
      <c r="O16" s="279"/>
      <c r="P16" s="279"/>
      <c r="Q16" s="279"/>
    </row>
    <row r="17" spans="2:19" s="336" customFormat="1" x14ac:dyDescent="0.2">
      <c r="B17" s="336" t="s">
        <v>975</v>
      </c>
      <c r="E17" s="336" t="s">
        <v>983</v>
      </c>
      <c r="F17" s="380">
        <v>1516</v>
      </c>
      <c r="G17" s="380">
        <v>1514</v>
      </c>
      <c r="H17" s="380">
        <v>1509</v>
      </c>
      <c r="I17" s="380">
        <v>1499</v>
      </c>
      <c r="J17" s="380">
        <v>1495</v>
      </c>
      <c r="K17" s="380">
        <v>1492</v>
      </c>
      <c r="L17" s="380">
        <v>1490</v>
      </c>
      <c r="M17" s="380">
        <v>1493</v>
      </c>
      <c r="N17" s="380">
        <v>1491</v>
      </c>
      <c r="O17" s="380">
        <v>1485</v>
      </c>
      <c r="P17" s="380">
        <v>1483</v>
      </c>
      <c r="Q17" s="380">
        <v>1480</v>
      </c>
      <c r="R17" s="362">
        <f t="shared" ref="R17:R22" si="0">SUM(F17:Q17)</f>
        <v>17947</v>
      </c>
      <c r="S17" s="415"/>
    </row>
    <row r="18" spans="2:19" s="336" customFormat="1" x14ac:dyDescent="0.2">
      <c r="B18" s="336" t="s">
        <v>977</v>
      </c>
      <c r="E18" s="336" t="s">
        <v>983</v>
      </c>
      <c r="F18" s="380">
        <v>24406</v>
      </c>
      <c r="G18" s="380">
        <v>24248</v>
      </c>
      <c r="H18" s="380">
        <v>24205</v>
      </c>
      <c r="I18" s="380">
        <v>24035</v>
      </c>
      <c r="J18" s="380">
        <v>23940</v>
      </c>
      <c r="K18" s="380">
        <v>23834</v>
      </c>
      <c r="L18" s="380">
        <v>23773</v>
      </c>
      <c r="M18" s="380">
        <v>23720</v>
      </c>
      <c r="N18" s="380">
        <v>23589</v>
      </c>
      <c r="O18" s="380">
        <v>23467</v>
      </c>
      <c r="P18" s="380">
        <v>23448</v>
      </c>
      <c r="Q18" s="380">
        <v>23311</v>
      </c>
      <c r="R18" s="362">
        <f t="shared" si="0"/>
        <v>285976</v>
      </c>
      <c r="S18" s="415"/>
    </row>
    <row r="19" spans="2:19" s="336" customFormat="1" x14ac:dyDescent="0.2">
      <c r="B19" s="336" t="s">
        <v>978</v>
      </c>
      <c r="E19" s="336" t="s">
        <v>983</v>
      </c>
      <c r="F19" s="380">
        <v>4446</v>
      </c>
      <c r="G19" s="380">
        <v>4418</v>
      </c>
      <c r="H19" s="380">
        <v>4401</v>
      </c>
      <c r="I19" s="380">
        <v>4386</v>
      </c>
      <c r="J19" s="380">
        <v>4367</v>
      </c>
      <c r="K19" s="380">
        <v>4363</v>
      </c>
      <c r="L19" s="380">
        <v>4348</v>
      </c>
      <c r="M19" s="380">
        <v>4329</v>
      </c>
      <c r="N19" s="380">
        <v>4321</v>
      </c>
      <c r="O19" s="380">
        <v>4279</v>
      </c>
      <c r="P19" s="380">
        <v>4274</v>
      </c>
      <c r="Q19" s="380">
        <v>4257</v>
      </c>
      <c r="R19" s="362">
        <f t="shared" si="0"/>
        <v>52189</v>
      </c>
      <c r="S19" s="415"/>
    </row>
    <row r="20" spans="2:19" s="336" customFormat="1" x14ac:dyDescent="0.2">
      <c r="B20" s="336" t="s">
        <v>979</v>
      </c>
      <c r="E20" s="336" t="s">
        <v>983</v>
      </c>
      <c r="F20" s="380">
        <v>1211</v>
      </c>
      <c r="G20" s="380">
        <v>1203</v>
      </c>
      <c r="H20" s="380">
        <v>1195</v>
      </c>
      <c r="I20" s="380">
        <v>1190</v>
      </c>
      <c r="J20" s="380">
        <v>1177</v>
      </c>
      <c r="K20" s="380">
        <v>1173</v>
      </c>
      <c r="L20" s="380">
        <v>1161</v>
      </c>
      <c r="M20" s="380">
        <v>1154</v>
      </c>
      <c r="N20" s="380">
        <v>1151</v>
      </c>
      <c r="O20" s="380">
        <v>1144</v>
      </c>
      <c r="P20" s="380">
        <v>1143</v>
      </c>
      <c r="Q20" s="380">
        <v>1135</v>
      </c>
      <c r="R20" s="362">
        <f t="shared" si="0"/>
        <v>14037</v>
      </c>
      <c r="S20" s="415"/>
    </row>
    <row r="21" spans="2:19" s="336" customFormat="1" x14ac:dyDescent="0.2">
      <c r="B21" s="336" t="s">
        <v>980</v>
      </c>
      <c r="E21" s="336" t="s">
        <v>983</v>
      </c>
      <c r="F21" s="380">
        <v>4749</v>
      </c>
      <c r="G21" s="380">
        <v>4742</v>
      </c>
      <c r="H21" s="380">
        <v>4715</v>
      </c>
      <c r="I21" s="380">
        <v>4698</v>
      </c>
      <c r="J21" s="380">
        <v>4687</v>
      </c>
      <c r="K21" s="380">
        <v>4688</v>
      </c>
      <c r="L21" s="380">
        <v>4663</v>
      </c>
      <c r="M21" s="380">
        <v>4649</v>
      </c>
      <c r="N21" s="380">
        <v>4627</v>
      </c>
      <c r="O21" s="380">
        <v>4614</v>
      </c>
      <c r="P21" s="380">
        <v>4606</v>
      </c>
      <c r="Q21" s="380">
        <v>4597</v>
      </c>
      <c r="R21" s="362">
        <f t="shared" si="0"/>
        <v>56035</v>
      </c>
      <c r="S21" s="415"/>
    </row>
    <row r="22" spans="2:19" s="336" customFormat="1" x14ac:dyDescent="0.2">
      <c r="B22" s="336" t="s">
        <v>981</v>
      </c>
      <c r="E22" s="336" t="s">
        <v>983</v>
      </c>
      <c r="F22" s="416">
        <v>266</v>
      </c>
      <c r="G22" s="416">
        <v>263</v>
      </c>
      <c r="H22" s="416">
        <v>263</v>
      </c>
      <c r="I22" s="416">
        <v>263</v>
      </c>
      <c r="J22" s="416">
        <v>263</v>
      </c>
      <c r="K22" s="416">
        <v>262</v>
      </c>
      <c r="L22" s="416">
        <v>258</v>
      </c>
      <c r="M22" s="416">
        <v>256</v>
      </c>
      <c r="N22" s="416">
        <v>256</v>
      </c>
      <c r="O22" s="380">
        <v>257</v>
      </c>
      <c r="P22" s="380">
        <v>255</v>
      </c>
      <c r="Q22" s="380">
        <v>255</v>
      </c>
      <c r="R22" s="362">
        <f t="shared" si="0"/>
        <v>3117</v>
      </c>
      <c r="S22" s="415"/>
    </row>
    <row r="23" spans="2:19" x14ac:dyDescent="0.2">
      <c r="B23" s="32" t="s">
        <v>984</v>
      </c>
      <c r="F23" s="357">
        <f t="shared" ref="F23:N23" si="1">SUM(F17:F22)</f>
        <v>36594</v>
      </c>
      <c r="G23" s="357">
        <f t="shared" si="1"/>
        <v>36388</v>
      </c>
      <c r="H23" s="357">
        <f t="shared" si="1"/>
        <v>36288</v>
      </c>
      <c r="I23" s="357">
        <f t="shared" si="1"/>
        <v>36071</v>
      </c>
      <c r="J23" s="357">
        <f t="shared" si="1"/>
        <v>35929</v>
      </c>
      <c r="K23" s="357">
        <f t="shared" si="1"/>
        <v>35812</v>
      </c>
      <c r="L23" s="357">
        <f t="shared" si="1"/>
        <v>35693</v>
      </c>
      <c r="M23" s="357">
        <f t="shared" si="1"/>
        <v>35601</v>
      </c>
      <c r="N23" s="357">
        <f t="shared" si="1"/>
        <v>35435</v>
      </c>
      <c r="O23" s="357">
        <f>SUM(O17:O22)</f>
        <v>35246</v>
      </c>
      <c r="P23" s="357">
        <f>SUM(P17:P22)</f>
        <v>35209</v>
      </c>
      <c r="Q23" s="357">
        <f>SUM(Q17:Q22)</f>
        <v>35035</v>
      </c>
      <c r="R23" s="357">
        <f>SUM(R17:R22)</f>
        <v>429301</v>
      </c>
    </row>
    <row r="25" spans="2:19" x14ac:dyDescent="0.2">
      <c r="B25" s="276" t="s">
        <v>985</v>
      </c>
    </row>
    <row r="26" spans="2:19" x14ac:dyDescent="0.2">
      <c r="B26" s="32" t="s">
        <v>975</v>
      </c>
      <c r="D26" s="32">
        <v>71</v>
      </c>
      <c r="F26" s="364">
        <f t="shared" ref="F26:Q31" si="2">F9*F17</f>
        <v>11081.96</v>
      </c>
      <c r="G26" s="364">
        <f t="shared" si="2"/>
        <v>11067.34</v>
      </c>
      <c r="H26" s="364">
        <f t="shared" si="2"/>
        <v>11030.789999999999</v>
      </c>
      <c r="I26" s="364">
        <f t="shared" si="2"/>
        <v>11257.49</v>
      </c>
      <c r="J26" s="364">
        <f t="shared" si="2"/>
        <v>11227.449999999999</v>
      </c>
      <c r="K26" s="364">
        <f t="shared" si="2"/>
        <v>11204.92</v>
      </c>
      <c r="L26" s="364">
        <f t="shared" si="2"/>
        <v>11189.9</v>
      </c>
      <c r="M26" s="364">
        <f t="shared" si="2"/>
        <v>11212.43</v>
      </c>
      <c r="N26" s="364">
        <f t="shared" si="2"/>
        <v>11197.41</v>
      </c>
      <c r="O26" s="364">
        <f t="shared" si="2"/>
        <v>11152.35</v>
      </c>
      <c r="P26" s="364">
        <f t="shared" si="2"/>
        <v>11137.33</v>
      </c>
      <c r="Q26" s="364">
        <f t="shared" si="2"/>
        <v>11114.8</v>
      </c>
      <c r="R26" s="364">
        <f t="shared" ref="R26:R31" si="3">SUM(F26:Q26)</f>
        <v>133874.17000000001</v>
      </c>
    </row>
    <row r="27" spans="2:19" x14ac:dyDescent="0.2">
      <c r="B27" s="32" t="s">
        <v>977</v>
      </c>
      <c r="D27" s="32">
        <v>71</v>
      </c>
      <c r="F27" s="364">
        <f t="shared" si="2"/>
        <v>286526.44</v>
      </c>
      <c r="G27" s="364">
        <f t="shared" si="2"/>
        <v>284671.52</v>
      </c>
      <c r="H27" s="364">
        <f t="shared" si="2"/>
        <v>284166.7</v>
      </c>
      <c r="I27" s="364">
        <f t="shared" si="2"/>
        <v>289621.75</v>
      </c>
      <c r="J27" s="364">
        <f t="shared" si="2"/>
        <v>288477</v>
      </c>
      <c r="K27" s="364">
        <f t="shared" si="2"/>
        <v>287199.7</v>
      </c>
      <c r="L27" s="364">
        <f t="shared" si="2"/>
        <v>286464.65000000002</v>
      </c>
      <c r="M27" s="364">
        <f t="shared" si="2"/>
        <v>285826</v>
      </c>
      <c r="N27" s="364">
        <f t="shared" si="2"/>
        <v>284247.45</v>
      </c>
      <c r="O27" s="364">
        <f t="shared" si="2"/>
        <v>282777.35000000003</v>
      </c>
      <c r="P27" s="364">
        <f t="shared" si="2"/>
        <v>282548.40000000002</v>
      </c>
      <c r="Q27" s="364">
        <f t="shared" si="2"/>
        <v>280897.55</v>
      </c>
      <c r="R27" s="364">
        <f t="shared" si="3"/>
        <v>3423424.51</v>
      </c>
    </row>
    <row r="28" spans="2:19" x14ac:dyDescent="0.2">
      <c r="B28" s="32" t="s">
        <v>978</v>
      </c>
      <c r="D28" s="32">
        <v>71</v>
      </c>
      <c r="F28" s="364">
        <f t="shared" si="2"/>
        <v>73225.62</v>
      </c>
      <c r="G28" s="364">
        <f t="shared" si="2"/>
        <v>72764.459999999992</v>
      </c>
      <c r="H28" s="364">
        <f t="shared" si="2"/>
        <v>72484.47</v>
      </c>
      <c r="I28" s="364">
        <f t="shared" si="2"/>
        <v>74167.259999999995</v>
      </c>
      <c r="J28" s="364">
        <f t="shared" si="2"/>
        <v>73845.97</v>
      </c>
      <c r="K28" s="364">
        <f t="shared" si="2"/>
        <v>73778.33</v>
      </c>
      <c r="L28" s="364">
        <f t="shared" si="2"/>
        <v>73524.680000000008</v>
      </c>
      <c r="M28" s="364">
        <f t="shared" si="2"/>
        <v>73203.39</v>
      </c>
      <c r="N28" s="364">
        <f t="shared" si="2"/>
        <v>73068.11</v>
      </c>
      <c r="O28" s="364">
        <f t="shared" si="2"/>
        <v>72357.89</v>
      </c>
      <c r="P28" s="364">
        <f t="shared" si="2"/>
        <v>72273.34</v>
      </c>
      <c r="Q28" s="364">
        <f t="shared" si="2"/>
        <v>71985.87</v>
      </c>
      <c r="R28" s="364">
        <f t="shared" si="3"/>
        <v>876679.39</v>
      </c>
    </row>
    <row r="29" spans="2:19" x14ac:dyDescent="0.2">
      <c r="B29" s="32" t="s">
        <v>979</v>
      </c>
      <c r="D29" s="32">
        <v>71</v>
      </c>
      <c r="F29" s="364">
        <f t="shared" si="2"/>
        <v>19521.32</v>
      </c>
      <c r="G29" s="364">
        <f t="shared" si="2"/>
        <v>19392.36</v>
      </c>
      <c r="H29" s="364">
        <f t="shared" si="2"/>
        <v>19263.400000000001</v>
      </c>
      <c r="I29" s="364">
        <f t="shared" si="2"/>
        <v>19694.5</v>
      </c>
      <c r="J29" s="364">
        <f t="shared" si="2"/>
        <v>19479.350000000002</v>
      </c>
      <c r="K29" s="364">
        <f t="shared" si="2"/>
        <v>19413.150000000001</v>
      </c>
      <c r="L29" s="364">
        <f t="shared" si="2"/>
        <v>19214.55</v>
      </c>
      <c r="M29" s="364">
        <f t="shared" si="2"/>
        <v>19098.7</v>
      </c>
      <c r="N29" s="364">
        <f t="shared" si="2"/>
        <v>19049.05</v>
      </c>
      <c r="O29" s="364">
        <f t="shared" si="2"/>
        <v>18933.2</v>
      </c>
      <c r="P29" s="364">
        <f t="shared" si="2"/>
        <v>18916.650000000001</v>
      </c>
      <c r="Q29" s="364">
        <f t="shared" si="2"/>
        <v>18784.25</v>
      </c>
      <c r="R29" s="364">
        <f t="shared" si="3"/>
        <v>230760.48</v>
      </c>
    </row>
    <row r="30" spans="2:19" x14ac:dyDescent="0.2">
      <c r="B30" s="32" t="s">
        <v>980</v>
      </c>
      <c r="D30" s="32">
        <v>71</v>
      </c>
      <c r="F30" s="364">
        <f t="shared" si="2"/>
        <v>27924.12</v>
      </c>
      <c r="G30" s="364">
        <f t="shared" si="2"/>
        <v>27882.959999999999</v>
      </c>
      <c r="H30" s="364">
        <f t="shared" si="2"/>
        <v>27724.2</v>
      </c>
      <c r="I30" s="364">
        <f t="shared" si="2"/>
        <v>28375.920000000002</v>
      </c>
      <c r="J30" s="364">
        <f t="shared" si="2"/>
        <v>28309.48</v>
      </c>
      <c r="K30" s="364">
        <f t="shared" si="2"/>
        <v>28315.52</v>
      </c>
      <c r="L30" s="364">
        <f t="shared" si="2"/>
        <v>28164.52</v>
      </c>
      <c r="M30" s="364">
        <f t="shared" si="2"/>
        <v>28079.96</v>
      </c>
      <c r="N30" s="364">
        <f t="shared" si="2"/>
        <v>27947.08</v>
      </c>
      <c r="O30" s="364">
        <f t="shared" si="2"/>
        <v>27868.560000000001</v>
      </c>
      <c r="P30" s="364">
        <f t="shared" si="2"/>
        <v>27820.240000000002</v>
      </c>
      <c r="Q30" s="364">
        <f t="shared" si="2"/>
        <v>27765.88</v>
      </c>
      <c r="R30" s="364">
        <f t="shared" si="3"/>
        <v>336178.43999999994</v>
      </c>
    </row>
    <row r="31" spans="2:19" x14ac:dyDescent="0.2">
      <c r="B31" s="32" t="s">
        <v>981</v>
      </c>
      <c r="D31" s="32">
        <v>71</v>
      </c>
      <c r="F31" s="364">
        <f t="shared" si="2"/>
        <v>2742.46</v>
      </c>
      <c r="G31" s="364">
        <f t="shared" si="2"/>
        <v>2711.53</v>
      </c>
      <c r="H31" s="364">
        <f t="shared" si="2"/>
        <v>2711.53</v>
      </c>
      <c r="I31" s="364">
        <f t="shared" si="2"/>
        <v>2785.17</v>
      </c>
      <c r="J31" s="364">
        <f t="shared" si="2"/>
        <v>2785.17</v>
      </c>
      <c r="K31" s="364">
        <f t="shared" si="2"/>
        <v>2774.58</v>
      </c>
      <c r="L31" s="364">
        <f t="shared" si="2"/>
        <v>2732.22</v>
      </c>
      <c r="M31" s="364">
        <f t="shared" si="2"/>
        <v>2711.04</v>
      </c>
      <c r="N31" s="364">
        <f t="shared" si="2"/>
        <v>2711.04</v>
      </c>
      <c r="O31" s="364">
        <f t="shared" si="2"/>
        <v>2721.63</v>
      </c>
      <c r="P31" s="364">
        <f t="shared" si="2"/>
        <v>2700.45</v>
      </c>
      <c r="Q31" s="364">
        <f t="shared" si="2"/>
        <v>2700.45</v>
      </c>
      <c r="R31" s="364">
        <f t="shared" si="3"/>
        <v>32787.270000000004</v>
      </c>
    </row>
    <row r="32" spans="2:19" x14ac:dyDescent="0.2">
      <c r="B32" s="32" t="s">
        <v>986</v>
      </c>
      <c r="F32" s="365">
        <f t="shared" ref="F32:N32" si="4">SUM(F26:F31)</f>
        <v>421021.92000000004</v>
      </c>
      <c r="G32" s="365">
        <f t="shared" si="4"/>
        <v>418490.1700000001</v>
      </c>
      <c r="H32" s="365">
        <f t="shared" si="4"/>
        <v>417381.09</v>
      </c>
      <c r="I32" s="365">
        <f t="shared" si="4"/>
        <v>425902.08999999997</v>
      </c>
      <c r="J32" s="365">
        <f t="shared" si="4"/>
        <v>424124.42</v>
      </c>
      <c r="K32" s="365">
        <f t="shared" si="4"/>
        <v>422686.20000000007</v>
      </c>
      <c r="L32" s="365">
        <f t="shared" si="4"/>
        <v>421290.52</v>
      </c>
      <c r="M32" s="365">
        <f t="shared" si="4"/>
        <v>420131.52</v>
      </c>
      <c r="N32" s="365">
        <f t="shared" si="4"/>
        <v>418220.13999999996</v>
      </c>
      <c r="O32" s="365">
        <f>SUM(O26:O31)</f>
        <v>415810.98000000004</v>
      </c>
      <c r="P32" s="365">
        <f>SUM(P26:P31)</f>
        <v>415396.41000000009</v>
      </c>
      <c r="Q32" s="365">
        <f>SUM(Q26:Q31)</f>
        <v>413248.8</v>
      </c>
      <c r="R32" s="365">
        <f>SUM(R26:R31)</f>
        <v>5033704.26</v>
      </c>
    </row>
    <row r="33" spans="2:19" x14ac:dyDescent="0.2">
      <c r="F33" s="364"/>
      <c r="G33" s="364"/>
      <c r="H33" s="364"/>
      <c r="I33" s="364"/>
      <c r="J33" s="364"/>
      <c r="K33" s="364"/>
      <c r="L33" s="364"/>
      <c r="M33" s="364"/>
      <c r="N33" s="364"/>
      <c r="O33" s="364"/>
      <c r="P33" s="364"/>
      <c r="Q33" s="364"/>
      <c r="R33" s="364"/>
    </row>
    <row r="34" spans="2:19" x14ac:dyDescent="0.2">
      <c r="B34" s="276" t="s">
        <v>987</v>
      </c>
    </row>
    <row r="35" spans="2:19" x14ac:dyDescent="0.2">
      <c r="B35" s="276" t="s">
        <v>5</v>
      </c>
    </row>
    <row r="36" spans="2:19" x14ac:dyDescent="0.2">
      <c r="B36" s="32" t="s">
        <v>988</v>
      </c>
      <c r="D36" s="32">
        <v>72</v>
      </c>
      <c r="E36" s="32" t="s">
        <v>976</v>
      </c>
      <c r="F36" s="414">
        <v>14.35</v>
      </c>
      <c r="G36" s="414">
        <v>14.35</v>
      </c>
      <c r="H36" s="414">
        <v>14.35</v>
      </c>
      <c r="I36" s="414">
        <v>14.74</v>
      </c>
      <c r="J36" s="414">
        <v>14.74</v>
      </c>
      <c r="K36" s="414">
        <v>14.74</v>
      </c>
      <c r="L36" s="414">
        <v>14.74</v>
      </c>
      <c r="M36" s="414">
        <v>14.74</v>
      </c>
      <c r="N36" s="414">
        <v>14.74</v>
      </c>
      <c r="O36" s="414">
        <v>14.74</v>
      </c>
      <c r="P36" s="414">
        <v>14.74</v>
      </c>
      <c r="Q36" s="414">
        <v>14.74</v>
      </c>
    </row>
    <row r="37" spans="2:19" x14ac:dyDescent="0.2">
      <c r="B37" s="32" t="s">
        <v>989</v>
      </c>
      <c r="D37" s="32">
        <v>72</v>
      </c>
      <c r="E37" s="32" t="s">
        <v>976</v>
      </c>
      <c r="F37" s="414">
        <v>18.760000000000002</v>
      </c>
      <c r="G37" s="414">
        <v>18.760000000000002</v>
      </c>
      <c r="H37" s="414">
        <v>18.760000000000002</v>
      </c>
      <c r="I37" s="414">
        <v>19.260000000000002</v>
      </c>
      <c r="J37" s="414">
        <v>19.260000000000002</v>
      </c>
      <c r="K37" s="414">
        <v>19.260000000000002</v>
      </c>
      <c r="L37" s="414">
        <v>19.260000000000002</v>
      </c>
      <c r="M37" s="414">
        <v>19.260000000000002</v>
      </c>
      <c r="N37" s="414">
        <v>19.260000000000002</v>
      </c>
      <c r="O37" s="414">
        <v>19.260000000000002</v>
      </c>
      <c r="P37" s="414">
        <v>19.260000000000002</v>
      </c>
      <c r="Q37" s="414">
        <v>19.260000000000002</v>
      </c>
    </row>
    <row r="38" spans="2:19" x14ac:dyDescent="0.2">
      <c r="B38" s="32" t="s">
        <v>990</v>
      </c>
      <c r="D38" s="32">
        <v>72</v>
      </c>
      <c r="E38" s="32" t="s">
        <v>976</v>
      </c>
      <c r="F38" s="414">
        <v>18.760000000000002</v>
      </c>
      <c r="G38" s="414">
        <v>18.760000000000002</v>
      </c>
      <c r="H38" s="414">
        <v>18.760000000000002</v>
      </c>
      <c r="I38" s="414">
        <v>19.260000000000002</v>
      </c>
      <c r="J38" s="414">
        <v>19.260000000000002</v>
      </c>
      <c r="K38" s="414">
        <v>19.260000000000002</v>
      </c>
      <c r="L38" s="414">
        <v>19.260000000000002</v>
      </c>
      <c r="M38" s="414">
        <v>19.260000000000002</v>
      </c>
      <c r="N38" s="414">
        <v>19.260000000000002</v>
      </c>
      <c r="O38" s="414">
        <v>19.260000000000002</v>
      </c>
      <c r="P38" s="414">
        <v>19.260000000000002</v>
      </c>
      <c r="Q38" s="414">
        <v>19.260000000000002</v>
      </c>
    </row>
    <row r="39" spans="2:19" x14ac:dyDescent="0.2">
      <c r="B39" s="32" t="s">
        <v>991</v>
      </c>
      <c r="D39" s="32">
        <v>72</v>
      </c>
      <c r="E39" s="32" t="s">
        <v>976</v>
      </c>
      <c r="F39" s="414">
        <v>29.38</v>
      </c>
      <c r="G39" s="414">
        <v>29.38</v>
      </c>
      <c r="H39" s="414">
        <v>29.38</v>
      </c>
      <c r="I39" s="414">
        <v>30.17</v>
      </c>
      <c r="J39" s="414">
        <v>30.17</v>
      </c>
      <c r="K39" s="414">
        <v>30.17</v>
      </c>
      <c r="L39" s="414">
        <v>30.17</v>
      </c>
      <c r="M39" s="414">
        <v>30.17</v>
      </c>
      <c r="N39" s="414">
        <v>30.17</v>
      </c>
      <c r="O39" s="414">
        <v>30.17</v>
      </c>
      <c r="P39" s="414">
        <v>30.17</v>
      </c>
      <c r="Q39" s="414">
        <v>30.17</v>
      </c>
    </row>
    <row r="40" spans="2:19" x14ac:dyDescent="0.2">
      <c r="B40" s="32" t="s">
        <v>992</v>
      </c>
      <c r="D40" s="32">
        <v>72</v>
      </c>
      <c r="E40" s="32" t="s">
        <v>976</v>
      </c>
      <c r="F40" s="414">
        <v>38.33</v>
      </c>
      <c r="G40" s="414">
        <v>38.33</v>
      </c>
      <c r="H40" s="414">
        <v>38.33</v>
      </c>
      <c r="I40" s="414">
        <v>39.36</v>
      </c>
      <c r="J40" s="414">
        <v>39.36</v>
      </c>
      <c r="K40" s="414">
        <v>39.36</v>
      </c>
      <c r="L40" s="414">
        <v>39.36</v>
      </c>
      <c r="M40" s="414">
        <v>39.36</v>
      </c>
      <c r="N40" s="414">
        <v>39.36</v>
      </c>
      <c r="O40" s="414">
        <v>39.36</v>
      </c>
      <c r="P40" s="414">
        <v>39.36</v>
      </c>
      <c r="Q40" s="414">
        <v>39.36</v>
      </c>
    </row>
    <row r="41" spans="2:19" x14ac:dyDescent="0.2">
      <c r="B41" s="32" t="s">
        <v>993</v>
      </c>
      <c r="D41" s="32">
        <v>72</v>
      </c>
      <c r="E41" s="32" t="s">
        <v>976</v>
      </c>
      <c r="F41" s="414">
        <v>51.18</v>
      </c>
      <c r="G41" s="414">
        <v>51.18</v>
      </c>
      <c r="H41" s="414">
        <v>51.18</v>
      </c>
      <c r="I41" s="414">
        <v>52.55</v>
      </c>
      <c r="J41" s="414">
        <v>52.55</v>
      </c>
      <c r="K41" s="414">
        <v>52.55</v>
      </c>
      <c r="L41" s="414">
        <v>52.55</v>
      </c>
      <c r="M41" s="414">
        <v>52.55</v>
      </c>
      <c r="N41" s="414">
        <v>52.55</v>
      </c>
      <c r="O41" s="414">
        <v>52.55</v>
      </c>
      <c r="P41" s="414">
        <v>52.55</v>
      </c>
      <c r="Q41" s="414">
        <v>52.55</v>
      </c>
    </row>
    <row r="42" spans="2:19" x14ac:dyDescent="0.2">
      <c r="B42" s="32" t="s">
        <v>994</v>
      </c>
      <c r="D42" s="32">
        <v>72</v>
      </c>
      <c r="E42" s="32" t="s">
        <v>976</v>
      </c>
      <c r="F42" s="414">
        <v>59.45</v>
      </c>
      <c r="G42" s="414">
        <v>59.45</v>
      </c>
      <c r="H42" s="414">
        <v>59.45</v>
      </c>
      <c r="I42" s="414">
        <v>61.05</v>
      </c>
      <c r="J42" s="414">
        <v>61.05</v>
      </c>
      <c r="K42" s="414">
        <v>61.05</v>
      </c>
      <c r="L42" s="414">
        <v>61.05</v>
      </c>
      <c r="M42" s="414">
        <v>61.05</v>
      </c>
      <c r="N42" s="414">
        <v>61.05</v>
      </c>
      <c r="O42" s="414">
        <v>61.05</v>
      </c>
      <c r="P42" s="414">
        <v>61.05</v>
      </c>
      <c r="Q42" s="414">
        <v>61.05</v>
      </c>
    </row>
    <row r="44" spans="2:19" x14ac:dyDescent="0.2">
      <c r="B44" s="276" t="s">
        <v>982</v>
      </c>
      <c r="F44" s="279"/>
      <c r="G44" s="279"/>
      <c r="H44" s="279"/>
      <c r="I44" s="279"/>
      <c r="J44" s="279"/>
      <c r="K44" s="279"/>
      <c r="L44" s="279"/>
      <c r="M44" s="279"/>
      <c r="N44" s="279"/>
      <c r="O44" s="279"/>
      <c r="P44" s="279"/>
      <c r="Q44" s="279"/>
    </row>
    <row r="45" spans="2:19" s="336" customFormat="1" x14ac:dyDescent="0.2">
      <c r="B45" s="336" t="s">
        <v>988</v>
      </c>
      <c r="E45" s="336" t="s">
        <v>983</v>
      </c>
      <c r="F45" s="416">
        <v>200</v>
      </c>
      <c r="G45" s="416">
        <v>195</v>
      </c>
      <c r="H45" s="416">
        <v>194</v>
      </c>
      <c r="I45" s="416">
        <v>193</v>
      </c>
      <c r="J45" s="416">
        <v>195</v>
      </c>
      <c r="K45" s="416">
        <v>191</v>
      </c>
      <c r="L45" s="416">
        <v>186</v>
      </c>
      <c r="M45" s="416">
        <v>185</v>
      </c>
      <c r="N45" s="416">
        <v>185</v>
      </c>
      <c r="O45" s="380">
        <v>181</v>
      </c>
      <c r="P45" s="380">
        <v>181</v>
      </c>
      <c r="Q45" s="380">
        <v>177</v>
      </c>
      <c r="R45" s="362">
        <f t="shared" ref="R45:R51" si="5">SUM(F45:Q45)</f>
        <v>2263</v>
      </c>
      <c r="S45" s="415"/>
    </row>
    <row r="46" spans="2:19" s="336" customFormat="1" x14ac:dyDescent="0.2">
      <c r="B46" s="336" t="s">
        <v>989</v>
      </c>
      <c r="E46" s="336" t="s">
        <v>983</v>
      </c>
      <c r="F46" s="416">
        <v>126</v>
      </c>
      <c r="G46" s="416">
        <v>123</v>
      </c>
      <c r="H46" s="416">
        <v>122</v>
      </c>
      <c r="I46" s="416">
        <v>121</v>
      </c>
      <c r="J46" s="416">
        <v>120</v>
      </c>
      <c r="K46" s="416">
        <v>118</v>
      </c>
      <c r="L46" s="416">
        <v>117</v>
      </c>
      <c r="M46" s="416">
        <v>115</v>
      </c>
      <c r="N46" s="416">
        <v>116</v>
      </c>
      <c r="O46" s="380">
        <v>116</v>
      </c>
      <c r="P46" s="380">
        <v>113</v>
      </c>
      <c r="Q46" s="380">
        <v>115</v>
      </c>
      <c r="R46" s="362">
        <f t="shared" si="5"/>
        <v>1422</v>
      </c>
      <c r="S46" s="415"/>
    </row>
    <row r="47" spans="2:19" s="336" customFormat="1" x14ac:dyDescent="0.2">
      <c r="B47" s="336" t="s">
        <v>990</v>
      </c>
      <c r="E47" s="336" t="s">
        <v>983</v>
      </c>
      <c r="F47" s="416">
        <v>360</v>
      </c>
      <c r="G47" s="416">
        <v>358</v>
      </c>
      <c r="H47" s="416">
        <v>354</v>
      </c>
      <c r="I47" s="416">
        <v>358</v>
      </c>
      <c r="J47" s="416">
        <v>354</v>
      </c>
      <c r="K47" s="416">
        <v>350</v>
      </c>
      <c r="L47" s="416">
        <v>355</v>
      </c>
      <c r="M47" s="416">
        <v>353</v>
      </c>
      <c r="N47" s="416">
        <v>361</v>
      </c>
      <c r="O47" s="380">
        <v>351</v>
      </c>
      <c r="P47" s="380">
        <v>347</v>
      </c>
      <c r="Q47" s="380">
        <v>349</v>
      </c>
      <c r="R47" s="362">
        <f t="shared" si="5"/>
        <v>4250</v>
      </c>
      <c r="S47" s="415"/>
    </row>
    <row r="48" spans="2:19" s="336" customFormat="1" x14ac:dyDescent="0.2">
      <c r="B48" s="336" t="s">
        <v>991</v>
      </c>
      <c r="E48" s="336" t="s">
        <v>983</v>
      </c>
      <c r="F48" s="416">
        <v>20</v>
      </c>
      <c r="G48" s="416">
        <v>20</v>
      </c>
      <c r="H48" s="416">
        <v>19</v>
      </c>
      <c r="I48" s="416">
        <v>19</v>
      </c>
      <c r="J48" s="416">
        <v>19</v>
      </c>
      <c r="K48" s="416">
        <v>19</v>
      </c>
      <c r="L48" s="416">
        <v>18</v>
      </c>
      <c r="M48" s="416">
        <v>24</v>
      </c>
      <c r="N48" s="416">
        <v>20</v>
      </c>
      <c r="O48" s="380">
        <v>18</v>
      </c>
      <c r="P48" s="380">
        <v>18</v>
      </c>
      <c r="Q48" s="380">
        <v>18</v>
      </c>
      <c r="R48" s="362">
        <f t="shared" si="5"/>
        <v>232</v>
      </c>
      <c r="S48" s="415"/>
    </row>
    <row r="49" spans="2:19" s="336" customFormat="1" x14ac:dyDescent="0.2">
      <c r="B49" s="336" t="s">
        <v>992</v>
      </c>
      <c r="E49" s="336" t="s">
        <v>983</v>
      </c>
      <c r="F49" s="416">
        <v>806</v>
      </c>
      <c r="G49" s="416">
        <v>800</v>
      </c>
      <c r="H49" s="416">
        <v>799</v>
      </c>
      <c r="I49" s="416">
        <v>797</v>
      </c>
      <c r="J49" s="416">
        <v>799</v>
      </c>
      <c r="K49" s="416">
        <v>787</v>
      </c>
      <c r="L49" s="416">
        <v>784</v>
      </c>
      <c r="M49" s="416">
        <v>807</v>
      </c>
      <c r="N49" s="416">
        <v>774</v>
      </c>
      <c r="O49" s="380">
        <v>767</v>
      </c>
      <c r="P49" s="380">
        <v>769</v>
      </c>
      <c r="Q49" s="380">
        <v>766</v>
      </c>
      <c r="R49" s="362">
        <f t="shared" si="5"/>
        <v>9455</v>
      </c>
      <c r="S49" s="415"/>
    </row>
    <row r="50" spans="2:19" s="336" customFormat="1" x14ac:dyDescent="0.2">
      <c r="B50" s="336" t="s">
        <v>993</v>
      </c>
      <c r="E50" s="336" t="s">
        <v>983</v>
      </c>
      <c r="F50" s="416">
        <v>520</v>
      </c>
      <c r="G50" s="416">
        <v>514</v>
      </c>
      <c r="H50" s="416">
        <v>512</v>
      </c>
      <c r="I50" s="416">
        <v>515</v>
      </c>
      <c r="J50" s="416">
        <v>507</v>
      </c>
      <c r="K50" s="416">
        <v>510</v>
      </c>
      <c r="L50" s="416">
        <v>507</v>
      </c>
      <c r="M50" s="416">
        <v>508</v>
      </c>
      <c r="N50" s="416">
        <v>506</v>
      </c>
      <c r="O50" s="380">
        <v>505</v>
      </c>
      <c r="P50" s="380">
        <v>502</v>
      </c>
      <c r="Q50" s="380">
        <v>501</v>
      </c>
      <c r="R50" s="362">
        <f t="shared" si="5"/>
        <v>6107</v>
      </c>
      <c r="S50" s="415"/>
    </row>
    <row r="51" spans="2:19" s="336" customFormat="1" x14ac:dyDescent="0.2">
      <c r="B51" s="336" t="s">
        <v>994</v>
      </c>
      <c r="E51" s="336" t="s">
        <v>983</v>
      </c>
      <c r="F51" s="380">
        <v>1404</v>
      </c>
      <c r="G51" s="380">
        <v>1397</v>
      </c>
      <c r="H51" s="380">
        <v>1393</v>
      </c>
      <c r="I51" s="380">
        <v>1389</v>
      </c>
      <c r="J51" s="380">
        <v>1382</v>
      </c>
      <c r="K51" s="380">
        <v>1384</v>
      </c>
      <c r="L51" s="380">
        <v>1393</v>
      </c>
      <c r="M51" s="380">
        <v>1389</v>
      </c>
      <c r="N51" s="380">
        <v>1441</v>
      </c>
      <c r="O51" s="380">
        <v>1396</v>
      </c>
      <c r="P51" s="380">
        <v>1375</v>
      </c>
      <c r="Q51" s="380">
        <v>1364</v>
      </c>
      <c r="R51" s="362">
        <f t="shared" si="5"/>
        <v>16707</v>
      </c>
      <c r="S51" s="415"/>
    </row>
    <row r="52" spans="2:19" x14ac:dyDescent="0.2">
      <c r="B52" s="32" t="s">
        <v>984</v>
      </c>
      <c r="F52" s="357">
        <f t="shared" ref="F52:R52" si="6">SUM(F45:F51)</f>
        <v>3436</v>
      </c>
      <c r="G52" s="357">
        <f t="shared" si="6"/>
        <v>3407</v>
      </c>
      <c r="H52" s="357">
        <f t="shared" si="6"/>
        <v>3393</v>
      </c>
      <c r="I52" s="357">
        <f t="shared" si="6"/>
        <v>3392</v>
      </c>
      <c r="J52" s="357">
        <f t="shared" si="6"/>
        <v>3376</v>
      </c>
      <c r="K52" s="357">
        <f t="shared" si="6"/>
        <v>3359</v>
      </c>
      <c r="L52" s="357">
        <f t="shared" si="6"/>
        <v>3360</v>
      </c>
      <c r="M52" s="357">
        <f t="shared" si="6"/>
        <v>3381</v>
      </c>
      <c r="N52" s="357">
        <f t="shared" si="6"/>
        <v>3403</v>
      </c>
      <c r="O52" s="357">
        <f t="shared" si="6"/>
        <v>3334</v>
      </c>
      <c r="P52" s="357">
        <f t="shared" si="6"/>
        <v>3305</v>
      </c>
      <c r="Q52" s="357">
        <f t="shared" si="6"/>
        <v>3290</v>
      </c>
      <c r="R52" s="357">
        <f t="shared" si="6"/>
        <v>40436</v>
      </c>
    </row>
    <row r="54" spans="2:19" x14ac:dyDescent="0.2">
      <c r="B54" s="276" t="s">
        <v>985</v>
      </c>
    </row>
    <row r="55" spans="2:19" x14ac:dyDescent="0.2">
      <c r="B55" s="32" t="s">
        <v>988</v>
      </c>
      <c r="D55" s="32">
        <v>72</v>
      </c>
      <c r="F55" s="364">
        <f t="shared" ref="F55:Q61" si="7">F36*F45</f>
        <v>2870</v>
      </c>
      <c r="G55" s="364">
        <f t="shared" si="7"/>
        <v>2798.25</v>
      </c>
      <c r="H55" s="364">
        <f t="shared" si="7"/>
        <v>2783.9</v>
      </c>
      <c r="I55" s="364">
        <f t="shared" si="7"/>
        <v>2844.82</v>
      </c>
      <c r="J55" s="364">
        <f t="shared" si="7"/>
        <v>2874.3</v>
      </c>
      <c r="K55" s="364">
        <f t="shared" si="7"/>
        <v>2815.34</v>
      </c>
      <c r="L55" s="364">
        <f t="shared" si="7"/>
        <v>2741.64</v>
      </c>
      <c r="M55" s="364">
        <f t="shared" si="7"/>
        <v>2726.9</v>
      </c>
      <c r="N55" s="364">
        <f t="shared" si="7"/>
        <v>2726.9</v>
      </c>
      <c r="O55" s="364">
        <f t="shared" si="7"/>
        <v>2667.94</v>
      </c>
      <c r="P55" s="364">
        <f t="shared" si="7"/>
        <v>2667.94</v>
      </c>
      <c r="Q55" s="364">
        <f t="shared" si="7"/>
        <v>2608.98</v>
      </c>
      <c r="R55" s="364">
        <f t="shared" ref="R55:R61" si="8">SUM(F55:Q55)</f>
        <v>33126.910000000003</v>
      </c>
    </row>
    <row r="56" spans="2:19" x14ac:dyDescent="0.2">
      <c r="B56" s="32" t="s">
        <v>989</v>
      </c>
      <c r="D56" s="32">
        <v>72</v>
      </c>
      <c r="F56" s="364">
        <f t="shared" si="7"/>
        <v>2363.7600000000002</v>
      </c>
      <c r="G56" s="364">
        <f t="shared" si="7"/>
        <v>2307.48</v>
      </c>
      <c r="H56" s="364">
        <f t="shared" si="7"/>
        <v>2288.7200000000003</v>
      </c>
      <c r="I56" s="364">
        <f t="shared" si="7"/>
        <v>2330.46</v>
      </c>
      <c r="J56" s="364">
        <f t="shared" si="7"/>
        <v>2311.2000000000003</v>
      </c>
      <c r="K56" s="364">
        <f t="shared" si="7"/>
        <v>2272.6800000000003</v>
      </c>
      <c r="L56" s="364">
        <f t="shared" si="7"/>
        <v>2253.42</v>
      </c>
      <c r="M56" s="364">
        <f t="shared" si="7"/>
        <v>2214.9</v>
      </c>
      <c r="N56" s="364">
        <f t="shared" si="7"/>
        <v>2234.1600000000003</v>
      </c>
      <c r="O56" s="364">
        <f t="shared" si="7"/>
        <v>2234.1600000000003</v>
      </c>
      <c r="P56" s="364">
        <f t="shared" si="7"/>
        <v>2176.38</v>
      </c>
      <c r="Q56" s="364">
        <f t="shared" si="7"/>
        <v>2214.9</v>
      </c>
      <c r="R56" s="364">
        <f t="shared" si="8"/>
        <v>27202.220000000005</v>
      </c>
    </row>
    <row r="57" spans="2:19" x14ac:dyDescent="0.2">
      <c r="B57" s="32" t="s">
        <v>990</v>
      </c>
      <c r="D57" s="32">
        <v>72</v>
      </c>
      <c r="F57" s="364">
        <f t="shared" si="7"/>
        <v>6753.6</v>
      </c>
      <c r="G57" s="364">
        <f t="shared" si="7"/>
        <v>6716.0800000000008</v>
      </c>
      <c r="H57" s="364">
        <f t="shared" si="7"/>
        <v>6641.0400000000009</v>
      </c>
      <c r="I57" s="364">
        <f t="shared" si="7"/>
        <v>6895.0800000000008</v>
      </c>
      <c r="J57" s="364">
        <f t="shared" si="7"/>
        <v>6818.0400000000009</v>
      </c>
      <c r="K57" s="364">
        <f t="shared" si="7"/>
        <v>6741.0000000000009</v>
      </c>
      <c r="L57" s="364">
        <f t="shared" si="7"/>
        <v>6837.3</v>
      </c>
      <c r="M57" s="364">
        <f t="shared" si="7"/>
        <v>6798.7800000000007</v>
      </c>
      <c r="N57" s="364">
        <f t="shared" si="7"/>
        <v>6952.8600000000006</v>
      </c>
      <c r="O57" s="364">
        <f t="shared" si="7"/>
        <v>6760.26</v>
      </c>
      <c r="P57" s="364">
        <f t="shared" si="7"/>
        <v>6683.22</v>
      </c>
      <c r="Q57" s="364">
        <f t="shared" si="7"/>
        <v>6721.7400000000007</v>
      </c>
      <c r="R57" s="364">
        <f t="shared" si="8"/>
        <v>81319.000000000015</v>
      </c>
    </row>
    <row r="58" spans="2:19" x14ac:dyDescent="0.2">
      <c r="B58" s="32" t="s">
        <v>991</v>
      </c>
      <c r="D58" s="32">
        <v>72</v>
      </c>
      <c r="F58" s="364">
        <f t="shared" si="7"/>
        <v>587.6</v>
      </c>
      <c r="G58" s="364">
        <f t="shared" si="7"/>
        <v>587.6</v>
      </c>
      <c r="H58" s="364">
        <f t="shared" si="7"/>
        <v>558.22</v>
      </c>
      <c r="I58" s="364">
        <f t="shared" si="7"/>
        <v>573.23</v>
      </c>
      <c r="J58" s="364">
        <f t="shared" si="7"/>
        <v>573.23</v>
      </c>
      <c r="K58" s="364">
        <f t="shared" si="7"/>
        <v>573.23</v>
      </c>
      <c r="L58" s="364">
        <f t="shared" si="7"/>
        <v>543.06000000000006</v>
      </c>
      <c r="M58" s="364">
        <f t="shared" si="7"/>
        <v>724.08</v>
      </c>
      <c r="N58" s="364">
        <f t="shared" si="7"/>
        <v>603.40000000000009</v>
      </c>
      <c r="O58" s="364">
        <f t="shared" si="7"/>
        <v>543.06000000000006</v>
      </c>
      <c r="P58" s="364">
        <f t="shared" si="7"/>
        <v>543.06000000000006</v>
      </c>
      <c r="Q58" s="364">
        <f t="shared" si="7"/>
        <v>543.06000000000006</v>
      </c>
      <c r="R58" s="364">
        <f t="shared" si="8"/>
        <v>6952.8300000000008</v>
      </c>
    </row>
    <row r="59" spans="2:19" x14ac:dyDescent="0.2">
      <c r="B59" s="32" t="s">
        <v>992</v>
      </c>
      <c r="D59" s="32">
        <v>72</v>
      </c>
      <c r="F59" s="364">
        <f t="shared" si="7"/>
        <v>30893.98</v>
      </c>
      <c r="G59" s="364">
        <f t="shared" si="7"/>
        <v>30664</v>
      </c>
      <c r="H59" s="364">
        <f t="shared" si="7"/>
        <v>30625.67</v>
      </c>
      <c r="I59" s="364">
        <f t="shared" si="7"/>
        <v>31369.919999999998</v>
      </c>
      <c r="J59" s="364">
        <f t="shared" si="7"/>
        <v>31448.639999999999</v>
      </c>
      <c r="K59" s="364">
        <f t="shared" si="7"/>
        <v>30976.32</v>
      </c>
      <c r="L59" s="364">
        <f t="shared" si="7"/>
        <v>30858.239999999998</v>
      </c>
      <c r="M59" s="364">
        <f t="shared" si="7"/>
        <v>31763.52</v>
      </c>
      <c r="N59" s="364">
        <f t="shared" si="7"/>
        <v>30464.639999999999</v>
      </c>
      <c r="O59" s="364">
        <f t="shared" si="7"/>
        <v>30189.119999999999</v>
      </c>
      <c r="P59" s="364">
        <f t="shared" si="7"/>
        <v>30267.84</v>
      </c>
      <c r="Q59" s="364">
        <f t="shared" si="7"/>
        <v>30149.759999999998</v>
      </c>
      <c r="R59" s="364">
        <f t="shared" si="8"/>
        <v>369671.65</v>
      </c>
    </row>
    <row r="60" spans="2:19" x14ac:dyDescent="0.2">
      <c r="B60" s="32" t="s">
        <v>993</v>
      </c>
      <c r="D60" s="32">
        <v>72</v>
      </c>
      <c r="F60" s="364">
        <f t="shared" si="7"/>
        <v>26613.599999999999</v>
      </c>
      <c r="G60" s="364">
        <f t="shared" si="7"/>
        <v>26306.52</v>
      </c>
      <c r="H60" s="364">
        <f t="shared" si="7"/>
        <v>26204.16</v>
      </c>
      <c r="I60" s="364">
        <f t="shared" si="7"/>
        <v>27063.25</v>
      </c>
      <c r="J60" s="364">
        <f t="shared" si="7"/>
        <v>26642.85</v>
      </c>
      <c r="K60" s="364">
        <f t="shared" si="7"/>
        <v>26800.5</v>
      </c>
      <c r="L60" s="364">
        <f t="shared" si="7"/>
        <v>26642.85</v>
      </c>
      <c r="M60" s="364">
        <f t="shared" si="7"/>
        <v>26695.399999999998</v>
      </c>
      <c r="N60" s="364">
        <f t="shared" si="7"/>
        <v>26590.3</v>
      </c>
      <c r="O60" s="364">
        <f t="shared" si="7"/>
        <v>26537.75</v>
      </c>
      <c r="P60" s="364">
        <f t="shared" si="7"/>
        <v>26380.1</v>
      </c>
      <c r="Q60" s="364">
        <f t="shared" si="7"/>
        <v>26327.55</v>
      </c>
      <c r="R60" s="364">
        <f t="shared" si="8"/>
        <v>318804.82999999996</v>
      </c>
    </row>
    <row r="61" spans="2:19" x14ac:dyDescent="0.2">
      <c r="B61" s="32" t="s">
        <v>994</v>
      </c>
      <c r="D61" s="32">
        <v>72</v>
      </c>
      <c r="F61" s="364">
        <f t="shared" si="7"/>
        <v>83467.8</v>
      </c>
      <c r="G61" s="364">
        <f t="shared" si="7"/>
        <v>83051.650000000009</v>
      </c>
      <c r="H61" s="364">
        <f t="shared" si="7"/>
        <v>82813.850000000006</v>
      </c>
      <c r="I61" s="364">
        <f t="shared" si="7"/>
        <v>84798.45</v>
      </c>
      <c r="J61" s="364">
        <f t="shared" si="7"/>
        <v>84371.099999999991</v>
      </c>
      <c r="K61" s="364">
        <f t="shared" si="7"/>
        <v>84493.2</v>
      </c>
      <c r="L61" s="364">
        <f t="shared" si="7"/>
        <v>85042.65</v>
      </c>
      <c r="M61" s="364">
        <f t="shared" si="7"/>
        <v>84798.45</v>
      </c>
      <c r="N61" s="364">
        <f t="shared" si="7"/>
        <v>87973.05</v>
      </c>
      <c r="O61" s="364">
        <f t="shared" si="7"/>
        <v>85225.8</v>
      </c>
      <c r="P61" s="364">
        <f t="shared" si="7"/>
        <v>83943.75</v>
      </c>
      <c r="Q61" s="364">
        <f t="shared" si="7"/>
        <v>83272.2</v>
      </c>
      <c r="R61" s="364">
        <f t="shared" si="8"/>
        <v>1013251.95</v>
      </c>
    </row>
    <row r="62" spans="2:19" x14ac:dyDescent="0.2">
      <c r="B62" s="32" t="s">
        <v>986</v>
      </c>
      <c r="F62" s="365">
        <f t="shared" ref="F62:R62" si="9">SUM(F55:F61)</f>
        <v>153550.34000000003</v>
      </c>
      <c r="G62" s="365">
        <f t="shared" si="9"/>
        <v>152431.58000000002</v>
      </c>
      <c r="H62" s="365">
        <f t="shared" si="9"/>
        <v>151915.56</v>
      </c>
      <c r="I62" s="365">
        <f t="shared" si="9"/>
        <v>155875.21</v>
      </c>
      <c r="J62" s="365">
        <f t="shared" si="9"/>
        <v>155039.35999999999</v>
      </c>
      <c r="K62" s="365">
        <f t="shared" si="9"/>
        <v>154672.27000000002</v>
      </c>
      <c r="L62" s="365">
        <f t="shared" si="9"/>
        <v>154919.15999999997</v>
      </c>
      <c r="M62" s="365">
        <f t="shared" si="9"/>
        <v>155722.03</v>
      </c>
      <c r="N62" s="365">
        <f t="shared" si="9"/>
        <v>157545.31</v>
      </c>
      <c r="O62" s="365">
        <f t="shared" si="9"/>
        <v>154158.09000000003</v>
      </c>
      <c r="P62" s="365">
        <f t="shared" si="9"/>
        <v>152662.29</v>
      </c>
      <c r="Q62" s="365">
        <f t="shared" si="9"/>
        <v>151838.19</v>
      </c>
      <c r="R62" s="365">
        <f t="shared" si="9"/>
        <v>1850329.39</v>
      </c>
    </row>
    <row r="63" spans="2:19" x14ac:dyDescent="0.2">
      <c r="F63" s="364"/>
      <c r="G63" s="364"/>
      <c r="H63" s="364"/>
      <c r="I63" s="364"/>
      <c r="J63" s="364"/>
      <c r="K63" s="364"/>
      <c r="L63" s="364"/>
      <c r="M63" s="364"/>
      <c r="N63" s="364"/>
      <c r="O63" s="364"/>
      <c r="P63" s="364"/>
      <c r="Q63" s="364"/>
      <c r="R63" s="364"/>
    </row>
    <row r="64" spans="2:19" x14ac:dyDescent="0.2">
      <c r="B64" s="276" t="s">
        <v>995</v>
      </c>
    </row>
    <row r="65" spans="2:19" x14ac:dyDescent="0.2">
      <c r="B65" s="276" t="s">
        <v>5</v>
      </c>
    </row>
    <row r="66" spans="2:19" x14ac:dyDescent="0.2">
      <c r="B66" s="32" t="s">
        <v>996</v>
      </c>
      <c r="E66" s="32" t="s">
        <v>976</v>
      </c>
      <c r="F66" s="414">
        <v>9.93</v>
      </c>
      <c r="G66" s="414">
        <v>9.93</v>
      </c>
      <c r="H66" s="414">
        <v>9.93</v>
      </c>
      <c r="I66" s="414">
        <v>10.199999999999999</v>
      </c>
      <c r="J66" s="414">
        <v>10.199999999999999</v>
      </c>
      <c r="K66" s="414">
        <v>10.199999999999999</v>
      </c>
      <c r="L66" s="414">
        <v>10.199999999999999</v>
      </c>
      <c r="M66" s="414">
        <v>10.199999999999999</v>
      </c>
      <c r="N66" s="414">
        <v>10.199999999999999</v>
      </c>
      <c r="O66" s="414">
        <v>10.199999999999999</v>
      </c>
      <c r="P66" s="414">
        <v>10.199999999999999</v>
      </c>
      <c r="Q66" s="414">
        <v>10.199999999999999</v>
      </c>
    </row>
    <row r="67" spans="2:19" x14ac:dyDescent="0.2">
      <c r="B67" s="32" t="s">
        <v>997</v>
      </c>
      <c r="E67" s="32" t="s">
        <v>976</v>
      </c>
      <c r="F67" s="414">
        <v>26.34</v>
      </c>
      <c r="G67" s="414">
        <v>26.34</v>
      </c>
      <c r="H67" s="414">
        <v>26.34</v>
      </c>
      <c r="I67" s="414">
        <v>27.05</v>
      </c>
      <c r="J67" s="414">
        <v>27.05</v>
      </c>
      <c r="K67" s="414">
        <v>27.05</v>
      </c>
      <c r="L67" s="414">
        <v>27.05</v>
      </c>
      <c r="M67" s="414">
        <v>27.05</v>
      </c>
      <c r="N67" s="414">
        <v>27.05</v>
      </c>
      <c r="O67" s="414">
        <v>27.05</v>
      </c>
      <c r="P67" s="414">
        <v>27.05</v>
      </c>
      <c r="Q67" s="414">
        <v>27.05</v>
      </c>
    </row>
    <row r="68" spans="2:19" x14ac:dyDescent="0.2">
      <c r="B68" s="32" t="s">
        <v>998</v>
      </c>
      <c r="E68" s="32" t="s">
        <v>976</v>
      </c>
      <c r="F68" s="414">
        <v>35.590000000000003</v>
      </c>
      <c r="G68" s="414">
        <v>35.590000000000003</v>
      </c>
      <c r="H68" s="414">
        <v>35.590000000000003</v>
      </c>
      <c r="I68" s="414">
        <v>36.54</v>
      </c>
      <c r="J68" s="414">
        <v>36.54</v>
      </c>
      <c r="K68" s="414">
        <v>36.54</v>
      </c>
      <c r="L68" s="414">
        <v>36.54</v>
      </c>
      <c r="M68" s="414">
        <v>36.54</v>
      </c>
      <c r="N68" s="414">
        <v>36.54</v>
      </c>
      <c r="O68" s="414">
        <v>36.54</v>
      </c>
      <c r="P68" s="414">
        <v>36.54</v>
      </c>
      <c r="Q68" s="414">
        <v>36.54</v>
      </c>
    </row>
    <row r="69" spans="2:19" x14ac:dyDescent="0.2">
      <c r="B69" s="32" t="s">
        <v>999</v>
      </c>
      <c r="E69" s="32" t="s">
        <v>976</v>
      </c>
      <c r="F69" s="414">
        <v>14.94</v>
      </c>
      <c r="G69" s="414">
        <v>14.94</v>
      </c>
      <c r="H69" s="414">
        <v>14.94</v>
      </c>
      <c r="I69" s="414">
        <v>15.34</v>
      </c>
      <c r="J69" s="414">
        <v>15.34</v>
      </c>
      <c r="K69" s="414">
        <v>15.34</v>
      </c>
      <c r="L69" s="414">
        <v>15.34</v>
      </c>
      <c r="M69" s="414">
        <v>15.34</v>
      </c>
      <c r="N69" s="414">
        <v>15.34</v>
      </c>
      <c r="O69" s="414">
        <v>15.34</v>
      </c>
      <c r="P69" s="414">
        <v>15.34</v>
      </c>
      <c r="Q69" s="414">
        <v>15.34</v>
      </c>
    </row>
    <row r="71" spans="2:19" x14ac:dyDescent="0.2">
      <c r="B71" s="276" t="s">
        <v>982</v>
      </c>
      <c r="F71" s="279"/>
      <c r="G71" s="279"/>
      <c r="H71" s="279"/>
      <c r="I71" s="279"/>
      <c r="J71" s="279"/>
      <c r="K71" s="279"/>
      <c r="L71" s="279"/>
      <c r="M71" s="279"/>
      <c r="N71" s="279"/>
      <c r="O71" s="279"/>
      <c r="P71" s="279"/>
      <c r="Q71" s="279"/>
    </row>
    <row r="72" spans="2:19" s="336" customFormat="1" x14ac:dyDescent="0.2">
      <c r="B72" s="336" t="s">
        <v>996</v>
      </c>
      <c r="E72" s="336" t="s">
        <v>1000</v>
      </c>
      <c r="F72" s="380">
        <v>1764</v>
      </c>
      <c r="G72" s="380">
        <v>1748</v>
      </c>
      <c r="H72" s="380">
        <v>1731</v>
      </c>
      <c r="I72" s="380">
        <v>1730</v>
      </c>
      <c r="J72" s="380">
        <v>1717</v>
      </c>
      <c r="K72" s="380">
        <v>1699</v>
      </c>
      <c r="L72" s="380">
        <v>1692</v>
      </c>
      <c r="M72" s="380">
        <v>1675</v>
      </c>
      <c r="N72" s="380">
        <v>1660</v>
      </c>
      <c r="O72" s="380">
        <v>1659</v>
      </c>
      <c r="P72" s="380">
        <v>1653</v>
      </c>
      <c r="Q72" s="380">
        <v>1637</v>
      </c>
      <c r="R72" s="362">
        <f>SUM(F72:Q72)</f>
        <v>20365</v>
      </c>
      <c r="S72" s="415"/>
    </row>
    <row r="73" spans="2:19" s="336" customFormat="1" x14ac:dyDescent="0.2">
      <c r="B73" s="336" t="s">
        <v>997</v>
      </c>
      <c r="E73" s="336" t="s">
        <v>1000</v>
      </c>
      <c r="F73" s="416">
        <v>107</v>
      </c>
      <c r="G73" s="416">
        <v>107</v>
      </c>
      <c r="H73" s="416">
        <v>104</v>
      </c>
      <c r="I73" s="416">
        <v>106</v>
      </c>
      <c r="J73" s="416">
        <v>106</v>
      </c>
      <c r="K73" s="416">
        <v>106</v>
      </c>
      <c r="L73" s="416">
        <v>105</v>
      </c>
      <c r="M73" s="416">
        <v>105</v>
      </c>
      <c r="N73" s="416">
        <v>105</v>
      </c>
      <c r="O73" s="380">
        <v>104</v>
      </c>
      <c r="P73" s="380">
        <v>102</v>
      </c>
      <c r="Q73" s="380">
        <v>102</v>
      </c>
      <c r="R73" s="362">
        <f>SUM(F73:Q73)</f>
        <v>1259</v>
      </c>
      <c r="S73" s="415"/>
    </row>
    <row r="74" spans="2:19" s="336" customFormat="1" x14ac:dyDescent="0.2">
      <c r="B74" s="336" t="s">
        <v>998</v>
      </c>
      <c r="E74" s="336" t="s">
        <v>1000</v>
      </c>
      <c r="F74" s="416">
        <v>68</v>
      </c>
      <c r="G74" s="416">
        <v>68</v>
      </c>
      <c r="H74" s="416">
        <v>68</v>
      </c>
      <c r="I74" s="416">
        <v>68</v>
      </c>
      <c r="J74" s="416">
        <v>62</v>
      </c>
      <c r="K74" s="416">
        <v>66</v>
      </c>
      <c r="L74" s="416">
        <v>63</v>
      </c>
      <c r="M74" s="416">
        <v>63</v>
      </c>
      <c r="N74" s="416">
        <v>61</v>
      </c>
      <c r="O74" s="380">
        <v>61</v>
      </c>
      <c r="P74" s="380">
        <v>61</v>
      </c>
      <c r="Q74" s="380">
        <v>60</v>
      </c>
      <c r="R74" s="362">
        <f>SUM(F74:Q74)</f>
        <v>769</v>
      </c>
      <c r="S74" s="415"/>
    </row>
    <row r="75" spans="2:19" s="336" customFormat="1" x14ac:dyDescent="0.2">
      <c r="B75" s="336" t="s">
        <v>999</v>
      </c>
      <c r="E75" s="336" t="s">
        <v>1000</v>
      </c>
      <c r="F75" s="380">
        <v>3158</v>
      </c>
      <c r="G75" s="380">
        <v>3131</v>
      </c>
      <c r="H75" s="380">
        <v>3108</v>
      </c>
      <c r="I75" s="380">
        <v>3090</v>
      </c>
      <c r="J75" s="380">
        <v>3064</v>
      </c>
      <c r="K75" s="380">
        <v>3027</v>
      </c>
      <c r="L75" s="380">
        <v>3028</v>
      </c>
      <c r="M75" s="380">
        <v>2996</v>
      </c>
      <c r="N75" s="380">
        <v>2979</v>
      </c>
      <c r="O75" s="380">
        <v>2958</v>
      </c>
      <c r="P75" s="380">
        <v>2926</v>
      </c>
      <c r="Q75" s="380">
        <v>2900</v>
      </c>
      <c r="R75" s="362">
        <f>SUM(F75:Q75)</f>
        <v>36365</v>
      </c>
      <c r="S75" s="415"/>
    </row>
    <row r="76" spans="2:19" x14ac:dyDescent="0.2">
      <c r="B76" s="32" t="s">
        <v>984</v>
      </c>
      <c r="F76" s="357">
        <f t="shared" ref="F76:N76" si="10">SUM(F72:F75)</f>
        <v>5097</v>
      </c>
      <c r="G76" s="357">
        <f t="shared" si="10"/>
        <v>5054</v>
      </c>
      <c r="H76" s="357">
        <f t="shared" si="10"/>
        <v>5011</v>
      </c>
      <c r="I76" s="357">
        <f t="shared" si="10"/>
        <v>4994</v>
      </c>
      <c r="J76" s="357">
        <f t="shared" si="10"/>
        <v>4949</v>
      </c>
      <c r="K76" s="357">
        <f t="shared" si="10"/>
        <v>4898</v>
      </c>
      <c r="L76" s="357">
        <f t="shared" si="10"/>
        <v>4888</v>
      </c>
      <c r="M76" s="357">
        <f t="shared" si="10"/>
        <v>4839</v>
      </c>
      <c r="N76" s="357">
        <f t="shared" si="10"/>
        <v>4805</v>
      </c>
      <c r="O76" s="357">
        <f>SUM(O72:O75)</f>
        <v>4782</v>
      </c>
      <c r="P76" s="357">
        <f>SUM(P72:P75)</f>
        <v>4742</v>
      </c>
      <c r="Q76" s="357">
        <f>SUM(Q72:Q75)</f>
        <v>4699</v>
      </c>
      <c r="R76" s="357">
        <f>SUM(R72:R75)</f>
        <v>58758</v>
      </c>
    </row>
    <row r="78" spans="2:19" x14ac:dyDescent="0.2">
      <c r="B78" s="276" t="s">
        <v>985</v>
      </c>
    </row>
    <row r="79" spans="2:19" x14ac:dyDescent="0.2">
      <c r="B79" s="32" t="s">
        <v>996</v>
      </c>
      <c r="E79" s="32" t="s">
        <v>976</v>
      </c>
      <c r="F79" s="364">
        <f t="shared" ref="F79:Q82" si="11">F66*F72</f>
        <v>17516.52</v>
      </c>
      <c r="G79" s="364">
        <f t="shared" si="11"/>
        <v>17357.64</v>
      </c>
      <c r="H79" s="364">
        <f t="shared" si="11"/>
        <v>17188.829999999998</v>
      </c>
      <c r="I79" s="364">
        <f t="shared" si="11"/>
        <v>17646</v>
      </c>
      <c r="J79" s="364">
        <f t="shared" si="11"/>
        <v>17513.399999999998</v>
      </c>
      <c r="K79" s="364">
        <f t="shared" si="11"/>
        <v>17329.8</v>
      </c>
      <c r="L79" s="364">
        <f t="shared" si="11"/>
        <v>17258.399999999998</v>
      </c>
      <c r="M79" s="364">
        <f t="shared" si="11"/>
        <v>17085</v>
      </c>
      <c r="N79" s="364">
        <f t="shared" si="11"/>
        <v>16932</v>
      </c>
      <c r="O79" s="364">
        <f t="shared" si="11"/>
        <v>16921.8</v>
      </c>
      <c r="P79" s="364">
        <f t="shared" si="11"/>
        <v>16860.599999999999</v>
      </c>
      <c r="Q79" s="364">
        <f t="shared" si="11"/>
        <v>16697.399999999998</v>
      </c>
      <c r="R79" s="364">
        <f>SUM(F79:Q79)</f>
        <v>206307.38999999998</v>
      </c>
    </row>
    <row r="80" spans="2:19" x14ac:dyDescent="0.2">
      <c r="B80" s="32" t="s">
        <v>997</v>
      </c>
      <c r="E80" s="32" t="s">
        <v>976</v>
      </c>
      <c r="F80" s="364">
        <f t="shared" si="11"/>
        <v>2818.38</v>
      </c>
      <c r="G80" s="364">
        <f t="shared" si="11"/>
        <v>2818.38</v>
      </c>
      <c r="H80" s="364">
        <f t="shared" si="11"/>
        <v>2739.36</v>
      </c>
      <c r="I80" s="364">
        <f t="shared" si="11"/>
        <v>2867.3</v>
      </c>
      <c r="J80" s="364">
        <f t="shared" si="11"/>
        <v>2867.3</v>
      </c>
      <c r="K80" s="364">
        <f t="shared" si="11"/>
        <v>2867.3</v>
      </c>
      <c r="L80" s="364">
        <f t="shared" si="11"/>
        <v>2840.25</v>
      </c>
      <c r="M80" s="364">
        <f t="shared" si="11"/>
        <v>2840.25</v>
      </c>
      <c r="N80" s="364">
        <f t="shared" si="11"/>
        <v>2840.25</v>
      </c>
      <c r="O80" s="364">
        <f t="shared" si="11"/>
        <v>2813.2000000000003</v>
      </c>
      <c r="P80" s="364">
        <f t="shared" si="11"/>
        <v>2759.1</v>
      </c>
      <c r="Q80" s="364">
        <f t="shared" si="11"/>
        <v>2759.1</v>
      </c>
      <c r="R80" s="364">
        <f>SUM(F80:Q80)</f>
        <v>33830.17</v>
      </c>
    </row>
    <row r="81" spans="2:20" x14ac:dyDescent="0.2">
      <c r="B81" s="32" t="s">
        <v>998</v>
      </c>
      <c r="E81" s="32" t="s">
        <v>976</v>
      </c>
      <c r="F81" s="364">
        <f t="shared" si="11"/>
        <v>2420.1200000000003</v>
      </c>
      <c r="G81" s="364">
        <f t="shared" si="11"/>
        <v>2420.1200000000003</v>
      </c>
      <c r="H81" s="364">
        <f t="shared" si="11"/>
        <v>2420.1200000000003</v>
      </c>
      <c r="I81" s="364">
        <f t="shared" si="11"/>
        <v>2484.7199999999998</v>
      </c>
      <c r="J81" s="364">
        <f t="shared" si="11"/>
        <v>2265.48</v>
      </c>
      <c r="K81" s="364">
        <f t="shared" si="11"/>
        <v>2411.64</v>
      </c>
      <c r="L81" s="364">
        <f t="shared" si="11"/>
        <v>2302.02</v>
      </c>
      <c r="M81" s="364">
        <f t="shared" si="11"/>
        <v>2302.02</v>
      </c>
      <c r="N81" s="364">
        <f t="shared" si="11"/>
        <v>2228.94</v>
      </c>
      <c r="O81" s="364">
        <f t="shared" si="11"/>
        <v>2228.94</v>
      </c>
      <c r="P81" s="364">
        <f t="shared" si="11"/>
        <v>2228.94</v>
      </c>
      <c r="Q81" s="364">
        <f t="shared" si="11"/>
        <v>2192.4</v>
      </c>
      <c r="R81" s="364">
        <f>SUM(F81:Q81)</f>
        <v>27905.459999999995</v>
      </c>
    </row>
    <row r="82" spans="2:20" x14ac:dyDescent="0.2">
      <c r="B82" s="32" t="s">
        <v>999</v>
      </c>
      <c r="E82" s="32" t="s">
        <v>976</v>
      </c>
      <c r="F82" s="364">
        <f t="shared" si="11"/>
        <v>47180.52</v>
      </c>
      <c r="G82" s="364">
        <f t="shared" si="11"/>
        <v>46777.14</v>
      </c>
      <c r="H82" s="364">
        <f t="shared" si="11"/>
        <v>46433.52</v>
      </c>
      <c r="I82" s="364">
        <f t="shared" si="11"/>
        <v>47400.6</v>
      </c>
      <c r="J82" s="364">
        <f t="shared" si="11"/>
        <v>47001.760000000002</v>
      </c>
      <c r="K82" s="364">
        <f t="shared" si="11"/>
        <v>46434.18</v>
      </c>
      <c r="L82" s="364">
        <f t="shared" si="11"/>
        <v>46449.52</v>
      </c>
      <c r="M82" s="364">
        <f t="shared" si="11"/>
        <v>45958.64</v>
      </c>
      <c r="N82" s="364">
        <f t="shared" si="11"/>
        <v>45697.86</v>
      </c>
      <c r="O82" s="364">
        <f t="shared" si="11"/>
        <v>45375.72</v>
      </c>
      <c r="P82" s="364">
        <f t="shared" si="11"/>
        <v>44884.84</v>
      </c>
      <c r="Q82" s="364">
        <f t="shared" si="11"/>
        <v>44486</v>
      </c>
      <c r="R82" s="364">
        <f>SUM(F82:Q82)</f>
        <v>554080.30000000005</v>
      </c>
    </row>
    <row r="83" spans="2:20" x14ac:dyDescent="0.2">
      <c r="B83" s="32" t="s">
        <v>986</v>
      </c>
      <c r="F83" s="365">
        <f t="shared" ref="F83:N83" si="12">SUM(F79:F82)</f>
        <v>69935.539999999994</v>
      </c>
      <c r="G83" s="365">
        <f t="shared" si="12"/>
        <v>69373.279999999999</v>
      </c>
      <c r="H83" s="365">
        <f t="shared" si="12"/>
        <v>68781.829999999987</v>
      </c>
      <c r="I83" s="365">
        <f t="shared" si="12"/>
        <v>70398.62</v>
      </c>
      <c r="J83" s="365">
        <f t="shared" si="12"/>
        <v>69647.94</v>
      </c>
      <c r="K83" s="365">
        <f t="shared" si="12"/>
        <v>69042.92</v>
      </c>
      <c r="L83" s="365">
        <f t="shared" si="12"/>
        <v>68850.19</v>
      </c>
      <c r="M83" s="365">
        <f t="shared" si="12"/>
        <v>68185.91</v>
      </c>
      <c r="N83" s="365">
        <f t="shared" si="12"/>
        <v>67699.05</v>
      </c>
      <c r="O83" s="365">
        <f>SUM(O79:O82)</f>
        <v>67339.66</v>
      </c>
      <c r="P83" s="365">
        <f>SUM(P79:P82)</f>
        <v>66733.48</v>
      </c>
      <c r="Q83" s="365">
        <f>SUM(Q79:Q82)</f>
        <v>66134.899999999994</v>
      </c>
      <c r="R83" s="365">
        <f>SUM(R79:R82)</f>
        <v>822123.32000000007</v>
      </c>
    </row>
    <row r="84" spans="2:20" x14ac:dyDescent="0.2">
      <c r="F84" s="364"/>
      <c r="G84" s="364"/>
      <c r="H84" s="364"/>
      <c r="I84" s="364"/>
      <c r="J84" s="364"/>
      <c r="K84" s="364"/>
      <c r="L84" s="364"/>
      <c r="M84" s="364"/>
      <c r="N84" s="364"/>
      <c r="O84" s="364"/>
      <c r="P84" s="364"/>
      <c r="Q84" s="364"/>
      <c r="R84" s="364"/>
    </row>
    <row r="85" spans="2:20" x14ac:dyDescent="0.2">
      <c r="B85" s="276" t="s">
        <v>1001</v>
      </c>
    </row>
    <row r="86" spans="2:20" x14ac:dyDescent="0.2">
      <c r="B86" s="276" t="s">
        <v>1002</v>
      </c>
    </row>
    <row r="87" spans="2:20" x14ac:dyDescent="0.2">
      <c r="B87" s="32" t="s">
        <v>1003</v>
      </c>
      <c r="D87" s="32">
        <v>71</v>
      </c>
      <c r="F87" s="279">
        <f t="shared" ref="F87:N87" si="13">F23</f>
        <v>36594</v>
      </c>
      <c r="G87" s="279">
        <f t="shared" si="13"/>
        <v>36388</v>
      </c>
      <c r="H87" s="279">
        <f t="shared" si="13"/>
        <v>36288</v>
      </c>
      <c r="I87" s="279">
        <f t="shared" si="13"/>
        <v>36071</v>
      </c>
      <c r="J87" s="279">
        <f t="shared" si="13"/>
        <v>35929</v>
      </c>
      <c r="K87" s="279">
        <f t="shared" si="13"/>
        <v>35812</v>
      </c>
      <c r="L87" s="279">
        <f t="shared" si="13"/>
        <v>35693</v>
      </c>
      <c r="M87" s="279">
        <f t="shared" si="13"/>
        <v>35601</v>
      </c>
      <c r="N87" s="279">
        <f t="shared" si="13"/>
        <v>35435</v>
      </c>
      <c r="O87" s="279">
        <f>O23</f>
        <v>35246</v>
      </c>
      <c r="P87" s="279">
        <f>P23</f>
        <v>35209</v>
      </c>
      <c r="Q87" s="279">
        <f>Q23</f>
        <v>35035</v>
      </c>
      <c r="R87" s="279">
        <f>R23</f>
        <v>429301</v>
      </c>
    </row>
    <row r="88" spans="2:20" x14ac:dyDescent="0.2">
      <c r="B88" s="32" t="s">
        <v>1004</v>
      </c>
      <c r="D88" s="32">
        <v>72</v>
      </c>
      <c r="F88" s="279">
        <f t="shared" ref="F88:N88" si="14">F52</f>
        <v>3436</v>
      </c>
      <c r="G88" s="279">
        <f t="shared" si="14"/>
        <v>3407</v>
      </c>
      <c r="H88" s="279">
        <f t="shared" si="14"/>
        <v>3393</v>
      </c>
      <c r="I88" s="279">
        <f t="shared" si="14"/>
        <v>3392</v>
      </c>
      <c r="J88" s="279">
        <f t="shared" si="14"/>
        <v>3376</v>
      </c>
      <c r="K88" s="279">
        <f t="shared" si="14"/>
        <v>3359</v>
      </c>
      <c r="L88" s="279">
        <f t="shared" si="14"/>
        <v>3360</v>
      </c>
      <c r="M88" s="279">
        <f t="shared" si="14"/>
        <v>3381</v>
      </c>
      <c r="N88" s="279">
        <f t="shared" si="14"/>
        <v>3403</v>
      </c>
      <c r="O88" s="279">
        <f>O52</f>
        <v>3334</v>
      </c>
      <c r="P88" s="279">
        <f>P52</f>
        <v>3305</v>
      </c>
      <c r="Q88" s="279">
        <f>Q52</f>
        <v>3290</v>
      </c>
      <c r="R88" s="279">
        <f>R52</f>
        <v>40436</v>
      </c>
    </row>
    <row r="89" spans="2:20" x14ac:dyDescent="0.2">
      <c r="B89" s="32" t="s">
        <v>1005</v>
      </c>
      <c r="D89" s="32">
        <v>74</v>
      </c>
      <c r="F89" s="279">
        <f t="shared" ref="F89:N89" si="15">F76</f>
        <v>5097</v>
      </c>
      <c r="G89" s="279">
        <f t="shared" si="15"/>
        <v>5054</v>
      </c>
      <c r="H89" s="279">
        <f t="shared" si="15"/>
        <v>5011</v>
      </c>
      <c r="I89" s="279">
        <f t="shared" si="15"/>
        <v>4994</v>
      </c>
      <c r="J89" s="279">
        <f t="shared" si="15"/>
        <v>4949</v>
      </c>
      <c r="K89" s="279">
        <f t="shared" si="15"/>
        <v>4898</v>
      </c>
      <c r="L89" s="279">
        <f t="shared" si="15"/>
        <v>4888</v>
      </c>
      <c r="M89" s="279">
        <f t="shared" si="15"/>
        <v>4839</v>
      </c>
      <c r="N89" s="279">
        <f t="shared" si="15"/>
        <v>4805</v>
      </c>
      <c r="O89" s="279">
        <f>O76</f>
        <v>4782</v>
      </c>
      <c r="P89" s="279">
        <f>P76</f>
        <v>4742</v>
      </c>
      <c r="Q89" s="279">
        <f>Q76</f>
        <v>4699</v>
      </c>
      <c r="R89" s="279">
        <f>R76</f>
        <v>58758</v>
      </c>
    </row>
    <row r="90" spans="2:20" x14ac:dyDescent="0.2">
      <c r="B90" s="32" t="s">
        <v>1006</v>
      </c>
      <c r="F90" s="357">
        <f t="shared" ref="F90:N90" si="16">SUM(F87:F89)</f>
        <v>45127</v>
      </c>
      <c r="G90" s="357">
        <f t="shared" si="16"/>
        <v>44849</v>
      </c>
      <c r="H90" s="357">
        <f t="shared" si="16"/>
        <v>44692</v>
      </c>
      <c r="I90" s="357">
        <f t="shared" si="16"/>
        <v>44457</v>
      </c>
      <c r="J90" s="357">
        <f t="shared" si="16"/>
        <v>44254</v>
      </c>
      <c r="K90" s="357">
        <f t="shared" si="16"/>
        <v>44069</v>
      </c>
      <c r="L90" s="357">
        <f t="shared" si="16"/>
        <v>43941</v>
      </c>
      <c r="M90" s="357">
        <f t="shared" si="16"/>
        <v>43821</v>
      </c>
      <c r="N90" s="357">
        <f t="shared" si="16"/>
        <v>43643</v>
      </c>
      <c r="O90" s="357">
        <f>SUM(O87:O89)</f>
        <v>43362</v>
      </c>
      <c r="P90" s="357">
        <f>SUM(P87:P89)</f>
        <v>43256</v>
      </c>
      <c r="Q90" s="357">
        <f>SUM(Q87:Q89)</f>
        <v>43024</v>
      </c>
      <c r="R90" s="357">
        <f>SUM(R87:R89)</f>
        <v>528495</v>
      </c>
    </row>
    <row r="92" spans="2:20" x14ac:dyDescent="0.2">
      <c r="B92" s="276" t="s">
        <v>1007</v>
      </c>
    </row>
    <row r="93" spans="2:20" x14ac:dyDescent="0.2">
      <c r="B93" s="32" t="s">
        <v>1003</v>
      </c>
      <c r="D93" s="32">
        <v>71</v>
      </c>
      <c r="E93" s="364"/>
      <c r="F93" s="364">
        <f t="shared" ref="F93:N93" si="17">F32</f>
        <v>421021.92000000004</v>
      </c>
      <c r="G93" s="364">
        <f t="shared" si="17"/>
        <v>418490.1700000001</v>
      </c>
      <c r="H93" s="364">
        <f t="shared" si="17"/>
        <v>417381.09</v>
      </c>
      <c r="I93" s="364">
        <f t="shared" si="17"/>
        <v>425902.08999999997</v>
      </c>
      <c r="J93" s="364">
        <f t="shared" si="17"/>
        <v>424124.42</v>
      </c>
      <c r="K93" s="364">
        <f t="shared" si="17"/>
        <v>422686.20000000007</v>
      </c>
      <c r="L93" s="364">
        <f t="shared" si="17"/>
        <v>421290.52</v>
      </c>
      <c r="M93" s="364">
        <f t="shared" si="17"/>
        <v>420131.52</v>
      </c>
      <c r="N93" s="364">
        <f t="shared" si="17"/>
        <v>418220.13999999996</v>
      </c>
      <c r="O93" s="364">
        <f>O32</f>
        <v>415810.98000000004</v>
      </c>
      <c r="P93" s="364">
        <f>P32</f>
        <v>415396.41000000009</v>
      </c>
      <c r="Q93" s="364">
        <f>Q32</f>
        <v>413248.8</v>
      </c>
      <c r="R93" s="364">
        <f>SUM(F93:Q93)</f>
        <v>5033704.2600000007</v>
      </c>
      <c r="S93" s="417"/>
      <c r="T93" s="364"/>
    </row>
    <row r="94" spans="2:20" x14ac:dyDescent="0.2">
      <c r="B94" s="32" t="s">
        <v>1004</v>
      </c>
      <c r="D94" s="32">
        <v>72</v>
      </c>
      <c r="E94" s="364"/>
      <c r="F94" s="364">
        <f t="shared" ref="F94:N94" si="18">F62</f>
        <v>153550.34000000003</v>
      </c>
      <c r="G94" s="364">
        <f t="shared" si="18"/>
        <v>152431.58000000002</v>
      </c>
      <c r="H94" s="364">
        <f t="shared" si="18"/>
        <v>151915.56</v>
      </c>
      <c r="I94" s="364">
        <f t="shared" si="18"/>
        <v>155875.21</v>
      </c>
      <c r="J94" s="364">
        <f t="shared" si="18"/>
        <v>155039.35999999999</v>
      </c>
      <c r="K94" s="364">
        <f t="shared" si="18"/>
        <v>154672.27000000002</v>
      </c>
      <c r="L94" s="364">
        <f t="shared" si="18"/>
        <v>154919.15999999997</v>
      </c>
      <c r="M94" s="364">
        <f t="shared" si="18"/>
        <v>155722.03</v>
      </c>
      <c r="N94" s="364">
        <f t="shared" si="18"/>
        <v>157545.31</v>
      </c>
      <c r="O94" s="364">
        <f>O62</f>
        <v>154158.09000000003</v>
      </c>
      <c r="P94" s="364">
        <f>P62</f>
        <v>152662.29</v>
      </c>
      <c r="Q94" s="364">
        <f>Q62</f>
        <v>151838.19</v>
      </c>
      <c r="R94" s="364">
        <f>SUM(F94:Q94)</f>
        <v>1850329.3900000001</v>
      </c>
      <c r="S94" s="417"/>
      <c r="T94" s="364"/>
    </row>
    <row r="95" spans="2:20" x14ac:dyDescent="0.2">
      <c r="B95" s="32" t="s">
        <v>1008</v>
      </c>
      <c r="D95" s="32">
        <v>74</v>
      </c>
      <c r="E95" s="364"/>
      <c r="F95" s="364">
        <f t="shared" ref="F95:N95" si="19">F83</f>
        <v>69935.539999999994</v>
      </c>
      <c r="G95" s="364">
        <f t="shared" si="19"/>
        <v>69373.279999999999</v>
      </c>
      <c r="H95" s="364">
        <f t="shared" si="19"/>
        <v>68781.829999999987</v>
      </c>
      <c r="I95" s="364">
        <f t="shared" si="19"/>
        <v>70398.62</v>
      </c>
      <c r="J95" s="364">
        <f t="shared" si="19"/>
        <v>69647.94</v>
      </c>
      <c r="K95" s="364">
        <f t="shared" si="19"/>
        <v>69042.92</v>
      </c>
      <c r="L95" s="364">
        <f t="shared" si="19"/>
        <v>68850.19</v>
      </c>
      <c r="M95" s="364">
        <f t="shared" si="19"/>
        <v>68185.91</v>
      </c>
      <c r="N95" s="364">
        <f t="shared" si="19"/>
        <v>67699.05</v>
      </c>
      <c r="O95" s="364">
        <f>O83</f>
        <v>67339.66</v>
      </c>
      <c r="P95" s="364">
        <f>P83</f>
        <v>66733.48</v>
      </c>
      <c r="Q95" s="364">
        <f>Q83</f>
        <v>66134.899999999994</v>
      </c>
      <c r="R95" s="364">
        <f>SUM(F95:Q95)</f>
        <v>822123.32000000007</v>
      </c>
      <c r="S95" s="417"/>
      <c r="T95" s="364"/>
    </row>
    <row r="96" spans="2:20" x14ac:dyDescent="0.2">
      <c r="B96" s="32" t="s">
        <v>1009</v>
      </c>
      <c r="E96" s="417"/>
      <c r="F96" s="365">
        <f t="shared" ref="F96:N96" si="20">SUM(F93:F95)</f>
        <v>644507.80000000005</v>
      </c>
      <c r="G96" s="365">
        <f t="shared" si="20"/>
        <v>640295.03000000014</v>
      </c>
      <c r="H96" s="365">
        <f t="shared" si="20"/>
        <v>638078.48</v>
      </c>
      <c r="I96" s="365">
        <f t="shared" si="20"/>
        <v>652175.91999999993</v>
      </c>
      <c r="J96" s="365">
        <f t="shared" si="20"/>
        <v>648811.72</v>
      </c>
      <c r="K96" s="365">
        <f t="shared" si="20"/>
        <v>646401.39000000013</v>
      </c>
      <c r="L96" s="365">
        <f t="shared" si="20"/>
        <v>645059.86999999988</v>
      </c>
      <c r="M96" s="365">
        <f t="shared" si="20"/>
        <v>644039.46000000008</v>
      </c>
      <c r="N96" s="365">
        <f t="shared" si="20"/>
        <v>643464.5</v>
      </c>
      <c r="O96" s="365">
        <f>SUM(O93:O95)</f>
        <v>637308.7300000001</v>
      </c>
      <c r="P96" s="365">
        <f>SUM(P93:P95)</f>
        <v>634792.18000000005</v>
      </c>
      <c r="Q96" s="365">
        <f>SUM(Q93:Q95)</f>
        <v>631221.89</v>
      </c>
      <c r="R96" s="365">
        <f>SUM(R93:R95)</f>
        <v>7706156.9700000007</v>
      </c>
      <c r="S96" s="417"/>
      <c r="T96" s="364"/>
    </row>
    <row r="97" spans="5:21" x14ac:dyDescent="0.2">
      <c r="E97" s="364"/>
      <c r="F97" s="364"/>
      <c r="G97" s="364"/>
      <c r="H97" s="364"/>
      <c r="I97" s="364"/>
      <c r="J97" s="364"/>
      <c r="K97" s="364"/>
      <c r="L97" s="364"/>
      <c r="M97" s="364"/>
      <c r="N97" s="364"/>
      <c r="O97" s="364"/>
      <c r="P97" s="364"/>
      <c r="Q97" s="364"/>
      <c r="R97" s="364"/>
    </row>
    <row r="98" spans="5:21" s="336" customFormat="1" x14ac:dyDescent="0.2">
      <c r="E98" s="418"/>
      <c r="F98" s="418"/>
      <c r="G98" s="418"/>
      <c r="H98" s="418"/>
      <c r="I98" s="418"/>
      <c r="J98" s="418"/>
      <c r="K98" s="418"/>
      <c r="L98" s="418"/>
      <c r="M98" s="418"/>
      <c r="N98" s="418"/>
      <c r="O98" s="418"/>
      <c r="P98" s="418"/>
      <c r="Q98" s="418"/>
      <c r="R98" s="418"/>
      <c r="S98" s="415"/>
      <c r="T98" s="418"/>
      <c r="U98" s="418"/>
    </row>
    <row r="99" spans="5:21" x14ac:dyDescent="0.2">
      <c r="E99" s="364"/>
      <c r="F99" s="364"/>
      <c r="G99" s="364"/>
      <c r="H99" s="364"/>
      <c r="I99" s="364"/>
      <c r="J99" s="364"/>
      <c r="K99" s="364"/>
      <c r="L99" s="364"/>
      <c r="M99" s="364"/>
      <c r="N99" s="364"/>
      <c r="O99" s="364"/>
      <c r="P99" s="364"/>
      <c r="Q99" s="364"/>
      <c r="R99" s="364"/>
    </row>
    <row r="100" spans="5:21" x14ac:dyDescent="0.2">
      <c r="E100" s="419"/>
      <c r="F100" s="420"/>
      <c r="G100" s="420"/>
      <c r="H100" s="420"/>
      <c r="I100" s="420"/>
      <c r="J100" s="420"/>
      <c r="K100" s="420"/>
      <c r="L100" s="420"/>
      <c r="M100" s="420"/>
      <c r="N100" s="420"/>
      <c r="O100" s="420"/>
      <c r="P100" s="420"/>
      <c r="Q100" s="420"/>
      <c r="R100" s="420"/>
    </row>
  </sheetData>
  <pageMargins left="0.7" right="0.7" top="0.75" bottom="0.75" header="0.3" footer="0.3"/>
  <pageSetup fitToHeight="2" orientation="portrait" r:id="rId1"/>
  <rowBreaks count="1" manualBreakCount="1">
    <brk id="62"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U100"/>
  <sheetViews>
    <sheetView workbookViewId="0">
      <selection activeCell="C35" sqref="C35"/>
    </sheetView>
  </sheetViews>
  <sheetFormatPr defaultRowHeight="12.75" x14ac:dyDescent="0.2"/>
  <cols>
    <col min="1" max="1" width="2" style="32" customWidth="1"/>
    <col min="2" max="2" width="1.42578125" style="32" customWidth="1"/>
    <col min="3" max="3" width="32" style="32" customWidth="1"/>
    <col min="4" max="4" width="12" style="32" bestFit="1" customWidth="1"/>
    <col min="5" max="5" width="10.140625" style="32" customWidth="1"/>
    <col min="6" max="17" width="10.85546875" style="32" customWidth="1"/>
    <col min="18" max="18" width="12" style="32" customWidth="1"/>
    <col min="19" max="19" width="14.5703125" style="390" bestFit="1" customWidth="1"/>
    <col min="20" max="20" width="14.5703125" style="32" bestFit="1" customWidth="1"/>
    <col min="21" max="16384" width="9.140625" style="32"/>
  </cols>
  <sheetData>
    <row r="1" spans="2:18" x14ac:dyDescent="0.2">
      <c r="B1" s="385" t="str">
        <f>'JKP-3.1c - Revenue'!$B$1</f>
        <v>Puget Sound Energy</v>
      </c>
      <c r="C1" s="386"/>
      <c r="D1" s="387"/>
      <c r="E1" s="387"/>
      <c r="F1" s="387"/>
      <c r="G1" s="386"/>
      <c r="H1" s="386"/>
      <c r="I1" s="386"/>
      <c r="J1" s="386"/>
      <c r="K1" s="386"/>
      <c r="L1" s="386"/>
      <c r="M1" s="386"/>
      <c r="N1" s="386"/>
      <c r="O1" s="386"/>
      <c r="P1" s="386"/>
      <c r="Q1" s="386"/>
      <c r="R1" s="386"/>
    </row>
    <row r="2" spans="2:18" x14ac:dyDescent="0.2">
      <c r="B2" s="385" t="str">
        <f>'JKP-3.1c - Revenue'!$B$2</f>
        <v>2011 General Rate Case - Gas</v>
      </c>
      <c r="C2" s="386"/>
      <c r="D2" s="386"/>
      <c r="E2" s="386"/>
      <c r="F2" s="388"/>
      <c r="G2" s="386"/>
      <c r="H2" s="386"/>
      <c r="I2" s="386"/>
      <c r="J2" s="386"/>
      <c r="K2" s="386"/>
      <c r="L2" s="386"/>
      <c r="M2" s="386"/>
      <c r="N2" s="386"/>
      <c r="O2" s="386"/>
      <c r="P2" s="386"/>
      <c r="Q2" s="386"/>
      <c r="R2" s="386"/>
    </row>
    <row r="3" spans="2:18" x14ac:dyDescent="0.2">
      <c r="B3" s="386" t="s">
        <v>1010</v>
      </c>
      <c r="C3" s="386"/>
      <c r="D3" s="386"/>
      <c r="E3" s="386"/>
      <c r="F3" s="389"/>
      <c r="G3" s="389"/>
      <c r="H3" s="389"/>
      <c r="I3" s="389"/>
      <c r="J3" s="389"/>
      <c r="K3" s="389"/>
      <c r="L3" s="389"/>
      <c r="M3" s="389"/>
      <c r="N3" s="389"/>
      <c r="O3" s="389"/>
      <c r="P3" s="389"/>
      <c r="Q3" s="389"/>
      <c r="R3" s="386"/>
    </row>
    <row r="4" spans="2:18"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2:18" x14ac:dyDescent="0.2">
      <c r="R5" s="276"/>
    </row>
    <row r="6" spans="2:18" x14ac:dyDescent="0.2">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row>
    <row r="7" spans="2:18" x14ac:dyDescent="0.2">
      <c r="B7" s="276" t="s">
        <v>974</v>
      </c>
    </row>
    <row r="8" spans="2:18" x14ac:dyDescent="0.2">
      <c r="B8" s="276" t="s">
        <v>5</v>
      </c>
    </row>
    <row r="9" spans="2:18" x14ac:dyDescent="0.2">
      <c r="B9" s="32" t="s">
        <v>975</v>
      </c>
      <c r="D9" s="32">
        <v>71</v>
      </c>
      <c r="E9" s="32" t="s">
        <v>976</v>
      </c>
      <c r="F9" s="414">
        <v>7.51</v>
      </c>
      <c r="G9" s="414">
        <v>7.51</v>
      </c>
      <c r="H9" s="414">
        <v>7.51</v>
      </c>
      <c r="I9" s="414">
        <v>7.51</v>
      </c>
      <c r="J9" s="414">
        <v>7.51</v>
      </c>
      <c r="K9" s="414">
        <v>7.51</v>
      </c>
      <c r="L9" s="414">
        <v>7.51</v>
      </c>
      <c r="M9" s="414">
        <v>7.51</v>
      </c>
      <c r="N9" s="414">
        <v>7.51</v>
      </c>
      <c r="O9" s="414">
        <v>7.51</v>
      </c>
      <c r="P9" s="414">
        <v>7.51</v>
      </c>
      <c r="Q9" s="414">
        <v>7.51</v>
      </c>
    </row>
    <row r="10" spans="2:18" x14ac:dyDescent="0.2">
      <c r="B10" s="32" t="s">
        <v>977</v>
      </c>
      <c r="D10" s="32">
        <v>71</v>
      </c>
      <c r="E10" s="32" t="s">
        <v>976</v>
      </c>
      <c r="F10" s="414">
        <v>12.05</v>
      </c>
      <c r="G10" s="414">
        <v>12.05</v>
      </c>
      <c r="H10" s="414">
        <v>12.05</v>
      </c>
      <c r="I10" s="414">
        <v>12.05</v>
      </c>
      <c r="J10" s="414">
        <v>12.05</v>
      </c>
      <c r="K10" s="414">
        <v>12.05</v>
      </c>
      <c r="L10" s="414">
        <v>12.05</v>
      </c>
      <c r="M10" s="414">
        <v>12.05</v>
      </c>
      <c r="N10" s="414">
        <v>12.05</v>
      </c>
      <c r="O10" s="414">
        <v>12.05</v>
      </c>
      <c r="P10" s="414">
        <v>12.05</v>
      </c>
      <c r="Q10" s="414">
        <v>12.05</v>
      </c>
    </row>
    <row r="11" spans="2:18" x14ac:dyDescent="0.2">
      <c r="B11" s="32" t="s">
        <v>978</v>
      </c>
      <c r="D11" s="32">
        <v>71</v>
      </c>
      <c r="E11" s="32" t="s">
        <v>976</v>
      </c>
      <c r="F11" s="414">
        <v>16.91</v>
      </c>
      <c r="G11" s="414">
        <v>16.91</v>
      </c>
      <c r="H11" s="414">
        <v>16.91</v>
      </c>
      <c r="I11" s="414">
        <v>16.91</v>
      </c>
      <c r="J11" s="414">
        <v>16.91</v>
      </c>
      <c r="K11" s="414">
        <v>16.91</v>
      </c>
      <c r="L11" s="414">
        <v>16.91</v>
      </c>
      <c r="M11" s="414">
        <v>16.91</v>
      </c>
      <c r="N11" s="414">
        <v>16.91</v>
      </c>
      <c r="O11" s="414">
        <v>16.91</v>
      </c>
      <c r="P11" s="414">
        <v>16.91</v>
      </c>
      <c r="Q11" s="414">
        <v>16.91</v>
      </c>
    </row>
    <row r="12" spans="2:18" x14ac:dyDescent="0.2">
      <c r="B12" s="32" t="s">
        <v>979</v>
      </c>
      <c r="D12" s="32">
        <v>71</v>
      </c>
      <c r="E12" s="32" t="s">
        <v>976</v>
      </c>
      <c r="F12" s="414">
        <v>16.55</v>
      </c>
      <c r="G12" s="414">
        <v>16.55</v>
      </c>
      <c r="H12" s="414">
        <v>16.55</v>
      </c>
      <c r="I12" s="414">
        <v>16.55</v>
      </c>
      <c r="J12" s="414">
        <v>16.55</v>
      </c>
      <c r="K12" s="414">
        <v>16.55</v>
      </c>
      <c r="L12" s="414">
        <v>16.55</v>
      </c>
      <c r="M12" s="414">
        <v>16.55</v>
      </c>
      <c r="N12" s="414">
        <v>16.55</v>
      </c>
      <c r="O12" s="414">
        <v>16.55</v>
      </c>
      <c r="P12" s="414">
        <v>16.55</v>
      </c>
      <c r="Q12" s="414">
        <v>16.55</v>
      </c>
    </row>
    <row r="13" spans="2:18" x14ac:dyDescent="0.2">
      <c r="B13" s="32" t="s">
        <v>980</v>
      </c>
      <c r="D13" s="32">
        <v>71</v>
      </c>
      <c r="E13" s="32" t="s">
        <v>976</v>
      </c>
      <c r="F13" s="414">
        <v>6.04</v>
      </c>
      <c r="G13" s="414">
        <v>6.04</v>
      </c>
      <c r="H13" s="414">
        <v>6.04</v>
      </c>
      <c r="I13" s="414">
        <v>6.04</v>
      </c>
      <c r="J13" s="414">
        <v>6.04</v>
      </c>
      <c r="K13" s="414">
        <v>6.04</v>
      </c>
      <c r="L13" s="414">
        <v>6.04</v>
      </c>
      <c r="M13" s="414">
        <v>6.04</v>
      </c>
      <c r="N13" s="414">
        <v>6.04</v>
      </c>
      <c r="O13" s="414">
        <v>6.04</v>
      </c>
      <c r="P13" s="414">
        <v>6.04</v>
      </c>
      <c r="Q13" s="414">
        <v>6.04</v>
      </c>
    </row>
    <row r="14" spans="2:18" x14ac:dyDescent="0.2">
      <c r="B14" s="32" t="s">
        <v>981</v>
      </c>
      <c r="D14" s="32">
        <v>71</v>
      </c>
      <c r="E14" s="32" t="s">
        <v>976</v>
      </c>
      <c r="F14" s="414">
        <v>10.59</v>
      </c>
      <c r="G14" s="414">
        <v>10.59</v>
      </c>
      <c r="H14" s="414">
        <v>10.59</v>
      </c>
      <c r="I14" s="414">
        <v>10.59</v>
      </c>
      <c r="J14" s="414">
        <v>10.59</v>
      </c>
      <c r="K14" s="414">
        <v>10.59</v>
      </c>
      <c r="L14" s="414">
        <v>10.59</v>
      </c>
      <c r="M14" s="414">
        <v>10.59</v>
      </c>
      <c r="N14" s="414">
        <v>10.59</v>
      </c>
      <c r="O14" s="414">
        <v>10.59</v>
      </c>
      <c r="P14" s="414">
        <v>10.59</v>
      </c>
      <c r="Q14" s="414">
        <v>10.59</v>
      </c>
    </row>
    <row r="16" spans="2:18" x14ac:dyDescent="0.2">
      <c r="B16" s="276" t="s">
        <v>982</v>
      </c>
      <c r="F16" s="279"/>
      <c r="G16" s="279"/>
      <c r="H16" s="279"/>
      <c r="I16" s="279"/>
      <c r="J16" s="279"/>
      <c r="K16" s="279"/>
      <c r="L16" s="279"/>
      <c r="M16" s="279"/>
      <c r="N16" s="279"/>
      <c r="O16" s="279"/>
      <c r="P16" s="279"/>
      <c r="Q16" s="279"/>
    </row>
    <row r="17" spans="2:19" s="336" customFormat="1" x14ac:dyDescent="0.2">
      <c r="B17" s="336" t="s">
        <v>975</v>
      </c>
      <c r="E17" s="336" t="s">
        <v>983</v>
      </c>
      <c r="F17" s="421">
        <f>'JKP-3.1c - RentalActualRates'!F17</f>
        <v>1516</v>
      </c>
      <c r="G17" s="421">
        <f>'JKP-3.1c - RentalActualRates'!G17</f>
        <v>1514</v>
      </c>
      <c r="H17" s="421">
        <f>'JKP-3.1c - RentalActualRates'!H17</f>
        <v>1509</v>
      </c>
      <c r="I17" s="421">
        <f>'JKP-3.1c - RentalActualRates'!I17</f>
        <v>1499</v>
      </c>
      <c r="J17" s="421">
        <f>'JKP-3.1c - RentalActualRates'!J17</f>
        <v>1495</v>
      </c>
      <c r="K17" s="421">
        <f>'JKP-3.1c - RentalActualRates'!K17</f>
        <v>1492</v>
      </c>
      <c r="L17" s="421">
        <f>'JKP-3.1c - RentalActualRates'!L17</f>
        <v>1490</v>
      </c>
      <c r="M17" s="421">
        <f>'JKP-3.1c - RentalActualRates'!M17</f>
        <v>1493</v>
      </c>
      <c r="N17" s="421">
        <f>'JKP-3.1c - RentalActualRates'!N17</f>
        <v>1491</v>
      </c>
      <c r="O17" s="421">
        <f>'JKP-3.1c - RentalActualRates'!O17</f>
        <v>1485</v>
      </c>
      <c r="P17" s="421">
        <f>'JKP-3.1c - RentalActualRates'!P17</f>
        <v>1483</v>
      </c>
      <c r="Q17" s="421">
        <f>'JKP-3.1c - RentalActualRates'!Q17</f>
        <v>1480</v>
      </c>
      <c r="R17" s="362">
        <f t="shared" ref="R17:R22" si="0">SUM(F17:Q17)</f>
        <v>17947</v>
      </c>
      <c r="S17" s="415"/>
    </row>
    <row r="18" spans="2:19" s="336" customFormat="1" x14ac:dyDescent="0.2">
      <c r="B18" s="336" t="s">
        <v>977</v>
      </c>
      <c r="E18" s="336" t="s">
        <v>983</v>
      </c>
      <c r="F18" s="421">
        <f>'JKP-3.1c - RentalActualRates'!F18</f>
        <v>24406</v>
      </c>
      <c r="G18" s="421">
        <f>'JKP-3.1c - RentalActualRates'!G18</f>
        <v>24248</v>
      </c>
      <c r="H18" s="421">
        <f>'JKP-3.1c - RentalActualRates'!H18</f>
        <v>24205</v>
      </c>
      <c r="I18" s="421">
        <f>'JKP-3.1c - RentalActualRates'!I18</f>
        <v>24035</v>
      </c>
      <c r="J18" s="421">
        <f>'JKP-3.1c - RentalActualRates'!J18</f>
        <v>23940</v>
      </c>
      <c r="K18" s="421">
        <f>'JKP-3.1c - RentalActualRates'!K18</f>
        <v>23834</v>
      </c>
      <c r="L18" s="421">
        <f>'JKP-3.1c - RentalActualRates'!L18</f>
        <v>23773</v>
      </c>
      <c r="M18" s="421">
        <f>'JKP-3.1c - RentalActualRates'!M18</f>
        <v>23720</v>
      </c>
      <c r="N18" s="421">
        <f>'JKP-3.1c - RentalActualRates'!N18</f>
        <v>23589</v>
      </c>
      <c r="O18" s="421">
        <f>'JKP-3.1c - RentalActualRates'!O18</f>
        <v>23467</v>
      </c>
      <c r="P18" s="421">
        <f>'JKP-3.1c - RentalActualRates'!P18</f>
        <v>23448</v>
      </c>
      <c r="Q18" s="421">
        <f>'JKP-3.1c - RentalActualRates'!Q18</f>
        <v>23311</v>
      </c>
      <c r="R18" s="362">
        <f t="shared" si="0"/>
        <v>285976</v>
      </c>
      <c r="S18" s="415"/>
    </row>
    <row r="19" spans="2:19" s="336" customFormat="1" x14ac:dyDescent="0.2">
      <c r="B19" s="336" t="s">
        <v>978</v>
      </c>
      <c r="E19" s="336" t="s">
        <v>983</v>
      </c>
      <c r="F19" s="421">
        <f>'JKP-3.1c - RentalActualRates'!F19</f>
        <v>4446</v>
      </c>
      <c r="G19" s="421">
        <f>'JKP-3.1c - RentalActualRates'!G19</f>
        <v>4418</v>
      </c>
      <c r="H19" s="421">
        <f>'JKP-3.1c - RentalActualRates'!H19</f>
        <v>4401</v>
      </c>
      <c r="I19" s="421">
        <f>'JKP-3.1c - RentalActualRates'!I19</f>
        <v>4386</v>
      </c>
      <c r="J19" s="421">
        <f>'JKP-3.1c - RentalActualRates'!J19</f>
        <v>4367</v>
      </c>
      <c r="K19" s="421">
        <f>'JKP-3.1c - RentalActualRates'!K19</f>
        <v>4363</v>
      </c>
      <c r="L19" s="421">
        <f>'JKP-3.1c - RentalActualRates'!L19</f>
        <v>4348</v>
      </c>
      <c r="M19" s="421">
        <f>'JKP-3.1c - RentalActualRates'!M19</f>
        <v>4329</v>
      </c>
      <c r="N19" s="421">
        <f>'JKP-3.1c - RentalActualRates'!N19</f>
        <v>4321</v>
      </c>
      <c r="O19" s="421">
        <f>'JKP-3.1c - RentalActualRates'!O19</f>
        <v>4279</v>
      </c>
      <c r="P19" s="421">
        <f>'JKP-3.1c - RentalActualRates'!P19</f>
        <v>4274</v>
      </c>
      <c r="Q19" s="421">
        <f>'JKP-3.1c - RentalActualRates'!Q19</f>
        <v>4257</v>
      </c>
      <c r="R19" s="362">
        <f t="shared" si="0"/>
        <v>52189</v>
      </c>
      <c r="S19" s="415"/>
    </row>
    <row r="20" spans="2:19" s="336" customFormat="1" x14ac:dyDescent="0.2">
      <c r="B20" s="336" t="s">
        <v>979</v>
      </c>
      <c r="E20" s="336" t="s">
        <v>983</v>
      </c>
      <c r="F20" s="421">
        <f>'JKP-3.1c - RentalActualRates'!F20</f>
        <v>1211</v>
      </c>
      <c r="G20" s="421">
        <f>'JKP-3.1c - RentalActualRates'!G20</f>
        <v>1203</v>
      </c>
      <c r="H20" s="421">
        <f>'JKP-3.1c - RentalActualRates'!H20</f>
        <v>1195</v>
      </c>
      <c r="I20" s="421">
        <f>'JKP-3.1c - RentalActualRates'!I20</f>
        <v>1190</v>
      </c>
      <c r="J20" s="421">
        <f>'JKP-3.1c - RentalActualRates'!J20</f>
        <v>1177</v>
      </c>
      <c r="K20" s="421">
        <f>'JKP-3.1c - RentalActualRates'!K20</f>
        <v>1173</v>
      </c>
      <c r="L20" s="421">
        <f>'JKP-3.1c - RentalActualRates'!L20</f>
        <v>1161</v>
      </c>
      <c r="M20" s="421">
        <f>'JKP-3.1c - RentalActualRates'!M20</f>
        <v>1154</v>
      </c>
      <c r="N20" s="421">
        <f>'JKP-3.1c - RentalActualRates'!N20</f>
        <v>1151</v>
      </c>
      <c r="O20" s="421">
        <f>'JKP-3.1c - RentalActualRates'!O20</f>
        <v>1144</v>
      </c>
      <c r="P20" s="421">
        <f>'JKP-3.1c - RentalActualRates'!P20</f>
        <v>1143</v>
      </c>
      <c r="Q20" s="421">
        <f>'JKP-3.1c - RentalActualRates'!Q20</f>
        <v>1135</v>
      </c>
      <c r="R20" s="362">
        <f t="shared" si="0"/>
        <v>14037</v>
      </c>
      <c r="S20" s="415"/>
    </row>
    <row r="21" spans="2:19" s="336" customFormat="1" x14ac:dyDescent="0.2">
      <c r="B21" s="336" t="s">
        <v>980</v>
      </c>
      <c r="E21" s="336" t="s">
        <v>983</v>
      </c>
      <c r="F21" s="421">
        <f>'JKP-3.1c - RentalActualRates'!F21</f>
        <v>4749</v>
      </c>
      <c r="G21" s="421">
        <f>'JKP-3.1c - RentalActualRates'!G21</f>
        <v>4742</v>
      </c>
      <c r="H21" s="421">
        <f>'JKP-3.1c - RentalActualRates'!H21</f>
        <v>4715</v>
      </c>
      <c r="I21" s="421">
        <f>'JKP-3.1c - RentalActualRates'!I21</f>
        <v>4698</v>
      </c>
      <c r="J21" s="421">
        <f>'JKP-3.1c - RentalActualRates'!J21</f>
        <v>4687</v>
      </c>
      <c r="K21" s="421">
        <f>'JKP-3.1c - RentalActualRates'!K21</f>
        <v>4688</v>
      </c>
      <c r="L21" s="421">
        <f>'JKP-3.1c - RentalActualRates'!L21</f>
        <v>4663</v>
      </c>
      <c r="M21" s="421">
        <f>'JKP-3.1c - RentalActualRates'!M21</f>
        <v>4649</v>
      </c>
      <c r="N21" s="421">
        <f>'JKP-3.1c - RentalActualRates'!N21</f>
        <v>4627</v>
      </c>
      <c r="O21" s="421">
        <f>'JKP-3.1c - RentalActualRates'!O21</f>
        <v>4614</v>
      </c>
      <c r="P21" s="421">
        <f>'JKP-3.1c - RentalActualRates'!P21</f>
        <v>4606</v>
      </c>
      <c r="Q21" s="421">
        <f>'JKP-3.1c - RentalActualRates'!Q21</f>
        <v>4597</v>
      </c>
      <c r="R21" s="362">
        <f t="shared" si="0"/>
        <v>56035</v>
      </c>
      <c r="S21" s="415"/>
    </row>
    <row r="22" spans="2:19" s="336" customFormat="1" x14ac:dyDescent="0.2">
      <c r="B22" s="336" t="s">
        <v>981</v>
      </c>
      <c r="E22" s="336" t="s">
        <v>983</v>
      </c>
      <c r="F22" s="421">
        <f>'JKP-3.1c - RentalActualRates'!F22</f>
        <v>266</v>
      </c>
      <c r="G22" s="421">
        <f>'JKP-3.1c - RentalActualRates'!G22</f>
        <v>263</v>
      </c>
      <c r="H22" s="421">
        <f>'JKP-3.1c - RentalActualRates'!H22</f>
        <v>263</v>
      </c>
      <c r="I22" s="421">
        <f>'JKP-3.1c - RentalActualRates'!I22</f>
        <v>263</v>
      </c>
      <c r="J22" s="421">
        <f>'JKP-3.1c - RentalActualRates'!J22</f>
        <v>263</v>
      </c>
      <c r="K22" s="421">
        <f>'JKP-3.1c - RentalActualRates'!K22</f>
        <v>262</v>
      </c>
      <c r="L22" s="421">
        <f>'JKP-3.1c - RentalActualRates'!L22</f>
        <v>258</v>
      </c>
      <c r="M22" s="421">
        <f>'JKP-3.1c - RentalActualRates'!M22</f>
        <v>256</v>
      </c>
      <c r="N22" s="421">
        <f>'JKP-3.1c - RentalActualRates'!N22</f>
        <v>256</v>
      </c>
      <c r="O22" s="421">
        <f>'JKP-3.1c - RentalActualRates'!O22</f>
        <v>257</v>
      </c>
      <c r="P22" s="421">
        <f>'JKP-3.1c - RentalActualRates'!P22</f>
        <v>255</v>
      </c>
      <c r="Q22" s="421">
        <f>'JKP-3.1c - RentalActualRates'!Q22</f>
        <v>255</v>
      </c>
      <c r="R22" s="362">
        <f t="shared" si="0"/>
        <v>3117</v>
      </c>
      <c r="S22" s="415"/>
    </row>
    <row r="23" spans="2:19" x14ac:dyDescent="0.2">
      <c r="B23" s="32" t="s">
        <v>984</v>
      </c>
      <c r="F23" s="357">
        <f t="shared" ref="F23:N23" si="1">SUM(F17:F22)</f>
        <v>36594</v>
      </c>
      <c r="G23" s="357">
        <f t="shared" si="1"/>
        <v>36388</v>
      </c>
      <c r="H23" s="357">
        <f t="shared" si="1"/>
        <v>36288</v>
      </c>
      <c r="I23" s="357">
        <f t="shared" si="1"/>
        <v>36071</v>
      </c>
      <c r="J23" s="357">
        <f t="shared" si="1"/>
        <v>35929</v>
      </c>
      <c r="K23" s="357">
        <f t="shared" si="1"/>
        <v>35812</v>
      </c>
      <c r="L23" s="357">
        <f t="shared" si="1"/>
        <v>35693</v>
      </c>
      <c r="M23" s="357">
        <f t="shared" si="1"/>
        <v>35601</v>
      </c>
      <c r="N23" s="357">
        <f t="shared" si="1"/>
        <v>35435</v>
      </c>
      <c r="O23" s="357">
        <f>SUM(O17:O22)</f>
        <v>35246</v>
      </c>
      <c r="P23" s="357">
        <f>SUM(P17:P22)</f>
        <v>35209</v>
      </c>
      <c r="Q23" s="357">
        <f>SUM(Q17:Q22)</f>
        <v>35035</v>
      </c>
      <c r="R23" s="357">
        <f>SUM(R17:R22)</f>
        <v>429301</v>
      </c>
    </row>
    <row r="25" spans="2:19" x14ac:dyDescent="0.2">
      <c r="B25" s="276" t="s">
        <v>985</v>
      </c>
    </row>
    <row r="26" spans="2:19" x14ac:dyDescent="0.2">
      <c r="B26" s="32" t="s">
        <v>975</v>
      </c>
      <c r="D26" s="32">
        <v>71</v>
      </c>
      <c r="F26" s="364">
        <f t="shared" ref="F26:Q31" si="2">F9*F17</f>
        <v>11385.16</v>
      </c>
      <c r="G26" s="364">
        <f t="shared" si="2"/>
        <v>11370.14</v>
      </c>
      <c r="H26" s="364">
        <f t="shared" si="2"/>
        <v>11332.59</v>
      </c>
      <c r="I26" s="364">
        <f t="shared" si="2"/>
        <v>11257.49</v>
      </c>
      <c r="J26" s="364">
        <f t="shared" si="2"/>
        <v>11227.449999999999</v>
      </c>
      <c r="K26" s="364">
        <f t="shared" si="2"/>
        <v>11204.92</v>
      </c>
      <c r="L26" s="364">
        <f t="shared" si="2"/>
        <v>11189.9</v>
      </c>
      <c r="M26" s="364">
        <f t="shared" si="2"/>
        <v>11212.43</v>
      </c>
      <c r="N26" s="364">
        <f t="shared" si="2"/>
        <v>11197.41</v>
      </c>
      <c r="O26" s="364">
        <f t="shared" si="2"/>
        <v>11152.35</v>
      </c>
      <c r="P26" s="364">
        <f t="shared" si="2"/>
        <v>11137.33</v>
      </c>
      <c r="Q26" s="364">
        <f t="shared" si="2"/>
        <v>11114.8</v>
      </c>
      <c r="R26" s="364">
        <f t="shared" ref="R26:R31" si="3">SUM(F26:Q26)</f>
        <v>134781.97</v>
      </c>
    </row>
    <row r="27" spans="2:19" x14ac:dyDescent="0.2">
      <c r="B27" s="32" t="s">
        <v>977</v>
      </c>
      <c r="D27" s="32">
        <v>71</v>
      </c>
      <c r="F27" s="364">
        <f t="shared" si="2"/>
        <v>294092.3</v>
      </c>
      <c r="G27" s="364">
        <f t="shared" si="2"/>
        <v>292188.40000000002</v>
      </c>
      <c r="H27" s="364">
        <f t="shared" si="2"/>
        <v>291670.25</v>
      </c>
      <c r="I27" s="364">
        <f t="shared" si="2"/>
        <v>289621.75</v>
      </c>
      <c r="J27" s="364">
        <f t="shared" si="2"/>
        <v>288477</v>
      </c>
      <c r="K27" s="364">
        <f t="shared" si="2"/>
        <v>287199.7</v>
      </c>
      <c r="L27" s="364">
        <f t="shared" si="2"/>
        <v>286464.65000000002</v>
      </c>
      <c r="M27" s="364">
        <f t="shared" si="2"/>
        <v>285826</v>
      </c>
      <c r="N27" s="364">
        <f t="shared" si="2"/>
        <v>284247.45</v>
      </c>
      <c r="O27" s="364">
        <f t="shared" si="2"/>
        <v>282777.35000000003</v>
      </c>
      <c r="P27" s="364">
        <f t="shared" si="2"/>
        <v>282548.40000000002</v>
      </c>
      <c r="Q27" s="364">
        <f t="shared" si="2"/>
        <v>280897.55</v>
      </c>
      <c r="R27" s="364">
        <f t="shared" si="3"/>
        <v>3446010.8</v>
      </c>
    </row>
    <row r="28" spans="2:19" x14ac:dyDescent="0.2">
      <c r="B28" s="32" t="s">
        <v>978</v>
      </c>
      <c r="D28" s="32">
        <v>71</v>
      </c>
      <c r="F28" s="364">
        <f t="shared" si="2"/>
        <v>75181.86</v>
      </c>
      <c r="G28" s="364">
        <f t="shared" si="2"/>
        <v>74708.38</v>
      </c>
      <c r="H28" s="364">
        <f t="shared" si="2"/>
        <v>74420.91</v>
      </c>
      <c r="I28" s="364">
        <f t="shared" si="2"/>
        <v>74167.259999999995</v>
      </c>
      <c r="J28" s="364">
        <f t="shared" si="2"/>
        <v>73845.97</v>
      </c>
      <c r="K28" s="364">
        <f t="shared" si="2"/>
        <v>73778.33</v>
      </c>
      <c r="L28" s="364">
        <f t="shared" si="2"/>
        <v>73524.680000000008</v>
      </c>
      <c r="M28" s="364">
        <f t="shared" si="2"/>
        <v>73203.39</v>
      </c>
      <c r="N28" s="364">
        <f t="shared" si="2"/>
        <v>73068.11</v>
      </c>
      <c r="O28" s="364">
        <f t="shared" si="2"/>
        <v>72357.89</v>
      </c>
      <c r="P28" s="364">
        <f t="shared" si="2"/>
        <v>72273.34</v>
      </c>
      <c r="Q28" s="364">
        <f t="shared" si="2"/>
        <v>71985.87</v>
      </c>
      <c r="R28" s="364">
        <f t="shared" si="3"/>
        <v>882515.99</v>
      </c>
    </row>
    <row r="29" spans="2:19" x14ac:dyDescent="0.2">
      <c r="B29" s="32" t="s">
        <v>979</v>
      </c>
      <c r="D29" s="32">
        <v>71</v>
      </c>
      <c r="F29" s="364">
        <f t="shared" si="2"/>
        <v>20042.05</v>
      </c>
      <c r="G29" s="364">
        <f t="shared" si="2"/>
        <v>19909.650000000001</v>
      </c>
      <c r="H29" s="364">
        <f t="shared" si="2"/>
        <v>19777.25</v>
      </c>
      <c r="I29" s="364">
        <f t="shared" si="2"/>
        <v>19694.5</v>
      </c>
      <c r="J29" s="364">
        <f t="shared" si="2"/>
        <v>19479.350000000002</v>
      </c>
      <c r="K29" s="364">
        <f t="shared" si="2"/>
        <v>19413.150000000001</v>
      </c>
      <c r="L29" s="364">
        <f t="shared" si="2"/>
        <v>19214.55</v>
      </c>
      <c r="M29" s="364">
        <f t="shared" si="2"/>
        <v>19098.7</v>
      </c>
      <c r="N29" s="364">
        <f t="shared" si="2"/>
        <v>19049.05</v>
      </c>
      <c r="O29" s="364">
        <f t="shared" si="2"/>
        <v>18933.2</v>
      </c>
      <c r="P29" s="364">
        <f t="shared" si="2"/>
        <v>18916.650000000001</v>
      </c>
      <c r="Q29" s="364">
        <f t="shared" si="2"/>
        <v>18784.25</v>
      </c>
      <c r="R29" s="364">
        <f t="shared" si="3"/>
        <v>232312.35</v>
      </c>
    </row>
    <row r="30" spans="2:19" x14ac:dyDescent="0.2">
      <c r="B30" s="32" t="s">
        <v>980</v>
      </c>
      <c r="D30" s="32">
        <v>71</v>
      </c>
      <c r="F30" s="364">
        <f t="shared" si="2"/>
        <v>28683.96</v>
      </c>
      <c r="G30" s="364">
        <f t="shared" si="2"/>
        <v>28641.68</v>
      </c>
      <c r="H30" s="364">
        <f t="shared" si="2"/>
        <v>28478.6</v>
      </c>
      <c r="I30" s="364">
        <f t="shared" si="2"/>
        <v>28375.920000000002</v>
      </c>
      <c r="J30" s="364">
        <f t="shared" si="2"/>
        <v>28309.48</v>
      </c>
      <c r="K30" s="364">
        <f t="shared" si="2"/>
        <v>28315.52</v>
      </c>
      <c r="L30" s="364">
        <f t="shared" si="2"/>
        <v>28164.52</v>
      </c>
      <c r="M30" s="364">
        <f t="shared" si="2"/>
        <v>28079.96</v>
      </c>
      <c r="N30" s="364">
        <f t="shared" si="2"/>
        <v>27947.08</v>
      </c>
      <c r="O30" s="364">
        <f t="shared" si="2"/>
        <v>27868.560000000001</v>
      </c>
      <c r="P30" s="364">
        <f t="shared" si="2"/>
        <v>27820.240000000002</v>
      </c>
      <c r="Q30" s="364">
        <f t="shared" si="2"/>
        <v>27765.88</v>
      </c>
      <c r="R30" s="364">
        <f t="shared" si="3"/>
        <v>338451.39999999997</v>
      </c>
    </row>
    <row r="31" spans="2:19" x14ac:dyDescent="0.2">
      <c r="B31" s="32" t="s">
        <v>981</v>
      </c>
      <c r="D31" s="32">
        <v>71</v>
      </c>
      <c r="F31" s="364">
        <f t="shared" si="2"/>
        <v>2816.94</v>
      </c>
      <c r="G31" s="364">
        <f t="shared" si="2"/>
        <v>2785.17</v>
      </c>
      <c r="H31" s="364">
        <f t="shared" si="2"/>
        <v>2785.17</v>
      </c>
      <c r="I31" s="364">
        <f t="shared" si="2"/>
        <v>2785.17</v>
      </c>
      <c r="J31" s="364">
        <f t="shared" si="2"/>
        <v>2785.17</v>
      </c>
      <c r="K31" s="364">
        <f t="shared" si="2"/>
        <v>2774.58</v>
      </c>
      <c r="L31" s="364">
        <f t="shared" si="2"/>
        <v>2732.22</v>
      </c>
      <c r="M31" s="364">
        <f t="shared" si="2"/>
        <v>2711.04</v>
      </c>
      <c r="N31" s="364">
        <f t="shared" si="2"/>
        <v>2711.04</v>
      </c>
      <c r="O31" s="364">
        <f t="shared" si="2"/>
        <v>2721.63</v>
      </c>
      <c r="P31" s="364">
        <f t="shared" si="2"/>
        <v>2700.45</v>
      </c>
      <c r="Q31" s="364">
        <f t="shared" si="2"/>
        <v>2700.45</v>
      </c>
      <c r="R31" s="364">
        <f t="shared" si="3"/>
        <v>33009.030000000006</v>
      </c>
    </row>
    <row r="32" spans="2:19" x14ac:dyDescent="0.2">
      <c r="B32" s="32" t="s">
        <v>986</v>
      </c>
      <c r="F32" s="365">
        <f t="shared" ref="F32:N32" si="4">SUM(F26:F31)</f>
        <v>432202.26999999996</v>
      </c>
      <c r="G32" s="365">
        <f t="shared" si="4"/>
        <v>429603.42000000004</v>
      </c>
      <c r="H32" s="365">
        <f t="shared" si="4"/>
        <v>428464.76999999996</v>
      </c>
      <c r="I32" s="365">
        <f t="shared" si="4"/>
        <v>425902.08999999997</v>
      </c>
      <c r="J32" s="365">
        <f t="shared" si="4"/>
        <v>424124.42</v>
      </c>
      <c r="K32" s="365">
        <f t="shared" si="4"/>
        <v>422686.20000000007</v>
      </c>
      <c r="L32" s="365">
        <f t="shared" si="4"/>
        <v>421290.52</v>
      </c>
      <c r="M32" s="365">
        <f t="shared" si="4"/>
        <v>420131.52</v>
      </c>
      <c r="N32" s="365">
        <f t="shared" si="4"/>
        <v>418220.13999999996</v>
      </c>
      <c r="O32" s="365">
        <f>SUM(O26:O31)</f>
        <v>415810.98000000004</v>
      </c>
      <c r="P32" s="365">
        <f>SUM(P26:P31)</f>
        <v>415396.41000000009</v>
      </c>
      <c r="Q32" s="365">
        <f>SUM(Q26:Q31)</f>
        <v>413248.8</v>
      </c>
      <c r="R32" s="365">
        <f>SUM(R26:R31)</f>
        <v>5067081.54</v>
      </c>
    </row>
    <row r="33" spans="2:19" x14ac:dyDescent="0.2">
      <c r="F33" s="364"/>
      <c r="G33" s="364"/>
      <c r="H33" s="364"/>
      <c r="I33" s="364"/>
      <c r="J33" s="364"/>
      <c r="K33" s="364"/>
      <c r="L33" s="364"/>
      <c r="M33" s="364"/>
      <c r="N33" s="364"/>
      <c r="O33" s="364"/>
      <c r="P33" s="364"/>
      <c r="Q33" s="364"/>
      <c r="R33" s="364"/>
    </row>
    <row r="34" spans="2:19" x14ac:dyDescent="0.2">
      <c r="B34" s="276" t="s">
        <v>987</v>
      </c>
    </row>
    <row r="35" spans="2:19" x14ac:dyDescent="0.2">
      <c r="B35" s="276" t="s">
        <v>5</v>
      </c>
    </row>
    <row r="36" spans="2:19" x14ac:dyDescent="0.2">
      <c r="B36" s="32" t="s">
        <v>988</v>
      </c>
      <c r="D36" s="32">
        <v>72</v>
      </c>
      <c r="E36" s="32" t="s">
        <v>976</v>
      </c>
      <c r="F36" s="414">
        <v>14.74</v>
      </c>
      <c r="G36" s="414">
        <v>14.74</v>
      </c>
      <c r="H36" s="414">
        <v>14.74</v>
      </c>
      <c r="I36" s="414">
        <v>14.74</v>
      </c>
      <c r="J36" s="414">
        <v>14.74</v>
      </c>
      <c r="K36" s="414">
        <v>14.74</v>
      </c>
      <c r="L36" s="414">
        <v>14.74</v>
      </c>
      <c r="M36" s="414">
        <v>14.74</v>
      </c>
      <c r="N36" s="414">
        <v>14.74</v>
      </c>
      <c r="O36" s="414">
        <v>14.74</v>
      </c>
      <c r="P36" s="414">
        <v>14.74</v>
      </c>
      <c r="Q36" s="414">
        <v>14.74</v>
      </c>
    </row>
    <row r="37" spans="2:19" x14ac:dyDescent="0.2">
      <c r="B37" s="32" t="s">
        <v>989</v>
      </c>
      <c r="D37" s="32">
        <v>72</v>
      </c>
      <c r="E37" s="32" t="s">
        <v>976</v>
      </c>
      <c r="F37" s="414">
        <v>19.260000000000002</v>
      </c>
      <c r="G37" s="414">
        <v>19.260000000000002</v>
      </c>
      <c r="H37" s="414">
        <v>19.260000000000002</v>
      </c>
      <c r="I37" s="414">
        <v>19.260000000000002</v>
      </c>
      <c r="J37" s="414">
        <v>19.260000000000002</v>
      </c>
      <c r="K37" s="414">
        <v>19.260000000000002</v>
      </c>
      <c r="L37" s="414">
        <v>19.260000000000002</v>
      </c>
      <c r="M37" s="414">
        <v>19.260000000000002</v>
      </c>
      <c r="N37" s="414">
        <v>19.260000000000002</v>
      </c>
      <c r="O37" s="414">
        <v>19.260000000000002</v>
      </c>
      <c r="P37" s="414">
        <v>19.260000000000002</v>
      </c>
      <c r="Q37" s="414">
        <v>19.260000000000002</v>
      </c>
    </row>
    <row r="38" spans="2:19" x14ac:dyDescent="0.2">
      <c r="B38" s="32" t="s">
        <v>990</v>
      </c>
      <c r="D38" s="32">
        <v>72</v>
      </c>
      <c r="E38" s="32" t="s">
        <v>976</v>
      </c>
      <c r="F38" s="414">
        <v>19.260000000000002</v>
      </c>
      <c r="G38" s="414">
        <v>19.260000000000002</v>
      </c>
      <c r="H38" s="414">
        <v>19.260000000000002</v>
      </c>
      <c r="I38" s="414">
        <v>19.260000000000002</v>
      </c>
      <c r="J38" s="414">
        <v>19.260000000000002</v>
      </c>
      <c r="K38" s="414">
        <v>19.260000000000002</v>
      </c>
      <c r="L38" s="414">
        <v>19.260000000000002</v>
      </c>
      <c r="M38" s="414">
        <v>19.260000000000002</v>
      </c>
      <c r="N38" s="414">
        <v>19.260000000000002</v>
      </c>
      <c r="O38" s="414">
        <v>19.260000000000002</v>
      </c>
      <c r="P38" s="414">
        <v>19.260000000000002</v>
      </c>
      <c r="Q38" s="414">
        <v>19.260000000000002</v>
      </c>
    </row>
    <row r="39" spans="2:19" x14ac:dyDescent="0.2">
      <c r="B39" s="32" t="s">
        <v>991</v>
      </c>
      <c r="D39" s="32">
        <v>72</v>
      </c>
      <c r="E39" s="32" t="s">
        <v>976</v>
      </c>
      <c r="F39" s="414">
        <v>30.17</v>
      </c>
      <c r="G39" s="414">
        <v>30.17</v>
      </c>
      <c r="H39" s="414">
        <v>30.17</v>
      </c>
      <c r="I39" s="414">
        <v>30.17</v>
      </c>
      <c r="J39" s="414">
        <v>30.17</v>
      </c>
      <c r="K39" s="414">
        <v>30.17</v>
      </c>
      <c r="L39" s="414">
        <v>30.17</v>
      </c>
      <c r="M39" s="414">
        <v>30.17</v>
      </c>
      <c r="N39" s="414">
        <v>30.17</v>
      </c>
      <c r="O39" s="414">
        <v>30.17</v>
      </c>
      <c r="P39" s="414">
        <v>30.17</v>
      </c>
      <c r="Q39" s="414">
        <v>30.17</v>
      </c>
    </row>
    <row r="40" spans="2:19" x14ac:dyDescent="0.2">
      <c r="B40" s="32" t="s">
        <v>992</v>
      </c>
      <c r="D40" s="32">
        <v>72</v>
      </c>
      <c r="E40" s="32" t="s">
        <v>976</v>
      </c>
      <c r="F40" s="414">
        <v>39.36</v>
      </c>
      <c r="G40" s="414">
        <v>39.36</v>
      </c>
      <c r="H40" s="414">
        <v>39.36</v>
      </c>
      <c r="I40" s="414">
        <v>39.36</v>
      </c>
      <c r="J40" s="414">
        <v>39.36</v>
      </c>
      <c r="K40" s="414">
        <v>39.36</v>
      </c>
      <c r="L40" s="414">
        <v>39.36</v>
      </c>
      <c r="M40" s="414">
        <v>39.36</v>
      </c>
      <c r="N40" s="414">
        <v>39.36</v>
      </c>
      <c r="O40" s="414">
        <v>39.36</v>
      </c>
      <c r="P40" s="414">
        <v>39.36</v>
      </c>
      <c r="Q40" s="414">
        <v>39.36</v>
      </c>
    </row>
    <row r="41" spans="2:19" x14ac:dyDescent="0.2">
      <c r="B41" s="32" t="s">
        <v>993</v>
      </c>
      <c r="D41" s="32">
        <v>72</v>
      </c>
      <c r="E41" s="32" t="s">
        <v>976</v>
      </c>
      <c r="F41" s="414">
        <v>52.55</v>
      </c>
      <c r="G41" s="414">
        <v>52.55</v>
      </c>
      <c r="H41" s="414">
        <v>52.55</v>
      </c>
      <c r="I41" s="414">
        <v>52.55</v>
      </c>
      <c r="J41" s="414">
        <v>52.55</v>
      </c>
      <c r="K41" s="414">
        <v>52.55</v>
      </c>
      <c r="L41" s="414">
        <v>52.55</v>
      </c>
      <c r="M41" s="414">
        <v>52.55</v>
      </c>
      <c r="N41" s="414">
        <v>52.55</v>
      </c>
      <c r="O41" s="414">
        <v>52.55</v>
      </c>
      <c r="P41" s="414">
        <v>52.55</v>
      </c>
      <c r="Q41" s="414">
        <v>52.55</v>
      </c>
    </row>
    <row r="42" spans="2:19" x14ac:dyDescent="0.2">
      <c r="B42" s="32" t="s">
        <v>994</v>
      </c>
      <c r="D42" s="32">
        <v>72</v>
      </c>
      <c r="E42" s="32" t="s">
        <v>976</v>
      </c>
      <c r="F42" s="414">
        <v>61.05</v>
      </c>
      <c r="G42" s="414">
        <v>61.05</v>
      </c>
      <c r="H42" s="414">
        <v>61.05</v>
      </c>
      <c r="I42" s="414">
        <v>61.05</v>
      </c>
      <c r="J42" s="414">
        <v>61.05</v>
      </c>
      <c r="K42" s="414">
        <v>61.05</v>
      </c>
      <c r="L42" s="414">
        <v>61.05</v>
      </c>
      <c r="M42" s="414">
        <v>61.05</v>
      </c>
      <c r="N42" s="414">
        <v>61.05</v>
      </c>
      <c r="O42" s="414">
        <v>61.05</v>
      </c>
      <c r="P42" s="414">
        <v>61.05</v>
      </c>
      <c r="Q42" s="414">
        <v>61.05</v>
      </c>
    </row>
    <row r="44" spans="2:19" x14ac:dyDescent="0.2">
      <c r="B44" s="276" t="s">
        <v>982</v>
      </c>
      <c r="F44" s="279"/>
      <c r="G44" s="279"/>
      <c r="H44" s="279"/>
      <c r="I44" s="279"/>
      <c r="J44" s="279"/>
      <c r="K44" s="279"/>
      <c r="L44" s="279"/>
      <c r="M44" s="279"/>
      <c r="N44" s="279"/>
      <c r="O44" s="279"/>
      <c r="P44" s="279"/>
      <c r="Q44" s="279"/>
    </row>
    <row r="45" spans="2:19" s="336" customFormat="1" x14ac:dyDescent="0.2">
      <c r="B45" s="336" t="s">
        <v>988</v>
      </c>
      <c r="E45" s="336" t="s">
        <v>983</v>
      </c>
      <c r="F45" s="422">
        <f>'JKP-3.1c - RentalActualRates'!F45</f>
        <v>200</v>
      </c>
      <c r="G45" s="422">
        <f>'JKP-3.1c - RentalActualRates'!G45</f>
        <v>195</v>
      </c>
      <c r="H45" s="422">
        <f>'JKP-3.1c - RentalActualRates'!H45</f>
        <v>194</v>
      </c>
      <c r="I45" s="422">
        <f>'JKP-3.1c - RentalActualRates'!I45</f>
        <v>193</v>
      </c>
      <c r="J45" s="422">
        <f>'JKP-3.1c - RentalActualRates'!J45</f>
        <v>195</v>
      </c>
      <c r="K45" s="422">
        <f>'JKP-3.1c - RentalActualRates'!K45</f>
        <v>191</v>
      </c>
      <c r="L45" s="422">
        <f>'JKP-3.1c - RentalActualRates'!L45</f>
        <v>186</v>
      </c>
      <c r="M45" s="422">
        <f>'JKP-3.1c - RentalActualRates'!M45</f>
        <v>185</v>
      </c>
      <c r="N45" s="422">
        <f>'JKP-3.1c - RentalActualRates'!N45</f>
        <v>185</v>
      </c>
      <c r="O45" s="422">
        <f>'JKP-3.1c - RentalActualRates'!O45</f>
        <v>181</v>
      </c>
      <c r="P45" s="422">
        <f>'JKP-3.1c - RentalActualRates'!P45</f>
        <v>181</v>
      </c>
      <c r="Q45" s="422">
        <f>'JKP-3.1c - RentalActualRates'!Q45</f>
        <v>177</v>
      </c>
      <c r="R45" s="362">
        <f t="shared" ref="R45:R51" si="5">SUM(F45:Q45)</f>
        <v>2263</v>
      </c>
      <c r="S45" s="415"/>
    </row>
    <row r="46" spans="2:19" s="336" customFormat="1" x14ac:dyDescent="0.2">
      <c r="B46" s="336" t="s">
        <v>989</v>
      </c>
      <c r="E46" s="336" t="s">
        <v>983</v>
      </c>
      <c r="F46" s="422">
        <f>'JKP-3.1c - RentalActualRates'!F46</f>
        <v>126</v>
      </c>
      <c r="G46" s="422">
        <f>'JKP-3.1c - RentalActualRates'!G46</f>
        <v>123</v>
      </c>
      <c r="H46" s="422">
        <f>'JKP-3.1c - RentalActualRates'!H46</f>
        <v>122</v>
      </c>
      <c r="I46" s="422">
        <f>'JKP-3.1c - RentalActualRates'!I46</f>
        <v>121</v>
      </c>
      <c r="J46" s="422">
        <f>'JKP-3.1c - RentalActualRates'!J46</f>
        <v>120</v>
      </c>
      <c r="K46" s="422">
        <f>'JKP-3.1c - RentalActualRates'!K46</f>
        <v>118</v>
      </c>
      <c r="L46" s="422">
        <f>'JKP-3.1c - RentalActualRates'!L46</f>
        <v>117</v>
      </c>
      <c r="M46" s="422">
        <f>'JKP-3.1c - RentalActualRates'!M46</f>
        <v>115</v>
      </c>
      <c r="N46" s="422">
        <f>'JKP-3.1c - RentalActualRates'!N46</f>
        <v>116</v>
      </c>
      <c r="O46" s="422">
        <f>'JKP-3.1c - RentalActualRates'!O46</f>
        <v>116</v>
      </c>
      <c r="P46" s="422">
        <f>'JKP-3.1c - RentalActualRates'!P46</f>
        <v>113</v>
      </c>
      <c r="Q46" s="422">
        <f>'JKP-3.1c - RentalActualRates'!Q46</f>
        <v>115</v>
      </c>
      <c r="R46" s="362">
        <f t="shared" si="5"/>
        <v>1422</v>
      </c>
      <c r="S46" s="415"/>
    </row>
    <row r="47" spans="2:19" s="336" customFormat="1" x14ac:dyDescent="0.2">
      <c r="B47" s="336" t="s">
        <v>990</v>
      </c>
      <c r="E47" s="336" t="s">
        <v>983</v>
      </c>
      <c r="F47" s="422">
        <f>'JKP-3.1c - RentalActualRates'!F47</f>
        <v>360</v>
      </c>
      <c r="G47" s="422">
        <f>'JKP-3.1c - RentalActualRates'!G47</f>
        <v>358</v>
      </c>
      <c r="H47" s="422">
        <f>'JKP-3.1c - RentalActualRates'!H47</f>
        <v>354</v>
      </c>
      <c r="I47" s="422">
        <f>'JKP-3.1c - RentalActualRates'!I47</f>
        <v>358</v>
      </c>
      <c r="J47" s="422">
        <f>'JKP-3.1c - RentalActualRates'!J47</f>
        <v>354</v>
      </c>
      <c r="K47" s="422">
        <f>'JKP-3.1c - RentalActualRates'!K47</f>
        <v>350</v>
      </c>
      <c r="L47" s="422">
        <f>'JKP-3.1c - RentalActualRates'!L47</f>
        <v>355</v>
      </c>
      <c r="M47" s="422">
        <f>'JKP-3.1c - RentalActualRates'!M47</f>
        <v>353</v>
      </c>
      <c r="N47" s="422">
        <f>'JKP-3.1c - RentalActualRates'!N47</f>
        <v>361</v>
      </c>
      <c r="O47" s="422">
        <f>'JKP-3.1c - RentalActualRates'!O47</f>
        <v>351</v>
      </c>
      <c r="P47" s="422">
        <f>'JKP-3.1c - RentalActualRates'!P47</f>
        <v>347</v>
      </c>
      <c r="Q47" s="422">
        <f>'JKP-3.1c - RentalActualRates'!Q47</f>
        <v>349</v>
      </c>
      <c r="R47" s="362">
        <f t="shared" si="5"/>
        <v>4250</v>
      </c>
      <c r="S47" s="415"/>
    </row>
    <row r="48" spans="2:19" s="336" customFormat="1" x14ac:dyDescent="0.2">
      <c r="B48" s="336" t="s">
        <v>991</v>
      </c>
      <c r="E48" s="336" t="s">
        <v>983</v>
      </c>
      <c r="F48" s="422">
        <f>'JKP-3.1c - RentalActualRates'!F48</f>
        <v>20</v>
      </c>
      <c r="G48" s="422">
        <f>'JKP-3.1c - RentalActualRates'!G48</f>
        <v>20</v>
      </c>
      <c r="H48" s="422">
        <f>'JKP-3.1c - RentalActualRates'!H48</f>
        <v>19</v>
      </c>
      <c r="I48" s="422">
        <f>'JKP-3.1c - RentalActualRates'!I48</f>
        <v>19</v>
      </c>
      <c r="J48" s="422">
        <f>'JKP-3.1c - RentalActualRates'!J48</f>
        <v>19</v>
      </c>
      <c r="K48" s="422">
        <f>'JKP-3.1c - RentalActualRates'!K48</f>
        <v>19</v>
      </c>
      <c r="L48" s="422">
        <f>'JKP-3.1c - RentalActualRates'!L48</f>
        <v>18</v>
      </c>
      <c r="M48" s="422">
        <f>'JKP-3.1c - RentalActualRates'!M48</f>
        <v>24</v>
      </c>
      <c r="N48" s="422">
        <f>'JKP-3.1c - RentalActualRates'!N48</f>
        <v>20</v>
      </c>
      <c r="O48" s="422">
        <f>'JKP-3.1c - RentalActualRates'!O48</f>
        <v>18</v>
      </c>
      <c r="P48" s="422">
        <f>'JKP-3.1c - RentalActualRates'!P48</f>
        <v>18</v>
      </c>
      <c r="Q48" s="422">
        <f>'JKP-3.1c - RentalActualRates'!Q48</f>
        <v>18</v>
      </c>
      <c r="R48" s="362">
        <f t="shared" si="5"/>
        <v>232</v>
      </c>
      <c r="S48" s="415"/>
    </row>
    <row r="49" spans="2:19" s="336" customFormat="1" x14ac:dyDescent="0.2">
      <c r="B49" s="336" t="s">
        <v>992</v>
      </c>
      <c r="E49" s="336" t="s">
        <v>983</v>
      </c>
      <c r="F49" s="422">
        <f>'JKP-3.1c - RentalActualRates'!F49</f>
        <v>806</v>
      </c>
      <c r="G49" s="422">
        <f>'JKP-3.1c - RentalActualRates'!G49</f>
        <v>800</v>
      </c>
      <c r="H49" s="422">
        <f>'JKP-3.1c - RentalActualRates'!H49</f>
        <v>799</v>
      </c>
      <c r="I49" s="422">
        <f>'JKP-3.1c - RentalActualRates'!I49</f>
        <v>797</v>
      </c>
      <c r="J49" s="422">
        <f>'JKP-3.1c - RentalActualRates'!J49</f>
        <v>799</v>
      </c>
      <c r="K49" s="422">
        <f>'JKP-3.1c - RentalActualRates'!K49</f>
        <v>787</v>
      </c>
      <c r="L49" s="422">
        <f>'JKP-3.1c - RentalActualRates'!L49</f>
        <v>784</v>
      </c>
      <c r="M49" s="422">
        <f>'JKP-3.1c - RentalActualRates'!M49</f>
        <v>807</v>
      </c>
      <c r="N49" s="422">
        <f>'JKP-3.1c - RentalActualRates'!N49</f>
        <v>774</v>
      </c>
      <c r="O49" s="422">
        <f>'JKP-3.1c - RentalActualRates'!O49</f>
        <v>767</v>
      </c>
      <c r="P49" s="422">
        <f>'JKP-3.1c - RentalActualRates'!P49</f>
        <v>769</v>
      </c>
      <c r="Q49" s="422">
        <f>'JKP-3.1c - RentalActualRates'!Q49</f>
        <v>766</v>
      </c>
      <c r="R49" s="362">
        <f t="shared" si="5"/>
        <v>9455</v>
      </c>
      <c r="S49" s="415"/>
    </row>
    <row r="50" spans="2:19" s="336" customFormat="1" x14ac:dyDescent="0.2">
      <c r="B50" s="336" t="s">
        <v>993</v>
      </c>
      <c r="E50" s="336" t="s">
        <v>983</v>
      </c>
      <c r="F50" s="422">
        <f>'JKP-3.1c - RentalActualRates'!F50</f>
        <v>520</v>
      </c>
      <c r="G50" s="422">
        <f>'JKP-3.1c - RentalActualRates'!G50</f>
        <v>514</v>
      </c>
      <c r="H50" s="422">
        <f>'JKP-3.1c - RentalActualRates'!H50</f>
        <v>512</v>
      </c>
      <c r="I50" s="422">
        <f>'JKP-3.1c - RentalActualRates'!I50</f>
        <v>515</v>
      </c>
      <c r="J50" s="422">
        <f>'JKP-3.1c - RentalActualRates'!J50</f>
        <v>507</v>
      </c>
      <c r="K50" s="422">
        <f>'JKP-3.1c - RentalActualRates'!K50</f>
        <v>510</v>
      </c>
      <c r="L50" s="422">
        <f>'JKP-3.1c - RentalActualRates'!L50</f>
        <v>507</v>
      </c>
      <c r="M50" s="422">
        <f>'JKP-3.1c - RentalActualRates'!M50</f>
        <v>508</v>
      </c>
      <c r="N50" s="422">
        <f>'JKP-3.1c - RentalActualRates'!N50</f>
        <v>506</v>
      </c>
      <c r="O50" s="422">
        <f>'JKP-3.1c - RentalActualRates'!O50</f>
        <v>505</v>
      </c>
      <c r="P50" s="422">
        <f>'JKP-3.1c - RentalActualRates'!P50</f>
        <v>502</v>
      </c>
      <c r="Q50" s="422">
        <f>'JKP-3.1c - RentalActualRates'!Q50</f>
        <v>501</v>
      </c>
      <c r="R50" s="362">
        <f t="shared" si="5"/>
        <v>6107</v>
      </c>
      <c r="S50" s="415"/>
    </row>
    <row r="51" spans="2:19" s="336" customFormat="1" x14ac:dyDescent="0.2">
      <c r="B51" s="336" t="s">
        <v>994</v>
      </c>
      <c r="E51" s="336" t="s">
        <v>983</v>
      </c>
      <c r="F51" s="422">
        <f>'JKP-3.1c - RentalActualRates'!F51</f>
        <v>1404</v>
      </c>
      <c r="G51" s="422">
        <f>'JKP-3.1c - RentalActualRates'!G51</f>
        <v>1397</v>
      </c>
      <c r="H51" s="422">
        <f>'JKP-3.1c - RentalActualRates'!H51</f>
        <v>1393</v>
      </c>
      <c r="I51" s="422">
        <f>'JKP-3.1c - RentalActualRates'!I51</f>
        <v>1389</v>
      </c>
      <c r="J51" s="422">
        <f>'JKP-3.1c - RentalActualRates'!J51</f>
        <v>1382</v>
      </c>
      <c r="K51" s="422">
        <f>'JKP-3.1c - RentalActualRates'!K51</f>
        <v>1384</v>
      </c>
      <c r="L51" s="422">
        <f>'JKP-3.1c - RentalActualRates'!L51</f>
        <v>1393</v>
      </c>
      <c r="M51" s="422">
        <f>'JKP-3.1c - RentalActualRates'!M51</f>
        <v>1389</v>
      </c>
      <c r="N51" s="422">
        <f>'JKP-3.1c - RentalActualRates'!N51</f>
        <v>1441</v>
      </c>
      <c r="O51" s="422">
        <f>'JKP-3.1c - RentalActualRates'!O51</f>
        <v>1396</v>
      </c>
      <c r="P51" s="422">
        <f>'JKP-3.1c - RentalActualRates'!P51</f>
        <v>1375</v>
      </c>
      <c r="Q51" s="422">
        <f>'JKP-3.1c - RentalActualRates'!Q51</f>
        <v>1364</v>
      </c>
      <c r="R51" s="362">
        <f t="shared" si="5"/>
        <v>16707</v>
      </c>
      <c r="S51" s="415"/>
    </row>
    <row r="52" spans="2:19" x14ac:dyDescent="0.2">
      <c r="B52" s="32" t="s">
        <v>984</v>
      </c>
      <c r="F52" s="357">
        <f t="shared" ref="F52:R52" si="6">SUM(F45:F51)</f>
        <v>3436</v>
      </c>
      <c r="G52" s="357">
        <f t="shared" si="6"/>
        <v>3407</v>
      </c>
      <c r="H52" s="357">
        <f t="shared" si="6"/>
        <v>3393</v>
      </c>
      <c r="I52" s="357">
        <f t="shared" si="6"/>
        <v>3392</v>
      </c>
      <c r="J52" s="357">
        <f t="shared" si="6"/>
        <v>3376</v>
      </c>
      <c r="K52" s="357">
        <f t="shared" si="6"/>
        <v>3359</v>
      </c>
      <c r="L52" s="357">
        <f t="shared" si="6"/>
        <v>3360</v>
      </c>
      <c r="M52" s="357">
        <f t="shared" si="6"/>
        <v>3381</v>
      </c>
      <c r="N52" s="357">
        <f t="shared" si="6"/>
        <v>3403</v>
      </c>
      <c r="O52" s="357">
        <f t="shared" si="6"/>
        <v>3334</v>
      </c>
      <c r="P52" s="357">
        <f t="shared" si="6"/>
        <v>3305</v>
      </c>
      <c r="Q52" s="357">
        <f t="shared" si="6"/>
        <v>3290</v>
      </c>
      <c r="R52" s="357">
        <f t="shared" si="6"/>
        <v>40436</v>
      </c>
    </row>
    <row r="54" spans="2:19" x14ac:dyDescent="0.2">
      <c r="B54" s="276" t="s">
        <v>985</v>
      </c>
    </row>
    <row r="55" spans="2:19" x14ac:dyDescent="0.2">
      <c r="B55" s="32" t="s">
        <v>988</v>
      </c>
      <c r="D55" s="32">
        <v>72</v>
      </c>
      <c r="F55" s="364">
        <f t="shared" ref="F55:Q61" si="7">F36*F45</f>
        <v>2948</v>
      </c>
      <c r="G55" s="364">
        <f t="shared" si="7"/>
        <v>2874.3</v>
      </c>
      <c r="H55" s="364">
        <f t="shared" si="7"/>
        <v>2859.56</v>
      </c>
      <c r="I55" s="364">
        <f t="shared" si="7"/>
        <v>2844.82</v>
      </c>
      <c r="J55" s="364">
        <f t="shared" si="7"/>
        <v>2874.3</v>
      </c>
      <c r="K55" s="364">
        <f t="shared" si="7"/>
        <v>2815.34</v>
      </c>
      <c r="L55" s="364">
        <f t="shared" si="7"/>
        <v>2741.64</v>
      </c>
      <c r="M55" s="364">
        <f t="shared" si="7"/>
        <v>2726.9</v>
      </c>
      <c r="N55" s="364">
        <f t="shared" si="7"/>
        <v>2726.9</v>
      </c>
      <c r="O55" s="364">
        <f t="shared" si="7"/>
        <v>2667.94</v>
      </c>
      <c r="P55" s="364">
        <f t="shared" si="7"/>
        <v>2667.94</v>
      </c>
      <c r="Q55" s="364">
        <f t="shared" si="7"/>
        <v>2608.98</v>
      </c>
      <c r="R55" s="364">
        <f t="shared" ref="R55:R61" si="8">SUM(F55:Q55)</f>
        <v>33356.620000000003</v>
      </c>
    </row>
    <row r="56" spans="2:19" x14ac:dyDescent="0.2">
      <c r="B56" s="32" t="s">
        <v>989</v>
      </c>
      <c r="D56" s="32">
        <v>72</v>
      </c>
      <c r="F56" s="364">
        <f t="shared" si="7"/>
        <v>2426.7600000000002</v>
      </c>
      <c r="G56" s="364">
        <f t="shared" si="7"/>
        <v>2368.98</v>
      </c>
      <c r="H56" s="364">
        <f t="shared" si="7"/>
        <v>2349.7200000000003</v>
      </c>
      <c r="I56" s="364">
        <f t="shared" si="7"/>
        <v>2330.46</v>
      </c>
      <c r="J56" s="364">
        <f t="shared" si="7"/>
        <v>2311.2000000000003</v>
      </c>
      <c r="K56" s="364">
        <f t="shared" si="7"/>
        <v>2272.6800000000003</v>
      </c>
      <c r="L56" s="364">
        <f t="shared" si="7"/>
        <v>2253.42</v>
      </c>
      <c r="M56" s="364">
        <f t="shared" si="7"/>
        <v>2214.9</v>
      </c>
      <c r="N56" s="364">
        <f t="shared" si="7"/>
        <v>2234.1600000000003</v>
      </c>
      <c r="O56" s="364">
        <f t="shared" si="7"/>
        <v>2234.1600000000003</v>
      </c>
      <c r="P56" s="364">
        <f t="shared" si="7"/>
        <v>2176.38</v>
      </c>
      <c r="Q56" s="364">
        <f t="shared" si="7"/>
        <v>2214.9</v>
      </c>
      <c r="R56" s="364">
        <f t="shared" si="8"/>
        <v>27387.720000000005</v>
      </c>
    </row>
    <row r="57" spans="2:19" x14ac:dyDescent="0.2">
      <c r="B57" s="32" t="s">
        <v>990</v>
      </c>
      <c r="D57" s="32">
        <v>72</v>
      </c>
      <c r="F57" s="364">
        <f t="shared" si="7"/>
        <v>6933.6</v>
      </c>
      <c r="G57" s="364">
        <f t="shared" si="7"/>
        <v>6895.0800000000008</v>
      </c>
      <c r="H57" s="364">
        <f t="shared" si="7"/>
        <v>6818.0400000000009</v>
      </c>
      <c r="I57" s="364">
        <f t="shared" si="7"/>
        <v>6895.0800000000008</v>
      </c>
      <c r="J57" s="364">
        <f t="shared" si="7"/>
        <v>6818.0400000000009</v>
      </c>
      <c r="K57" s="364">
        <f t="shared" si="7"/>
        <v>6741.0000000000009</v>
      </c>
      <c r="L57" s="364">
        <f t="shared" si="7"/>
        <v>6837.3</v>
      </c>
      <c r="M57" s="364">
        <f t="shared" si="7"/>
        <v>6798.7800000000007</v>
      </c>
      <c r="N57" s="364">
        <f t="shared" si="7"/>
        <v>6952.8600000000006</v>
      </c>
      <c r="O57" s="364">
        <f t="shared" si="7"/>
        <v>6760.26</v>
      </c>
      <c r="P57" s="364">
        <f t="shared" si="7"/>
        <v>6683.22</v>
      </c>
      <c r="Q57" s="364">
        <f t="shared" si="7"/>
        <v>6721.7400000000007</v>
      </c>
      <c r="R57" s="364">
        <f t="shared" si="8"/>
        <v>81855.000000000015</v>
      </c>
    </row>
    <row r="58" spans="2:19" x14ac:dyDescent="0.2">
      <c r="B58" s="32" t="s">
        <v>991</v>
      </c>
      <c r="D58" s="32">
        <v>72</v>
      </c>
      <c r="F58" s="364">
        <f t="shared" si="7"/>
        <v>603.40000000000009</v>
      </c>
      <c r="G58" s="364">
        <f t="shared" si="7"/>
        <v>603.40000000000009</v>
      </c>
      <c r="H58" s="364">
        <f t="shared" si="7"/>
        <v>573.23</v>
      </c>
      <c r="I58" s="364">
        <f t="shared" si="7"/>
        <v>573.23</v>
      </c>
      <c r="J58" s="364">
        <f t="shared" si="7"/>
        <v>573.23</v>
      </c>
      <c r="K58" s="364">
        <f t="shared" si="7"/>
        <v>573.23</v>
      </c>
      <c r="L58" s="364">
        <f t="shared" si="7"/>
        <v>543.06000000000006</v>
      </c>
      <c r="M58" s="364">
        <f t="shared" si="7"/>
        <v>724.08</v>
      </c>
      <c r="N58" s="364">
        <f t="shared" si="7"/>
        <v>603.40000000000009</v>
      </c>
      <c r="O58" s="364">
        <f t="shared" si="7"/>
        <v>543.06000000000006</v>
      </c>
      <c r="P58" s="364">
        <f t="shared" si="7"/>
        <v>543.06000000000006</v>
      </c>
      <c r="Q58" s="364">
        <f t="shared" si="7"/>
        <v>543.06000000000006</v>
      </c>
      <c r="R58" s="364">
        <f t="shared" si="8"/>
        <v>6999.4400000000014</v>
      </c>
    </row>
    <row r="59" spans="2:19" x14ac:dyDescent="0.2">
      <c r="B59" s="32" t="s">
        <v>992</v>
      </c>
      <c r="D59" s="32">
        <v>72</v>
      </c>
      <c r="F59" s="364">
        <f t="shared" si="7"/>
        <v>31724.16</v>
      </c>
      <c r="G59" s="364">
        <f t="shared" si="7"/>
        <v>31488</v>
      </c>
      <c r="H59" s="364">
        <f t="shared" si="7"/>
        <v>31448.639999999999</v>
      </c>
      <c r="I59" s="364">
        <f t="shared" si="7"/>
        <v>31369.919999999998</v>
      </c>
      <c r="J59" s="364">
        <f t="shared" si="7"/>
        <v>31448.639999999999</v>
      </c>
      <c r="K59" s="364">
        <f t="shared" si="7"/>
        <v>30976.32</v>
      </c>
      <c r="L59" s="364">
        <f t="shared" si="7"/>
        <v>30858.239999999998</v>
      </c>
      <c r="M59" s="364">
        <f t="shared" si="7"/>
        <v>31763.52</v>
      </c>
      <c r="N59" s="364">
        <f t="shared" si="7"/>
        <v>30464.639999999999</v>
      </c>
      <c r="O59" s="364">
        <f t="shared" si="7"/>
        <v>30189.119999999999</v>
      </c>
      <c r="P59" s="364">
        <f t="shared" si="7"/>
        <v>30267.84</v>
      </c>
      <c r="Q59" s="364">
        <f t="shared" si="7"/>
        <v>30149.759999999998</v>
      </c>
      <c r="R59" s="364">
        <f t="shared" si="8"/>
        <v>372148.8</v>
      </c>
    </row>
    <row r="60" spans="2:19" x14ac:dyDescent="0.2">
      <c r="B60" s="32" t="s">
        <v>993</v>
      </c>
      <c r="D60" s="32">
        <v>72</v>
      </c>
      <c r="F60" s="364">
        <f t="shared" si="7"/>
        <v>27326</v>
      </c>
      <c r="G60" s="364">
        <f t="shared" si="7"/>
        <v>27010.699999999997</v>
      </c>
      <c r="H60" s="364">
        <f t="shared" si="7"/>
        <v>26905.599999999999</v>
      </c>
      <c r="I60" s="364">
        <f t="shared" si="7"/>
        <v>27063.25</v>
      </c>
      <c r="J60" s="364">
        <f t="shared" si="7"/>
        <v>26642.85</v>
      </c>
      <c r="K60" s="364">
        <f t="shared" si="7"/>
        <v>26800.5</v>
      </c>
      <c r="L60" s="364">
        <f t="shared" si="7"/>
        <v>26642.85</v>
      </c>
      <c r="M60" s="364">
        <f t="shared" si="7"/>
        <v>26695.399999999998</v>
      </c>
      <c r="N60" s="364">
        <f t="shared" si="7"/>
        <v>26590.3</v>
      </c>
      <c r="O60" s="364">
        <f t="shared" si="7"/>
        <v>26537.75</v>
      </c>
      <c r="P60" s="364">
        <f t="shared" si="7"/>
        <v>26380.1</v>
      </c>
      <c r="Q60" s="364">
        <f t="shared" si="7"/>
        <v>26327.55</v>
      </c>
      <c r="R60" s="364">
        <f t="shared" si="8"/>
        <v>320922.84999999992</v>
      </c>
    </row>
    <row r="61" spans="2:19" x14ac:dyDescent="0.2">
      <c r="B61" s="32" t="s">
        <v>994</v>
      </c>
      <c r="D61" s="32">
        <v>72</v>
      </c>
      <c r="F61" s="364">
        <f t="shared" si="7"/>
        <v>85714.2</v>
      </c>
      <c r="G61" s="364">
        <f t="shared" si="7"/>
        <v>85286.849999999991</v>
      </c>
      <c r="H61" s="364">
        <f t="shared" si="7"/>
        <v>85042.65</v>
      </c>
      <c r="I61" s="364">
        <f t="shared" si="7"/>
        <v>84798.45</v>
      </c>
      <c r="J61" s="364">
        <f t="shared" si="7"/>
        <v>84371.099999999991</v>
      </c>
      <c r="K61" s="364">
        <f t="shared" si="7"/>
        <v>84493.2</v>
      </c>
      <c r="L61" s="364">
        <f t="shared" si="7"/>
        <v>85042.65</v>
      </c>
      <c r="M61" s="364">
        <f t="shared" si="7"/>
        <v>84798.45</v>
      </c>
      <c r="N61" s="364">
        <f t="shared" si="7"/>
        <v>87973.05</v>
      </c>
      <c r="O61" s="364">
        <f t="shared" si="7"/>
        <v>85225.8</v>
      </c>
      <c r="P61" s="364">
        <f t="shared" si="7"/>
        <v>83943.75</v>
      </c>
      <c r="Q61" s="364">
        <f t="shared" si="7"/>
        <v>83272.2</v>
      </c>
      <c r="R61" s="364">
        <f t="shared" si="8"/>
        <v>1019962.35</v>
      </c>
    </row>
    <row r="62" spans="2:19" x14ac:dyDescent="0.2">
      <c r="B62" s="32" t="s">
        <v>986</v>
      </c>
      <c r="F62" s="365">
        <f t="shared" ref="F62:R62" si="9">SUM(F55:F61)</f>
        <v>157676.12</v>
      </c>
      <c r="G62" s="365">
        <f t="shared" si="9"/>
        <v>156527.31</v>
      </c>
      <c r="H62" s="365">
        <f t="shared" si="9"/>
        <v>155997.44</v>
      </c>
      <c r="I62" s="365">
        <f t="shared" si="9"/>
        <v>155875.21</v>
      </c>
      <c r="J62" s="365">
        <f t="shared" si="9"/>
        <v>155039.35999999999</v>
      </c>
      <c r="K62" s="365">
        <f t="shared" si="9"/>
        <v>154672.27000000002</v>
      </c>
      <c r="L62" s="365">
        <f t="shared" si="9"/>
        <v>154919.15999999997</v>
      </c>
      <c r="M62" s="365">
        <f t="shared" si="9"/>
        <v>155722.03</v>
      </c>
      <c r="N62" s="365">
        <f t="shared" si="9"/>
        <v>157545.31</v>
      </c>
      <c r="O62" s="365">
        <f t="shared" si="9"/>
        <v>154158.09000000003</v>
      </c>
      <c r="P62" s="365">
        <f t="shared" si="9"/>
        <v>152662.29</v>
      </c>
      <c r="Q62" s="365">
        <f t="shared" si="9"/>
        <v>151838.19</v>
      </c>
      <c r="R62" s="365">
        <f t="shared" si="9"/>
        <v>1862632.7799999998</v>
      </c>
    </row>
    <row r="63" spans="2:19" x14ac:dyDescent="0.2">
      <c r="F63" s="364"/>
      <c r="G63" s="364"/>
      <c r="H63" s="364"/>
      <c r="I63" s="364"/>
      <c r="J63" s="364"/>
      <c r="K63" s="364"/>
      <c r="L63" s="364"/>
      <c r="M63" s="364"/>
      <c r="N63" s="364"/>
      <c r="O63" s="364"/>
      <c r="P63" s="364"/>
      <c r="Q63" s="364"/>
      <c r="R63" s="364"/>
    </row>
    <row r="64" spans="2:19" x14ac:dyDescent="0.2">
      <c r="B64" s="276" t="s">
        <v>995</v>
      </c>
    </row>
    <row r="65" spans="2:19" x14ac:dyDescent="0.2">
      <c r="B65" s="276" t="s">
        <v>5</v>
      </c>
    </row>
    <row r="66" spans="2:19" x14ac:dyDescent="0.2">
      <c r="B66" s="32" t="s">
        <v>996</v>
      </c>
      <c r="E66" s="32" t="s">
        <v>976</v>
      </c>
      <c r="F66" s="414">
        <v>10.199999999999999</v>
      </c>
      <c r="G66" s="414">
        <v>10.199999999999999</v>
      </c>
      <c r="H66" s="414">
        <v>10.199999999999999</v>
      </c>
      <c r="I66" s="414">
        <v>10.199999999999999</v>
      </c>
      <c r="J66" s="414">
        <v>10.199999999999999</v>
      </c>
      <c r="K66" s="414">
        <v>10.199999999999999</v>
      </c>
      <c r="L66" s="414">
        <v>10.199999999999999</v>
      </c>
      <c r="M66" s="414">
        <v>10.199999999999999</v>
      </c>
      <c r="N66" s="414">
        <v>10.199999999999999</v>
      </c>
      <c r="O66" s="414">
        <v>10.199999999999999</v>
      </c>
      <c r="P66" s="414">
        <v>10.199999999999999</v>
      </c>
      <c r="Q66" s="414">
        <v>10.199999999999999</v>
      </c>
    </row>
    <row r="67" spans="2:19" x14ac:dyDescent="0.2">
      <c r="B67" s="32" t="s">
        <v>997</v>
      </c>
      <c r="E67" s="32" t="s">
        <v>976</v>
      </c>
      <c r="F67" s="414">
        <v>27.05</v>
      </c>
      <c r="G67" s="414">
        <v>27.05</v>
      </c>
      <c r="H67" s="414">
        <v>27.05</v>
      </c>
      <c r="I67" s="414">
        <v>27.05</v>
      </c>
      <c r="J67" s="414">
        <v>27.05</v>
      </c>
      <c r="K67" s="414">
        <v>27.05</v>
      </c>
      <c r="L67" s="414">
        <v>27.05</v>
      </c>
      <c r="M67" s="414">
        <v>27.05</v>
      </c>
      <c r="N67" s="414">
        <v>27.05</v>
      </c>
      <c r="O67" s="414">
        <v>27.05</v>
      </c>
      <c r="P67" s="414">
        <v>27.05</v>
      </c>
      <c r="Q67" s="414">
        <v>27.05</v>
      </c>
    </row>
    <row r="68" spans="2:19" x14ac:dyDescent="0.2">
      <c r="B68" s="32" t="s">
        <v>998</v>
      </c>
      <c r="E68" s="32" t="s">
        <v>976</v>
      </c>
      <c r="F68" s="414">
        <v>36.54</v>
      </c>
      <c r="G68" s="414">
        <v>36.54</v>
      </c>
      <c r="H68" s="414">
        <v>36.54</v>
      </c>
      <c r="I68" s="414">
        <v>36.54</v>
      </c>
      <c r="J68" s="414">
        <v>36.54</v>
      </c>
      <c r="K68" s="414">
        <v>36.54</v>
      </c>
      <c r="L68" s="414">
        <v>36.54</v>
      </c>
      <c r="M68" s="414">
        <v>36.54</v>
      </c>
      <c r="N68" s="414">
        <v>36.54</v>
      </c>
      <c r="O68" s="414">
        <v>36.54</v>
      </c>
      <c r="P68" s="414">
        <v>36.54</v>
      </c>
      <c r="Q68" s="414">
        <v>36.54</v>
      </c>
    </row>
    <row r="69" spans="2:19" x14ac:dyDescent="0.2">
      <c r="B69" s="32" t="s">
        <v>999</v>
      </c>
      <c r="E69" s="32" t="s">
        <v>976</v>
      </c>
      <c r="F69" s="414">
        <v>15.34</v>
      </c>
      <c r="G69" s="414">
        <v>15.34</v>
      </c>
      <c r="H69" s="414">
        <v>15.34</v>
      </c>
      <c r="I69" s="414">
        <v>15.34</v>
      </c>
      <c r="J69" s="414">
        <v>15.34</v>
      </c>
      <c r="K69" s="414">
        <v>15.34</v>
      </c>
      <c r="L69" s="414">
        <v>15.34</v>
      </c>
      <c r="M69" s="414">
        <v>15.34</v>
      </c>
      <c r="N69" s="414">
        <v>15.34</v>
      </c>
      <c r="O69" s="414">
        <v>15.34</v>
      </c>
      <c r="P69" s="414">
        <v>15.34</v>
      </c>
      <c r="Q69" s="414">
        <v>15.34</v>
      </c>
    </row>
    <row r="71" spans="2:19" x14ac:dyDescent="0.2">
      <c r="B71" s="276" t="s">
        <v>982</v>
      </c>
      <c r="F71" s="279"/>
      <c r="G71" s="279"/>
      <c r="H71" s="279"/>
      <c r="I71" s="279"/>
      <c r="J71" s="279"/>
      <c r="K71" s="279"/>
      <c r="L71" s="279"/>
      <c r="M71" s="279"/>
      <c r="N71" s="279"/>
      <c r="O71" s="279"/>
      <c r="P71" s="279"/>
      <c r="Q71" s="279"/>
    </row>
    <row r="72" spans="2:19" s="336" customFormat="1" x14ac:dyDescent="0.2">
      <c r="B72" s="336" t="s">
        <v>996</v>
      </c>
      <c r="E72" s="336" t="s">
        <v>1000</v>
      </c>
      <c r="F72" s="421">
        <f>'JKP-3.1c - RentalActualRates'!F72</f>
        <v>1764</v>
      </c>
      <c r="G72" s="421">
        <f>'JKP-3.1c - RentalActualRates'!G72</f>
        <v>1748</v>
      </c>
      <c r="H72" s="421">
        <f>'JKP-3.1c - RentalActualRates'!H72</f>
        <v>1731</v>
      </c>
      <c r="I72" s="421">
        <f>'JKP-3.1c - RentalActualRates'!I72</f>
        <v>1730</v>
      </c>
      <c r="J72" s="421">
        <f>'JKP-3.1c - RentalActualRates'!J72</f>
        <v>1717</v>
      </c>
      <c r="K72" s="421">
        <f>'JKP-3.1c - RentalActualRates'!K72</f>
        <v>1699</v>
      </c>
      <c r="L72" s="421">
        <f>'JKP-3.1c - RentalActualRates'!L72</f>
        <v>1692</v>
      </c>
      <c r="M72" s="421">
        <f>'JKP-3.1c - RentalActualRates'!M72</f>
        <v>1675</v>
      </c>
      <c r="N72" s="421">
        <f>'JKP-3.1c - RentalActualRates'!N72</f>
        <v>1660</v>
      </c>
      <c r="O72" s="421">
        <f>'JKP-3.1c - RentalActualRates'!O72</f>
        <v>1659</v>
      </c>
      <c r="P72" s="421">
        <f>'JKP-3.1c - RentalActualRates'!P72</f>
        <v>1653</v>
      </c>
      <c r="Q72" s="421">
        <f>'JKP-3.1c - RentalActualRates'!Q72</f>
        <v>1637</v>
      </c>
      <c r="R72" s="362">
        <f>SUM(F72:Q72)</f>
        <v>20365</v>
      </c>
      <c r="S72" s="415"/>
    </row>
    <row r="73" spans="2:19" s="336" customFormat="1" x14ac:dyDescent="0.2">
      <c r="B73" s="336" t="s">
        <v>997</v>
      </c>
      <c r="E73" s="336" t="s">
        <v>1000</v>
      </c>
      <c r="F73" s="421">
        <f>'JKP-3.1c - RentalActualRates'!F73</f>
        <v>107</v>
      </c>
      <c r="G73" s="421">
        <f>'JKP-3.1c - RentalActualRates'!G73</f>
        <v>107</v>
      </c>
      <c r="H73" s="421">
        <f>'JKP-3.1c - RentalActualRates'!H73</f>
        <v>104</v>
      </c>
      <c r="I73" s="421">
        <f>'JKP-3.1c - RentalActualRates'!I73</f>
        <v>106</v>
      </c>
      <c r="J73" s="421">
        <f>'JKP-3.1c - RentalActualRates'!J73</f>
        <v>106</v>
      </c>
      <c r="K73" s="421">
        <f>'JKP-3.1c - RentalActualRates'!K73</f>
        <v>106</v>
      </c>
      <c r="L73" s="421">
        <f>'JKP-3.1c - RentalActualRates'!L73</f>
        <v>105</v>
      </c>
      <c r="M73" s="421">
        <f>'JKP-3.1c - RentalActualRates'!M73</f>
        <v>105</v>
      </c>
      <c r="N73" s="421">
        <f>'JKP-3.1c - RentalActualRates'!N73</f>
        <v>105</v>
      </c>
      <c r="O73" s="421">
        <f>'JKP-3.1c - RentalActualRates'!O73</f>
        <v>104</v>
      </c>
      <c r="P73" s="421">
        <f>'JKP-3.1c - RentalActualRates'!P73</f>
        <v>102</v>
      </c>
      <c r="Q73" s="421">
        <f>'JKP-3.1c - RentalActualRates'!Q73</f>
        <v>102</v>
      </c>
      <c r="R73" s="362">
        <f>SUM(F73:Q73)</f>
        <v>1259</v>
      </c>
      <c r="S73" s="415"/>
    </row>
    <row r="74" spans="2:19" s="336" customFormat="1" x14ac:dyDescent="0.2">
      <c r="B74" s="336" t="s">
        <v>998</v>
      </c>
      <c r="E74" s="336" t="s">
        <v>1000</v>
      </c>
      <c r="F74" s="421">
        <f>'JKP-3.1c - RentalActualRates'!F74</f>
        <v>68</v>
      </c>
      <c r="G74" s="421">
        <f>'JKP-3.1c - RentalActualRates'!G74</f>
        <v>68</v>
      </c>
      <c r="H74" s="421">
        <f>'JKP-3.1c - RentalActualRates'!H74</f>
        <v>68</v>
      </c>
      <c r="I74" s="421">
        <f>'JKP-3.1c - RentalActualRates'!I74</f>
        <v>68</v>
      </c>
      <c r="J74" s="421">
        <f>'JKP-3.1c - RentalActualRates'!J74</f>
        <v>62</v>
      </c>
      <c r="K74" s="421">
        <f>'JKP-3.1c - RentalActualRates'!K74</f>
        <v>66</v>
      </c>
      <c r="L74" s="421">
        <f>'JKP-3.1c - RentalActualRates'!L74</f>
        <v>63</v>
      </c>
      <c r="M74" s="421">
        <f>'JKP-3.1c - RentalActualRates'!M74</f>
        <v>63</v>
      </c>
      <c r="N74" s="421">
        <f>'JKP-3.1c - RentalActualRates'!N74</f>
        <v>61</v>
      </c>
      <c r="O74" s="421">
        <f>'JKP-3.1c - RentalActualRates'!O74</f>
        <v>61</v>
      </c>
      <c r="P74" s="421">
        <f>'JKP-3.1c - RentalActualRates'!P74</f>
        <v>61</v>
      </c>
      <c r="Q74" s="421">
        <f>'JKP-3.1c - RentalActualRates'!Q74</f>
        <v>60</v>
      </c>
      <c r="R74" s="362">
        <f>SUM(F74:Q74)</f>
        <v>769</v>
      </c>
      <c r="S74" s="415"/>
    </row>
    <row r="75" spans="2:19" s="336" customFormat="1" x14ac:dyDescent="0.2">
      <c r="B75" s="336" t="s">
        <v>999</v>
      </c>
      <c r="E75" s="336" t="s">
        <v>1000</v>
      </c>
      <c r="F75" s="421">
        <f>'JKP-3.1c - RentalActualRates'!F75</f>
        <v>3158</v>
      </c>
      <c r="G75" s="421">
        <f>'JKP-3.1c - RentalActualRates'!G75</f>
        <v>3131</v>
      </c>
      <c r="H75" s="421">
        <f>'JKP-3.1c - RentalActualRates'!H75</f>
        <v>3108</v>
      </c>
      <c r="I75" s="421">
        <f>'JKP-3.1c - RentalActualRates'!I75</f>
        <v>3090</v>
      </c>
      <c r="J75" s="421">
        <f>'JKP-3.1c - RentalActualRates'!J75</f>
        <v>3064</v>
      </c>
      <c r="K75" s="421">
        <f>'JKP-3.1c - RentalActualRates'!K75</f>
        <v>3027</v>
      </c>
      <c r="L75" s="421">
        <f>'JKP-3.1c - RentalActualRates'!L75</f>
        <v>3028</v>
      </c>
      <c r="M75" s="421">
        <f>'JKP-3.1c - RentalActualRates'!M75</f>
        <v>2996</v>
      </c>
      <c r="N75" s="421">
        <f>'JKP-3.1c - RentalActualRates'!N75</f>
        <v>2979</v>
      </c>
      <c r="O75" s="421">
        <f>'JKP-3.1c - RentalActualRates'!O75</f>
        <v>2958</v>
      </c>
      <c r="P75" s="421">
        <f>'JKP-3.1c - RentalActualRates'!P75</f>
        <v>2926</v>
      </c>
      <c r="Q75" s="421">
        <f>'JKP-3.1c - RentalActualRates'!Q75</f>
        <v>2900</v>
      </c>
      <c r="R75" s="362">
        <f>SUM(F75:Q75)</f>
        <v>36365</v>
      </c>
      <c r="S75" s="415"/>
    </row>
    <row r="76" spans="2:19" x14ac:dyDescent="0.2">
      <c r="B76" s="32" t="s">
        <v>984</v>
      </c>
      <c r="F76" s="357">
        <f t="shared" ref="F76:N76" si="10">SUM(F72:F75)</f>
        <v>5097</v>
      </c>
      <c r="G76" s="357">
        <f t="shared" si="10"/>
        <v>5054</v>
      </c>
      <c r="H76" s="357">
        <f t="shared" si="10"/>
        <v>5011</v>
      </c>
      <c r="I76" s="357">
        <f t="shared" si="10"/>
        <v>4994</v>
      </c>
      <c r="J76" s="357">
        <f t="shared" si="10"/>
        <v>4949</v>
      </c>
      <c r="K76" s="357">
        <f t="shared" si="10"/>
        <v>4898</v>
      </c>
      <c r="L76" s="357">
        <f t="shared" si="10"/>
        <v>4888</v>
      </c>
      <c r="M76" s="357">
        <f t="shared" si="10"/>
        <v>4839</v>
      </c>
      <c r="N76" s="357">
        <f t="shared" si="10"/>
        <v>4805</v>
      </c>
      <c r="O76" s="357">
        <f>SUM(O72:O75)</f>
        <v>4782</v>
      </c>
      <c r="P76" s="357">
        <f>SUM(P72:P75)</f>
        <v>4742</v>
      </c>
      <c r="Q76" s="357">
        <f>SUM(Q72:Q75)</f>
        <v>4699</v>
      </c>
      <c r="R76" s="357">
        <f>SUM(R72:R75)</f>
        <v>58758</v>
      </c>
    </row>
    <row r="78" spans="2:19" x14ac:dyDescent="0.2">
      <c r="B78" s="276" t="s">
        <v>985</v>
      </c>
    </row>
    <row r="79" spans="2:19" x14ac:dyDescent="0.2">
      <c r="B79" s="32" t="s">
        <v>996</v>
      </c>
      <c r="E79" s="32" t="s">
        <v>976</v>
      </c>
      <c r="F79" s="364">
        <f t="shared" ref="F79:Q82" si="11">F66*F72</f>
        <v>17992.8</v>
      </c>
      <c r="G79" s="364">
        <f t="shared" si="11"/>
        <v>17829.599999999999</v>
      </c>
      <c r="H79" s="364">
        <f t="shared" si="11"/>
        <v>17656.199999999997</v>
      </c>
      <c r="I79" s="364">
        <f t="shared" si="11"/>
        <v>17646</v>
      </c>
      <c r="J79" s="364">
        <f t="shared" si="11"/>
        <v>17513.399999999998</v>
      </c>
      <c r="K79" s="364">
        <f t="shared" si="11"/>
        <v>17329.8</v>
      </c>
      <c r="L79" s="364">
        <f t="shared" si="11"/>
        <v>17258.399999999998</v>
      </c>
      <c r="M79" s="364">
        <f t="shared" si="11"/>
        <v>17085</v>
      </c>
      <c r="N79" s="364">
        <f t="shared" si="11"/>
        <v>16932</v>
      </c>
      <c r="O79" s="364">
        <f t="shared" si="11"/>
        <v>16921.8</v>
      </c>
      <c r="P79" s="364">
        <f t="shared" si="11"/>
        <v>16860.599999999999</v>
      </c>
      <c r="Q79" s="364">
        <f t="shared" si="11"/>
        <v>16697.399999999998</v>
      </c>
      <c r="R79" s="364">
        <f>SUM(F79:Q79)</f>
        <v>207722.99999999997</v>
      </c>
    </row>
    <row r="80" spans="2:19" x14ac:dyDescent="0.2">
      <c r="B80" s="32" t="s">
        <v>997</v>
      </c>
      <c r="E80" s="32" t="s">
        <v>976</v>
      </c>
      <c r="F80" s="364">
        <f t="shared" si="11"/>
        <v>2894.35</v>
      </c>
      <c r="G80" s="364">
        <f t="shared" si="11"/>
        <v>2894.35</v>
      </c>
      <c r="H80" s="364">
        <f t="shared" si="11"/>
        <v>2813.2000000000003</v>
      </c>
      <c r="I80" s="364">
        <f t="shared" si="11"/>
        <v>2867.3</v>
      </c>
      <c r="J80" s="364">
        <f t="shared" si="11"/>
        <v>2867.3</v>
      </c>
      <c r="K80" s="364">
        <f t="shared" si="11"/>
        <v>2867.3</v>
      </c>
      <c r="L80" s="364">
        <f t="shared" si="11"/>
        <v>2840.25</v>
      </c>
      <c r="M80" s="364">
        <f t="shared" si="11"/>
        <v>2840.25</v>
      </c>
      <c r="N80" s="364">
        <f t="shared" si="11"/>
        <v>2840.25</v>
      </c>
      <c r="O80" s="364">
        <f t="shared" si="11"/>
        <v>2813.2000000000003</v>
      </c>
      <c r="P80" s="364">
        <f t="shared" si="11"/>
        <v>2759.1</v>
      </c>
      <c r="Q80" s="364">
        <f t="shared" si="11"/>
        <v>2759.1</v>
      </c>
      <c r="R80" s="364">
        <f>SUM(F80:Q80)</f>
        <v>34055.949999999997</v>
      </c>
    </row>
    <row r="81" spans="2:20" x14ac:dyDescent="0.2">
      <c r="B81" s="32" t="s">
        <v>998</v>
      </c>
      <c r="E81" s="32" t="s">
        <v>976</v>
      </c>
      <c r="F81" s="364">
        <f t="shared" si="11"/>
        <v>2484.7199999999998</v>
      </c>
      <c r="G81" s="364">
        <f t="shared" si="11"/>
        <v>2484.7199999999998</v>
      </c>
      <c r="H81" s="364">
        <f t="shared" si="11"/>
        <v>2484.7199999999998</v>
      </c>
      <c r="I81" s="364">
        <f t="shared" si="11"/>
        <v>2484.7199999999998</v>
      </c>
      <c r="J81" s="364">
        <f t="shared" si="11"/>
        <v>2265.48</v>
      </c>
      <c r="K81" s="364">
        <f t="shared" si="11"/>
        <v>2411.64</v>
      </c>
      <c r="L81" s="364">
        <f t="shared" si="11"/>
        <v>2302.02</v>
      </c>
      <c r="M81" s="364">
        <f t="shared" si="11"/>
        <v>2302.02</v>
      </c>
      <c r="N81" s="364">
        <f t="shared" si="11"/>
        <v>2228.94</v>
      </c>
      <c r="O81" s="364">
        <f t="shared" si="11"/>
        <v>2228.94</v>
      </c>
      <c r="P81" s="364">
        <f t="shared" si="11"/>
        <v>2228.94</v>
      </c>
      <c r="Q81" s="364">
        <f t="shared" si="11"/>
        <v>2192.4</v>
      </c>
      <c r="R81" s="364">
        <f>SUM(F81:Q81)</f>
        <v>28099.259999999995</v>
      </c>
    </row>
    <row r="82" spans="2:20" x14ac:dyDescent="0.2">
      <c r="B82" s="32" t="s">
        <v>999</v>
      </c>
      <c r="E82" s="32" t="s">
        <v>976</v>
      </c>
      <c r="F82" s="364">
        <f t="shared" si="11"/>
        <v>48443.72</v>
      </c>
      <c r="G82" s="364">
        <f t="shared" si="11"/>
        <v>48029.54</v>
      </c>
      <c r="H82" s="364">
        <f t="shared" si="11"/>
        <v>47676.72</v>
      </c>
      <c r="I82" s="364">
        <f t="shared" si="11"/>
        <v>47400.6</v>
      </c>
      <c r="J82" s="364">
        <f t="shared" si="11"/>
        <v>47001.760000000002</v>
      </c>
      <c r="K82" s="364">
        <f t="shared" si="11"/>
        <v>46434.18</v>
      </c>
      <c r="L82" s="364">
        <f t="shared" si="11"/>
        <v>46449.52</v>
      </c>
      <c r="M82" s="364">
        <f t="shared" si="11"/>
        <v>45958.64</v>
      </c>
      <c r="N82" s="364">
        <f t="shared" si="11"/>
        <v>45697.86</v>
      </c>
      <c r="O82" s="364">
        <f t="shared" si="11"/>
        <v>45375.72</v>
      </c>
      <c r="P82" s="364">
        <f t="shared" si="11"/>
        <v>44884.84</v>
      </c>
      <c r="Q82" s="364">
        <f t="shared" si="11"/>
        <v>44486</v>
      </c>
      <c r="R82" s="364">
        <f>SUM(F82:Q82)</f>
        <v>557839.1</v>
      </c>
    </row>
    <row r="83" spans="2:20" x14ac:dyDescent="0.2">
      <c r="B83" s="32" t="s">
        <v>986</v>
      </c>
      <c r="F83" s="365">
        <f t="shared" ref="F83:N83" si="12">SUM(F79:F82)</f>
        <v>71815.59</v>
      </c>
      <c r="G83" s="365">
        <f t="shared" si="12"/>
        <v>71238.209999999992</v>
      </c>
      <c r="H83" s="365">
        <f t="shared" si="12"/>
        <v>70630.84</v>
      </c>
      <c r="I83" s="365">
        <f t="shared" si="12"/>
        <v>70398.62</v>
      </c>
      <c r="J83" s="365">
        <f t="shared" si="12"/>
        <v>69647.94</v>
      </c>
      <c r="K83" s="365">
        <f t="shared" si="12"/>
        <v>69042.92</v>
      </c>
      <c r="L83" s="365">
        <f t="shared" si="12"/>
        <v>68850.19</v>
      </c>
      <c r="M83" s="365">
        <f t="shared" si="12"/>
        <v>68185.91</v>
      </c>
      <c r="N83" s="365">
        <f t="shared" si="12"/>
        <v>67699.05</v>
      </c>
      <c r="O83" s="365">
        <f>SUM(O79:O82)</f>
        <v>67339.66</v>
      </c>
      <c r="P83" s="365">
        <f>SUM(P79:P82)</f>
        <v>66733.48</v>
      </c>
      <c r="Q83" s="365">
        <f>SUM(Q79:Q82)</f>
        <v>66134.899999999994</v>
      </c>
      <c r="R83" s="365">
        <f>SUM(R79:R82)</f>
        <v>827717.30999999994</v>
      </c>
    </row>
    <row r="84" spans="2:20" x14ac:dyDescent="0.2">
      <c r="F84" s="364"/>
      <c r="G84" s="364"/>
      <c r="H84" s="364"/>
      <c r="I84" s="364"/>
      <c r="J84" s="364"/>
      <c r="K84" s="364"/>
      <c r="L84" s="364"/>
      <c r="M84" s="364"/>
      <c r="N84" s="364"/>
      <c r="O84" s="364"/>
      <c r="P84" s="364"/>
      <c r="Q84" s="364"/>
      <c r="R84" s="364"/>
    </row>
    <row r="85" spans="2:20" x14ac:dyDescent="0.2">
      <c r="B85" s="276" t="s">
        <v>1001</v>
      </c>
    </row>
    <row r="86" spans="2:20" x14ac:dyDescent="0.2">
      <c r="B86" s="276" t="s">
        <v>1002</v>
      </c>
    </row>
    <row r="87" spans="2:20" x14ac:dyDescent="0.2">
      <c r="B87" s="32" t="s">
        <v>1003</v>
      </c>
      <c r="D87" s="32">
        <v>71</v>
      </c>
      <c r="F87" s="279">
        <f t="shared" ref="F87:N87" si="13">F23</f>
        <v>36594</v>
      </c>
      <c r="G87" s="279">
        <f t="shared" si="13"/>
        <v>36388</v>
      </c>
      <c r="H87" s="279">
        <f t="shared" si="13"/>
        <v>36288</v>
      </c>
      <c r="I87" s="279">
        <f t="shared" si="13"/>
        <v>36071</v>
      </c>
      <c r="J87" s="279">
        <f t="shared" si="13"/>
        <v>35929</v>
      </c>
      <c r="K87" s="279">
        <f t="shared" si="13"/>
        <v>35812</v>
      </c>
      <c r="L87" s="279">
        <f t="shared" si="13"/>
        <v>35693</v>
      </c>
      <c r="M87" s="279">
        <f t="shared" si="13"/>
        <v>35601</v>
      </c>
      <c r="N87" s="279">
        <f t="shared" si="13"/>
        <v>35435</v>
      </c>
      <c r="O87" s="279">
        <f>O23</f>
        <v>35246</v>
      </c>
      <c r="P87" s="279">
        <f>P23</f>
        <v>35209</v>
      </c>
      <c r="Q87" s="279">
        <f>Q23</f>
        <v>35035</v>
      </c>
      <c r="R87" s="279">
        <f>R23</f>
        <v>429301</v>
      </c>
    </row>
    <row r="88" spans="2:20" x14ac:dyDescent="0.2">
      <c r="B88" s="32" t="s">
        <v>1004</v>
      </c>
      <c r="D88" s="32">
        <v>72</v>
      </c>
      <c r="F88" s="279">
        <f t="shared" ref="F88:N88" si="14">F52</f>
        <v>3436</v>
      </c>
      <c r="G88" s="279">
        <f t="shared" si="14"/>
        <v>3407</v>
      </c>
      <c r="H88" s="279">
        <f t="shared" si="14"/>
        <v>3393</v>
      </c>
      <c r="I88" s="279">
        <f t="shared" si="14"/>
        <v>3392</v>
      </c>
      <c r="J88" s="279">
        <f t="shared" si="14"/>
        <v>3376</v>
      </c>
      <c r="K88" s="279">
        <f t="shared" si="14"/>
        <v>3359</v>
      </c>
      <c r="L88" s="279">
        <f t="shared" si="14"/>
        <v>3360</v>
      </c>
      <c r="M88" s="279">
        <f t="shared" si="14"/>
        <v>3381</v>
      </c>
      <c r="N88" s="279">
        <f t="shared" si="14"/>
        <v>3403</v>
      </c>
      <c r="O88" s="279">
        <f>O52</f>
        <v>3334</v>
      </c>
      <c r="P88" s="279">
        <f>P52</f>
        <v>3305</v>
      </c>
      <c r="Q88" s="279">
        <f>Q52</f>
        <v>3290</v>
      </c>
      <c r="R88" s="279">
        <f>R52</f>
        <v>40436</v>
      </c>
    </row>
    <row r="89" spans="2:20" x14ac:dyDescent="0.2">
      <c r="B89" s="32" t="s">
        <v>1005</v>
      </c>
      <c r="D89" s="32">
        <v>74</v>
      </c>
      <c r="F89" s="279">
        <f t="shared" ref="F89:N89" si="15">F76</f>
        <v>5097</v>
      </c>
      <c r="G89" s="279">
        <f t="shared" si="15"/>
        <v>5054</v>
      </c>
      <c r="H89" s="279">
        <f t="shared" si="15"/>
        <v>5011</v>
      </c>
      <c r="I89" s="279">
        <f t="shared" si="15"/>
        <v>4994</v>
      </c>
      <c r="J89" s="279">
        <f t="shared" si="15"/>
        <v>4949</v>
      </c>
      <c r="K89" s="279">
        <f t="shared" si="15"/>
        <v>4898</v>
      </c>
      <c r="L89" s="279">
        <f t="shared" si="15"/>
        <v>4888</v>
      </c>
      <c r="M89" s="279">
        <f t="shared" si="15"/>
        <v>4839</v>
      </c>
      <c r="N89" s="279">
        <f t="shared" si="15"/>
        <v>4805</v>
      </c>
      <c r="O89" s="279">
        <f>O76</f>
        <v>4782</v>
      </c>
      <c r="P89" s="279">
        <f>P76</f>
        <v>4742</v>
      </c>
      <c r="Q89" s="279">
        <f>Q76</f>
        <v>4699</v>
      </c>
      <c r="R89" s="279">
        <f>R76</f>
        <v>58758</v>
      </c>
    </row>
    <row r="90" spans="2:20" x14ac:dyDescent="0.2">
      <c r="B90" s="32" t="s">
        <v>1006</v>
      </c>
      <c r="F90" s="357">
        <f t="shared" ref="F90:N90" si="16">SUM(F87:F89)</f>
        <v>45127</v>
      </c>
      <c r="G90" s="357">
        <f t="shared" si="16"/>
        <v>44849</v>
      </c>
      <c r="H90" s="357">
        <f t="shared" si="16"/>
        <v>44692</v>
      </c>
      <c r="I90" s="357">
        <f t="shared" si="16"/>
        <v>44457</v>
      </c>
      <c r="J90" s="357">
        <f t="shared" si="16"/>
        <v>44254</v>
      </c>
      <c r="K90" s="357">
        <f t="shared" si="16"/>
        <v>44069</v>
      </c>
      <c r="L90" s="357">
        <f t="shared" si="16"/>
        <v>43941</v>
      </c>
      <c r="M90" s="357">
        <f t="shared" si="16"/>
        <v>43821</v>
      </c>
      <c r="N90" s="357">
        <f t="shared" si="16"/>
        <v>43643</v>
      </c>
      <c r="O90" s="357">
        <f>SUM(O87:O89)</f>
        <v>43362</v>
      </c>
      <c r="P90" s="357">
        <f>SUM(P87:P89)</f>
        <v>43256</v>
      </c>
      <c r="Q90" s="357">
        <f>SUM(Q87:Q89)</f>
        <v>43024</v>
      </c>
      <c r="R90" s="357">
        <f>SUM(R87:R89)</f>
        <v>528495</v>
      </c>
    </row>
    <row r="92" spans="2:20" x14ac:dyDescent="0.2">
      <c r="B92" s="276" t="s">
        <v>1007</v>
      </c>
    </row>
    <row r="93" spans="2:20" x14ac:dyDescent="0.2">
      <c r="B93" s="32" t="s">
        <v>1003</v>
      </c>
      <c r="D93" s="32">
        <v>71</v>
      </c>
      <c r="E93" s="364"/>
      <c r="F93" s="364">
        <f t="shared" ref="F93:N93" si="17">F32</f>
        <v>432202.26999999996</v>
      </c>
      <c r="G93" s="364">
        <f t="shared" si="17"/>
        <v>429603.42000000004</v>
      </c>
      <c r="H93" s="364">
        <f t="shared" si="17"/>
        <v>428464.76999999996</v>
      </c>
      <c r="I93" s="364">
        <f t="shared" si="17"/>
        <v>425902.08999999997</v>
      </c>
      <c r="J93" s="364">
        <f t="shared" si="17"/>
        <v>424124.42</v>
      </c>
      <c r="K93" s="364">
        <f t="shared" si="17"/>
        <v>422686.20000000007</v>
      </c>
      <c r="L93" s="364">
        <f t="shared" si="17"/>
        <v>421290.52</v>
      </c>
      <c r="M93" s="364">
        <f t="shared" si="17"/>
        <v>420131.52</v>
      </c>
      <c r="N93" s="364">
        <f t="shared" si="17"/>
        <v>418220.13999999996</v>
      </c>
      <c r="O93" s="364">
        <f>O32</f>
        <v>415810.98000000004</v>
      </c>
      <c r="P93" s="364">
        <f>P32</f>
        <v>415396.41000000009</v>
      </c>
      <c r="Q93" s="364">
        <f>Q32</f>
        <v>413248.8</v>
      </c>
      <c r="R93" s="364">
        <f>SUM(F93:Q93)</f>
        <v>5067081.54</v>
      </c>
      <c r="S93" s="417"/>
      <c r="T93" s="364"/>
    </row>
    <row r="94" spans="2:20" x14ac:dyDescent="0.2">
      <c r="B94" s="32" t="s">
        <v>1004</v>
      </c>
      <c r="D94" s="32">
        <v>72</v>
      </c>
      <c r="E94" s="364"/>
      <c r="F94" s="364">
        <f t="shared" ref="F94:N94" si="18">F62</f>
        <v>157676.12</v>
      </c>
      <c r="G94" s="364">
        <f t="shared" si="18"/>
        <v>156527.31</v>
      </c>
      <c r="H94" s="364">
        <f t="shared" si="18"/>
        <v>155997.44</v>
      </c>
      <c r="I94" s="364">
        <f t="shared" si="18"/>
        <v>155875.21</v>
      </c>
      <c r="J94" s="364">
        <f t="shared" si="18"/>
        <v>155039.35999999999</v>
      </c>
      <c r="K94" s="364">
        <f t="shared" si="18"/>
        <v>154672.27000000002</v>
      </c>
      <c r="L94" s="364">
        <f t="shared" si="18"/>
        <v>154919.15999999997</v>
      </c>
      <c r="M94" s="364">
        <f t="shared" si="18"/>
        <v>155722.03</v>
      </c>
      <c r="N94" s="364">
        <f t="shared" si="18"/>
        <v>157545.31</v>
      </c>
      <c r="O94" s="364">
        <f>O62</f>
        <v>154158.09000000003</v>
      </c>
      <c r="P94" s="364">
        <f>P62</f>
        <v>152662.29</v>
      </c>
      <c r="Q94" s="364">
        <f>Q62</f>
        <v>151838.19</v>
      </c>
      <c r="R94" s="364">
        <f>SUM(F94:Q94)</f>
        <v>1862632.78</v>
      </c>
      <c r="S94" s="417"/>
      <c r="T94" s="364"/>
    </row>
    <row r="95" spans="2:20" x14ac:dyDescent="0.2">
      <c r="B95" s="32" t="s">
        <v>1008</v>
      </c>
      <c r="D95" s="32">
        <v>74</v>
      </c>
      <c r="E95" s="364"/>
      <c r="F95" s="364">
        <f t="shared" ref="F95:N95" si="19">F83</f>
        <v>71815.59</v>
      </c>
      <c r="G95" s="364">
        <f t="shared" si="19"/>
        <v>71238.209999999992</v>
      </c>
      <c r="H95" s="364">
        <f t="shared" si="19"/>
        <v>70630.84</v>
      </c>
      <c r="I95" s="364">
        <f t="shared" si="19"/>
        <v>70398.62</v>
      </c>
      <c r="J95" s="364">
        <f t="shared" si="19"/>
        <v>69647.94</v>
      </c>
      <c r="K95" s="364">
        <f t="shared" si="19"/>
        <v>69042.92</v>
      </c>
      <c r="L95" s="364">
        <f t="shared" si="19"/>
        <v>68850.19</v>
      </c>
      <c r="M95" s="364">
        <f t="shared" si="19"/>
        <v>68185.91</v>
      </c>
      <c r="N95" s="364">
        <f t="shared" si="19"/>
        <v>67699.05</v>
      </c>
      <c r="O95" s="364">
        <f>O83</f>
        <v>67339.66</v>
      </c>
      <c r="P95" s="364">
        <f>P83</f>
        <v>66733.48</v>
      </c>
      <c r="Q95" s="364">
        <f>Q83</f>
        <v>66134.899999999994</v>
      </c>
      <c r="R95" s="364">
        <f>SUM(F95:Q95)</f>
        <v>827717.31</v>
      </c>
      <c r="S95" s="417"/>
      <c r="T95" s="364"/>
    </row>
    <row r="96" spans="2:20" x14ac:dyDescent="0.2">
      <c r="B96" s="32" t="s">
        <v>1009</v>
      </c>
      <c r="E96" s="417"/>
      <c r="F96" s="365">
        <f t="shared" ref="F96:N96" si="20">SUM(F93:F95)</f>
        <v>661693.97999999986</v>
      </c>
      <c r="G96" s="365">
        <f t="shared" si="20"/>
        <v>657368.93999999994</v>
      </c>
      <c r="H96" s="365">
        <f t="shared" si="20"/>
        <v>655093.04999999993</v>
      </c>
      <c r="I96" s="365">
        <f t="shared" si="20"/>
        <v>652175.91999999993</v>
      </c>
      <c r="J96" s="365">
        <f t="shared" si="20"/>
        <v>648811.72</v>
      </c>
      <c r="K96" s="365">
        <f t="shared" si="20"/>
        <v>646401.39000000013</v>
      </c>
      <c r="L96" s="365">
        <f t="shared" si="20"/>
        <v>645059.86999999988</v>
      </c>
      <c r="M96" s="365">
        <f t="shared" si="20"/>
        <v>644039.46000000008</v>
      </c>
      <c r="N96" s="365">
        <f t="shared" si="20"/>
        <v>643464.5</v>
      </c>
      <c r="O96" s="365">
        <f>SUM(O93:O95)</f>
        <v>637308.7300000001</v>
      </c>
      <c r="P96" s="365">
        <f>SUM(P93:P95)</f>
        <v>634792.18000000005</v>
      </c>
      <c r="Q96" s="365">
        <f>SUM(Q93:Q95)</f>
        <v>631221.89</v>
      </c>
      <c r="R96" s="365">
        <f>SUM(R93:R95)</f>
        <v>7757431.6300000008</v>
      </c>
      <c r="S96" s="417"/>
      <c r="T96" s="364"/>
    </row>
    <row r="97" spans="5:21" x14ac:dyDescent="0.2">
      <c r="E97" s="364"/>
      <c r="F97" s="364"/>
      <c r="G97" s="364"/>
      <c r="H97" s="364"/>
      <c r="I97" s="364"/>
      <c r="J97" s="364"/>
      <c r="K97" s="364"/>
      <c r="L97" s="364"/>
      <c r="M97" s="364"/>
      <c r="N97" s="364"/>
      <c r="O97" s="364"/>
      <c r="P97" s="364"/>
      <c r="Q97" s="364"/>
      <c r="R97" s="364"/>
    </row>
    <row r="98" spans="5:21" s="336" customFormat="1" x14ac:dyDescent="0.2">
      <c r="E98" s="418"/>
      <c r="F98" s="418"/>
      <c r="G98" s="418"/>
      <c r="H98" s="418"/>
      <c r="I98" s="418"/>
      <c r="J98" s="418"/>
      <c r="K98" s="418"/>
      <c r="L98" s="418"/>
      <c r="M98" s="418"/>
      <c r="N98" s="418"/>
      <c r="O98" s="418"/>
      <c r="P98" s="418"/>
      <c r="Q98" s="418"/>
      <c r="R98" s="418"/>
      <c r="S98" s="415"/>
      <c r="T98" s="418"/>
      <c r="U98" s="418"/>
    </row>
    <row r="99" spans="5:21" x14ac:dyDescent="0.2">
      <c r="E99" s="364"/>
      <c r="F99" s="364"/>
      <c r="G99" s="364"/>
      <c r="H99" s="364"/>
      <c r="I99" s="364"/>
      <c r="J99" s="364"/>
      <c r="K99" s="364"/>
      <c r="L99" s="364"/>
      <c r="M99" s="364"/>
      <c r="N99" s="364"/>
      <c r="O99" s="364"/>
      <c r="P99" s="364"/>
      <c r="Q99" s="364"/>
      <c r="R99" s="364"/>
    </row>
    <row r="100" spans="5:21" x14ac:dyDescent="0.2">
      <c r="E100" s="419"/>
      <c r="F100" s="420"/>
      <c r="G100" s="420"/>
      <c r="H100" s="420"/>
      <c r="I100" s="420"/>
      <c r="J100" s="420"/>
      <c r="K100" s="420"/>
      <c r="L100" s="420"/>
      <c r="M100" s="420"/>
      <c r="N100" s="420"/>
      <c r="O100" s="420"/>
      <c r="P100" s="420"/>
      <c r="Q100" s="420"/>
      <c r="R100" s="420"/>
    </row>
  </sheetData>
  <pageMargins left="0.7" right="0.7" top="0.75" bottom="0.75" header="0.3" footer="0.3"/>
  <pageSetup fitToHeight="2" orientation="portrait" r:id="rId1"/>
  <rowBreaks count="1" manualBreakCount="1">
    <brk id="62"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U100"/>
  <sheetViews>
    <sheetView workbookViewId="0">
      <selection activeCell="C35" sqref="C35"/>
    </sheetView>
  </sheetViews>
  <sheetFormatPr defaultRowHeight="12.75" x14ac:dyDescent="0.2"/>
  <cols>
    <col min="1" max="1" width="2" style="32" customWidth="1"/>
    <col min="2" max="2" width="1.42578125" style="32" customWidth="1"/>
    <col min="3" max="3" width="32" style="32" customWidth="1"/>
    <col min="4" max="4" width="12" style="32" bestFit="1" customWidth="1"/>
    <col min="5" max="5" width="10.140625" style="32" customWidth="1"/>
    <col min="6" max="17" width="10.85546875" style="32" customWidth="1"/>
    <col min="18" max="18" width="12" style="32" customWidth="1"/>
    <col min="19" max="19" width="9.7109375" style="32" bestFit="1" customWidth="1"/>
    <col min="20" max="20" width="14.5703125" style="32" bestFit="1" customWidth="1"/>
    <col min="21" max="16384" width="9.140625" style="32"/>
  </cols>
  <sheetData>
    <row r="1" spans="2:19" x14ac:dyDescent="0.2">
      <c r="B1" s="385" t="str">
        <f>'JKP-3.1c - Revenue'!$B$1</f>
        <v>Puget Sound Energy</v>
      </c>
      <c r="C1" s="386"/>
      <c r="D1" s="387"/>
      <c r="E1" s="387"/>
      <c r="F1" s="387"/>
      <c r="G1" s="386"/>
      <c r="H1" s="386"/>
      <c r="I1" s="386"/>
      <c r="J1" s="386"/>
      <c r="K1" s="386"/>
      <c r="L1" s="386"/>
      <c r="M1" s="386"/>
      <c r="N1" s="386"/>
      <c r="O1" s="386"/>
      <c r="P1" s="386"/>
      <c r="Q1" s="386"/>
      <c r="R1" s="386"/>
    </row>
    <row r="2" spans="2:19" x14ac:dyDescent="0.2">
      <c r="B2" s="385" t="str">
        <f>'JKP-3.1c - Revenue'!$B$2</f>
        <v>2011 General Rate Case - Gas</v>
      </c>
      <c r="C2" s="386"/>
      <c r="D2" s="386"/>
      <c r="E2" s="386"/>
      <c r="F2" s="388"/>
      <c r="G2" s="386"/>
      <c r="H2" s="386"/>
      <c r="I2" s="386"/>
      <c r="J2" s="386"/>
      <c r="K2" s="386"/>
      <c r="L2" s="386"/>
      <c r="M2" s="386"/>
      <c r="N2" s="386"/>
      <c r="O2" s="386"/>
      <c r="P2" s="386"/>
      <c r="Q2" s="386"/>
      <c r="R2" s="386"/>
    </row>
    <row r="3" spans="2:19" x14ac:dyDescent="0.2">
      <c r="B3" s="386" t="s">
        <v>1011</v>
      </c>
      <c r="C3" s="386"/>
      <c r="D3" s="386"/>
      <c r="E3" s="386"/>
      <c r="F3" s="389"/>
      <c r="G3" s="389"/>
      <c r="H3" s="389"/>
      <c r="I3" s="389"/>
      <c r="J3" s="389"/>
      <c r="K3" s="389"/>
      <c r="L3" s="389"/>
      <c r="M3" s="389"/>
      <c r="N3" s="389"/>
      <c r="O3" s="389"/>
      <c r="P3" s="389"/>
      <c r="Q3" s="389"/>
      <c r="R3" s="386"/>
    </row>
    <row r="4" spans="2:19"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2:19" x14ac:dyDescent="0.2">
      <c r="R5" s="276"/>
    </row>
    <row r="6" spans="2:19" x14ac:dyDescent="0.2">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c r="S6" s="333" t="s">
        <v>132</v>
      </c>
    </row>
    <row r="7" spans="2:19" x14ac:dyDescent="0.2">
      <c r="B7" s="276" t="s">
        <v>974</v>
      </c>
    </row>
    <row r="8" spans="2:19" x14ac:dyDescent="0.2">
      <c r="B8" s="276" t="s">
        <v>5</v>
      </c>
    </row>
    <row r="9" spans="2:19" x14ac:dyDescent="0.2">
      <c r="B9" s="32" t="s">
        <v>975</v>
      </c>
      <c r="D9" s="32">
        <v>71</v>
      </c>
      <c r="E9" s="32" t="s">
        <v>976</v>
      </c>
      <c r="F9" s="414">
        <v>7.88</v>
      </c>
      <c r="G9" s="414">
        <v>7.88</v>
      </c>
      <c r="H9" s="414">
        <v>7.88</v>
      </c>
      <c r="I9" s="414">
        <v>7.88</v>
      </c>
      <c r="J9" s="414">
        <v>7.88</v>
      </c>
      <c r="K9" s="414">
        <v>7.88</v>
      </c>
      <c r="L9" s="414">
        <v>7.88</v>
      </c>
      <c r="M9" s="414">
        <v>7.88</v>
      </c>
      <c r="N9" s="414">
        <v>7.88</v>
      </c>
      <c r="O9" s="414">
        <v>7.88</v>
      </c>
      <c r="P9" s="414">
        <v>7.88</v>
      </c>
      <c r="Q9" s="414">
        <v>7.88</v>
      </c>
    </row>
    <row r="10" spans="2:19" x14ac:dyDescent="0.2">
      <c r="B10" s="32" t="s">
        <v>977</v>
      </c>
      <c r="D10" s="32">
        <v>71</v>
      </c>
      <c r="E10" s="32" t="s">
        <v>976</v>
      </c>
      <c r="F10" s="414">
        <v>12.64</v>
      </c>
      <c r="G10" s="414">
        <v>12.64</v>
      </c>
      <c r="H10" s="414">
        <v>12.64</v>
      </c>
      <c r="I10" s="414">
        <v>12.64</v>
      </c>
      <c r="J10" s="414">
        <v>12.64</v>
      </c>
      <c r="K10" s="414">
        <v>12.64</v>
      </c>
      <c r="L10" s="414">
        <v>12.64</v>
      </c>
      <c r="M10" s="414">
        <v>12.64</v>
      </c>
      <c r="N10" s="414">
        <v>12.64</v>
      </c>
      <c r="O10" s="414">
        <v>12.64</v>
      </c>
      <c r="P10" s="414">
        <v>12.64</v>
      </c>
      <c r="Q10" s="414">
        <v>12.64</v>
      </c>
    </row>
    <row r="11" spans="2:19" x14ac:dyDescent="0.2">
      <c r="B11" s="32" t="s">
        <v>978</v>
      </c>
      <c r="D11" s="32">
        <v>71</v>
      </c>
      <c r="E11" s="32" t="s">
        <v>976</v>
      </c>
      <c r="F11" s="414">
        <v>17.739999999999998</v>
      </c>
      <c r="G11" s="414">
        <v>17.739999999999998</v>
      </c>
      <c r="H11" s="414">
        <v>17.739999999999998</v>
      </c>
      <c r="I11" s="414">
        <v>17.739999999999998</v>
      </c>
      <c r="J11" s="414">
        <v>17.739999999999998</v>
      </c>
      <c r="K11" s="414">
        <v>17.739999999999998</v>
      </c>
      <c r="L11" s="414">
        <v>17.739999999999998</v>
      </c>
      <c r="M11" s="414">
        <v>17.739999999999998</v>
      </c>
      <c r="N11" s="414">
        <v>17.739999999999998</v>
      </c>
      <c r="O11" s="414">
        <v>17.739999999999998</v>
      </c>
      <c r="P11" s="414">
        <v>17.739999999999998</v>
      </c>
      <c r="Q11" s="414">
        <v>17.739999999999998</v>
      </c>
    </row>
    <row r="12" spans="2:19" x14ac:dyDescent="0.2">
      <c r="B12" s="32" t="s">
        <v>979</v>
      </c>
      <c r="D12" s="32">
        <v>71</v>
      </c>
      <c r="E12" s="32" t="s">
        <v>976</v>
      </c>
      <c r="F12" s="414">
        <v>17.37</v>
      </c>
      <c r="G12" s="414">
        <v>17.37</v>
      </c>
      <c r="H12" s="414">
        <v>17.37</v>
      </c>
      <c r="I12" s="414">
        <v>17.37</v>
      </c>
      <c r="J12" s="414">
        <v>17.37</v>
      </c>
      <c r="K12" s="414">
        <v>17.37</v>
      </c>
      <c r="L12" s="414">
        <v>17.37</v>
      </c>
      <c r="M12" s="414">
        <v>17.37</v>
      </c>
      <c r="N12" s="414">
        <v>17.37</v>
      </c>
      <c r="O12" s="414">
        <v>17.37</v>
      </c>
      <c r="P12" s="414">
        <v>17.37</v>
      </c>
      <c r="Q12" s="414">
        <v>17.37</v>
      </c>
    </row>
    <row r="13" spans="2:19" x14ac:dyDescent="0.2">
      <c r="B13" s="32" t="s">
        <v>980</v>
      </c>
      <c r="D13" s="32">
        <v>71</v>
      </c>
      <c r="E13" s="32" t="s">
        <v>976</v>
      </c>
      <c r="F13" s="414">
        <v>6.34</v>
      </c>
      <c r="G13" s="414">
        <v>6.34</v>
      </c>
      <c r="H13" s="414">
        <v>6.34</v>
      </c>
      <c r="I13" s="414">
        <v>6.34</v>
      </c>
      <c r="J13" s="414">
        <v>6.34</v>
      </c>
      <c r="K13" s="414">
        <v>6.34</v>
      </c>
      <c r="L13" s="414">
        <v>6.34</v>
      </c>
      <c r="M13" s="414">
        <v>6.34</v>
      </c>
      <c r="N13" s="414">
        <v>6.34</v>
      </c>
      <c r="O13" s="414">
        <v>6.34</v>
      </c>
      <c r="P13" s="414">
        <v>6.34</v>
      </c>
      <c r="Q13" s="414">
        <v>6.34</v>
      </c>
    </row>
    <row r="14" spans="2:19" x14ac:dyDescent="0.2">
      <c r="B14" s="32" t="s">
        <v>981</v>
      </c>
      <c r="D14" s="32">
        <v>71</v>
      </c>
      <c r="E14" s="32" t="s">
        <v>976</v>
      </c>
      <c r="F14" s="414">
        <v>11.11</v>
      </c>
      <c r="G14" s="414">
        <v>11.11</v>
      </c>
      <c r="H14" s="414">
        <v>11.11</v>
      </c>
      <c r="I14" s="414">
        <v>11.11</v>
      </c>
      <c r="J14" s="414">
        <v>11.11</v>
      </c>
      <c r="K14" s="414">
        <v>11.11</v>
      </c>
      <c r="L14" s="414">
        <v>11.11</v>
      </c>
      <c r="M14" s="414">
        <v>11.11</v>
      </c>
      <c r="N14" s="414">
        <v>11.11</v>
      </c>
      <c r="O14" s="414">
        <v>11.11</v>
      </c>
      <c r="P14" s="414">
        <v>11.11</v>
      </c>
      <c r="Q14" s="414">
        <v>11.11</v>
      </c>
    </row>
    <row r="16" spans="2:19" x14ac:dyDescent="0.2">
      <c r="B16" s="276" t="s">
        <v>982</v>
      </c>
      <c r="F16" s="279"/>
      <c r="G16" s="279"/>
      <c r="H16" s="279"/>
      <c r="I16" s="279"/>
      <c r="J16" s="279"/>
      <c r="K16" s="279"/>
      <c r="L16" s="279"/>
      <c r="M16" s="279"/>
      <c r="N16" s="279"/>
      <c r="O16" s="279"/>
      <c r="P16" s="279"/>
      <c r="Q16" s="279"/>
    </row>
    <row r="17" spans="2:19" s="336" customFormat="1" x14ac:dyDescent="0.2">
      <c r="B17" s="336" t="s">
        <v>975</v>
      </c>
      <c r="E17" s="336" t="s">
        <v>983</v>
      </c>
      <c r="F17" s="421">
        <f>'JKP-3.1c - RentalActualRates'!F17</f>
        <v>1516</v>
      </c>
      <c r="G17" s="421">
        <f>'JKP-3.1c - RentalActualRates'!G17</f>
        <v>1514</v>
      </c>
      <c r="H17" s="421">
        <f>'JKP-3.1c - RentalActualRates'!H17</f>
        <v>1509</v>
      </c>
      <c r="I17" s="421">
        <f>'JKP-3.1c - RentalActualRates'!I17</f>
        <v>1499</v>
      </c>
      <c r="J17" s="421">
        <f>'JKP-3.1c - RentalActualRates'!J17</f>
        <v>1495</v>
      </c>
      <c r="K17" s="421">
        <f>'JKP-3.1c - RentalActualRates'!K17</f>
        <v>1492</v>
      </c>
      <c r="L17" s="421">
        <f>'JKP-3.1c - RentalActualRates'!L17</f>
        <v>1490</v>
      </c>
      <c r="M17" s="421">
        <f>'JKP-3.1c - RentalActualRates'!M17</f>
        <v>1493</v>
      </c>
      <c r="N17" s="421">
        <f>'JKP-3.1c - RentalActualRates'!N17</f>
        <v>1491</v>
      </c>
      <c r="O17" s="421">
        <f>'JKP-3.1c - RentalActualRates'!O17</f>
        <v>1485</v>
      </c>
      <c r="P17" s="421">
        <f>'JKP-3.1c - RentalActualRates'!P17</f>
        <v>1483</v>
      </c>
      <c r="Q17" s="421">
        <f>'JKP-3.1c - RentalActualRates'!Q17</f>
        <v>1480</v>
      </c>
      <c r="R17" s="362">
        <f t="shared" ref="R17:R22" si="0">SUM(F17:Q17)</f>
        <v>17947</v>
      </c>
    </row>
    <row r="18" spans="2:19" s="336" customFormat="1" x14ac:dyDescent="0.2">
      <c r="B18" s="336" t="s">
        <v>977</v>
      </c>
      <c r="E18" s="336" t="s">
        <v>983</v>
      </c>
      <c r="F18" s="421">
        <f>'JKP-3.1c - RentalActualRates'!F18</f>
        <v>24406</v>
      </c>
      <c r="G18" s="421">
        <f>'JKP-3.1c - RentalActualRates'!G18</f>
        <v>24248</v>
      </c>
      <c r="H18" s="421">
        <f>'JKP-3.1c - RentalActualRates'!H18</f>
        <v>24205</v>
      </c>
      <c r="I18" s="421">
        <f>'JKP-3.1c - RentalActualRates'!I18</f>
        <v>24035</v>
      </c>
      <c r="J18" s="421">
        <f>'JKP-3.1c - RentalActualRates'!J18</f>
        <v>23940</v>
      </c>
      <c r="K18" s="421">
        <f>'JKP-3.1c - RentalActualRates'!K18</f>
        <v>23834</v>
      </c>
      <c r="L18" s="421">
        <f>'JKP-3.1c - RentalActualRates'!L18</f>
        <v>23773</v>
      </c>
      <c r="M18" s="421">
        <f>'JKP-3.1c - RentalActualRates'!M18</f>
        <v>23720</v>
      </c>
      <c r="N18" s="421">
        <f>'JKP-3.1c - RentalActualRates'!N18</f>
        <v>23589</v>
      </c>
      <c r="O18" s="421">
        <f>'JKP-3.1c - RentalActualRates'!O18</f>
        <v>23467</v>
      </c>
      <c r="P18" s="421">
        <f>'JKP-3.1c - RentalActualRates'!P18</f>
        <v>23448</v>
      </c>
      <c r="Q18" s="421">
        <f>'JKP-3.1c - RentalActualRates'!Q18</f>
        <v>23311</v>
      </c>
      <c r="R18" s="362">
        <f t="shared" si="0"/>
        <v>285976</v>
      </c>
    </row>
    <row r="19" spans="2:19" s="336" customFormat="1" x14ac:dyDescent="0.2">
      <c r="B19" s="336" t="s">
        <v>978</v>
      </c>
      <c r="E19" s="336" t="s">
        <v>983</v>
      </c>
      <c r="F19" s="421">
        <f>'JKP-3.1c - RentalActualRates'!F19</f>
        <v>4446</v>
      </c>
      <c r="G19" s="421">
        <f>'JKP-3.1c - RentalActualRates'!G19</f>
        <v>4418</v>
      </c>
      <c r="H19" s="421">
        <f>'JKP-3.1c - RentalActualRates'!H19</f>
        <v>4401</v>
      </c>
      <c r="I19" s="421">
        <f>'JKP-3.1c - RentalActualRates'!I19</f>
        <v>4386</v>
      </c>
      <c r="J19" s="421">
        <f>'JKP-3.1c - RentalActualRates'!J19</f>
        <v>4367</v>
      </c>
      <c r="K19" s="421">
        <f>'JKP-3.1c - RentalActualRates'!K19</f>
        <v>4363</v>
      </c>
      <c r="L19" s="421">
        <f>'JKP-3.1c - RentalActualRates'!L19</f>
        <v>4348</v>
      </c>
      <c r="M19" s="421">
        <f>'JKP-3.1c - RentalActualRates'!M19</f>
        <v>4329</v>
      </c>
      <c r="N19" s="421">
        <f>'JKP-3.1c - RentalActualRates'!N19</f>
        <v>4321</v>
      </c>
      <c r="O19" s="421">
        <f>'JKP-3.1c - RentalActualRates'!O19</f>
        <v>4279</v>
      </c>
      <c r="P19" s="421">
        <f>'JKP-3.1c - RentalActualRates'!P19</f>
        <v>4274</v>
      </c>
      <c r="Q19" s="421">
        <f>'JKP-3.1c - RentalActualRates'!Q19</f>
        <v>4257</v>
      </c>
      <c r="R19" s="362">
        <f t="shared" si="0"/>
        <v>52189</v>
      </c>
    </row>
    <row r="20" spans="2:19" s="336" customFormat="1" x14ac:dyDescent="0.2">
      <c r="B20" s="336" t="s">
        <v>979</v>
      </c>
      <c r="E20" s="336" t="s">
        <v>983</v>
      </c>
      <c r="F20" s="421">
        <f>'JKP-3.1c - RentalActualRates'!F20</f>
        <v>1211</v>
      </c>
      <c r="G20" s="421">
        <f>'JKP-3.1c - RentalActualRates'!G20</f>
        <v>1203</v>
      </c>
      <c r="H20" s="421">
        <f>'JKP-3.1c - RentalActualRates'!H20</f>
        <v>1195</v>
      </c>
      <c r="I20" s="421">
        <f>'JKP-3.1c - RentalActualRates'!I20</f>
        <v>1190</v>
      </c>
      <c r="J20" s="421">
        <f>'JKP-3.1c - RentalActualRates'!J20</f>
        <v>1177</v>
      </c>
      <c r="K20" s="421">
        <f>'JKP-3.1c - RentalActualRates'!K20</f>
        <v>1173</v>
      </c>
      <c r="L20" s="421">
        <f>'JKP-3.1c - RentalActualRates'!L20</f>
        <v>1161</v>
      </c>
      <c r="M20" s="421">
        <f>'JKP-3.1c - RentalActualRates'!M20</f>
        <v>1154</v>
      </c>
      <c r="N20" s="421">
        <f>'JKP-3.1c - RentalActualRates'!N20</f>
        <v>1151</v>
      </c>
      <c r="O20" s="421">
        <f>'JKP-3.1c - RentalActualRates'!O20</f>
        <v>1144</v>
      </c>
      <c r="P20" s="421">
        <f>'JKP-3.1c - RentalActualRates'!P20</f>
        <v>1143</v>
      </c>
      <c r="Q20" s="421">
        <f>'JKP-3.1c - RentalActualRates'!Q20</f>
        <v>1135</v>
      </c>
      <c r="R20" s="362">
        <f t="shared" si="0"/>
        <v>14037</v>
      </c>
    </row>
    <row r="21" spans="2:19" s="336" customFormat="1" x14ac:dyDescent="0.2">
      <c r="B21" s="336" t="s">
        <v>980</v>
      </c>
      <c r="E21" s="336" t="s">
        <v>983</v>
      </c>
      <c r="F21" s="421">
        <f>'JKP-3.1c - RentalActualRates'!F21</f>
        <v>4749</v>
      </c>
      <c r="G21" s="421">
        <f>'JKP-3.1c - RentalActualRates'!G21</f>
        <v>4742</v>
      </c>
      <c r="H21" s="421">
        <f>'JKP-3.1c - RentalActualRates'!H21</f>
        <v>4715</v>
      </c>
      <c r="I21" s="421">
        <f>'JKP-3.1c - RentalActualRates'!I21</f>
        <v>4698</v>
      </c>
      <c r="J21" s="421">
        <f>'JKP-3.1c - RentalActualRates'!J21</f>
        <v>4687</v>
      </c>
      <c r="K21" s="421">
        <f>'JKP-3.1c - RentalActualRates'!K21</f>
        <v>4688</v>
      </c>
      <c r="L21" s="421">
        <f>'JKP-3.1c - RentalActualRates'!L21</f>
        <v>4663</v>
      </c>
      <c r="M21" s="421">
        <f>'JKP-3.1c - RentalActualRates'!M21</f>
        <v>4649</v>
      </c>
      <c r="N21" s="421">
        <f>'JKP-3.1c - RentalActualRates'!N21</f>
        <v>4627</v>
      </c>
      <c r="O21" s="421">
        <f>'JKP-3.1c - RentalActualRates'!O21</f>
        <v>4614</v>
      </c>
      <c r="P21" s="421">
        <f>'JKP-3.1c - RentalActualRates'!P21</f>
        <v>4606</v>
      </c>
      <c r="Q21" s="421">
        <f>'JKP-3.1c - RentalActualRates'!Q21</f>
        <v>4597</v>
      </c>
      <c r="R21" s="362">
        <f t="shared" si="0"/>
        <v>56035</v>
      </c>
    </row>
    <row r="22" spans="2:19" s="336" customFormat="1" x14ac:dyDescent="0.2">
      <c r="B22" s="336" t="s">
        <v>981</v>
      </c>
      <c r="E22" s="336" t="s">
        <v>983</v>
      </c>
      <c r="F22" s="421">
        <f>'JKP-3.1c - RentalActualRates'!F22</f>
        <v>266</v>
      </c>
      <c r="G22" s="421">
        <f>'JKP-3.1c - RentalActualRates'!G22</f>
        <v>263</v>
      </c>
      <c r="H22" s="421">
        <f>'JKP-3.1c - RentalActualRates'!H22</f>
        <v>263</v>
      </c>
      <c r="I22" s="421">
        <f>'JKP-3.1c - RentalActualRates'!I22</f>
        <v>263</v>
      </c>
      <c r="J22" s="421">
        <f>'JKP-3.1c - RentalActualRates'!J22</f>
        <v>263</v>
      </c>
      <c r="K22" s="421">
        <f>'JKP-3.1c - RentalActualRates'!K22</f>
        <v>262</v>
      </c>
      <c r="L22" s="421">
        <f>'JKP-3.1c - RentalActualRates'!L22</f>
        <v>258</v>
      </c>
      <c r="M22" s="421">
        <f>'JKP-3.1c - RentalActualRates'!M22</f>
        <v>256</v>
      </c>
      <c r="N22" s="421">
        <f>'JKP-3.1c - RentalActualRates'!N22</f>
        <v>256</v>
      </c>
      <c r="O22" s="421">
        <f>'JKP-3.1c - RentalActualRates'!O22</f>
        <v>257</v>
      </c>
      <c r="P22" s="421">
        <f>'JKP-3.1c - RentalActualRates'!P22</f>
        <v>255</v>
      </c>
      <c r="Q22" s="421">
        <f>'JKP-3.1c - RentalActualRates'!Q22</f>
        <v>255</v>
      </c>
      <c r="R22" s="362">
        <f t="shared" si="0"/>
        <v>3117</v>
      </c>
    </row>
    <row r="23" spans="2:19" x14ac:dyDescent="0.2">
      <c r="B23" s="32" t="s">
        <v>984</v>
      </c>
      <c r="F23" s="357">
        <f t="shared" ref="F23:R23" si="1">SUM(F17:F22)</f>
        <v>36594</v>
      </c>
      <c r="G23" s="357">
        <f t="shared" si="1"/>
        <v>36388</v>
      </c>
      <c r="H23" s="357">
        <f t="shared" si="1"/>
        <v>36288</v>
      </c>
      <c r="I23" s="357">
        <f t="shared" si="1"/>
        <v>36071</v>
      </c>
      <c r="J23" s="357">
        <f t="shared" si="1"/>
        <v>35929</v>
      </c>
      <c r="K23" s="357">
        <f t="shared" si="1"/>
        <v>35812</v>
      </c>
      <c r="L23" s="357">
        <f t="shared" si="1"/>
        <v>35693</v>
      </c>
      <c r="M23" s="357">
        <f t="shared" si="1"/>
        <v>35601</v>
      </c>
      <c r="N23" s="357">
        <f t="shared" si="1"/>
        <v>35435</v>
      </c>
      <c r="O23" s="357">
        <f t="shared" si="1"/>
        <v>35246</v>
      </c>
      <c r="P23" s="357">
        <f t="shared" si="1"/>
        <v>35209</v>
      </c>
      <c r="Q23" s="357">
        <f t="shared" si="1"/>
        <v>35035</v>
      </c>
      <c r="R23" s="357">
        <f t="shared" si="1"/>
        <v>429301</v>
      </c>
    </row>
    <row r="25" spans="2:19" x14ac:dyDescent="0.2">
      <c r="B25" s="276" t="s">
        <v>985</v>
      </c>
    </row>
    <row r="26" spans="2:19" x14ac:dyDescent="0.2">
      <c r="B26" s="32" t="s">
        <v>975</v>
      </c>
      <c r="D26" s="32">
        <v>71</v>
      </c>
      <c r="F26" s="364">
        <f t="shared" ref="F26:Q31" si="2">F9*F17</f>
        <v>11946.08</v>
      </c>
      <c r="G26" s="364">
        <f t="shared" si="2"/>
        <v>11930.32</v>
      </c>
      <c r="H26" s="364">
        <f t="shared" si="2"/>
        <v>11890.92</v>
      </c>
      <c r="I26" s="364">
        <f t="shared" si="2"/>
        <v>11812.119999999999</v>
      </c>
      <c r="J26" s="364">
        <f t="shared" si="2"/>
        <v>11780.6</v>
      </c>
      <c r="K26" s="364">
        <f t="shared" si="2"/>
        <v>11756.96</v>
      </c>
      <c r="L26" s="364">
        <f t="shared" si="2"/>
        <v>11741.2</v>
      </c>
      <c r="M26" s="364">
        <f t="shared" si="2"/>
        <v>11764.84</v>
      </c>
      <c r="N26" s="364">
        <f t="shared" si="2"/>
        <v>11749.08</v>
      </c>
      <c r="O26" s="364">
        <f t="shared" si="2"/>
        <v>11701.8</v>
      </c>
      <c r="P26" s="364">
        <f t="shared" si="2"/>
        <v>11686.039999999999</v>
      </c>
      <c r="Q26" s="364">
        <f t="shared" si="2"/>
        <v>11662.4</v>
      </c>
      <c r="R26" s="364">
        <f t="shared" ref="R26:R31" si="3">SUM(F26:Q26)</f>
        <v>141422.35999999999</v>
      </c>
      <c r="S26" s="364">
        <f>R26-'JKP-3.1c - Rentals Rates GRC09'!R26</f>
        <v>6640.3899999999849</v>
      </c>
    </row>
    <row r="27" spans="2:19" x14ac:dyDescent="0.2">
      <c r="B27" s="32" t="s">
        <v>977</v>
      </c>
      <c r="D27" s="32">
        <v>71</v>
      </c>
      <c r="F27" s="364">
        <f t="shared" si="2"/>
        <v>308491.84000000003</v>
      </c>
      <c r="G27" s="364">
        <f t="shared" si="2"/>
        <v>306494.72000000003</v>
      </c>
      <c r="H27" s="364">
        <f t="shared" si="2"/>
        <v>305951.2</v>
      </c>
      <c r="I27" s="364">
        <f t="shared" si="2"/>
        <v>303802.40000000002</v>
      </c>
      <c r="J27" s="364">
        <f t="shared" si="2"/>
        <v>302601.60000000003</v>
      </c>
      <c r="K27" s="364">
        <f t="shared" si="2"/>
        <v>301261.76</v>
      </c>
      <c r="L27" s="364">
        <f t="shared" si="2"/>
        <v>300490.72000000003</v>
      </c>
      <c r="M27" s="364">
        <f t="shared" si="2"/>
        <v>299820.79999999999</v>
      </c>
      <c r="N27" s="364">
        <f t="shared" si="2"/>
        <v>298164.96000000002</v>
      </c>
      <c r="O27" s="364">
        <f t="shared" si="2"/>
        <v>296622.88</v>
      </c>
      <c r="P27" s="364">
        <f t="shared" si="2"/>
        <v>296382.72000000003</v>
      </c>
      <c r="Q27" s="364">
        <f t="shared" si="2"/>
        <v>294651.04000000004</v>
      </c>
      <c r="R27" s="364">
        <f t="shared" si="3"/>
        <v>3614736.64</v>
      </c>
      <c r="S27" s="364">
        <f>R27-'JKP-3.1c - Rentals Rates GRC09'!R27</f>
        <v>168725.84000000032</v>
      </c>
    </row>
    <row r="28" spans="2:19" x14ac:dyDescent="0.2">
      <c r="B28" s="32" t="s">
        <v>978</v>
      </c>
      <c r="D28" s="32">
        <v>71</v>
      </c>
      <c r="F28" s="364">
        <f t="shared" si="2"/>
        <v>78872.039999999994</v>
      </c>
      <c r="G28" s="364">
        <f t="shared" si="2"/>
        <v>78375.319999999992</v>
      </c>
      <c r="H28" s="364">
        <f t="shared" si="2"/>
        <v>78073.739999999991</v>
      </c>
      <c r="I28" s="364">
        <f t="shared" si="2"/>
        <v>77807.64</v>
      </c>
      <c r="J28" s="364">
        <f t="shared" si="2"/>
        <v>77470.579999999987</v>
      </c>
      <c r="K28" s="364">
        <f t="shared" si="2"/>
        <v>77399.62</v>
      </c>
      <c r="L28" s="364">
        <f t="shared" si="2"/>
        <v>77133.51999999999</v>
      </c>
      <c r="M28" s="364">
        <f t="shared" si="2"/>
        <v>76796.459999999992</v>
      </c>
      <c r="N28" s="364">
        <f t="shared" si="2"/>
        <v>76654.539999999994</v>
      </c>
      <c r="O28" s="364">
        <f t="shared" si="2"/>
        <v>75909.459999999992</v>
      </c>
      <c r="P28" s="364">
        <f t="shared" si="2"/>
        <v>75820.759999999995</v>
      </c>
      <c r="Q28" s="364">
        <f t="shared" si="2"/>
        <v>75519.179999999993</v>
      </c>
      <c r="R28" s="364">
        <f t="shared" si="3"/>
        <v>925832.85999999987</v>
      </c>
      <c r="S28" s="364">
        <f>R28-'JKP-3.1c - Rentals Rates GRC09'!R28</f>
        <v>43316.869999999879</v>
      </c>
    </row>
    <row r="29" spans="2:19" x14ac:dyDescent="0.2">
      <c r="B29" s="32" t="s">
        <v>979</v>
      </c>
      <c r="D29" s="32">
        <v>71</v>
      </c>
      <c r="F29" s="364">
        <f t="shared" si="2"/>
        <v>21035.07</v>
      </c>
      <c r="G29" s="364">
        <f t="shared" si="2"/>
        <v>20896.11</v>
      </c>
      <c r="H29" s="364">
        <f t="shared" si="2"/>
        <v>20757.150000000001</v>
      </c>
      <c r="I29" s="364">
        <f t="shared" si="2"/>
        <v>20670.300000000003</v>
      </c>
      <c r="J29" s="364">
        <f t="shared" si="2"/>
        <v>20444.490000000002</v>
      </c>
      <c r="K29" s="364">
        <f t="shared" si="2"/>
        <v>20375.010000000002</v>
      </c>
      <c r="L29" s="364">
        <f t="shared" si="2"/>
        <v>20166.57</v>
      </c>
      <c r="M29" s="364">
        <f t="shared" si="2"/>
        <v>20044.98</v>
      </c>
      <c r="N29" s="364">
        <f t="shared" si="2"/>
        <v>19992.870000000003</v>
      </c>
      <c r="O29" s="364">
        <f t="shared" si="2"/>
        <v>19871.280000000002</v>
      </c>
      <c r="P29" s="364">
        <f t="shared" si="2"/>
        <v>19853.91</v>
      </c>
      <c r="Q29" s="364">
        <f t="shared" si="2"/>
        <v>19714.95</v>
      </c>
      <c r="R29" s="364">
        <f t="shared" si="3"/>
        <v>243822.69000000003</v>
      </c>
      <c r="S29" s="364">
        <f>R29-'JKP-3.1c - Rentals Rates GRC09'!R29</f>
        <v>11510.340000000026</v>
      </c>
    </row>
    <row r="30" spans="2:19" x14ac:dyDescent="0.2">
      <c r="B30" s="32" t="s">
        <v>980</v>
      </c>
      <c r="D30" s="32">
        <v>71</v>
      </c>
      <c r="F30" s="364">
        <f t="shared" si="2"/>
        <v>30108.66</v>
      </c>
      <c r="G30" s="364">
        <f t="shared" si="2"/>
        <v>30064.28</v>
      </c>
      <c r="H30" s="364">
        <f t="shared" si="2"/>
        <v>29893.1</v>
      </c>
      <c r="I30" s="364">
        <f t="shared" si="2"/>
        <v>29785.32</v>
      </c>
      <c r="J30" s="364">
        <f t="shared" si="2"/>
        <v>29715.579999999998</v>
      </c>
      <c r="K30" s="364">
        <f t="shared" si="2"/>
        <v>29721.919999999998</v>
      </c>
      <c r="L30" s="364">
        <f t="shared" si="2"/>
        <v>29563.42</v>
      </c>
      <c r="M30" s="364">
        <f t="shared" si="2"/>
        <v>29474.66</v>
      </c>
      <c r="N30" s="364">
        <f t="shared" si="2"/>
        <v>29335.18</v>
      </c>
      <c r="O30" s="364">
        <f t="shared" si="2"/>
        <v>29252.76</v>
      </c>
      <c r="P30" s="364">
        <f t="shared" si="2"/>
        <v>29202.04</v>
      </c>
      <c r="Q30" s="364">
        <f t="shared" si="2"/>
        <v>29144.98</v>
      </c>
      <c r="R30" s="364">
        <f t="shared" si="3"/>
        <v>355261.89999999997</v>
      </c>
      <c r="S30" s="364">
        <f>R30-'JKP-3.1c - Rentals Rates GRC09'!R30</f>
        <v>16810.5</v>
      </c>
    </row>
    <row r="31" spans="2:19" x14ac:dyDescent="0.2">
      <c r="B31" s="32" t="s">
        <v>981</v>
      </c>
      <c r="D31" s="32">
        <v>71</v>
      </c>
      <c r="F31" s="364">
        <f t="shared" si="2"/>
        <v>2955.2599999999998</v>
      </c>
      <c r="G31" s="364">
        <f t="shared" si="2"/>
        <v>2921.93</v>
      </c>
      <c r="H31" s="364">
        <f t="shared" si="2"/>
        <v>2921.93</v>
      </c>
      <c r="I31" s="364">
        <f t="shared" si="2"/>
        <v>2921.93</v>
      </c>
      <c r="J31" s="364">
        <f t="shared" si="2"/>
        <v>2921.93</v>
      </c>
      <c r="K31" s="364">
        <f t="shared" si="2"/>
        <v>2910.8199999999997</v>
      </c>
      <c r="L31" s="364">
        <f t="shared" si="2"/>
        <v>2866.3799999999997</v>
      </c>
      <c r="M31" s="364">
        <f t="shared" si="2"/>
        <v>2844.16</v>
      </c>
      <c r="N31" s="364">
        <f t="shared" si="2"/>
        <v>2844.16</v>
      </c>
      <c r="O31" s="364">
        <f t="shared" si="2"/>
        <v>2855.27</v>
      </c>
      <c r="P31" s="364">
        <f t="shared" si="2"/>
        <v>2833.0499999999997</v>
      </c>
      <c r="Q31" s="364">
        <f t="shared" si="2"/>
        <v>2833.0499999999997</v>
      </c>
      <c r="R31" s="364">
        <f t="shared" si="3"/>
        <v>34629.870000000003</v>
      </c>
      <c r="S31" s="364">
        <f>R31-'JKP-3.1c - Rentals Rates GRC09'!R31</f>
        <v>1620.8399999999965</v>
      </c>
    </row>
    <row r="32" spans="2:19" x14ac:dyDescent="0.2">
      <c r="B32" s="32" t="s">
        <v>986</v>
      </c>
      <c r="F32" s="365">
        <f t="shared" ref="F32:S32" si="4">SUM(F26:F31)</f>
        <v>453408.95</v>
      </c>
      <c r="G32" s="365">
        <f t="shared" si="4"/>
        <v>450682.68</v>
      </c>
      <c r="H32" s="365">
        <f t="shared" si="4"/>
        <v>449488.04</v>
      </c>
      <c r="I32" s="365">
        <f t="shared" si="4"/>
        <v>446799.71</v>
      </c>
      <c r="J32" s="365">
        <f t="shared" si="4"/>
        <v>444934.78</v>
      </c>
      <c r="K32" s="365">
        <f t="shared" si="4"/>
        <v>443426.09</v>
      </c>
      <c r="L32" s="365">
        <f t="shared" si="4"/>
        <v>441961.81000000006</v>
      </c>
      <c r="M32" s="365">
        <f t="shared" si="4"/>
        <v>440745.89999999991</v>
      </c>
      <c r="N32" s="365">
        <f t="shared" si="4"/>
        <v>438740.79</v>
      </c>
      <c r="O32" s="365">
        <f t="shared" si="4"/>
        <v>436213.45000000007</v>
      </c>
      <c r="P32" s="365">
        <f t="shared" si="4"/>
        <v>435778.51999999996</v>
      </c>
      <c r="Q32" s="365">
        <f t="shared" si="4"/>
        <v>433525.60000000003</v>
      </c>
      <c r="R32" s="365">
        <f t="shared" si="4"/>
        <v>5315706.32</v>
      </c>
      <c r="S32" s="365">
        <f t="shared" si="4"/>
        <v>248624.7800000002</v>
      </c>
    </row>
    <row r="33" spans="2:18" x14ac:dyDescent="0.2">
      <c r="F33" s="364"/>
      <c r="G33" s="364"/>
      <c r="H33" s="364"/>
      <c r="I33" s="364"/>
      <c r="J33" s="364"/>
      <c r="K33" s="364"/>
      <c r="L33" s="364"/>
      <c r="M33" s="364"/>
      <c r="N33" s="364"/>
      <c r="O33" s="364"/>
      <c r="P33" s="364"/>
      <c r="Q33" s="364"/>
      <c r="R33" s="364"/>
    </row>
    <row r="34" spans="2:18" x14ac:dyDescent="0.2">
      <c r="B34" s="276" t="s">
        <v>987</v>
      </c>
    </row>
    <row r="35" spans="2:18" x14ac:dyDescent="0.2">
      <c r="B35" s="276" t="s">
        <v>5</v>
      </c>
    </row>
    <row r="36" spans="2:18" x14ac:dyDescent="0.2">
      <c r="B36" s="32" t="s">
        <v>988</v>
      </c>
      <c r="D36" s="32">
        <v>72</v>
      </c>
      <c r="E36" s="32" t="s">
        <v>976</v>
      </c>
      <c r="F36" s="414">
        <v>15.47</v>
      </c>
      <c r="G36" s="414">
        <v>15.47</v>
      </c>
      <c r="H36" s="414">
        <v>15.47</v>
      </c>
      <c r="I36" s="414">
        <v>15.47</v>
      </c>
      <c r="J36" s="414">
        <v>15.47</v>
      </c>
      <c r="K36" s="414">
        <v>15.47</v>
      </c>
      <c r="L36" s="414">
        <v>15.47</v>
      </c>
      <c r="M36" s="414">
        <v>15.47</v>
      </c>
      <c r="N36" s="414">
        <v>15.47</v>
      </c>
      <c r="O36" s="414">
        <v>15.47</v>
      </c>
      <c r="P36" s="414">
        <v>15.47</v>
      </c>
      <c r="Q36" s="414">
        <v>15.47</v>
      </c>
    </row>
    <row r="37" spans="2:18" x14ac:dyDescent="0.2">
      <c r="B37" s="32" t="s">
        <v>989</v>
      </c>
      <c r="D37" s="32">
        <v>72</v>
      </c>
      <c r="E37" s="32" t="s">
        <v>976</v>
      </c>
      <c r="F37" s="414">
        <v>20.21</v>
      </c>
      <c r="G37" s="414">
        <v>20.21</v>
      </c>
      <c r="H37" s="414">
        <v>20.21</v>
      </c>
      <c r="I37" s="414">
        <v>20.21</v>
      </c>
      <c r="J37" s="414">
        <v>20.21</v>
      </c>
      <c r="K37" s="414">
        <v>20.21</v>
      </c>
      <c r="L37" s="414">
        <v>20.21</v>
      </c>
      <c r="M37" s="414">
        <v>20.21</v>
      </c>
      <c r="N37" s="414">
        <v>20.21</v>
      </c>
      <c r="O37" s="414">
        <v>20.21</v>
      </c>
      <c r="P37" s="414">
        <v>20.21</v>
      </c>
      <c r="Q37" s="414">
        <v>20.21</v>
      </c>
    </row>
    <row r="38" spans="2:18" x14ac:dyDescent="0.2">
      <c r="B38" s="32" t="s">
        <v>990</v>
      </c>
      <c r="D38" s="32">
        <v>72</v>
      </c>
      <c r="E38" s="32" t="s">
        <v>976</v>
      </c>
      <c r="F38" s="414">
        <v>20.21</v>
      </c>
      <c r="G38" s="414">
        <v>20.21</v>
      </c>
      <c r="H38" s="414">
        <v>20.21</v>
      </c>
      <c r="I38" s="414">
        <v>20.21</v>
      </c>
      <c r="J38" s="414">
        <v>20.21</v>
      </c>
      <c r="K38" s="414">
        <v>20.21</v>
      </c>
      <c r="L38" s="414">
        <v>20.21</v>
      </c>
      <c r="M38" s="414">
        <v>20.21</v>
      </c>
      <c r="N38" s="414">
        <v>20.21</v>
      </c>
      <c r="O38" s="414">
        <v>20.21</v>
      </c>
      <c r="P38" s="414">
        <v>20.21</v>
      </c>
      <c r="Q38" s="414">
        <v>20.21</v>
      </c>
    </row>
    <row r="39" spans="2:18" x14ac:dyDescent="0.2">
      <c r="B39" s="32" t="s">
        <v>991</v>
      </c>
      <c r="D39" s="32">
        <v>72</v>
      </c>
      <c r="E39" s="32" t="s">
        <v>976</v>
      </c>
      <c r="F39" s="414">
        <v>31.66</v>
      </c>
      <c r="G39" s="414">
        <v>31.66</v>
      </c>
      <c r="H39" s="414">
        <v>31.66</v>
      </c>
      <c r="I39" s="414">
        <v>31.66</v>
      </c>
      <c r="J39" s="414">
        <v>31.66</v>
      </c>
      <c r="K39" s="414">
        <v>31.66</v>
      </c>
      <c r="L39" s="414">
        <v>31.66</v>
      </c>
      <c r="M39" s="414">
        <v>31.66</v>
      </c>
      <c r="N39" s="414">
        <v>31.66</v>
      </c>
      <c r="O39" s="414">
        <v>31.66</v>
      </c>
      <c r="P39" s="414">
        <v>31.66</v>
      </c>
      <c r="Q39" s="414">
        <v>31.66</v>
      </c>
    </row>
    <row r="40" spans="2:18" x14ac:dyDescent="0.2">
      <c r="B40" s="32" t="s">
        <v>992</v>
      </c>
      <c r="D40" s="32">
        <v>72</v>
      </c>
      <c r="E40" s="32" t="s">
        <v>976</v>
      </c>
      <c r="F40" s="414">
        <v>41.3</v>
      </c>
      <c r="G40" s="414">
        <v>41.3</v>
      </c>
      <c r="H40" s="414">
        <v>41.3</v>
      </c>
      <c r="I40" s="414">
        <v>41.3</v>
      </c>
      <c r="J40" s="414">
        <v>41.3</v>
      </c>
      <c r="K40" s="414">
        <v>41.3</v>
      </c>
      <c r="L40" s="414">
        <v>41.3</v>
      </c>
      <c r="M40" s="414">
        <v>41.3</v>
      </c>
      <c r="N40" s="414">
        <v>41.3</v>
      </c>
      <c r="O40" s="414">
        <v>41.3</v>
      </c>
      <c r="P40" s="414">
        <v>41.3</v>
      </c>
      <c r="Q40" s="414">
        <v>41.3</v>
      </c>
    </row>
    <row r="41" spans="2:18" x14ac:dyDescent="0.2">
      <c r="B41" s="32" t="s">
        <v>993</v>
      </c>
      <c r="D41" s="32">
        <v>72</v>
      </c>
      <c r="E41" s="32" t="s">
        <v>976</v>
      </c>
      <c r="F41" s="414">
        <v>55.14</v>
      </c>
      <c r="G41" s="414">
        <v>55.14</v>
      </c>
      <c r="H41" s="414">
        <v>55.14</v>
      </c>
      <c r="I41" s="414">
        <v>55.14</v>
      </c>
      <c r="J41" s="414">
        <v>55.14</v>
      </c>
      <c r="K41" s="414">
        <v>55.14</v>
      </c>
      <c r="L41" s="414">
        <v>55.14</v>
      </c>
      <c r="M41" s="414">
        <v>55.14</v>
      </c>
      <c r="N41" s="414">
        <v>55.14</v>
      </c>
      <c r="O41" s="414">
        <v>55.14</v>
      </c>
      <c r="P41" s="414">
        <v>55.14</v>
      </c>
      <c r="Q41" s="414">
        <v>55.14</v>
      </c>
    </row>
    <row r="42" spans="2:18" x14ac:dyDescent="0.2">
      <c r="B42" s="32" t="s">
        <v>994</v>
      </c>
      <c r="D42" s="32">
        <v>72</v>
      </c>
      <c r="E42" s="32" t="s">
        <v>976</v>
      </c>
      <c r="F42" s="414">
        <v>64.06</v>
      </c>
      <c r="G42" s="414">
        <v>64.06</v>
      </c>
      <c r="H42" s="414">
        <v>64.06</v>
      </c>
      <c r="I42" s="414">
        <v>64.06</v>
      </c>
      <c r="J42" s="414">
        <v>64.06</v>
      </c>
      <c r="K42" s="414">
        <v>64.06</v>
      </c>
      <c r="L42" s="414">
        <v>64.06</v>
      </c>
      <c r="M42" s="414">
        <v>64.06</v>
      </c>
      <c r="N42" s="414">
        <v>64.06</v>
      </c>
      <c r="O42" s="414">
        <v>64.06</v>
      </c>
      <c r="P42" s="414">
        <v>64.06</v>
      </c>
      <c r="Q42" s="414">
        <v>64.06</v>
      </c>
    </row>
    <row r="44" spans="2:18" x14ac:dyDescent="0.2">
      <c r="B44" s="276" t="s">
        <v>982</v>
      </c>
      <c r="F44" s="279"/>
      <c r="G44" s="279"/>
      <c r="H44" s="279"/>
      <c r="I44" s="279"/>
      <c r="J44" s="279"/>
      <c r="K44" s="279"/>
      <c r="L44" s="279"/>
      <c r="M44" s="279"/>
      <c r="N44" s="279"/>
      <c r="O44" s="279"/>
      <c r="P44" s="279"/>
      <c r="Q44" s="279"/>
    </row>
    <row r="45" spans="2:18" s="336" customFormat="1" x14ac:dyDescent="0.2">
      <c r="B45" s="336" t="s">
        <v>988</v>
      </c>
      <c r="E45" s="336" t="s">
        <v>983</v>
      </c>
      <c r="F45" s="422">
        <f>'JKP-3.1c - RentalActualRates'!F45</f>
        <v>200</v>
      </c>
      <c r="G45" s="422">
        <f>'JKP-3.1c - RentalActualRates'!G45</f>
        <v>195</v>
      </c>
      <c r="H45" s="422">
        <f>'JKP-3.1c - RentalActualRates'!H45</f>
        <v>194</v>
      </c>
      <c r="I45" s="422">
        <f>'JKP-3.1c - RentalActualRates'!I45</f>
        <v>193</v>
      </c>
      <c r="J45" s="422">
        <f>'JKP-3.1c - RentalActualRates'!J45</f>
        <v>195</v>
      </c>
      <c r="K45" s="422">
        <f>'JKP-3.1c - RentalActualRates'!K45</f>
        <v>191</v>
      </c>
      <c r="L45" s="422">
        <f>'JKP-3.1c - RentalActualRates'!L45</f>
        <v>186</v>
      </c>
      <c r="M45" s="422">
        <f>'JKP-3.1c - RentalActualRates'!M45</f>
        <v>185</v>
      </c>
      <c r="N45" s="422">
        <f>'JKP-3.1c - RentalActualRates'!N45</f>
        <v>185</v>
      </c>
      <c r="O45" s="422">
        <f>'JKP-3.1c - RentalActualRates'!O45</f>
        <v>181</v>
      </c>
      <c r="P45" s="422">
        <f>'JKP-3.1c - RentalActualRates'!P45</f>
        <v>181</v>
      </c>
      <c r="Q45" s="422">
        <f>'JKP-3.1c - RentalActualRates'!Q45</f>
        <v>177</v>
      </c>
      <c r="R45" s="362">
        <f t="shared" ref="R45:R51" si="5">SUM(F45:Q45)</f>
        <v>2263</v>
      </c>
    </row>
    <row r="46" spans="2:18" s="336" customFormat="1" x14ac:dyDescent="0.2">
      <c r="B46" s="336" t="s">
        <v>989</v>
      </c>
      <c r="E46" s="336" t="s">
        <v>983</v>
      </c>
      <c r="F46" s="422">
        <f>'JKP-3.1c - RentalActualRates'!F46</f>
        <v>126</v>
      </c>
      <c r="G46" s="422">
        <f>'JKP-3.1c - RentalActualRates'!G46</f>
        <v>123</v>
      </c>
      <c r="H46" s="422">
        <f>'JKP-3.1c - RentalActualRates'!H46</f>
        <v>122</v>
      </c>
      <c r="I46" s="422">
        <f>'JKP-3.1c - RentalActualRates'!I46</f>
        <v>121</v>
      </c>
      <c r="J46" s="422">
        <f>'JKP-3.1c - RentalActualRates'!J46</f>
        <v>120</v>
      </c>
      <c r="K46" s="422">
        <f>'JKP-3.1c - RentalActualRates'!K46</f>
        <v>118</v>
      </c>
      <c r="L46" s="422">
        <f>'JKP-3.1c - RentalActualRates'!L46</f>
        <v>117</v>
      </c>
      <c r="M46" s="422">
        <f>'JKP-3.1c - RentalActualRates'!M46</f>
        <v>115</v>
      </c>
      <c r="N46" s="422">
        <f>'JKP-3.1c - RentalActualRates'!N46</f>
        <v>116</v>
      </c>
      <c r="O46" s="422">
        <f>'JKP-3.1c - RentalActualRates'!O46</f>
        <v>116</v>
      </c>
      <c r="P46" s="422">
        <f>'JKP-3.1c - RentalActualRates'!P46</f>
        <v>113</v>
      </c>
      <c r="Q46" s="422">
        <f>'JKP-3.1c - RentalActualRates'!Q46</f>
        <v>115</v>
      </c>
      <c r="R46" s="362">
        <f t="shared" si="5"/>
        <v>1422</v>
      </c>
    </row>
    <row r="47" spans="2:18" s="336" customFormat="1" x14ac:dyDescent="0.2">
      <c r="B47" s="336" t="s">
        <v>990</v>
      </c>
      <c r="E47" s="336" t="s">
        <v>983</v>
      </c>
      <c r="F47" s="422">
        <f>'JKP-3.1c - RentalActualRates'!F47</f>
        <v>360</v>
      </c>
      <c r="G47" s="422">
        <f>'JKP-3.1c - RentalActualRates'!G47</f>
        <v>358</v>
      </c>
      <c r="H47" s="422">
        <f>'JKP-3.1c - RentalActualRates'!H47</f>
        <v>354</v>
      </c>
      <c r="I47" s="422">
        <f>'JKP-3.1c - RentalActualRates'!I47</f>
        <v>358</v>
      </c>
      <c r="J47" s="422">
        <f>'JKP-3.1c - RentalActualRates'!J47</f>
        <v>354</v>
      </c>
      <c r="K47" s="422">
        <f>'JKP-3.1c - RentalActualRates'!K47</f>
        <v>350</v>
      </c>
      <c r="L47" s="422">
        <f>'JKP-3.1c - RentalActualRates'!L47</f>
        <v>355</v>
      </c>
      <c r="M47" s="422">
        <f>'JKP-3.1c - RentalActualRates'!M47</f>
        <v>353</v>
      </c>
      <c r="N47" s="422">
        <f>'JKP-3.1c - RentalActualRates'!N47</f>
        <v>361</v>
      </c>
      <c r="O47" s="422">
        <f>'JKP-3.1c - RentalActualRates'!O47</f>
        <v>351</v>
      </c>
      <c r="P47" s="422">
        <f>'JKP-3.1c - RentalActualRates'!P47</f>
        <v>347</v>
      </c>
      <c r="Q47" s="422">
        <f>'JKP-3.1c - RentalActualRates'!Q47</f>
        <v>349</v>
      </c>
      <c r="R47" s="362">
        <f t="shared" si="5"/>
        <v>4250</v>
      </c>
    </row>
    <row r="48" spans="2:18" s="336" customFormat="1" x14ac:dyDescent="0.2">
      <c r="B48" s="336" t="s">
        <v>991</v>
      </c>
      <c r="E48" s="336" t="s">
        <v>983</v>
      </c>
      <c r="F48" s="422">
        <f>'JKP-3.1c - RentalActualRates'!F48</f>
        <v>20</v>
      </c>
      <c r="G48" s="422">
        <f>'JKP-3.1c - RentalActualRates'!G48</f>
        <v>20</v>
      </c>
      <c r="H48" s="422">
        <f>'JKP-3.1c - RentalActualRates'!H48</f>
        <v>19</v>
      </c>
      <c r="I48" s="422">
        <f>'JKP-3.1c - RentalActualRates'!I48</f>
        <v>19</v>
      </c>
      <c r="J48" s="422">
        <f>'JKP-3.1c - RentalActualRates'!J48</f>
        <v>19</v>
      </c>
      <c r="K48" s="422">
        <f>'JKP-3.1c - RentalActualRates'!K48</f>
        <v>19</v>
      </c>
      <c r="L48" s="422">
        <f>'JKP-3.1c - RentalActualRates'!L48</f>
        <v>18</v>
      </c>
      <c r="M48" s="422">
        <f>'JKP-3.1c - RentalActualRates'!M48</f>
        <v>24</v>
      </c>
      <c r="N48" s="422">
        <f>'JKP-3.1c - RentalActualRates'!N48</f>
        <v>20</v>
      </c>
      <c r="O48" s="422">
        <f>'JKP-3.1c - RentalActualRates'!O48</f>
        <v>18</v>
      </c>
      <c r="P48" s="422">
        <f>'JKP-3.1c - RentalActualRates'!P48</f>
        <v>18</v>
      </c>
      <c r="Q48" s="422">
        <f>'JKP-3.1c - RentalActualRates'!Q48</f>
        <v>18</v>
      </c>
      <c r="R48" s="362">
        <f t="shared" si="5"/>
        <v>232</v>
      </c>
    </row>
    <row r="49" spans="2:19" s="336" customFormat="1" x14ac:dyDescent="0.2">
      <c r="B49" s="336" t="s">
        <v>992</v>
      </c>
      <c r="E49" s="336" t="s">
        <v>983</v>
      </c>
      <c r="F49" s="422">
        <f>'JKP-3.1c - RentalActualRates'!F49</f>
        <v>806</v>
      </c>
      <c r="G49" s="422">
        <f>'JKP-3.1c - RentalActualRates'!G49</f>
        <v>800</v>
      </c>
      <c r="H49" s="422">
        <f>'JKP-3.1c - RentalActualRates'!H49</f>
        <v>799</v>
      </c>
      <c r="I49" s="422">
        <f>'JKP-3.1c - RentalActualRates'!I49</f>
        <v>797</v>
      </c>
      <c r="J49" s="422">
        <f>'JKP-3.1c - RentalActualRates'!J49</f>
        <v>799</v>
      </c>
      <c r="K49" s="422">
        <f>'JKP-3.1c - RentalActualRates'!K49</f>
        <v>787</v>
      </c>
      <c r="L49" s="422">
        <f>'JKP-3.1c - RentalActualRates'!L49</f>
        <v>784</v>
      </c>
      <c r="M49" s="422">
        <f>'JKP-3.1c - RentalActualRates'!M49</f>
        <v>807</v>
      </c>
      <c r="N49" s="422">
        <f>'JKP-3.1c - RentalActualRates'!N49</f>
        <v>774</v>
      </c>
      <c r="O49" s="422">
        <f>'JKP-3.1c - RentalActualRates'!O49</f>
        <v>767</v>
      </c>
      <c r="P49" s="422">
        <f>'JKP-3.1c - RentalActualRates'!P49</f>
        <v>769</v>
      </c>
      <c r="Q49" s="422">
        <f>'JKP-3.1c - RentalActualRates'!Q49</f>
        <v>766</v>
      </c>
      <c r="R49" s="362">
        <f t="shared" si="5"/>
        <v>9455</v>
      </c>
    </row>
    <row r="50" spans="2:19" s="336" customFormat="1" x14ac:dyDescent="0.2">
      <c r="B50" s="336" t="s">
        <v>993</v>
      </c>
      <c r="E50" s="336" t="s">
        <v>983</v>
      </c>
      <c r="F50" s="422">
        <f>'JKP-3.1c - RentalActualRates'!F50</f>
        <v>520</v>
      </c>
      <c r="G50" s="422">
        <f>'JKP-3.1c - RentalActualRates'!G50</f>
        <v>514</v>
      </c>
      <c r="H50" s="422">
        <f>'JKP-3.1c - RentalActualRates'!H50</f>
        <v>512</v>
      </c>
      <c r="I50" s="422">
        <f>'JKP-3.1c - RentalActualRates'!I50</f>
        <v>515</v>
      </c>
      <c r="J50" s="422">
        <f>'JKP-3.1c - RentalActualRates'!J50</f>
        <v>507</v>
      </c>
      <c r="K50" s="422">
        <f>'JKP-3.1c - RentalActualRates'!K50</f>
        <v>510</v>
      </c>
      <c r="L50" s="422">
        <f>'JKP-3.1c - RentalActualRates'!L50</f>
        <v>507</v>
      </c>
      <c r="M50" s="422">
        <f>'JKP-3.1c - RentalActualRates'!M50</f>
        <v>508</v>
      </c>
      <c r="N50" s="422">
        <f>'JKP-3.1c - RentalActualRates'!N50</f>
        <v>506</v>
      </c>
      <c r="O50" s="422">
        <f>'JKP-3.1c - RentalActualRates'!O50</f>
        <v>505</v>
      </c>
      <c r="P50" s="422">
        <f>'JKP-3.1c - RentalActualRates'!P50</f>
        <v>502</v>
      </c>
      <c r="Q50" s="422">
        <f>'JKP-3.1c - RentalActualRates'!Q50</f>
        <v>501</v>
      </c>
      <c r="R50" s="362">
        <f t="shared" si="5"/>
        <v>6107</v>
      </c>
    </row>
    <row r="51" spans="2:19" s="336" customFormat="1" x14ac:dyDescent="0.2">
      <c r="B51" s="336" t="s">
        <v>994</v>
      </c>
      <c r="E51" s="336" t="s">
        <v>983</v>
      </c>
      <c r="F51" s="422">
        <f>'JKP-3.1c - RentalActualRates'!F51</f>
        <v>1404</v>
      </c>
      <c r="G51" s="422">
        <f>'JKP-3.1c - RentalActualRates'!G51</f>
        <v>1397</v>
      </c>
      <c r="H51" s="422">
        <f>'JKP-3.1c - RentalActualRates'!H51</f>
        <v>1393</v>
      </c>
      <c r="I51" s="422">
        <f>'JKP-3.1c - RentalActualRates'!I51</f>
        <v>1389</v>
      </c>
      <c r="J51" s="422">
        <f>'JKP-3.1c - RentalActualRates'!J51</f>
        <v>1382</v>
      </c>
      <c r="K51" s="422">
        <f>'JKP-3.1c - RentalActualRates'!K51</f>
        <v>1384</v>
      </c>
      <c r="L51" s="422">
        <f>'JKP-3.1c - RentalActualRates'!L51</f>
        <v>1393</v>
      </c>
      <c r="M51" s="422">
        <f>'JKP-3.1c - RentalActualRates'!M51</f>
        <v>1389</v>
      </c>
      <c r="N51" s="422">
        <f>'JKP-3.1c - RentalActualRates'!N51</f>
        <v>1441</v>
      </c>
      <c r="O51" s="422">
        <f>'JKP-3.1c - RentalActualRates'!O51</f>
        <v>1396</v>
      </c>
      <c r="P51" s="422">
        <f>'JKP-3.1c - RentalActualRates'!P51</f>
        <v>1375</v>
      </c>
      <c r="Q51" s="422">
        <f>'JKP-3.1c - RentalActualRates'!Q51</f>
        <v>1364</v>
      </c>
      <c r="R51" s="362">
        <f t="shared" si="5"/>
        <v>16707</v>
      </c>
    </row>
    <row r="52" spans="2:19" x14ac:dyDescent="0.2">
      <c r="B52" s="32" t="s">
        <v>984</v>
      </c>
      <c r="F52" s="357">
        <f t="shared" ref="F52:R52" si="6">SUM(F45:F51)</f>
        <v>3436</v>
      </c>
      <c r="G52" s="357">
        <f t="shared" si="6"/>
        <v>3407</v>
      </c>
      <c r="H52" s="357">
        <f t="shared" si="6"/>
        <v>3393</v>
      </c>
      <c r="I52" s="357">
        <f t="shared" si="6"/>
        <v>3392</v>
      </c>
      <c r="J52" s="357">
        <f t="shared" si="6"/>
        <v>3376</v>
      </c>
      <c r="K52" s="357">
        <f t="shared" si="6"/>
        <v>3359</v>
      </c>
      <c r="L52" s="357">
        <f t="shared" si="6"/>
        <v>3360</v>
      </c>
      <c r="M52" s="357">
        <f t="shared" si="6"/>
        <v>3381</v>
      </c>
      <c r="N52" s="357">
        <f t="shared" si="6"/>
        <v>3403</v>
      </c>
      <c r="O52" s="357">
        <f t="shared" si="6"/>
        <v>3334</v>
      </c>
      <c r="P52" s="357">
        <f t="shared" si="6"/>
        <v>3305</v>
      </c>
      <c r="Q52" s="357">
        <f t="shared" si="6"/>
        <v>3290</v>
      </c>
      <c r="R52" s="357">
        <f t="shared" si="6"/>
        <v>40436</v>
      </c>
    </row>
    <row r="54" spans="2:19" x14ac:dyDescent="0.2">
      <c r="B54" s="276" t="s">
        <v>985</v>
      </c>
    </row>
    <row r="55" spans="2:19" x14ac:dyDescent="0.2">
      <c r="B55" s="32" t="s">
        <v>988</v>
      </c>
      <c r="D55" s="32">
        <v>72</v>
      </c>
      <c r="F55" s="364">
        <f t="shared" ref="F55:Q61" si="7">F36*F45</f>
        <v>3094</v>
      </c>
      <c r="G55" s="364">
        <f t="shared" si="7"/>
        <v>3016.65</v>
      </c>
      <c r="H55" s="364">
        <f t="shared" si="7"/>
        <v>3001.1800000000003</v>
      </c>
      <c r="I55" s="364">
        <f t="shared" si="7"/>
        <v>2985.71</v>
      </c>
      <c r="J55" s="364">
        <f t="shared" si="7"/>
        <v>3016.65</v>
      </c>
      <c r="K55" s="364">
        <f t="shared" si="7"/>
        <v>2954.77</v>
      </c>
      <c r="L55" s="364">
        <f t="shared" si="7"/>
        <v>2877.42</v>
      </c>
      <c r="M55" s="364">
        <f t="shared" si="7"/>
        <v>2861.9500000000003</v>
      </c>
      <c r="N55" s="364">
        <f t="shared" si="7"/>
        <v>2861.9500000000003</v>
      </c>
      <c r="O55" s="364">
        <f t="shared" si="7"/>
        <v>2800.07</v>
      </c>
      <c r="P55" s="364">
        <f t="shared" si="7"/>
        <v>2800.07</v>
      </c>
      <c r="Q55" s="364">
        <f t="shared" si="7"/>
        <v>2738.19</v>
      </c>
      <c r="R55" s="364">
        <f t="shared" ref="R55:R61" si="8">SUM(F55:Q55)</f>
        <v>35008.61</v>
      </c>
      <c r="S55" s="364">
        <f>R55-'JKP-3.1c - Rentals Rates GRC09'!R55</f>
        <v>1651.989999999998</v>
      </c>
    </row>
    <row r="56" spans="2:19" x14ac:dyDescent="0.2">
      <c r="B56" s="32" t="s">
        <v>989</v>
      </c>
      <c r="D56" s="32">
        <v>72</v>
      </c>
      <c r="F56" s="364">
        <f t="shared" si="7"/>
        <v>2546.46</v>
      </c>
      <c r="G56" s="364">
        <f t="shared" si="7"/>
        <v>2485.83</v>
      </c>
      <c r="H56" s="364">
        <f t="shared" si="7"/>
        <v>2465.62</v>
      </c>
      <c r="I56" s="364">
        <f t="shared" si="7"/>
        <v>2445.4100000000003</v>
      </c>
      <c r="J56" s="364">
        <f t="shared" si="7"/>
        <v>2425.2000000000003</v>
      </c>
      <c r="K56" s="364">
        <f t="shared" si="7"/>
        <v>2384.7800000000002</v>
      </c>
      <c r="L56" s="364">
        <f t="shared" si="7"/>
        <v>2364.5700000000002</v>
      </c>
      <c r="M56" s="364">
        <f t="shared" si="7"/>
        <v>2324.15</v>
      </c>
      <c r="N56" s="364">
        <f t="shared" si="7"/>
        <v>2344.36</v>
      </c>
      <c r="O56" s="364">
        <f t="shared" si="7"/>
        <v>2344.36</v>
      </c>
      <c r="P56" s="364">
        <f t="shared" si="7"/>
        <v>2283.73</v>
      </c>
      <c r="Q56" s="364">
        <f t="shared" si="7"/>
        <v>2324.15</v>
      </c>
      <c r="R56" s="364">
        <f t="shared" si="8"/>
        <v>28738.620000000006</v>
      </c>
      <c r="S56" s="364">
        <f>R56-'JKP-3.1c - Rentals Rates GRC09'!R56</f>
        <v>1350.9000000000015</v>
      </c>
    </row>
    <row r="57" spans="2:19" x14ac:dyDescent="0.2">
      <c r="B57" s="32" t="s">
        <v>990</v>
      </c>
      <c r="D57" s="32">
        <v>72</v>
      </c>
      <c r="F57" s="364">
        <f t="shared" si="7"/>
        <v>7275.6</v>
      </c>
      <c r="G57" s="364">
        <f t="shared" si="7"/>
        <v>7235.18</v>
      </c>
      <c r="H57" s="364">
        <f t="shared" si="7"/>
        <v>7154.34</v>
      </c>
      <c r="I57" s="364">
        <f t="shared" si="7"/>
        <v>7235.18</v>
      </c>
      <c r="J57" s="364">
        <f t="shared" si="7"/>
        <v>7154.34</v>
      </c>
      <c r="K57" s="364">
        <f t="shared" si="7"/>
        <v>7073.5</v>
      </c>
      <c r="L57" s="364">
        <f t="shared" si="7"/>
        <v>7174.55</v>
      </c>
      <c r="M57" s="364">
        <f t="shared" si="7"/>
        <v>7134.13</v>
      </c>
      <c r="N57" s="364">
        <f t="shared" si="7"/>
        <v>7295.81</v>
      </c>
      <c r="O57" s="364">
        <f t="shared" si="7"/>
        <v>7093.71</v>
      </c>
      <c r="P57" s="364">
        <f t="shared" si="7"/>
        <v>7012.87</v>
      </c>
      <c r="Q57" s="364">
        <f t="shared" si="7"/>
        <v>7053.29</v>
      </c>
      <c r="R57" s="364">
        <f t="shared" si="8"/>
        <v>85892.499999999985</v>
      </c>
      <c r="S57" s="364">
        <f>R57-'JKP-3.1c - Rentals Rates GRC09'!R57</f>
        <v>4037.4999999999709</v>
      </c>
    </row>
    <row r="58" spans="2:19" x14ac:dyDescent="0.2">
      <c r="B58" s="32" t="s">
        <v>991</v>
      </c>
      <c r="D58" s="32">
        <v>72</v>
      </c>
      <c r="F58" s="364">
        <f t="shared" si="7"/>
        <v>633.20000000000005</v>
      </c>
      <c r="G58" s="364">
        <f t="shared" si="7"/>
        <v>633.20000000000005</v>
      </c>
      <c r="H58" s="364">
        <f t="shared" si="7"/>
        <v>601.54</v>
      </c>
      <c r="I58" s="364">
        <f t="shared" si="7"/>
        <v>601.54</v>
      </c>
      <c r="J58" s="364">
        <f t="shared" si="7"/>
        <v>601.54</v>
      </c>
      <c r="K58" s="364">
        <f t="shared" si="7"/>
        <v>601.54</v>
      </c>
      <c r="L58" s="364">
        <f t="shared" si="7"/>
        <v>569.88</v>
      </c>
      <c r="M58" s="364">
        <f t="shared" si="7"/>
        <v>759.84</v>
      </c>
      <c r="N58" s="364">
        <f t="shared" si="7"/>
        <v>633.20000000000005</v>
      </c>
      <c r="O58" s="364">
        <f t="shared" si="7"/>
        <v>569.88</v>
      </c>
      <c r="P58" s="364">
        <f t="shared" si="7"/>
        <v>569.88</v>
      </c>
      <c r="Q58" s="364">
        <f t="shared" si="7"/>
        <v>569.88</v>
      </c>
      <c r="R58" s="364">
        <f t="shared" si="8"/>
        <v>7345.12</v>
      </c>
      <c r="S58" s="364">
        <f>R58-'JKP-3.1c - Rentals Rates GRC09'!R58</f>
        <v>345.67999999999847</v>
      </c>
    </row>
    <row r="59" spans="2:19" x14ac:dyDescent="0.2">
      <c r="B59" s="32" t="s">
        <v>992</v>
      </c>
      <c r="D59" s="32">
        <v>72</v>
      </c>
      <c r="F59" s="364">
        <f t="shared" si="7"/>
        <v>33287.799999999996</v>
      </c>
      <c r="G59" s="364">
        <f t="shared" si="7"/>
        <v>33040</v>
      </c>
      <c r="H59" s="364">
        <f t="shared" si="7"/>
        <v>32998.699999999997</v>
      </c>
      <c r="I59" s="364">
        <f t="shared" si="7"/>
        <v>32916.1</v>
      </c>
      <c r="J59" s="364">
        <f t="shared" si="7"/>
        <v>32998.699999999997</v>
      </c>
      <c r="K59" s="364">
        <f t="shared" si="7"/>
        <v>32503.1</v>
      </c>
      <c r="L59" s="364">
        <f t="shared" si="7"/>
        <v>32379.199999999997</v>
      </c>
      <c r="M59" s="364">
        <f t="shared" si="7"/>
        <v>33329.1</v>
      </c>
      <c r="N59" s="364">
        <f t="shared" si="7"/>
        <v>31966.199999999997</v>
      </c>
      <c r="O59" s="364">
        <f t="shared" si="7"/>
        <v>31677.1</v>
      </c>
      <c r="P59" s="364">
        <f t="shared" si="7"/>
        <v>31759.699999999997</v>
      </c>
      <c r="Q59" s="364">
        <f t="shared" si="7"/>
        <v>31635.8</v>
      </c>
      <c r="R59" s="364">
        <f t="shared" si="8"/>
        <v>390491.49999999994</v>
      </c>
      <c r="S59" s="364">
        <f>R59-'JKP-3.1c - Rentals Rates GRC09'!R59</f>
        <v>18342.699999999953</v>
      </c>
    </row>
    <row r="60" spans="2:19" x14ac:dyDescent="0.2">
      <c r="B60" s="32" t="s">
        <v>993</v>
      </c>
      <c r="D60" s="32">
        <v>72</v>
      </c>
      <c r="F60" s="364">
        <f t="shared" si="7"/>
        <v>28672.799999999999</v>
      </c>
      <c r="G60" s="364">
        <f t="shared" si="7"/>
        <v>28341.96</v>
      </c>
      <c r="H60" s="364">
        <f t="shared" si="7"/>
        <v>28231.68</v>
      </c>
      <c r="I60" s="364">
        <f t="shared" si="7"/>
        <v>28397.1</v>
      </c>
      <c r="J60" s="364">
        <f t="shared" si="7"/>
        <v>27955.98</v>
      </c>
      <c r="K60" s="364">
        <f t="shared" si="7"/>
        <v>28121.4</v>
      </c>
      <c r="L60" s="364">
        <f t="shared" si="7"/>
        <v>27955.98</v>
      </c>
      <c r="M60" s="364">
        <f t="shared" si="7"/>
        <v>28011.119999999999</v>
      </c>
      <c r="N60" s="364">
        <f t="shared" si="7"/>
        <v>27900.84</v>
      </c>
      <c r="O60" s="364">
        <f t="shared" si="7"/>
        <v>27845.7</v>
      </c>
      <c r="P60" s="364">
        <f t="shared" si="7"/>
        <v>27680.28</v>
      </c>
      <c r="Q60" s="364">
        <f t="shared" si="7"/>
        <v>27625.14</v>
      </c>
      <c r="R60" s="364">
        <f t="shared" si="8"/>
        <v>336739.98</v>
      </c>
      <c r="S60" s="364">
        <f>R60-'JKP-3.1c - Rentals Rates GRC09'!R60</f>
        <v>15817.130000000063</v>
      </c>
    </row>
    <row r="61" spans="2:19" x14ac:dyDescent="0.2">
      <c r="B61" s="32" t="s">
        <v>994</v>
      </c>
      <c r="D61" s="32">
        <v>72</v>
      </c>
      <c r="F61" s="364">
        <f t="shared" si="7"/>
        <v>89940.24</v>
      </c>
      <c r="G61" s="364">
        <f t="shared" si="7"/>
        <v>89491.82</v>
      </c>
      <c r="H61" s="364">
        <f t="shared" si="7"/>
        <v>89235.58</v>
      </c>
      <c r="I61" s="364">
        <f t="shared" si="7"/>
        <v>88979.34</v>
      </c>
      <c r="J61" s="364">
        <f t="shared" si="7"/>
        <v>88530.92</v>
      </c>
      <c r="K61" s="364">
        <f t="shared" si="7"/>
        <v>88659.040000000008</v>
      </c>
      <c r="L61" s="364">
        <f t="shared" si="7"/>
        <v>89235.58</v>
      </c>
      <c r="M61" s="364">
        <f t="shared" si="7"/>
        <v>88979.34</v>
      </c>
      <c r="N61" s="364">
        <f t="shared" si="7"/>
        <v>92310.46</v>
      </c>
      <c r="O61" s="364">
        <f t="shared" si="7"/>
        <v>89427.760000000009</v>
      </c>
      <c r="P61" s="364">
        <f t="shared" si="7"/>
        <v>88082.5</v>
      </c>
      <c r="Q61" s="364">
        <f t="shared" si="7"/>
        <v>87377.84</v>
      </c>
      <c r="R61" s="364">
        <f t="shared" si="8"/>
        <v>1070250.42</v>
      </c>
      <c r="S61" s="364">
        <f>R61-'JKP-3.1c - Rentals Rates GRC09'!R61</f>
        <v>50288.069999999949</v>
      </c>
    </row>
    <row r="62" spans="2:19" x14ac:dyDescent="0.2">
      <c r="B62" s="32" t="s">
        <v>986</v>
      </c>
      <c r="F62" s="365">
        <f t="shared" ref="F62:S62" si="9">SUM(F55:F61)</f>
        <v>165450.1</v>
      </c>
      <c r="G62" s="365">
        <f t="shared" si="9"/>
        <v>164244.64000000001</v>
      </c>
      <c r="H62" s="365">
        <f t="shared" si="9"/>
        <v>163688.64000000001</v>
      </c>
      <c r="I62" s="365">
        <f t="shared" si="9"/>
        <v>163560.38</v>
      </c>
      <c r="J62" s="365">
        <f t="shared" si="9"/>
        <v>162683.32999999999</v>
      </c>
      <c r="K62" s="365">
        <f t="shared" si="9"/>
        <v>162298.13</v>
      </c>
      <c r="L62" s="365">
        <f t="shared" si="9"/>
        <v>162557.18</v>
      </c>
      <c r="M62" s="365">
        <f t="shared" si="9"/>
        <v>163399.63</v>
      </c>
      <c r="N62" s="365">
        <f t="shared" si="9"/>
        <v>165312.82</v>
      </c>
      <c r="O62" s="365">
        <f t="shared" si="9"/>
        <v>161758.58000000002</v>
      </c>
      <c r="P62" s="365">
        <f t="shared" si="9"/>
        <v>160189.03</v>
      </c>
      <c r="Q62" s="365">
        <f t="shared" si="9"/>
        <v>159324.28999999998</v>
      </c>
      <c r="R62" s="365">
        <f t="shared" si="9"/>
        <v>1954466.7499999998</v>
      </c>
      <c r="S62" s="365">
        <f t="shared" si="9"/>
        <v>91833.969999999943</v>
      </c>
    </row>
    <row r="63" spans="2:19" x14ac:dyDescent="0.2">
      <c r="F63" s="364"/>
      <c r="G63" s="364"/>
      <c r="H63" s="364"/>
      <c r="I63" s="364"/>
      <c r="J63" s="364"/>
      <c r="K63" s="364"/>
      <c r="L63" s="364"/>
      <c r="M63" s="364"/>
      <c r="N63" s="364"/>
      <c r="O63" s="364"/>
      <c r="P63" s="364"/>
      <c r="Q63" s="364"/>
      <c r="R63" s="364"/>
    </row>
    <row r="64" spans="2:19" x14ac:dyDescent="0.2">
      <c r="B64" s="276" t="s">
        <v>995</v>
      </c>
    </row>
    <row r="65" spans="2:19" x14ac:dyDescent="0.2">
      <c r="B65" s="276" t="s">
        <v>5</v>
      </c>
    </row>
    <row r="66" spans="2:19" x14ac:dyDescent="0.2">
      <c r="B66" s="32" t="s">
        <v>996</v>
      </c>
      <c r="E66" s="32" t="s">
        <v>976</v>
      </c>
      <c r="F66" s="414">
        <v>10.7</v>
      </c>
      <c r="G66" s="414">
        <v>10.7</v>
      </c>
      <c r="H66" s="414">
        <v>10.7</v>
      </c>
      <c r="I66" s="414">
        <v>10.7</v>
      </c>
      <c r="J66" s="414">
        <v>10.7</v>
      </c>
      <c r="K66" s="414">
        <v>10.7</v>
      </c>
      <c r="L66" s="414">
        <v>10.7</v>
      </c>
      <c r="M66" s="414">
        <v>10.7</v>
      </c>
      <c r="N66" s="414">
        <v>10.7</v>
      </c>
      <c r="O66" s="414">
        <v>10.7</v>
      </c>
      <c r="P66" s="414">
        <v>10.7</v>
      </c>
      <c r="Q66" s="414">
        <v>10.7</v>
      </c>
    </row>
    <row r="67" spans="2:19" x14ac:dyDescent="0.2">
      <c r="B67" s="32" t="s">
        <v>997</v>
      </c>
      <c r="E67" s="32" t="s">
        <v>976</v>
      </c>
      <c r="F67" s="414">
        <v>28.39</v>
      </c>
      <c r="G67" s="414">
        <v>28.39</v>
      </c>
      <c r="H67" s="414">
        <v>28.39</v>
      </c>
      <c r="I67" s="414">
        <v>28.39</v>
      </c>
      <c r="J67" s="414">
        <v>28.39</v>
      </c>
      <c r="K67" s="414">
        <v>28.39</v>
      </c>
      <c r="L67" s="414">
        <v>28.39</v>
      </c>
      <c r="M67" s="414">
        <v>28.39</v>
      </c>
      <c r="N67" s="414">
        <v>28.39</v>
      </c>
      <c r="O67" s="414">
        <v>28.39</v>
      </c>
      <c r="P67" s="414">
        <v>28.39</v>
      </c>
      <c r="Q67" s="414">
        <v>28.39</v>
      </c>
    </row>
    <row r="68" spans="2:19" x14ac:dyDescent="0.2">
      <c r="B68" s="32" t="s">
        <v>998</v>
      </c>
      <c r="E68" s="32" t="s">
        <v>976</v>
      </c>
      <c r="F68" s="414">
        <v>38.340000000000003</v>
      </c>
      <c r="G68" s="414">
        <v>38.340000000000003</v>
      </c>
      <c r="H68" s="414">
        <v>38.340000000000003</v>
      </c>
      <c r="I68" s="414">
        <v>38.340000000000003</v>
      </c>
      <c r="J68" s="414">
        <v>38.340000000000003</v>
      </c>
      <c r="K68" s="414">
        <v>38.340000000000003</v>
      </c>
      <c r="L68" s="414">
        <v>38.340000000000003</v>
      </c>
      <c r="M68" s="414">
        <v>38.340000000000003</v>
      </c>
      <c r="N68" s="414">
        <v>38.340000000000003</v>
      </c>
      <c r="O68" s="414">
        <v>38.340000000000003</v>
      </c>
      <c r="P68" s="414">
        <v>38.340000000000003</v>
      </c>
      <c r="Q68" s="414">
        <v>38.340000000000003</v>
      </c>
    </row>
    <row r="69" spans="2:19" x14ac:dyDescent="0.2">
      <c r="B69" s="32" t="s">
        <v>999</v>
      </c>
      <c r="E69" s="32" t="s">
        <v>976</v>
      </c>
      <c r="F69" s="414">
        <v>16.100000000000001</v>
      </c>
      <c r="G69" s="414">
        <v>16.100000000000001</v>
      </c>
      <c r="H69" s="414">
        <v>16.100000000000001</v>
      </c>
      <c r="I69" s="414">
        <v>16.100000000000001</v>
      </c>
      <c r="J69" s="414">
        <v>16.100000000000001</v>
      </c>
      <c r="K69" s="414">
        <v>16.100000000000001</v>
      </c>
      <c r="L69" s="414">
        <v>16.100000000000001</v>
      </c>
      <c r="M69" s="414">
        <v>16.100000000000001</v>
      </c>
      <c r="N69" s="414">
        <v>16.100000000000001</v>
      </c>
      <c r="O69" s="414">
        <v>16.100000000000001</v>
      </c>
      <c r="P69" s="414">
        <v>16.100000000000001</v>
      </c>
      <c r="Q69" s="414">
        <v>16.100000000000001</v>
      </c>
    </row>
    <row r="71" spans="2:19" x14ac:dyDescent="0.2">
      <c r="B71" s="276" t="s">
        <v>982</v>
      </c>
      <c r="F71" s="279"/>
      <c r="G71" s="279"/>
      <c r="H71" s="279"/>
      <c r="I71" s="279"/>
      <c r="J71" s="279"/>
      <c r="K71" s="279"/>
      <c r="L71" s="279"/>
      <c r="M71" s="279"/>
      <c r="N71" s="279"/>
      <c r="O71" s="279"/>
      <c r="P71" s="279"/>
      <c r="Q71" s="279"/>
    </row>
    <row r="72" spans="2:19" s="336" customFormat="1" x14ac:dyDescent="0.2">
      <c r="B72" s="336" t="s">
        <v>996</v>
      </c>
      <c r="E72" s="336" t="s">
        <v>1000</v>
      </c>
      <c r="F72" s="421">
        <f>'JKP-3.1c - RentalActualRates'!F72</f>
        <v>1764</v>
      </c>
      <c r="G72" s="421">
        <f>'JKP-3.1c - RentalActualRates'!G72</f>
        <v>1748</v>
      </c>
      <c r="H72" s="421">
        <f>'JKP-3.1c - RentalActualRates'!H72</f>
        <v>1731</v>
      </c>
      <c r="I72" s="421">
        <f>'JKP-3.1c - RentalActualRates'!I72</f>
        <v>1730</v>
      </c>
      <c r="J72" s="421">
        <f>'JKP-3.1c - RentalActualRates'!J72</f>
        <v>1717</v>
      </c>
      <c r="K72" s="421">
        <f>'JKP-3.1c - RentalActualRates'!K72</f>
        <v>1699</v>
      </c>
      <c r="L72" s="421">
        <f>'JKP-3.1c - RentalActualRates'!L72</f>
        <v>1692</v>
      </c>
      <c r="M72" s="421">
        <f>'JKP-3.1c - RentalActualRates'!M72</f>
        <v>1675</v>
      </c>
      <c r="N72" s="421">
        <f>'JKP-3.1c - RentalActualRates'!N72</f>
        <v>1660</v>
      </c>
      <c r="O72" s="421">
        <f>'JKP-3.1c - RentalActualRates'!O72</f>
        <v>1659</v>
      </c>
      <c r="P72" s="421">
        <f>'JKP-3.1c - RentalActualRates'!P72</f>
        <v>1653</v>
      </c>
      <c r="Q72" s="421">
        <f>'JKP-3.1c - RentalActualRates'!Q72</f>
        <v>1637</v>
      </c>
      <c r="R72" s="362">
        <f>SUM(F72:Q72)</f>
        <v>20365</v>
      </c>
    </row>
    <row r="73" spans="2:19" s="336" customFormat="1" x14ac:dyDescent="0.2">
      <c r="B73" s="336" t="s">
        <v>997</v>
      </c>
      <c r="E73" s="336" t="s">
        <v>1000</v>
      </c>
      <c r="F73" s="421">
        <f>'JKP-3.1c - RentalActualRates'!F73</f>
        <v>107</v>
      </c>
      <c r="G73" s="421">
        <f>'JKP-3.1c - RentalActualRates'!G73</f>
        <v>107</v>
      </c>
      <c r="H73" s="421">
        <f>'JKP-3.1c - RentalActualRates'!H73</f>
        <v>104</v>
      </c>
      <c r="I73" s="421">
        <f>'JKP-3.1c - RentalActualRates'!I73</f>
        <v>106</v>
      </c>
      <c r="J73" s="421">
        <f>'JKP-3.1c - RentalActualRates'!J73</f>
        <v>106</v>
      </c>
      <c r="K73" s="421">
        <f>'JKP-3.1c - RentalActualRates'!K73</f>
        <v>106</v>
      </c>
      <c r="L73" s="421">
        <f>'JKP-3.1c - RentalActualRates'!L73</f>
        <v>105</v>
      </c>
      <c r="M73" s="421">
        <f>'JKP-3.1c - RentalActualRates'!M73</f>
        <v>105</v>
      </c>
      <c r="N73" s="421">
        <f>'JKP-3.1c - RentalActualRates'!N73</f>
        <v>105</v>
      </c>
      <c r="O73" s="421">
        <f>'JKP-3.1c - RentalActualRates'!O73</f>
        <v>104</v>
      </c>
      <c r="P73" s="421">
        <f>'JKP-3.1c - RentalActualRates'!P73</f>
        <v>102</v>
      </c>
      <c r="Q73" s="421">
        <f>'JKP-3.1c - RentalActualRates'!Q73</f>
        <v>102</v>
      </c>
      <c r="R73" s="362">
        <f>SUM(F73:Q73)</f>
        <v>1259</v>
      </c>
    </row>
    <row r="74" spans="2:19" s="336" customFormat="1" x14ac:dyDescent="0.2">
      <c r="B74" s="336" t="s">
        <v>998</v>
      </c>
      <c r="E74" s="336" t="s">
        <v>1000</v>
      </c>
      <c r="F74" s="421">
        <f>'JKP-3.1c - RentalActualRates'!F74</f>
        <v>68</v>
      </c>
      <c r="G74" s="421">
        <f>'JKP-3.1c - RentalActualRates'!G74</f>
        <v>68</v>
      </c>
      <c r="H74" s="421">
        <f>'JKP-3.1c - RentalActualRates'!H74</f>
        <v>68</v>
      </c>
      <c r="I74" s="421">
        <f>'JKP-3.1c - RentalActualRates'!I74</f>
        <v>68</v>
      </c>
      <c r="J74" s="421">
        <f>'JKP-3.1c - RentalActualRates'!J74</f>
        <v>62</v>
      </c>
      <c r="K74" s="421">
        <f>'JKP-3.1c - RentalActualRates'!K74</f>
        <v>66</v>
      </c>
      <c r="L74" s="421">
        <f>'JKP-3.1c - RentalActualRates'!L74</f>
        <v>63</v>
      </c>
      <c r="M74" s="421">
        <f>'JKP-3.1c - RentalActualRates'!M74</f>
        <v>63</v>
      </c>
      <c r="N74" s="421">
        <f>'JKP-3.1c - RentalActualRates'!N74</f>
        <v>61</v>
      </c>
      <c r="O74" s="421">
        <f>'JKP-3.1c - RentalActualRates'!O74</f>
        <v>61</v>
      </c>
      <c r="P74" s="421">
        <f>'JKP-3.1c - RentalActualRates'!P74</f>
        <v>61</v>
      </c>
      <c r="Q74" s="421">
        <f>'JKP-3.1c - RentalActualRates'!Q74</f>
        <v>60</v>
      </c>
      <c r="R74" s="362">
        <f>SUM(F74:Q74)</f>
        <v>769</v>
      </c>
    </row>
    <row r="75" spans="2:19" s="336" customFormat="1" x14ac:dyDescent="0.2">
      <c r="B75" s="336" t="s">
        <v>999</v>
      </c>
      <c r="E75" s="336" t="s">
        <v>1000</v>
      </c>
      <c r="F75" s="421">
        <f>'JKP-3.1c - RentalActualRates'!F75</f>
        <v>3158</v>
      </c>
      <c r="G75" s="421">
        <f>'JKP-3.1c - RentalActualRates'!G75</f>
        <v>3131</v>
      </c>
      <c r="H75" s="421">
        <f>'JKP-3.1c - RentalActualRates'!H75</f>
        <v>3108</v>
      </c>
      <c r="I75" s="421">
        <f>'JKP-3.1c - RentalActualRates'!I75</f>
        <v>3090</v>
      </c>
      <c r="J75" s="421">
        <f>'JKP-3.1c - RentalActualRates'!J75</f>
        <v>3064</v>
      </c>
      <c r="K75" s="421">
        <f>'JKP-3.1c - RentalActualRates'!K75</f>
        <v>3027</v>
      </c>
      <c r="L75" s="421">
        <f>'JKP-3.1c - RentalActualRates'!L75</f>
        <v>3028</v>
      </c>
      <c r="M75" s="421">
        <f>'JKP-3.1c - RentalActualRates'!M75</f>
        <v>2996</v>
      </c>
      <c r="N75" s="421">
        <f>'JKP-3.1c - RentalActualRates'!N75</f>
        <v>2979</v>
      </c>
      <c r="O75" s="421">
        <f>'JKP-3.1c - RentalActualRates'!O75</f>
        <v>2958</v>
      </c>
      <c r="P75" s="421">
        <f>'JKP-3.1c - RentalActualRates'!P75</f>
        <v>2926</v>
      </c>
      <c r="Q75" s="421">
        <f>'JKP-3.1c - RentalActualRates'!Q75</f>
        <v>2900</v>
      </c>
      <c r="R75" s="362">
        <f>SUM(F75:Q75)</f>
        <v>36365</v>
      </c>
    </row>
    <row r="76" spans="2:19" x14ac:dyDescent="0.2">
      <c r="B76" s="32" t="s">
        <v>984</v>
      </c>
      <c r="F76" s="357">
        <f t="shared" ref="F76:R76" si="10">SUM(F72:F75)</f>
        <v>5097</v>
      </c>
      <c r="G76" s="357">
        <f t="shared" si="10"/>
        <v>5054</v>
      </c>
      <c r="H76" s="357">
        <f t="shared" si="10"/>
        <v>5011</v>
      </c>
      <c r="I76" s="357">
        <f t="shared" si="10"/>
        <v>4994</v>
      </c>
      <c r="J76" s="357">
        <f t="shared" si="10"/>
        <v>4949</v>
      </c>
      <c r="K76" s="357">
        <f t="shared" si="10"/>
        <v>4898</v>
      </c>
      <c r="L76" s="357">
        <f t="shared" si="10"/>
        <v>4888</v>
      </c>
      <c r="M76" s="357">
        <f t="shared" si="10"/>
        <v>4839</v>
      </c>
      <c r="N76" s="357">
        <f t="shared" si="10"/>
        <v>4805</v>
      </c>
      <c r="O76" s="357">
        <f t="shared" si="10"/>
        <v>4782</v>
      </c>
      <c r="P76" s="357">
        <f t="shared" si="10"/>
        <v>4742</v>
      </c>
      <c r="Q76" s="357">
        <f t="shared" si="10"/>
        <v>4699</v>
      </c>
      <c r="R76" s="357">
        <f t="shared" si="10"/>
        <v>58758</v>
      </c>
    </row>
    <row r="78" spans="2:19" x14ac:dyDescent="0.2">
      <c r="B78" s="276" t="s">
        <v>985</v>
      </c>
    </row>
    <row r="79" spans="2:19" x14ac:dyDescent="0.2">
      <c r="B79" s="32" t="s">
        <v>996</v>
      </c>
      <c r="E79" s="32" t="s">
        <v>976</v>
      </c>
      <c r="F79" s="364">
        <f t="shared" ref="F79:Q82" si="11">F66*F72</f>
        <v>18874.8</v>
      </c>
      <c r="G79" s="364">
        <f t="shared" si="11"/>
        <v>18703.599999999999</v>
      </c>
      <c r="H79" s="364">
        <f t="shared" si="11"/>
        <v>18521.699999999997</v>
      </c>
      <c r="I79" s="364">
        <f t="shared" si="11"/>
        <v>18511</v>
      </c>
      <c r="J79" s="364">
        <f t="shared" si="11"/>
        <v>18371.899999999998</v>
      </c>
      <c r="K79" s="364">
        <f t="shared" si="11"/>
        <v>18179.3</v>
      </c>
      <c r="L79" s="364">
        <f t="shared" si="11"/>
        <v>18104.399999999998</v>
      </c>
      <c r="M79" s="364">
        <f t="shared" si="11"/>
        <v>17922.5</v>
      </c>
      <c r="N79" s="364">
        <f t="shared" si="11"/>
        <v>17762</v>
      </c>
      <c r="O79" s="364">
        <f t="shared" si="11"/>
        <v>17751.3</v>
      </c>
      <c r="P79" s="364">
        <f t="shared" si="11"/>
        <v>17687.099999999999</v>
      </c>
      <c r="Q79" s="364">
        <f t="shared" si="11"/>
        <v>17515.899999999998</v>
      </c>
      <c r="R79" s="364">
        <f>SUM(F79:Q79)</f>
        <v>217905.49999999997</v>
      </c>
      <c r="S79" s="364">
        <f>R79-'JKP-3.1c - Rentals Rates GRC09'!R79</f>
        <v>10182.5</v>
      </c>
    </row>
    <row r="80" spans="2:19" x14ac:dyDescent="0.2">
      <c r="B80" s="32" t="s">
        <v>997</v>
      </c>
      <c r="E80" s="32" t="s">
        <v>976</v>
      </c>
      <c r="F80" s="364">
        <f t="shared" si="11"/>
        <v>3037.73</v>
      </c>
      <c r="G80" s="364">
        <f t="shared" si="11"/>
        <v>3037.73</v>
      </c>
      <c r="H80" s="364">
        <f t="shared" si="11"/>
        <v>2952.56</v>
      </c>
      <c r="I80" s="364">
        <f t="shared" si="11"/>
        <v>3009.34</v>
      </c>
      <c r="J80" s="364">
        <f t="shared" si="11"/>
        <v>3009.34</v>
      </c>
      <c r="K80" s="364">
        <f t="shared" si="11"/>
        <v>3009.34</v>
      </c>
      <c r="L80" s="364">
        <f t="shared" si="11"/>
        <v>2980.9500000000003</v>
      </c>
      <c r="M80" s="364">
        <f t="shared" si="11"/>
        <v>2980.9500000000003</v>
      </c>
      <c r="N80" s="364">
        <f t="shared" si="11"/>
        <v>2980.9500000000003</v>
      </c>
      <c r="O80" s="364">
        <f t="shared" si="11"/>
        <v>2952.56</v>
      </c>
      <c r="P80" s="364">
        <f t="shared" si="11"/>
        <v>2895.78</v>
      </c>
      <c r="Q80" s="364">
        <f t="shared" si="11"/>
        <v>2895.78</v>
      </c>
      <c r="R80" s="364">
        <f>SUM(F80:Q80)</f>
        <v>35743.01</v>
      </c>
      <c r="S80" s="364">
        <f>R80-'JKP-3.1c - Rentals Rates GRC09'!R80</f>
        <v>1687.0600000000049</v>
      </c>
    </row>
    <row r="81" spans="2:20" x14ac:dyDescent="0.2">
      <c r="B81" s="32" t="s">
        <v>998</v>
      </c>
      <c r="E81" s="32" t="s">
        <v>976</v>
      </c>
      <c r="F81" s="364">
        <f t="shared" si="11"/>
        <v>2607.1200000000003</v>
      </c>
      <c r="G81" s="364">
        <f t="shared" si="11"/>
        <v>2607.1200000000003</v>
      </c>
      <c r="H81" s="364">
        <f t="shared" si="11"/>
        <v>2607.1200000000003</v>
      </c>
      <c r="I81" s="364">
        <f t="shared" si="11"/>
        <v>2607.1200000000003</v>
      </c>
      <c r="J81" s="364">
        <f t="shared" si="11"/>
        <v>2377.0800000000004</v>
      </c>
      <c r="K81" s="364">
        <f t="shared" si="11"/>
        <v>2530.44</v>
      </c>
      <c r="L81" s="364">
        <f t="shared" si="11"/>
        <v>2415.42</v>
      </c>
      <c r="M81" s="364">
        <f t="shared" si="11"/>
        <v>2415.42</v>
      </c>
      <c r="N81" s="364">
        <f t="shared" si="11"/>
        <v>2338.7400000000002</v>
      </c>
      <c r="O81" s="364">
        <f t="shared" si="11"/>
        <v>2338.7400000000002</v>
      </c>
      <c r="P81" s="364">
        <f t="shared" si="11"/>
        <v>2338.7400000000002</v>
      </c>
      <c r="Q81" s="364">
        <f t="shared" si="11"/>
        <v>2300.4</v>
      </c>
      <c r="R81" s="364">
        <f>SUM(F81:Q81)</f>
        <v>29483.46000000001</v>
      </c>
      <c r="S81" s="364">
        <f>R81-'JKP-3.1c - Rentals Rates GRC09'!R81</f>
        <v>1384.2000000000153</v>
      </c>
    </row>
    <row r="82" spans="2:20" x14ac:dyDescent="0.2">
      <c r="B82" s="32" t="s">
        <v>999</v>
      </c>
      <c r="E82" s="32" t="s">
        <v>976</v>
      </c>
      <c r="F82" s="364">
        <f t="shared" si="11"/>
        <v>50843.8</v>
      </c>
      <c r="G82" s="364">
        <f t="shared" si="11"/>
        <v>50409.100000000006</v>
      </c>
      <c r="H82" s="364">
        <f t="shared" si="11"/>
        <v>50038.8</v>
      </c>
      <c r="I82" s="364">
        <f t="shared" si="11"/>
        <v>49749.000000000007</v>
      </c>
      <c r="J82" s="364">
        <f t="shared" si="11"/>
        <v>49330.400000000001</v>
      </c>
      <c r="K82" s="364">
        <f t="shared" si="11"/>
        <v>48734.700000000004</v>
      </c>
      <c r="L82" s="364">
        <f t="shared" si="11"/>
        <v>48750.8</v>
      </c>
      <c r="M82" s="364">
        <f t="shared" si="11"/>
        <v>48235.600000000006</v>
      </c>
      <c r="N82" s="364">
        <f t="shared" si="11"/>
        <v>47961.9</v>
      </c>
      <c r="O82" s="364">
        <f t="shared" si="11"/>
        <v>47623.8</v>
      </c>
      <c r="P82" s="364">
        <f t="shared" si="11"/>
        <v>47108.600000000006</v>
      </c>
      <c r="Q82" s="364">
        <f t="shared" si="11"/>
        <v>46690.000000000007</v>
      </c>
      <c r="R82" s="364">
        <f>SUM(F82:Q82)</f>
        <v>585476.5</v>
      </c>
      <c r="S82" s="364">
        <f>R82-'JKP-3.1c - Rentals Rates GRC09'!R82</f>
        <v>27637.400000000023</v>
      </c>
    </row>
    <row r="83" spans="2:20" x14ac:dyDescent="0.2">
      <c r="B83" s="32" t="s">
        <v>986</v>
      </c>
      <c r="F83" s="365">
        <f t="shared" ref="F83:S83" si="12">SUM(F79:F82)</f>
        <v>75363.45</v>
      </c>
      <c r="G83" s="365">
        <f t="shared" si="12"/>
        <v>74757.55</v>
      </c>
      <c r="H83" s="365">
        <f t="shared" si="12"/>
        <v>74120.179999999993</v>
      </c>
      <c r="I83" s="365">
        <f t="shared" si="12"/>
        <v>73876.460000000006</v>
      </c>
      <c r="J83" s="365">
        <f t="shared" si="12"/>
        <v>73088.72</v>
      </c>
      <c r="K83" s="365">
        <f t="shared" si="12"/>
        <v>72453.78</v>
      </c>
      <c r="L83" s="365">
        <f t="shared" si="12"/>
        <v>72251.570000000007</v>
      </c>
      <c r="M83" s="365">
        <f t="shared" si="12"/>
        <v>71554.47</v>
      </c>
      <c r="N83" s="365">
        <f t="shared" si="12"/>
        <v>71043.59</v>
      </c>
      <c r="O83" s="365">
        <f t="shared" si="12"/>
        <v>70666.400000000009</v>
      </c>
      <c r="P83" s="365">
        <f t="shared" si="12"/>
        <v>70030.22</v>
      </c>
      <c r="Q83" s="365">
        <f t="shared" si="12"/>
        <v>69402.080000000002</v>
      </c>
      <c r="R83" s="365">
        <f t="shared" si="12"/>
        <v>868608.47</v>
      </c>
      <c r="S83" s="365">
        <f t="shared" si="12"/>
        <v>40891.160000000047</v>
      </c>
    </row>
    <row r="84" spans="2:20" x14ac:dyDescent="0.2">
      <c r="F84" s="364"/>
      <c r="G84" s="364"/>
      <c r="H84" s="364"/>
      <c r="I84" s="364"/>
      <c r="J84" s="364"/>
      <c r="K84" s="364"/>
      <c r="L84" s="364"/>
      <c r="M84" s="364"/>
      <c r="N84" s="364"/>
      <c r="O84" s="364"/>
      <c r="P84" s="364"/>
      <c r="Q84" s="364"/>
      <c r="R84" s="364"/>
    </row>
    <row r="85" spans="2:20" x14ac:dyDescent="0.2">
      <c r="B85" s="276" t="s">
        <v>1001</v>
      </c>
    </row>
    <row r="86" spans="2:20" x14ac:dyDescent="0.2">
      <c r="B86" s="276" t="s">
        <v>1002</v>
      </c>
    </row>
    <row r="87" spans="2:20" x14ac:dyDescent="0.2">
      <c r="B87" s="32" t="s">
        <v>1003</v>
      </c>
      <c r="D87" s="32">
        <v>71</v>
      </c>
      <c r="F87" s="279">
        <f t="shared" ref="F87:R87" si="13">F23</f>
        <v>36594</v>
      </c>
      <c r="G87" s="279">
        <f t="shared" si="13"/>
        <v>36388</v>
      </c>
      <c r="H87" s="279">
        <f t="shared" si="13"/>
        <v>36288</v>
      </c>
      <c r="I87" s="279">
        <f t="shared" si="13"/>
        <v>36071</v>
      </c>
      <c r="J87" s="279">
        <f t="shared" si="13"/>
        <v>35929</v>
      </c>
      <c r="K87" s="279">
        <f t="shared" si="13"/>
        <v>35812</v>
      </c>
      <c r="L87" s="279">
        <f t="shared" si="13"/>
        <v>35693</v>
      </c>
      <c r="M87" s="279">
        <f t="shared" si="13"/>
        <v>35601</v>
      </c>
      <c r="N87" s="279">
        <f t="shared" si="13"/>
        <v>35435</v>
      </c>
      <c r="O87" s="279">
        <f t="shared" si="13"/>
        <v>35246</v>
      </c>
      <c r="P87" s="279">
        <f t="shared" si="13"/>
        <v>35209</v>
      </c>
      <c r="Q87" s="279">
        <f t="shared" si="13"/>
        <v>35035</v>
      </c>
      <c r="R87" s="279">
        <f t="shared" si="13"/>
        <v>429301</v>
      </c>
    </row>
    <row r="88" spans="2:20" x14ac:dyDescent="0.2">
      <c r="B88" s="32" t="s">
        <v>1004</v>
      </c>
      <c r="D88" s="32">
        <v>72</v>
      </c>
      <c r="F88" s="279">
        <f t="shared" ref="F88:R88" si="14">F52</f>
        <v>3436</v>
      </c>
      <c r="G88" s="279">
        <f t="shared" si="14"/>
        <v>3407</v>
      </c>
      <c r="H88" s="279">
        <f t="shared" si="14"/>
        <v>3393</v>
      </c>
      <c r="I88" s="279">
        <f t="shared" si="14"/>
        <v>3392</v>
      </c>
      <c r="J88" s="279">
        <f t="shared" si="14"/>
        <v>3376</v>
      </c>
      <c r="K88" s="279">
        <f t="shared" si="14"/>
        <v>3359</v>
      </c>
      <c r="L88" s="279">
        <f t="shared" si="14"/>
        <v>3360</v>
      </c>
      <c r="M88" s="279">
        <f t="shared" si="14"/>
        <v>3381</v>
      </c>
      <c r="N88" s="279">
        <f t="shared" si="14"/>
        <v>3403</v>
      </c>
      <c r="O88" s="279">
        <f t="shared" si="14"/>
        <v>3334</v>
      </c>
      <c r="P88" s="279">
        <f t="shared" si="14"/>
        <v>3305</v>
      </c>
      <c r="Q88" s="279">
        <f t="shared" si="14"/>
        <v>3290</v>
      </c>
      <c r="R88" s="279">
        <f t="shared" si="14"/>
        <v>40436</v>
      </c>
    </row>
    <row r="89" spans="2:20" x14ac:dyDescent="0.2">
      <c r="B89" s="32" t="s">
        <v>1005</v>
      </c>
      <c r="D89" s="32">
        <v>74</v>
      </c>
      <c r="F89" s="279">
        <f t="shared" ref="F89:R89" si="15">F76</f>
        <v>5097</v>
      </c>
      <c r="G89" s="279">
        <f t="shared" si="15"/>
        <v>5054</v>
      </c>
      <c r="H89" s="279">
        <f t="shared" si="15"/>
        <v>5011</v>
      </c>
      <c r="I89" s="279">
        <f t="shared" si="15"/>
        <v>4994</v>
      </c>
      <c r="J89" s="279">
        <f t="shared" si="15"/>
        <v>4949</v>
      </c>
      <c r="K89" s="279">
        <f t="shared" si="15"/>
        <v>4898</v>
      </c>
      <c r="L89" s="279">
        <f t="shared" si="15"/>
        <v>4888</v>
      </c>
      <c r="M89" s="279">
        <f t="shared" si="15"/>
        <v>4839</v>
      </c>
      <c r="N89" s="279">
        <f t="shared" si="15"/>
        <v>4805</v>
      </c>
      <c r="O89" s="279">
        <f t="shared" si="15"/>
        <v>4782</v>
      </c>
      <c r="P89" s="279">
        <f t="shared" si="15"/>
        <v>4742</v>
      </c>
      <c r="Q89" s="279">
        <f t="shared" si="15"/>
        <v>4699</v>
      </c>
      <c r="R89" s="279">
        <f t="shared" si="15"/>
        <v>58758</v>
      </c>
    </row>
    <row r="90" spans="2:20" x14ac:dyDescent="0.2">
      <c r="B90" s="32" t="s">
        <v>1006</v>
      </c>
      <c r="F90" s="357">
        <f t="shared" ref="F90:R90" si="16">SUM(F87:F89)</f>
        <v>45127</v>
      </c>
      <c r="G90" s="357">
        <f t="shared" si="16"/>
        <v>44849</v>
      </c>
      <c r="H90" s="357">
        <f t="shared" si="16"/>
        <v>44692</v>
      </c>
      <c r="I90" s="357">
        <f t="shared" si="16"/>
        <v>44457</v>
      </c>
      <c r="J90" s="357">
        <f t="shared" si="16"/>
        <v>44254</v>
      </c>
      <c r="K90" s="357">
        <f t="shared" si="16"/>
        <v>44069</v>
      </c>
      <c r="L90" s="357">
        <f t="shared" si="16"/>
        <v>43941</v>
      </c>
      <c r="M90" s="357">
        <f t="shared" si="16"/>
        <v>43821</v>
      </c>
      <c r="N90" s="357">
        <f t="shared" si="16"/>
        <v>43643</v>
      </c>
      <c r="O90" s="357">
        <f t="shared" si="16"/>
        <v>43362</v>
      </c>
      <c r="P90" s="357">
        <f t="shared" si="16"/>
        <v>43256</v>
      </c>
      <c r="Q90" s="357">
        <f t="shared" si="16"/>
        <v>43024</v>
      </c>
      <c r="R90" s="357">
        <f t="shared" si="16"/>
        <v>528495</v>
      </c>
    </row>
    <row r="92" spans="2:20" x14ac:dyDescent="0.2">
      <c r="B92" s="276" t="s">
        <v>1007</v>
      </c>
    </row>
    <row r="93" spans="2:20" x14ac:dyDescent="0.2">
      <c r="B93" s="32" t="s">
        <v>1003</v>
      </c>
      <c r="D93" s="32">
        <v>71</v>
      </c>
      <c r="E93" s="364"/>
      <c r="F93" s="364">
        <f t="shared" ref="F93:Q93" si="17">F32</f>
        <v>453408.95</v>
      </c>
      <c r="G93" s="364">
        <f t="shared" si="17"/>
        <v>450682.68</v>
      </c>
      <c r="H93" s="364">
        <f t="shared" si="17"/>
        <v>449488.04</v>
      </c>
      <c r="I93" s="364">
        <f t="shared" si="17"/>
        <v>446799.71</v>
      </c>
      <c r="J93" s="364">
        <f t="shared" si="17"/>
        <v>444934.78</v>
      </c>
      <c r="K93" s="364">
        <f t="shared" si="17"/>
        <v>443426.09</v>
      </c>
      <c r="L93" s="364">
        <f t="shared" si="17"/>
        <v>441961.81000000006</v>
      </c>
      <c r="M93" s="364">
        <f t="shared" si="17"/>
        <v>440745.89999999991</v>
      </c>
      <c r="N93" s="364">
        <f t="shared" si="17"/>
        <v>438740.79</v>
      </c>
      <c r="O93" s="364">
        <f t="shared" si="17"/>
        <v>436213.45000000007</v>
      </c>
      <c r="P93" s="364">
        <f t="shared" si="17"/>
        <v>435778.51999999996</v>
      </c>
      <c r="Q93" s="364">
        <f t="shared" si="17"/>
        <v>433525.60000000003</v>
      </c>
      <c r="R93" s="364">
        <f>SUM(F93:Q93)</f>
        <v>5315706.3199999994</v>
      </c>
      <c r="S93" s="364">
        <f>S32</f>
        <v>248624.7800000002</v>
      </c>
      <c r="T93" s="364"/>
    </row>
    <row r="94" spans="2:20" x14ac:dyDescent="0.2">
      <c r="B94" s="32" t="s">
        <v>1004</v>
      </c>
      <c r="D94" s="32">
        <v>72</v>
      </c>
      <c r="E94" s="364"/>
      <c r="F94" s="364">
        <f t="shared" ref="F94:Q94" si="18">F62</f>
        <v>165450.1</v>
      </c>
      <c r="G94" s="364">
        <f t="shared" si="18"/>
        <v>164244.64000000001</v>
      </c>
      <c r="H94" s="364">
        <f t="shared" si="18"/>
        <v>163688.64000000001</v>
      </c>
      <c r="I94" s="364">
        <f t="shared" si="18"/>
        <v>163560.38</v>
      </c>
      <c r="J94" s="364">
        <f t="shared" si="18"/>
        <v>162683.32999999999</v>
      </c>
      <c r="K94" s="364">
        <f t="shared" si="18"/>
        <v>162298.13</v>
      </c>
      <c r="L94" s="364">
        <f t="shared" si="18"/>
        <v>162557.18</v>
      </c>
      <c r="M94" s="364">
        <f t="shared" si="18"/>
        <v>163399.63</v>
      </c>
      <c r="N94" s="364">
        <f t="shared" si="18"/>
        <v>165312.82</v>
      </c>
      <c r="O94" s="364">
        <f t="shared" si="18"/>
        <v>161758.58000000002</v>
      </c>
      <c r="P94" s="364">
        <f t="shared" si="18"/>
        <v>160189.03</v>
      </c>
      <c r="Q94" s="364">
        <f t="shared" si="18"/>
        <v>159324.28999999998</v>
      </c>
      <c r="R94" s="364">
        <f>SUM(F94:Q94)</f>
        <v>1954466.75</v>
      </c>
      <c r="S94" s="364">
        <f>S62</f>
        <v>91833.969999999943</v>
      </c>
      <c r="T94" s="364"/>
    </row>
    <row r="95" spans="2:20" x14ac:dyDescent="0.2">
      <c r="B95" s="32" t="s">
        <v>1008</v>
      </c>
      <c r="D95" s="32">
        <v>74</v>
      </c>
      <c r="E95" s="364"/>
      <c r="F95" s="364">
        <f t="shared" ref="F95:Q95" si="19">F83</f>
        <v>75363.45</v>
      </c>
      <c r="G95" s="364">
        <f t="shared" si="19"/>
        <v>74757.55</v>
      </c>
      <c r="H95" s="364">
        <f t="shared" si="19"/>
        <v>74120.179999999993</v>
      </c>
      <c r="I95" s="364">
        <f t="shared" si="19"/>
        <v>73876.460000000006</v>
      </c>
      <c r="J95" s="364">
        <f t="shared" si="19"/>
        <v>73088.72</v>
      </c>
      <c r="K95" s="364">
        <f t="shared" si="19"/>
        <v>72453.78</v>
      </c>
      <c r="L95" s="364">
        <f t="shared" si="19"/>
        <v>72251.570000000007</v>
      </c>
      <c r="M95" s="364">
        <f t="shared" si="19"/>
        <v>71554.47</v>
      </c>
      <c r="N95" s="364">
        <f t="shared" si="19"/>
        <v>71043.59</v>
      </c>
      <c r="O95" s="364">
        <f t="shared" si="19"/>
        <v>70666.400000000009</v>
      </c>
      <c r="P95" s="364">
        <f t="shared" si="19"/>
        <v>70030.22</v>
      </c>
      <c r="Q95" s="364">
        <f t="shared" si="19"/>
        <v>69402.080000000002</v>
      </c>
      <c r="R95" s="364">
        <f>SUM(F95:Q95)</f>
        <v>868608.47</v>
      </c>
      <c r="S95" s="364">
        <f>S83</f>
        <v>40891.160000000047</v>
      </c>
      <c r="T95" s="364"/>
    </row>
    <row r="96" spans="2:20" x14ac:dyDescent="0.2">
      <c r="B96" s="32" t="s">
        <v>1009</v>
      </c>
      <c r="E96" s="417"/>
      <c r="F96" s="365">
        <f t="shared" ref="F96:S96" si="20">SUM(F93:F95)</f>
        <v>694222.5</v>
      </c>
      <c r="G96" s="365">
        <f t="shared" si="20"/>
        <v>689684.87000000011</v>
      </c>
      <c r="H96" s="365">
        <f t="shared" si="20"/>
        <v>687296.85999999987</v>
      </c>
      <c r="I96" s="365">
        <f t="shared" si="20"/>
        <v>684236.55</v>
      </c>
      <c r="J96" s="365">
        <f t="shared" si="20"/>
        <v>680706.83</v>
      </c>
      <c r="K96" s="365">
        <f t="shared" si="20"/>
        <v>678178</v>
      </c>
      <c r="L96" s="365">
        <f t="shared" si="20"/>
        <v>676770.56</v>
      </c>
      <c r="M96" s="365">
        <f t="shared" si="20"/>
        <v>675699.99999999988</v>
      </c>
      <c r="N96" s="365">
        <f t="shared" si="20"/>
        <v>675097.2</v>
      </c>
      <c r="O96" s="365">
        <f t="shared" si="20"/>
        <v>668638.43000000005</v>
      </c>
      <c r="P96" s="365">
        <f t="shared" si="20"/>
        <v>665997.7699999999</v>
      </c>
      <c r="Q96" s="365">
        <f t="shared" si="20"/>
        <v>662251.97</v>
      </c>
      <c r="R96" s="365">
        <f t="shared" si="20"/>
        <v>8138781.5399999991</v>
      </c>
      <c r="S96" s="365">
        <f t="shared" si="20"/>
        <v>381349.91000000015</v>
      </c>
      <c r="T96" s="364"/>
    </row>
    <row r="97" spans="5:21" x14ac:dyDescent="0.2">
      <c r="E97" s="364"/>
      <c r="F97" s="364"/>
      <c r="G97" s="364"/>
      <c r="H97" s="364"/>
      <c r="I97" s="364"/>
      <c r="J97" s="364"/>
      <c r="K97" s="364"/>
      <c r="L97" s="364"/>
      <c r="M97" s="364"/>
      <c r="N97" s="364"/>
      <c r="O97" s="364"/>
      <c r="P97" s="364"/>
      <c r="Q97" s="364"/>
      <c r="R97" s="364"/>
    </row>
    <row r="98" spans="5:21" s="336" customFormat="1" x14ac:dyDescent="0.2">
      <c r="E98" s="418"/>
      <c r="F98" s="418"/>
      <c r="G98" s="418"/>
      <c r="H98" s="418"/>
      <c r="I98" s="418"/>
      <c r="J98" s="418"/>
      <c r="K98" s="418"/>
      <c r="L98" s="418"/>
      <c r="M98" s="418"/>
      <c r="N98" s="418"/>
      <c r="O98" s="418"/>
      <c r="P98" s="418"/>
      <c r="Q98" s="418"/>
      <c r="R98" s="418"/>
      <c r="T98" s="418"/>
      <c r="U98" s="418"/>
    </row>
    <row r="99" spans="5:21" x14ac:dyDescent="0.2">
      <c r="E99" s="364"/>
      <c r="F99" s="364"/>
      <c r="G99" s="364"/>
      <c r="H99" s="364"/>
      <c r="I99" s="364"/>
      <c r="J99" s="364"/>
      <c r="K99" s="364"/>
      <c r="L99" s="364"/>
      <c r="M99" s="364"/>
      <c r="N99" s="364"/>
      <c r="O99" s="364"/>
      <c r="P99" s="364"/>
      <c r="Q99" s="364"/>
      <c r="R99" s="364"/>
    </row>
    <row r="100" spans="5:21" x14ac:dyDescent="0.2">
      <c r="E100" s="419"/>
      <c r="F100" s="420"/>
      <c r="G100" s="420"/>
      <c r="H100" s="420"/>
      <c r="I100" s="420"/>
      <c r="J100" s="420"/>
      <c r="K100" s="420"/>
      <c r="L100" s="420"/>
      <c r="M100" s="420"/>
      <c r="N100" s="420"/>
      <c r="O100" s="420"/>
      <c r="P100" s="420"/>
      <c r="Q100" s="420"/>
      <c r="R100" s="420"/>
    </row>
  </sheetData>
  <pageMargins left="0.7" right="0.7" top="0.75" bottom="0.75" header="0.3" footer="0.3"/>
  <pageSetup fitToHeight="2" orientation="portrait" r:id="rId1"/>
  <rowBreaks count="1" manualBreakCount="1">
    <brk id="62" min="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6"/>
  <sheetViews>
    <sheetView topLeftCell="A15" workbookViewId="0">
      <selection activeCell="C35" sqref="C35"/>
    </sheetView>
  </sheetViews>
  <sheetFormatPr defaultRowHeight="12.75" x14ac:dyDescent="0.2"/>
  <cols>
    <col min="1" max="1" width="40" style="32" customWidth="1"/>
    <col min="2" max="2" width="9.140625" style="32"/>
    <col min="3" max="3" width="9.28515625" style="32" bestFit="1" customWidth="1"/>
    <col min="4" max="4" width="9.140625" style="32"/>
    <col min="5" max="5" width="9" style="32" bestFit="1" customWidth="1"/>
    <col min="6" max="7" width="9.140625" style="32"/>
    <col min="8" max="8" width="9.28515625" style="32" bestFit="1" customWidth="1"/>
    <col min="9" max="10" width="9.140625" style="32"/>
    <col min="11" max="13" width="9" style="32" customWidth="1"/>
    <col min="14" max="14" width="10.85546875" style="32" customWidth="1"/>
    <col min="15" max="15" width="10.85546875" style="32" bestFit="1" customWidth="1"/>
    <col min="16" max="16" width="9.28515625" style="32" bestFit="1" customWidth="1"/>
    <col min="17" max="16384" width="9.140625" style="32"/>
  </cols>
  <sheetData>
    <row r="1" spans="1:19" s="390" customFormat="1" x14ac:dyDescent="0.2">
      <c r="A1" s="276" t="s">
        <v>1012</v>
      </c>
      <c r="B1" s="32"/>
      <c r="C1" s="32"/>
      <c r="D1" s="32"/>
      <c r="E1" s="32"/>
      <c r="F1" s="32"/>
      <c r="G1" s="32"/>
      <c r="H1" s="32"/>
      <c r="I1" s="32"/>
      <c r="J1" s="32"/>
      <c r="K1" s="32"/>
      <c r="L1" s="32"/>
      <c r="M1" s="32"/>
      <c r="N1" s="32"/>
    </row>
    <row r="2" spans="1:19" s="390" customFormat="1" x14ac:dyDescent="0.2">
      <c r="A2" s="276" t="str">
        <f>'JKP-3.1c - Revenue'!B4</f>
        <v>Test Year Ended December 31, 2010</v>
      </c>
      <c r="B2" s="32"/>
      <c r="C2" s="32"/>
      <c r="D2" s="32"/>
      <c r="E2" s="32"/>
      <c r="F2" s="32"/>
      <c r="G2" s="32"/>
      <c r="H2" s="32"/>
      <c r="I2" s="32"/>
      <c r="J2" s="32"/>
      <c r="K2" s="32"/>
      <c r="L2" s="32"/>
      <c r="M2" s="32"/>
      <c r="N2" s="32"/>
    </row>
    <row r="3" spans="1:19" s="390" customFormat="1" x14ac:dyDescent="0.2">
      <c r="A3" s="32"/>
      <c r="B3" s="32"/>
      <c r="C3" s="32"/>
      <c r="D3" s="32"/>
      <c r="E3" s="32"/>
      <c r="F3" s="32"/>
      <c r="G3" s="32"/>
      <c r="H3" s="32"/>
      <c r="I3" s="32"/>
      <c r="J3" s="32"/>
      <c r="K3" s="32"/>
      <c r="L3" s="32"/>
      <c r="M3" s="32"/>
      <c r="N3" s="32"/>
    </row>
    <row r="4" spans="1:19" s="390" customFormat="1" x14ac:dyDescent="0.2">
      <c r="A4" s="276"/>
      <c r="B4" s="32"/>
      <c r="C4" s="32"/>
      <c r="D4" s="32"/>
      <c r="E4" s="32"/>
      <c r="F4" s="32"/>
      <c r="G4" s="32"/>
      <c r="H4" s="32"/>
      <c r="I4" s="32"/>
      <c r="J4" s="32"/>
      <c r="K4" s="32"/>
      <c r="L4" s="32"/>
      <c r="M4" s="32"/>
      <c r="N4" s="276"/>
    </row>
    <row r="5" spans="1:19" s="390" customFormat="1" x14ac:dyDescent="0.2">
      <c r="A5" s="333" t="s">
        <v>69</v>
      </c>
      <c r="B5" s="370">
        <f>'JKP-3.1c - Data'!C4</f>
        <v>40179</v>
      </c>
      <c r="C5" s="370">
        <f>'JKP-3.1c - Data'!D4</f>
        <v>40210</v>
      </c>
      <c r="D5" s="370">
        <f>'JKP-3.1c - Data'!E4</f>
        <v>40238</v>
      </c>
      <c r="E5" s="370">
        <f>'JKP-3.1c - Data'!F4</f>
        <v>40269</v>
      </c>
      <c r="F5" s="370">
        <f>'JKP-3.1c - Data'!G4</f>
        <v>40299</v>
      </c>
      <c r="G5" s="370">
        <f>'JKP-3.1c - Data'!H4</f>
        <v>40330</v>
      </c>
      <c r="H5" s="370">
        <f>'JKP-3.1c - Data'!I4</f>
        <v>40360</v>
      </c>
      <c r="I5" s="370">
        <f>'JKP-3.1c - Data'!J4</f>
        <v>40391</v>
      </c>
      <c r="J5" s="370">
        <f>'JKP-3.1c - Data'!K4</f>
        <v>40422</v>
      </c>
      <c r="K5" s="370">
        <f>'JKP-3.1c - Data'!L4</f>
        <v>40452</v>
      </c>
      <c r="L5" s="370">
        <f>'JKP-3.1c - Data'!M4</f>
        <v>40483</v>
      </c>
      <c r="M5" s="370">
        <f>'JKP-3.1c - Data'!N4</f>
        <v>40513</v>
      </c>
      <c r="N5" s="333" t="s">
        <v>23</v>
      </c>
      <c r="O5" s="333" t="s">
        <v>373</v>
      </c>
    </row>
    <row r="6" spans="1:19" s="390" customFormat="1" x14ac:dyDescent="0.2">
      <c r="A6" s="348">
        <v>23</v>
      </c>
      <c r="B6" s="423">
        <v>693137</v>
      </c>
      <c r="C6" s="423">
        <v>693885</v>
      </c>
      <c r="D6" s="423">
        <v>694255</v>
      </c>
      <c r="E6" s="423">
        <v>694594</v>
      </c>
      <c r="F6" s="423">
        <v>694265</v>
      </c>
      <c r="G6" s="423">
        <v>693750</v>
      </c>
      <c r="H6" s="423">
        <v>693070</v>
      </c>
      <c r="I6" s="423">
        <v>692456</v>
      </c>
      <c r="J6" s="423">
        <v>692762</v>
      </c>
      <c r="K6" s="423">
        <v>694115</v>
      </c>
      <c r="L6" s="423">
        <v>695665</v>
      </c>
      <c r="M6" s="423">
        <v>696981</v>
      </c>
      <c r="N6" s="424">
        <f t="shared" ref="N6:N29" si="0">SUM(B6:M6)</f>
        <v>8328935</v>
      </c>
      <c r="O6" s="424">
        <f t="shared" ref="O6:O30" si="1">N6/12</f>
        <v>694077.91666666663</v>
      </c>
    </row>
    <row r="7" spans="1:19" s="425" customFormat="1" x14ac:dyDescent="0.2">
      <c r="A7" s="348">
        <v>53</v>
      </c>
      <c r="B7" s="423">
        <v>5</v>
      </c>
      <c r="C7" s="423">
        <v>5</v>
      </c>
      <c r="D7" s="423">
        <v>5</v>
      </c>
      <c r="E7" s="423">
        <v>5</v>
      </c>
      <c r="F7" s="423">
        <v>5</v>
      </c>
      <c r="G7" s="423">
        <v>5</v>
      </c>
      <c r="H7" s="423">
        <v>5</v>
      </c>
      <c r="I7" s="423">
        <v>5</v>
      </c>
      <c r="J7" s="423">
        <v>5</v>
      </c>
      <c r="K7" s="423">
        <v>5</v>
      </c>
      <c r="L7" s="423">
        <v>4</v>
      </c>
      <c r="M7" s="423">
        <v>4</v>
      </c>
      <c r="N7" s="424">
        <f t="shared" si="0"/>
        <v>58</v>
      </c>
      <c r="O7" s="424">
        <f t="shared" si="1"/>
        <v>4.833333333333333</v>
      </c>
      <c r="S7" s="390"/>
    </row>
    <row r="8" spans="1:19" s="390" customFormat="1" x14ac:dyDescent="0.2">
      <c r="A8" s="348" t="s">
        <v>1013</v>
      </c>
      <c r="B8" s="423">
        <v>1</v>
      </c>
      <c r="C8" s="423">
        <v>2</v>
      </c>
      <c r="D8" s="423">
        <v>2</v>
      </c>
      <c r="E8" s="423">
        <v>2</v>
      </c>
      <c r="F8" s="423">
        <v>2</v>
      </c>
      <c r="G8" s="423">
        <v>2</v>
      </c>
      <c r="H8" s="423">
        <v>2</v>
      </c>
      <c r="I8" s="423">
        <v>2</v>
      </c>
      <c r="J8" s="423">
        <v>2</v>
      </c>
      <c r="K8" s="423">
        <v>2</v>
      </c>
      <c r="L8" s="423">
        <v>2</v>
      </c>
      <c r="M8" s="423">
        <v>2</v>
      </c>
      <c r="N8" s="424">
        <f t="shared" si="0"/>
        <v>23</v>
      </c>
      <c r="O8" s="424">
        <f t="shared" si="1"/>
        <v>1.9166666666666667</v>
      </c>
    </row>
    <row r="9" spans="1:19" s="390" customFormat="1" x14ac:dyDescent="0.2">
      <c r="A9" s="426" t="s">
        <v>1014</v>
      </c>
      <c r="B9" s="423">
        <v>51959</v>
      </c>
      <c r="C9" s="423">
        <v>51988</v>
      </c>
      <c r="D9" s="423">
        <v>51986</v>
      </c>
      <c r="E9" s="423">
        <v>51918</v>
      </c>
      <c r="F9" s="423">
        <v>51776</v>
      </c>
      <c r="G9" s="423">
        <v>51612</v>
      </c>
      <c r="H9" s="423">
        <v>51525</v>
      </c>
      <c r="I9" s="423">
        <v>51204</v>
      </c>
      <c r="J9" s="423">
        <v>51189</v>
      </c>
      <c r="K9" s="423">
        <v>51279</v>
      </c>
      <c r="L9" s="423">
        <v>51423</v>
      </c>
      <c r="M9" s="423">
        <v>51597</v>
      </c>
      <c r="N9" s="424">
        <f t="shared" si="0"/>
        <v>619456</v>
      </c>
      <c r="O9" s="424">
        <f t="shared" si="1"/>
        <v>51621.333333333336</v>
      </c>
    </row>
    <row r="10" spans="1:19" s="390" customFormat="1" x14ac:dyDescent="0.2">
      <c r="A10" s="348" t="s">
        <v>1015</v>
      </c>
      <c r="B10" s="423">
        <v>1932</v>
      </c>
      <c r="C10" s="423">
        <v>1930</v>
      </c>
      <c r="D10" s="423">
        <v>1944</v>
      </c>
      <c r="E10" s="423">
        <v>1944</v>
      </c>
      <c r="F10" s="423">
        <v>1942</v>
      </c>
      <c r="G10" s="423">
        <v>1941</v>
      </c>
      <c r="H10" s="423">
        <v>1942</v>
      </c>
      <c r="I10" s="423">
        <v>1935</v>
      </c>
      <c r="J10" s="423">
        <v>1910</v>
      </c>
      <c r="K10" s="423">
        <v>1885</v>
      </c>
      <c r="L10" s="423">
        <v>1877</v>
      </c>
      <c r="M10" s="423">
        <v>1869</v>
      </c>
      <c r="N10" s="424">
        <f t="shared" si="0"/>
        <v>23051</v>
      </c>
      <c r="O10" s="424">
        <f t="shared" si="1"/>
        <v>1920.9166666666667</v>
      </c>
    </row>
    <row r="11" spans="1:19" s="390" customFormat="1" x14ac:dyDescent="0.2">
      <c r="A11" s="348" t="s">
        <v>1016</v>
      </c>
      <c r="B11" s="423">
        <v>10</v>
      </c>
      <c r="C11" s="423">
        <v>10</v>
      </c>
      <c r="D11" s="423">
        <v>10</v>
      </c>
      <c r="E11" s="423">
        <v>10</v>
      </c>
      <c r="F11" s="423">
        <v>10</v>
      </c>
      <c r="G11" s="423">
        <v>10</v>
      </c>
      <c r="H11" s="423">
        <v>10</v>
      </c>
      <c r="I11" s="423">
        <v>10</v>
      </c>
      <c r="J11" s="423">
        <v>11</v>
      </c>
      <c r="K11" s="423">
        <v>12</v>
      </c>
      <c r="L11" s="423">
        <v>20</v>
      </c>
      <c r="M11" s="423">
        <v>30</v>
      </c>
      <c r="N11" s="424">
        <f t="shared" si="0"/>
        <v>153</v>
      </c>
      <c r="O11" s="424">
        <f t="shared" si="1"/>
        <v>12.75</v>
      </c>
    </row>
    <row r="12" spans="1:19" s="390" customFormat="1" x14ac:dyDescent="0.2">
      <c r="A12" s="348" t="s">
        <v>1017</v>
      </c>
      <c r="B12" s="423">
        <v>21</v>
      </c>
      <c r="C12" s="423">
        <v>21</v>
      </c>
      <c r="D12" s="423">
        <v>21</v>
      </c>
      <c r="E12" s="423">
        <v>22</v>
      </c>
      <c r="F12" s="423">
        <v>23</v>
      </c>
      <c r="G12" s="423">
        <v>24</v>
      </c>
      <c r="H12" s="423">
        <v>24</v>
      </c>
      <c r="I12" s="423">
        <v>24</v>
      </c>
      <c r="J12" s="423">
        <v>25</v>
      </c>
      <c r="K12" s="423">
        <v>24</v>
      </c>
      <c r="L12" s="423">
        <v>24</v>
      </c>
      <c r="M12" s="423">
        <v>24</v>
      </c>
      <c r="N12" s="424">
        <f t="shared" si="0"/>
        <v>277</v>
      </c>
      <c r="O12" s="424">
        <f t="shared" si="1"/>
        <v>23.083333333333332</v>
      </c>
    </row>
    <row r="13" spans="1:19" s="390" customFormat="1" x14ac:dyDescent="0.2">
      <c r="A13" s="348" t="s">
        <v>1018</v>
      </c>
      <c r="B13" s="423">
        <v>25</v>
      </c>
      <c r="C13" s="423">
        <v>25</v>
      </c>
      <c r="D13" s="423">
        <v>25</v>
      </c>
      <c r="E13" s="423">
        <v>27</v>
      </c>
      <c r="F13" s="423">
        <v>27</v>
      </c>
      <c r="G13" s="423">
        <v>27</v>
      </c>
      <c r="H13" s="423">
        <v>27</v>
      </c>
      <c r="I13" s="423">
        <v>27</v>
      </c>
      <c r="J13" s="423">
        <v>27</v>
      </c>
      <c r="K13" s="423">
        <v>27</v>
      </c>
      <c r="L13" s="423">
        <v>27</v>
      </c>
      <c r="M13" s="423">
        <v>27</v>
      </c>
      <c r="N13" s="424">
        <f t="shared" si="0"/>
        <v>318</v>
      </c>
      <c r="O13" s="424">
        <f t="shared" si="1"/>
        <v>26.5</v>
      </c>
    </row>
    <row r="14" spans="1:19" s="390" customFormat="1" x14ac:dyDescent="0.2">
      <c r="A14" s="348" t="s">
        <v>1019</v>
      </c>
      <c r="B14" s="423">
        <v>36</v>
      </c>
      <c r="C14" s="423">
        <v>36</v>
      </c>
      <c r="D14" s="423">
        <v>36</v>
      </c>
      <c r="E14" s="423">
        <v>37</v>
      </c>
      <c r="F14" s="423">
        <v>37</v>
      </c>
      <c r="G14" s="423">
        <v>37</v>
      </c>
      <c r="H14" s="423">
        <v>37</v>
      </c>
      <c r="I14" s="423">
        <v>37</v>
      </c>
      <c r="J14" s="423">
        <v>37</v>
      </c>
      <c r="K14" s="423">
        <v>36</v>
      </c>
      <c r="L14" s="423">
        <v>35</v>
      </c>
      <c r="M14" s="423">
        <v>35</v>
      </c>
      <c r="N14" s="424">
        <f t="shared" si="0"/>
        <v>436</v>
      </c>
      <c r="O14" s="424">
        <f t="shared" si="1"/>
        <v>36.333333333333336</v>
      </c>
    </row>
    <row r="15" spans="1:19" s="390" customFormat="1" x14ac:dyDescent="0.2">
      <c r="A15" s="348" t="s">
        <v>1020</v>
      </c>
      <c r="B15" s="423">
        <v>335</v>
      </c>
      <c r="C15" s="423">
        <v>334</v>
      </c>
      <c r="D15" s="423">
        <v>334</v>
      </c>
      <c r="E15" s="423">
        <v>332</v>
      </c>
      <c r="F15" s="423">
        <v>332</v>
      </c>
      <c r="G15" s="423">
        <v>332</v>
      </c>
      <c r="H15" s="423">
        <v>330</v>
      </c>
      <c r="I15" s="423">
        <v>327</v>
      </c>
      <c r="J15" s="423">
        <v>326</v>
      </c>
      <c r="K15" s="423">
        <v>320</v>
      </c>
      <c r="L15" s="423">
        <v>318</v>
      </c>
      <c r="M15" s="423">
        <v>318</v>
      </c>
      <c r="N15" s="424">
        <f t="shared" si="0"/>
        <v>3938</v>
      </c>
      <c r="O15" s="424">
        <f t="shared" si="1"/>
        <v>328.16666666666669</v>
      </c>
    </row>
    <row r="16" spans="1:19" s="390" customFormat="1" x14ac:dyDescent="0.2">
      <c r="A16" s="348" t="s">
        <v>1021</v>
      </c>
      <c r="B16" s="423">
        <v>8</v>
      </c>
      <c r="C16" s="423">
        <v>8</v>
      </c>
      <c r="D16" s="423">
        <v>8</v>
      </c>
      <c r="E16" s="423">
        <v>8</v>
      </c>
      <c r="F16" s="423">
        <v>8</v>
      </c>
      <c r="G16" s="423">
        <v>8</v>
      </c>
      <c r="H16" s="423">
        <v>8</v>
      </c>
      <c r="I16" s="423">
        <v>8</v>
      </c>
      <c r="J16" s="423">
        <v>8</v>
      </c>
      <c r="K16" s="423">
        <v>8</v>
      </c>
      <c r="L16" s="423">
        <v>8</v>
      </c>
      <c r="M16" s="423">
        <v>8</v>
      </c>
      <c r="N16" s="424">
        <f t="shared" si="0"/>
        <v>96</v>
      </c>
      <c r="O16" s="424">
        <f t="shared" si="1"/>
        <v>8</v>
      </c>
    </row>
    <row r="17" spans="1:19" s="390" customFormat="1" x14ac:dyDescent="0.2">
      <c r="A17" s="348" t="s">
        <v>1022</v>
      </c>
      <c r="B17" s="423">
        <v>2</v>
      </c>
      <c r="C17" s="423">
        <v>2</v>
      </c>
      <c r="D17" s="423">
        <v>2</v>
      </c>
      <c r="E17" s="423">
        <v>2</v>
      </c>
      <c r="F17" s="423">
        <v>2</v>
      </c>
      <c r="G17" s="423">
        <v>2</v>
      </c>
      <c r="H17" s="423">
        <v>2</v>
      </c>
      <c r="I17" s="423">
        <v>2</v>
      </c>
      <c r="J17" s="423">
        <v>2</v>
      </c>
      <c r="K17" s="423">
        <v>2</v>
      </c>
      <c r="L17" s="423">
        <v>2</v>
      </c>
      <c r="M17" s="423">
        <v>2</v>
      </c>
      <c r="N17" s="424">
        <f t="shared" si="0"/>
        <v>24</v>
      </c>
      <c r="O17" s="424">
        <f t="shared" si="1"/>
        <v>2</v>
      </c>
    </row>
    <row r="18" spans="1:19" s="425" customFormat="1" x14ac:dyDescent="0.2">
      <c r="A18" s="348" t="s">
        <v>1023</v>
      </c>
      <c r="B18" s="423">
        <v>138</v>
      </c>
      <c r="C18" s="423">
        <v>138</v>
      </c>
      <c r="D18" s="423">
        <v>138</v>
      </c>
      <c r="E18" s="423">
        <v>138</v>
      </c>
      <c r="F18" s="423">
        <v>138</v>
      </c>
      <c r="G18" s="423">
        <v>138</v>
      </c>
      <c r="H18" s="423">
        <v>138</v>
      </c>
      <c r="I18" s="423">
        <v>138</v>
      </c>
      <c r="J18" s="423">
        <v>138</v>
      </c>
      <c r="K18" s="423">
        <v>138</v>
      </c>
      <c r="L18" s="423">
        <v>138</v>
      </c>
      <c r="M18" s="423">
        <v>138</v>
      </c>
      <c r="N18" s="424">
        <f t="shared" si="0"/>
        <v>1656</v>
      </c>
      <c r="O18" s="424">
        <f t="shared" si="1"/>
        <v>138</v>
      </c>
      <c r="S18" s="390"/>
    </row>
    <row r="19" spans="1:19" s="390" customFormat="1" x14ac:dyDescent="0.2">
      <c r="A19" s="348" t="s">
        <v>1024</v>
      </c>
      <c r="B19" s="423">
        <v>2411</v>
      </c>
      <c r="C19" s="423">
        <v>2403</v>
      </c>
      <c r="D19" s="423">
        <v>2394</v>
      </c>
      <c r="E19" s="423">
        <v>2386</v>
      </c>
      <c r="F19" s="423">
        <v>2382</v>
      </c>
      <c r="G19" s="423">
        <v>2374</v>
      </c>
      <c r="H19" s="423">
        <v>2368</v>
      </c>
      <c r="I19" s="423">
        <v>2361</v>
      </c>
      <c r="J19" s="423">
        <v>2355</v>
      </c>
      <c r="K19" s="423">
        <v>2355</v>
      </c>
      <c r="L19" s="423">
        <v>2357</v>
      </c>
      <c r="M19" s="423">
        <v>2367</v>
      </c>
      <c r="N19" s="424">
        <f t="shared" si="0"/>
        <v>28513</v>
      </c>
      <c r="O19" s="424">
        <f t="shared" si="1"/>
        <v>2376.0833333333335</v>
      </c>
    </row>
    <row r="20" spans="1:19" s="390" customFormat="1" x14ac:dyDescent="0.2">
      <c r="A20" s="348" t="s">
        <v>1025</v>
      </c>
      <c r="B20" s="423">
        <v>110</v>
      </c>
      <c r="C20" s="423">
        <v>111</v>
      </c>
      <c r="D20" s="423">
        <v>114</v>
      </c>
      <c r="E20" s="423">
        <v>113</v>
      </c>
      <c r="F20" s="423">
        <v>114</v>
      </c>
      <c r="G20" s="423">
        <v>114</v>
      </c>
      <c r="H20" s="423">
        <v>114</v>
      </c>
      <c r="I20" s="423">
        <v>114</v>
      </c>
      <c r="J20" s="423">
        <v>114</v>
      </c>
      <c r="K20" s="423">
        <v>114</v>
      </c>
      <c r="L20" s="423">
        <v>113</v>
      </c>
      <c r="M20" s="423">
        <v>113</v>
      </c>
      <c r="N20" s="424">
        <f t="shared" si="0"/>
        <v>1358</v>
      </c>
      <c r="O20" s="424">
        <f t="shared" si="1"/>
        <v>113.16666666666667</v>
      </c>
    </row>
    <row r="21" spans="1:19" s="390" customFormat="1" x14ac:dyDescent="0.2">
      <c r="A21" s="348" t="s">
        <v>1026</v>
      </c>
      <c r="B21" s="423">
        <v>15</v>
      </c>
      <c r="C21" s="423">
        <v>15</v>
      </c>
      <c r="D21" s="423">
        <v>14</v>
      </c>
      <c r="E21" s="423">
        <v>14</v>
      </c>
      <c r="F21" s="423">
        <v>14</v>
      </c>
      <c r="G21" s="423">
        <v>14</v>
      </c>
      <c r="H21" s="423">
        <v>14</v>
      </c>
      <c r="I21" s="423">
        <v>15</v>
      </c>
      <c r="J21" s="423">
        <v>15</v>
      </c>
      <c r="K21" s="423">
        <v>16</v>
      </c>
      <c r="L21" s="423">
        <v>16</v>
      </c>
      <c r="M21" s="423">
        <v>16</v>
      </c>
      <c r="N21" s="424">
        <f t="shared" si="0"/>
        <v>178</v>
      </c>
      <c r="O21" s="424">
        <f t="shared" si="1"/>
        <v>14.833333333333334</v>
      </c>
    </row>
    <row r="22" spans="1:19" s="390" customFormat="1" x14ac:dyDescent="0.2">
      <c r="A22" s="426" t="s">
        <v>1027</v>
      </c>
      <c r="B22" s="423">
        <v>0</v>
      </c>
      <c r="C22" s="423">
        <v>0</v>
      </c>
      <c r="D22" s="423">
        <v>0</v>
      </c>
      <c r="E22" s="423">
        <v>0</v>
      </c>
      <c r="F22" s="423">
        <v>0</v>
      </c>
      <c r="G22" s="423">
        <v>0</v>
      </c>
      <c r="H22" s="423">
        <v>0</v>
      </c>
      <c r="I22" s="423">
        <v>0</v>
      </c>
      <c r="J22" s="423">
        <v>0</v>
      </c>
      <c r="K22" s="423">
        <v>0</v>
      </c>
      <c r="L22" s="423">
        <v>0</v>
      </c>
      <c r="M22" s="423">
        <v>0</v>
      </c>
      <c r="N22" s="424">
        <f t="shared" si="0"/>
        <v>0</v>
      </c>
      <c r="O22" s="424">
        <f t="shared" si="1"/>
        <v>0</v>
      </c>
    </row>
    <row r="23" spans="1:19" s="390" customFormat="1" x14ac:dyDescent="0.2">
      <c r="A23" s="348" t="s">
        <v>1028</v>
      </c>
      <c r="B23" s="423">
        <v>8</v>
      </c>
      <c r="C23" s="423">
        <v>9</v>
      </c>
      <c r="D23" s="423">
        <v>8</v>
      </c>
      <c r="E23" s="423">
        <v>8</v>
      </c>
      <c r="F23" s="423">
        <v>7</v>
      </c>
      <c r="G23" s="423">
        <v>7</v>
      </c>
      <c r="H23" s="423">
        <v>7</v>
      </c>
      <c r="I23" s="423">
        <v>7</v>
      </c>
      <c r="J23" s="423">
        <v>7</v>
      </c>
      <c r="K23" s="423">
        <v>7</v>
      </c>
      <c r="L23" s="423">
        <v>7</v>
      </c>
      <c r="M23" s="423">
        <v>7</v>
      </c>
      <c r="N23" s="424">
        <f t="shared" si="0"/>
        <v>89</v>
      </c>
      <c r="O23" s="424">
        <f t="shared" si="1"/>
        <v>7.416666666666667</v>
      </c>
    </row>
    <row r="24" spans="1:19" s="390" customFormat="1" x14ac:dyDescent="0.2">
      <c r="A24" s="348" t="s">
        <v>1029</v>
      </c>
      <c r="B24" s="423">
        <v>64</v>
      </c>
      <c r="C24" s="423">
        <v>63</v>
      </c>
      <c r="D24" s="423">
        <v>64</v>
      </c>
      <c r="E24" s="423">
        <v>64</v>
      </c>
      <c r="F24" s="423">
        <v>64</v>
      </c>
      <c r="G24" s="423">
        <v>64</v>
      </c>
      <c r="H24" s="423">
        <v>63</v>
      </c>
      <c r="I24" s="423">
        <v>62</v>
      </c>
      <c r="J24" s="423">
        <v>62</v>
      </c>
      <c r="K24" s="423">
        <v>62</v>
      </c>
      <c r="L24" s="423">
        <v>62</v>
      </c>
      <c r="M24" s="423">
        <v>63</v>
      </c>
      <c r="N24" s="424">
        <f t="shared" si="0"/>
        <v>757</v>
      </c>
      <c r="O24" s="424">
        <f t="shared" si="1"/>
        <v>63.083333333333336</v>
      </c>
    </row>
    <row r="25" spans="1:19" s="390" customFormat="1" x14ac:dyDescent="0.2">
      <c r="A25" s="348" t="s">
        <v>1030</v>
      </c>
      <c r="B25" s="423">
        <v>10</v>
      </c>
      <c r="C25" s="423">
        <v>10</v>
      </c>
      <c r="D25" s="423">
        <v>10</v>
      </c>
      <c r="E25" s="423">
        <v>10</v>
      </c>
      <c r="F25" s="423">
        <v>10</v>
      </c>
      <c r="G25" s="423">
        <v>10</v>
      </c>
      <c r="H25" s="423">
        <v>10</v>
      </c>
      <c r="I25" s="423">
        <v>10</v>
      </c>
      <c r="J25" s="423">
        <v>10</v>
      </c>
      <c r="K25" s="423">
        <v>10</v>
      </c>
      <c r="L25" s="423">
        <v>10</v>
      </c>
      <c r="M25" s="423">
        <v>10</v>
      </c>
      <c r="N25" s="424">
        <f>SUM(B25:M25)</f>
        <v>120</v>
      </c>
      <c r="O25" s="424">
        <f>N25/12</f>
        <v>10</v>
      </c>
    </row>
    <row r="26" spans="1:19" s="390" customFormat="1" x14ac:dyDescent="0.2">
      <c r="A26" s="426" t="s">
        <v>1031</v>
      </c>
      <c r="B26" s="427">
        <v>0</v>
      </c>
      <c r="C26" s="427">
        <v>0</v>
      </c>
      <c r="D26" s="427">
        <v>0</v>
      </c>
      <c r="E26" s="427">
        <v>0</v>
      </c>
      <c r="F26" s="427">
        <v>0</v>
      </c>
      <c r="G26" s="427">
        <v>1</v>
      </c>
      <c r="H26" s="427">
        <v>1</v>
      </c>
      <c r="I26" s="427">
        <v>1</v>
      </c>
      <c r="J26" s="427">
        <v>1</v>
      </c>
      <c r="K26" s="427">
        <v>1</v>
      </c>
      <c r="L26" s="427">
        <v>1</v>
      </c>
      <c r="M26" s="427">
        <v>1</v>
      </c>
      <c r="N26" s="428">
        <f>SUM(B26:M26)</f>
        <v>7</v>
      </c>
      <c r="O26" s="428">
        <f>N26/12</f>
        <v>0.58333333333333337</v>
      </c>
    </row>
    <row r="27" spans="1:19" s="390" customFormat="1" x14ac:dyDescent="0.2">
      <c r="A27" s="348" t="s">
        <v>1032</v>
      </c>
      <c r="B27" s="423">
        <v>1</v>
      </c>
      <c r="C27" s="423">
        <v>1</v>
      </c>
      <c r="D27" s="423">
        <v>1</v>
      </c>
      <c r="E27" s="423">
        <v>1</v>
      </c>
      <c r="F27" s="423">
        <v>1</v>
      </c>
      <c r="G27" s="423">
        <v>1</v>
      </c>
      <c r="H27" s="423">
        <v>1</v>
      </c>
      <c r="I27" s="423">
        <v>1</v>
      </c>
      <c r="J27" s="423">
        <v>1</v>
      </c>
      <c r="K27" s="423">
        <v>1</v>
      </c>
      <c r="L27" s="423">
        <v>1</v>
      </c>
      <c r="M27" s="423">
        <v>1</v>
      </c>
      <c r="N27" s="424">
        <f t="shared" si="0"/>
        <v>12</v>
      </c>
      <c r="O27" s="424">
        <f t="shared" si="1"/>
        <v>1</v>
      </c>
    </row>
    <row r="28" spans="1:19" s="390" customFormat="1" x14ac:dyDescent="0.2">
      <c r="A28" s="348" t="s">
        <v>1033</v>
      </c>
      <c r="B28" s="423">
        <v>11</v>
      </c>
      <c r="C28" s="423">
        <v>11</v>
      </c>
      <c r="D28" s="423">
        <v>11</v>
      </c>
      <c r="E28" s="423">
        <v>11</v>
      </c>
      <c r="F28" s="423">
        <v>11</v>
      </c>
      <c r="G28" s="423">
        <v>11</v>
      </c>
      <c r="H28" s="423">
        <v>11</v>
      </c>
      <c r="I28" s="423">
        <v>11</v>
      </c>
      <c r="J28" s="423">
        <v>11</v>
      </c>
      <c r="K28" s="423">
        <v>11</v>
      </c>
      <c r="L28" s="423">
        <v>11</v>
      </c>
      <c r="M28" s="423">
        <v>10</v>
      </c>
      <c r="N28" s="424">
        <f t="shared" si="0"/>
        <v>131</v>
      </c>
      <c r="O28" s="424">
        <f t="shared" si="1"/>
        <v>10.916666666666666</v>
      </c>
    </row>
    <row r="29" spans="1:19" s="390" customFormat="1" x14ac:dyDescent="0.2">
      <c r="A29" s="348" t="s">
        <v>1034</v>
      </c>
      <c r="B29" s="423">
        <v>1</v>
      </c>
      <c r="C29" s="423">
        <v>1</v>
      </c>
      <c r="D29" s="423">
        <v>1</v>
      </c>
      <c r="E29" s="423">
        <v>1</v>
      </c>
      <c r="F29" s="423">
        <v>1</v>
      </c>
      <c r="G29" s="423">
        <v>1</v>
      </c>
      <c r="H29" s="423">
        <v>1</v>
      </c>
      <c r="I29" s="423">
        <v>1</v>
      </c>
      <c r="J29" s="423">
        <v>1</v>
      </c>
      <c r="K29" s="423">
        <v>1</v>
      </c>
      <c r="L29" s="423">
        <v>1</v>
      </c>
      <c r="M29" s="423">
        <v>1</v>
      </c>
      <c r="N29" s="424">
        <f t="shared" si="0"/>
        <v>12</v>
      </c>
      <c r="O29" s="424">
        <f t="shared" si="1"/>
        <v>1</v>
      </c>
    </row>
    <row r="30" spans="1:19" s="390" customFormat="1" x14ac:dyDescent="0.2">
      <c r="A30" s="348" t="s">
        <v>924</v>
      </c>
      <c r="B30" s="423">
        <v>12</v>
      </c>
      <c r="C30" s="423">
        <v>12</v>
      </c>
      <c r="D30" s="423">
        <v>12</v>
      </c>
      <c r="E30" s="423">
        <v>12</v>
      </c>
      <c r="F30" s="423">
        <v>12</v>
      </c>
      <c r="G30" s="423">
        <v>12</v>
      </c>
      <c r="H30" s="423">
        <v>12</v>
      </c>
      <c r="I30" s="423">
        <v>12</v>
      </c>
      <c r="J30" s="423">
        <v>12</v>
      </c>
      <c r="K30" s="423">
        <v>12</v>
      </c>
      <c r="L30" s="423">
        <v>12</v>
      </c>
      <c r="M30" s="423">
        <v>12</v>
      </c>
      <c r="N30" s="424">
        <f>SUM(B30:M30)</f>
        <v>144</v>
      </c>
      <c r="O30" s="424">
        <f t="shared" si="1"/>
        <v>12</v>
      </c>
    </row>
    <row r="31" spans="1:19" s="390" customFormat="1" x14ac:dyDescent="0.2">
      <c r="A31" s="348" t="s">
        <v>23</v>
      </c>
      <c r="B31" s="357">
        <f t="shared" ref="B31:J31" si="2">SUM(B6:B30)</f>
        <v>750252</v>
      </c>
      <c r="C31" s="357">
        <f t="shared" si="2"/>
        <v>751020</v>
      </c>
      <c r="D31" s="357">
        <f t="shared" si="2"/>
        <v>751395</v>
      </c>
      <c r="E31" s="357">
        <f t="shared" si="2"/>
        <v>751659</v>
      </c>
      <c r="F31" s="357">
        <f t="shared" si="2"/>
        <v>751183</v>
      </c>
      <c r="G31" s="357">
        <f t="shared" si="2"/>
        <v>750497</v>
      </c>
      <c r="H31" s="357">
        <f t="shared" si="2"/>
        <v>749722</v>
      </c>
      <c r="I31" s="357">
        <f t="shared" si="2"/>
        <v>748770</v>
      </c>
      <c r="J31" s="357">
        <f t="shared" si="2"/>
        <v>749031</v>
      </c>
      <c r="K31" s="357">
        <f>SUM(K6:K30)</f>
        <v>750443</v>
      </c>
      <c r="L31" s="357">
        <f>SUM(L6:L30)</f>
        <v>752134</v>
      </c>
      <c r="M31" s="357">
        <f>SUM(M6:M30)</f>
        <v>753636</v>
      </c>
      <c r="N31" s="357">
        <f>SUM(N6:N30)</f>
        <v>9009742</v>
      </c>
      <c r="O31" s="357">
        <f>SUM(O6:O30)</f>
        <v>750811.83333333337</v>
      </c>
    </row>
    <row r="32" spans="1:19" s="390" customFormat="1" x14ac:dyDescent="0.2">
      <c r="A32" s="346" t="s">
        <v>1035</v>
      </c>
      <c r="B32" s="423">
        <v>750252</v>
      </c>
      <c r="C32" s="423">
        <v>751020</v>
      </c>
      <c r="D32" s="423">
        <v>751395</v>
      </c>
      <c r="E32" s="423">
        <v>751659</v>
      </c>
      <c r="F32" s="423">
        <v>751183</v>
      </c>
      <c r="G32" s="423">
        <v>750496</v>
      </c>
      <c r="H32" s="423">
        <v>749722</v>
      </c>
      <c r="I32" s="423">
        <v>748770</v>
      </c>
      <c r="J32" s="423">
        <v>749031</v>
      </c>
      <c r="K32" s="423">
        <v>750443</v>
      </c>
      <c r="L32" s="423">
        <v>752134</v>
      </c>
      <c r="M32" s="423">
        <v>753636</v>
      </c>
      <c r="N32" s="424">
        <f>SUM(B32:M32)</f>
        <v>9009741</v>
      </c>
      <c r="O32" s="424"/>
    </row>
    <row r="33" spans="1:16" s="390" customFormat="1" x14ac:dyDescent="0.2">
      <c r="A33" s="346" t="s">
        <v>131</v>
      </c>
      <c r="B33" s="424">
        <f t="shared" ref="B33:J33" si="3">B31-B32</f>
        <v>0</v>
      </c>
      <c r="C33" s="424">
        <f t="shared" si="3"/>
        <v>0</v>
      </c>
      <c r="D33" s="424">
        <f t="shared" si="3"/>
        <v>0</v>
      </c>
      <c r="E33" s="424">
        <f t="shared" si="3"/>
        <v>0</v>
      </c>
      <c r="F33" s="424">
        <f t="shared" si="3"/>
        <v>0</v>
      </c>
      <c r="G33" s="424">
        <f t="shared" si="3"/>
        <v>1</v>
      </c>
      <c r="H33" s="424">
        <f t="shared" si="3"/>
        <v>0</v>
      </c>
      <c r="I33" s="424">
        <f t="shared" si="3"/>
        <v>0</v>
      </c>
      <c r="J33" s="424">
        <f t="shared" si="3"/>
        <v>0</v>
      </c>
      <c r="K33" s="424">
        <f>K31-K32</f>
        <v>0</v>
      </c>
      <c r="L33" s="424">
        <f>L31-L32</f>
        <v>0</v>
      </c>
      <c r="M33" s="424">
        <f>M31-M32</f>
        <v>0</v>
      </c>
      <c r="N33" s="424">
        <f>N31-N32</f>
        <v>1</v>
      </c>
      <c r="O33" s="424"/>
    </row>
    <row r="34" spans="1:16" s="390" customFormat="1" x14ac:dyDescent="0.2">
      <c r="A34" s="425" t="s">
        <v>1036</v>
      </c>
      <c r="B34" s="428">
        <f>B31-B18</f>
        <v>750114</v>
      </c>
      <c r="C34" s="428">
        <f t="shared" ref="C34:N34" si="4">C31-C18</f>
        <v>750882</v>
      </c>
      <c r="D34" s="428">
        <f t="shared" si="4"/>
        <v>751257</v>
      </c>
      <c r="E34" s="428">
        <f>E31-E18</f>
        <v>751521</v>
      </c>
      <c r="F34" s="428">
        <f t="shared" si="4"/>
        <v>751045</v>
      </c>
      <c r="G34" s="428">
        <f t="shared" si="4"/>
        <v>750359</v>
      </c>
      <c r="H34" s="428">
        <f t="shared" si="4"/>
        <v>749584</v>
      </c>
      <c r="I34" s="428">
        <f t="shared" si="4"/>
        <v>748632</v>
      </c>
      <c r="J34" s="428">
        <f t="shared" si="4"/>
        <v>748893</v>
      </c>
      <c r="K34" s="428">
        <f t="shared" si="4"/>
        <v>750305</v>
      </c>
      <c r="L34" s="428">
        <f t="shared" si="4"/>
        <v>751996</v>
      </c>
      <c r="M34" s="428">
        <f>M31-M18</f>
        <v>753498</v>
      </c>
      <c r="N34" s="428">
        <f t="shared" si="4"/>
        <v>9008086</v>
      </c>
      <c r="O34" s="428">
        <f>O31-O18</f>
        <v>750673.83333333337</v>
      </c>
    </row>
    <row r="35" spans="1:16" s="390" customFormat="1" x14ac:dyDescent="0.2">
      <c r="B35" s="429"/>
      <c r="C35" s="429"/>
      <c r="D35" s="429"/>
      <c r="E35" s="429"/>
      <c r="F35" s="429"/>
      <c r="G35" s="429"/>
      <c r="H35" s="429"/>
      <c r="I35" s="429"/>
      <c r="J35" s="429"/>
      <c r="K35" s="429"/>
      <c r="L35" s="429"/>
      <c r="M35" s="429"/>
      <c r="N35" s="429"/>
    </row>
    <row r="36" spans="1:16" s="390" customFormat="1" x14ac:dyDescent="0.2">
      <c r="B36" s="429"/>
      <c r="C36" s="429"/>
      <c r="D36" s="429"/>
      <c r="E36" s="429"/>
      <c r="F36" s="429"/>
      <c r="G36" s="429"/>
      <c r="H36" s="429"/>
      <c r="I36" s="429"/>
      <c r="J36" s="429"/>
      <c r="K36" s="429"/>
      <c r="L36" s="429"/>
      <c r="M36" s="429"/>
      <c r="N36" s="429"/>
    </row>
    <row r="37" spans="1:16" s="390" customFormat="1" x14ac:dyDescent="0.2">
      <c r="B37" s="424"/>
      <c r="C37" s="424"/>
      <c r="D37" s="424"/>
      <c r="E37" s="424"/>
      <c r="F37" s="424"/>
      <c r="G37" s="424"/>
      <c r="H37" s="424"/>
      <c r="I37" s="424"/>
      <c r="J37" s="424"/>
      <c r="K37" s="424"/>
      <c r="L37" s="424"/>
      <c r="M37" s="424"/>
      <c r="N37" s="424"/>
      <c r="O37" s="424"/>
    </row>
    <row r="38" spans="1:16" s="390" customFormat="1" x14ac:dyDescent="0.2">
      <c r="A38" s="426" t="s">
        <v>1037</v>
      </c>
      <c r="B38" s="428">
        <f>SUM(B6:B8)</f>
        <v>693143</v>
      </c>
      <c r="C38" s="428">
        <f t="shared" ref="C38:O38" si="5">SUM(C6:C8)</f>
        <v>693892</v>
      </c>
      <c r="D38" s="428">
        <f t="shared" si="5"/>
        <v>694262</v>
      </c>
      <c r="E38" s="428">
        <f t="shared" si="5"/>
        <v>694601</v>
      </c>
      <c r="F38" s="428">
        <f t="shared" si="5"/>
        <v>694272</v>
      </c>
      <c r="G38" s="428">
        <f t="shared" si="5"/>
        <v>693757</v>
      </c>
      <c r="H38" s="428">
        <f t="shared" si="5"/>
        <v>693077</v>
      </c>
      <c r="I38" s="428">
        <f t="shared" si="5"/>
        <v>692463</v>
      </c>
      <c r="J38" s="428">
        <f t="shared" si="5"/>
        <v>692769</v>
      </c>
      <c r="K38" s="428">
        <f t="shared" si="5"/>
        <v>694122</v>
      </c>
      <c r="L38" s="428">
        <f t="shared" si="5"/>
        <v>695671</v>
      </c>
      <c r="M38" s="428">
        <f t="shared" si="5"/>
        <v>696987</v>
      </c>
      <c r="N38" s="428">
        <f t="shared" si="5"/>
        <v>8329016</v>
      </c>
      <c r="O38" s="428">
        <f t="shared" si="5"/>
        <v>694084.66666666663</v>
      </c>
    </row>
    <row r="39" spans="1:16" s="390" customFormat="1" x14ac:dyDescent="0.2">
      <c r="A39" s="346" t="s">
        <v>1038</v>
      </c>
      <c r="B39" s="428">
        <f>B9+B19+B12+B22+B29</f>
        <v>54392</v>
      </c>
      <c r="C39" s="428">
        <f t="shared" ref="C39:O39" si="6">C9+C19+C12+C22+C29</f>
        <v>54413</v>
      </c>
      <c r="D39" s="428">
        <f t="shared" si="6"/>
        <v>54402</v>
      </c>
      <c r="E39" s="428">
        <f t="shared" si="6"/>
        <v>54327</v>
      </c>
      <c r="F39" s="428">
        <f t="shared" si="6"/>
        <v>54182</v>
      </c>
      <c r="G39" s="428">
        <f t="shared" si="6"/>
        <v>54011</v>
      </c>
      <c r="H39" s="428">
        <f t="shared" si="6"/>
        <v>53918</v>
      </c>
      <c r="I39" s="428">
        <f t="shared" si="6"/>
        <v>53590</v>
      </c>
      <c r="J39" s="428">
        <f t="shared" si="6"/>
        <v>53570</v>
      </c>
      <c r="K39" s="428">
        <f t="shared" si="6"/>
        <v>53659</v>
      </c>
      <c r="L39" s="428">
        <f t="shared" si="6"/>
        <v>53805</v>
      </c>
      <c r="M39" s="428">
        <f t="shared" si="6"/>
        <v>53989</v>
      </c>
      <c r="N39" s="428">
        <f t="shared" si="6"/>
        <v>648258</v>
      </c>
      <c r="O39" s="428">
        <f t="shared" si="6"/>
        <v>54021.500000000007</v>
      </c>
    </row>
    <row r="40" spans="1:16" s="390" customFormat="1" x14ac:dyDescent="0.2">
      <c r="A40" s="426" t="s">
        <v>832</v>
      </c>
      <c r="B40" s="428">
        <f>B10+B20</f>
        <v>2042</v>
      </c>
      <c r="C40" s="428">
        <f t="shared" ref="C40:O40" si="7">C10+C20</f>
        <v>2041</v>
      </c>
      <c r="D40" s="428">
        <f t="shared" si="7"/>
        <v>2058</v>
      </c>
      <c r="E40" s="428">
        <f t="shared" si="7"/>
        <v>2057</v>
      </c>
      <c r="F40" s="428">
        <f t="shared" si="7"/>
        <v>2056</v>
      </c>
      <c r="G40" s="428">
        <f t="shared" si="7"/>
        <v>2055</v>
      </c>
      <c r="H40" s="428">
        <f t="shared" si="7"/>
        <v>2056</v>
      </c>
      <c r="I40" s="428">
        <f t="shared" si="7"/>
        <v>2049</v>
      </c>
      <c r="J40" s="428">
        <f t="shared" si="7"/>
        <v>2024</v>
      </c>
      <c r="K40" s="428">
        <f t="shared" si="7"/>
        <v>1999</v>
      </c>
      <c r="L40" s="428">
        <f t="shared" si="7"/>
        <v>1990</v>
      </c>
      <c r="M40" s="428">
        <f t="shared" si="7"/>
        <v>1982</v>
      </c>
      <c r="N40" s="428">
        <f t="shared" si="7"/>
        <v>24409</v>
      </c>
      <c r="O40" s="428">
        <f t="shared" si="7"/>
        <v>2034.0833333333335</v>
      </c>
      <c r="P40" s="424"/>
    </row>
    <row r="41" spans="1:16" x14ac:dyDescent="0.2">
      <c r="A41" s="426" t="s">
        <v>837</v>
      </c>
      <c r="B41" s="398">
        <f>B13+B23</f>
        <v>33</v>
      </c>
      <c r="C41" s="398">
        <f t="shared" ref="C41:O41" si="8">C13+C23</f>
        <v>34</v>
      </c>
      <c r="D41" s="398">
        <f t="shared" si="8"/>
        <v>33</v>
      </c>
      <c r="E41" s="398">
        <f t="shared" si="8"/>
        <v>35</v>
      </c>
      <c r="F41" s="398">
        <f t="shared" si="8"/>
        <v>34</v>
      </c>
      <c r="G41" s="398">
        <f t="shared" si="8"/>
        <v>34</v>
      </c>
      <c r="H41" s="398">
        <f t="shared" si="8"/>
        <v>34</v>
      </c>
      <c r="I41" s="398">
        <f t="shared" si="8"/>
        <v>34</v>
      </c>
      <c r="J41" s="398">
        <f t="shared" si="8"/>
        <v>34</v>
      </c>
      <c r="K41" s="398">
        <f t="shared" si="8"/>
        <v>34</v>
      </c>
      <c r="L41" s="398">
        <f t="shared" si="8"/>
        <v>34</v>
      </c>
      <c r="M41" s="398">
        <f t="shared" si="8"/>
        <v>34</v>
      </c>
      <c r="N41" s="398">
        <f t="shared" si="8"/>
        <v>407</v>
      </c>
      <c r="O41" s="398">
        <f t="shared" si="8"/>
        <v>33.916666666666664</v>
      </c>
    </row>
    <row r="42" spans="1:16" x14ac:dyDescent="0.2">
      <c r="A42" s="426" t="s">
        <v>839</v>
      </c>
      <c r="B42" s="428">
        <f>B15+B25</f>
        <v>345</v>
      </c>
      <c r="C42" s="428">
        <f t="shared" ref="C42:O42" si="9">C15+C25</f>
        <v>344</v>
      </c>
      <c r="D42" s="428">
        <f t="shared" si="9"/>
        <v>344</v>
      </c>
      <c r="E42" s="428">
        <f t="shared" si="9"/>
        <v>342</v>
      </c>
      <c r="F42" s="428">
        <f t="shared" si="9"/>
        <v>342</v>
      </c>
      <c r="G42" s="428">
        <f t="shared" si="9"/>
        <v>342</v>
      </c>
      <c r="H42" s="428">
        <f t="shared" si="9"/>
        <v>340</v>
      </c>
      <c r="I42" s="428">
        <f t="shared" si="9"/>
        <v>337</v>
      </c>
      <c r="J42" s="428">
        <f t="shared" si="9"/>
        <v>336</v>
      </c>
      <c r="K42" s="428">
        <f t="shared" si="9"/>
        <v>330</v>
      </c>
      <c r="L42" s="428">
        <f t="shared" si="9"/>
        <v>328</v>
      </c>
      <c r="M42" s="428">
        <f t="shared" si="9"/>
        <v>328</v>
      </c>
      <c r="N42" s="428">
        <f t="shared" si="9"/>
        <v>4058</v>
      </c>
      <c r="O42" s="428">
        <f t="shared" si="9"/>
        <v>338.16666666666669</v>
      </c>
    </row>
    <row r="43" spans="1:16" x14ac:dyDescent="0.2">
      <c r="A43" s="426" t="s">
        <v>841</v>
      </c>
      <c r="B43" s="428">
        <f>B16+B27</f>
        <v>9</v>
      </c>
      <c r="C43" s="428">
        <f t="shared" ref="C43:O43" si="10">C16+C27</f>
        <v>9</v>
      </c>
      <c r="D43" s="428">
        <f t="shared" si="10"/>
        <v>9</v>
      </c>
      <c r="E43" s="428">
        <f t="shared" si="10"/>
        <v>9</v>
      </c>
      <c r="F43" s="428">
        <f t="shared" si="10"/>
        <v>9</v>
      </c>
      <c r="G43" s="428">
        <f t="shared" si="10"/>
        <v>9</v>
      </c>
      <c r="H43" s="428">
        <f t="shared" si="10"/>
        <v>9</v>
      </c>
      <c r="I43" s="428">
        <f t="shared" si="10"/>
        <v>9</v>
      </c>
      <c r="J43" s="428">
        <f t="shared" si="10"/>
        <v>9</v>
      </c>
      <c r="K43" s="428">
        <f t="shared" si="10"/>
        <v>9</v>
      </c>
      <c r="L43" s="428">
        <f t="shared" si="10"/>
        <v>9</v>
      </c>
      <c r="M43" s="428">
        <f t="shared" si="10"/>
        <v>9</v>
      </c>
      <c r="N43" s="428">
        <f t="shared" si="10"/>
        <v>108</v>
      </c>
      <c r="O43" s="428">
        <f t="shared" si="10"/>
        <v>9</v>
      </c>
    </row>
    <row r="44" spans="1:16" x14ac:dyDescent="0.2">
      <c r="A44" s="32" t="s">
        <v>1039</v>
      </c>
      <c r="B44" s="398">
        <f>B11+B21</f>
        <v>25</v>
      </c>
      <c r="C44" s="398">
        <f t="shared" ref="C44:O44" si="11">C11+C21</f>
        <v>25</v>
      </c>
      <c r="D44" s="398">
        <f t="shared" si="11"/>
        <v>24</v>
      </c>
      <c r="E44" s="398">
        <f t="shared" si="11"/>
        <v>24</v>
      </c>
      <c r="F44" s="398">
        <f t="shared" si="11"/>
        <v>24</v>
      </c>
      <c r="G44" s="398">
        <f t="shared" si="11"/>
        <v>24</v>
      </c>
      <c r="H44" s="398">
        <f t="shared" si="11"/>
        <v>24</v>
      </c>
      <c r="I44" s="398">
        <f t="shared" si="11"/>
        <v>25</v>
      </c>
      <c r="J44" s="398">
        <f t="shared" si="11"/>
        <v>26</v>
      </c>
      <c r="K44" s="398">
        <f t="shared" si="11"/>
        <v>28</v>
      </c>
      <c r="L44" s="398">
        <f t="shared" si="11"/>
        <v>36</v>
      </c>
      <c r="M44" s="398">
        <f t="shared" si="11"/>
        <v>46</v>
      </c>
      <c r="N44" s="398">
        <f t="shared" si="11"/>
        <v>331</v>
      </c>
      <c r="O44" s="398">
        <f t="shared" si="11"/>
        <v>27.583333333333336</v>
      </c>
    </row>
    <row r="45" spans="1:16" x14ac:dyDescent="0.2">
      <c r="A45" s="32" t="s">
        <v>1040</v>
      </c>
      <c r="B45" s="398">
        <f>B14+B24</f>
        <v>100</v>
      </c>
      <c r="C45" s="398">
        <f t="shared" ref="C45:O45" si="12">C14+C24</f>
        <v>99</v>
      </c>
      <c r="D45" s="398">
        <f t="shared" si="12"/>
        <v>100</v>
      </c>
      <c r="E45" s="398">
        <f t="shared" si="12"/>
        <v>101</v>
      </c>
      <c r="F45" s="398">
        <f t="shared" si="12"/>
        <v>101</v>
      </c>
      <c r="G45" s="398">
        <f t="shared" si="12"/>
        <v>101</v>
      </c>
      <c r="H45" s="398">
        <f t="shared" si="12"/>
        <v>100</v>
      </c>
      <c r="I45" s="398">
        <f t="shared" si="12"/>
        <v>99</v>
      </c>
      <c r="J45" s="398">
        <f t="shared" si="12"/>
        <v>99</v>
      </c>
      <c r="K45" s="398">
        <f t="shared" si="12"/>
        <v>98</v>
      </c>
      <c r="L45" s="398">
        <f t="shared" si="12"/>
        <v>97</v>
      </c>
      <c r="M45" s="398">
        <f t="shared" si="12"/>
        <v>98</v>
      </c>
      <c r="N45" s="398">
        <f t="shared" si="12"/>
        <v>1193</v>
      </c>
      <c r="O45" s="398">
        <f t="shared" si="12"/>
        <v>99.416666666666671</v>
      </c>
    </row>
    <row r="46" spans="1:16" x14ac:dyDescent="0.2">
      <c r="A46" s="277" t="s">
        <v>1041</v>
      </c>
      <c r="B46" s="398">
        <f>B26</f>
        <v>0</v>
      </c>
      <c r="C46" s="398">
        <f t="shared" ref="C46:O46" si="13">C26</f>
        <v>0</v>
      </c>
      <c r="D46" s="398">
        <f t="shared" si="13"/>
        <v>0</v>
      </c>
      <c r="E46" s="398">
        <f t="shared" si="13"/>
        <v>0</v>
      </c>
      <c r="F46" s="398">
        <f t="shared" si="13"/>
        <v>0</v>
      </c>
      <c r="G46" s="398">
        <f t="shared" si="13"/>
        <v>1</v>
      </c>
      <c r="H46" s="398">
        <f t="shared" si="13"/>
        <v>1</v>
      </c>
      <c r="I46" s="398">
        <f t="shared" si="13"/>
        <v>1</v>
      </c>
      <c r="J46" s="398">
        <f t="shared" si="13"/>
        <v>1</v>
      </c>
      <c r="K46" s="398">
        <f t="shared" si="13"/>
        <v>1</v>
      </c>
      <c r="L46" s="398">
        <f t="shared" si="13"/>
        <v>1</v>
      </c>
      <c r="M46" s="398">
        <f t="shared" si="13"/>
        <v>1</v>
      </c>
      <c r="N46" s="398">
        <f t="shared" si="13"/>
        <v>7</v>
      </c>
      <c r="O46" s="398">
        <f t="shared" si="13"/>
        <v>0.58333333333333337</v>
      </c>
    </row>
    <row r="47" spans="1:16" x14ac:dyDescent="0.2">
      <c r="A47" s="32" t="s">
        <v>1042</v>
      </c>
      <c r="B47" s="398">
        <f>B17+B28</f>
        <v>13</v>
      </c>
      <c r="C47" s="398">
        <f t="shared" ref="C47:O47" si="14">C17+C28</f>
        <v>13</v>
      </c>
      <c r="D47" s="398">
        <f t="shared" si="14"/>
        <v>13</v>
      </c>
      <c r="E47" s="398">
        <f t="shared" si="14"/>
        <v>13</v>
      </c>
      <c r="F47" s="398">
        <f t="shared" si="14"/>
        <v>13</v>
      </c>
      <c r="G47" s="398">
        <f t="shared" si="14"/>
        <v>13</v>
      </c>
      <c r="H47" s="398">
        <f t="shared" si="14"/>
        <v>13</v>
      </c>
      <c r="I47" s="398">
        <f t="shared" si="14"/>
        <v>13</v>
      </c>
      <c r="J47" s="398">
        <f t="shared" si="14"/>
        <v>13</v>
      </c>
      <c r="K47" s="398">
        <f t="shared" si="14"/>
        <v>13</v>
      </c>
      <c r="L47" s="398">
        <f t="shared" si="14"/>
        <v>13</v>
      </c>
      <c r="M47" s="398">
        <f t="shared" si="14"/>
        <v>12</v>
      </c>
      <c r="N47" s="398">
        <f t="shared" si="14"/>
        <v>155</v>
      </c>
      <c r="O47" s="398">
        <f t="shared" si="14"/>
        <v>12.916666666666666</v>
      </c>
    </row>
    <row r="48" spans="1:16" x14ac:dyDescent="0.2">
      <c r="A48" s="343" t="s">
        <v>144</v>
      </c>
      <c r="B48" s="398">
        <f>B30</f>
        <v>12</v>
      </c>
      <c r="C48" s="398">
        <f t="shared" ref="C48:O48" si="15">C30</f>
        <v>12</v>
      </c>
      <c r="D48" s="398">
        <f t="shared" si="15"/>
        <v>12</v>
      </c>
      <c r="E48" s="398">
        <f t="shared" si="15"/>
        <v>12</v>
      </c>
      <c r="F48" s="398">
        <f t="shared" si="15"/>
        <v>12</v>
      </c>
      <c r="G48" s="398">
        <f t="shared" si="15"/>
        <v>12</v>
      </c>
      <c r="H48" s="398">
        <f t="shared" si="15"/>
        <v>12</v>
      </c>
      <c r="I48" s="398">
        <f t="shared" si="15"/>
        <v>12</v>
      </c>
      <c r="J48" s="398">
        <f t="shared" si="15"/>
        <v>12</v>
      </c>
      <c r="K48" s="398">
        <f t="shared" si="15"/>
        <v>12</v>
      </c>
      <c r="L48" s="398">
        <f t="shared" si="15"/>
        <v>12</v>
      </c>
      <c r="M48" s="398">
        <f t="shared" si="15"/>
        <v>12</v>
      </c>
      <c r="N48" s="398">
        <f t="shared" si="15"/>
        <v>144</v>
      </c>
      <c r="O48" s="398">
        <f t="shared" si="15"/>
        <v>12</v>
      </c>
    </row>
    <row r="49" spans="1:15" x14ac:dyDescent="0.2">
      <c r="A49" s="179" t="s">
        <v>1043</v>
      </c>
      <c r="B49" s="430">
        <f>SUM(B38:B48)</f>
        <v>750114</v>
      </c>
      <c r="C49" s="430">
        <f t="shared" ref="C49:O49" si="16">SUM(C38:C48)</f>
        <v>750882</v>
      </c>
      <c r="D49" s="430">
        <f t="shared" si="16"/>
        <v>751257</v>
      </c>
      <c r="E49" s="430">
        <f t="shared" si="16"/>
        <v>751521</v>
      </c>
      <c r="F49" s="430">
        <f t="shared" si="16"/>
        <v>751045</v>
      </c>
      <c r="G49" s="430">
        <f t="shared" si="16"/>
        <v>750359</v>
      </c>
      <c r="H49" s="430">
        <f t="shared" si="16"/>
        <v>749584</v>
      </c>
      <c r="I49" s="430">
        <f t="shared" si="16"/>
        <v>748632</v>
      </c>
      <c r="J49" s="430">
        <f t="shared" si="16"/>
        <v>748893</v>
      </c>
      <c r="K49" s="430">
        <f t="shared" si="16"/>
        <v>750305</v>
      </c>
      <c r="L49" s="430">
        <f t="shared" si="16"/>
        <v>751996</v>
      </c>
      <c r="M49" s="430">
        <f t="shared" si="16"/>
        <v>753498</v>
      </c>
      <c r="N49" s="430">
        <f t="shared" si="16"/>
        <v>9008086</v>
      </c>
      <c r="O49" s="430">
        <f t="shared" si="16"/>
        <v>750673.83333333326</v>
      </c>
    </row>
    <row r="50" spans="1:15" x14ac:dyDescent="0.2">
      <c r="A50" s="179" t="s">
        <v>131</v>
      </c>
      <c r="B50" s="398">
        <f>B49-B34</f>
        <v>0</v>
      </c>
      <c r="C50" s="398">
        <f t="shared" ref="C50:O50" si="17">C49-C34</f>
        <v>0</v>
      </c>
      <c r="D50" s="398">
        <f t="shared" si="17"/>
        <v>0</v>
      </c>
      <c r="E50" s="398">
        <f t="shared" si="17"/>
        <v>0</v>
      </c>
      <c r="F50" s="398">
        <f t="shared" si="17"/>
        <v>0</v>
      </c>
      <c r="G50" s="398">
        <f t="shared" si="17"/>
        <v>0</v>
      </c>
      <c r="H50" s="398">
        <f t="shared" si="17"/>
        <v>0</v>
      </c>
      <c r="I50" s="398">
        <f t="shared" si="17"/>
        <v>0</v>
      </c>
      <c r="J50" s="398">
        <f t="shared" si="17"/>
        <v>0</v>
      </c>
      <c r="K50" s="398">
        <f t="shared" si="17"/>
        <v>0</v>
      </c>
      <c r="L50" s="398">
        <f t="shared" si="17"/>
        <v>0</v>
      </c>
      <c r="M50" s="398">
        <f t="shared" si="17"/>
        <v>0</v>
      </c>
      <c r="N50" s="398">
        <f>N49-N34</f>
        <v>0</v>
      </c>
      <c r="O50" s="398">
        <f t="shared" si="17"/>
        <v>0</v>
      </c>
    </row>
    <row r="51" spans="1:15" x14ac:dyDescent="0.2">
      <c r="B51" s="398"/>
      <c r="C51" s="398"/>
      <c r="D51" s="398"/>
      <c r="E51" s="398"/>
      <c r="F51" s="398"/>
      <c r="G51" s="398"/>
      <c r="H51" s="398"/>
      <c r="I51" s="398"/>
      <c r="J51" s="398"/>
      <c r="K51" s="398"/>
      <c r="L51" s="398"/>
      <c r="M51" s="398"/>
      <c r="N51" s="398"/>
      <c r="O51" s="398"/>
    </row>
    <row r="52" spans="1:15" x14ac:dyDescent="0.2">
      <c r="B52" s="279"/>
      <c r="C52" s="279"/>
      <c r="D52" s="279"/>
      <c r="E52" s="279"/>
      <c r="F52" s="279"/>
      <c r="G52" s="279"/>
      <c r="H52" s="279"/>
      <c r="I52" s="279"/>
      <c r="J52" s="279"/>
      <c r="K52" s="279"/>
      <c r="L52" s="279"/>
      <c r="M52" s="279"/>
      <c r="N52" s="279"/>
      <c r="O52" s="279"/>
    </row>
    <row r="56" spans="1:15" x14ac:dyDescent="0.2">
      <c r="A56" s="346" t="s">
        <v>1044</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1005"/>
  <sheetViews>
    <sheetView topLeftCell="A29" workbookViewId="0">
      <selection activeCell="C35" sqref="C35"/>
    </sheetView>
  </sheetViews>
  <sheetFormatPr defaultRowHeight="12.75" x14ac:dyDescent="0.2"/>
  <cols>
    <col min="1" max="1" width="7.5703125" style="32" bestFit="1" customWidth="1"/>
    <col min="2" max="2" width="1.42578125" style="32" customWidth="1"/>
    <col min="3" max="3" width="29.28515625" style="32" customWidth="1"/>
    <col min="4" max="4" width="12" style="32" customWidth="1"/>
    <col min="5" max="5" width="12.85546875" style="32" bestFit="1" customWidth="1"/>
    <col min="6" max="6" width="13.85546875" style="32" bestFit="1" customWidth="1"/>
    <col min="7" max="7" width="14.28515625" style="32" bestFit="1" customWidth="1"/>
    <col min="8" max="8" width="14" style="32" bestFit="1" customWidth="1"/>
    <col min="9" max="9" width="13.42578125" style="32" bestFit="1" customWidth="1"/>
    <col min="10" max="10" width="14.140625" style="32" bestFit="1" customWidth="1"/>
    <col min="11" max="11" width="14.85546875" style="32" bestFit="1" customWidth="1"/>
    <col min="12" max="12" width="13.5703125" style="32" bestFit="1" customWidth="1"/>
    <col min="13" max="13" width="13.42578125" style="32" customWidth="1"/>
    <col min="14" max="16" width="13.5703125" style="32" bestFit="1" customWidth="1"/>
    <col min="17" max="17" width="13.7109375" style="32" bestFit="1" customWidth="1"/>
    <col min="18" max="19" width="15" style="32" bestFit="1" customWidth="1"/>
    <col min="20" max="16384" width="9.140625" style="32"/>
  </cols>
  <sheetData>
    <row r="1" spans="1:18" x14ac:dyDescent="0.2">
      <c r="B1" s="385" t="str">
        <f>'JKP-3.1c - Revenue'!$B$1</f>
        <v>Puget Sound Energy</v>
      </c>
      <c r="C1" s="386"/>
      <c r="D1" s="387"/>
      <c r="E1" s="387"/>
      <c r="F1" s="387"/>
      <c r="G1" s="386"/>
      <c r="H1" s="386"/>
      <c r="I1" s="386"/>
      <c r="J1" s="386"/>
      <c r="K1" s="386"/>
      <c r="L1" s="386"/>
      <c r="M1" s="386"/>
      <c r="N1" s="386"/>
      <c r="O1" s="386"/>
      <c r="P1" s="386"/>
      <c r="Q1" s="386"/>
      <c r="R1" s="386"/>
    </row>
    <row r="2" spans="1:18" x14ac:dyDescent="0.2">
      <c r="B2" s="385" t="str">
        <f>'JKP-3.1c - Revenue'!$B$2</f>
        <v>2011 General Rate Case - Gas</v>
      </c>
      <c r="C2" s="386"/>
      <c r="D2" s="386"/>
      <c r="E2" s="386"/>
      <c r="F2" s="388"/>
      <c r="G2" s="386"/>
      <c r="H2" s="386"/>
      <c r="I2" s="386"/>
      <c r="J2" s="386"/>
      <c r="K2" s="386"/>
      <c r="L2" s="386"/>
      <c r="M2" s="386"/>
      <c r="N2" s="386"/>
      <c r="O2" s="386"/>
      <c r="P2" s="386"/>
      <c r="Q2" s="386"/>
      <c r="R2" s="386"/>
    </row>
    <row r="3" spans="1:18" x14ac:dyDescent="0.2">
      <c r="B3" s="386" t="s">
        <v>1045</v>
      </c>
      <c r="C3" s="386"/>
      <c r="D3" s="386"/>
      <c r="E3" s="386"/>
      <c r="F3" s="389"/>
      <c r="G3" s="389"/>
      <c r="H3" s="388"/>
      <c r="I3" s="389"/>
      <c r="J3" s="389"/>
      <c r="K3" s="389"/>
      <c r="L3" s="389"/>
      <c r="M3" s="389"/>
      <c r="N3" s="389"/>
      <c r="O3" s="389"/>
      <c r="P3" s="389"/>
      <c r="Q3" s="389"/>
      <c r="R3" s="386"/>
    </row>
    <row r="4" spans="1:18"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1:18" s="336" customFormat="1" x14ac:dyDescent="0.2">
      <c r="B5" s="431"/>
      <c r="C5" s="387"/>
      <c r="D5" s="387"/>
      <c r="E5" s="387"/>
      <c r="F5" s="32"/>
      <c r="G5" s="32"/>
      <c r="H5" s="32"/>
      <c r="I5" s="32"/>
      <c r="J5" s="32"/>
      <c r="K5" s="32"/>
      <c r="L5" s="32"/>
      <c r="M5" s="32"/>
      <c r="N5" s="32"/>
      <c r="O5" s="32"/>
      <c r="P5" s="32"/>
      <c r="Q5" s="32"/>
      <c r="R5" s="276"/>
    </row>
    <row r="6" spans="1:18" x14ac:dyDescent="0.2">
      <c r="A6" s="432" t="s">
        <v>445</v>
      </c>
      <c r="B6" s="433" t="s">
        <v>3</v>
      </c>
      <c r="C6" s="433"/>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row>
    <row r="7" spans="1:18" x14ac:dyDescent="0.2">
      <c r="B7" s="276" t="s">
        <v>1046</v>
      </c>
      <c r="C7" s="276"/>
    </row>
    <row r="8" spans="1:18" s="336" customFormat="1" x14ac:dyDescent="0.2">
      <c r="B8" s="182" t="s">
        <v>5</v>
      </c>
      <c r="C8" s="182"/>
    </row>
    <row r="9" spans="1:18" s="336" customFormat="1" x14ac:dyDescent="0.2">
      <c r="B9" s="415" t="s">
        <v>1047</v>
      </c>
      <c r="C9" s="415"/>
      <c r="D9" s="415"/>
      <c r="E9" s="415"/>
    </row>
    <row r="10" spans="1:18" s="336" customFormat="1" x14ac:dyDescent="0.2">
      <c r="B10" s="415"/>
      <c r="C10" s="415" t="s">
        <v>865</v>
      </c>
      <c r="D10" s="415">
        <v>16</v>
      </c>
      <c r="E10" s="32" t="s">
        <v>1048</v>
      </c>
      <c r="F10" s="434">
        <v>14.48</v>
      </c>
      <c r="G10" s="434">
        <v>14.48</v>
      </c>
      <c r="H10" s="434">
        <v>14.48</v>
      </c>
      <c r="I10" s="434">
        <v>14.73</v>
      </c>
      <c r="J10" s="434">
        <v>14.73</v>
      </c>
      <c r="K10" s="434">
        <v>9.4499999999999993</v>
      </c>
      <c r="L10" s="434">
        <v>9.4499999999999993</v>
      </c>
      <c r="M10" s="434">
        <v>9.4499999999999993</v>
      </c>
      <c r="N10" s="434">
        <v>9.4499999999999993</v>
      </c>
      <c r="O10" s="434">
        <v>9.4499999999999993</v>
      </c>
      <c r="P10" s="434">
        <v>9.4499999999999993</v>
      </c>
      <c r="Q10" s="434">
        <v>9.4499999999999993</v>
      </c>
    </row>
    <row r="11" spans="1:18" s="336" customFormat="1" x14ac:dyDescent="0.2">
      <c r="B11" s="415"/>
      <c r="C11" s="415" t="s">
        <v>866</v>
      </c>
      <c r="D11" s="415">
        <v>16</v>
      </c>
      <c r="E11" s="32" t="s">
        <v>1048</v>
      </c>
      <c r="F11" s="434">
        <v>13.48</v>
      </c>
      <c r="G11" s="434">
        <v>13.48</v>
      </c>
      <c r="H11" s="434">
        <v>13.48</v>
      </c>
      <c r="I11" s="434">
        <v>13.71</v>
      </c>
      <c r="J11" s="434">
        <v>13.71</v>
      </c>
      <c r="K11" s="434">
        <v>9.4499999999999993</v>
      </c>
      <c r="L11" s="434">
        <v>9.4499999999999993</v>
      </c>
      <c r="M11" s="434">
        <v>9.4499999999999993</v>
      </c>
      <c r="N11" s="434">
        <v>9.4499999999999993</v>
      </c>
      <c r="O11" s="434">
        <v>9.4499999999999993</v>
      </c>
      <c r="P11" s="434">
        <v>9.4499999999999993</v>
      </c>
      <c r="Q11" s="434">
        <v>9.4499999999999993</v>
      </c>
    </row>
    <row r="12" spans="1:18" s="415" customFormat="1" x14ac:dyDescent="0.2">
      <c r="C12" s="415" t="s">
        <v>867</v>
      </c>
      <c r="D12" s="415">
        <v>16</v>
      </c>
      <c r="E12" s="32" t="s">
        <v>1048</v>
      </c>
      <c r="F12" s="434">
        <v>12.48</v>
      </c>
      <c r="G12" s="434">
        <v>12.48</v>
      </c>
      <c r="H12" s="434">
        <v>12.48</v>
      </c>
      <c r="I12" s="434">
        <v>12.69</v>
      </c>
      <c r="J12" s="434">
        <v>12.69</v>
      </c>
      <c r="K12" s="434">
        <v>9.4499999999999993</v>
      </c>
      <c r="L12" s="434">
        <v>9.4499999999999993</v>
      </c>
      <c r="M12" s="434">
        <v>9.4499999999999993</v>
      </c>
      <c r="N12" s="434">
        <v>9.4499999999999993</v>
      </c>
      <c r="O12" s="434">
        <v>9.4499999999999993</v>
      </c>
      <c r="P12" s="434">
        <v>9.4499999999999993</v>
      </c>
      <c r="Q12" s="434">
        <v>9.4499999999999993</v>
      </c>
      <c r="R12" s="435"/>
    </row>
    <row r="13" spans="1:18" s="415" customFormat="1" x14ac:dyDescent="0.2">
      <c r="B13" s="415" t="s">
        <v>1049</v>
      </c>
      <c r="D13" s="32">
        <v>101</v>
      </c>
      <c r="E13" s="32" t="s">
        <v>1048</v>
      </c>
      <c r="F13" s="434">
        <v>14.3</v>
      </c>
      <c r="G13" s="434">
        <v>14.3</v>
      </c>
      <c r="H13" s="434">
        <v>14.3</v>
      </c>
      <c r="I13" s="434">
        <v>14.3</v>
      </c>
      <c r="J13" s="434">
        <v>14.3</v>
      </c>
      <c r="K13" s="434">
        <v>14.3</v>
      </c>
      <c r="L13" s="434">
        <v>14.3</v>
      </c>
      <c r="M13" s="434">
        <v>14.3</v>
      </c>
      <c r="N13" s="434">
        <v>14.3</v>
      </c>
      <c r="O13" s="434">
        <v>14.3</v>
      </c>
      <c r="P13" s="434">
        <v>13.67</v>
      </c>
      <c r="Q13" s="434">
        <v>13.67</v>
      </c>
      <c r="R13" s="435"/>
    </row>
    <row r="14" spans="1:18" s="415" customFormat="1" x14ac:dyDescent="0.2">
      <c r="B14" s="415" t="s">
        <v>1050</v>
      </c>
      <c r="D14" s="32"/>
      <c r="E14" s="32"/>
      <c r="F14" s="434">
        <v>13.68</v>
      </c>
      <c r="G14" s="434">
        <v>13.68</v>
      </c>
      <c r="H14" s="434">
        <v>13.68</v>
      </c>
      <c r="I14" s="434">
        <v>13.68</v>
      </c>
      <c r="J14" s="434">
        <v>13.68</v>
      </c>
      <c r="K14" s="434">
        <v>13.68</v>
      </c>
      <c r="L14" s="434">
        <v>13.68</v>
      </c>
      <c r="M14" s="434">
        <v>13.68</v>
      </c>
      <c r="N14" s="434">
        <v>13.68</v>
      </c>
      <c r="O14" s="434">
        <v>13.68</v>
      </c>
      <c r="P14" s="434">
        <v>13.08</v>
      </c>
      <c r="Q14" s="434">
        <v>13.08</v>
      </c>
      <c r="R14" s="435"/>
    </row>
    <row r="15" spans="1:18" s="336" customFormat="1" x14ac:dyDescent="0.2"/>
    <row r="16" spans="1:18" s="336" customFormat="1" x14ac:dyDescent="0.2">
      <c r="B16" s="182" t="s">
        <v>982</v>
      </c>
    </row>
    <row r="17" spans="1:19" s="336" customFormat="1" x14ac:dyDescent="0.2">
      <c r="B17" s="415" t="s">
        <v>1047</v>
      </c>
    </row>
    <row r="18" spans="1:19" s="336" customFormat="1" x14ac:dyDescent="0.2">
      <c r="B18" s="415"/>
      <c r="C18" s="415" t="s">
        <v>865</v>
      </c>
      <c r="D18" s="415"/>
      <c r="E18" s="336" t="s">
        <v>9</v>
      </c>
      <c r="F18" s="421">
        <f>'JKP-3.1c - Data'!C119</f>
        <v>45</v>
      </c>
      <c r="G18" s="421">
        <f>'JKP-3.1c - Data'!D119</f>
        <v>45</v>
      </c>
      <c r="H18" s="421">
        <f>'JKP-3.1c - Data'!E119</f>
        <v>45</v>
      </c>
      <c r="I18" s="421">
        <f>'JKP-3.1c - Data'!F119</f>
        <v>45</v>
      </c>
      <c r="J18" s="421">
        <f>'JKP-3.1c - Data'!G119</f>
        <v>44.999999999999993</v>
      </c>
      <c r="K18" s="421">
        <f>'JKP-3.1c - Data'!H119</f>
        <v>45</v>
      </c>
      <c r="L18" s="421">
        <f>'JKP-3.1c - Data'!I119</f>
        <v>45</v>
      </c>
      <c r="M18" s="421">
        <f>'JKP-3.1c - Data'!J119</f>
        <v>45</v>
      </c>
      <c r="N18" s="421">
        <f>'JKP-3.1c - Data'!K119</f>
        <v>45</v>
      </c>
      <c r="O18" s="421">
        <f>'JKP-3.1c - Data'!L119</f>
        <v>45</v>
      </c>
      <c r="P18" s="421">
        <f>'JKP-3.1c - Data'!M119</f>
        <v>45</v>
      </c>
      <c r="Q18" s="421">
        <f>'JKP-3.1c - Data'!N119</f>
        <v>45</v>
      </c>
      <c r="R18" s="378">
        <f>SUM(F18:Q18)</f>
        <v>540</v>
      </c>
    </row>
    <row r="19" spans="1:19" s="336" customFormat="1" x14ac:dyDescent="0.2">
      <c r="B19" s="415"/>
      <c r="C19" s="415" t="s">
        <v>866</v>
      </c>
      <c r="D19" s="415"/>
      <c r="E19" s="336" t="s">
        <v>9</v>
      </c>
      <c r="F19" s="421">
        <f>'JKP-3.1c - Data'!C120</f>
        <v>7</v>
      </c>
      <c r="G19" s="421">
        <f>'JKP-3.1c - Data'!D120</f>
        <v>7</v>
      </c>
      <c r="H19" s="421">
        <f>'JKP-3.1c - Data'!E120</f>
        <v>7</v>
      </c>
      <c r="I19" s="421">
        <f>'JKP-3.1c - Data'!F120</f>
        <v>7</v>
      </c>
      <c r="J19" s="421">
        <f>'JKP-3.1c - Data'!G120</f>
        <v>7</v>
      </c>
      <c r="K19" s="421">
        <f>'JKP-3.1c - Data'!H120</f>
        <v>7</v>
      </c>
      <c r="L19" s="421">
        <f>'JKP-3.1c - Data'!I120</f>
        <v>7</v>
      </c>
      <c r="M19" s="421">
        <f>'JKP-3.1c - Data'!J120</f>
        <v>7</v>
      </c>
      <c r="N19" s="421">
        <f>'JKP-3.1c - Data'!K120</f>
        <v>7</v>
      </c>
      <c r="O19" s="421">
        <f>'JKP-3.1c - Data'!L120</f>
        <v>7</v>
      </c>
      <c r="P19" s="421">
        <f>'JKP-3.1c - Data'!M120</f>
        <v>7</v>
      </c>
      <c r="Q19" s="421">
        <f>'JKP-3.1c - Data'!N120</f>
        <v>7</v>
      </c>
      <c r="R19" s="378">
        <f>SUM(F19:Q19)</f>
        <v>84</v>
      </c>
    </row>
    <row r="20" spans="1:19" s="336" customFormat="1" x14ac:dyDescent="0.2">
      <c r="B20" s="415"/>
      <c r="C20" s="415" t="s">
        <v>867</v>
      </c>
      <c r="D20" s="415"/>
      <c r="E20" s="336" t="s">
        <v>9</v>
      </c>
      <c r="F20" s="421">
        <f>'JKP-3.1c - Data'!C121</f>
        <v>2</v>
      </c>
      <c r="G20" s="421">
        <f>'JKP-3.1c - Data'!D121</f>
        <v>2</v>
      </c>
      <c r="H20" s="421">
        <f>'JKP-3.1c - Data'!E121</f>
        <v>2</v>
      </c>
      <c r="I20" s="421">
        <f>'JKP-3.1c - Data'!F121</f>
        <v>2</v>
      </c>
      <c r="J20" s="421">
        <f>'JKP-3.1c - Data'!G121</f>
        <v>2</v>
      </c>
      <c r="K20" s="421">
        <f>'JKP-3.1c - Data'!H121</f>
        <v>2</v>
      </c>
      <c r="L20" s="421">
        <f>'JKP-3.1c - Data'!I121</f>
        <v>1</v>
      </c>
      <c r="M20" s="421">
        <f>'JKP-3.1c - Data'!J121</f>
        <v>1</v>
      </c>
      <c r="N20" s="421">
        <f>'JKP-3.1c - Data'!K121</f>
        <v>1</v>
      </c>
      <c r="O20" s="421">
        <f>'JKP-3.1c - Data'!L121</f>
        <v>1</v>
      </c>
      <c r="P20" s="421">
        <f>'JKP-3.1c - Data'!M121</f>
        <v>1</v>
      </c>
      <c r="Q20" s="421">
        <f>'JKP-3.1c - Data'!N121</f>
        <v>1</v>
      </c>
      <c r="R20" s="378">
        <f>SUM(F20:Q20)</f>
        <v>18</v>
      </c>
    </row>
    <row r="21" spans="1:19" s="336" customFormat="1" x14ac:dyDescent="0.2">
      <c r="B21" s="415"/>
      <c r="C21" s="336" t="s">
        <v>1051</v>
      </c>
      <c r="D21" s="415"/>
      <c r="F21" s="436">
        <f>SUM(F18:F20)</f>
        <v>54</v>
      </c>
      <c r="G21" s="436">
        <f t="shared" ref="G21:Q21" si="0">SUM(G18:G20)</f>
        <v>54</v>
      </c>
      <c r="H21" s="436">
        <f t="shared" si="0"/>
        <v>54</v>
      </c>
      <c r="I21" s="436">
        <f t="shared" si="0"/>
        <v>54</v>
      </c>
      <c r="J21" s="436">
        <f t="shared" si="0"/>
        <v>53.999999999999993</v>
      </c>
      <c r="K21" s="436">
        <f t="shared" si="0"/>
        <v>54</v>
      </c>
      <c r="L21" s="436">
        <f t="shared" si="0"/>
        <v>53</v>
      </c>
      <c r="M21" s="436">
        <f t="shared" si="0"/>
        <v>53</v>
      </c>
      <c r="N21" s="436">
        <f t="shared" si="0"/>
        <v>53</v>
      </c>
      <c r="O21" s="436">
        <f t="shared" si="0"/>
        <v>53</v>
      </c>
      <c r="P21" s="436">
        <f t="shared" si="0"/>
        <v>53</v>
      </c>
      <c r="Q21" s="436">
        <f t="shared" si="0"/>
        <v>53</v>
      </c>
      <c r="R21" s="378"/>
    </row>
    <row r="22" spans="1:19" s="336" customFormat="1" x14ac:dyDescent="0.2">
      <c r="B22" s="415" t="s">
        <v>1052</v>
      </c>
      <c r="E22" s="416">
        <v>19</v>
      </c>
      <c r="F22" s="380"/>
      <c r="G22" s="380"/>
      <c r="H22" s="380"/>
      <c r="I22" s="380"/>
      <c r="J22" s="380"/>
      <c r="K22" s="380"/>
      <c r="L22" s="380"/>
      <c r="M22" s="380"/>
      <c r="N22" s="380"/>
      <c r="O22" s="380"/>
      <c r="P22" s="380"/>
      <c r="Q22" s="380"/>
      <c r="R22" s="378"/>
    </row>
    <row r="23" spans="1:19" s="336" customFormat="1" x14ac:dyDescent="0.2">
      <c r="B23" s="415" t="s">
        <v>1053</v>
      </c>
      <c r="E23" s="416"/>
      <c r="F23" s="378">
        <f>F21*$E$22</f>
        <v>1026</v>
      </c>
      <c r="G23" s="378">
        <f t="shared" ref="G23:Q23" si="1">G21*$E$22</f>
        <v>1026</v>
      </c>
      <c r="H23" s="378">
        <f t="shared" si="1"/>
        <v>1026</v>
      </c>
      <c r="I23" s="378">
        <f t="shared" si="1"/>
        <v>1026</v>
      </c>
      <c r="J23" s="378">
        <f t="shared" si="1"/>
        <v>1025.9999999999998</v>
      </c>
      <c r="K23" s="378">
        <f t="shared" si="1"/>
        <v>1026</v>
      </c>
      <c r="L23" s="378">
        <f t="shared" si="1"/>
        <v>1007</v>
      </c>
      <c r="M23" s="378">
        <f t="shared" si="1"/>
        <v>1007</v>
      </c>
      <c r="N23" s="378">
        <f t="shared" si="1"/>
        <v>1007</v>
      </c>
      <c r="O23" s="378">
        <f t="shared" si="1"/>
        <v>1007</v>
      </c>
      <c r="P23" s="378">
        <f t="shared" si="1"/>
        <v>1007</v>
      </c>
      <c r="Q23" s="378">
        <f t="shared" si="1"/>
        <v>1007</v>
      </c>
      <c r="R23" s="378">
        <f>SUM(F23:Q23)</f>
        <v>12198</v>
      </c>
    </row>
    <row r="24" spans="1:19" s="336" customFormat="1" x14ac:dyDescent="0.2">
      <c r="R24" s="179"/>
    </row>
    <row r="25" spans="1:19" s="336" customFormat="1" x14ac:dyDescent="0.2">
      <c r="B25" s="182" t="s">
        <v>985</v>
      </c>
      <c r="R25" s="179"/>
    </row>
    <row r="26" spans="1:19" s="336" customFormat="1" x14ac:dyDescent="0.2">
      <c r="B26" s="415" t="s">
        <v>1047</v>
      </c>
      <c r="C26" s="415"/>
      <c r="D26" s="415"/>
      <c r="F26" s="418"/>
      <c r="R26" s="179"/>
    </row>
    <row r="27" spans="1:19" s="336" customFormat="1" x14ac:dyDescent="0.2">
      <c r="B27" s="415"/>
      <c r="C27" s="415" t="s">
        <v>865</v>
      </c>
      <c r="D27" s="415">
        <v>16</v>
      </c>
      <c r="F27" s="418">
        <f>F10*F18</f>
        <v>651.6</v>
      </c>
      <c r="G27" s="418">
        <f t="shared" ref="G27:Q27" si="2">G10*G18</f>
        <v>651.6</v>
      </c>
      <c r="H27" s="418">
        <f t="shared" si="2"/>
        <v>651.6</v>
      </c>
      <c r="I27" s="418">
        <f t="shared" si="2"/>
        <v>662.85</v>
      </c>
      <c r="J27" s="418">
        <f t="shared" si="2"/>
        <v>662.84999999999991</v>
      </c>
      <c r="K27" s="418">
        <f t="shared" si="2"/>
        <v>425.24999999999994</v>
      </c>
      <c r="L27" s="418">
        <f t="shared" si="2"/>
        <v>425.24999999999994</v>
      </c>
      <c r="M27" s="418">
        <f t="shared" si="2"/>
        <v>425.24999999999994</v>
      </c>
      <c r="N27" s="418">
        <f t="shared" si="2"/>
        <v>425.24999999999994</v>
      </c>
      <c r="O27" s="418">
        <f t="shared" si="2"/>
        <v>425.24999999999994</v>
      </c>
      <c r="P27" s="418">
        <f t="shared" si="2"/>
        <v>425.24999999999994</v>
      </c>
      <c r="Q27" s="418">
        <f t="shared" si="2"/>
        <v>425.24999999999994</v>
      </c>
      <c r="R27" s="437">
        <f>SUM(F27:Q27)</f>
        <v>6257.25</v>
      </c>
    </row>
    <row r="28" spans="1:19" s="336" customFormat="1" x14ac:dyDescent="0.2">
      <c r="B28" s="415"/>
      <c r="C28" s="415" t="s">
        <v>866</v>
      </c>
      <c r="D28" s="415">
        <v>16</v>
      </c>
      <c r="F28" s="418">
        <f t="shared" ref="F28:Q29" si="3">F11*F19</f>
        <v>94.36</v>
      </c>
      <c r="G28" s="418">
        <f t="shared" si="3"/>
        <v>94.36</v>
      </c>
      <c r="H28" s="418">
        <f t="shared" si="3"/>
        <v>94.36</v>
      </c>
      <c r="I28" s="418">
        <f t="shared" si="3"/>
        <v>95.97</v>
      </c>
      <c r="J28" s="418">
        <f t="shared" si="3"/>
        <v>95.97</v>
      </c>
      <c r="K28" s="418">
        <f t="shared" si="3"/>
        <v>66.149999999999991</v>
      </c>
      <c r="L28" s="418">
        <f t="shared" si="3"/>
        <v>66.149999999999991</v>
      </c>
      <c r="M28" s="418">
        <f t="shared" si="3"/>
        <v>66.149999999999991</v>
      </c>
      <c r="N28" s="418">
        <f t="shared" si="3"/>
        <v>66.149999999999991</v>
      </c>
      <c r="O28" s="418">
        <f t="shared" si="3"/>
        <v>66.149999999999991</v>
      </c>
      <c r="P28" s="418">
        <f t="shared" si="3"/>
        <v>66.149999999999991</v>
      </c>
      <c r="Q28" s="418">
        <f t="shared" si="3"/>
        <v>66.149999999999991</v>
      </c>
      <c r="R28" s="437">
        <f>SUM(F28:Q28)</f>
        <v>938.06999999999982</v>
      </c>
    </row>
    <row r="29" spans="1:19" s="336" customFormat="1" x14ac:dyDescent="0.2">
      <c r="B29" s="415"/>
      <c r="C29" s="415" t="s">
        <v>867</v>
      </c>
      <c r="D29" s="415">
        <v>16</v>
      </c>
      <c r="F29" s="418">
        <f t="shared" si="3"/>
        <v>24.96</v>
      </c>
      <c r="G29" s="418">
        <f t="shared" si="3"/>
        <v>24.96</v>
      </c>
      <c r="H29" s="418">
        <f t="shared" si="3"/>
        <v>24.96</v>
      </c>
      <c r="I29" s="418">
        <f t="shared" si="3"/>
        <v>25.38</v>
      </c>
      <c r="J29" s="418">
        <f t="shared" si="3"/>
        <v>25.38</v>
      </c>
      <c r="K29" s="418">
        <f t="shared" si="3"/>
        <v>18.899999999999999</v>
      </c>
      <c r="L29" s="418">
        <f t="shared" si="3"/>
        <v>9.4499999999999993</v>
      </c>
      <c r="M29" s="418">
        <f t="shared" si="3"/>
        <v>9.4499999999999993</v>
      </c>
      <c r="N29" s="418">
        <f t="shared" si="3"/>
        <v>9.4499999999999993</v>
      </c>
      <c r="O29" s="418">
        <f t="shared" si="3"/>
        <v>9.4499999999999993</v>
      </c>
      <c r="P29" s="418">
        <f t="shared" si="3"/>
        <v>9.4499999999999993</v>
      </c>
      <c r="Q29" s="418">
        <f t="shared" si="3"/>
        <v>9.4499999999999993</v>
      </c>
      <c r="R29" s="437">
        <f>SUM(F29:Q29)</f>
        <v>201.23999999999992</v>
      </c>
    </row>
    <row r="30" spans="1:19" s="336" customFormat="1" x14ac:dyDescent="0.2">
      <c r="A30" s="336" t="s">
        <v>1054</v>
      </c>
      <c r="B30" s="415"/>
      <c r="C30" s="415" t="s">
        <v>1055</v>
      </c>
      <c r="D30" s="415"/>
      <c r="F30" s="339">
        <f t="shared" ref="F30:Q30" si="4">SUM(F27:F29)</f>
        <v>770.92000000000007</v>
      </c>
      <c r="G30" s="339">
        <f t="shared" si="4"/>
        <v>770.92000000000007</v>
      </c>
      <c r="H30" s="339">
        <f t="shared" si="4"/>
        <v>770.92000000000007</v>
      </c>
      <c r="I30" s="339">
        <f t="shared" si="4"/>
        <v>784.2</v>
      </c>
      <c r="J30" s="339">
        <f t="shared" si="4"/>
        <v>784.19999999999993</v>
      </c>
      <c r="K30" s="339">
        <f t="shared" si="4"/>
        <v>510.2999999999999</v>
      </c>
      <c r="L30" s="339">
        <f t="shared" si="4"/>
        <v>500.84999999999991</v>
      </c>
      <c r="M30" s="339">
        <f t="shared" si="4"/>
        <v>500.84999999999991</v>
      </c>
      <c r="N30" s="339">
        <f t="shared" si="4"/>
        <v>500.84999999999991</v>
      </c>
      <c r="O30" s="339">
        <f t="shared" si="4"/>
        <v>500.84999999999991</v>
      </c>
      <c r="P30" s="339">
        <f t="shared" si="4"/>
        <v>500.84999999999991</v>
      </c>
      <c r="Q30" s="339">
        <f t="shared" si="4"/>
        <v>500.84999999999991</v>
      </c>
      <c r="R30" s="339">
        <f>SUM(R27:R29)</f>
        <v>7396.5599999999995</v>
      </c>
    </row>
    <row r="31" spans="1:19" s="336" customFormat="1" x14ac:dyDescent="0.2">
      <c r="A31" s="336" t="s">
        <v>1056</v>
      </c>
      <c r="B31" s="415" t="s">
        <v>1057</v>
      </c>
      <c r="D31" s="32">
        <v>101</v>
      </c>
      <c r="F31" s="340">
        <f>F13*F21</f>
        <v>772.2</v>
      </c>
      <c r="G31" s="340">
        <f t="shared" ref="G31:Q31" si="5">G13*G21</f>
        <v>772.2</v>
      </c>
      <c r="H31" s="340">
        <f t="shared" si="5"/>
        <v>772.2</v>
      </c>
      <c r="I31" s="340">
        <f t="shared" si="5"/>
        <v>772.2</v>
      </c>
      <c r="J31" s="340">
        <f t="shared" si="5"/>
        <v>772.19999999999993</v>
      </c>
      <c r="K31" s="340">
        <f t="shared" si="5"/>
        <v>772.2</v>
      </c>
      <c r="L31" s="340">
        <f t="shared" si="5"/>
        <v>757.90000000000009</v>
      </c>
      <c r="M31" s="340">
        <f t="shared" si="5"/>
        <v>757.90000000000009</v>
      </c>
      <c r="N31" s="340">
        <f t="shared" si="5"/>
        <v>757.90000000000009</v>
      </c>
      <c r="O31" s="340">
        <f t="shared" si="5"/>
        <v>757.90000000000009</v>
      </c>
      <c r="P31" s="340">
        <f t="shared" si="5"/>
        <v>724.51</v>
      </c>
      <c r="Q31" s="340">
        <f t="shared" si="5"/>
        <v>724.51</v>
      </c>
      <c r="R31" s="437">
        <f>SUM(F31:Q31)</f>
        <v>9113.82</v>
      </c>
      <c r="S31" s="415"/>
    </row>
    <row r="32" spans="1:19" s="336" customFormat="1" x14ac:dyDescent="0.2">
      <c r="B32" s="32" t="s">
        <v>986</v>
      </c>
      <c r="F32" s="339">
        <f>F30+F31</f>
        <v>1543.1200000000001</v>
      </c>
      <c r="G32" s="339">
        <f t="shared" ref="G32:Q32" si="6">G30+G31</f>
        <v>1543.1200000000001</v>
      </c>
      <c r="H32" s="339">
        <f t="shared" si="6"/>
        <v>1543.1200000000001</v>
      </c>
      <c r="I32" s="339">
        <f t="shared" si="6"/>
        <v>1556.4</v>
      </c>
      <c r="J32" s="339">
        <f t="shared" si="6"/>
        <v>1556.3999999999999</v>
      </c>
      <c r="K32" s="339">
        <f t="shared" si="6"/>
        <v>1282.5</v>
      </c>
      <c r="L32" s="339">
        <f t="shared" si="6"/>
        <v>1258.75</v>
      </c>
      <c r="M32" s="339">
        <f t="shared" si="6"/>
        <v>1258.75</v>
      </c>
      <c r="N32" s="339">
        <f t="shared" si="6"/>
        <v>1258.75</v>
      </c>
      <c r="O32" s="339">
        <f t="shared" si="6"/>
        <v>1258.75</v>
      </c>
      <c r="P32" s="339">
        <f t="shared" si="6"/>
        <v>1225.3599999999999</v>
      </c>
      <c r="Q32" s="339">
        <f t="shared" si="6"/>
        <v>1225.3599999999999</v>
      </c>
      <c r="R32" s="339">
        <f>R30+R31</f>
        <v>16510.379999999997</v>
      </c>
    </row>
    <row r="33" spans="1:18" x14ac:dyDescent="0.2">
      <c r="D33" s="391"/>
      <c r="E33" s="391"/>
      <c r="F33" s="392"/>
      <c r="G33" s="392"/>
      <c r="H33" s="392"/>
      <c r="I33" s="392"/>
      <c r="J33" s="392"/>
      <c r="K33" s="392"/>
      <c r="L33" s="392"/>
      <c r="M33" s="392"/>
      <c r="N33" s="392"/>
      <c r="O33" s="392"/>
      <c r="P33" s="392"/>
      <c r="Q33" s="392"/>
      <c r="R33" s="391"/>
    </row>
    <row r="34" spans="1:18" x14ac:dyDescent="0.2">
      <c r="A34" s="32" t="s">
        <v>1058</v>
      </c>
      <c r="B34" s="32" t="s">
        <v>1050</v>
      </c>
      <c r="D34" s="391"/>
      <c r="E34" s="391"/>
      <c r="F34" s="340">
        <f>F21*F14</f>
        <v>738.72</v>
      </c>
      <c r="G34" s="340">
        <f t="shared" ref="G34:Q34" si="7">G21*G14</f>
        <v>738.72</v>
      </c>
      <c r="H34" s="340">
        <f t="shared" si="7"/>
        <v>738.72</v>
      </c>
      <c r="I34" s="340">
        <f t="shared" si="7"/>
        <v>738.72</v>
      </c>
      <c r="J34" s="340">
        <f t="shared" si="7"/>
        <v>738.71999999999991</v>
      </c>
      <c r="K34" s="340">
        <f t="shared" si="7"/>
        <v>738.72</v>
      </c>
      <c r="L34" s="340">
        <f t="shared" si="7"/>
        <v>725.04</v>
      </c>
      <c r="M34" s="340">
        <f t="shared" si="7"/>
        <v>725.04</v>
      </c>
      <c r="N34" s="340">
        <f t="shared" si="7"/>
        <v>725.04</v>
      </c>
      <c r="O34" s="340">
        <f t="shared" si="7"/>
        <v>725.04</v>
      </c>
      <c r="P34" s="340">
        <f t="shared" si="7"/>
        <v>693.24</v>
      </c>
      <c r="Q34" s="340">
        <f t="shared" si="7"/>
        <v>693.24</v>
      </c>
      <c r="R34" s="438">
        <f>SUM(F34:Q34)</f>
        <v>8718.9599999999991</v>
      </c>
    </row>
    <row r="35" spans="1:18" x14ac:dyDescent="0.2">
      <c r="D35" s="391"/>
      <c r="E35" s="391"/>
      <c r="F35" s="392"/>
      <c r="G35" s="392"/>
      <c r="H35" s="392"/>
      <c r="I35" s="392"/>
      <c r="J35" s="392"/>
      <c r="K35" s="392"/>
      <c r="L35" s="392"/>
      <c r="M35" s="392"/>
      <c r="N35" s="392"/>
      <c r="O35" s="392"/>
      <c r="P35" s="392"/>
      <c r="Q35" s="392"/>
      <c r="R35" s="391"/>
    </row>
    <row r="36" spans="1:18" x14ac:dyDescent="0.2">
      <c r="B36" s="276" t="s">
        <v>953</v>
      </c>
      <c r="C36" s="276"/>
    </row>
    <row r="37" spans="1:18" x14ac:dyDescent="0.2">
      <c r="B37" s="276" t="s">
        <v>5</v>
      </c>
      <c r="C37" s="276"/>
    </row>
    <row r="38" spans="1:18" x14ac:dyDescent="0.2">
      <c r="B38" s="32" t="s">
        <v>1059</v>
      </c>
      <c r="D38" s="32">
        <v>23</v>
      </c>
      <c r="E38" s="32" t="s">
        <v>976</v>
      </c>
      <c r="F38" s="414">
        <v>10</v>
      </c>
      <c r="G38" s="414">
        <v>10</v>
      </c>
      <c r="H38" s="414">
        <v>10</v>
      </c>
      <c r="I38" s="414">
        <v>10</v>
      </c>
      <c r="J38" s="414">
        <v>10</v>
      </c>
      <c r="K38" s="414">
        <v>10</v>
      </c>
      <c r="L38" s="414">
        <v>10</v>
      </c>
      <c r="M38" s="414">
        <v>10</v>
      </c>
      <c r="N38" s="414">
        <v>10</v>
      </c>
      <c r="O38" s="414">
        <v>10</v>
      </c>
      <c r="P38" s="414">
        <v>10</v>
      </c>
      <c r="Q38" s="414">
        <v>10</v>
      </c>
      <c r="R38" s="439"/>
    </row>
    <row r="39" spans="1:18" x14ac:dyDescent="0.2">
      <c r="B39" s="32" t="s">
        <v>1047</v>
      </c>
      <c r="D39" s="32">
        <v>23</v>
      </c>
      <c r="E39" s="32" t="s">
        <v>957</v>
      </c>
      <c r="F39" s="395">
        <v>0.33606000000000003</v>
      </c>
      <c r="G39" s="395">
        <v>0.33606000000000003</v>
      </c>
      <c r="H39" s="395">
        <v>0.33606000000000003</v>
      </c>
      <c r="I39" s="395">
        <v>0.34897</v>
      </c>
      <c r="J39" s="395">
        <v>0.34897</v>
      </c>
      <c r="K39" s="395">
        <v>0.34897</v>
      </c>
      <c r="L39" s="395">
        <v>0.34897</v>
      </c>
      <c r="M39" s="395">
        <v>0.34897</v>
      </c>
      <c r="N39" s="395">
        <v>0.34897</v>
      </c>
      <c r="O39" s="395">
        <v>0.34897</v>
      </c>
      <c r="P39" s="395">
        <v>0.34897</v>
      </c>
      <c r="Q39" s="395">
        <v>0.34897</v>
      </c>
      <c r="R39" s="394"/>
    </row>
    <row r="40" spans="1:18" x14ac:dyDescent="0.2">
      <c r="B40" s="32" t="s">
        <v>1049</v>
      </c>
      <c r="D40" s="32">
        <v>101</v>
      </c>
      <c r="E40" s="32" t="s">
        <v>957</v>
      </c>
      <c r="F40" s="395">
        <v>0.75283999999999995</v>
      </c>
      <c r="G40" s="395">
        <v>0.75283999999999995</v>
      </c>
      <c r="H40" s="395">
        <v>0.75283999999999995</v>
      </c>
      <c r="I40" s="395">
        <v>0.75283999999999995</v>
      </c>
      <c r="J40" s="395">
        <v>0.75283999999999995</v>
      </c>
      <c r="K40" s="395">
        <v>0.75283999999999995</v>
      </c>
      <c r="L40" s="395">
        <v>0.75283999999999995</v>
      </c>
      <c r="M40" s="395">
        <v>0.75283999999999995</v>
      </c>
      <c r="N40" s="395">
        <v>0.75283999999999995</v>
      </c>
      <c r="O40" s="395">
        <v>0.75283999999999995</v>
      </c>
      <c r="P40" s="395">
        <v>0.71972999999999998</v>
      </c>
      <c r="Q40" s="395">
        <v>0.71972999999999998</v>
      </c>
      <c r="R40" s="394"/>
    </row>
    <row r="41" spans="1:18" x14ac:dyDescent="0.2">
      <c r="B41" s="32" t="s">
        <v>1050</v>
      </c>
      <c r="F41" s="395">
        <v>0.72031999999999996</v>
      </c>
      <c r="G41" s="395">
        <v>0.72031999999999996</v>
      </c>
      <c r="H41" s="395">
        <v>0.72031999999999996</v>
      </c>
      <c r="I41" s="395">
        <v>0.72031999999999996</v>
      </c>
      <c r="J41" s="395">
        <v>0.72031999999999996</v>
      </c>
      <c r="K41" s="395">
        <v>0.72031999999999996</v>
      </c>
      <c r="L41" s="395">
        <v>0.72031999999999996</v>
      </c>
      <c r="M41" s="395">
        <v>0.72031999999999996</v>
      </c>
      <c r="N41" s="395">
        <v>0.72031999999999996</v>
      </c>
      <c r="O41" s="395">
        <v>0.72031999999999996</v>
      </c>
      <c r="P41" s="395">
        <v>0.68861000000000006</v>
      </c>
      <c r="Q41" s="395">
        <v>0.68861000000000006</v>
      </c>
    </row>
    <row r="43" spans="1:18" x14ac:dyDescent="0.2">
      <c r="B43" s="276" t="s">
        <v>982</v>
      </c>
    </row>
    <row r="44" spans="1:18" x14ac:dyDescent="0.2">
      <c r="B44" s="32" t="s">
        <v>67</v>
      </c>
      <c r="E44" s="32" t="s">
        <v>67</v>
      </c>
      <c r="F44" s="397">
        <f>'JKP-3.1c - Data'!C138</f>
        <v>699965</v>
      </c>
      <c r="G44" s="397">
        <f>'JKP-3.1c - Data'!D138</f>
        <v>701215</v>
      </c>
      <c r="H44" s="397">
        <f>'JKP-3.1c - Data'!E138</f>
        <v>702257</v>
      </c>
      <c r="I44" s="397">
        <f>'JKP-3.1c - Data'!F138</f>
        <v>702573</v>
      </c>
      <c r="J44" s="397">
        <f>'JKP-3.1c - Data'!G138</f>
        <v>703246</v>
      </c>
      <c r="K44" s="397">
        <f>'JKP-3.1c - Data'!H138</f>
        <v>704366</v>
      </c>
      <c r="L44" s="397">
        <f>'JKP-3.1c - Data'!I138</f>
        <v>704758</v>
      </c>
      <c r="M44" s="397">
        <f>'JKP-3.1c - Data'!J138</f>
        <v>703964</v>
      </c>
      <c r="N44" s="397">
        <f>'JKP-3.1c - Data'!K138</f>
        <v>705153</v>
      </c>
      <c r="O44" s="397">
        <f>'JKP-3.1c - Data'!L138</f>
        <v>704137</v>
      </c>
      <c r="P44" s="397">
        <f>'JKP-3.1c - Data'!M138</f>
        <v>704666</v>
      </c>
      <c r="Q44" s="397">
        <f>'JKP-3.1c - Data'!N138</f>
        <v>705036</v>
      </c>
      <c r="R44" s="398">
        <f>SUM(F44:Q44)</f>
        <v>8441336</v>
      </c>
    </row>
    <row r="45" spans="1:18" x14ac:dyDescent="0.2">
      <c r="B45" s="32" t="s">
        <v>76</v>
      </c>
      <c r="E45" s="32" t="s">
        <v>10</v>
      </c>
      <c r="F45" s="397">
        <f>'JKP-3.1c - Therms Data'!E62</f>
        <v>71187692</v>
      </c>
      <c r="G45" s="397">
        <f>'JKP-3.1c - Therms Data'!F62</f>
        <v>58357925</v>
      </c>
      <c r="H45" s="397">
        <f>'JKP-3.1c - Therms Data'!G62</f>
        <v>59215201</v>
      </c>
      <c r="I45" s="397">
        <f>'JKP-3.1c - Therms Data'!H62</f>
        <v>46508498</v>
      </c>
      <c r="J45" s="397">
        <f>'JKP-3.1c - Therms Data'!I62</f>
        <v>33382131</v>
      </c>
      <c r="K45" s="397">
        <f>'JKP-3.1c - Therms Data'!J62</f>
        <v>21957138</v>
      </c>
      <c r="L45" s="397">
        <f>'JKP-3.1c - Therms Data'!K62</f>
        <v>15080375</v>
      </c>
      <c r="M45" s="397">
        <f>'JKP-3.1c - Therms Data'!L62</f>
        <v>14189236</v>
      </c>
      <c r="N45" s="397">
        <f>'JKP-3.1c - Therms Data'!M62</f>
        <v>18121975</v>
      </c>
      <c r="O45" s="397">
        <f>'JKP-3.1c - Therms Data'!N62</f>
        <v>36524174</v>
      </c>
      <c r="P45" s="397">
        <f>'JKP-3.1c - Therms Data'!O62</f>
        <v>67472591</v>
      </c>
      <c r="Q45" s="397">
        <f>'JKP-3.1c - Therms Data'!P62</f>
        <v>84734325</v>
      </c>
      <c r="R45" s="398">
        <f>SUM(F45:Q45)</f>
        <v>526731261</v>
      </c>
    </row>
    <row r="46" spans="1:18" x14ac:dyDescent="0.2">
      <c r="R46" s="277"/>
    </row>
    <row r="47" spans="1:18" x14ac:dyDescent="0.2">
      <c r="B47" s="276" t="s">
        <v>985</v>
      </c>
      <c r="R47" s="277"/>
    </row>
    <row r="48" spans="1:18" x14ac:dyDescent="0.2">
      <c r="A48" s="32" t="s">
        <v>1054</v>
      </c>
      <c r="B48" s="32" t="s">
        <v>1059</v>
      </c>
      <c r="D48" s="32">
        <v>23</v>
      </c>
      <c r="F48" s="364">
        <f t="shared" ref="F48:Q49" si="8">ROUND(F38*F44,0)</f>
        <v>6999650</v>
      </c>
      <c r="G48" s="364">
        <f t="shared" si="8"/>
        <v>7012150</v>
      </c>
      <c r="H48" s="364">
        <f t="shared" si="8"/>
        <v>7022570</v>
      </c>
      <c r="I48" s="364">
        <f t="shared" si="8"/>
        <v>7025730</v>
      </c>
      <c r="J48" s="364">
        <f t="shared" si="8"/>
        <v>7032460</v>
      </c>
      <c r="K48" s="364">
        <f t="shared" si="8"/>
        <v>7043660</v>
      </c>
      <c r="L48" s="364">
        <f t="shared" si="8"/>
        <v>7047580</v>
      </c>
      <c r="M48" s="364">
        <f t="shared" si="8"/>
        <v>7039640</v>
      </c>
      <c r="N48" s="364">
        <f t="shared" si="8"/>
        <v>7051530</v>
      </c>
      <c r="O48" s="364">
        <f t="shared" si="8"/>
        <v>7041370</v>
      </c>
      <c r="P48" s="364">
        <f t="shared" si="8"/>
        <v>7046660</v>
      </c>
      <c r="Q48" s="364">
        <f t="shared" si="8"/>
        <v>7050360</v>
      </c>
      <c r="R48" s="341">
        <f>SUM(F48:Q48)</f>
        <v>84413360</v>
      </c>
    </row>
    <row r="49" spans="1:18" x14ac:dyDescent="0.2">
      <c r="A49" s="32" t="s">
        <v>1054</v>
      </c>
      <c r="B49" s="32" t="s">
        <v>1047</v>
      </c>
      <c r="D49" s="32">
        <v>23</v>
      </c>
      <c r="F49" s="364">
        <f t="shared" si="8"/>
        <v>23923336</v>
      </c>
      <c r="G49" s="364">
        <f t="shared" si="8"/>
        <v>19611764</v>
      </c>
      <c r="H49" s="364">
        <f t="shared" si="8"/>
        <v>19899860</v>
      </c>
      <c r="I49" s="364">
        <f t="shared" si="8"/>
        <v>16230071</v>
      </c>
      <c r="J49" s="364">
        <f t="shared" si="8"/>
        <v>11649362</v>
      </c>
      <c r="K49" s="364">
        <f t="shared" si="8"/>
        <v>7662382</v>
      </c>
      <c r="L49" s="364">
        <f t="shared" si="8"/>
        <v>5262598</v>
      </c>
      <c r="M49" s="364">
        <f t="shared" si="8"/>
        <v>4951618</v>
      </c>
      <c r="N49" s="364">
        <f t="shared" si="8"/>
        <v>6324026</v>
      </c>
      <c r="O49" s="364">
        <f t="shared" si="8"/>
        <v>12745841</v>
      </c>
      <c r="P49" s="364">
        <f t="shared" si="8"/>
        <v>23545910</v>
      </c>
      <c r="Q49" s="364">
        <f t="shared" si="8"/>
        <v>29569737</v>
      </c>
      <c r="R49" s="341">
        <f>SUM(F49:Q49)</f>
        <v>181376505</v>
      </c>
    </row>
    <row r="50" spans="1:18" x14ac:dyDescent="0.2">
      <c r="A50" s="336" t="s">
        <v>1056</v>
      </c>
      <c r="B50" s="32" t="s">
        <v>1057</v>
      </c>
      <c r="D50" s="32">
        <v>101</v>
      </c>
      <c r="F50" s="364">
        <f t="shared" ref="F50:N50" si="9">ROUND(F40*F45,0)</f>
        <v>53592942</v>
      </c>
      <c r="G50" s="364">
        <f t="shared" si="9"/>
        <v>43934180</v>
      </c>
      <c r="H50" s="364">
        <f t="shared" si="9"/>
        <v>44579572</v>
      </c>
      <c r="I50" s="364">
        <f t="shared" si="9"/>
        <v>35013458</v>
      </c>
      <c r="J50" s="364">
        <f t="shared" si="9"/>
        <v>25131404</v>
      </c>
      <c r="K50" s="364">
        <f t="shared" si="9"/>
        <v>16530212</v>
      </c>
      <c r="L50" s="364">
        <f t="shared" si="9"/>
        <v>11353110</v>
      </c>
      <c r="M50" s="418">
        <f t="shared" si="9"/>
        <v>10682224</v>
      </c>
      <c r="N50" s="364">
        <f t="shared" si="9"/>
        <v>13642948</v>
      </c>
      <c r="O50" s="364">
        <f>ROUND(O40*O45,0)</f>
        <v>27496859</v>
      </c>
      <c r="P50" s="364">
        <f>ROUND(P40*P45,0)</f>
        <v>48562048</v>
      </c>
      <c r="Q50" s="364">
        <f>ROUND(Q40*Q45,0)</f>
        <v>60985836</v>
      </c>
      <c r="R50" s="341">
        <f>SUM(F50:Q50)</f>
        <v>391504793</v>
      </c>
    </row>
    <row r="51" spans="1:18" x14ac:dyDescent="0.2">
      <c r="B51" s="32" t="s">
        <v>986</v>
      </c>
      <c r="F51" s="365">
        <f t="shared" ref="F51:N51" si="10">SUM(F48:F50)</f>
        <v>84515928</v>
      </c>
      <c r="G51" s="365">
        <f t="shared" si="10"/>
        <v>70558094</v>
      </c>
      <c r="H51" s="365">
        <f t="shared" si="10"/>
        <v>71502002</v>
      </c>
      <c r="I51" s="365">
        <f t="shared" si="10"/>
        <v>58269259</v>
      </c>
      <c r="J51" s="365">
        <f t="shared" si="10"/>
        <v>43813226</v>
      </c>
      <c r="K51" s="365">
        <f t="shared" si="10"/>
        <v>31236254</v>
      </c>
      <c r="L51" s="365">
        <f t="shared" si="10"/>
        <v>23663288</v>
      </c>
      <c r="M51" s="365">
        <f t="shared" si="10"/>
        <v>22673482</v>
      </c>
      <c r="N51" s="365">
        <f t="shared" si="10"/>
        <v>27018504</v>
      </c>
      <c r="O51" s="365">
        <f>SUM(O48:O50)</f>
        <v>47284070</v>
      </c>
      <c r="P51" s="365">
        <f>SUM(P48:P50)</f>
        <v>79154618</v>
      </c>
      <c r="Q51" s="365">
        <f>SUM(Q48:Q50)</f>
        <v>97605933</v>
      </c>
      <c r="R51" s="365">
        <f>SUM(R48:R50)</f>
        <v>657294658</v>
      </c>
    </row>
    <row r="53" spans="1:18" x14ac:dyDescent="0.2">
      <c r="A53" s="32" t="s">
        <v>1058</v>
      </c>
      <c r="B53" s="32" t="s">
        <v>1050</v>
      </c>
      <c r="F53" s="364">
        <f>F45*F41</f>
        <v>51277918.301440001</v>
      </c>
      <c r="G53" s="364">
        <f t="shared" ref="G53:Q53" si="11">G45*G41</f>
        <v>42036380.535999998</v>
      </c>
      <c r="H53" s="364">
        <f t="shared" si="11"/>
        <v>42653893.584320001</v>
      </c>
      <c r="I53" s="364">
        <f t="shared" si="11"/>
        <v>33501001.279359996</v>
      </c>
      <c r="J53" s="364">
        <f t="shared" si="11"/>
        <v>24045816.601919997</v>
      </c>
      <c r="K53" s="364">
        <f t="shared" si="11"/>
        <v>15816165.644159999</v>
      </c>
      <c r="L53" s="364">
        <f t="shared" si="11"/>
        <v>10862695.719999999</v>
      </c>
      <c r="M53" s="364">
        <f t="shared" si="11"/>
        <v>10220790.47552</v>
      </c>
      <c r="N53" s="364">
        <f t="shared" si="11"/>
        <v>13053621.032</v>
      </c>
      <c r="O53" s="364">
        <f t="shared" si="11"/>
        <v>26309093.01568</v>
      </c>
      <c r="P53" s="364">
        <f t="shared" si="11"/>
        <v>46462300.888510004</v>
      </c>
      <c r="Q53" s="364">
        <f t="shared" si="11"/>
        <v>58348903.538250007</v>
      </c>
      <c r="R53" s="364">
        <f>SUM(F53:Q53)</f>
        <v>374588580.61716002</v>
      </c>
    </row>
    <row r="55" spans="1:18" x14ac:dyDescent="0.2">
      <c r="B55" s="276" t="s">
        <v>1060</v>
      </c>
      <c r="C55" s="276"/>
    </row>
    <row r="56" spans="1:18" x14ac:dyDescent="0.2">
      <c r="B56" s="276" t="s">
        <v>5</v>
      </c>
      <c r="C56" s="276"/>
    </row>
    <row r="57" spans="1:18" x14ac:dyDescent="0.2">
      <c r="B57" s="32" t="s">
        <v>1059</v>
      </c>
      <c r="D57" s="32">
        <v>53</v>
      </c>
      <c r="E57" s="32" t="s">
        <v>976</v>
      </c>
      <c r="F57" s="414">
        <v>10</v>
      </c>
      <c r="G57" s="414">
        <v>10</v>
      </c>
      <c r="H57" s="414">
        <v>10</v>
      </c>
      <c r="I57" s="414">
        <v>10</v>
      </c>
      <c r="J57" s="414">
        <v>10</v>
      </c>
      <c r="K57" s="414">
        <v>10</v>
      </c>
      <c r="L57" s="414">
        <v>10</v>
      </c>
      <c r="M57" s="414">
        <v>10</v>
      </c>
      <c r="N57" s="414">
        <v>10</v>
      </c>
      <c r="O57" s="414">
        <v>10</v>
      </c>
      <c r="P57" s="414">
        <v>10</v>
      </c>
      <c r="Q57" s="414">
        <v>10</v>
      </c>
      <c r="R57" s="439"/>
    </row>
    <row r="58" spans="1:18" x14ac:dyDescent="0.2">
      <c r="B58" s="32" t="s">
        <v>1047</v>
      </c>
      <c r="D58" s="32">
        <v>53</v>
      </c>
      <c r="E58" s="32" t="s">
        <v>957</v>
      </c>
      <c r="F58" s="395">
        <v>0.33606000000000003</v>
      </c>
      <c r="G58" s="395">
        <v>0.33606000000000003</v>
      </c>
      <c r="H58" s="395">
        <v>0.33606000000000003</v>
      </c>
      <c r="I58" s="395">
        <v>0.34897</v>
      </c>
      <c r="J58" s="395">
        <v>0.34897</v>
      </c>
      <c r="K58" s="395">
        <v>0.34897</v>
      </c>
      <c r="L58" s="395">
        <v>0.34897</v>
      </c>
      <c r="M58" s="395">
        <v>0.34897</v>
      </c>
      <c r="N58" s="395">
        <v>0.34897</v>
      </c>
      <c r="O58" s="395">
        <v>0.34897</v>
      </c>
      <c r="P58" s="395">
        <v>0.34897</v>
      </c>
      <c r="Q58" s="395">
        <v>0.34897</v>
      </c>
      <c r="R58" s="394"/>
    </row>
    <row r="59" spans="1:18" s="336" customFormat="1" x14ac:dyDescent="0.2">
      <c r="B59" s="336" t="s">
        <v>1061</v>
      </c>
      <c r="D59" s="336">
        <v>101</v>
      </c>
      <c r="E59" s="336" t="s">
        <v>957</v>
      </c>
      <c r="F59" s="440">
        <v>3.3509099999999998</v>
      </c>
      <c r="G59" s="440">
        <v>3.8122799999999999</v>
      </c>
      <c r="H59" s="440">
        <v>3.8122799999999999</v>
      </c>
      <c r="I59" s="440">
        <v>3.8122799999999999</v>
      </c>
      <c r="J59" s="440">
        <v>4.0064099999999998</v>
      </c>
      <c r="K59" s="440">
        <v>4.0064099999999998</v>
      </c>
      <c r="L59" s="440">
        <v>4.0064099999999998</v>
      </c>
      <c r="M59" s="440">
        <v>4.0064099999999998</v>
      </c>
      <c r="N59" s="440">
        <v>4.0064099999999998</v>
      </c>
      <c r="O59" s="440">
        <v>4.0064099999999998</v>
      </c>
      <c r="P59" s="440">
        <v>4.0064099999999998</v>
      </c>
      <c r="Q59" s="440">
        <v>4.0064099999999998</v>
      </c>
      <c r="R59" s="441"/>
    </row>
    <row r="61" spans="1:18" x14ac:dyDescent="0.2">
      <c r="B61" s="276" t="s">
        <v>982</v>
      </c>
    </row>
    <row r="62" spans="1:18" x14ac:dyDescent="0.2">
      <c r="B62" s="32" t="s">
        <v>67</v>
      </c>
      <c r="E62" s="32" t="s">
        <v>67</v>
      </c>
      <c r="F62" s="397">
        <f>'JKP-3.1c - Data'!C145</f>
        <v>5</v>
      </c>
      <c r="G62" s="397">
        <f>'JKP-3.1c - Data'!D145</f>
        <v>5</v>
      </c>
      <c r="H62" s="397">
        <f>'JKP-3.1c - Data'!E145</f>
        <v>5</v>
      </c>
      <c r="I62" s="397">
        <f>'JKP-3.1c - Data'!F145</f>
        <v>5</v>
      </c>
      <c r="J62" s="397">
        <f>'JKP-3.1c - Data'!G145</f>
        <v>5</v>
      </c>
      <c r="K62" s="397">
        <f>'JKP-3.1c - Data'!H145</f>
        <v>5</v>
      </c>
      <c r="L62" s="397">
        <f>'JKP-3.1c - Data'!I145</f>
        <v>6</v>
      </c>
      <c r="M62" s="397">
        <f>'JKP-3.1c - Data'!J145</f>
        <v>6</v>
      </c>
      <c r="N62" s="397">
        <f>'JKP-3.1c - Data'!K145</f>
        <v>5</v>
      </c>
      <c r="O62" s="397">
        <f>'JKP-3.1c - Data'!L145</f>
        <v>5</v>
      </c>
      <c r="P62" s="397">
        <f>'JKP-3.1c - Data'!M145</f>
        <v>5</v>
      </c>
      <c r="Q62" s="397">
        <f>'JKP-3.1c - Data'!N145</f>
        <v>4</v>
      </c>
      <c r="R62" s="378">
        <f>SUM(F62:Q62)</f>
        <v>61</v>
      </c>
    </row>
    <row r="63" spans="1:18" x14ac:dyDescent="0.2">
      <c r="B63" s="32" t="s">
        <v>76</v>
      </c>
      <c r="E63" s="32" t="s">
        <v>10</v>
      </c>
      <c r="F63" s="397">
        <f>'JKP-3.1c - Therms Data'!E59</f>
        <v>205</v>
      </c>
      <c r="G63" s="397">
        <f>'JKP-3.1c - Therms Data'!F59</f>
        <v>216</v>
      </c>
      <c r="H63" s="397">
        <f>'JKP-3.1c - Therms Data'!G59</f>
        <v>301</v>
      </c>
      <c r="I63" s="397">
        <f>'JKP-3.1c - Therms Data'!H59</f>
        <v>219</v>
      </c>
      <c r="J63" s="397">
        <f>'JKP-3.1c - Therms Data'!I59</f>
        <v>145</v>
      </c>
      <c r="K63" s="397">
        <f>'JKP-3.1c - Therms Data'!J59</f>
        <v>107</v>
      </c>
      <c r="L63" s="397">
        <f>'JKP-3.1c - Therms Data'!K59</f>
        <v>89</v>
      </c>
      <c r="M63" s="397">
        <f>'JKP-3.1c - Therms Data'!L59</f>
        <v>86</v>
      </c>
      <c r="N63" s="397">
        <f>'JKP-3.1c - Therms Data'!M59</f>
        <v>84</v>
      </c>
      <c r="O63" s="397">
        <f>'JKP-3.1c - Therms Data'!N59</f>
        <v>160</v>
      </c>
      <c r="P63" s="397">
        <f>'JKP-3.1c - Therms Data'!O59</f>
        <v>222</v>
      </c>
      <c r="Q63" s="397">
        <f>'JKP-3.1c - Therms Data'!P59</f>
        <v>280</v>
      </c>
      <c r="R63" s="378">
        <f>SUM(F63:Q63)</f>
        <v>2114</v>
      </c>
    </row>
    <row r="64" spans="1:18" x14ac:dyDescent="0.2">
      <c r="R64" s="277"/>
    </row>
    <row r="65" spans="1:18" x14ac:dyDescent="0.2">
      <c r="B65" s="276" t="s">
        <v>985</v>
      </c>
      <c r="R65" s="277"/>
    </row>
    <row r="66" spans="1:18" x14ac:dyDescent="0.2">
      <c r="A66" s="32" t="s">
        <v>1054</v>
      </c>
      <c r="B66" s="32" t="s">
        <v>1059</v>
      </c>
      <c r="D66" s="32">
        <v>53</v>
      </c>
      <c r="F66" s="364">
        <f t="shared" ref="F66:Q67" si="12">F57*F62</f>
        <v>50</v>
      </c>
      <c r="G66" s="364">
        <f t="shared" si="12"/>
        <v>50</v>
      </c>
      <c r="H66" s="364">
        <f t="shared" si="12"/>
        <v>50</v>
      </c>
      <c r="I66" s="364">
        <f t="shared" si="12"/>
        <v>50</v>
      </c>
      <c r="J66" s="364">
        <f t="shared" si="12"/>
        <v>50</v>
      </c>
      <c r="K66" s="364">
        <f t="shared" si="12"/>
        <v>50</v>
      </c>
      <c r="L66" s="364">
        <f t="shared" si="12"/>
        <v>60</v>
      </c>
      <c r="M66" s="364">
        <f t="shared" si="12"/>
        <v>60</v>
      </c>
      <c r="N66" s="364">
        <f t="shared" si="12"/>
        <v>50</v>
      </c>
      <c r="O66" s="364">
        <f t="shared" si="12"/>
        <v>50</v>
      </c>
      <c r="P66" s="364">
        <f t="shared" si="12"/>
        <v>50</v>
      </c>
      <c r="Q66" s="364">
        <f t="shared" si="12"/>
        <v>40</v>
      </c>
      <c r="R66" s="341">
        <f>SUM(F66:Q66)</f>
        <v>610</v>
      </c>
    </row>
    <row r="67" spans="1:18" x14ac:dyDescent="0.2">
      <c r="A67" s="32" t="s">
        <v>1054</v>
      </c>
      <c r="B67" s="32" t="s">
        <v>1047</v>
      </c>
      <c r="D67" s="32">
        <v>53</v>
      </c>
      <c r="F67" s="364">
        <f t="shared" si="12"/>
        <v>68.892300000000006</v>
      </c>
      <c r="G67" s="364">
        <f t="shared" si="12"/>
        <v>72.58896</v>
      </c>
      <c r="H67" s="364">
        <f t="shared" si="12"/>
        <v>101.15406</v>
      </c>
      <c r="I67" s="364">
        <f t="shared" si="12"/>
        <v>76.424430000000001</v>
      </c>
      <c r="J67" s="364">
        <f t="shared" si="12"/>
        <v>50.600650000000002</v>
      </c>
      <c r="K67" s="364">
        <f t="shared" si="12"/>
        <v>37.339790000000001</v>
      </c>
      <c r="L67" s="364">
        <f t="shared" si="12"/>
        <v>31.058330000000002</v>
      </c>
      <c r="M67" s="364">
        <f t="shared" si="12"/>
        <v>30.011420000000001</v>
      </c>
      <c r="N67" s="364">
        <f t="shared" si="12"/>
        <v>29.313479999999998</v>
      </c>
      <c r="O67" s="364">
        <f t="shared" si="12"/>
        <v>55.8352</v>
      </c>
      <c r="P67" s="364">
        <f t="shared" si="12"/>
        <v>77.471339999999998</v>
      </c>
      <c r="Q67" s="364">
        <f t="shared" si="12"/>
        <v>97.711600000000004</v>
      </c>
      <c r="R67" s="341">
        <f>SUM(F67:Q67)</f>
        <v>728.4015599999999</v>
      </c>
    </row>
    <row r="68" spans="1:18" x14ac:dyDescent="0.2">
      <c r="A68" s="32" t="s">
        <v>1056</v>
      </c>
      <c r="B68" s="32" t="s">
        <v>1061</v>
      </c>
      <c r="D68" s="32">
        <v>101</v>
      </c>
      <c r="F68" s="364">
        <f t="shared" ref="F68:N68" si="13">F59*F63</f>
        <v>686.93655000000001</v>
      </c>
      <c r="G68" s="364">
        <f t="shared" si="13"/>
        <v>823.45247999999992</v>
      </c>
      <c r="H68" s="364">
        <f t="shared" si="13"/>
        <v>1147.4962800000001</v>
      </c>
      <c r="I68" s="364">
        <f>I59*I63</f>
        <v>834.88932</v>
      </c>
      <c r="J68" s="364">
        <f>J59*J63</f>
        <v>580.92944999999997</v>
      </c>
      <c r="K68" s="364">
        <f t="shared" si="13"/>
        <v>428.68586999999997</v>
      </c>
      <c r="L68" s="364">
        <f t="shared" si="13"/>
        <v>356.57049000000001</v>
      </c>
      <c r="M68" s="418">
        <f t="shared" si="13"/>
        <v>344.55125999999996</v>
      </c>
      <c r="N68" s="364">
        <f t="shared" si="13"/>
        <v>336.53843999999998</v>
      </c>
      <c r="O68" s="364">
        <f>O59*O63</f>
        <v>641.02559999999994</v>
      </c>
      <c r="P68" s="364">
        <f>P59*P63</f>
        <v>889.42301999999995</v>
      </c>
      <c r="Q68" s="364">
        <f>Q59*Q63</f>
        <v>1121.7947999999999</v>
      </c>
      <c r="R68" s="341">
        <f>SUM(F68:Q68)</f>
        <v>8192.2935600000001</v>
      </c>
    </row>
    <row r="69" spans="1:18" x14ac:dyDescent="0.2">
      <c r="B69" s="32" t="s">
        <v>986</v>
      </c>
      <c r="F69" s="365">
        <f t="shared" ref="F69:N69" si="14">SUM(F66:F68)</f>
        <v>805.82884999999999</v>
      </c>
      <c r="G69" s="365">
        <f t="shared" si="14"/>
        <v>946.04143999999997</v>
      </c>
      <c r="H69" s="365">
        <f t="shared" si="14"/>
        <v>1298.6503400000001</v>
      </c>
      <c r="I69" s="365">
        <f t="shared" si="14"/>
        <v>961.31375000000003</v>
      </c>
      <c r="J69" s="365">
        <f t="shared" si="14"/>
        <v>681.53009999999995</v>
      </c>
      <c r="K69" s="365">
        <f t="shared" si="14"/>
        <v>516.02566000000002</v>
      </c>
      <c r="L69" s="365">
        <f t="shared" si="14"/>
        <v>447.62882000000002</v>
      </c>
      <c r="M69" s="365">
        <f t="shared" si="14"/>
        <v>434.56267999999994</v>
      </c>
      <c r="N69" s="365">
        <f t="shared" si="14"/>
        <v>415.85191999999995</v>
      </c>
      <c r="O69" s="365">
        <f>SUM(O66:O68)</f>
        <v>746.86079999999993</v>
      </c>
      <c r="P69" s="365">
        <f>SUM(P66:P68)</f>
        <v>1016.89436</v>
      </c>
      <c r="Q69" s="365">
        <f>SUM(Q66:Q68)</f>
        <v>1259.5064</v>
      </c>
      <c r="R69" s="365">
        <f>SUM(R66:R68)</f>
        <v>9530.6951200000003</v>
      </c>
    </row>
    <row r="70" spans="1:18" x14ac:dyDescent="0.2">
      <c r="F70" s="417"/>
      <c r="G70" s="417"/>
      <c r="H70" s="417"/>
      <c r="I70" s="417"/>
      <c r="J70" s="417"/>
      <c r="K70" s="417"/>
      <c r="L70" s="417"/>
      <c r="M70" s="417"/>
      <c r="N70" s="417"/>
      <c r="O70" s="417"/>
      <c r="P70" s="417"/>
      <c r="Q70" s="417"/>
      <c r="R70" s="417"/>
    </row>
    <row r="71" spans="1:18" x14ac:dyDescent="0.2">
      <c r="A71" s="32" t="s">
        <v>1058</v>
      </c>
      <c r="B71" s="32" t="s">
        <v>1050</v>
      </c>
      <c r="F71" s="417">
        <f>F59*F63</f>
        <v>686.93655000000001</v>
      </c>
      <c r="G71" s="417">
        <f t="shared" ref="G71:Q71" si="15">G59*G63</f>
        <v>823.45247999999992</v>
      </c>
      <c r="H71" s="417">
        <f t="shared" si="15"/>
        <v>1147.4962800000001</v>
      </c>
      <c r="I71" s="417">
        <f t="shared" si="15"/>
        <v>834.88932</v>
      </c>
      <c r="J71" s="417">
        <f t="shared" si="15"/>
        <v>580.92944999999997</v>
      </c>
      <c r="K71" s="417">
        <f t="shared" si="15"/>
        <v>428.68586999999997</v>
      </c>
      <c r="L71" s="417">
        <f t="shared" si="15"/>
        <v>356.57049000000001</v>
      </c>
      <c r="M71" s="417">
        <f t="shared" si="15"/>
        <v>344.55125999999996</v>
      </c>
      <c r="N71" s="417">
        <f t="shared" si="15"/>
        <v>336.53843999999998</v>
      </c>
      <c r="O71" s="417">
        <f t="shared" si="15"/>
        <v>641.02559999999994</v>
      </c>
      <c r="P71" s="417">
        <f t="shared" si="15"/>
        <v>889.42301999999995</v>
      </c>
      <c r="Q71" s="417">
        <f t="shared" si="15"/>
        <v>1121.7947999999999</v>
      </c>
      <c r="R71" s="417">
        <f>SUM(F71:Q71)</f>
        <v>8192.2935600000001</v>
      </c>
    </row>
    <row r="72" spans="1:18" x14ac:dyDescent="0.2">
      <c r="F72" s="364"/>
      <c r="G72" s="364"/>
      <c r="H72" s="364"/>
      <c r="I72" s="364"/>
      <c r="J72" s="364"/>
      <c r="K72" s="364"/>
      <c r="L72" s="364"/>
      <c r="M72" s="364"/>
      <c r="N72" s="364"/>
      <c r="O72" s="364"/>
      <c r="P72" s="364"/>
      <c r="Q72" s="364"/>
      <c r="R72" s="341"/>
    </row>
    <row r="73" spans="1:18" s="336" customFormat="1" x14ac:dyDescent="0.2">
      <c r="B73" s="182" t="s">
        <v>1062</v>
      </c>
    </row>
    <row r="74" spans="1:18" s="336" customFormat="1" x14ac:dyDescent="0.2">
      <c r="B74" s="182" t="s">
        <v>5</v>
      </c>
    </row>
    <row r="75" spans="1:18" s="336" customFormat="1" x14ac:dyDescent="0.2">
      <c r="B75" s="336" t="s">
        <v>1063</v>
      </c>
      <c r="D75" s="336">
        <v>61</v>
      </c>
      <c r="E75" s="336" t="s">
        <v>1064</v>
      </c>
      <c r="F75" s="442">
        <v>0.1</v>
      </c>
      <c r="G75" s="442">
        <v>0.1</v>
      </c>
      <c r="H75" s="442">
        <v>0.1</v>
      </c>
      <c r="I75" s="442">
        <v>0.1</v>
      </c>
      <c r="J75" s="442">
        <v>0.1</v>
      </c>
      <c r="K75" s="442">
        <v>0.1</v>
      </c>
      <c r="L75" s="442">
        <v>0.1</v>
      </c>
      <c r="M75" s="442">
        <v>0.1</v>
      </c>
      <c r="N75" s="442">
        <v>0.1</v>
      </c>
      <c r="O75" s="442">
        <v>0.1</v>
      </c>
      <c r="P75" s="442">
        <v>0.1</v>
      </c>
      <c r="Q75" s="442">
        <v>0.1</v>
      </c>
    </row>
    <row r="76" spans="1:18" s="336" customFormat="1" x14ac:dyDescent="0.2"/>
    <row r="77" spans="1:18" s="336" customFormat="1" x14ac:dyDescent="0.2">
      <c r="B77" s="182" t="s">
        <v>982</v>
      </c>
    </row>
    <row r="78" spans="1:18" s="336" customFormat="1" x14ac:dyDescent="0.2">
      <c r="B78" s="336" t="s">
        <v>74</v>
      </c>
      <c r="F78" s="421">
        <f>'JKP-3.1c - Data'!C131</f>
        <v>4027</v>
      </c>
      <c r="G78" s="421">
        <f>'JKP-3.1c - Data'!D131</f>
        <v>4027</v>
      </c>
      <c r="H78" s="421">
        <f>'JKP-3.1c - Data'!E131</f>
        <v>4027</v>
      </c>
      <c r="I78" s="421">
        <f>'JKP-3.1c - Data'!F131</f>
        <v>4027</v>
      </c>
      <c r="J78" s="421">
        <f>'JKP-3.1c - Data'!G131</f>
        <v>4027</v>
      </c>
      <c r="K78" s="421">
        <f>'JKP-3.1c - Data'!H131</f>
        <v>4027</v>
      </c>
      <c r="L78" s="421">
        <f>'JKP-3.1c - Data'!I131</f>
        <v>4027</v>
      </c>
      <c r="M78" s="421">
        <f>'JKP-3.1c - Data'!J131</f>
        <v>4027</v>
      </c>
      <c r="N78" s="421">
        <f>'JKP-3.1c - Data'!K131</f>
        <v>4027</v>
      </c>
      <c r="O78" s="421">
        <f>'JKP-3.1c - Data'!L131</f>
        <v>4027</v>
      </c>
      <c r="P78" s="421">
        <f>'JKP-3.1c - Data'!M131</f>
        <v>4027</v>
      </c>
      <c r="Q78" s="421">
        <f>'JKP-3.1c - Data'!N131</f>
        <v>4027</v>
      </c>
      <c r="R78" s="362">
        <f>SUM(F78:Q78)</f>
        <v>48324</v>
      </c>
    </row>
    <row r="79" spans="1:18" s="336" customFormat="1" x14ac:dyDescent="0.2"/>
    <row r="80" spans="1:18" s="336" customFormat="1" x14ac:dyDescent="0.2">
      <c r="B80" s="182" t="s">
        <v>985</v>
      </c>
    </row>
    <row r="81" spans="1:18" s="336" customFormat="1" x14ac:dyDescent="0.2">
      <c r="A81" s="336" t="s">
        <v>1054</v>
      </c>
      <c r="B81" s="336" t="s">
        <v>1063</v>
      </c>
      <c r="F81" s="418">
        <f t="shared" ref="F81:N81" si="16">F75*F78</f>
        <v>402.70000000000005</v>
      </c>
      <c r="G81" s="418">
        <f t="shared" si="16"/>
        <v>402.70000000000005</v>
      </c>
      <c r="H81" s="418">
        <f t="shared" si="16"/>
        <v>402.70000000000005</v>
      </c>
      <c r="I81" s="418">
        <f t="shared" si="16"/>
        <v>402.70000000000005</v>
      </c>
      <c r="J81" s="418">
        <f t="shared" si="16"/>
        <v>402.70000000000005</v>
      </c>
      <c r="K81" s="418">
        <f t="shared" si="16"/>
        <v>402.70000000000005</v>
      </c>
      <c r="L81" s="418">
        <f t="shared" si="16"/>
        <v>402.70000000000005</v>
      </c>
      <c r="M81" s="418">
        <f t="shared" si="16"/>
        <v>402.70000000000005</v>
      </c>
      <c r="N81" s="418">
        <f t="shared" si="16"/>
        <v>402.70000000000005</v>
      </c>
      <c r="O81" s="418">
        <f>O75*O78</f>
        <v>402.70000000000005</v>
      </c>
      <c r="P81" s="418">
        <f>P75*P78</f>
        <v>402.70000000000005</v>
      </c>
      <c r="Q81" s="418">
        <f>Q75*Q78</f>
        <v>402.70000000000005</v>
      </c>
      <c r="R81" s="418">
        <f>SUM(F81:Q81)</f>
        <v>4832.3999999999996</v>
      </c>
    </row>
    <row r="82" spans="1:18" x14ac:dyDescent="0.2">
      <c r="C82" s="336"/>
      <c r="D82" s="336"/>
      <c r="E82" s="336"/>
      <c r="F82" s="340"/>
      <c r="G82" s="340"/>
      <c r="H82" s="340"/>
      <c r="I82" s="340"/>
      <c r="J82" s="340"/>
      <c r="K82" s="340"/>
      <c r="L82" s="340"/>
      <c r="M82" s="340"/>
      <c r="N82" s="340"/>
      <c r="O82" s="340"/>
      <c r="P82" s="340"/>
      <c r="Q82" s="340"/>
      <c r="R82" s="340"/>
    </row>
    <row r="83" spans="1:18" x14ac:dyDescent="0.2">
      <c r="B83" s="276" t="s">
        <v>967</v>
      </c>
      <c r="C83" s="276"/>
    </row>
    <row r="84" spans="1:18" x14ac:dyDescent="0.2">
      <c r="B84" s="276" t="s">
        <v>5</v>
      </c>
      <c r="C84" s="276"/>
    </row>
    <row r="85" spans="1:18" x14ac:dyDescent="0.2">
      <c r="B85" s="32" t="s">
        <v>1059</v>
      </c>
      <c r="D85" s="32">
        <v>31</v>
      </c>
      <c r="E85" s="32" t="s">
        <v>976</v>
      </c>
      <c r="F85" s="414">
        <v>30</v>
      </c>
      <c r="G85" s="414">
        <v>30</v>
      </c>
      <c r="H85" s="414">
        <v>30</v>
      </c>
      <c r="I85" s="414">
        <v>30.8</v>
      </c>
      <c r="J85" s="414">
        <v>30.8</v>
      </c>
      <c r="K85" s="414">
        <v>30.8</v>
      </c>
      <c r="L85" s="414">
        <v>30.8</v>
      </c>
      <c r="M85" s="414">
        <v>30.8</v>
      </c>
      <c r="N85" s="414">
        <v>30.8</v>
      </c>
      <c r="O85" s="414">
        <v>30.8</v>
      </c>
      <c r="P85" s="414">
        <v>30.8</v>
      </c>
      <c r="Q85" s="414">
        <v>30.8</v>
      </c>
      <c r="R85" s="439"/>
    </row>
    <row r="86" spans="1:18" x14ac:dyDescent="0.2">
      <c r="B86" s="32" t="s">
        <v>1047</v>
      </c>
      <c r="D86" s="32">
        <v>31</v>
      </c>
      <c r="E86" s="32" t="s">
        <v>957</v>
      </c>
      <c r="F86" s="395">
        <v>0.29265999999999998</v>
      </c>
      <c r="G86" s="395">
        <v>0.29265999999999998</v>
      </c>
      <c r="H86" s="395">
        <v>0.29265999999999998</v>
      </c>
      <c r="I86" s="395">
        <v>0.30047000000000001</v>
      </c>
      <c r="J86" s="395">
        <v>0.30047000000000001</v>
      </c>
      <c r="K86" s="395">
        <v>0.30047000000000001</v>
      </c>
      <c r="L86" s="395">
        <v>0.30047000000000001</v>
      </c>
      <c r="M86" s="395">
        <v>0.30047000000000001</v>
      </c>
      <c r="N86" s="395">
        <v>0.30047000000000001</v>
      </c>
      <c r="O86" s="395">
        <v>0.30047000000000001</v>
      </c>
      <c r="P86" s="395">
        <v>0.30047000000000001</v>
      </c>
      <c r="Q86" s="395">
        <v>0.30047000000000001</v>
      </c>
      <c r="R86" s="394"/>
    </row>
    <row r="87" spans="1:18" x14ac:dyDescent="0.2">
      <c r="A87" s="336"/>
      <c r="B87" s="32" t="s">
        <v>1049</v>
      </c>
      <c r="D87" s="32">
        <v>101</v>
      </c>
      <c r="E87" s="32" t="s">
        <v>957</v>
      </c>
      <c r="F87" s="395">
        <v>0.74761</v>
      </c>
      <c r="G87" s="395">
        <v>0.74761</v>
      </c>
      <c r="H87" s="395">
        <v>0.74761</v>
      </c>
      <c r="I87" s="395">
        <v>0.74761</v>
      </c>
      <c r="J87" s="395">
        <v>0.74761</v>
      </c>
      <c r="K87" s="395">
        <v>0.74761</v>
      </c>
      <c r="L87" s="395">
        <v>0.74761</v>
      </c>
      <c r="M87" s="395">
        <v>0.74761</v>
      </c>
      <c r="N87" s="395">
        <v>0.74761</v>
      </c>
      <c r="O87" s="395">
        <v>0.74761</v>
      </c>
      <c r="P87" s="395">
        <v>0.71392999999999995</v>
      </c>
      <c r="Q87" s="395">
        <v>0.71392999999999995</v>
      </c>
      <c r="R87" s="394"/>
    </row>
    <row r="88" spans="1:18" x14ac:dyDescent="0.2">
      <c r="A88" s="336"/>
      <c r="B88" s="32" t="s">
        <v>1050</v>
      </c>
      <c r="F88" s="395">
        <v>0.71531999999999996</v>
      </c>
      <c r="G88" s="395">
        <v>0.71531999999999996</v>
      </c>
      <c r="H88" s="395">
        <v>0.71531999999999996</v>
      </c>
      <c r="I88" s="395">
        <v>0.71531999999999996</v>
      </c>
      <c r="J88" s="395">
        <v>0.71531999999999996</v>
      </c>
      <c r="K88" s="395">
        <v>0.71531999999999996</v>
      </c>
      <c r="L88" s="395">
        <v>0.71531999999999996</v>
      </c>
      <c r="M88" s="395">
        <v>0.71531999999999996</v>
      </c>
      <c r="N88" s="395">
        <v>0.71531999999999996</v>
      </c>
      <c r="O88" s="395">
        <v>0.71531999999999996</v>
      </c>
      <c r="P88" s="395">
        <v>0.68306</v>
      </c>
      <c r="Q88" s="395">
        <v>0.68306</v>
      </c>
      <c r="R88" s="394"/>
    </row>
    <row r="89" spans="1:18" s="336" customFormat="1" x14ac:dyDescent="0.2"/>
    <row r="90" spans="1:18" s="336" customFormat="1" x14ac:dyDescent="0.2">
      <c r="B90" s="182" t="s">
        <v>982</v>
      </c>
    </row>
    <row r="91" spans="1:18" s="336" customFormat="1" x14ac:dyDescent="0.2">
      <c r="B91" s="336" t="s">
        <v>67</v>
      </c>
      <c r="E91" s="336" t="s">
        <v>67</v>
      </c>
      <c r="F91" s="421">
        <f>'JKP-3.1c - Data'!C139</f>
        <v>52658</v>
      </c>
      <c r="G91" s="421">
        <f>'JKP-3.1c - Data'!D139</f>
        <v>52610</v>
      </c>
      <c r="H91" s="421">
        <f>'JKP-3.1c - Data'!E139</f>
        <v>52574</v>
      </c>
      <c r="I91" s="421">
        <f>'JKP-3.1c - Data'!F139</f>
        <v>52525</v>
      </c>
      <c r="J91" s="421">
        <f>'JKP-3.1c - Data'!G139</f>
        <v>52396</v>
      </c>
      <c r="K91" s="421">
        <f>'JKP-3.1c - Data'!H139</f>
        <v>52307</v>
      </c>
      <c r="L91" s="421">
        <f>'JKP-3.1c - Data'!I139</f>
        <v>52272</v>
      </c>
      <c r="M91" s="421">
        <f>'JKP-3.1c - Data'!J139</f>
        <v>52234</v>
      </c>
      <c r="N91" s="421">
        <f>'JKP-3.1c - Data'!K139</f>
        <v>52221</v>
      </c>
      <c r="O91" s="421">
        <f>'JKP-3.1c - Data'!L139</f>
        <v>52328</v>
      </c>
      <c r="P91" s="421">
        <f>'JKP-3.1c - Data'!M139</f>
        <v>52300</v>
      </c>
      <c r="Q91" s="421">
        <f>'JKP-3.1c - Data'!N139</f>
        <v>52414</v>
      </c>
      <c r="R91" s="378">
        <f>SUM(F91:Q91)</f>
        <v>628839</v>
      </c>
    </row>
    <row r="92" spans="1:18" x14ac:dyDescent="0.2">
      <c r="B92" s="32" t="s">
        <v>76</v>
      </c>
      <c r="E92" s="32" t="s">
        <v>10</v>
      </c>
      <c r="F92" s="397">
        <f>'JKP-3.1c - Therms Data'!E69</f>
        <v>22530052</v>
      </c>
      <c r="G92" s="397">
        <f>'JKP-3.1c - Therms Data'!F69</f>
        <v>18400356</v>
      </c>
      <c r="H92" s="397">
        <f>'JKP-3.1c - Therms Data'!G69</f>
        <v>18722609</v>
      </c>
      <c r="I92" s="397">
        <f>'JKP-3.1c - Therms Data'!H69</f>
        <v>15159542</v>
      </c>
      <c r="J92" s="397">
        <f>'JKP-3.1c - Therms Data'!I69</f>
        <v>11739148</v>
      </c>
      <c r="K92" s="397">
        <f>'JKP-3.1c - Therms Data'!J69</f>
        <v>8759117</v>
      </c>
      <c r="L92" s="397">
        <f>'JKP-3.1c - Therms Data'!K69</f>
        <v>7017499</v>
      </c>
      <c r="M92" s="397">
        <f>'JKP-3.1c - Therms Data'!L69</f>
        <v>6870079</v>
      </c>
      <c r="N92" s="397">
        <f>'JKP-3.1c - Therms Data'!M69</f>
        <v>7730919</v>
      </c>
      <c r="O92" s="397">
        <f>'JKP-3.1c - Therms Data'!N69</f>
        <v>12369351</v>
      </c>
      <c r="P92" s="397">
        <f>'JKP-3.1c - Therms Data'!O69</f>
        <v>21057029</v>
      </c>
      <c r="Q92" s="397">
        <f>'JKP-3.1c - Therms Data'!P69</f>
        <v>26731097</v>
      </c>
      <c r="R92" s="378">
        <f>SUM(F92:Q92)</f>
        <v>177086798</v>
      </c>
    </row>
    <row r="93" spans="1:18" x14ac:dyDescent="0.2">
      <c r="R93" s="277"/>
    </row>
    <row r="94" spans="1:18" x14ac:dyDescent="0.2">
      <c r="B94" s="276" t="s">
        <v>985</v>
      </c>
      <c r="R94" s="277"/>
    </row>
    <row r="95" spans="1:18" x14ac:dyDescent="0.2">
      <c r="A95" s="32" t="s">
        <v>1054</v>
      </c>
      <c r="B95" s="32" t="s">
        <v>1059</v>
      </c>
      <c r="D95" s="32">
        <v>31</v>
      </c>
      <c r="F95" s="364">
        <f t="shared" ref="F95:Q96" si="17">F85*F91</f>
        <v>1579740</v>
      </c>
      <c r="G95" s="364">
        <f t="shared" si="17"/>
        <v>1578300</v>
      </c>
      <c r="H95" s="364">
        <f t="shared" si="17"/>
        <v>1577220</v>
      </c>
      <c r="I95" s="364">
        <f t="shared" si="17"/>
        <v>1617770</v>
      </c>
      <c r="J95" s="364">
        <f t="shared" si="17"/>
        <v>1613796.8</v>
      </c>
      <c r="K95" s="364">
        <f t="shared" si="17"/>
        <v>1611055.6</v>
      </c>
      <c r="L95" s="364">
        <f t="shared" si="17"/>
        <v>1609977.6</v>
      </c>
      <c r="M95" s="364">
        <f t="shared" si="17"/>
        <v>1608807.2</v>
      </c>
      <c r="N95" s="364">
        <f t="shared" si="17"/>
        <v>1608406.8</v>
      </c>
      <c r="O95" s="364">
        <f t="shared" si="17"/>
        <v>1611702.4000000001</v>
      </c>
      <c r="P95" s="364">
        <f t="shared" si="17"/>
        <v>1610840</v>
      </c>
      <c r="Q95" s="364">
        <f t="shared" si="17"/>
        <v>1614351.2</v>
      </c>
      <c r="R95" s="341">
        <f>SUM(F95:Q95)</f>
        <v>19241967.599999998</v>
      </c>
    </row>
    <row r="96" spans="1:18" x14ac:dyDescent="0.2">
      <c r="A96" s="32" t="s">
        <v>1054</v>
      </c>
      <c r="B96" s="32" t="s">
        <v>1047</v>
      </c>
      <c r="D96" s="32">
        <v>31</v>
      </c>
      <c r="F96" s="364">
        <f t="shared" si="17"/>
        <v>6593645.0183199998</v>
      </c>
      <c r="G96" s="364">
        <f t="shared" si="17"/>
        <v>5385048.1869599996</v>
      </c>
      <c r="H96" s="364">
        <f t="shared" si="17"/>
        <v>5479358.7499399995</v>
      </c>
      <c r="I96" s="364">
        <f t="shared" si="17"/>
        <v>4554987.5847399998</v>
      </c>
      <c r="J96" s="364">
        <f t="shared" si="17"/>
        <v>3527261.7995600002</v>
      </c>
      <c r="K96" s="364">
        <f t="shared" si="17"/>
        <v>2631851.8849900002</v>
      </c>
      <c r="L96" s="364">
        <f t="shared" si="17"/>
        <v>2108547.92453</v>
      </c>
      <c r="M96" s="364">
        <f t="shared" si="17"/>
        <v>2064252.6371300002</v>
      </c>
      <c r="N96" s="364">
        <f t="shared" si="17"/>
        <v>2322909.2319300002</v>
      </c>
      <c r="O96" s="364">
        <f t="shared" si="17"/>
        <v>3716618.8949700003</v>
      </c>
      <c r="P96" s="364">
        <f t="shared" si="17"/>
        <v>6327005.5036300002</v>
      </c>
      <c r="Q96" s="364">
        <f t="shared" si="17"/>
        <v>8031892.7155900002</v>
      </c>
      <c r="R96" s="341">
        <f>SUM(F96:Q96)</f>
        <v>52743380.132289991</v>
      </c>
    </row>
    <row r="97" spans="1:18" x14ac:dyDescent="0.2">
      <c r="A97" s="336" t="s">
        <v>1056</v>
      </c>
      <c r="B97" s="32" t="s">
        <v>1057</v>
      </c>
      <c r="D97" s="32">
        <v>101</v>
      </c>
      <c r="F97" s="364">
        <f t="shared" ref="F97:N97" si="18">F87*F92</f>
        <v>16843692.175719999</v>
      </c>
      <c r="G97" s="364">
        <f t="shared" si="18"/>
        <v>13756290.14916</v>
      </c>
      <c r="H97" s="364">
        <f t="shared" si="18"/>
        <v>13997209.71449</v>
      </c>
      <c r="I97" s="364">
        <f t="shared" si="18"/>
        <v>11333425.19462</v>
      </c>
      <c r="J97" s="364">
        <f t="shared" si="18"/>
        <v>8776304.4362799991</v>
      </c>
      <c r="K97" s="364">
        <f t="shared" si="18"/>
        <v>6548403.4603699995</v>
      </c>
      <c r="L97" s="364">
        <f t="shared" si="18"/>
        <v>5246352.4273899999</v>
      </c>
      <c r="M97" s="418">
        <f t="shared" si="18"/>
        <v>5136139.76119</v>
      </c>
      <c r="N97" s="364">
        <f t="shared" si="18"/>
        <v>5779712.3535900004</v>
      </c>
      <c r="O97" s="364">
        <f>O87*O92</f>
        <v>9247450.5011100005</v>
      </c>
      <c r="P97" s="364">
        <f>P87*P92</f>
        <v>15033244.71397</v>
      </c>
      <c r="Q97" s="364">
        <f>Q87*Q92</f>
        <v>19084132.081209999</v>
      </c>
      <c r="R97" s="364">
        <f>SUM(F97:Q97)</f>
        <v>130782356.9691</v>
      </c>
    </row>
    <row r="98" spans="1:18" x14ac:dyDescent="0.2">
      <c r="B98" s="32" t="s">
        <v>986</v>
      </c>
      <c r="F98" s="365">
        <f t="shared" ref="F98:N98" si="19">SUM(F95:F97)</f>
        <v>25017077.19404</v>
      </c>
      <c r="G98" s="365">
        <f t="shared" si="19"/>
        <v>20719638.336119998</v>
      </c>
      <c r="H98" s="365">
        <f t="shared" si="19"/>
        <v>21053788.464430001</v>
      </c>
      <c r="I98" s="365">
        <f t="shared" si="19"/>
        <v>17506182.77936</v>
      </c>
      <c r="J98" s="365">
        <f t="shared" si="19"/>
        <v>13917363.035839999</v>
      </c>
      <c r="K98" s="365">
        <f t="shared" si="19"/>
        <v>10791310.945360001</v>
      </c>
      <c r="L98" s="365">
        <f t="shared" si="19"/>
        <v>8964877.951919999</v>
      </c>
      <c r="M98" s="365">
        <f t="shared" si="19"/>
        <v>8809199.5983199999</v>
      </c>
      <c r="N98" s="365">
        <f t="shared" si="19"/>
        <v>9711028.38552</v>
      </c>
      <c r="O98" s="365">
        <f>SUM(O95:O97)</f>
        <v>14575771.796080001</v>
      </c>
      <c r="P98" s="365">
        <f>SUM(P95:P97)</f>
        <v>22971090.217599999</v>
      </c>
      <c r="Q98" s="365">
        <f>SUM(Q95:Q97)</f>
        <v>28730375.996799998</v>
      </c>
      <c r="R98" s="365">
        <f>SUM(R95:R97)</f>
        <v>202767704.70138997</v>
      </c>
    </row>
    <row r="99" spans="1:18" x14ac:dyDescent="0.2">
      <c r="F99" s="364"/>
      <c r="G99" s="364"/>
      <c r="H99" s="364"/>
      <c r="I99" s="364"/>
      <c r="J99" s="364"/>
      <c r="K99" s="364"/>
      <c r="L99" s="364"/>
      <c r="M99" s="364"/>
      <c r="N99" s="364"/>
      <c r="O99" s="364"/>
      <c r="P99" s="364"/>
      <c r="Q99" s="364"/>
      <c r="R99" s="341"/>
    </row>
    <row r="100" spans="1:18" x14ac:dyDescent="0.2">
      <c r="A100" s="32" t="s">
        <v>1058</v>
      </c>
      <c r="B100" s="32" t="s">
        <v>1050</v>
      </c>
      <c r="F100" s="364">
        <f>F92*F88</f>
        <v>16116196.796639999</v>
      </c>
      <c r="G100" s="364">
        <f t="shared" ref="G100:Q100" si="20">G92*G88</f>
        <v>13162142.653919999</v>
      </c>
      <c r="H100" s="364">
        <f t="shared" si="20"/>
        <v>13392656.669879999</v>
      </c>
      <c r="I100" s="364">
        <f t="shared" si="20"/>
        <v>10843923.58344</v>
      </c>
      <c r="J100" s="364">
        <f t="shared" si="20"/>
        <v>8397247.34736</v>
      </c>
      <c r="K100" s="364">
        <f t="shared" si="20"/>
        <v>6265571.5724399993</v>
      </c>
      <c r="L100" s="364">
        <f t="shared" si="20"/>
        <v>5019757.3846800001</v>
      </c>
      <c r="M100" s="364">
        <f t="shared" si="20"/>
        <v>4914304.9102799995</v>
      </c>
      <c r="N100" s="364">
        <f t="shared" si="20"/>
        <v>5530080.97908</v>
      </c>
      <c r="O100" s="364">
        <f t="shared" si="20"/>
        <v>8848044.1573200002</v>
      </c>
      <c r="P100" s="364">
        <f t="shared" si="20"/>
        <v>14383214.228739999</v>
      </c>
      <c r="Q100" s="364">
        <f t="shared" si="20"/>
        <v>18258943.11682</v>
      </c>
      <c r="R100" s="341">
        <f>SUM(F100:Q100)</f>
        <v>125132083.40060002</v>
      </c>
    </row>
    <row r="101" spans="1:18" x14ac:dyDescent="0.2">
      <c r="F101" s="364"/>
      <c r="G101" s="364"/>
      <c r="H101" s="364"/>
      <c r="I101" s="364"/>
      <c r="J101" s="364"/>
      <c r="K101" s="364"/>
      <c r="L101" s="364"/>
      <c r="M101" s="364"/>
      <c r="N101" s="364"/>
      <c r="O101" s="364"/>
      <c r="P101" s="364"/>
      <c r="Q101" s="364"/>
      <c r="R101" s="341"/>
    </row>
    <row r="102" spans="1:18" x14ac:dyDescent="0.2">
      <c r="B102" s="276" t="s">
        <v>968</v>
      </c>
      <c r="C102" s="276"/>
    </row>
    <row r="103" spans="1:18" x14ac:dyDescent="0.2">
      <c r="B103" s="276" t="s">
        <v>5</v>
      </c>
      <c r="C103" s="276"/>
    </row>
    <row r="104" spans="1:18" x14ac:dyDescent="0.2">
      <c r="B104" s="32" t="s">
        <v>1059</v>
      </c>
      <c r="D104" s="32">
        <v>41</v>
      </c>
      <c r="E104" s="32" t="s">
        <v>976</v>
      </c>
      <c r="F104" s="414">
        <v>105</v>
      </c>
      <c r="G104" s="414">
        <v>105</v>
      </c>
      <c r="H104" s="414">
        <v>105</v>
      </c>
      <c r="I104" s="414">
        <v>107.51</v>
      </c>
      <c r="J104" s="414">
        <v>107.51</v>
      </c>
      <c r="K104" s="414">
        <v>107.51</v>
      </c>
      <c r="L104" s="414">
        <v>107.51</v>
      </c>
      <c r="M104" s="414">
        <v>107.51</v>
      </c>
      <c r="N104" s="414">
        <v>107.51</v>
      </c>
      <c r="O104" s="414">
        <v>107.51</v>
      </c>
      <c r="P104" s="414">
        <v>107.51</v>
      </c>
      <c r="Q104" s="414">
        <v>107.51</v>
      </c>
      <c r="R104" s="439"/>
    </row>
    <row r="105" spans="1:18" x14ac:dyDescent="0.2">
      <c r="B105" s="32" t="s">
        <v>1047</v>
      </c>
      <c r="F105" s="393"/>
      <c r="G105" s="393"/>
      <c r="H105" s="393"/>
      <c r="I105" s="393"/>
      <c r="J105" s="393"/>
      <c r="K105" s="393"/>
      <c r="L105" s="393"/>
      <c r="M105" s="393"/>
      <c r="N105" s="393"/>
      <c r="O105" s="393"/>
      <c r="P105" s="393"/>
      <c r="Q105" s="393"/>
      <c r="R105" s="394"/>
    </row>
    <row r="106" spans="1:18" x14ac:dyDescent="0.2">
      <c r="C106" s="32" t="s">
        <v>1065</v>
      </c>
      <c r="D106" s="32">
        <v>41</v>
      </c>
      <c r="E106" s="32" t="s">
        <v>957</v>
      </c>
      <c r="F106" s="395">
        <v>0.13467000000000001</v>
      </c>
      <c r="G106" s="395">
        <v>0.13467000000000001</v>
      </c>
      <c r="H106" s="395">
        <v>0.13467000000000001</v>
      </c>
      <c r="I106" s="395">
        <v>0.13789000000000001</v>
      </c>
      <c r="J106" s="395">
        <v>0.13789000000000001</v>
      </c>
      <c r="K106" s="395">
        <v>0.13789000000000001</v>
      </c>
      <c r="L106" s="395">
        <v>0.13789000000000001</v>
      </c>
      <c r="M106" s="395">
        <v>0.13789000000000001</v>
      </c>
      <c r="N106" s="395">
        <v>0.13789000000000001</v>
      </c>
      <c r="O106" s="395">
        <v>0.13789000000000001</v>
      </c>
      <c r="P106" s="395">
        <v>0.13789000000000001</v>
      </c>
      <c r="Q106" s="395">
        <v>0.13789000000000001</v>
      </c>
      <c r="R106" s="394"/>
    </row>
    <row r="107" spans="1:18" x14ac:dyDescent="0.2">
      <c r="C107" s="32" t="s">
        <v>1066</v>
      </c>
      <c r="D107" s="32">
        <v>41</v>
      </c>
      <c r="E107" s="32" t="s">
        <v>957</v>
      </c>
      <c r="F107" s="395">
        <v>0.1099</v>
      </c>
      <c r="G107" s="395">
        <v>0.1099</v>
      </c>
      <c r="H107" s="395">
        <v>0.1099</v>
      </c>
      <c r="I107" s="395">
        <v>0.11253000000000001</v>
      </c>
      <c r="J107" s="395">
        <v>0.11253000000000001</v>
      </c>
      <c r="K107" s="395">
        <v>0.11253000000000001</v>
      </c>
      <c r="L107" s="395">
        <v>0.11253000000000001</v>
      </c>
      <c r="M107" s="395">
        <v>0.11253000000000001</v>
      </c>
      <c r="N107" s="395">
        <v>0.11253000000000001</v>
      </c>
      <c r="O107" s="395">
        <v>0.11253000000000001</v>
      </c>
      <c r="P107" s="395">
        <v>0.11253000000000001</v>
      </c>
      <c r="Q107" s="395">
        <v>0.11253000000000001</v>
      </c>
      <c r="R107" s="394"/>
    </row>
    <row r="108" spans="1:18" x14ac:dyDescent="0.2">
      <c r="A108" s="336"/>
      <c r="B108" s="32" t="s">
        <v>1067</v>
      </c>
      <c r="D108" s="32">
        <v>101</v>
      </c>
      <c r="E108" s="32" t="s">
        <v>957</v>
      </c>
      <c r="F108" s="395">
        <v>0.67091999999999996</v>
      </c>
      <c r="G108" s="395">
        <v>0.67091999999999996</v>
      </c>
      <c r="H108" s="395">
        <v>0.67091999999999996</v>
      </c>
      <c r="I108" s="395">
        <v>0.67091999999999996</v>
      </c>
      <c r="J108" s="395">
        <v>0.67091999999999996</v>
      </c>
      <c r="K108" s="395">
        <v>0.67091999999999996</v>
      </c>
      <c r="L108" s="395">
        <v>0.67091999999999996</v>
      </c>
      <c r="M108" s="395">
        <v>0.67091999999999996</v>
      </c>
      <c r="N108" s="395">
        <v>0.67091999999999996</v>
      </c>
      <c r="O108" s="395">
        <v>0.67091999999999996</v>
      </c>
      <c r="P108" s="395">
        <v>0.62878000000000001</v>
      </c>
      <c r="Q108" s="395">
        <v>0.62878000000000001</v>
      </c>
      <c r="R108" s="394"/>
    </row>
    <row r="109" spans="1:18" x14ac:dyDescent="0.2">
      <c r="B109" s="32" t="s">
        <v>1068</v>
      </c>
      <c r="F109" s="393"/>
      <c r="G109" s="393"/>
      <c r="H109" s="393"/>
      <c r="I109" s="393"/>
      <c r="J109" s="393"/>
      <c r="K109" s="393"/>
      <c r="L109" s="393"/>
      <c r="M109" s="393"/>
      <c r="N109" s="393"/>
      <c r="O109" s="393"/>
      <c r="P109" s="393"/>
      <c r="Q109" s="393"/>
      <c r="R109" s="394"/>
    </row>
    <row r="110" spans="1:18" x14ac:dyDescent="0.2">
      <c r="A110" s="336"/>
      <c r="C110" s="32" t="s">
        <v>1069</v>
      </c>
      <c r="D110" s="32">
        <v>41</v>
      </c>
      <c r="E110" s="32" t="s">
        <v>957</v>
      </c>
      <c r="F110" s="414">
        <v>1.1000000000000001</v>
      </c>
      <c r="G110" s="414">
        <v>1.1000000000000001</v>
      </c>
      <c r="H110" s="414">
        <v>1.1000000000000001</v>
      </c>
      <c r="I110" s="414">
        <v>1.1100000000000001</v>
      </c>
      <c r="J110" s="414">
        <v>1.1100000000000001</v>
      </c>
      <c r="K110" s="414">
        <v>1.1100000000000001</v>
      </c>
      <c r="L110" s="414">
        <v>1.1100000000000001</v>
      </c>
      <c r="M110" s="414">
        <v>1.1100000000000001</v>
      </c>
      <c r="N110" s="414">
        <v>1.1100000000000001</v>
      </c>
      <c r="O110" s="414">
        <v>1.1100000000000001</v>
      </c>
      <c r="P110" s="414">
        <v>1.1100000000000001</v>
      </c>
      <c r="Q110" s="414">
        <v>1.1100000000000001</v>
      </c>
      <c r="R110" s="394"/>
    </row>
    <row r="111" spans="1:18" x14ac:dyDescent="0.2">
      <c r="A111" s="336"/>
      <c r="C111" s="32" t="s">
        <v>1070</v>
      </c>
      <c r="D111" s="32">
        <v>101</v>
      </c>
      <c r="E111" s="32" t="s">
        <v>957</v>
      </c>
      <c r="F111" s="414">
        <v>1.05</v>
      </c>
      <c r="G111" s="414">
        <v>1.05</v>
      </c>
      <c r="H111" s="414">
        <v>1.05</v>
      </c>
      <c r="I111" s="414">
        <v>1.05</v>
      </c>
      <c r="J111" s="414">
        <v>1.05</v>
      </c>
      <c r="K111" s="414">
        <v>1.05</v>
      </c>
      <c r="L111" s="414">
        <v>1.05</v>
      </c>
      <c r="M111" s="414">
        <v>1.05</v>
      </c>
      <c r="N111" s="414">
        <v>1.05</v>
      </c>
      <c r="O111" s="414">
        <v>1.05</v>
      </c>
      <c r="P111" s="414">
        <v>1.05</v>
      </c>
      <c r="Q111" s="414">
        <v>1.05</v>
      </c>
      <c r="R111" s="394"/>
    </row>
    <row r="112" spans="1:18" x14ac:dyDescent="0.2">
      <c r="B112" s="32" t="s">
        <v>1071</v>
      </c>
      <c r="D112" s="32">
        <v>41</v>
      </c>
      <c r="E112" s="32" t="s">
        <v>67</v>
      </c>
      <c r="F112" s="414">
        <v>121.2</v>
      </c>
      <c r="G112" s="414">
        <v>121.2</v>
      </c>
      <c r="H112" s="414">
        <v>121.2</v>
      </c>
      <c r="I112" s="414">
        <v>124.1</v>
      </c>
      <c r="J112" s="414">
        <v>124.1</v>
      </c>
      <c r="K112" s="414">
        <v>124.1</v>
      </c>
      <c r="L112" s="414">
        <v>124.1</v>
      </c>
      <c r="M112" s="414">
        <v>124.1</v>
      </c>
      <c r="N112" s="414">
        <v>124.1</v>
      </c>
      <c r="O112" s="414">
        <v>124.1</v>
      </c>
      <c r="P112" s="414">
        <v>124.1</v>
      </c>
      <c r="Q112" s="414">
        <v>124.1</v>
      </c>
      <c r="R112" s="394"/>
    </row>
    <row r="113" spans="1:18" x14ac:dyDescent="0.2">
      <c r="B113" s="32" t="s">
        <v>1050</v>
      </c>
      <c r="E113" s="32" t="s">
        <v>957</v>
      </c>
      <c r="F113" s="395">
        <v>0.64193999999999996</v>
      </c>
      <c r="G113" s="395">
        <v>0.64193999999999996</v>
      </c>
      <c r="H113" s="395">
        <v>0.64193999999999996</v>
      </c>
      <c r="I113" s="395">
        <v>0.64193999999999996</v>
      </c>
      <c r="J113" s="395">
        <v>0.64193999999999996</v>
      </c>
      <c r="K113" s="395">
        <v>0.64193999999999996</v>
      </c>
      <c r="L113" s="395">
        <v>0.64193999999999996</v>
      </c>
      <c r="M113" s="395">
        <v>0.64193999999999996</v>
      </c>
      <c r="N113" s="395">
        <v>0.64193999999999996</v>
      </c>
      <c r="O113" s="395">
        <v>0.64193999999999996</v>
      </c>
      <c r="P113" s="395">
        <v>0.60158999999999996</v>
      </c>
      <c r="Q113" s="395">
        <v>0.60158999999999996</v>
      </c>
      <c r="R113" s="394"/>
    </row>
    <row r="114" spans="1:18" x14ac:dyDescent="0.2">
      <c r="B114" s="32" t="s">
        <v>1072</v>
      </c>
      <c r="E114" s="32" t="s">
        <v>957</v>
      </c>
      <c r="F114" s="414">
        <v>1</v>
      </c>
      <c r="G114" s="414">
        <v>1</v>
      </c>
      <c r="H114" s="414">
        <v>1</v>
      </c>
      <c r="I114" s="414">
        <v>1</v>
      </c>
      <c r="J114" s="414">
        <v>1</v>
      </c>
      <c r="K114" s="414">
        <v>1</v>
      </c>
      <c r="L114" s="414">
        <v>1</v>
      </c>
      <c r="M114" s="414">
        <v>1</v>
      </c>
      <c r="N114" s="414">
        <v>1</v>
      </c>
      <c r="O114" s="414">
        <v>1</v>
      </c>
      <c r="P114" s="414">
        <v>1</v>
      </c>
      <c r="Q114" s="414">
        <v>1</v>
      </c>
      <c r="R114" s="394"/>
    </row>
    <row r="116" spans="1:18" x14ac:dyDescent="0.2">
      <c r="B116" s="276" t="s">
        <v>982</v>
      </c>
    </row>
    <row r="117" spans="1:18" x14ac:dyDescent="0.2">
      <c r="B117" s="32" t="s">
        <v>67</v>
      </c>
      <c r="E117" s="32" t="s">
        <v>67</v>
      </c>
      <c r="F117" s="397">
        <f>'JKP-3.1c - Data'!C141</f>
        <v>1953</v>
      </c>
      <c r="G117" s="397">
        <f>'JKP-3.1c - Data'!D141</f>
        <v>1949</v>
      </c>
      <c r="H117" s="397">
        <f>'JKP-3.1c - Data'!E141</f>
        <v>1949</v>
      </c>
      <c r="I117" s="397">
        <f>'JKP-3.1c - Data'!F141</f>
        <v>1951</v>
      </c>
      <c r="J117" s="397">
        <f>'JKP-3.1c - Data'!G141</f>
        <v>1946</v>
      </c>
      <c r="K117" s="397">
        <f>'JKP-3.1c - Data'!H141</f>
        <v>1952</v>
      </c>
      <c r="L117" s="397">
        <f>'JKP-3.1c - Data'!I141</f>
        <v>1951</v>
      </c>
      <c r="M117" s="397">
        <f>'JKP-3.1c - Data'!J141</f>
        <v>1936</v>
      </c>
      <c r="N117" s="397">
        <f>'JKP-3.1c - Data'!K141</f>
        <v>1923</v>
      </c>
      <c r="O117" s="397">
        <f>'JKP-3.1c - Data'!L141</f>
        <v>1902</v>
      </c>
      <c r="P117" s="397">
        <f>'JKP-3.1c - Data'!M141</f>
        <v>1884</v>
      </c>
      <c r="Q117" s="397">
        <f>'JKP-3.1c - Data'!N141</f>
        <v>1883</v>
      </c>
      <c r="R117" s="378">
        <f>SUM(F117:Q117)</f>
        <v>23179</v>
      </c>
    </row>
    <row r="118" spans="1:18" x14ac:dyDescent="0.2">
      <c r="B118" s="32" t="s">
        <v>76</v>
      </c>
      <c r="D118" s="336"/>
      <c r="E118" s="336"/>
      <c r="F118" s="381"/>
      <c r="G118" s="381"/>
      <c r="H118" s="381"/>
      <c r="I118" s="381"/>
      <c r="J118" s="381"/>
      <c r="K118" s="381"/>
      <c r="L118" s="381"/>
      <c r="M118" s="381"/>
      <c r="N118" s="381"/>
      <c r="O118" s="381"/>
      <c r="P118" s="381"/>
      <c r="Q118" s="381"/>
      <c r="R118" s="398"/>
    </row>
    <row r="119" spans="1:18" x14ac:dyDescent="0.2">
      <c r="C119" s="32" t="s">
        <v>1073</v>
      </c>
      <c r="D119" s="336"/>
      <c r="E119" s="336" t="s">
        <v>10</v>
      </c>
      <c r="F119" s="380">
        <v>1696262</v>
      </c>
      <c r="G119" s="380">
        <v>1676732</v>
      </c>
      <c r="H119" s="380">
        <v>1688404</v>
      </c>
      <c r="I119" s="380">
        <v>1670584</v>
      </c>
      <c r="J119" s="380">
        <v>1617103</v>
      </c>
      <c r="K119" s="380">
        <v>1436746</v>
      </c>
      <c r="L119" s="380">
        <v>1214265</v>
      </c>
      <c r="M119" s="380">
        <v>1189032</v>
      </c>
      <c r="N119" s="380">
        <v>1320118</v>
      </c>
      <c r="O119" s="380">
        <v>1555455</v>
      </c>
      <c r="P119" s="380">
        <v>1620879</v>
      </c>
      <c r="Q119" s="380">
        <v>1621716</v>
      </c>
      <c r="R119" s="378">
        <f>SUM(F119:Q119)</f>
        <v>18307296</v>
      </c>
    </row>
    <row r="120" spans="1:18" s="336" customFormat="1" x14ac:dyDescent="0.2">
      <c r="C120" s="32" t="s">
        <v>1074</v>
      </c>
      <c r="E120" s="336" t="s">
        <v>10</v>
      </c>
      <c r="F120" s="380">
        <v>3194830</v>
      </c>
      <c r="G120" s="380">
        <v>2729188</v>
      </c>
      <c r="H120" s="380">
        <v>2892127</v>
      </c>
      <c r="I120" s="380">
        <v>2441803</v>
      </c>
      <c r="J120" s="380">
        <v>2045385</v>
      </c>
      <c r="K120" s="380">
        <v>1542820</v>
      </c>
      <c r="L120" s="380">
        <v>1219078</v>
      </c>
      <c r="M120" s="380">
        <v>1163563</v>
      </c>
      <c r="N120" s="380">
        <v>1298603</v>
      </c>
      <c r="O120" s="380">
        <v>1938810</v>
      </c>
      <c r="P120" s="380">
        <v>2887105</v>
      </c>
      <c r="Q120" s="380">
        <v>3310445</v>
      </c>
      <c r="R120" s="378">
        <f>SUM(F120:Q120)</f>
        <v>26663757</v>
      </c>
    </row>
    <row r="121" spans="1:18" s="336" customFormat="1" x14ac:dyDescent="0.2">
      <c r="C121" s="32" t="s">
        <v>1066</v>
      </c>
      <c r="E121" s="336" t="s">
        <v>10</v>
      </c>
      <c r="F121" s="378">
        <f t="shared" ref="F121:Q121" si="21">F122-F119-F120</f>
        <v>1787862</v>
      </c>
      <c r="G121" s="378">
        <f t="shared" si="21"/>
        <v>1350276</v>
      </c>
      <c r="H121" s="378">
        <f t="shared" si="21"/>
        <v>1515815</v>
      </c>
      <c r="I121" s="378">
        <f t="shared" si="21"/>
        <v>1136357</v>
      </c>
      <c r="J121" s="378">
        <f t="shared" si="21"/>
        <v>894300</v>
      </c>
      <c r="K121" s="378">
        <f t="shared" si="21"/>
        <v>589925</v>
      </c>
      <c r="L121" s="378">
        <f t="shared" si="21"/>
        <v>491954</v>
      </c>
      <c r="M121" s="378">
        <f t="shared" si="21"/>
        <v>506826</v>
      </c>
      <c r="N121" s="378">
        <f t="shared" si="21"/>
        <v>527214</v>
      </c>
      <c r="O121" s="378">
        <f t="shared" si="21"/>
        <v>911563</v>
      </c>
      <c r="P121" s="378">
        <f t="shared" si="21"/>
        <v>1578849</v>
      </c>
      <c r="Q121" s="378">
        <f t="shared" si="21"/>
        <v>2066356</v>
      </c>
      <c r="R121" s="378">
        <f>SUM(F121:Q121)</f>
        <v>13357297</v>
      </c>
    </row>
    <row r="122" spans="1:18" x14ac:dyDescent="0.2">
      <c r="C122" s="32" t="s">
        <v>1075</v>
      </c>
      <c r="E122" s="32" t="s">
        <v>10</v>
      </c>
      <c r="F122" s="443">
        <f>'JKP-3.1c - Therms Data'!E70</f>
        <v>6678954</v>
      </c>
      <c r="G122" s="443">
        <f>'JKP-3.1c - Therms Data'!F70</f>
        <v>5756196</v>
      </c>
      <c r="H122" s="443">
        <f>'JKP-3.1c - Therms Data'!G70</f>
        <v>6096346</v>
      </c>
      <c r="I122" s="443">
        <f>'JKP-3.1c - Therms Data'!H70</f>
        <v>5248744</v>
      </c>
      <c r="J122" s="443">
        <f>'JKP-3.1c - Therms Data'!I70</f>
        <v>4556788</v>
      </c>
      <c r="K122" s="443">
        <f>'JKP-3.1c - Therms Data'!J70</f>
        <v>3569491</v>
      </c>
      <c r="L122" s="443">
        <f>'JKP-3.1c - Therms Data'!K70</f>
        <v>2925297</v>
      </c>
      <c r="M122" s="443">
        <f>'JKP-3.1c - Therms Data'!L70</f>
        <v>2859421</v>
      </c>
      <c r="N122" s="443">
        <f>'JKP-3.1c - Therms Data'!M70</f>
        <v>3145935</v>
      </c>
      <c r="O122" s="443">
        <f>'JKP-3.1c - Therms Data'!N70</f>
        <v>4405828</v>
      </c>
      <c r="P122" s="443">
        <f>'JKP-3.1c - Therms Data'!O70</f>
        <v>6086833</v>
      </c>
      <c r="Q122" s="443">
        <f>'JKP-3.1c - Therms Data'!P70</f>
        <v>6998517</v>
      </c>
      <c r="R122" s="430">
        <f>SUM(R119:R121)</f>
        <v>58328350</v>
      </c>
    </row>
    <row r="123" spans="1:18" s="336" customFormat="1" x14ac:dyDescent="0.2">
      <c r="B123" s="336" t="s">
        <v>74</v>
      </c>
      <c r="E123" s="336" t="s">
        <v>1076</v>
      </c>
      <c r="F123" s="421">
        <f>'JKP-3.1c - Data'!C162</f>
        <v>345023.82</v>
      </c>
      <c r="G123" s="421">
        <f>'JKP-3.1c - Data'!D162</f>
        <v>345483.82</v>
      </c>
      <c r="H123" s="421">
        <f>'JKP-3.1c - Data'!E162</f>
        <v>343434.82</v>
      </c>
      <c r="I123" s="421">
        <f>'JKP-3.1c - Data'!F162</f>
        <v>344454.82999999996</v>
      </c>
      <c r="J123" s="421">
        <f>'JKP-3.1c - Data'!G162</f>
        <v>343545.81999999995</v>
      </c>
      <c r="K123" s="421">
        <f>'JKP-3.1c - Data'!H162</f>
        <v>347633.82000000007</v>
      </c>
      <c r="L123" s="421">
        <f>'JKP-3.1c - Data'!I162</f>
        <v>349911.64</v>
      </c>
      <c r="M123" s="421">
        <f>'JKP-3.1c - Data'!J162</f>
        <v>346640</v>
      </c>
      <c r="N123" s="421">
        <f>'JKP-3.1c - Data'!K162</f>
        <v>346444</v>
      </c>
      <c r="O123" s="421">
        <f>'JKP-3.1c - Data'!L162</f>
        <v>339453</v>
      </c>
      <c r="P123" s="421">
        <f>'JKP-3.1c - Data'!M162</f>
        <v>337940</v>
      </c>
      <c r="Q123" s="421">
        <f>'JKP-3.1c - Data'!N162</f>
        <v>335944</v>
      </c>
      <c r="R123" s="378">
        <f>SUM(F123:Q123)</f>
        <v>4125909.57</v>
      </c>
    </row>
    <row r="124" spans="1:18" s="336" customFormat="1" x14ac:dyDescent="0.2">
      <c r="B124" s="336" t="s">
        <v>1071</v>
      </c>
      <c r="E124" s="336" t="s">
        <v>67</v>
      </c>
      <c r="F124" s="378">
        <f t="shared" ref="F124:N124" si="22">F117</f>
        <v>1953</v>
      </c>
      <c r="G124" s="378">
        <f t="shared" si="22"/>
        <v>1949</v>
      </c>
      <c r="H124" s="378">
        <f t="shared" si="22"/>
        <v>1949</v>
      </c>
      <c r="I124" s="378">
        <f t="shared" si="22"/>
        <v>1951</v>
      </c>
      <c r="J124" s="378">
        <f t="shared" si="22"/>
        <v>1946</v>
      </c>
      <c r="K124" s="378">
        <f t="shared" si="22"/>
        <v>1952</v>
      </c>
      <c r="L124" s="378">
        <f t="shared" si="22"/>
        <v>1951</v>
      </c>
      <c r="M124" s="378">
        <f t="shared" si="22"/>
        <v>1936</v>
      </c>
      <c r="N124" s="378">
        <f t="shared" si="22"/>
        <v>1923</v>
      </c>
      <c r="O124" s="378">
        <f>O117</f>
        <v>1902</v>
      </c>
      <c r="P124" s="378">
        <f>P117</f>
        <v>1884</v>
      </c>
      <c r="Q124" s="378">
        <f>Q117</f>
        <v>1883</v>
      </c>
      <c r="R124" s="378">
        <f>SUM(F124:Q124)</f>
        <v>23179</v>
      </c>
    </row>
    <row r="125" spans="1:18" x14ac:dyDescent="0.2">
      <c r="F125" s="279"/>
      <c r="G125" s="279"/>
      <c r="H125" s="279"/>
      <c r="I125" s="279"/>
      <c r="J125" s="279"/>
      <c r="K125" s="279"/>
      <c r="L125" s="279"/>
      <c r="M125" s="279"/>
      <c r="N125" s="279"/>
      <c r="O125" s="279"/>
      <c r="P125" s="279"/>
      <c r="Q125" s="279"/>
      <c r="R125" s="279"/>
    </row>
    <row r="126" spans="1:18" x14ac:dyDescent="0.2">
      <c r="B126" s="276" t="s">
        <v>985</v>
      </c>
      <c r="R126" s="277"/>
    </row>
    <row r="127" spans="1:18" x14ac:dyDescent="0.2">
      <c r="A127" s="32" t="s">
        <v>1054</v>
      </c>
      <c r="B127" s="32" t="s">
        <v>1059</v>
      </c>
      <c r="D127" s="32">
        <v>41</v>
      </c>
      <c r="F127" s="364">
        <f t="shared" ref="F127:N127" si="23">F104*F117</f>
        <v>205065</v>
      </c>
      <c r="G127" s="364">
        <f t="shared" si="23"/>
        <v>204645</v>
      </c>
      <c r="H127" s="364">
        <f t="shared" si="23"/>
        <v>204645</v>
      </c>
      <c r="I127" s="364">
        <f t="shared" si="23"/>
        <v>209752.01</v>
      </c>
      <c r="J127" s="364">
        <f t="shared" si="23"/>
        <v>209214.46000000002</v>
      </c>
      <c r="K127" s="364">
        <f t="shared" si="23"/>
        <v>209859.52000000002</v>
      </c>
      <c r="L127" s="364">
        <f t="shared" si="23"/>
        <v>209752.01</v>
      </c>
      <c r="M127" s="364">
        <f t="shared" si="23"/>
        <v>208139.36000000002</v>
      </c>
      <c r="N127" s="364">
        <f t="shared" si="23"/>
        <v>206741.73</v>
      </c>
      <c r="O127" s="364">
        <f>O104*O117</f>
        <v>204484.02000000002</v>
      </c>
      <c r="P127" s="364">
        <f>P104*P117</f>
        <v>202548.84</v>
      </c>
      <c r="Q127" s="364">
        <f>Q104*Q117</f>
        <v>202441.33000000002</v>
      </c>
      <c r="R127" s="341">
        <f>SUM(F127:Q127)</f>
        <v>2477288.2800000003</v>
      </c>
    </row>
    <row r="128" spans="1:18" x14ac:dyDescent="0.2">
      <c r="B128" s="32" t="s">
        <v>1047</v>
      </c>
      <c r="F128" s="364"/>
      <c r="G128" s="364"/>
      <c r="H128" s="364"/>
      <c r="I128" s="364"/>
      <c r="J128" s="364"/>
      <c r="K128" s="364"/>
      <c r="L128" s="364"/>
      <c r="M128" s="364"/>
      <c r="N128" s="364"/>
      <c r="O128" s="364"/>
      <c r="P128" s="364"/>
      <c r="Q128" s="364"/>
      <c r="R128" s="341"/>
    </row>
    <row r="129" spans="1:18" x14ac:dyDescent="0.2">
      <c r="C129" s="32" t="s">
        <v>1073</v>
      </c>
      <c r="F129" s="350">
        <v>0</v>
      </c>
      <c r="G129" s="350">
        <v>0</v>
      </c>
      <c r="H129" s="350">
        <v>0</v>
      </c>
      <c r="I129" s="350">
        <v>0</v>
      </c>
      <c r="J129" s="350">
        <v>0</v>
      </c>
      <c r="K129" s="350">
        <v>0</v>
      </c>
      <c r="L129" s="350">
        <v>0</v>
      </c>
      <c r="M129" s="350">
        <v>0</v>
      </c>
      <c r="N129" s="350">
        <v>0</v>
      </c>
      <c r="O129" s="350">
        <v>0</v>
      </c>
      <c r="P129" s="350">
        <v>0</v>
      </c>
      <c r="Q129" s="350">
        <v>0</v>
      </c>
      <c r="R129" s="350">
        <v>0</v>
      </c>
    </row>
    <row r="130" spans="1:18" x14ac:dyDescent="0.2">
      <c r="C130" s="32" t="s">
        <v>1074</v>
      </c>
      <c r="D130" s="32">
        <v>41</v>
      </c>
      <c r="F130" s="364">
        <f t="shared" ref="F130:Q131" si="24">F106*F120</f>
        <v>430247.75610000006</v>
      </c>
      <c r="G130" s="364">
        <f t="shared" si="24"/>
        <v>367539.74796000001</v>
      </c>
      <c r="H130" s="364">
        <f t="shared" si="24"/>
        <v>389482.74309000006</v>
      </c>
      <c r="I130" s="364">
        <f t="shared" si="24"/>
        <v>336700.21567000001</v>
      </c>
      <c r="J130" s="364">
        <f t="shared" si="24"/>
        <v>282038.13765000005</v>
      </c>
      <c r="K130" s="364">
        <f t="shared" si="24"/>
        <v>212739.44980000003</v>
      </c>
      <c r="L130" s="364">
        <f t="shared" si="24"/>
        <v>168098.66542</v>
      </c>
      <c r="M130" s="364">
        <f t="shared" si="24"/>
        <v>160443.70207000003</v>
      </c>
      <c r="N130" s="364">
        <f t="shared" si="24"/>
        <v>179064.36767000001</v>
      </c>
      <c r="O130" s="364">
        <f t="shared" si="24"/>
        <v>267342.51090000005</v>
      </c>
      <c r="P130" s="364">
        <f t="shared" si="24"/>
        <v>398102.90845000005</v>
      </c>
      <c r="Q130" s="364">
        <f t="shared" si="24"/>
        <v>456477.26105000003</v>
      </c>
      <c r="R130" s="341">
        <f>SUM(F130:Q130)</f>
        <v>3648277.4658300006</v>
      </c>
    </row>
    <row r="131" spans="1:18" x14ac:dyDescent="0.2">
      <c r="C131" s="32" t="s">
        <v>1066</v>
      </c>
      <c r="D131" s="32">
        <v>41</v>
      </c>
      <c r="F131" s="364">
        <f t="shared" si="24"/>
        <v>196486.0338</v>
      </c>
      <c r="G131" s="364">
        <f t="shared" si="24"/>
        <v>148395.33239999998</v>
      </c>
      <c r="H131" s="364">
        <f t="shared" si="24"/>
        <v>166588.06849999999</v>
      </c>
      <c r="I131" s="364">
        <f t="shared" si="24"/>
        <v>127874.25321000001</v>
      </c>
      <c r="J131" s="364">
        <f t="shared" si="24"/>
        <v>100635.579</v>
      </c>
      <c r="K131" s="364">
        <f t="shared" si="24"/>
        <v>66384.260250000007</v>
      </c>
      <c r="L131" s="364">
        <f t="shared" si="24"/>
        <v>55359.583620000005</v>
      </c>
      <c r="M131" s="364">
        <f t="shared" si="24"/>
        <v>57033.129780000003</v>
      </c>
      <c r="N131" s="364">
        <f t="shared" si="24"/>
        <v>59327.39142</v>
      </c>
      <c r="O131" s="364">
        <f t="shared" si="24"/>
        <v>102578.18439000001</v>
      </c>
      <c r="P131" s="364">
        <f t="shared" si="24"/>
        <v>177667.87797</v>
      </c>
      <c r="Q131" s="364">
        <f t="shared" si="24"/>
        <v>232527.04068000001</v>
      </c>
      <c r="R131" s="341">
        <f>SUM(F131:Q131)</f>
        <v>1490856.7350200003</v>
      </c>
    </row>
    <row r="132" spans="1:18" x14ac:dyDescent="0.2">
      <c r="A132" s="32" t="s">
        <v>1054</v>
      </c>
      <c r="C132" s="32" t="s">
        <v>1077</v>
      </c>
      <c r="F132" s="365">
        <f t="shared" ref="F132:R132" si="25">SUM(F129:F131)</f>
        <v>626733.78990000009</v>
      </c>
      <c r="G132" s="365">
        <f t="shared" si="25"/>
        <v>515935.08036000002</v>
      </c>
      <c r="H132" s="365">
        <f t="shared" si="25"/>
        <v>556070.81159000006</v>
      </c>
      <c r="I132" s="365">
        <f t="shared" si="25"/>
        <v>464574.46888</v>
      </c>
      <c r="J132" s="365">
        <f t="shared" si="25"/>
        <v>382673.71665000007</v>
      </c>
      <c r="K132" s="365">
        <f t="shared" si="25"/>
        <v>279123.71005000005</v>
      </c>
      <c r="L132" s="365">
        <f t="shared" si="25"/>
        <v>223458.24904000002</v>
      </c>
      <c r="M132" s="365">
        <f t="shared" si="25"/>
        <v>217476.83185000002</v>
      </c>
      <c r="N132" s="365">
        <f t="shared" si="25"/>
        <v>238391.75909000001</v>
      </c>
      <c r="O132" s="365">
        <f t="shared" si="25"/>
        <v>369920.69529000006</v>
      </c>
      <c r="P132" s="365">
        <f t="shared" si="25"/>
        <v>575770.78642000002</v>
      </c>
      <c r="Q132" s="365">
        <f t="shared" si="25"/>
        <v>689004.30173000006</v>
      </c>
      <c r="R132" s="365">
        <f t="shared" si="25"/>
        <v>5139134.2008500006</v>
      </c>
    </row>
    <row r="133" spans="1:18" x14ac:dyDescent="0.2">
      <c r="A133" s="32" t="s">
        <v>1056</v>
      </c>
      <c r="B133" s="32" t="s">
        <v>1067</v>
      </c>
      <c r="D133" s="32">
        <v>101</v>
      </c>
      <c r="F133" s="364">
        <f t="shared" ref="F133:Q133" si="26">F108*F122</f>
        <v>4481043.8176799994</v>
      </c>
      <c r="G133" s="364">
        <f t="shared" si="26"/>
        <v>3861947.0203199997</v>
      </c>
      <c r="H133" s="364">
        <f t="shared" si="26"/>
        <v>4090160.4583199997</v>
      </c>
      <c r="I133" s="364">
        <f t="shared" si="26"/>
        <v>3521487.32448</v>
      </c>
      <c r="J133" s="364">
        <f t="shared" si="26"/>
        <v>3057240.2049599998</v>
      </c>
      <c r="K133" s="364">
        <f t="shared" si="26"/>
        <v>2394842.90172</v>
      </c>
      <c r="L133" s="364">
        <f t="shared" si="26"/>
        <v>1962640.26324</v>
      </c>
      <c r="M133" s="418">
        <f t="shared" si="26"/>
        <v>1918442.7373199998</v>
      </c>
      <c r="N133" s="364">
        <f t="shared" si="26"/>
        <v>2110670.7102000001</v>
      </c>
      <c r="O133" s="364">
        <f t="shared" si="26"/>
        <v>2955958.12176</v>
      </c>
      <c r="P133" s="364">
        <f t="shared" si="26"/>
        <v>3827278.8537400002</v>
      </c>
      <c r="Q133" s="364">
        <f t="shared" si="26"/>
        <v>4400527.5192600004</v>
      </c>
      <c r="R133" s="341">
        <f>SUM(F133:Q133)</f>
        <v>38582239.932999998</v>
      </c>
    </row>
    <row r="134" spans="1:18" x14ac:dyDescent="0.2">
      <c r="B134" s="32" t="s">
        <v>1068</v>
      </c>
      <c r="F134" s="364"/>
      <c r="G134" s="364"/>
      <c r="H134" s="364"/>
      <c r="I134" s="364"/>
      <c r="J134" s="364"/>
      <c r="K134" s="364"/>
      <c r="L134" s="364"/>
      <c r="M134" s="364"/>
      <c r="N134" s="364"/>
      <c r="O134" s="364"/>
      <c r="P134" s="364"/>
      <c r="Q134" s="364"/>
      <c r="R134" s="341"/>
    </row>
    <row r="135" spans="1:18" x14ac:dyDescent="0.2">
      <c r="A135" s="32" t="s">
        <v>1054</v>
      </c>
      <c r="C135" s="32" t="s">
        <v>1069</v>
      </c>
      <c r="D135" s="32">
        <v>41</v>
      </c>
      <c r="F135" s="364">
        <f t="shared" ref="F135:Q135" si="27">F110*F123</f>
        <v>379526.20200000005</v>
      </c>
      <c r="G135" s="364">
        <f t="shared" si="27"/>
        <v>380032.20200000005</v>
      </c>
      <c r="H135" s="364">
        <f t="shared" si="27"/>
        <v>377778.30200000003</v>
      </c>
      <c r="I135" s="364">
        <f t="shared" si="27"/>
        <v>382344.86129999999</v>
      </c>
      <c r="J135" s="364">
        <f t="shared" si="27"/>
        <v>381335.8602</v>
      </c>
      <c r="K135" s="364">
        <f t="shared" si="27"/>
        <v>385873.5402000001</v>
      </c>
      <c r="L135" s="364">
        <f t="shared" si="27"/>
        <v>388401.92040000006</v>
      </c>
      <c r="M135" s="364">
        <f t="shared" si="27"/>
        <v>384770.4</v>
      </c>
      <c r="N135" s="364">
        <f t="shared" si="27"/>
        <v>384552.84</v>
      </c>
      <c r="O135" s="364">
        <f t="shared" si="27"/>
        <v>376792.83</v>
      </c>
      <c r="P135" s="364">
        <f t="shared" si="27"/>
        <v>375113.4</v>
      </c>
      <c r="Q135" s="364">
        <f t="shared" si="27"/>
        <v>372897.84</v>
      </c>
      <c r="R135" s="341">
        <f>SUM(F135:Q135)</f>
        <v>4569420.1981000006</v>
      </c>
    </row>
    <row r="136" spans="1:18" x14ac:dyDescent="0.2">
      <c r="A136" s="32" t="s">
        <v>1056</v>
      </c>
      <c r="C136" s="32" t="s">
        <v>1070</v>
      </c>
      <c r="D136" s="32">
        <v>101</v>
      </c>
      <c r="F136" s="364">
        <f t="shared" ref="F136:Q136" si="28">F111*F123</f>
        <v>362275.011</v>
      </c>
      <c r="G136" s="364">
        <f t="shared" si="28"/>
        <v>362758.011</v>
      </c>
      <c r="H136" s="364">
        <f t="shared" si="28"/>
        <v>360606.56100000005</v>
      </c>
      <c r="I136" s="364">
        <f t="shared" si="28"/>
        <v>361677.57149999996</v>
      </c>
      <c r="J136" s="364">
        <f t="shared" si="28"/>
        <v>360723.11099999998</v>
      </c>
      <c r="K136" s="364">
        <f t="shared" si="28"/>
        <v>365015.51100000006</v>
      </c>
      <c r="L136" s="364">
        <f t="shared" si="28"/>
        <v>367407.22200000001</v>
      </c>
      <c r="M136" s="418">
        <f t="shared" si="28"/>
        <v>363972</v>
      </c>
      <c r="N136" s="364">
        <f t="shared" si="28"/>
        <v>363766.2</v>
      </c>
      <c r="O136" s="364">
        <f t="shared" si="28"/>
        <v>356425.65</v>
      </c>
      <c r="P136" s="364">
        <f t="shared" si="28"/>
        <v>354837</v>
      </c>
      <c r="Q136" s="364">
        <f t="shared" si="28"/>
        <v>352741.2</v>
      </c>
      <c r="R136" s="341">
        <f>SUM(F136:Q136)</f>
        <v>4332205.0485000005</v>
      </c>
    </row>
    <row r="137" spans="1:18" x14ac:dyDescent="0.2">
      <c r="C137" s="32" t="s">
        <v>1078</v>
      </c>
      <c r="F137" s="365">
        <f t="shared" ref="F137:N137" si="29">SUM(F135:F136)</f>
        <v>741801.21299999999</v>
      </c>
      <c r="G137" s="365">
        <f t="shared" si="29"/>
        <v>742790.21299999999</v>
      </c>
      <c r="H137" s="365">
        <f t="shared" si="29"/>
        <v>738384.86300000013</v>
      </c>
      <c r="I137" s="365">
        <f t="shared" si="29"/>
        <v>744022.43279999995</v>
      </c>
      <c r="J137" s="365">
        <f t="shared" si="29"/>
        <v>742058.97120000003</v>
      </c>
      <c r="K137" s="365">
        <f t="shared" si="29"/>
        <v>750889.0512000001</v>
      </c>
      <c r="L137" s="365">
        <f t="shared" si="29"/>
        <v>755809.14240000001</v>
      </c>
      <c r="M137" s="365">
        <f t="shared" si="29"/>
        <v>748742.4</v>
      </c>
      <c r="N137" s="365">
        <f t="shared" si="29"/>
        <v>748319.04</v>
      </c>
      <c r="O137" s="365">
        <f>SUM(O135:O136)</f>
        <v>733218.48</v>
      </c>
      <c r="P137" s="365">
        <f>SUM(P135:P136)</f>
        <v>729950.4</v>
      </c>
      <c r="Q137" s="365">
        <f>SUM(Q135:Q136)</f>
        <v>725639.04</v>
      </c>
      <c r="R137" s="365">
        <f>SUM(R135:R136)</f>
        <v>8901625.2466000021</v>
      </c>
    </row>
    <row r="138" spans="1:18" s="336" customFormat="1" x14ac:dyDescent="0.2">
      <c r="A138" s="336" t="s">
        <v>1054</v>
      </c>
      <c r="B138" s="336" t="s">
        <v>1071</v>
      </c>
      <c r="D138" s="336">
        <v>41</v>
      </c>
      <c r="F138" s="418">
        <f t="shared" ref="F138:Q138" si="30">F124*F112</f>
        <v>236703.6</v>
      </c>
      <c r="G138" s="418">
        <f t="shared" si="30"/>
        <v>236218.80000000002</v>
      </c>
      <c r="H138" s="418">
        <f t="shared" si="30"/>
        <v>236218.80000000002</v>
      </c>
      <c r="I138" s="418">
        <f t="shared" si="30"/>
        <v>242119.09999999998</v>
      </c>
      <c r="J138" s="418">
        <f t="shared" si="30"/>
        <v>241498.59999999998</v>
      </c>
      <c r="K138" s="418">
        <f t="shared" si="30"/>
        <v>242243.19999999998</v>
      </c>
      <c r="L138" s="418">
        <f t="shared" si="30"/>
        <v>242119.09999999998</v>
      </c>
      <c r="M138" s="418">
        <f t="shared" si="30"/>
        <v>240257.59999999998</v>
      </c>
      <c r="N138" s="418">
        <f t="shared" si="30"/>
        <v>238644.3</v>
      </c>
      <c r="O138" s="418">
        <f t="shared" si="30"/>
        <v>236038.19999999998</v>
      </c>
      <c r="P138" s="418">
        <f t="shared" si="30"/>
        <v>233804.4</v>
      </c>
      <c r="Q138" s="418">
        <f t="shared" si="30"/>
        <v>233680.3</v>
      </c>
      <c r="R138" s="437">
        <f>SUM(F138:Q138)</f>
        <v>2859545.9999999995</v>
      </c>
    </row>
    <row r="139" spans="1:18" s="390" customFormat="1" x14ac:dyDescent="0.2">
      <c r="B139" s="390" t="s">
        <v>1079</v>
      </c>
      <c r="F139" s="417">
        <f>F133+F136</f>
        <v>4843318.8286799993</v>
      </c>
      <c r="G139" s="417">
        <f t="shared" ref="G139:N139" si="31">G133+G136</f>
        <v>4224705.0313200001</v>
      </c>
      <c r="H139" s="417">
        <f t="shared" si="31"/>
        <v>4450767.01932</v>
      </c>
      <c r="I139" s="417">
        <f t="shared" si="31"/>
        <v>3883164.89598</v>
      </c>
      <c r="J139" s="417">
        <f t="shared" si="31"/>
        <v>3417963.3159599998</v>
      </c>
      <c r="K139" s="417">
        <f t="shared" si="31"/>
        <v>2759858.4127199999</v>
      </c>
      <c r="L139" s="417">
        <f t="shared" si="31"/>
        <v>2330047.4852399998</v>
      </c>
      <c r="M139" s="417">
        <f t="shared" si="31"/>
        <v>2282414.7373199998</v>
      </c>
      <c r="N139" s="417">
        <f t="shared" si="31"/>
        <v>2474436.9102000003</v>
      </c>
      <c r="O139" s="417">
        <f>O133+O136</f>
        <v>3312383.7717599999</v>
      </c>
      <c r="P139" s="417">
        <f>P133+P136</f>
        <v>4182115.8537400002</v>
      </c>
      <c r="Q139" s="417">
        <f>Q133+Q136</f>
        <v>4753268.7192600006</v>
      </c>
      <c r="R139" s="417">
        <f>R133+R136</f>
        <v>42914444.9815</v>
      </c>
    </row>
    <row r="140" spans="1:18" x14ac:dyDescent="0.2">
      <c r="B140" s="32" t="s">
        <v>986</v>
      </c>
      <c r="F140" s="365">
        <f>F127+F132+F133+F137+F138</f>
        <v>6291347.4205799997</v>
      </c>
      <c r="G140" s="365">
        <f t="shared" ref="G140:R140" si="32">G127+G132+G133+G137+G138</f>
        <v>5561536.1136799986</v>
      </c>
      <c r="H140" s="365">
        <f t="shared" si="32"/>
        <v>5825479.93291</v>
      </c>
      <c r="I140" s="365">
        <f t="shared" si="32"/>
        <v>5181955.3361599995</v>
      </c>
      <c r="J140" s="365">
        <f t="shared" si="32"/>
        <v>4632685.9528099988</v>
      </c>
      <c r="K140" s="365">
        <f t="shared" si="32"/>
        <v>3876958.3829700002</v>
      </c>
      <c r="L140" s="365">
        <f t="shared" si="32"/>
        <v>3393778.7646800005</v>
      </c>
      <c r="M140" s="365">
        <f t="shared" si="32"/>
        <v>3333058.9291699999</v>
      </c>
      <c r="N140" s="365">
        <f t="shared" si="32"/>
        <v>3542767.5392899998</v>
      </c>
      <c r="O140" s="365">
        <f t="shared" si="32"/>
        <v>4499619.5170500008</v>
      </c>
      <c r="P140" s="365">
        <f t="shared" si="32"/>
        <v>5569353.2801600005</v>
      </c>
      <c r="Q140" s="365">
        <f t="shared" si="32"/>
        <v>6251292.4909899998</v>
      </c>
      <c r="R140" s="365">
        <f t="shared" si="32"/>
        <v>57959833.660450004</v>
      </c>
    </row>
    <row r="141" spans="1:18" s="336" customFormat="1" x14ac:dyDescent="0.2">
      <c r="F141" s="418"/>
      <c r="G141" s="418"/>
      <c r="H141" s="418"/>
      <c r="I141" s="418"/>
      <c r="J141" s="418"/>
      <c r="K141" s="418"/>
      <c r="L141" s="418"/>
      <c r="M141" s="418"/>
      <c r="N141" s="418"/>
      <c r="O141" s="418"/>
      <c r="P141" s="418"/>
      <c r="Q141" s="418"/>
      <c r="R141" s="437"/>
    </row>
    <row r="142" spans="1:18" s="336" customFormat="1" x14ac:dyDescent="0.2">
      <c r="A142" s="336" t="s">
        <v>1058</v>
      </c>
      <c r="B142" s="336" t="s">
        <v>1050</v>
      </c>
      <c r="F142" s="418">
        <f>F113*F122+F123*F114</f>
        <v>4632511.55076</v>
      </c>
      <c r="G142" s="418">
        <f t="shared" ref="G142:Q142" si="33">G113*G122+G123*G114</f>
        <v>4040616.2802399998</v>
      </c>
      <c r="H142" s="418">
        <f t="shared" si="33"/>
        <v>4256923.1712400001</v>
      </c>
      <c r="I142" s="418">
        <f t="shared" si="33"/>
        <v>3713833.5533599998</v>
      </c>
      <c r="J142" s="418">
        <f t="shared" si="33"/>
        <v>3268730.3087199996</v>
      </c>
      <c r="K142" s="418">
        <f t="shared" si="33"/>
        <v>2639032.8725399999</v>
      </c>
      <c r="L142" s="418">
        <f t="shared" si="33"/>
        <v>2227776.7961800001</v>
      </c>
      <c r="M142" s="418">
        <f t="shared" si="33"/>
        <v>2182216.7167400001</v>
      </c>
      <c r="N142" s="418">
        <f t="shared" si="33"/>
        <v>2365945.5138999997</v>
      </c>
      <c r="O142" s="418">
        <f t="shared" si="33"/>
        <v>3167730.2263199999</v>
      </c>
      <c r="P142" s="418">
        <f t="shared" si="33"/>
        <v>3999717.8644699999</v>
      </c>
      <c r="Q142" s="418">
        <f t="shared" si="33"/>
        <v>4546181.8420299999</v>
      </c>
      <c r="R142" s="437">
        <f>SUM(F142:Q142)</f>
        <v>41041216.696500003</v>
      </c>
    </row>
    <row r="143" spans="1:18" s="336" customFormat="1" x14ac:dyDescent="0.2">
      <c r="F143" s="418"/>
      <c r="G143" s="418"/>
      <c r="H143" s="418"/>
      <c r="I143" s="418"/>
      <c r="J143" s="418"/>
      <c r="K143" s="418"/>
      <c r="L143" s="418"/>
      <c r="M143" s="418"/>
      <c r="N143" s="418"/>
      <c r="O143" s="418"/>
      <c r="P143" s="418"/>
      <c r="Q143" s="418"/>
      <c r="R143" s="437"/>
    </row>
    <row r="144" spans="1:18" x14ac:dyDescent="0.2">
      <c r="B144" s="276" t="s">
        <v>1080</v>
      </c>
      <c r="C144" s="276"/>
      <c r="F144" s="390"/>
      <c r="G144" s="390"/>
      <c r="H144" s="390"/>
      <c r="I144" s="390"/>
      <c r="J144" s="390"/>
    </row>
    <row r="145" spans="1:18" x14ac:dyDescent="0.2">
      <c r="B145" s="276" t="s">
        <v>5</v>
      </c>
      <c r="C145" s="276"/>
      <c r="F145" s="390"/>
      <c r="G145" s="390"/>
      <c r="H145" s="390"/>
      <c r="I145" s="390"/>
      <c r="J145" s="390"/>
    </row>
    <row r="146" spans="1:18" x14ac:dyDescent="0.2">
      <c r="B146" s="32" t="s">
        <v>1059</v>
      </c>
      <c r="D146" s="444" t="s">
        <v>808</v>
      </c>
      <c r="E146" s="32" t="s">
        <v>976</v>
      </c>
      <c r="F146" s="414">
        <v>405</v>
      </c>
      <c r="G146" s="414">
        <v>405</v>
      </c>
      <c r="H146" s="414">
        <v>405</v>
      </c>
      <c r="I146" s="414">
        <v>414.68</v>
      </c>
      <c r="J146" s="414">
        <v>414.68</v>
      </c>
      <c r="K146" s="414">
        <v>414.68</v>
      </c>
      <c r="L146" s="414">
        <v>414.68</v>
      </c>
      <c r="M146" s="414">
        <v>414.68</v>
      </c>
      <c r="N146" s="414">
        <v>414.68</v>
      </c>
      <c r="O146" s="414">
        <v>414.68</v>
      </c>
      <c r="P146" s="414">
        <v>414.68</v>
      </c>
      <c r="Q146" s="414">
        <v>414.68</v>
      </c>
    </row>
    <row r="147" spans="1:18" x14ac:dyDescent="0.2">
      <c r="B147" s="32" t="s">
        <v>1047</v>
      </c>
      <c r="D147" s="444"/>
      <c r="F147" s="393"/>
      <c r="G147" s="393"/>
      <c r="H147" s="393"/>
      <c r="I147" s="393"/>
      <c r="J147" s="393"/>
      <c r="K147" s="393"/>
      <c r="L147" s="393"/>
      <c r="M147" s="393"/>
      <c r="N147" s="393"/>
      <c r="O147" s="393"/>
      <c r="P147" s="393"/>
      <c r="Q147" s="393"/>
    </row>
    <row r="148" spans="1:18" x14ac:dyDescent="0.2">
      <c r="C148" s="32" t="s">
        <v>1065</v>
      </c>
      <c r="D148" s="444" t="s">
        <v>808</v>
      </c>
      <c r="E148" s="32" t="s">
        <v>957</v>
      </c>
      <c r="F148" s="395">
        <v>0.13467000000000001</v>
      </c>
      <c r="G148" s="395">
        <v>0.13467000000000001</v>
      </c>
      <c r="H148" s="395">
        <v>0.13467000000000001</v>
      </c>
      <c r="I148" s="395">
        <v>0.13789000000000001</v>
      </c>
      <c r="J148" s="395">
        <v>0.13789000000000001</v>
      </c>
      <c r="K148" s="395">
        <v>0.13789000000000001</v>
      </c>
      <c r="L148" s="395">
        <v>0.13789000000000001</v>
      </c>
      <c r="M148" s="395">
        <v>0.13789000000000001</v>
      </c>
      <c r="N148" s="395">
        <v>0.13789000000000001</v>
      </c>
      <c r="O148" s="395">
        <v>0.13789000000000001</v>
      </c>
      <c r="P148" s="395">
        <v>0.13789000000000001</v>
      </c>
      <c r="Q148" s="395">
        <v>0.13789000000000001</v>
      </c>
    </row>
    <row r="149" spans="1:18" x14ac:dyDescent="0.2">
      <c r="C149" s="32" t="s">
        <v>1066</v>
      </c>
      <c r="D149" s="444" t="s">
        <v>808</v>
      </c>
      <c r="E149" s="32" t="s">
        <v>957</v>
      </c>
      <c r="F149" s="395">
        <v>0.1099</v>
      </c>
      <c r="G149" s="395">
        <v>0.1099</v>
      </c>
      <c r="H149" s="395">
        <v>0.1099</v>
      </c>
      <c r="I149" s="395">
        <v>0.11253000000000001</v>
      </c>
      <c r="J149" s="395">
        <v>0.11253000000000001</v>
      </c>
      <c r="K149" s="395">
        <v>0.11253000000000001</v>
      </c>
      <c r="L149" s="395">
        <v>0.11253000000000001</v>
      </c>
      <c r="M149" s="395">
        <v>0.11253000000000001</v>
      </c>
      <c r="N149" s="395">
        <v>0.11253000000000001</v>
      </c>
      <c r="O149" s="395">
        <v>0.11253000000000001</v>
      </c>
      <c r="P149" s="395">
        <v>0.11253000000000001</v>
      </c>
      <c r="Q149" s="395">
        <v>0.11253000000000001</v>
      </c>
    </row>
    <row r="150" spans="1:18" x14ac:dyDescent="0.2">
      <c r="B150" s="336" t="s">
        <v>1081</v>
      </c>
      <c r="D150" s="444" t="s">
        <v>808</v>
      </c>
      <c r="E150" s="32" t="s">
        <v>957</v>
      </c>
      <c r="F150" s="395">
        <v>6.9999999999999999E-4</v>
      </c>
      <c r="G150" s="395">
        <v>6.9999999999999999E-4</v>
      </c>
      <c r="H150" s="395">
        <v>6.9999999999999999E-4</v>
      </c>
      <c r="I150" s="395">
        <v>6.9999999999999999E-4</v>
      </c>
      <c r="J150" s="395">
        <v>6.9999999999999999E-4</v>
      </c>
      <c r="K150" s="395">
        <v>6.9999999999999999E-4</v>
      </c>
      <c r="L150" s="395">
        <v>6.9999999999999999E-4</v>
      </c>
      <c r="M150" s="395">
        <v>6.9999999999999999E-4</v>
      </c>
      <c r="N150" s="395">
        <v>6.9999999999999999E-4</v>
      </c>
      <c r="O150" s="395">
        <v>6.9999999999999999E-4</v>
      </c>
      <c r="P150" s="395">
        <v>6.9999999999999999E-4</v>
      </c>
      <c r="Q150" s="395">
        <v>6.9999999999999999E-4</v>
      </c>
    </row>
    <row r="151" spans="1:18" x14ac:dyDescent="0.2">
      <c r="B151" s="32" t="s">
        <v>1082</v>
      </c>
      <c r="D151" s="444" t="s">
        <v>808</v>
      </c>
      <c r="E151" s="32" t="s">
        <v>957</v>
      </c>
      <c r="F151" s="395">
        <v>-5.0000000000000001E-3</v>
      </c>
      <c r="G151" s="395">
        <v>-5.0000000000000001E-3</v>
      </c>
      <c r="H151" s="395">
        <v>-5.0000000000000001E-3</v>
      </c>
      <c r="I151" s="395">
        <v>-5.0699999999999999E-3</v>
      </c>
      <c r="J151" s="395">
        <v>-5.0699999999999999E-3</v>
      </c>
      <c r="K151" s="395">
        <v>-5.0699999999999999E-3</v>
      </c>
      <c r="L151" s="395">
        <v>-5.0699999999999999E-3</v>
      </c>
      <c r="M151" s="395">
        <v>-5.0699999999999999E-3</v>
      </c>
      <c r="N151" s="395">
        <v>-5.0699999999999999E-3</v>
      </c>
      <c r="O151" s="395">
        <v>-5.0699999999999999E-3</v>
      </c>
      <c r="P151" s="395">
        <v>-5.0699999999999999E-3</v>
      </c>
      <c r="Q151" s="395">
        <v>-5.0699999999999999E-3</v>
      </c>
    </row>
    <row r="152" spans="1:18" x14ac:dyDescent="0.2">
      <c r="A152" s="336"/>
      <c r="B152" s="32" t="s">
        <v>1069</v>
      </c>
      <c r="D152" s="444" t="s">
        <v>808</v>
      </c>
      <c r="E152" s="32" t="s">
        <v>957</v>
      </c>
      <c r="F152" s="414">
        <v>1.1000000000000001</v>
      </c>
      <c r="G152" s="414">
        <v>1.1000000000000001</v>
      </c>
      <c r="H152" s="414">
        <v>1.1000000000000001</v>
      </c>
      <c r="I152" s="414">
        <v>1.1100000000000001</v>
      </c>
      <c r="J152" s="414">
        <v>1.1100000000000001</v>
      </c>
      <c r="K152" s="414">
        <v>1.1100000000000001</v>
      </c>
      <c r="L152" s="414">
        <v>1.1100000000000001</v>
      </c>
      <c r="M152" s="414">
        <v>1.1100000000000001</v>
      </c>
      <c r="N152" s="414">
        <v>1.1100000000000001</v>
      </c>
      <c r="O152" s="414">
        <v>1.1100000000000001</v>
      </c>
      <c r="P152" s="414">
        <v>1.1100000000000001</v>
      </c>
      <c r="Q152" s="414">
        <v>1.1100000000000001</v>
      </c>
    </row>
    <row r="153" spans="1:18" x14ac:dyDescent="0.2">
      <c r="B153" s="32" t="s">
        <v>1071</v>
      </c>
      <c r="D153" s="444" t="s">
        <v>808</v>
      </c>
      <c r="E153" s="32" t="s">
        <v>67</v>
      </c>
      <c r="F153" s="414">
        <v>121.2</v>
      </c>
      <c r="G153" s="414">
        <v>121.2</v>
      </c>
      <c r="H153" s="414">
        <v>121.2</v>
      </c>
      <c r="I153" s="414">
        <v>124.1</v>
      </c>
      <c r="J153" s="414">
        <v>124.1</v>
      </c>
      <c r="K153" s="414">
        <v>124.1</v>
      </c>
      <c r="L153" s="414">
        <v>124.1</v>
      </c>
      <c r="M153" s="414">
        <v>124.1</v>
      </c>
      <c r="N153" s="414">
        <v>124.1</v>
      </c>
      <c r="O153" s="414">
        <v>124.1</v>
      </c>
      <c r="P153" s="414">
        <v>124.1</v>
      </c>
      <c r="Q153" s="414">
        <v>124.1</v>
      </c>
    </row>
    <row r="155" spans="1:18" x14ac:dyDescent="0.2">
      <c r="B155" s="276" t="s">
        <v>1083</v>
      </c>
    </row>
    <row r="156" spans="1:18" x14ac:dyDescent="0.2">
      <c r="B156" s="32" t="s">
        <v>67</v>
      </c>
      <c r="E156" s="32" t="s">
        <v>67</v>
      </c>
      <c r="F156" s="397">
        <f>'JKP-3.1c - Data'!C143</f>
        <v>10</v>
      </c>
      <c r="G156" s="397">
        <f>'JKP-3.1c - Data'!D143</f>
        <v>10</v>
      </c>
      <c r="H156" s="397">
        <f>'JKP-3.1c - Data'!E143</f>
        <v>10</v>
      </c>
      <c r="I156" s="397">
        <f>'JKP-3.1c - Data'!F143</f>
        <v>10</v>
      </c>
      <c r="J156" s="397">
        <f>'JKP-3.1c - Data'!G143</f>
        <v>10</v>
      </c>
      <c r="K156" s="397">
        <f>'JKP-3.1c - Data'!H143</f>
        <v>10</v>
      </c>
      <c r="L156" s="397">
        <f>'JKP-3.1c - Data'!I143</f>
        <v>10</v>
      </c>
      <c r="M156" s="397">
        <f>'JKP-3.1c - Data'!J143</f>
        <v>10</v>
      </c>
      <c r="N156" s="397">
        <f>'JKP-3.1c - Data'!K143</f>
        <v>11</v>
      </c>
      <c r="O156" s="397">
        <f>'JKP-3.1c - Data'!L143</f>
        <v>12</v>
      </c>
      <c r="P156" s="397">
        <f>'JKP-3.1c - Data'!M143</f>
        <v>20</v>
      </c>
      <c r="Q156" s="397">
        <f>'JKP-3.1c - Data'!N143</f>
        <v>30</v>
      </c>
      <c r="R156" s="398">
        <f>SUM(F156:Q156)</f>
        <v>153</v>
      </c>
    </row>
    <row r="157" spans="1:18" x14ac:dyDescent="0.2">
      <c r="B157" s="32" t="s">
        <v>76</v>
      </c>
      <c r="D157" s="336"/>
      <c r="E157" s="336"/>
      <c r="F157" s="380"/>
      <c r="G157" s="380"/>
      <c r="H157" s="380"/>
      <c r="I157" s="380"/>
      <c r="J157" s="380"/>
      <c r="K157" s="380"/>
      <c r="L157" s="380"/>
      <c r="M157" s="380"/>
      <c r="N157" s="380"/>
      <c r="O157" s="380"/>
      <c r="P157" s="380"/>
      <c r="Q157" s="380"/>
      <c r="R157" s="378"/>
    </row>
    <row r="158" spans="1:18" x14ac:dyDescent="0.2">
      <c r="C158" s="32" t="s">
        <v>1073</v>
      </c>
      <c r="D158" s="444" t="s">
        <v>808</v>
      </c>
      <c r="E158" s="336" t="s">
        <v>10</v>
      </c>
      <c r="F158" s="380">
        <v>9000</v>
      </c>
      <c r="G158" s="380">
        <v>9000</v>
      </c>
      <c r="H158" s="380">
        <v>9000</v>
      </c>
      <c r="I158" s="380">
        <v>9000</v>
      </c>
      <c r="J158" s="380">
        <v>9000</v>
      </c>
      <c r="K158" s="380">
        <v>9000</v>
      </c>
      <c r="L158" s="380">
        <v>9000</v>
      </c>
      <c r="M158" s="380">
        <v>8730</v>
      </c>
      <c r="N158" s="380">
        <v>10283</v>
      </c>
      <c r="O158" s="380">
        <v>10800</v>
      </c>
      <c r="P158" s="380">
        <v>18000</v>
      </c>
      <c r="Q158" s="380">
        <v>27000</v>
      </c>
      <c r="R158" s="378">
        <f t="shared" ref="R158:R163" si="34">SUM(F158:Q158)</f>
        <v>137813</v>
      </c>
    </row>
    <row r="159" spans="1:18" s="336" customFormat="1" x14ac:dyDescent="0.2">
      <c r="C159" s="32" t="s">
        <v>1074</v>
      </c>
      <c r="D159" s="444" t="s">
        <v>808</v>
      </c>
      <c r="E159" s="336" t="s">
        <v>10</v>
      </c>
      <c r="F159" s="380">
        <v>33855</v>
      </c>
      <c r="G159" s="380">
        <v>32604</v>
      </c>
      <c r="H159" s="380">
        <v>33321</v>
      </c>
      <c r="I159" s="380">
        <v>31834</v>
      </c>
      <c r="J159" s="380">
        <v>31568</v>
      </c>
      <c r="K159" s="380">
        <v>28419</v>
      </c>
      <c r="L159" s="380">
        <v>27720</v>
      </c>
      <c r="M159" s="380">
        <v>24993</v>
      </c>
      <c r="N159" s="380">
        <v>32804</v>
      </c>
      <c r="O159" s="380">
        <v>35856</v>
      </c>
      <c r="P159" s="380">
        <v>71760</v>
      </c>
      <c r="Q159" s="380">
        <v>112844</v>
      </c>
      <c r="R159" s="378">
        <f t="shared" si="34"/>
        <v>497578</v>
      </c>
    </row>
    <row r="160" spans="1:18" s="336" customFormat="1" x14ac:dyDescent="0.2">
      <c r="C160" s="32" t="s">
        <v>1066</v>
      </c>
      <c r="D160" s="444" t="s">
        <v>808</v>
      </c>
      <c r="E160" s="336" t="s">
        <v>10</v>
      </c>
      <c r="F160" s="378">
        <f t="shared" ref="F160:Q160" si="35">F161-F158-F159</f>
        <v>57836</v>
      </c>
      <c r="G160" s="378">
        <f t="shared" si="35"/>
        <v>55602</v>
      </c>
      <c r="H160" s="378">
        <f t="shared" si="35"/>
        <v>75339</v>
      </c>
      <c r="I160" s="378">
        <f t="shared" si="35"/>
        <v>73828</v>
      </c>
      <c r="J160" s="378">
        <f t="shared" si="35"/>
        <v>62393</v>
      </c>
      <c r="K160" s="378">
        <f t="shared" si="35"/>
        <v>52202</v>
      </c>
      <c r="L160" s="378">
        <f t="shared" si="35"/>
        <v>59668</v>
      </c>
      <c r="M160" s="378">
        <f t="shared" si="35"/>
        <v>56940</v>
      </c>
      <c r="N160" s="378">
        <f t="shared" si="35"/>
        <v>88560</v>
      </c>
      <c r="O160" s="378">
        <f t="shared" si="35"/>
        <v>90619</v>
      </c>
      <c r="P160" s="378">
        <f t="shared" si="35"/>
        <v>138545</v>
      </c>
      <c r="Q160" s="378">
        <f t="shared" si="35"/>
        <v>178640</v>
      </c>
      <c r="R160" s="378">
        <f t="shared" si="34"/>
        <v>990172</v>
      </c>
    </row>
    <row r="161" spans="1:18" x14ac:dyDescent="0.2">
      <c r="C161" s="32" t="s">
        <v>1075</v>
      </c>
      <c r="D161" s="444" t="s">
        <v>808</v>
      </c>
      <c r="E161" s="32" t="s">
        <v>10</v>
      </c>
      <c r="F161" s="443">
        <f>'JKP-3.1c - Therms Data'!E71</f>
        <v>100691</v>
      </c>
      <c r="G161" s="443">
        <f>'JKP-3.1c - Therms Data'!F71</f>
        <v>97206</v>
      </c>
      <c r="H161" s="443">
        <f>'JKP-3.1c - Therms Data'!G71</f>
        <v>117660</v>
      </c>
      <c r="I161" s="443">
        <f>'JKP-3.1c - Therms Data'!H71</f>
        <v>114662</v>
      </c>
      <c r="J161" s="443">
        <f>'JKP-3.1c - Therms Data'!I71</f>
        <v>102961</v>
      </c>
      <c r="K161" s="443">
        <f>'JKP-3.1c - Therms Data'!J71</f>
        <v>89621</v>
      </c>
      <c r="L161" s="443">
        <f>'JKP-3.1c - Therms Data'!K71</f>
        <v>96388</v>
      </c>
      <c r="M161" s="443">
        <f>'JKP-3.1c - Therms Data'!L71</f>
        <v>90663</v>
      </c>
      <c r="N161" s="443">
        <f>'JKP-3.1c - Therms Data'!M71</f>
        <v>131647</v>
      </c>
      <c r="O161" s="443">
        <f>'JKP-3.1c - Therms Data'!N71</f>
        <v>137275</v>
      </c>
      <c r="P161" s="443">
        <f>'JKP-3.1c - Therms Data'!O71</f>
        <v>228305</v>
      </c>
      <c r="Q161" s="443">
        <f>'JKP-3.1c - Therms Data'!P71</f>
        <v>318484</v>
      </c>
      <c r="R161" s="430">
        <f t="shared" si="34"/>
        <v>1625563</v>
      </c>
    </row>
    <row r="162" spans="1:18" s="336" customFormat="1" x14ac:dyDescent="0.2">
      <c r="B162" s="336" t="s">
        <v>74</v>
      </c>
      <c r="D162" s="444" t="s">
        <v>808</v>
      </c>
      <c r="E162" s="336" t="s">
        <v>1076</v>
      </c>
      <c r="F162" s="421">
        <f>'JKP-3.1c - Data'!C164</f>
        <v>6680</v>
      </c>
      <c r="G162" s="421">
        <f>'JKP-3.1c - Data'!D164</f>
        <v>6680</v>
      </c>
      <c r="H162" s="421">
        <f>'JKP-3.1c - Data'!E164</f>
        <v>6680</v>
      </c>
      <c r="I162" s="421">
        <f>'JKP-3.1c - Data'!F164</f>
        <v>6680</v>
      </c>
      <c r="J162" s="421">
        <f>'JKP-3.1c - Data'!G164</f>
        <v>6679.9999999999991</v>
      </c>
      <c r="K162" s="421">
        <f>'JKP-3.1c - Data'!H164</f>
        <v>6680</v>
      </c>
      <c r="L162" s="421">
        <f>'JKP-3.1c - Data'!I164</f>
        <v>5996</v>
      </c>
      <c r="M162" s="421">
        <f>'JKP-3.1c - Data'!J164</f>
        <v>5996</v>
      </c>
      <c r="N162" s="421">
        <f>'JKP-3.1c - Data'!K164</f>
        <v>5996</v>
      </c>
      <c r="O162" s="421">
        <f>'JKP-3.1c - Data'!L164</f>
        <v>8026</v>
      </c>
      <c r="P162" s="421">
        <f>'JKP-3.1c - Data'!M164</f>
        <v>8026</v>
      </c>
      <c r="Q162" s="421">
        <f>'JKP-3.1c - Data'!N164</f>
        <v>12103</v>
      </c>
      <c r="R162" s="378">
        <f t="shared" si="34"/>
        <v>86223</v>
      </c>
    </row>
    <row r="163" spans="1:18" s="336" customFormat="1" x14ac:dyDescent="0.2">
      <c r="B163" s="336" t="s">
        <v>1071</v>
      </c>
      <c r="D163" s="444" t="s">
        <v>808</v>
      </c>
      <c r="E163" s="336" t="s">
        <v>67</v>
      </c>
      <c r="F163" s="398">
        <f t="shared" ref="F163:M163" si="36">F156</f>
        <v>10</v>
      </c>
      <c r="G163" s="398">
        <f t="shared" si="36"/>
        <v>10</v>
      </c>
      <c r="H163" s="398">
        <f t="shared" si="36"/>
        <v>10</v>
      </c>
      <c r="I163" s="398">
        <f t="shared" si="36"/>
        <v>10</v>
      </c>
      <c r="J163" s="398">
        <f t="shared" si="36"/>
        <v>10</v>
      </c>
      <c r="K163" s="398">
        <f t="shared" si="36"/>
        <v>10</v>
      </c>
      <c r="L163" s="398">
        <f t="shared" si="36"/>
        <v>10</v>
      </c>
      <c r="M163" s="398">
        <f t="shared" si="36"/>
        <v>10</v>
      </c>
      <c r="N163" s="398">
        <f>N156</f>
        <v>11</v>
      </c>
      <c r="O163" s="398">
        <f>O156</f>
        <v>12</v>
      </c>
      <c r="P163" s="398">
        <f>P156</f>
        <v>20</v>
      </c>
      <c r="Q163" s="398">
        <f>Q156</f>
        <v>30</v>
      </c>
      <c r="R163" s="398">
        <f t="shared" si="34"/>
        <v>153</v>
      </c>
    </row>
    <row r="164" spans="1:18" x14ac:dyDescent="0.2">
      <c r="F164" s="279"/>
      <c r="G164" s="279"/>
      <c r="H164" s="279"/>
      <c r="I164" s="279"/>
      <c r="J164" s="279"/>
      <c r="K164" s="279"/>
      <c r="L164" s="279"/>
      <c r="M164" s="279"/>
      <c r="N164" s="279"/>
      <c r="O164" s="279"/>
      <c r="P164" s="279"/>
      <c r="Q164" s="279"/>
      <c r="R164" s="279"/>
    </row>
    <row r="165" spans="1:18" x14ac:dyDescent="0.2">
      <c r="B165" s="276" t="s">
        <v>1084</v>
      </c>
    </row>
    <row r="166" spans="1:18" x14ac:dyDescent="0.2">
      <c r="A166" s="32" t="s">
        <v>1054</v>
      </c>
      <c r="B166" s="32" t="s">
        <v>1059</v>
      </c>
      <c r="D166" s="444" t="s">
        <v>808</v>
      </c>
      <c r="F166" s="364">
        <f t="shared" ref="F166:Q166" si="37">F146*F156</f>
        <v>4050</v>
      </c>
      <c r="G166" s="364">
        <f t="shared" si="37"/>
        <v>4050</v>
      </c>
      <c r="H166" s="364">
        <f t="shared" si="37"/>
        <v>4050</v>
      </c>
      <c r="I166" s="364">
        <f t="shared" si="37"/>
        <v>4146.8</v>
      </c>
      <c r="J166" s="364">
        <f t="shared" si="37"/>
        <v>4146.8</v>
      </c>
      <c r="K166" s="364">
        <f t="shared" si="37"/>
        <v>4146.8</v>
      </c>
      <c r="L166" s="364">
        <f t="shared" si="37"/>
        <v>4146.8</v>
      </c>
      <c r="M166" s="364">
        <f t="shared" si="37"/>
        <v>4146.8</v>
      </c>
      <c r="N166" s="364">
        <f t="shared" si="37"/>
        <v>4561.4800000000005</v>
      </c>
      <c r="O166" s="364">
        <f t="shared" si="37"/>
        <v>4976.16</v>
      </c>
      <c r="P166" s="364">
        <f t="shared" si="37"/>
        <v>8293.6</v>
      </c>
      <c r="Q166" s="364">
        <f t="shared" si="37"/>
        <v>12440.4</v>
      </c>
      <c r="R166" s="364">
        <f>SUM(F166:Q166)</f>
        <v>63155.64</v>
      </c>
    </row>
    <row r="167" spans="1:18" x14ac:dyDescent="0.2">
      <c r="B167" s="32" t="s">
        <v>1047</v>
      </c>
      <c r="F167" s="364"/>
      <c r="G167" s="364"/>
      <c r="H167" s="364"/>
      <c r="I167" s="364"/>
      <c r="J167" s="364"/>
      <c r="K167" s="364"/>
      <c r="L167" s="364"/>
      <c r="M167" s="364"/>
      <c r="N167" s="364"/>
      <c r="O167" s="364"/>
      <c r="P167" s="364"/>
      <c r="Q167" s="364"/>
      <c r="R167" s="364"/>
    </row>
    <row r="168" spans="1:18" x14ac:dyDescent="0.2">
      <c r="C168" s="32" t="s">
        <v>1073</v>
      </c>
      <c r="F168" s="350">
        <v>0</v>
      </c>
      <c r="G168" s="350">
        <v>0</v>
      </c>
      <c r="H168" s="350">
        <v>0</v>
      </c>
      <c r="I168" s="350">
        <v>0</v>
      </c>
      <c r="J168" s="350">
        <v>0</v>
      </c>
      <c r="K168" s="350">
        <v>0</v>
      </c>
      <c r="L168" s="350">
        <v>0</v>
      </c>
      <c r="M168" s="350">
        <v>0</v>
      </c>
      <c r="N168" s="350">
        <v>0</v>
      </c>
      <c r="O168" s="350">
        <v>0</v>
      </c>
      <c r="P168" s="350">
        <v>0</v>
      </c>
      <c r="Q168" s="350">
        <v>0</v>
      </c>
      <c r="R168" s="350">
        <f t="shared" ref="R168:R175" si="38">SUM(F168:Q168)</f>
        <v>0</v>
      </c>
    </row>
    <row r="169" spans="1:18" x14ac:dyDescent="0.2">
      <c r="C169" s="32" t="s">
        <v>1074</v>
      </c>
      <c r="D169" s="444" t="s">
        <v>808</v>
      </c>
      <c r="F169" s="364">
        <f t="shared" ref="F169:Q170" si="39">F148*F159</f>
        <v>4559.2528500000008</v>
      </c>
      <c r="G169" s="364">
        <f t="shared" si="39"/>
        <v>4390.7806800000008</v>
      </c>
      <c r="H169" s="364">
        <f t="shared" si="39"/>
        <v>4487.33907</v>
      </c>
      <c r="I169" s="364">
        <f t="shared" si="39"/>
        <v>4389.5902600000009</v>
      </c>
      <c r="J169" s="364">
        <f t="shared" si="39"/>
        <v>4352.9115200000006</v>
      </c>
      <c r="K169" s="364">
        <f t="shared" si="39"/>
        <v>3918.6959100000004</v>
      </c>
      <c r="L169" s="364">
        <f t="shared" si="39"/>
        <v>3822.3108000000002</v>
      </c>
      <c r="M169" s="364">
        <f t="shared" si="39"/>
        <v>3446.2847700000002</v>
      </c>
      <c r="N169" s="364">
        <f t="shared" si="39"/>
        <v>4523.3435600000003</v>
      </c>
      <c r="O169" s="364">
        <f t="shared" si="39"/>
        <v>4944.1838400000006</v>
      </c>
      <c r="P169" s="364">
        <f t="shared" si="39"/>
        <v>9894.9864000000016</v>
      </c>
      <c r="Q169" s="364">
        <f t="shared" si="39"/>
        <v>15560.059160000001</v>
      </c>
      <c r="R169" s="364">
        <f t="shared" si="38"/>
        <v>68289.738819999999</v>
      </c>
    </row>
    <row r="170" spans="1:18" x14ac:dyDescent="0.2">
      <c r="C170" s="32" t="s">
        <v>1066</v>
      </c>
      <c r="D170" s="444" t="s">
        <v>808</v>
      </c>
      <c r="F170" s="364">
        <f t="shared" si="39"/>
        <v>6356.1764000000003</v>
      </c>
      <c r="G170" s="364">
        <f t="shared" si="39"/>
        <v>6110.6597999999994</v>
      </c>
      <c r="H170" s="364">
        <f t="shared" si="39"/>
        <v>8279.7561000000005</v>
      </c>
      <c r="I170" s="364">
        <f t="shared" si="39"/>
        <v>8307.8648400000002</v>
      </c>
      <c r="J170" s="364">
        <f t="shared" si="39"/>
        <v>7021.0842900000007</v>
      </c>
      <c r="K170" s="364">
        <f t="shared" si="39"/>
        <v>5874.2910600000005</v>
      </c>
      <c r="L170" s="364">
        <f t="shared" si="39"/>
        <v>6714.4400400000004</v>
      </c>
      <c r="M170" s="364">
        <f t="shared" si="39"/>
        <v>6407.4582</v>
      </c>
      <c r="N170" s="364">
        <f t="shared" si="39"/>
        <v>9965.6568000000007</v>
      </c>
      <c r="O170" s="364">
        <f t="shared" si="39"/>
        <v>10197.35607</v>
      </c>
      <c r="P170" s="364">
        <f t="shared" si="39"/>
        <v>15590.468850000001</v>
      </c>
      <c r="Q170" s="364">
        <f t="shared" si="39"/>
        <v>20102.359200000003</v>
      </c>
      <c r="R170" s="364">
        <f t="shared" si="38"/>
        <v>110927.57165000001</v>
      </c>
    </row>
    <row r="171" spans="1:18" x14ac:dyDescent="0.2">
      <c r="A171" s="32" t="s">
        <v>1054</v>
      </c>
      <c r="C171" s="32" t="s">
        <v>1077</v>
      </c>
      <c r="F171" s="365">
        <f t="shared" ref="F171:L171" si="40">SUM(F168:F170)</f>
        <v>10915.429250000001</v>
      </c>
      <c r="G171" s="365">
        <f t="shared" si="40"/>
        <v>10501.440480000001</v>
      </c>
      <c r="H171" s="365">
        <f t="shared" si="40"/>
        <v>12767.095170000001</v>
      </c>
      <c r="I171" s="365">
        <f t="shared" si="40"/>
        <v>12697.455100000001</v>
      </c>
      <c r="J171" s="365">
        <f t="shared" si="40"/>
        <v>11373.99581</v>
      </c>
      <c r="K171" s="365">
        <f t="shared" si="40"/>
        <v>9792.9869700000017</v>
      </c>
      <c r="L171" s="365">
        <f t="shared" si="40"/>
        <v>10536.750840000001</v>
      </c>
      <c r="M171" s="365">
        <f>SUM(M168:M170)</f>
        <v>9853.7429699999993</v>
      </c>
      <c r="N171" s="365">
        <f>SUM(N168:N170)</f>
        <v>14489.000360000002</v>
      </c>
      <c r="O171" s="365">
        <f>SUM(O168:O170)</f>
        <v>15141.53991</v>
      </c>
      <c r="P171" s="365">
        <f>SUM(P168:P170)</f>
        <v>25485.455250000003</v>
      </c>
      <c r="Q171" s="365">
        <f>SUM(Q168:Q170)</f>
        <v>35662.418360000003</v>
      </c>
      <c r="R171" s="365">
        <f t="shared" si="38"/>
        <v>179217.31047</v>
      </c>
    </row>
    <row r="172" spans="1:18" x14ac:dyDescent="0.2">
      <c r="A172" s="32" t="s">
        <v>1056</v>
      </c>
      <c r="B172" s="336" t="s">
        <v>1081</v>
      </c>
      <c r="D172" s="444" t="s">
        <v>808</v>
      </c>
      <c r="F172" s="418">
        <f t="shared" ref="F172:Q172" si="41">F150*F161</f>
        <v>70.483699999999999</v>
      </c>
      <c r="G172" s="418">
        <f t="shared" si="41"/>
        <v>68.044200000000004</v>
      </c>
      <c r="H172" s="418">
        <f t="shared" si="41"/>
        <v>82.361999999999995</v>
      </c>
      <c r="I172" s="418">
        <f t="shared" si="41"/>
        <v>80.263400000000004</v>
      </c>
      <c r="J172" s="418">
        <f t="shared" si="41"/>
        <v>72.072699999999998</v>
      </c>
      <c r="K172" s="418">
        <f t="shared" si="41"/>
        <v>62.734699999999997</v>
      </c>
      <c r="L172" s="418">
        <f t="shared" si="41"/>
        <v>67.471599999999995</v>
      </c>
      <c r="M172" s="418">
        <f t="shared" si="41"/>
        <v>63.464100000000002</v>
      </c>
      <c r="N172" s="418">
        <f t="shared" si="41"/>
        <v>92.152900000000002</v>
      </c>
      <c r="O172" s="418">
        <f t="shared" si="41"/>
        <v>96.092500000000001</v>
      </c>
      <c r="P172" s="418">
        <f t="shared" si="41"/>
        <v>159.8135</v>
      </c>
      <c r="Q172" s="418">
        <f t="shared" si="41"/>
        <v>222.93879999999999</v>
      </c>
      <c r="R172" s="418">
        <f t="shared" si="38"/>
        <v>1137.8941</v>
      </c>
    </row>
    <row r="173" spans="1:18" x14ac:dyDescent="0.2">
      <c r="A173" s="32" t="s">
        <v>1054</v>
      </c>
      <c r="B173" s="32" t="s">
        <v>1082</v>
      </c>
      <c r="F173" s="418">
        <f t="shared" ref="F173:Q175" si="42">F151*F161</f>
        <v>-503.45499999999998</v>
      </c>
      <c r="G173" s="418">
        <f t="shared" si="42"/>
        <v>-486.03000000000003</v>
      </c>
      <c r="H173" s="418">
        <f t="shared" si="42"/>
        <v>-588.30000000000007</v>
      </c>
      <c r="I173" s="418">
        <f t="shared" si="42"/>
        <v>-581.33633999999995</v>
      </c>
      <c r="J173" s="418">
        <f t="shared" si="42"/>
        <v>-522.01226999999994</v>
      </c>
      <c r="K173" s="418">
        <f t="shared" si="42"/>
        <v>-454.37846999999999</v>
      </c>
      <c r="L173" s="418">
        <f t="shared" si="42"/>
        <v>-488.68716000000001</v>
      </c>
      <c r="M173" s="418">
        <f t="shared" si="42"/>
        <v>-459.66140999999999</v>
      </c>
      <c r="N173" s="418">
        <f t="shared" si="42"/>
        <v>-667.45029</v>
      </c>
      <c r="O173" s="418">
        <f t="shared" si="42"/>
        <v>-695.98424999999997</v>
      </c>
      <c r="P173" s="418">
        <f t="shared" si="42"/>
        <v>-1157.5063499999999</v>
      </c>
      <c r="Q173" s="418">
        <f t="shared" si="42"/>
        <v>-1614.71388</v>
      </c>
      <c r="R173" s="418">
        <f t="shared" si="38"/>
        <v>-8219.5154199999997</v>
      </c>
    </row>
    <row r="174" spans="1:18" x14ac:dyDescent="0.2">
      <c r="A174" s="32" t="s">
        <v>1054</v>
      </c>
      <c r="B174" s="32" t="s">
        <v>1069</v>
      </c>
      <c r="D174" s="444" t="s">
        <v>808</v>
      </c>
      <c r="F174" s="364">
        <f t="shared" si="42"/>
        <v>7348.0000000000009</v>
      </c>
      <c r="G174" s="364">
        <f t="shared" si="42"/>
        <v>7348.0000000000009</v>
      </c>
      <c r="H174" s="364">
        <f t="shared" si="42"/>
        <v>7348.0000000000009</v>
      </c>
      <c r="I174" s="364">
        <f t="shared" si="42"/>
        <v>7414.8000000000011</v>
      </c>
      <c r="J174" s="364">
        <f t="shared" si="42"/>
        <v>7414.7999999999993</v>
      </c>
      <c r="K174" s="364">
        <f t="shared" si="42"/>
        <v>7414.8000000000011</v>
      </c>
      <c r="L174" s="364">
        <f t="shared" si="42"/>
        <v>6655.56</v>
      </c>
      <c r="M174" s="364">
        <f t="shared" si="42"/>
        <v>6655.56</v>
      </c>
      <c r="N174" s="364">
        <f t="shared" si="42"/>
        <v>6655.56</v>
      </c>
      <c r="O174" s="364">
        <f t="shared" si="42"/>
        <v>8908.86</v>
      </c>
      <c r="P174" s="364">
        <f t="shared" si="42"/>
        <v>8908.86</v>
      </c>
      <c r="Q174" s="364">
        <f t="shared" si="42"/>
        <v>13434.330000000002</v>
      </c>
      <c r="R174" s="364">
        <f t="shared" si="38"/>
        <v>95507.13</v>
      </c>
    </row>
    <row r="175" spans="1:18" s="336" customFormat="1" x14ac:dyDescent="0.2">
      <c r="A175" s="336" t="s">
        <v>1054</v>
      </c>
      <c r="B175" s="336" t="s">
        <v>1071</v>
      </c>
      <c r="D175" s="444" t="s">
        <v>808</v>
      </c>
      <c r="F175" s="418">
        <f t="shared" si="42"/>
        <v>1212</v>
      </c>
      <c r="G175" s="418">
        <f t="shared" si="42"/>
        <v>1212</v>
      </c>
      <c r="H175" s="418">
        <f t="shared" si="42"/>
        <v>1212</v>
      </c>
      <c r="I175" s="418">
        <f t="shared" si="42"/>
        <v>1241</v>
      </c>
      <c r="J175" s="418">
        <f t="shared" si="42"/>
        <v>1241</v>
      </c>
      <c r="K175" s="418">
        <f t="shared" si="42"/>
        <v>1241</v>
      </c>
      <c r="L175" s="418">
        <f t="shared" si="42"/>
        <v>1241</v>
      </c>
      <c r="M175" s="418">
        <f>M153*M163</f>
        <v>1241</v>
      </c>
      <c r="N175" s="418">
        <f>N153*N163</f>
        <v>1365.1</v>
      </c>
      <c r="O175" s="418">
        <f>O153*O163</f>
        <v>1489.1999999999998</v>
      </c>
      <c r="P175" s="418">
        <f>P153*P163</f>
        <v>2482</v>
      </c>
      <c r="Q175" s="418">
        <f>Q153*Q163</f>
        <v>3723</v>
      </c>
      <c r="R175" s="418">
        <f t="shared" si="38"/>
        <v>18900.3</v>
      </c>
    </row>
    <row r="176" spans="1:18" x14ac:dyDescent="0.2">
      <c r="B176" s="32" t="s">
        <v>986</v>
      </c>
      <c r="F176" s="365">
        <f t="shared" ref="F176:R176" si="43">F166+F171+F174+F175+F172+F173</f>
        <v>23092.45795</v>
      </c>
      <c r="G176" s="365">
        <f t="shared" si="43"/>
        <v>22693.454680000003</v>
      </c>
      <c r="H176" s="365">
        <f t="shared" si="43"/>
        <v>24871.157170000002</v>
      </c>
      <c r="I176" s="365">
        <f t="shared" si="43"/>
        <v>24998.982160000003</v>
      </c>
      <c r="J176" s="365">
        <f t="shared" si="43"/>
        <v>23726.65624</v>
      </c>
      <c r="K176" s="365">
        <f t="shared" si="43"/>
        <v>22203.943200000005</v>
      </c>
      <c r="L176" s="365">
        <f t="shared" si="43"/>
        <v>22158.895280000001</v>
      </c>
      <c r="M176" s="365">
        <f t="shared" si="43"/>
        <v>21500.90566</v>
      </c>
      <c r="N176" s="365">
        <f t="shared" si="43"/>
        <v>26495.842970000002</v>
      </c>
      <c r="O176" s="365">
        <f t="shared" si="43"/>
        <v>29915.868159999998</v>
      </c>
      <c r="P176" s="365">
        <f t="shared" si="43"/>
        <v>44172.222399999999</v>
      </c>
      <c r="Q176" s="365">
        <f t="shared" si="43"/>
        <v>63868.373280000007</v>
      </c>
      <c r="R176" s="365">
        <f t="shared" si="43"/>
        <v>349698.75914999994</v>
      </c>
    </row>
    <row r="177" spans="1:18" x14ac:dyDescent="0.2">
      <c r="F177" s="364"/>
      <c r="G177" s="364"/>
      <c r="H177" s="364"/>
      <c r="I177" s="364"/>
      <c r="J177" s="364"/>
      <c r="K177" s="364"/>
      <c r="L177" s="364"/>
      <c r="M177" s="364"/>
      <c r="N177" s="364"/>
      <c r="O177" s="364"/>
      <c r="P177" s="364"/>
      <c r="Q177" s="364"/>
    </row>
    <row r="178" spans="1:18" x14ac:dyDescent="0.2">
      <c r="A178" s="32" t="s">
        <v>1058</v>
      </c>
      <c r="B178" s="32" t="s">
        <v>1050</v>
      </c>
      <c r="F178" s="364">
        <f>F172</f>
        <v>70.483699999999999</v>
      </c>
      <c r="G178" s="364">
        <f t="shared" ref="G178:Q178" si="44">G172</f>
        <v>68.044200000000004</v>
      </c>
      <c r="H178" s="364">
        <f t="shared" si="44"/>
        <v>82.361999999999995</v>
      </c>
      <c r="I178" s="364">
        <f t="shared" si="44"/>
        <v>80.263400000000004</v>
      </c>
      <c r="J178" s="364">
        <f t="shared" si="44"/>
        <v>72.072699999999998</v>
      </c>
      <c r="K178" s="364">
        <f t="shared" si="44"/>
        <v>62.734699999999997</v>
      </c>
      <c r="L178" s="364">
        <f t="shared" si="44"/>
        <v>67.471599999999995</v>
      </c>
      <c r="M178" s="364">
        <f t="shared" si="44"/>
        <v>63.464100000000002</v>
      </c>
      <c r="N178" s="364">
        <f t="shared" si="44"/>
        <v>92.152900000000002</v>
      </c>
      <c r="O178" s="364">
        <f t="shared" si="44"/>
        <v>96.092500000000001</v>
      </c>
      <c r="P178" s="364">
        <f t="shared" si="44"/>
        <v>159.8135</v>
      </c>
      <c r="Q178" s="364">
        <f t="shared" si="44"/>
        <v>222.93879999999999</v>
      </c>
      <c r="R178" s="364">
        <f>SUM(F178:Q178)</f>
        <v>1137.8941</v>
      </c>
    </row>
    <row r="179" spans="1:18" x14ac:dyDescent="0.2">
      <c r="F179" s="364"/>
      <c r="G179" s="364"/>
      <c r="H179" s="364"/>
      <c r="I179" s="364"/>
      <c r="J179" s="364"/>
      <c r="K179" s="364"/>
      <c r="L179" s="364"/>
      <c r="M179" s="364"/>
      <c r="N179" s="364"/>
      <c r="O179" s="364"/>
      <c r="P179" s="364"/>
      <c r="Q179" s="364"/>
    </row>
    <row r="180" spans="1:18" s="336" customFormat="1" x14ac:dyDescent="0.2">
      <c r="B180" s="182" t="s">
        <v>1085</v>
      </c>
      <c r="C180" s="182"/>
    </row>
    <row r="181" spans="1:18" x14ac:dyDescent="0.2">
      <c r="B181" s="276" t="s">
        <v>5</v>
      </c>
      <c r="C181" s="276"/>
      <c r="D181" s="444"/>
    </row>
    <row r="182" spans="1:18" x14ac:dyDescent="0.2">
      <c r="B182" s="32" t="s">
        <v>1059</v>
      </c>
      <c r="D182" s="444" t="s">
        <v>809</v>
      </c>
      <c r="E182" s="32" t="s">
        <v>976</v>
      </c>
      <c r="F182" s="414">
        <v>859.39</v>
      </c>
      <c r="G182" s="414">
        <v>859.39</v>
      </c>
      <c r="H182" s="414">
        <v>859.39</v>
      </c>
      <c r="I182" s="414">
        <v>871.59</v>
      </c>
      <c r="J182" s="414">
        <v>871.59</v>
      </c>
      <c r="K182" s="414">
        <v>871.59</v>
      </c>
      <c r="L182" s="414">
        <v>871.59</v>
      </c>
      <c r="M182" s="414">
        <v>871.59</v>
      </c>
      <c r="N182" s="414">
        <v>871.59</v>
      </c>
      <c r="O182" s="414">
        <v>871.59</v>
      </c>
      <c r="P182" s="414">
        <v>871.59</v>
      </c>
      <c r="Q182" s="414">
        <v>871.59</v>
      </c>
    </row>
    <row r="183" spans="1:18" x14ac:dyDescent="0.2">
      <c r="B183" s="32" t="s">
        <v>1047</v>
      </c>
      <c r="D183" s="444"/>
      <c r="F183" s="393"/>
      <c r="G183" s="393"/>
      <c r="H183" s="393"/>
      <c r="I183" s="393"/>
      <c r="J183" s="393"/>
      <c r="K183" s="393"/>
      <c r="L183" s="393"/>
      <c r="M183" s="393"/>
      <c r="N183" s="393"/>
      <c r="O183" s="393"/>
      <c r="P183" s="393"/>
      <c r="Q183" s="393"/>
    </row>
    <row r="184" spans="1:18" x14ac:dyDescent="0.2">
      <c r="C184" s="32" t="s">
        <v>1086</v>
      </c>
      <c r="D184" s="444" t="s">
        <v>809</v>
      </c>
      <c r="E184" s="32" t="s">
        <v>957</v>
      </c>
      <c r="F184" s="440">
        <v>0.10086000000000001</v>
      </c>
      <c r="G184" s="440">
        <v>0.10086000000000001</v>
      </c>
      <c r="H184" s="440">
        <v>0.10086000000000001</v>
      </c>
      <c r="I184" s="440">
        <v>0.10229000000000001</v>
      </c>
      <c r="J184" s="440">
        <v>0.10229000000000001</v>
      </c>
      <c r="K184" s="440">
        <v>0.10229000000000001</v>
      </c>
      <c r="L184" s="440">
        <v>0.10229000000000001</v>
      </c>
      <c r="M184" s="440">
        <v>0.10229000000000001</v>
      </c>
      <c r="N184" s="440">
        <v>0.10229000000000001</v>
      </c>
      <c r="O184" s="440">
        <v>0.10229000000000001</v>
      </c>
      <c r="P184" s="440">
        <v>0.10229000000000001</v>
      </c>
      <c r="Q184" s="440">
        <v>0.10229000000000001</v>
      </c>
    </row>
    <row r="185" spans="1:18" x14ac:dyDescent="0.2">
      <c r="C185" s="32" t="s">
        <v>1087</v>
      </c>
      <c r="D185" s="444" t="s">
        <v>809</v>
      </c>
      <c r="E185" s="32" t="s">
        <v>957</v>
      </c>
      <c r="F185" s="440">
        <v>5.1709999999999999E-2</v>
      </c>
      <c r="G185" s="440">
        <v>5.1709999999999999E-2</v>
      </c>
      <c r="H185" s="440">
        <v>5.1709999999999999E-2</v>
      </c>
      <c r="I185" s="440">
        <v>5.2440000000000001E-2</v>
      </c>
      <c r="J185" s="440">
        <v>5.2440000000000001E-2</v>
      </c>
      <c r="K185" s="440">
        <v>5.2440000000000001E-2</v>
      </c>
      <c r="L185" s="440">
        <v>5.2440000000000001E-2</v>
      </c>
      <c r="M185" s="440">
        <v>5.2440000000000001E-2</v>
      </c>
      <c r="N185" s="440">
        <v>5.2440000000000001E-2</v>
      </c>
      <c r="O185" s="440">
        <v>5.2440000000000001E-2</v>
      </c>
      <c r="P185" s="440">
        <v>5.2440000000000001E-2</v>
      </c>
      <c r="Q185" s="440">
        <v>5.2440000000000001E-2</v>
      </c>
    </row>
    <row r="186" spans="1:18" x14ac:dyDescent="0.2">
      <c r="C186" s="32" t="s">
        <v>1088</v>
      </c>
      <c r="D186" s="444" t="s">
        <v>809</v>
      </c>
      <c r="E186" s="32" t="s">
        <v>957</v>
      </c>
      <c r="F186" s="440">
        <v>4.9630000000000001E-2</v>
      </c>
      <c r="G186" s="440">
        <v>4.9630000000000001E-2</v>
      </c>
      <c r="H186" s="440">
        <v>4.9630000000000001E-2</v>
      </c>
      <c r="I186" s="440">
        <v>5.033E-2</v>
      </c>
      <c r="J186" s="440">
        <v>5.033E-2</v>
      </c>
      <c r="K186" s="440">
        <v>5.033E-2</v>
      </c>
      <c r="L186" s="440">
        <v>5.033E-2</v>
      </c>
      <c r="M186" s="440">
        <v>5.033E-2</v>
      </c>
      <c r="N186" s="440">
        <v>5.033E-2</v>
      </c>
      <c r="O186" s="440">
        <v>5.033E-2</v>
      </c>
      <c r="P186" s="440">
        <v>5.033E-2</v>
      </c>
      <c r="Q186" s="440">
        <v>5.033E-2</v>
      </c>
    </row>
    <row r="187" spans="1:18" s="336" customFormat="1" x14ac:dyDescent="0.2">
      <c r="B187" s="336" t="s">
        <v>1081</v>
      </c>
      <c r="D187" s="382" t="s">
        <v>809</v>
      </c>
      <c r="E187" s="336" t="s">
        <v>957</v>
      </c>
      <c r="F187" s="440">
        <v>6.9999999999999999E-4</v>
      </c>
      <c r="G187" s="440">
        <v>6.9999999999999999E-4</v>
      </c>
      <c r="H187" s="440">
        <v>6.9999999999999999E-4</v>
      </c>
      <c r="I187" s="440">
        <v>6.9999999999999999E-4</v>
      </c>
      <c r="J187" s="440">
        <v>6.9999999999999999E-4</v>
      </c>
      <c r="K187" s="440">
        <v>6.9999999999999999E-4</v>
      </c>
      <c r="L187" s="440">
        <v>6.9999999999999999E-4</v>
      </c>
      <c r="M187" s="440">
        <v>6.9999999999999999E-4</v>
      </c>
      <c r="N187" s="440">
        <v>6.9999999999999999E-4</v>
      </c>
      <c r="O187" s="440">
        <v>6.9999999999999999E-4</v>
      </c>
      <c r="P187" s="440">
        <v>6.9999999999999999E-4</v>
      </c>
      <c r="Q187" s="440">
        <v>6.9999999999999999E-4</v>
      </c>
    </row>
    <row r="188" spans="1:18" s="336" customFormat="1" x14ac:dyDescent="0.2">
      <c r="B188" s="336" t="s">
        <v>1069</v>
      </c>
      <c r="D188" s="336">
        <v>101</v>
      </c>
      <c r="E188" s="336" t="s">
        <v>957</v>
      </c>
      <c r="F188" s="442">
        <v>1.1000000000000001</v>
      </c>
      <c r="G188" s="442">
        <v>1.1000000000000001</v>
      </c>
      <c r="H188" s="442">
        <v>1.1000000000000001</v>
      </c>
      <c r="I188" s="442">
        <v>1.1100000000000001</v>
      </c>
      <c r="J188" s="442">
        <v>1.1100000000000001</v>
      </c>
      <c r="K188" s="442">
        <v>1.1100000000000001</v>
      </c>
      <c r="L188" s="442">
        <v>1.1100000000000001</v>
      </c>
      <c r="M188" s="442">
        <v>1.1100000000000001</v>
      </c>
      <c r="N188" s="442">
        <v>1.1100000000000001</v>
      </c>
      <c r="O188" s="442">
        <v>1.1100000000000001</v>
      </c>
      <c r="P188" s="442">
        <v>1.1100000000000001</v>
      </c>
      <c r="Q188" s="442">
        <v>1.1100000000000001</v>
      </c>
    </row>
    <row r="189" spans="1:18" s="336" customFormat="1" x14ac:dyDescent="0.2">
      <c r="B189" s="336" t="s">
        <v>1071</v>
      </c>
      <c r="D189" s="382" t="s">
        <v>809</v>
      </c>
      <c r="E189" s="336" t="s">
        <v>67</v>
      </c>
      <c r="F189" s="442"/>
      <c r="G189" s="442"/>
      <c r="H189" s="442"/>
      <c r="I189" s="442"/>
      <c r="J189" s="442"/>
      <c r="K189" s="442"/>
      <c r="L189" s="442"/>
      <c r="M189" s="442"/>
      <c r="N189" s="442"/>
      <c r="O189" s="442"/>
      <c r="P189" s="442"/>
      <c r="Q189" s="442"/>
    </row>
    <row r="190" spans="1:18" s="336" customFormat="1" x14ac:dyDescent="0.2"/>
    <row r="191" spans="1:18" s="336" customFormat="1" x14ac:dyDescent="0.2">
      <c r="B191" s="182" t="s">
        <v>982</v>
      </c>
    </row>
    <row r="192" spans="1:18" s="336" customFormat="1" x14ac:dyDescent="0.2">
      <c r="B192" s="336" t="s">
        <v>67</v>
      </c>
      <c r="D192" s="444" t="s">
        <v>809</v>
      </c>
      <c r="E192" s="336" t="s">
        <v>67</v>
      </c>
      <c r="F192" s="421">
        <f>'JKP-3.1c - Data'!C148</f>
        <v>35</v>
      </c>
      <c r="G192" s="421">
        <f>'JKP-3.1c - Data'!D148</f>
        <v>37</v>
      </c>
      <c r="H192" s="421">
        <f>'JKP-3.1c - Data'!E148</f>
        <v>36</v>
      </c>
      <c r="I192" s="421">
        <f>'JKP-3.1c - Data'!F148</f>
        <v>36</v>
      </c>
      <c r="J192" s="421">
        <f>'JKP-3.1c - Data'!G148</f>
        <v>37</v>
      </c>
      <c r="K192" s="421">
        <f>'JKP-3.1c - Data'!H148</f>
        <v>37</v>
      </c>
      <c r="L192" s="421">
        <f>'JKP-3.1c - Data'!I148</f>
        <v>37</v>
      </c>
      <c r="M192" s="421">
        <f>'JKP-3.1c - Data'!J148</f>
        <v>37</v>
      </c>
      <c r="N192" s="421">
        <f>'JKP-3.1c - Data'!K148</f>
        <v>37</v>
      </c>
      <c r="O192" s="421">
        <f>'JKP-3.1c - Data'!L148</f>
        <v>36</v>
      </c>
      <c r="P192" s="421">
        <f>'JKP-3.1c - Data'!M148</f>
        <v>35</v>
      </c>
      <c r="Q192" s="421">
        <f>'JKP-3.1c - Data'!N148</f>
        <v>35</v>
      </c>
      <c r="R192" s="362">
        <f>SUM(F192:Q192)</f>
        <v>435</v>
      </c>
    </row>
    <row r="193" spans="1:18" s="336" customFormat="1" x14ac:dyDescent="0.2">
      <c r="B193" s="336" t="s">
        <v>76</v>
      </c>
      <c r="F193" s="380"/>
      <c r="G193" s="380"/>
      <c r="H193" s="380"/>
      <c r="I193" s="380"/>
      <c r="J193" s="380"/>
      <c r="K193" s="380"/>
      <c r="L193" s="380"/>
      <c r="M193" s="380"/>
      <c r="N193" s="380"/>
      <c r="O193" s="380"/>
      <c r="P193" s="380"/>
      <c r="Q193" s="380"/>
    </row>
    <row r="194" spans="1:18" s="336" customFormat="1" x14ac:dyDescent="0.2">
      <c r="C194" s="336" t="s">
        <v>1086</v>
      </c>
      <c r="D194" s="444" t="s">
        <v>809</v>
      </c>
      <c r="E194" s="336" t="s">
        <v>10</v>
      </c>
      <c r="F194" s="380">
        <v>835710</v>
      </c>
      <c r="G194" s="380">
        <v>829317</v>
      </c>
      <c r="H194" s="380">
        <v>856671</v>
      </c>
      <c r="I194" s="380">
        <v>854188</v>
      </c>
      <c r="J194" s="380">
        <v>842571</v>
      </c>
      <c r="K194" s="380">
        <v>839353</v>
      </c>
      <c r="L194" s="380">
        <v>831109</v>
      </c>
      <c r="M194" s="380">
        <v>840441</v>
      </c>
      <c r="N194" s="380">
        <v>825435</v>
      </c>
      <c r="O194" s="380">
        <v>826176</v>
      </c>
      <c r="P194" s="380">
        <v>832441</v>
      </c>
      <c r="Q194" s="380">
        <v>797486</v>
      </c>
      <c r="R194" s="362">
        <f>SUM(F194:Q194)</f>
        <v>10010898</v>
      </c>
    </row>
    <row r="195" spans="1:18" s="336" customFormat="1" x14ac:dyDescent="0.2">
      <c r="C195" s="336" t="s">
        <v>1087</v>
      </c>
      <c r="D195" s="444" t="s">
        <v>809</v>
      </c>
      <c r="E195" s="336" t="s">
        <v>10</v>
      </c>
      <c r="F195" s="380">
        <v>562708</v>
      </c>
      <c r="G195" s="380">
        <v>542564</v>
      </c>
      <c r="H195" s="380">
        <v>572338</v>
      </c>
      <c r="I195" s="380">
        <v>560929</v>
      </c>
      <c r="J195" s="380">
        <v>542145</v>
      </c>
      <c r="K195" s="380">
        <v>532842</v>
      </c>
      <c r="L195" s="380">
        <v>501530</v>
      </c>
      <c r="M195" s="380">
        <v>522712</v>
      </c>
      <c r="N195" s="380">
        <v>504320</v>
      </c>
      <c r="O195" s="380">
        <v>546949</v>
      </c>
      <c r="P195" s="380">
        <v>561163</v>
      </c>
      <c r="Q195" s="380">
        <v>573133</v>
      </c>
      <c r="R195" s="362">
        <f>SUM(F195:Q195)</f>
        <v>6523333</v>
      </c>
    </row>
    <row r="196" spans="1:18" s="336" customFormat="1" x14ac:dyDescent="0.2">
      <c r="C196" s="336" t="s">
        <v>1088</v>
      </c>
      <c r="D196" s="444" t="s">
        <v>809</v>
      </c>
      <c r="E196" s="336" t="s">
        <v>10</v>
      </c>
      <c r="F196" s="378">
        <f t="shared" ref="F196:Q196" si="45">F197-F194-F195</f>
        <v>724575</v>
      </c>
      <c r="G196" s="378">
        <f t="shared" si="45"/>
        <v>540280</v>
      </c>
      <c r="H196" s="378">
        <f t="shared" si="45"/>
        <v>722420</v>
      </c>
      <c r="I196" s="378">
        <f t="shared" si="45"/>
        <v>566337</v>
      </c>
      <c r="J196" s="378">
        <f t="shared" si="45"/>
        <v>501703</v>
      </c>
      <c r="K196" s="378">
        <f t="shared" si="45"/>
        <v>398410</v>
      </c>
      <c r="L196" s="378">
        <f t="shared" si="45"/>
        <v>331802</v>
      </c>
      <c r="M196" s="378">
        <f t="shared" si="45"/>
        <v>358067</v>
      </c>
      <c r="N196" s="378">
        <f t="shared" si="45"/>
        <v>372450</v>
      </c>
      <c r="O196" s="378">
        <f t="shared" si="45"/>
        <v>567828</v>
      </c>
      <c r="P196" s="378">
        <f t="shared" si="45"/>
        <v>696923</v>
      </c>
      <c r="Q196" s="378">
        <f t="shared" si="45"/>
        <v>826761</v>
      </c>
      <c r="R196" s="362">
        <f>SUM(F196:Q196)</f>
        <v>6607556</v>
      </c>
    </row>
    <row r="197" spans="1:18" s="336" customFormat="1" x14ac:dyDescent="0.2">
      <c r="C197" s="336" t="s">
        <v>1075</v>
      </c>
      <c r="D197" s="444" t="s">
        <v>809</v>
      </c>
      <c r="E197" s="336" t="s">
        <v>10</v>
      </c>
      <c r="F197" s="445">
        <f>'JKP-3.1c - Therms Data'!E75</f>
        <v>2122993</v>
      </c>
      <c r="G197" s="445">
        <f>'JKP-3.1c - Therms Data'!F75</f>
        <v>1912161</v>
      </c>
      <c r="H197" s="445">
        <f>'JKP-3.1c - Therms Data'!G75</f>
        <v>2151429</v>
      </c>
      <c r="I197" s="445">
        <f>'JKP-3.1c - Therms Data'!H75</f>
        <v>1981454</v>
      </c>
      <c r="J197" s="445">
        <f>'JKP-3.1c - Therms Data'!I75</f>
        <v>1886419</v>
      </c>
      <c r="K197" s="445">
        <f>'JKP-3.1c - Therms Data'!J75</f>
        <v>1770605</v>
      </c>
      <c r="L197" s="445">
        <f>'JKP-3.1c - Therms Data'!K75</f>
        <v>1664441</v>
      </c>
      <c r="M197" s="445">
        <f>'JKP-3.1c - Therms Data'!L75</f>
        <v>1721220</v>
      </c>
      <c r="N197" s="445">
        <f>'JKP-3.1c - Therms Data'!M75</f>
        <v>1702205</v>
      </c>
      <c r="O197" s="445">
        <f>'JKP-3.1c - Therms Data'!N75</f>
        <v>1940953</v>
      </c>
      <c r="P197" s="445">
        <f>'JKP-3.1c - Therms Data'!O75</f>
        <v>2090527</v>
      </c>
      <c r="Q197" s="445">
        <f>'JKP-3.1c - Therms Data'!P75</f>
        <v>2197380</v>
      </c>
      <c r="R197" s="436">
        <f>SUM(F197:Q197)</f>
        <v>23141787</v>
      </c>
    </row>
    <row r="198" spans="1:18" s="336" customFormat="1" x14ac:dyDescent="0.2">
      <c r="B198" s="336" t="s">
        <v>74</v>
      </c>
      <c r="D198" s="444" t="s">
        <v>809</v>
      </c>
      <c r="E198" s="336" t="s">
        <v>1076</v>
      </c>
      <c r="F198" s="421">
        <f>'JKP-3.1c - Data'!C168</f>
        <v>22456</v>
      </c>
      <c r="G198" s="421">
        <f>'JKP-3.1c - Data'!D168</f>
        <v>24856</v>
      </c>
      <c r="H198" s="421">
        <f>'JKP-3.1c - Data'!E168</f>
        <v>23656</v>
      </c>
      <c r="I198" s="421">
        <f>'JKP-3.1c - Data'!F168</f>
        <v>23656</v>
      </c>
      <c r="J198" s="421">
        <f>'JKP-3.1c - Data'!G168</f>
        <v>23656</v>
      </c>
      <c r="K198" s="421">
        <f>'JKP-3.1c - Data'!H168</f>
        <v>23656</v>
      </c>
      <c r="L198" s="421">
        <f>'JKP-3.1c - Data'!I168</f>
        <v>23656</v>
      </c>
      <c r="M198" s="421">
        <f>'JKP-3.1c - Data'!J168</f>
        <v>23656</v>
      </c>
      <c r="N198" s="421">
        <f>'JKP-3.1c - Data'!K168</f>
        <v>23656</v>
      </c>
      <c r="O198" s="421">
        <f>'JKP-3.1c - Data'!L168</f>
        <v>21156</v>
      </c>
      <c r="P198" s="421">
        <f>'JKP-3.1c - Data'!M168</f>
        <v>19656</v>
      </c>
      <c r="Q198" s="421">
        <f>'JKP-3.1c - Data'!N168</f>
        <v>19356</v>
      </c>
      <c r="R198" s="362">
        <f>SUM(F198:Q198)</f>
        <v>273072</v>
      </c>
    </row>
    <row r="199" spans="1:18" s="336" customFormat="1" x14ac:dyDescent="0.2">
      <c r="B199" s="336" t="s">
        <v>1071</v>
      </c>
      <c r="F199" s="380"/>
      <c r="G199" s="380"/>
      <c r="H199" s="380"/>
      <c r="I199" s="380"/>
      <c r="J199" s="380"/>
      <c r="K199" s="380"/>
      <c r="L199" s="380"/>
      <c r="M199" s="380"/>
      <c r="N199" s="380"/>
      <c r="O199" s="380"/>
      <c r="P199" s="380"/>
      <c r="Q199" s="380"/>
    </row>
    <row r="200" spans="1:18" s="336" customFormat="1" x14ac:dyDescent="0.2"/>
    <row r="201" spans="1:18" s="336" customFormat="1" x14ac:dyDescent="0.2">
      <c r="B201" s="182" t="s">
        <v>985</v>
      </c>
    </row>
    <row r="202" spans="1:18" s="336" customFormat="1" x14ac:dyDescent="0.2">
      <c r="A202" s="336" t="s">
        <v>1054</v>
      </c>
      <c r="B202" s="336" t="s">
        <v>1059</v>
      </c>
      <c r="D202" s="382" t="s">
        <v>809</v>
      </c>
      <c r="F202" s="418">
        <f t="shared" ref="F202:Q202" si="46">F182*F192</f>
        <v>30078.649999999998</v>
      </c>
      <c r="G202" s="418">
        <f t="shared" si="46"/>
        <v>31797.43</v>
      </c>
      <c r="H202" s="418">
        <f t="shared" si="46"/>
        <v>30938.04</v>
      </c>
      <c r="I202" s="418">
        <f t="shared" si="46"/>
        <v>31377.24</v>
      </c>
      <c r="J202" s="418">
        <f t="shared" si="46"/>
        <v>32248.83</v>
      </c>
      <c r="K202" s="418">
        <f t="shared" si="46"/>
        <v>32248.83</v>
      </c>
      <c r="L202" s="418">
        <f t="shared" si="46"/>
        <v>32248.83</v>
      </c>
      <c r="M202" s="418">
        <f t="shared" si="46"/>
        <v>32248.83</v>
      </c>
      <c r="N202" s="418">
        <f t="shared" si="46"/>
        <v>32248.83</v>
      </c>
      <c r="O202" s="418">
        <f t="shared" si="46"/>
        <v>31377.24</v>
      </c>
      <c r="P202" s="418">
        <f t="shared" si="46"/>
        <v>30505.65</v>
      </c>
      <c r="Q202" s="418">
        <f t="shared" si="46"/>
        <v>30505.65</v>
      </c>
      <c r="R202" s="418">
        <f>SUM(F202:Q202)</f>
        <v>377824.0500000001</v>
      </c>
    </row>
    <row r="203" spans="1:18" s="336" customFormat="1" x14ac:dyDescent="0.2">
      <c r="B203" s="336" t="s">
        <v>1047</v>
      </c>
      <c r="F203" s="418"/>
      <c r="G203" s="418"/>
      <c r="H203" s="418"/>
      <c r="I203" s="418"/>
      <c r="J203" s="418"/>
      <c r="K203" s="418"/>
      <c r="L203" s="418"/>
      <c r="M203" s="418"/>
      <c r="N203" s="418"/>
      <c r="O203" s="418"/>
      <c r="P203" s="418"/>
      <c r="Q203" s="418"/>
      <c r="R203" s="418"/>
    </row>
    <row r="204" spans="1:18" s="336" customFormat="1" x14ac:dyDescent="0.2">
      <c r="C204" s="336" t="s">
        <v>1086</v>
      </c>
      <c r="D204" s="382" t="s">
        <v>809</v>
      </c>
      <c r="F204" s="418">
        <f t="shared" ref="F204:Q206" si="47">F184*F194</f>
        <v>84289.710600000006</v>
      </c>
      <c r="G204" s="418">
        <f t="shared" si="47"/>
        <v>83644.912620000003</v>
      </c>
      <c r="H204" s="418">
        <f t="shared" si="47"/>
        <v>86403.837060000005</v>
      </c>
      <c r="I204" s="418">
        <f t="shared" si="47"/>
        <v>87374.890520000001</v>
      </c>
      <c r="J204" s="418">
        <f t="shared" si="47"/>
        <v>86186.58759000001</v>
      </c>
      <c r="K204" s="418">
        <f t="shared" si="47"/>
        <v>85857.418369999999</v>
      </c>
      <c r="L204" s="418">
        <f t="shared" si="47"/>
        <v>85014.139609999998</v>
      </c>
      <c r="M204" s="418">
        <f t="shared" si="47"/>
        <v>85968.709889999998</v>
      </c>
      <c r="N204" s="418">
        <f t="shared" si="47"/>
        <v>84433.746150000006</v>
      </c>
      <c r="O204" s="418">
        <f t="shared" si="47"/>
        <v>84509.543040000004</v>
      </c>
      <c r="P204" s="418">
        <f t="shared" si="47"/>
        <v>85150.389890000006</v>
      </c>
      <c r="Q204" s="418">
        <f t="shared" si="47"/>
        <v>81574.842940000002</v>
      </c>
      <c r="R204" s="418">
        <f t="shared" ref="R204:R210" si="48">SUM(F204:Q204)</f>
        <v>1020408.7282799999</v>
      </c>
    </row>
    <row r="205" spans="1:18" s="336" customFormat="1" x14ac:dyDescent="0.2">
      <c r="C205" s="336" t="s">
        <v>1087</v>
      </c>
      <c r="D205" s="382" t="s">
        <v>809</v>
      </c>
      <c r="F205" s="418">
        <f t="shared" si="47"/>
        <v>29097.630679999998</v>
      </c>
      <c r="G205" s="418">
        <f t="shared" si="47"/>
        <v>28055.98444</v>
      </c>
      <c r="H205" s="418">
        <f t="shared" si="47"/>
        <v>29595.597979999999</v>
      </c>
      <c r="I205" s="418">
        <f t="shared" si="47"/>
        <v>29415.116760000001</v>
      </c>
      <c r="J205" s="418">
        <f t="shared" si="47"/>
        <v>28430.0838</v>
      </c>
      <c r="K205" s="418">
        <f t="shared" si="47"/>
        <v>27942.234479999999</v>
      </c>
      <c r="L205" s="418">
        <f t="shared" si="47"/>
        <v>26300.233199999999</v>
      </c>
      <c r="M205" s="418">
        <f t="shared" si="47"/>
        <v>27411.01728</v>
      </c>
      <c r="N205" s="418">
        <f t="shared" si="47"/>
        <v>26446.540799999999</v>
      </c>
      <c r="O205" s="418">
        <f t="shared" si="47"/>
        <v>28682.005560000001</v>
      </c>
      <c r="P205" s="418">
        <f t="shared" si="47"/>
        <v>29427.387719999999</v>
      </c>
      <c r="Q205" s="418">
        <f t="shared" si="47"/>
        <v>30055.094519999999</v>
      </c>
      <c r="R205" s="418">
        <f t="shared" si="48"/>
        <v>340858.92721999995</v>
      </c>
    </row>
    <row r="206" spans="1:18" x14ac:dyDescent="0.2">
      <c r="C206" s="32" t="s">
        <v>1088</v>
      </c>
      <c r="D206" s="382" t="s">
        <v>809</v>
      </c>
      <c r="F206" s="364">
        <f t="shared" si="47"/>
        <v>35960.657250000004</v>
      </c>
      <c r="G206" s="364">
        <f t="shared" si="47"/>
        <v>26814.096399999999</v>
      </c>
      <c r="H206" s="364">
        <f t="shared" si="47"/>
        <v>35853.704599999997</v>
      </c>
      <c r="I206" s="364">
        <f t="shared" si="47"/>
        <v>28503.74121</v>
      </c>
      <c r="J206" s="364">
        <f t="shared" si="47"/>
        <v>25250.71199</v>
      </c>
      <c r="K206" s="364">
        <f t="shared" si="47"/>
        <v>20051.975299999998</v>
      </c>
      <c r="L206" s="364">
        <f t="shared" si="47"/>
        <v>16699.594659999999</v>
      </c>
      <c r="M206" s="364">
        <f t="shared" si="47"/>
        <v>18021.51211</v>
      </c>
      <c r="N206" s="364">
        <f t="shared" si="47"/>
        <v>18745.408500000001</v>
      </c>
      <c r="O206" s="364">
        <f t="shared" si="47"/>
        <v>28578.783240000001</v>
      </c>
      <c r="P206" s="364">
        <f t="shared" si="47"/>
        <v>35076.134590000001</v>
      </c>
      <c r="Q206" s="364">
        <f t="shared" si="47"/>
        <v>41610.881130000002</v>
      </c>
      <c r="R206" s="364">
        <f t="shared" si="48"/>
        <v>331167.20097999997</v>
      </c>
    </row>
    <row r="207" spans="1:18" x14ac:dyDescent="0.2">
      <c r="A207" s="32" t="s">
        <v>1054</v>
      </c>
      <c r="C207" s="32" t="s">
        <v>1077</v>
      </c>
      <c r="F207" s="365">
        <f t="shared" ref="F207:L207" si="49">SUM(F204:F206)</f>
        <v>149347.99853000001</v>
      </c>
      <c r="G207" s="365">
        <f t="shared" si="49"/>
        <v>138514.99346</v>
      </c>
      <c r="H207" s="365">
        <f t="shared" si="49"/>
        <v>151853.13964000001</v>
      </c>
      <c r="I207" s="365">
        <f t="shared" si="49"/>
        <v>145293.74849</v>
      </c>
      <c r="J207" s="365">
        <f t="shared" si="49"/>
        <v>139867.38338000001</v>
      </c>
      <c r="K207" s="365">
        <f t="shared" si="49"/>
        <v>133851.62815</v>
      </c>
      <c r="L207" s="365">
        <f t="shared" si="49"/>
        <v>128013.96747</v>
      </c>
      <c r="M207" s="365">
        <f>SUM(M204:M206)</f>
        <v>131401.23928000001</v>
      </c>
      <c r="N207" s="365">
        <f>SUM(N204:N206)</f>
        <v>129625.69545000001</v>
      </c>
      <c r="O207" s="365">
        <f>SUM(O204:O206)</f>
        <v>141770.33184</v>
      </c>
      <c r="P207" s="365">
        <f>SUM(P204:P206)</f>
        <v>149653.91220000002</v>
      </c>
      <c r="Q207" s="365">
        <f>SUM(Q204:Q206)</f>
        <v>153240.81859000001</v>
      </c>
      <c r="R207" s="365">
        <f t="shared" si="48"/>
        <v>1692434.8564800003</v>
      </c>
    </row>
    <row r="208" spans="1:18" x14ac:dyDescent="0.2">
      <c r="A208" s="32" t="s">
        <v>1056</v>
      </c>
      <c r="B208" s="336" t="s">
        <v>1081</v>
      </c>
      <c r="D208" s="382" t="s">
        <v>809</v>
      </c>
      <c r="F208" s="446">
        <f t="shared" ref="F208:Q209" si="50">F187*F197</f>
        <v>1486.0951</v>
      </c>
      <c r="G208" s="446">
        <f t="shared" si="50"/>
        <v>1338.5127</v>
      </c>
      <c r="H208" s="446">
        <f t="shared" si="50"/>
        <v>1506.0002999999999</v>
      </c>
      <c r="I208" s="446">
        <f t="shared" si="50"/>
        <v>1387.0178000000001</v>
      </c>
      <c r="J208" s="446">
        <f t="shared" si="50"/>
        <v>1320.4933000000001</v>
      </c>
      <c r="K208" s="446">
        <f t="shared" si="50"/>
        <v>1239.4234999999999</v>
      </c>
      <c r="L208" s="446">
        <f t="shared" si="50"/>
        <v>1165.1087</v>
      </c>
      <c r="M208" s="446">
        <f t="shared" si="50"/>
        <v>1204.854</v>
      </c>
      <c r="N208" s="446">
        <f t="shared" si="50"/>
        <v>1191.5435</v>
      </c>
      <c r="O208" s="446">
        <f t="shared" si="50"/>
        <v>1358.6670999999999</v>
      </c>
      <c r="P208" s="446">
        <f t="shared" si="50"/>
        <v>1463.3688999999999</v>
      </c>
      <c r="Q208" s="446">
        <f t="shared" si="50"/>
        <v>1538.1659999999999</v>
      </c>
      <c r="R208" s="446">
        <f t="shared" si="48"/>
        <v>16199.250899999997</v>
      </c>
    </row>
    <row r="209" spans="1:18" x14ac:dyDescent="0.2">
      <c r="A209" s="32" t="s">
        <v>1054</v>
      </c>
      <c r="B209" s="32" t="s">
        <v>1069</v>
      </c>
      <c r="D209" s="382" t="s">
        <v>809</v>
      </c>
      <c r="F209" s="364">
        <f t="shared" si="50"/>
        <v>24701.600000000002</v>
      </c>
      <c r="G209" s="364">
        <f t="shared" si="50"/>
        <v>27341.600000000002</v>
      </c>
      <c r="H209" s="364">
        <f t="shared" si="50"/>
        <v>26021.600000000002</v>
      </c>
      <c r="I209" s="364">
        <f t="shared" si="50"/>
        <v>26258.160000000003</v>
      </c>
      <c r="J209" s="364">
        <f t="shared" si="50"/>
        <v>26258.160000000003</v>
      </c>
      <c r="K209" s="364">
        <f t="shared" si="50"/>
        <v>26258.160000000003</v>
      </c>
      <c r="L209" s="364">
        <f t="shared" si="50"/>
        <v>26258.160000000003</v>
      </c>
      <c r="M209" s="364">
        <f t="shared" si="50"/>
        <v>26258.160000000003</v>
      </c>
      <c r="N209" s="364">
        <f t="shared" si="50"/>
        <v>26258.160000000003</v>
      </c>
      <c r="O209" s="364">
        <f t="shared" si="50"/>
        <v>23483.160000000003</v>
      </c>
      <c r="P209" s="364">
        <f t="shared" si="50"/>
        <v>21818.160000000003</v>
      </c>
      <c r="Q209" s="364">
        <f t="shared" si="50"/>
        <v>21485.160000000003</v>
      </c>
      <c r="R209" s="364">
        <f t="shared" si="48"/>
        <v>302400.24000000011</v>
      </c>
    </row>
    <row r="210" spans="1:18" s="336" customFormat="1" x14ac:dyDescent="0.2">
      <c r="A210" s="336" t="s">
        <v>1054</v>
      </c>
      <c r="B210" s="336" t="s">
        <v>1071</v>
      </c>
      <c r="D210" s="382" t="s">
        <v>809</v>
      </c>
      <c r="F210" s="447">
        <f>'JKP-3.1c - Data'!C185</f>
        <v>0</v>
      </c>
      <c r="G210" s="447">
        <f>'JKP-3.1c - Data'!D185</f>
        <v>0</v>
      </c>
      <c r="H210" s="447">
        <f>'JKP-3.1c - Data'!E185</f>
        <v>9926.75</v>
      </c>
      <c r="I210" s="447">
        <f>'JKP-3.1c - Data'!F185</f>
        <v>0</v>
      </c>
      <c r="J210" s="447">
        <f>'JKP-3.1c - Data'!G185</f>
        <v>0</v>
      </c>
      <c r="K210" s="447">
        <f>'JKP-3.1c - Data'!H185</f>
        <v>19921.75</v>
      </c>
      <c r="L210" s="447">
        <f>'JKP-3.1c - Data'!I185</f>
        <v>0</v>
      </c>
      <c r="M210" s="447">
        <f>'JKP-3.1c - Data'!J185</f>
        <v>0</v>
      </c>
      <c r="N210" s="447">
        <f>'JKP-3.1c - Data'!K185</f>
        <v>0</v>
      </c>
      <c r="O210" s="447">
        <f>'JKP-3.1c - Data'!L185</f>
        <v>0</v>
      </c>
      <c r="P210" s="447">
        <f>'JKP-3.1c - Data'!M185</f>
        <v>442.69</v>
      </c>
      <c r="Q210" s="447">
        <f>'JKP-3.1c - Data'!N185</f>
        <v>0</v>
      </c>
      <c r="R210" s="437">
        <f t="shared" si="48"/>
        <v>30291.19</v>
      </c>
    </row>
    <row r="211" spans="1:18" x14ac:dyDescent="0.2">
      <c r="B211" s="32" t="s">
        <v>986</v>
      </c>
      <c r="F211" s="365">
        <f>F202+F207+F208+F209+F210</f>
        <v>205614.34363000002</v>
      </c>
      <c r="G211" s="365">
        <f t="shared" ref="G211:R211" si="51">G202+G207+G208+G209+G210</f>
        <v>198992.53615999999</v>
      </c>
      <c r="H211" s="365">
        <f t="shared" si="51"/>
        <v>220245.52994000004</v>
      </c>
      <c r="I211" s="365">
        <f t="shared" si="51"/>
        <v>204316.16628999999</v>
      </c>
      <c r="J211" s="365">
        <f t="shared" si="51"/>
        <v>199694.86668000004</v>
      </c>
      <c r="K211" s="365">
        <f t="shared" si="51"/>
        <v>213519.79165000003</v>
      </c>
      <c r="L211" s="365">
        <f t="shared" si="51"/>
        <v>187686.06617000001</v>
      </c>
      <c r="M211" s="365">
        <f t="shared" si="51"/>
        <v>191113.08327999999</v>
      </c>
      <c r="N211" s="365">
        <f t="shared" si="51"/>
        <v>189324.22895000002</v>
      </c>
      <c r="O211" s="365">
        <f t="shared" si="51"/>
        <v>197989.39893999998</v>
      </c>
      <c r="P211" s="365">
        <f t="shared" si="51"/>
        <v>203883.78110000002</v>
      </c>
      <c r="Q211" s="365">
        <f t="shared" si="51"/>
        <v>206769.79459</v>
      </c>
      <c r="R211" s="365">
        <f t="shared" si="51"/>
        <v>2419149.5873800004</v>
      </c>
    </row>
    <row r="212" spans="1:18" s="336" customFormat="1" x14ac:dyDescent="0.2">
      <c r="F212" s="418"/>
      <c r="G212" s="418"/>
      <c r="H212" s="418"/>
      <c r="I212" s="418"/>
      <c r="J212" s="418"/>
      <c r="K212" s="418"/>
      <c r="L212" s="418"/>
      <c r="M212" s="418"/>
      <c r="N212" s="418"/>
      <c r="O212" s="418"/>
      <c r="P212" s="418"/>
      <c r="Q212" s="418"/>
      <c r="R212" s="418"/>
    </row>
    <row r="213" spans="1:18" s="336" customFormat="1" x14ac:dyDescent="0.2">
      <c r="A213" s="336" t="s">
        <v>1058</v>
      </c>
      <c r="B213" s="336" t="s">
        <v>1050</v>
      </c>
      <c r="F213" s="418">
        <f>F208</f>
        <v>1486.0951</v>
      </c>
      <c r="G213" s="418">
        <f t="shared" ref="G213:Q213" si="52">G208</f>
        <v>1338.5127</v>
      </c>
      <c r="H213" s="418">
        <f t="shared" si="52"/>
        <v>1506.0002999999999</v>
      </c>
      <c r="I213" s="418">
        <f t="shared" si="52"/>
        <v>1387.0178000000001</v>
      </c>
      <c r="J213" s="418">
        <f t="shared" si="52"/>
        <v>1320.4933000000001</v>
      </c>
      <c r="K213" s="418">
        <f t="shared" si="52"/>
        <v>1239.4234999999999</v>
      </c>
      <c r="L213" s="418">
        <f t="shared" si="52"/>
        <v>1165.1087</v>
      </c>
      <c r="M213" s="418">
        <f t="shared" si="52"/>
        <v>1204.854</v>
      </c>
      <c r="N213" s="418">
        <f t="shared" si="52"/>
        <v>1191.5435</v>
      </c>
      <c r="O213" s="418">
        <f t="shared" si="52"/>
        <v>1358.6670999999999</v>
      </c>
      <c r="P213" s="418">
        <f t="shared" si="52"/>
        <v>1463.3688999999999</v>
      </c>
      <c r="Q213" s="418">
        <f t="shared" si="52"/>
        <v>1538.1659999999999</v>
      </c>
      <c r="R213" s="418">
        <f>SUM(F213:Q213)</f>
        <v>16199.250899999997</v>
      </c>
    </row>
    <row r="214" spans="1:18" s="336" customFormat="1" x14ac:dyDescent="0.2">
      <c r="F214" s="418"/>
      <c r="G214" s="418"/>
      <c r="H214" s="418"/>
      <c r="I214" s="418"/>
      <c r="J214" s="418"/>
      <c r="K214" s="418"/>
      <c r="L214" s="418"/>
      <c r="M214" s="418"/>
      <c r="N214" s="418"/>
      <c r="O214" s="418"/>
      <c r="P214" s="418"/>
      <c r="Q214" s="418"/>
      <c r="R214" s="418"/>
    </row>
    <row r="215" spans="1:18" s="336" customFormat="1" x14ac:dyDescent="0.2">
      <c r="B215" s="182" t="s">
        <v>1089</v>
      </c>
      <c r="C215" s="182"/>
    </row>
    <row r="216" spans="1:18" s="336" customFormat="1" x14ac:dyDescent="0.2">
      <c r="B216" s="182" t="s">
        <v>5</v>
      </c>
      <c r="C216" s="182"/>
    </row>
    <row r="217" spans="1:18" s="336" customFormat="1" x14ac:dyDescent="0.2">
      <c r="B217" s="336" t="s">
        <v>1059</v>
      </c>
      <c r="D217" s="382" t="s">
        <v>811</v>
      </c>
      <c r="E217" s="336" t="s">
        <v>976</v>
      </c>
      <c r="F217" s="442">
        <v>859.39</v>
      </c>
      <c r="G217" s="442">
        <v>859.39</v>
      </c>
      <c r="H217" s="442">
        <v>859.39</v>
      </c>
      <c r="I217" s="442">
        <v>871.85</v>
      </c>
      <c r="J217" s="442">
        <v>871.85</v>
      </c>
      <c r="K217" s="442">
        <v>871.85</v>
      </c>
      <c r="L217" s="442">
        <v>871.85</v>
      </c>
      <c r="M217" s="442">
        <v>871.85</v>
      </c>
      <c r="N217" s="442">
        <v>871.85</v>
      </c>
      <c r="O217" s="442">
        <v>871.85</v>
      </c>
      <c r="P217" s="442">
        <v>871.85</v>
      </c>
      <c r="Q217" s="442">
        <v>871.85</v>
      </c>
    </row>
    <row r="218" spans="1:18" s="336" customFormat="1" x14ac:dyDescent="0.2">
      <c r="B218" s="336" t="s">
        <v>1047</v>
      </c>
      <c r="F218" s="448"/>
      <c r="G218" s="448"/>
      <c r="H218" s="448"/>
      <c r="I218" s="448"/>
      <c r="J218" s="448"/>
      <c r="K218" s="448"/>
      <c r="L218" s="448"/>
      <c r="M218" s="448"/>
      <c r="N218" s="448"/>
      <c r="O218" s="448"/>
      <c r="P218" s="448"/>
      <c r="Q218" s="448"/>
    </row>
    <row r="219" spans="1:18" s="336" customFormat="1" x14ac:dyDescent="0.2">
      <c r="C219" s="336" t="s">
        <v>1086</v>
      </c>
      <c r="D219" s="382" t="s">
        <v>811</v>
      </c>
      <c r="E219" s="336" t="s">
        <v>957</v>
      </c>
      <c r="F219" s="440">
        <v>0.13618</v>
      </c>
      <c r="G219" s="440">
        <v>0.13618</v>
      </c>
      <c r="H219" s="440">
        <v>0.13618</v>
      </c>
      <c r="I219" s="440">
        <v>0.13815</v>
      </c>
      <c r="J219" s="440">
        <v>0.13815</v>
      </c>
      <c r="K219" s="440">
        <v>0.13815</v>
      </c>
      <c r="L219" s="440">
        <v>0.13815</v>
      </c>
      <c r="M219" s="440">
        <v>0.13815</v>
      </c>
      <c r="N219" s="440">
        <v>0.13815</v>
      </c>
      <c r="O219" s="440">
        <v>0.13815</v>
      </c>
      <c r="P219" s="440">
        <v>0.13815</v>
      </c>
      <c r="Q219" s="440">
        <v>0.13815</v>
      </c>
    </row>
    <row r="220" spans="1:18" s="336" customFormat="1" x14ac:dyDescent="0.2">
      <c r="C220" s="336" t="s">
        <v>1087</v>
      </c>
      <c r="D220" s="382" t="s">
        <v>811</v>
      </c>
      <c r="E220" s="336" t="s">
        <v>957</v>
      </c>
      <c r="F220" s="440">
        <v>8.3140000000000006E-2</v>
      </c>
      <c r="G220" s="440">
        <v>8.3140000000000006E-2</v>
      </c>
      <c r="H220" s="440">
        <v>8.3140000000000006E-2</v>
      </c>
      <c r="I220" s="440">
        <v>8.4349999999999994E-2</v>
      </c>
      <c r="J220" s="440">
        <v>8.4349999999999994E-2</v>
      </c>
      <c r="K220" s="440">
        <v>8.4349999999999994E-2</v>
      </c>
      <c r="L220" s="440">
        <v>8.4349999999999994E-2</v>
      </c>
      <c r="M220" s="440">
        <v>8.4349999999999994E-2</v>
      </c>
      <c r="N220" s="440">
        <v>8.4349999999999994E-2</v>
      </c>
      <c r="O220" s="440">
        <v>8.4349999999999994E-2</v>
      </c>
      <c r="P220" s="440">
        <v>8.4349999999999994E-2</v>
      </c>
      <c r="Q220" s="440">
        <v>8.4349999999999994E-2</v>
      </c>
    </row>
    <row r="221" spans="1:18" s="336" customFormat="1" x14ac:dyDescent="0.2">
      <c r="C221" s="336" t="s">
        <v>1090</v>
      </c>
      <c r="D221" s="382" t="s">
        <v>811</v>
      </c>
      <c r="E221" s="336" t="s">
        <v>957</v>
      </c>
      <c r="F221" s="440">
        <v>5.3679999999999999E-2</v>
      </c>
      <c r="G221" s="440">
        <v>5.3679999999999999E-2</v>
      </c>
      <c r="H221" s="440">
        <v>5.3679999999999999E-2</v>
      </c>
      <c r="I221" s="440">
        <v>5.4460000000000001E-2</v>
      </c>
      <c r="J221" s="440">
        <v>5.4460000000000001E-2</v>
      </c>
      <c r="K221" s="440">
        <v>5.4460000000000001E-2</v>
      </c>
      <c r="L221" s="440">
        <v>5.4460000000000001E-2</v>
      </c>
      <c r="M221" s="440">
        <v>5.4460000000000001E-2</v>
      </c>
      <c r="N221" s="440">
        <v>5.4460000000000001E-2</v>
      </c>
      <c r="O221" s="440">
        <v>5.4460000000000001E-2</v>
      </c>
      <c r="P221" s="440">
        <v>5.4460000000000001E-2</v>
      </c>
      <c r="Q221" s="440">
        <v>5.4460000000000001E-2</v>
      </c>
    </row>
    <row r="222" spans="1:18" s="336" customFormat="1" x14ac:dyDescent="0.2">
      <c r="C222" s="336" t="s">
        <v>1091</v>
      </c>
      <c r="D222" s="382" t="s">
        <v>811</v>
      </c>
      <c r="E222" s="336" t="s">
        <v>957</v>
      </c>
      <c r="F222" s="440">
        <v>3.5189999999999999E-2</v>
      </c>
      <c r="G222" s="440">
        <v>3.5189999999999999E-2</v>
      </c>
      <c r="H222" s="440">
        <v>3.5189999999999999E-2</v>
      </c>
      <c r="I222" s="440">
        <v>3.5700000000000003E-2</v>
      </c>
      <c r="J222" s="440">
        <v>3.5700000000000003E-2</v>
      </c>
      <c r="K222" s="440">
        <v>3.5700000000000003E-2</v>
      </c>
      <c r="L222" s="440">
        <v>3.5700000000000003E-2</v>
      </c>
      <c r="M222" s="440">
        <v>3.5700000000000003E-2</v>
      </c>
      <c r="N222" s="440">
        <v>3.5700000000000003E-2</v>
      </c>
      <c r="O222" s="440">
        <v>3.5700000000000003E-2</v>
      </c>
      <c r="P222" s="440">
        <v>3.5700000000000003E-2</v>
      </c>
      <c r="Q222" s="440">
        <v>3.5700000000000003E-2</v>
      </c>
    </row>
    <row r="223" spans="1:18" s="336" customFormat="1" x14ac:dyDescent="0.2">
      <c r="C223" s="336" t="s">
        <v>1092</v>
      </c>
      <c r="D223" s="382" t="s">
        <v>811</v>
      </c>
      <c r="E223" s="336" t="s">
        <v>957</v>
      </c>
      <c r="F223" s="440">
        <v>2.5919999999999999E-2</v>
      </c>
      <c r="G223" s="440">
        <v>2.5919999999999999E-2</v>
      </c>
      <c r="H223" s="440">
        <v>2.5919999999999999E-2</v>
      </c>
      <c r="I223" s="440">
        <v>2.63E-2</v>
      </c>
      <c r="J223" s="440">
        <v>2.63E-2</v>
      </c>
      <c r="K223" s="440">
        <v>2.63E-2</v>
      </c>
      <c r="L223" s="440">
        <v>2.63E-2</v>
      </c>
      <c r="M223" s="440">
        <v>2.63E-2</v>
      </c>
      <c r="N223" s="440">
        <v>2.63E-2</v>
      </c>
      <c r="O223" s="440">
        <v>2.63E-2</v>
      </c>
      <c r="P223" s="440">
        <v>2.63E-2</v>
      </c>
      <c r="Q223" s="440">
        <v>2.63E-2</v>
      </c>
    </row>
    <row r="224" spans="1:18" s="336" customFormat="1" x14ac:dyDescent="0.2">
      <c r="C224" s="336" t="s">
        <v>1093</v>
      </c>
      <c r="D224" s="382" t="s">
        <v>811</v>
      </c>
      <c r="E224" s="336" t="s">
        <v>957</v>
      </c>
      <c r="F224" s="440">
        <v>2.0469999999999999E-2</v>
      </c>
      <c r="G224" s="440">
        <v>2.0469999999999999E-2</v>
      </c>
      <c r="H224" s="440">
        <v>2.0469999999999999E-2</v>
      </c>
      <c r="I224" s="440">
        <v>2.077E-2</v>
      </c>
      <c r="J224" s="440">
        <v>2.077E-2</v>
      </c>
      <c r="K224" s="440">
        <v>2.077E-2</v>
      </c>
      <c r="L224" s="440">
        <v>2.077E-2</v>
      </c>
      <c r="M224" s="440">
        <v>2.077E-2</v>
      </c>
      <c r="N224" s="440">
        <v>2.077E-2</v>
      </c>
      <c r="O224" s="440">
        <v>2.077E-2</v>
      </c>
      <c r="P224" s="440">
        <v>2.077E-2</v>
      </c>
      <c r="Q224" s="440">
        <v>2.077E-2</v>
      </c>
    </row>
    <row r="225" spans="2:18" s="336" customFormat="1" x14ac:dyDescent="0.2">
      <c r="B225" s="336" t="s">
        <v>1081</v>
      </c>
      <c r="D225" s="382" t="s">
        <v>811</v>
      </c>
      <c r="E225" s="336" t="s">
        <v>957</v>
      </c>
      <c r="F225" s="440">
        <v>6.9999999999999999E-4</v>
      </c>
      <c r="G225" s="440">
        <v>6.9999999999999999E-4</v>
      </c>
      <c r="H225" s="440">
        <v>6.9999999999999999E-4</v>
      </c>
      <c r="I225" s="440">
        <v>6.9999999999999999E-4</v>
      </c>
      <c r="J225" s="440">
        <v>6.9999999999999999E-4</v>
      </c>
      <c r="K225" s="440">
        <v>6.9999999999999999E-4</v>
      </c>
      <c r="L225" s="440">
        <v>6.9999999999999999E-4</v>
      </c>
      <c r="M225" s="440">
        <v>6.9999999999999999E-4</v>
      </c>
      <c r="N225" s="440">
        <v>6.9999999999999999E-4</v>
      </c>
      <c r="O225" s="440">
        <v>6.9999999999999999E-4</v>
      </c>
      <c r="P225" s="440">
        <v>6.9999999999999999E-4</v>
      </c>
      <c r="Q225" s="440">
        <v>6.9999999999999999E-4</v>
      </c>
    </row>
    <row r="226" spans="2:18" s="336" customFormat="1" x14ac:dyDescent="0.2">
      <c r="B226" s="336" t="s">
        <v>1069</v>
      </c>
      <c r="D226" s="336">
        <v>101</v>
      </c>
      <c r="E226" s="336" t="s">
        <v>957</v>
      </c>
      <c r="F226" s="442">
        <v>1.1000000000000001</v>
      </c>
      <c r="G226" s="442">
        <v>1.1000000000000001</v>
      </c>
      <c r="H226" s="442">
        <v>1.1000000000000001</v>
      </c>
      <c r="I226" s="442">
        <v>1.1100000000000001</v>
      </c>
      <c r="J226" s="442">
        <v>1.1100000000000001</v>
      </c>
      <c r="K226" s="442">
        <v>1.1100000000000001</v>
      </c>
      <c r="L226" s="442">
        <v>1.1100000000000001</v>
      </c>
      <c r="M226" s="442">
        <v>1.1100000000000001</v>
      </c>
      <c r="N226" s="442">
        <v>1.1100000000000001</v>
      </c>
      <c r="O226" s="442">
        <v>1.1100000000000001</v>
      </c>
      <c r="P226" s="442">
        <v>1.1100000000000001</v>
      </c>
      <c r="Q226" s="442">
        <v>1.1100000000000001</v>
      </c>
    </row>
    <row r="227" spans="2:18" s="336" customFormat="1" x14ac:dyDescent="0.2">
      <c r="B227" s="336" t="s">
        <v>1071</v>
      </c>
      <c r="D227" s="382" t="s">
        <v>811</v>
      </c>
      <c r="E227" s="336" t="s">
        <v>67</v>
      </c>
      <c r="F227" s="442"/>
      <c r="G227" s="442"/>
      <c r="H227" s="442"/>
      <c r="I227" s="442"/>
      <c r="J227" s="442"/>
      <c r="K227" s="442"/>
      <c r="L227" s="442"/>
      <c r="M227" s="442"/>
      <c r="N227" s="442"/>
      <c r="O227" s="442"/>
      <c r="P227" s="442"/>
      <c r="Q227" s="442"/>
    </row>
    <row r="228" spans="2:18" s="336" customFormat="1" x14ac:dyDescent="0.2"/>
    <row r="229" spans="2:18" x14ac:dyDescent="0.2">
      <c r="B229" s="276" t="s">
        <v>982</v>
      </c>
    </row>
    <row r="230" spans="2:18" x14ac:dyDescent="0.2">
      <c r="B230" s="32" t="s">
        <v>67</v>
      </c>
      <c r="D230" s="382" t="s">
        <v>811</v>
      </c>
      <c r="E230" s="32" t="s">
        <v>67</v>
      </c>
      <c r="F230" s="397">
        <f>'JKP-3.1c - Data'!C155</f>
        <v>2</v>
      </c>
      <c r="G230" s="397">
        <f>'JKP-3.1c - Data'!D155</f>
        <v>2</v>
      </c>
      <c r="H230" s="397">
        <f>'JKP-3.1c - Data'!E155</f>
        <v>2</v>
      </c>
      <c r="I230" s="397">
        <f>'JKP-3.1c - Data'!F155</f>
        <v>2</v>
      </c>
      <c r="J230" s="397">
        <f>'JKP-3.1c - Data'!G155</f>
        <v>2</v>
      </c>
      <c r="K230" s="397">
        <f>'JKP-3.1c - Data'!H155</f>
        <v>2</v>
      </c>
      <c r="L230" s="397">
        <f>'JKP-3.1c - Data'!I155</f>
        <v>2</v>
      </c>
      <c r="M230" s="397">
        <f>'JKP-3.1c - Data'!J155</f>
        <v>2</v>
      </c>
      <c r="N230" s="397">
        <f>'JKP-3.1c - Data'!K155</f>
        <v>2</v>
      </c>
      <c r="O230" s="397">
        <f>'JKP-3.1c - Data'!L155</f>
        <v>2</v>
      </c>
      <c r="P230" s="397">
        <f>'JKP-3.1c - Data'!M155</f>
        <v>2</v>
      </c>
      <c r="Q230" s="397">
        <f>'JKP-3.1c - Data'!N155</f>
        <v>2</v>
      </c>
      <c r="R230" s="279">
        <f t="shared" ref="R230:R239" si="53">SUM(F230:Q230)</f>
        <v>24</v>
      </c>
    </row>
    <row r="231" spans="2:18" s="336" customFormat="1" x14ac:dyDescent="0.2">
      <c r="B231" s="336" t="s">
        <v>76</v>
      </c>
      <c r="F231" s="380"/>
      <c r="G231" s="380"/>
      <c r="H231" s="380"/>
      <c r="I231" s="380"/>
      <c r="J231" s="380"/>
      <c r="K231" s="380"/>
      <c r="L231" s="380"/>
      <c r="M231" s="380"/>
      <c r="N231" s="380"/>
      <c r="O231" s="380"/>
      <c r="P231" s="380"/>
      <c r="Q231" s="380"/>
      <c r="R231" s="279">
        <f t="shared" si="53"/>
        <v>0</v>
      </c>
    </row>
    <row r="232" spans="2:18" s="336" customFormat="1" x14ac:dyDescent="0.2">
      <c r="C232" s="336" t="s">
        <v>1086</v>
      </c>
      <c r="D232" s="382" t="s">
        <v>811</v>
      </c>
      <c r="E232" s="336" t="s">
        <v>10</v>
      </c>
      <c r="F232" s="380">
        <v>50000</v>
      </c>
      <c r="G232" s="380">
        <v>50000</v>
      </c>
      <c r="H232" s="380">
        <v>50000</v>
      </c>
      <c r="I232" s="380">
        <v>50000</v>
      </c>
      <c r="J232" s="380">
        <v>50000</v>
      </c>
      <c r="K232" s="380">
        <v>50000</v>
      </c>
      <c r="L232" s="380">
        <v>50000</v>
      </c>
      <c r="M232" s="380">
        <v>50000</v>
      </c>
      <c r="N232" s="380">
        <v>50000</v>
      </c>
      <c r="O232" s="380">
        <v>50000</v>
      </c>
      <c r="P232" s="380">
        <v>50000</v>
      </c>
      <c r="Q232" s="380">
        <v>50000</v>
      </c>
      <c r="R232" s="279">
        <f t="shared" si="53"/>
        <v>600000</v>
      </c>
    </row>
    <row r="233" spans="2:18" s="336" customFormat="1" x14ac:dyDescent="0.2">
      <c r="C233" s="336" t="s">
        <v>1087</v>
      </c>
      <c r="D233" s="382" t="s">
        <v>811</v>
      </c>
      <c r="E233" s="336" t="s">
        <v>10</v>
      </c>
      <c r="F233" s="380">
        <v>50000</v>
      </c>
      <c r="G233" s="380">
        <v>50000</v>
      </c>
      <c r="H233" s="380">
        <v>50000</v>
      </c>
      <c r="I233" s="380">
        <v>50000</v>
      </c>
      <c r="J233" s="380">
        <v>50000</v>
      </c>
      <c r="K233" s="380">
        <v>50000</v>
      </c>
      <c r="L233" s="380">
        <v>50000</v>
      </c>
      <c r="M233" s="380">
        <v>50000</v>
      </c>
      <c r="N233" s="380">
        <v>50000</v>
      </c>
      <c r="O233" s="380">
        <v>50000</v>
      </c>
      <c r="P233" s="380">
        <v>50000</v>
      </c>
      <c r="Q233" s="380">
        <v>50000</v>
      </c>
      <c r="R233" s="279">
        <f t="shared" si="53"/>
        <v>600000</v>
      </c>
    </row>
    <row r="234" spans="2:18" s="336" customFormat="1" x14ac:dyDescent="0.2">
      <c r="C234" s="336" t="s">
        <v>1090</v>
      </c>
      <c r="D234" s="382" t="s">
        <v>811</v>
      </c>
      <c r="E234" s="336" t="s">
        <v>10</v>
      </c>
      <c r="F234" s="380">
        <v>100000</v>
      </c>
      <c r="G234" s="380">
        <v>100000</v>
      </c>
      <c r="H234" s="380">
        <v>100000</v>
      </c>
      <c r="I234" s="380">
        <v>100000</v>
      </c>
      <c r="J234" s="380">
        <v>100000</v>
      </c>
      <c r="K234" s="380">
        <v>100000</v>
      </c>
      <c r="L234" s="380">
        <v>100000</v>
      </c>
      <c r="M234" s="380">
        <v>100000</v>
      </c>
      <c r="N234" s="380">
        <v>100000</v>
      </c>
      <c r="O234" s="380">
        <v>100000</v>
      </c>
      <c r="P234" s="380">
        <v>100000</v>
      </c>
      <c r="Q234" s="380">
        <v>100000</v>
      </c>
      <c r="R234" s="279">
        <f t="shared" si="53"/>
        <v>1200000</v>
      </c>
    </row>
    <row r="235" spans="2:18" s="336" customFormat="1" x14ac:dyDescent="0.2">
      <c r="C235" s="336" t="s">
        <v>1091</v>
      </c>
      <c r="D235" s="382" t="s">
        <v>811</v>
      </c>
      <c r="E235" s="336" t="s">
        <v>10</v>
      </c>
      <c r="F235" s="380">
        <v>200000</v>
      </c>
      <c r="G235" s="380">
        <v>200000</v>
      </c>
      <c r="H235" s="380">
        <v>200000</v>
      </c>
      <c r="I235" s="380">
        <v>200000</v>
      </c>
      <c r="J235" s="380">
        <v>200000</v>
      </c>
      <c r="K235" s="380">
        <v>200000</v>
      </c>
      <c r="L235" s="380">
        <v>200000</v>
      </c>
      <c r="M235" s="380">
        <v>200000</v>
      </c>
      <c r="N235" s="380">
        <v>200000</v>
      </c>
      <c r="O235" s="380">
        <v>200000</v>
      </c>
      <c r="P235" s="380">
        <v>200000</v>
      </c>
      <c r="Q235" s="380">
        <v>200000</v>
      </c>
      <c r="R235" s="279">
        <f t="shared" si="53"/>
        <v>2400000</v>
      </c>
    </row>
    <row r="236" spans="2:18" s="336" customFormat="1" x14ac:dyDescent="0.2">
      <c r="C236" s="336" t="s">
        <v>1092</v>
      </c>
      <c r="D236" s="382" t="s">
        <v>811</v>
      </c>
      <c r="E236" s="336" t="s">
        <v>10</v>
      </c>
      <c r="F236" s="380">
        <v>382651</v>
      </c>
      <c r="G236" s="380">
        <v>364894</v>
      </c>
      <c r="H236" s="380">
        <v>402729</v>
      </c>
      <c r="I236" s="380">
        <v>390552</v>
      </c>
      <c r="J236" s="380">
        <v>385110</v>
      </c>
      <c r="K236" s="380">
        <v>396126</v>
      </c>
      <c r="L236" s="380">
        <v>396365</v>
      </c>
      <c r="M236" s="380">
        <v>399724</v>
      </c>
      <c r="N236" s="380">
        <v>400295</v>
      </c>
      <c r="O236" s="380">
        <v>393470</v>
      </c>
      <c r="P236" s="380">
        <v>381020</v>
      </c>
      <c r="Q236" s="380">
        <v>394288</v>
      </c>
      <c r="R236" s="279">
        <f t="shared" si="53"/>
        <v>4687224</v>
      </c>
    </row>
    <row r="237" spans="2:18" s="336" customFormat="1" x14ac:dyDescent="0.2">
      <c r="C237" s="336" t="s">
        <v>1093</v>
      </c>
      <c r="D237" s="382" t="s">
        <v>811</v>
      </c>
      <c r="E237" s="336" t="s">
        <v>10</v>
      </c>
      <c r="F237" s="378">
        <f t="shared" ref="F237:Q237" si="54">F238-SUM(F232:F236)</f>
        <v>1155301</v>
      </c>
      <c r="G237" s="378">
        <f t="shared" si="54"/>
        <v>942918</v>
      </c>
      <c r="H237" s="378">
        <f t="shared" si="54"/>
        <v>1018640</v>
      </c>
      <c r="I237" s="378">
        <f t="shared" si="54"/>
        <v>888255</v>
      </c>
      <c r="J237" s="378">
        <f t="shared" si="54"/>
        <v>759568</v>
      </c>
      <c r="K237" s="378">
        <f t="shared" si="54"/>
        <v>498303</v>
      </c>
      <c r="L237" s="378">
        <f t="shared" si="54"/>
        <v>400327</v>
      </c>
      <c r="M237" s="378">
        <f t="shared" si="54"/>
        <v>365087</v>
      </c>
      <c r="N237" s="378">
        <f t="shared" si="54"/>
        <v>437462</v>
      </c>
      <c r="O237" s="378">
        <f t="shared" si="54"/>
        <v>693649</v>
      </c>
      <c r="P237" s="378">
        <f t="shared" si="54"/>
        <v>1200237</v>
      </c>
      <c r="Q237" s="378">
        <f t="shared" si="54"/>
        <v>1196610</v>
      </c>
      <c r="R237" s="279">
        <f t="shared" si="53"/>
        <v>9556357</v>
      </c>
    </row>
    <row r="238" spans="2:18" s="336" customFormat="1" x14ac:dyDescent="0.2">
      <c r="C238" s="336" t="s">
        <v>1075</v>
      </c>
      <c r="D238" s="382" t="s">
        <v>811</v>
      </c>
      <c r="E238" s="336" t="s">
        <v>10</v>
      </c>
      <c r="F238" s="445">
        <f>'JKP-3.1c - Therms Data'!E78</f>
        <v>1937952</v>
      </c>
      <c r="G238" s="445">
        <f>'JKP-3.1c - Therms Data'!F78</f>
        <v>1707812</v>
      </c>
      <c r="H238" s="445">
        <f>'JKP-3.1c - Therms Data'!G78</f>
        <v>1821369</v>
      </c>
      <c r="I238" s="445">
        <f>'JKP-3.1c - Therms Data'!H78</f>
        <v>1678807</v>
      </c>
      <c r="J238" s="445">
        <f>'JKP-3.1c - Therms Data'!I78</f>
        <v>1544678</v>
      </c>
      <c r="K238" s="445">
        <f>'JKP-3.1c - Therms Data'!J78</f>
        <v>1294429</v>
      </c>
      <c r="L238" s="445">
        <f>'JKP-3.1c - Therms Data'!K78</f>
        <v>1196692</v>
      </c>
      <c r="M238" s="445">
        <f>'JKP-3.1c - Therms Data'!L78</f>
        <v>1164811</v>
      </c>
      <c r="N238" s="445">
        <f>'JKP-3.1c - Therms Data'!M78</f>
        <v>1237757</v>
      </c>
      <c r="O238" s="445">
        <f>'JKP-3.1c - Therms Data'!N78</f>
        <v>1487119</v>
      </c>
      <c r="P238" s="445">
        <f>'JKP-3.1c - Therms Data'!O78</f>
        <v>1981257</v>
      </c>
      <c r="Q238" s="445">
        <f>'JKP-3.1c - Therms Data'!P78</f>
        <v>1990898</v>
      </c>
      <c r="R238" s="436">
        <f t="shared" si="53"/>
        <v>19043581</v>
      </c>
    </row>
    <row r="239" spans="2:18" s="336" customFormat="1" x14ac:dyDescent="0.2">
      <c r="B239" s="336" t="s">
        <v>74</v>
      </c>
      <c r="D239" s="382" t="s">
        <v>811</v>
      </c>
      <c r="E239" s="336" t="s">
        <v>1076</v>
      </c>
      <c r="F239" s="421">
        <f>'JKP-3.1c - Data'!C175</f>
        <v>2</v>
      </c>
      <c r="G239" s="421">
        <f>'JKP-3.1c - Data'!D175</f>
        <v>2</v>
      </c>
      <c r="H239" s="421">
        <f>'JKP-3.1c - Data'!E175</f>
        <v>2</v>
      </c>
      <c r="I239" s="421">
        <f>'JKP-3.1c - Data'!F175</f>
        <v>2</v>
      </c>
      <c r="J239" s="421">
        <f>'JKP-3.1c - Data'!G175</f>
        <v>2</v>
      </c>
      <c r="K239" s="421">
        <f>'JKP-3.1c - Data'!H175</f>
        <v>2</v>
      </c>
      <c r="L239" s="421">
        <f>'JKP-3.1c - Data'!I175</f>
        <v>2</v>
      </c>
      <c r="M239" s="421">
        <f>'JKP-3.1c - Data'!J175</f>
        <v>2</v>
      </c>
      <c r="N239" s="421">
        <f>'JKP-3.1c - Data'!K175</f>
        <v>2</v>
      </c>
      <c r="O239" s="421">
        <f>'JKP-3.1c - Data'!L175</f>
        <v>2</v>
      </c>
      <c r="P239" s="421">
        <f>'JKP-3.1c - Data'!M175</f>
        <v>2</v>
      </c>
      <c r="Q239" s="421">
        <f>'JKP-3.1c - Data'!N175</f>
        <v>2</v>
      </c>
      <c r="R239" s="279">
        <f t="shared" si="53"/>
        <v>24</v>
      </c>
    </row>
    <row r="240" spans="2:18" s="336" customFormat="1" x14ac:dyDescent="0.2">
      <c r="B240" s="336" t="s">
        <v>1071</v>
      </c>
      <c r="F240" s="380"/>
      <c r="G240" s="380"/>
      <c r="H240" s="380"/>
      <c r="I240" s="380"/>
      <c r="J240" s="380"/>
      <c r="K240" s="380"/>
      <c r="L240" s="380"/>
      <c r="M240" s="380"/>
      <c r="N240" s="380"/>
      <c r="O240" s="380"/>
      <c r="P240" s="380"/>
      <c r="Q240" s="380"/>
    </row>
    <row r="241" spans="1:18" s="336" customFormat="1" x14ac:dyDescent="0.2"/>
    <row r="242" spans="1:18" s="336" customFormat="1" x14ac:dyDescent="0.2">
      <c r="B242" s="182" t="s">
        <v>985</v>
      </c>
    </row>
    <row r="243" spans="1:18" s="336" customFormat="1" x14ac:dyDescent="0.2">
      <c r="A243" s="336" t="s">
        <v>1054</v>
      </c>
      <c r="B243" s="336" t="s">
        <v>1059</v>
      </c>
      <c r="D243" s="382" t="s">
        <v>811</v>
      </c>
      <c r="F243" s="418">
        <f t="shared" ref="F243:Q243" si="55">F217*F230</f>
        <v>1718.78</v>
      </c>
      <c r="G243" s="418">
        <f t="shared" si="55"/>
        <v>1718.78</v>
      </c>
      <c r="H243" s="418">
        <f t="shared" si="55"/>
        <v>1718.78</v>
      </c>
      <c r="I243" s="418">
        <f t="shared" si="55"/>
        <v>1743.7</v>
      </c>
      <c r="J243" s="418">
        <f t="shared" si="55"/>
        <v>1743.7</v>
      </c>
      <c r="K243" s="418">
        <f t="shared" si="55"/>
        <v>1743.7</v>
      </c>
      <c r="L243" s="418">
        <f t="shared" si="55"/>
        <v>1743.7</v>
      </c>
      <c r="M243" s="418">
        <f t="shared" si="55"/>
        <v>1743.7</v>
      </c>
      <c r="N243" s="418">
        <f t="shared" si="55"/>
        <v>1743.7</v>
      </c>
      <c r="O243" s="418">
        <f t="shared" si="55"/>
        <v>1743.7</v>
      </c>
      <c r="P243" s="418">
        <f t="shared" si="55"/>
        <v>1743.7</v>
      </c>
      <c r="Q243" s="418">
        <f t="shared" si="55"/>
        <v>1743.7</v>
      </c>
      <c r="R243" s="418">
        <f t="shared" ref="R243:R254" si="56">SUM(F243:Q243)</f>
        <v>20849.640000000003</v>
      </c>
    </row>
    <row r="244" spans="1:18" s="336" customFormat="1" x14ac:dyDescent="0.2">
      <c r="B244" s="336" t="s">
        <v>1047</v>
      </c>
      <c r="F244" s="418"/>
      <c r="G244" s="418"/>
      <c r="H244" s="418"/>
      <c r="I244" s="418"/>
      <c r="J244" s="418"/>
      <c r="K244" s="418"/>
      <c r="L244" s="418"/>
      <c r="M244" s="418"/>
      <c r="N244" s="418"/>
      <c r="O244" s="418"/>
      <c r="P244" s="418"/>
      <c r="Q244" s="418"/>
      <c r="R244" s="418">
        <f t="shared" si="56"/>
        <v>0</v>
      </c>
    </row>
    <row r="245" spans="1:18" s="336" customFormat="1" x14ac:dyDescent="0.2">
      <c r="C245" s="336" t="s">
        <v>1086</v>
      </c>
      <c r="D245" s="382" t="s">
        <v>811</v>
      </c>
      <c r="F245" s="418">
        <f t="shared" ref="F245:Q250" si="57">F219*F232</f>
        <v>6809</v>
      </c>
      <c r="G245" s="418">
        <f t="shared" si="57"/>
        <v>6809</v>
      </c>
      <c r="H245" s="418">
        <f t="shared" si="57"/>
        <v>6809</v>
      </c>
      <c r="I245" s="418">
        <f t="shared" si="57"/>
        <v>6907.5</v>
      </c>
      <c r="J245" s="418">
        <f t="shared" si="57"/>
        <v>6907.5</v>
      </c>
      <c r="K245" s="418">
        <f t="shared" si="57"/>
        <v>6907.5</v>
      </c>
      <c r="L245" s="418">
        <f t="shared" si="57"/>
        <v>6907.5</v>
      </c>
      <c r="M245" s="418">
        <f t="shared" si="57"/>
        <v>6907.5</v>
      </c>
      <c r="N245" s="418">
        <f t="shared" si="57"/>
        <v>6907.5</v>
      </c>
      <c r="O245" s="418">
        <f t="shared" si="57"/>
        <v>6907.5</v>
      </c>
      <c r="P245" s="418">
        <f t="shared" si="57"/>
        <v>6907.5</v>
      </c>
      <c r="Q245" s="418">
        <f t="shared" si="57"/>
        <v>6907.5</v>
      </c>
      <c r="R245" s="418">
        <f t="shared" si="56"/>
        <v>82594.5</v>
      </c>
    </row>
    <row r="246" spans="1:18" s="336" customFormat="1" x14ac:dyDescent="0.2">
      <c r="C246" s="336" t="s">
        <v>1087</v>
      </c>
      <c r="D246" s="382" t="s">
        <v>811</v>
      </c>
      <c r="F246" s="418">
        <f t="shared" si="57"/>
        <v>4157</v>
      </c>
      <c r="G246" s="418">
        <f t="shared" si="57"/>
        <v>4157</v>
      </c>
      <c r="H246" s="418">
        <f t="shared" si="57"/>
        <v>4157</v>
      </c>
      <c r="I246" s="418">
        <f t="shared" si="57"/>
        <v>4217.5</v>
      </c>
      <c r="J246" s="418">
        <f t="shared" si="57"/>
        <v>4217.5</v>
      </c>
      <c r="K246" s="418">
        <f t="shared" si="57"/>
        <v>4217.5</v>
      </c>
      <c r="L246" s="418">
        <f t="shared" si="57"/>
        <v>4217.5</v>
      </c>
      <c r="M246" s="418">
        <f t="shared" si="57"/>
        <v>4217.5</v>
      </c>
      <c r="N246" s="418">
        <f t="shared" si="57"/>
        <v>4217.5</v>
      </c>
      <c r="O246" s="418">
        <f t="shared" si="57"/>
        <v>4217.5</v>
      </c>
      <c r="P246" s="418">
        <f t="shared" si="57"/>
        <v>4217.5</v>
      </c>
      <c r="Q246" s="418">
        <f t="shared" si="57"/>
        <v>4217.5</v>
      </c>
      <c r="R246" s="418">
        <f t="shared" si="56"/>
        <v>50428.5</v>
      </c>
    </row>
    <row r="247" spans="1:18" s="336" customFormat="1" x14ac:dyDescent="0.2">
      <c r="C247" s="336" t="s">
        <v>1090</v>
      </c>
      <c r="D247" s="382" t="s">
        <v>811</v>
      </c>
      <c r="F247" s="418">
        <f t="shared" si="57"/>
        <v>5368</v>
      </c>
      <c r="G247" s="418">
        <f t="shared" si="57"/>
        <v>5368</v>
      </c>
      <c r="H247" s="418">
        <f t="shared" si="57"/>
        <v>5368</v>
      </c>
      <c r="I247" s="418">
        <f t="shared" si="57"/>
        <v>5446</v>
      </c>
      <c r="J247" s="418">
        <f t="shared" si="57"/>
        <v>5446</v>
      </c>
      <c r="K247" s="418">
        <f t="shared" si="57"/>
        <v>5446</v>
      </c>
      <c r="L247" s="418">
        <f t="shared" si="57"/>
        <v>5446</v>
      </c>
      <c r="M247" s="418">
        <f t="shared" si="57"/>
        <v>5446</v>
      </c>
      <c r="N247" s="418">
        <f t="shared" si="57"/>
        <v>5446</v>
      </c>
      <c r="O247" s="418">
        <f t="shared" si="57"/>
        <v>5446</v>
      </c>
      <c r="P247" s="418">
        <f t="shared" si="57"/>
        <v>5446</v>
      </c>
      <c r="Q247" s="418">
        <f t="shared" si="57"/>
        <v>5446</v>
      </c>
      <c r="R247" s="418">
        <f t="shared" si="56"/>
        <v>65118</v>
      </c>
    </row>
    <row r="248" spans="1:18" x14ac:dyDescent="0.2">
      <c r="C248" s="32" t="s">
        <v>1091</v>
      </c>
      <c r="D248" s="382" t="s">
        <v>811</v>
      </c>
      <c r="F248" s="364">
        <f t="shared" si="57"/>
        <v>7038</v>
      </c>
      <c r="G248" s="364">
        <f t="shared" si="57"/>
        <v>7038</v>
      </c>
      <c r="H248" s="364">
        <f t="shared" si="57"/>
        <v>7038</v>
      </c>
      <c r="I248" s="364">
        <f t="shared" si="57"/>
        <v>7140.0000000000009</v>
      </c>
      <c r="J248" s="364">
        <f t="shared" si="57"/>
        <v>7140.0000000000009</v>
      </c>
      <c r="K248" s="364">
        <f t="shared" si="57"/>
        <v>7140.0000000000009</v>
      </c>
      <c r="L248" s="364">
        <f t="shared" si="57"/>
        <v>7140.0000000000009</v>
      </c>
      <c r="M248" s="364">
        <f t="shared" si="57"/>
        <v>7140.0000000000009</v>
      </c>
      <c r="N248" s="364">
        <f t="shared" si="57"/>
        <v>7140.0000000000009</v>
      </c>
      <c r="O248" s="364">
        <f t="shared" si="57"/>
        <v>7140.0000000000009</v>
      </c>
      <c r="P248" s="364">
        <f t="shared" si="57"/>
        <v>7140.0000000000009</v>
      </c>
      <c r="Q248" s="364">
        <f t="shared" si="57"/>
        <v>7140.0000000000009</v>
      </c>
      <c r="R248" s="364">
        <f t="shared" si="56"/>
        <v>85374</v>
      </c>
    </row>
    <row r="249" spans="1:18" x14ac:dyDescent="0.2">
      <c r="C249" s="32" t="s">
        <v>1092</v>
      </c>
      <c r="D249" s="382" t="s">
        <v>811</v>
      </c>
      <c r="F249" s="364">
        <f t="shared" si="57"/>
        <v>9918.3139199999987</v>
      </c>
      <c r="G249" s="364">
        <f t="shared" si="57"/>
        <v>9458.0524800000003</v>
      </c>
      <c r="H249" s="364">
        <f t="shared" si="57"/>
        <v>10438.73568</v>
      </c>
      <c r="I249" s="364">
        <f t="shared" si="57"/>
        <v>10271.517600000001</v>
      </c>
      <c r="J249" s="364">
        <f t="shared" si="57"/>
        <v>10128.393</v>
      </c>
      <c r="K249" s="364">
        <f t="shared" si="57"/>
        <v>10418.113800000001</v>
      </c>
      <c r="L249" s="364">
        <f t="shared" si="57"/>
        <v>10424.3995</v>
      </c>
      <c r="M249" s="364">
        <f t="shared" si="57"/>
        <v>10512.7412</v>
      </c>
      <c r="N249" s="364">
        <f t="shared" si="57"/>
        <v>10527.7585</v>
      </c>
      <c r="O249" s="364">
        <f t="shared" si="57"/>
        <v>10348.261</v>
      </c>
      <c r="P249" s="364">
        <f t="shared" si="57"/>
        <v>10020.826000000001</v>
      </c>
      <c r="Q249" s="364">
        <f t="shared" si="57"/>
        <v>10369.7744</v>
      </c>
      <c r="R249" s="364">
        <f t="shared" si="56"/>
        <v>122836.88708</v>
      </c>
    </row>
    <row r="250" spans="1:18" x14ac:dyDescent="0.2">
      <c r="C250" s="32" t="s">
        <v>1093</v>
      </c>
      <c r="D250" s="382" t="s">
        <v>811</v>
      </c>
      <c r="F250" s="364">
        <f t="shared" si="57"/>
        <v>23649.011469999998</v>
      </c>
      <c r="G250" s="364">
        <f t="shared" si="57"/>
        <v>19301.531459999998</v>
      </c>
      <c r="H250" s="364">
        <f t="shared" si="57"/>
        <v>20851.560799999999</v>
      </c>
      <c r="I250" s="364">
        <f t="shared" si="57"/>
        <v>18449.056349999999</v>
      </c>
      <c r="J250" s="364">
        <f t="shared" si="57"/>
        <v>15776.227360000001</v>
      </c>
      <c r="K250" s="364">
        <f t="shared" si="57"/>
        <v>10349.75331</v>
      </c>
      <c r="L250" s="364">
        <f t="shared" si="57"/>
        <v>8314.7917899999993</v>
      </c>
      <c r="M250" s="364">
        <f t="shared" si="57"/>
        <v>7582.8569900000002</v>
      </c>
      <c r="N250" s="364">
        <f t="shared" si="57"/>
        <v>9086.0857400000004</v>
      </c>
      <c r="O250" s="364">
        <f t="shared" si="57"/>
        <v>14407.08973</v>
      </c>
      <c r="P250" s="364">
        <f t="shared" si="57"/>
        <v>24928.922490000001</v>
      </c>
      <c r="Q250" s="364">
        <f t="shared" si="57"/>
        <v>24853.5897</v>
      </c>
      <c r="R250" s="364">
        <f t="shared" si="56"/>
        <v>197550.47719000003</v>
      </c>
    </row>
    <row r="251" spans="1:18" x14ac:dyDescent="0.2">
      <c r="A251" s="32" t="s">
        <v>1054</v>
      </c>
      <c r="C251" s="32" t="s">
        <v>1077</v>
      </c>
      <c r="F251" s="365">
        <f t="shared" ref="F251:L251" si="58">SUM(F245:F250)</f>
        <v>56939.325389999998</v>
      </c>
      <c r="G251" s="365">
        <f t="shared" si="58"/>
        <v>52131.583939999997</v>
      </c>
      <c r="H251" s="365">
        <f t="shared" si="58"/>
        <v>54662.296479999997</v>
      </c>
      <c r="I251" s="365">
        <f t="shared" si="58"/>
        <v>52431.573949999998</v>
      </c>
      <c r="J251" s="365">
        <f t="shared" si="58"/>
        <v>49615.620360000001</v>
      </c>
      <c r="K251" s="365">
        <f t="shared" si="58"/>
        <v>44478.867109999999</v>
      </c>
      <c r="L251" s="365">
        <f t="shared" si="58"/>
        <v>42450.191290000002</v>
      </c>
      <c r="M251" s="365">
        <f>SUM(M245:M250)</f>
        <v>41806.598190000004</v>
      </c>
      <c r="N251" s="365">
        <f>SUM(N245:N250)</f>
        <v>43324.844239999999</v>
      </c>
      <c r="O251" s="365">
        <f>SUM(O245:O250)</f>
        <v>48466.350729999998</v>
      </c>
      <c r="P251" s="365">
        <f>SUM(P245:P250)</f>
        <v>58660.748489999998</v>
      </c>
      <c r="Q251" s="365">
        <f>SUM(Q245:Q250)</f>
        <v>58934.364100000006</v>
      </c>
      <c r="R251" s="365">
        <f t="shared" si="56"/>
        <v>603902.36427000002</v>
      </c>
    </row>
    <row r="252" spans="1:18" s="390" customFormat="1" x14ac:dyDescent="0.2">
      <c r="A252" s="390" t="s">
        <v>1056</v>
      </c>
      <c r="B252" s="336" t="s">
        <v>1081</v>
      </c>
      <c r="D252" s="449" t="s">
        <v>811</v>
      </c>
      <c r="F252" s="417">
        <f t="shared" ref="F252:Q253" si="59">F225*F238</f>
        <v>1356.5663999999999</v>
      </c>
      <c r="G252" s="417">
        <f t="shared" si="59"/>
        <v>1195.4684</v>
      </c>
      <c r="H252" s="417">
        <f t="shared" si="59"/>
        <v>1274.9583</v>
      </c>
      <c r="I252" s="417">
        <f t="shared" si="59"/>
        <v>1175.1649</v>
      </c>
      <c r="J252" s="417">
        <f t="shared" si="59"/>
        <v>1081.2746</v>
      </c>
      <c r="K252" s="417">
        <f t="shared" si="59"/>
        <v>906.10029999999995</v>
      </c>
      <c r="L252" s="417">
        <f t="shared" si="59"/>
        <v>837.68439999999998</v>
      </c>
      <c r="M252" s="417">
        <f t="shared" si="59"/>
        <v>815.36770000000001</v>
      </c>
      <c r="N252" s="417">
        <f t="shared" si="59"/>
        <v>866.42989999999998</v>
      </c>
      <c r="O252" s="417">
        <f t="shared" si="59"/>
        <v>1040.9833000000001</v>
      </c>
      <c r="P252" s="417">
        <f t="shared" si="59"/>
        <v>1386.8798999999999</v>
      </c>
      <c r="Q252" s="417">
        <f t="shared" si="59"/>
        <v>1393.6286</v>
      </c>
      <c r="R252" s="417">
        <f t="shared" si="56"/>
        <v>13330.506699999998</v>
      </c>
    </row>
    <row r="253" spans="1:18" x14ac:dyDescent="0.2">
      <c r="A253" s="32" t="s">
        <v>1054</v>
      </c>
      <c r="B253" s="32" t="s">
        <v>1069</v>
      </c>
      <c r="D253" s="382" t="s">
        <v>811</v>
      </c>
      <c r="F253" s="364">
        <f t="shared" si="59"/>
        <v>2.2000000000000002</v>
      </c>
      <c r="G253" s="364">
        <f t="shared" si="59"/>
        <v>2.2000000000000002</v>
      </c>
      <c r="H253" s="364">
        <f t="shared" si="59"/>
        <v>2.2000000000000002</v>
      </c>
      <c r="I253" s="364">
        <f t="shared" si="59"/>
        <v>2.2200000000000002</v>
      </c>
      <c r="J253" s="364">
        <f t="shared" si="59"/>
        <v>2.2200000000000002</v>
      </c>
      <c r="K253" s="364">
        <f t="shared" si="59"/>
        <v>2.2200000000000002</v>
      </c>
      <c r="L253" s="364">
        <f t="shared" si="59"/>
        <v>2.2200000000000002</v>
      </c>
      <c r="M253" s="364">
        <f t="shared" si="59"/>
        <v>2.2200000000000002</v>
      </c>
      <c r="N253" s="364">
        <f t="shared" si="59"/>
        <v>2.2200000000000002</v>
      </c>
      <c r="O253" s="364">
        <f t="shared" si="59"/>
        <v>2.2200000000000002</v>
      </c>
      <c r="P253" s="364">
        <f t="shared" si="59"/>
        <v>2.2200000000000002</v>
      </c>
      <c r="Q253" s="364">
        <f t="shared" si="59"/>
        <v>2.2200000000000002</v>
      </c>
      <c r="R253" s="364">
        <f t="shared" si="56"/>
        <v>26.58</v>
      </c>
    </row>
    <row r="254" spans="1:18" s="336" customFormat="1" x14ac:dyDescent="0.2">
      <c r="A254" s="336" t="s">
        <v>1054</v>
      </c>
      <c r="B254" s="336" t="s">
        <v>1071</v>
      </c>
      <c r="D254" s="382" t="s">
        <v>811</v>
      </c>
      <c r="F254" s="447">
        <f>'JKP-3.1c - Data'!C192</f>
        <v>0</v>
      </c>
      <c r="G254" s="447">
        <f>'JKP-3.1c - Data'!D192</f>
        <v>0</v>
      </c>
      <c r="H254" s="447">
        <f>'JKP-3.1c - Data'!E192</f>
        <v>0</v>
      </c>
      <c r="I254" s="447">
        <f>'JKP-3.1c - Data'!F192</f>
        <v>0</v>
      </c>
      <c r="J254" s="447">
        <f>'JKP-3.1c - Data'!G192</f>
        <v>0</v>
      </c>
      <c r="K254" s="447">
        <f>'JKP-3.1c - Data'!H192</f>
        <v>0</v>
      </c>
      <c r="L254" s="447">
        <f>'JKP-3.1c - Data'!I192</f>
        <v>0</v>
      </c>
      <c r="M254" s="447">
        <f>'JKP-3.1c - Data'!J192</f>
        <v>0</v>
      </c>
      <c r="N254" s="447">
        <f>'JKP-3.1c - Data'!K192</f>
        <v>0</v>
      </c>
      <c r="O254" s="447">
        <f>'JKP-3.1c - Data'!L192</f>
        <v>0</v>
      </c>
      <c r="P254" s="447">
        <f>'JKP-3.1c - Data'!M192</f>
        <v>0</v>
      </c>
      <c r="Q254" s="447">
        <f>'JKP-3.1c - Data'!N192</f>
        <v>0</v>
      </c>
      <c r="R254" s="437">
        <f t="shared" si="56"/>
        <v>0</v>
      </c>
    </row>
    <row r="255" spans="1:18" s="336" customFormat="1" x14ac:dyDescent="0.2">
      <c r="B255" s="336" t="s">
        <v>986</v>
      </c>
      <c r="F255" s="339">
        <f>F243+F251+F252+F253+F254</f>
        <v>60016.871789999997</v>
      </c>
      <c r="G255" s="339">
        <f t="shared" ref="G255:R255" si="60">G243+G251+G252+G253+G254</f>
        <v>55048.032339999991</v>
      </c>
      <c r="H255" s="339">
        <f t="shared" si="60"/>
        <v>57658.234779999992</v>
      </c>
      <c r="I255" s="339">
        <f t="shared" si="60"/>
        <v>55352.65885</v>
      </c>
      <c r="J255" s="339">
        <f t="shared" si="60"/>
        <v>52442.814959999996</v>
      </c>
      <c r="K255" s="339">
        <f t="shared" si="60"/>
        <v>47130.887409999996</v>
      </c>
      <c r="L255" s="339">
        <f t="shared" si="60"/>
        <v>45033.795689999999</v>
      </c>
      <c r="M255" s="339">
        <f t="shared" si="60"/>
        <v>44367.885890000005</v>
      </c>
      <c r="N255" s="339">
        <f t="shared" si="60"/>
        <v>45937.19414</v>
      </c>
      <c r="O255" s="339">
        <f t="shared" si="60"/>
        <v>51253.254029999996</v>
      </c>
      <c r="P255" s="339">
        <f t="shared" si="60"/>
        <v>61793.548389999996</v>
      </c>
      <c r="Q255" s="339">
        <f t="shared" si="60"/>
        <v>62073.912700000001</v>
      </c>
      <c r="R255" s="339">
        <f t="shared" si="60"/>
        <v>638109.09097000002</v>
      </c>
    </row>
    <row r="256" spans="1:18" x14ac:dyDescent="0.2">
      <c r="F256" s="390"/>
      <c r="G256" s="390"/>
      <c r="H256" s="390"/>
      <c r="I256" s="390"/>
      <c r="J256" s="390"/>
    </row>
    <row r="257" spans="1:18" x14ac:dyDescent="0.2">
      <c r="A257" s="32" t="s">
        <v>1058</v>
      </c>
      <c r="B257" s="32" t="s">
        <v>1050</v>
      </c>
      <c r="F257" s="417">
        <f>F252</f>
        <v>1356.5663999999999</v>
      </c>
      <c r="G257" s="417">
        <f t="shared" ref="G257:Q257" si="61">G252</f>
        <v>1195.4684</v>
      </c>
      <c r="H257" s="417">
        <f t="shared" si="61"/>
        <v>1274.9583</v>
      </c>
      <c r="I257" s="417">
        <f t="shared" si="61"/>
        <v>1175.1649</v>
      </c>
      <c r="J257" s="417">
        <f t="shared" si="61"/>
        <v>1081.2746</v>
      </c>
      <c r="K257" s="417">
        <f t="shared" si="61"/>
        <v>906.10029999999995</v>
      </c>
      <c r="L257" s="417">
        <f t="shared" si="61"/>
        <v>837.68439999999998</v>
      </c>
      <c r="M257" s="417">
        <f t="shared" si="61"/>
        <v>815.36770000000001</v>
      </c>
      <c r="N257" s="417">
        <f t="shared" si="61"/>
        <v>866.42989999999998</v>
      </c>
      <c r="O257" s="417">
        <f t="shared" si="61"/>
        <v>1040.9833000000001</v>
      </c>
      <c r="P257" s="417">
        <f t="shared" si="61"/>
        <v>1386.8798999999999</v>
      </c>
      <c r="Q257" s="417">
        <f t="shared" si="61"/>
        <v>1393.6286</v>
      </c>
      <c r="R257" s="364">
        <f>SUM(F257:Q257)</f>
        <v>13330.506699999998</v>
      </c>
    </row>
    <row r="258" spans="1:18" x14ac:dyDescent="0.2">
      <c r="F258" s="390"/>
      <c r="G258" s="390"/>
      <c r="H258" s="390"/>
      <c r="I258" s="390"/>
      <c r="J258" s="390"/>
    </row>
    <row r="259" spans="1:18" x14ac:dyDescent="0.2">
      <c r="B259" s="276" t="s">
        <v>1094</v>
      </c>
    </row>
    <row r="260" spans="1:18" x14ac:dyDescent="0.2">
      <c r="B260" s="276" t="s">
        <v>5</v>
      </c>
    </row>
    <row r="261" spans="1:18" x14ac:dyDescent="0.2">
      <c r="B261" s="32" t="s">
        <v>1063</v>
      </c>
      <c r="D261" s="32">
        <v>61</v>
      </c>
      <c r="E261" s="32" t="s">
        <v>1064</v>
      </c>
      <c r="F261" s="414">
        <v>0.1</v>
      </c>
      <c r="G261" s="414">
        <v>0.1</v>
      </c>
      <c r="H261" s="414">
        <v>0.1</v>
      </c>
      <c r="I261" s="414">
        <v>0.1</v>
      </c>
      <c r="J261" s="414">
        <v>0.1</v>
      </c>
      <c r="K261" s="414">
        <v>0.1</v>
      </c>
      <c r="L261" s="414">
        <v>0.1</v>
      </c>
      <c r="M261" s="414">
        <v>0.1</v>
      </c>
      <c r="N261" s="414">
        <v>0.1</v>
      </c>
      <c r="O261" s="414">
        <v>0.1</v>
      </c>
      <c r="P261" s="414">
        <v>0.1</v>
      </c>
      <c r="Q261" s="414">
        <v>0.1</v>
      </c>
    </row>
    <row r="263" spans="1:18" x14ac:dyDescent="0.2">
      <c r="B263" s="276" t="s">
        <v>982</v>
      </c>
    </row>
    <row r="264" spans="1:18" s="336" customFormat="1" x14ac:dyDescent="0.2">
      <c r="B264" s="336" t="s">
        <v>74</v>
      </c>
      <c r="F264" s="421">
        <f>'JKP-3.1c - Data'!C129</f>
        <v>88936</v>
      </c>
      <c r="G264" s="421">
        <f>'JKP-3.1c - Data'!D129</f>
        <v>88936</v>
      </c>
      <c r="H264" s="421">
        <f>'JKP-3.1c - Data'!E129</f>
        <v>89191</v>
      </c>
      <c r="I264" s="421">
        <f>'JKP-3.1c - Data'!F129</f>
        <v>88936</v>
      </c>
      <c r="J264" s="421">
        <f>'JKP-3.1c - Data'!G129</f>
        <v>91309</v>
      </c>
      <c r="K264" s="421">
        <f>'JKP-3.1c - Data'!H129</f>
        <v>90116</v>
      </c>
      <c r="L264" s="421">
        <f>'JKP-3.1c - Data'!I129</f>
        <v>92111</v>
      </c>
      <c r="M264" s="421">
        <f>'JKP-3.1c - Data'!J129</f>
        <v>93269</v>
      </c>
      <c r="N264" s="421">
        <f>'JKP-3.1c - Data'!K129</f>
        <v>92656</v>
      </c>
      <c r="O264" s="421">
        <f>'JKP-3.1c - Data'!L129</f>
        <v>92656</v>
      </c>
      <c r="P264" s="421">
        <f>'JKP-3.1c - Data'!M129</f>
        <v>92656</v>
      </c>
      <c r="Q264" s="421">
        <f>'JKP-3.1c - Data'!N129</f>
        <v>92656</v>
      </c>
      <c r="R264" s="378">
        <f>SUM(F264:Q264)</f>
        <v>1093428</v>
      </c>
    </row>
    <row r="266" spans="1:18" x14ac:dyDescent="0.2">
      <c r="B266" s="276" t="s">
        <v>985</v>
      </c>
    </row>
    <row r="267" spans="1:18" x14ac:dyDescent="0.2">
      <c r="A267" s="32" t="s">
        <v>1054</v>
      </c>
      <c r="B267" s="32" t="s">
        <v>1063</v>
      </c>
      <c r="F267" s="364">
        <f t="shared" ref="F267:N267" si="62">F261*F264</f>
        <v>8893.6</v>
      </c>
      <c r="G267" s="364">
        <f t="shared" si="62"/>
        <v>8893.6</v>
      </c>
      <c r="H267" s="364">
        <f t="shared" si="62"/>
        <v>8919.1</v>
      </c>
      <c r="I267" s="364">
        <f t="shared" si="62"/>
        <v>8893.6</v>
      </c>
      <c r="J267" s="364">
        <f t="shared" si="62"/>
        <v>9130.9</v>
      </c>
      <c r="K267" s="364">
        <f t="shared" si="62"/>
        <v>9011.6</v>
      </c>
      <c r="L267" s="364">
        <f t="shared" si="62"/>
        <v>9211.1</v>
      </c>
      <c r="M267" s="364">
        <f t="shared" si="62"/>
        <v>9326.9</v>
      </c>
      <c r="N267" s="364">
        <f t="shared" si="62"/>
        <v>9265.6</v>
      </c>
      <c r="O267" s="364">
        <f>O261*O264</f>
        <v>9265.6</v>
      </c>
      <c r="P267" s="364">
        <f>P261*P264</f>
        <v>9265.6</v>
      </c>
      <c r="Q267" s="364">
        <f>Q261*Q264</f>
        <v>9265.6</v>
      </c>
      <c r="R267" s="364">
        <f>SUM(F267:Q267)</f>
        <v>109342.80000000002</v>
      </c>
    </row>
    <row r="268" spans="1:18" x14ac:dyDescent="0.2">
      <c r="F268" s="364"/>
      <c r="G268" s="364"/>
      <c r="H268" s="364"/>
      <c r="I268" s="364"/>
      <c r="J268" s="364"/>
      <c r="K268" s="364"/>
      <c r="L268" s="364"/>
      <c r="M268" s="364"/>
      <c r="N268" s="364"/>
      <c r="O268" s="364"/>
      <c r="P268" s="364"/>
      <c r="Q268" s="364"/>
      <c r="R268" s="364"/>
    </row>
    <row r="270" spans="1:18" s="336" customFormat="1" x14ac:dyDescent="0.2">
      <c r="B270" s="182" t="s">
        <v>1095</v>
      </c>
      <c r="C270" s="182"/>
    </row>
    <row r="271" spans="1:18" x14ac:dyDescent="0.2">
      <c r="B271" s="276" t="s">
        <v>5</v>
      </c>
      <c r="C271" s="276"/>
    </row>
    <row r="272" spans="1:18" x14ac:dyDescent="0.2">
      <c r="B272" s="32" t="s">
        <v>1059</v>
      </c>
      <c r="D272" s="32">
        <v>85</v>
      </c>
      <c r="E272" s="32" t="s">
        <v>976</v>
      </c>
      <c r="F272" s="414">
        <v>537.12</v>
      </c>
      <c r="G272" s="414">
        <v>537.12</v>
      </c>
      <c r="H272" s="414">
        <v>537.12</v>
      </c>
      <c r="I272" s="414">
        <v>544.75</v>
      </c>
      <c r="J272" s="414">
        <v>544.75</v>
      </c>
      <c r="K272" s="414">
        <v>544.75</v>
      </c>
      <c r="L272" s="414">
        <v>544.75</v>
      </c>
      <c r="M272" s="414">
        <v>544.75</v>
      </c>
      <c r="N272" s="414">
        <v>544.75</v>
      </c>
      <c r="O272" s="414">
        <v>544.75</v>
      </c>
      <c r="P272" s="414">
        <v>544.75</v>
      </c>
      <c r="Q272" s="414">
        <v>544.75</v>
      </c>
      <c r="R272" s="439"/>
    </row>
    <row r="273" spans="2:18" x14ac:dyDescent="0.2">
      <c r="B273" s="32" t="s">
        <v>1047</v>
      </c>
      <c r="F273" s="395"/>
      <c r="G273" s="395"/>
      <c r="H273" s="395"/>
      <c r="I273" s="395"/>
      <c r="J273" s="395"/>
      <c r="K273" s="395"/>
      <c r="L273" s="395"/>
      <c r="M273" s="395"/>
      <c r="N273" s="395"/>
      <c r="O273" s="395"/>
      <c r="P273" s="395"/>
      <c r="Q273" s="395"/>
      <c r="R273" s="394"/>
    </row>
    <row r="274" spans="2:18" x14ac:dyDescent="0.2">
      <c r="C274" s="32" t="s">
        <v>1086</v>
      </c>
      <c r="D274" s="32">
        <v>85</v>
      </c>
      <c r="E274" s="32" t="s">
        <v>957</v>
      </c>
      <c r="F274" s="395">
        <v>0.10086000000000001</v>
      </c>
      <c r="G274" s="395">
        <v>0.10086000000000001</v>
      </c>
      <c r="H274" s="395">
        <v>0.10086000000000001</v>
      </c>
      <c r="I274" s="395">
        <v>0.10229000000000001</v>
      </c>
      <c r="J274" s="395">
        <v>0.10229000000000001</v>
      </c>
      <c r="K274" s="395">
        <v>0.10229000000000001</v>
      </c>
      <c r="L274" s="395">
        <v>0.10229000000000001</v>
      </c>
      <c r="M274" s="395">
        <v>0.10229000000000001</v>
      </c>
      <c r="N274" s="395">
        <v>0.10229000000000001</v>
      </c>
      <c r="O274" s="395">
        <v>0.10229000000000001</v>
      </c>
      <c r="P274" s="395">
        <v>0.10229000000000001</v>
      </c>
      <c r="Q274" s="395">
        <v>0.10229000000000001</v>
      </c>
      <c r="R274" s="394"/>
    </row>
    <row r="275" spans="2:18" x14ac:dyDescent="0.2">
      <c r="C275" s="32" t="s">
        <v>1087</v>
      </c>
      <c r="D275" s="32">
        <v>85</v>
      </c>
      <c r="E275" s="32" t="s">
        <v>957</v>
      </c>
      <c r="F275" s="395">
        <v>5.1709999999999999E-2</v>
      </c>
      <c r="G275" s="395">
        <v>5.1709999999999999E-2</v>
      </c>
      <c r="H275" s="395">
        <v>5.1709999999999999E-2</v>
      </c>
      <c r="I275" s="395">
        <v>5.2440000000000001E-2</v>
      </c>
      <c r="J275" s="395">
        <v>5.2440000000000001E-2</v>
      </c>
      <c r="K275" s="395">
        <v>5.2440000000000001E-2</v>
      </c>
      <c r="L275" s="395">
        <v>5.2440000000000001E-2</v>
      </c>
      <c r="M275" s="395">
        <v>5.2440000000000001E-2</v>
      </c>
      <c r="N275" s="395">
        <v>5.2440000000000001E-2</v>
      </c>
      <c r="O275" s="395">
        <v>5.2440000000000001E-2</v>
      </c>
      <c r="P275" s="395">
        <v>5.2440000000000001E-2</v>
      </c>
      <c r="Q275" s="395">
        <v>5.2440000000000001E-2</v>
      </c>
      <c r="R275" s="394"/>
    </row>
    <row r="276" spans="2:18" x14ac:dyDescent="0.2">
      <c r="C276" s="32" t="s">
        <v>1088</v>
      </c>
      <c r="D276" s="32">
        <v>85</v>
      </c>
      <c r="E276" s="32" t="s">
        <v>957</v>
      </c>
      <c r="F276" s="395">
        <v>4.9630000000000001E-2</v>
      </c>
      <c r="G276" s="395">
        <v>4.9630000000000001E-2</v>
      </c>
      <c r="H276" s="395">
        <v>4.9630000000000001E-2</v>
      </c>
      <c r="I276" s="395">
        <v>5.033E-2</v>
      </c>
      <c r="J276" s="395">
        <v>5.033E-2</v>
      </c>
      <c r="K276" s="395">
        <v>5.033E-2</v>
      </c>
      <c r="L276" s="395">
        <v>5.033E-2</v>
      </c>
      <c r="M276" s="395">
        <v>5.033E-2</v>
      </c>
      <c r="N276" s="395">
        <v>5.033E-2</v>
      </c>
      <c r="O276" s="395">
        <v>5.033E-2</v>
      </c>
      <c r="P276" s="395">
        <v>5.033E-2</v>
      </c>
      <c r="Q276" s="395">
        <v>5.033E-2</v>
      </c>
      <c r="R276" s="394"/>
    </row>
    <row r="277" spans="2:18" x14ac:dyDescent="0.2">
      <c r="B277" s="32" t="s">
        <v>1067</v>
      </c>
      <c r="D277" s="32">
        <v>101</v>
      </c>
      <c r="E277" s="32" t="s">
        <v>957</v>
      </c>
      <c r="F277" s="395">
        <v>0.70016</v>
      </c>
      <c r="G277" s="395">
        <v>0.70016</v>
      </c>
      <c r="H277" s="395">
        <v>0.70016</v>
      </c>
      <c r="I277" s="395">
        <v>0.70016</v>
      </c>
      <c r="J277" s="395">
        <v>0.70016</v>
      </c>
      <c r="K277" s="395">
        <v>0.70016</v>
      </c>
      <c r="L277" s="395">
        <v>0.70016</v>
      </c>
      <c r="M277" s="395">
        <v>0.70016</v>
      </c>
      <c r="N277" s="395">
        <v>0.70016</v>
      </c>
      <c r="O277" s="395">
        <v>0.70016</v>
      </c>
      <c r="P277" s="395">
        <v>0.66125</v>
      </c>
      <c r="Q277" s="395">
        <v>0.66125</v>
      </c>
      <c r="R277" s="394"/>
    </row>
    <row r="278" spans="2:18" s="336" customFormat="1" x14ac:dyDescent="0.2">
      <c r="B278" s="336" t="s">
        <v>1096</v>
      </c>
      <c r="D278" s="382">
        <v>85</v>
      </c>
      <c r="E278" s="336" t="s">
        <v>957</v>
      </c>
      <c r="F278" s="440">
        <v>6.4999999999999997E-3</v>
      </c>
      <c r="G278" s="440">
        <v>6.4999999999999997E-3</v>
      </c>
      <c r="H278" s="440">
        <v>6.4999999999999997E-3</v>
      </c>
      <c r="I278" s="440">
        <v>6.5900000000000004E-3</v>
      </c>
      <c r="J278" s="440">
        <v>6.5900000000000004E-3</v>
      </c>
      <c r="K278" s="440">
        <v>6.5900000000000004E-3</v>
      </c>
      <c r="L278" s="440">
        <v>6.5900000000000004E-3</v>
      </c>
      <c r="M278" s="440">
        <v>6.5900000000000004E-3</v>
      </c>
      <c r="N278" s="440">
        <v>6.5900000000000004E-3</v>
      </c>
      <c r="O278" s="440">
        <v>6.5900000000000004E-3</v>
      </c>
      <c r="P278" s="440">
        <v>6.5900000000000004E-3</v>
      </c>
      <c r="Q278" s="440">
        <v>6.5900000000000004E-3</v>
      </c>
      <c r="R278" s="441"/>
    </row>
    <row r="279" spans="2:18" s="336" customFormat="1" x14ac:dyDescent="0.2">
      <c r="B279" s="336" t="s">
        <v>1068</v>
      </c>
      <c r="F279" s="440"/>
      <c r="G279" s="440"/>
      <c r="H279" s="440"/>
      <c r="I279" s="440"/>
      <c r="J279" s="440"/>
      <c r="K279" s="440"/>
      <c r="L279" s="440"/>
      <c r="M279" s="440"/>
      <c r="N279" s="440"/>
      <c r="O279" s="440"/>
      <c r="P279" s="440"/>
      <c r="Q279" s="440"/>
      <c r="R279" s="441"/>
    </row>
    <row r="280" spans="2:18" s="336" customFormat="1" x14ac:dyDescent="0.2">
      <c r="C280" s="336" t="s">
        <v>1069</v>
      </c>
      <c r="D280" s="336">
        <v>101</v>
      </c>
      <c r="E280" s="336" t="s">
        <v>957</v>
      </c>
      <c r="F280" s="442">
        <v>1.1000000000000001</v>
      </c>
      <c r="G280" s="442">
        <v>1.1000000000000001</v>
      </c>
      <c r="H280" s="442">
        <v>1.1000000000000001</v>
      </c>
      <c r="I280" s="442">
        <v>1.1100000000000001</v>
      </c>
      <c r="J280" s="442">
        <v>1.1100000000000001</v>
      </c>
      <c r="K280" s="442">
        <v>1.1100000000000001</v>
      </c>
      <c r="L280" s="442">
        <v>1.1100000000000001</v>
      </c>
      <c r="M280" s="442">
        <v>1.1100000000000001</v>
      </c>
      <c r="N280" s="442">
        <v>1.1100000000000001</v>
      </c>
      <c r="O280" s="442">
        <v>1.1100000000000001</v>
      </c>
      <c r="P280" s="442">
        <v>1.1100000000000001</v>
      </c>
      <c r="Q280" s="442">
        <v>1.1100000000000001</v>
      </c>
      <c r="R280" s="441"/>
    </row>
    <row r="281" spans="2:18" s="336" customFormat="1" x14ac:dyDescent="0.2">
      <c r="C281" s="336" t="s">
        <v>1070</v>
      </c>
      <c r="D281" s="336">
        <v>101</v>
      </c>
      <c r="E281" s="336" t="s">
        <v>957</v>
      </c>
      <c r="F281" s="442">
        <v>1.05</v>
      </c>
      <c r="G281" s="442">
        <v>1.05</v>
      </c>
      <c r="H281" s="442">
        <v>1.05</v>
      </c>
      <c r="I281" s="442">
        <v>1.05</v>
      </c>
      <c r="J281" s="442">
        <v>1.05</v>
      </c>
      <c r="K281" s="442">
        <v>1.05</v>
      </c>
      <c r="L281" s="442">
        <v>1.05</v>
      </c>
      <c r="M281" s="442">
        <v>1.05</v>
      </c>
      <c r="N281" s="442">
        <v>1.05</v>
      </c>
      <c r="O281" s="442">
        <v>1.05</v>
      </c>
      <c r="P281" s="442">
        <v>1.05</v>
      </c>
      <c r="Q281" s="442">
        <v>1.05</v>
      </c>
      <c r="R281" s="441"/>
    </row>
    <row r="282" spans="2:18" s="336" customFormat="1" x14ac:dyDescent="0.2">
      <c r="B282" s="336" t="s">
        <v>1071</v>
      </c>
      <c r="D282" s="336">
        <v>85</v>
      </c>
      <c r="E282" s="336" t="s">
        <v>67</v>
      </c>
      <c r="F282" s="450"/>
      <c r="G282" s="450"/>
      <c r="H282" s="450"/>
      <c r="I282" s="450"/>
      <c r="J282" s="450"/>
      <c r="K282" s="450"/>
      <c r="L282" s="450"/>
      <c r="M282" s="450"/>
      <c r="N282" s="450"/>
      <c r="O282" s="450"/>
      <c r="P282" s="450"/>
      <c r="Q282" s="450"/>
      <c r="R282" s="441"/>
    </row>
    <row r="283" spans="2:18" s="336" customFormat="1" x14ac:dyDescent="0.2">
      <c r="B283" s="336" t="s">
        <v>1050</v>
      </c>
      <c r="F283" s="440">
        <v>0.66991999999999996</v>
      </c>
      <c r="G283" s="440">
        <v>0.66991999999999996</v>
      </c>
      <c r="H283" s="440">
        <v>0.66991999999999996</v>
      </c>
      <c r="I283" s="440">
        <v>0.66991999999999996</v>
      </c>
      <c r="J283" s="440">
        <v>0.66991999999999996</v>
      </c>
      <c r="K283" s="440">
        <v>0.66991999999999996</v>
      </c>
      <c r="L283" s="440">
        <v>0.66991999999999996</v>
      </c>
      <c r="M283" s="440">
        <v>0.66991999999999996</v>
      </c>
      <c r="N283" s="440">
        <v>0.66991999999999996</v>
      </c>
      <c r="O283" s="440">
        <v>0.66991999999999996</v>
      </c>
      <c r="P283" s="440">
        <v>0.63265000000000005</v>
      </c>
      <c r="Q283" s="440">
        <v>0.63265000000000005</v>
      </c>
      <c r="R283" s="441"/>
    </row>
    <row r="284" spans="2:18" s="336" customFormat="1" x14ac:dyDescent="0.2">
      <c r="B284" s="336" t="s">
        <v>1072</v>
      </c>
      <c r="F284" s="442">
        <v>1</v>
      </c>
      <c r="G284" s="442">
        <v>1</v>
      </c>
      <c r="H284" s="442">
        <v>1</v>
      </c>
      <c r="I284" s="442">
        <v>1</v>
      </c>
      <c r="J284" s="442">
        <v>1</v>
      </c>
      <c r="K284" s="442">
        <v>1</v>
      </c>
      <c r="L284" s="442">
        <v>1</v>
      </c>
      <c r="M284" s="442">
        <v>1</v>
      </c>
      <c r="N284" s="442">
        <v>1</v>
      </c>
      <c r="O284" s="442">
        <v>1</v>
      </c>
      <c r="P284" s="442">
        <v>1</v>
      </c>
      <c r="Q284" s="442">
        <v>1</v>
      </c>
      <c r="R284" s="441"/>
    </row>
    <row r="285" spans="2:18" s="336" customFormat="1" x14ac:dyDescent="0.2"/>
    <row r="286" spans="2:18" s="336" customFormat="1" x14ac:dyDescent="0.2">
      <c r="B286" s="182" t="s">
        <v>982</v>
      </c>
    </row>
    <row r="287" spans="2:18" s="336" customFormat="1" x14ac:dyDescent="0.2">
      <c r="B287" s="336" t="s">
        <v>67</v>
      </c>
      <c r="E287" s="336" t="s">
        <v>67</v>
      </c>
      <c r="F287" s="421">
        <f>'JKP-3.1c - Data'!C146</f>
        <v>25</v>
      </c>
      <c r="G287" s="421">
        <f>'JKP-3.1c - Data'!D146</f>
        <v>25</v>
      </c>
      <c r="H287" s="421">
        <f>'JKP-3.1c - Data'!E146</f>
        <v>27</v>
      </c>
      <c r="I287" s="421">
        <f>'JKP-3.1c - Data'!F146</f>
        <v>27</v>
      </c>
      <c r="J287" s="421">
        <f>'JKP-3.1c - Data'!G146</f>
        <v>27</v>
      </c>
      <c r="K287" s="421">
        <f>'JKP-3.1c - Data'!H146</f>
        <v>27</v>
      </c>
      <c r="L287" s="421">
        <f>'JKP-3.1c - Data'!I146</f>
        <v>27</v>
      </c>
      <c r="M287" s="421">
        <f>'JKP-3.1c - Data'!J146</f>
        <v>28</v>
      </c>
      <c r="N287" s="421">
        <f>'JKP-3.1c - Data'!K146</f>
        <v>27</v>
      </c>
      <c r="O287" s="421">
        <f>'JKP-3.1c - Data'!L146</f>
        <v>27</v>
      </c>
      <c r="P287" s="421">
        <f>'JKP-3.1c - Data'!M146</f>
        <v>27</v>
      </c>
      <c r="Q287" s="421">
        <f>'JKP-3.1c - Data'!N146</f>
        <v>27</v>
      </c>
      <c r="R287" s="378">
        <f>SUM(F287:Q287)</f>
        <v>321</v>
      </c>
    </row>
    <row r="288" spans="2:18" s="336" customFormat="1" x14ac:dyDescent="0.2">
      <c r="B288" s="336" t="s">
        <v>76</v>
      </c>
      <c r="F288" s="380"/>
      <c r="G288" s="380"/>
      <c r="H288" s="380"/>
      <c r="I288" s="380"/>
      <c r="J288" s="380"/>
      <c r="K288" s="380"/>
      <c r="L288" s="380"/>
      <c r="M288" s="380"/>
      <c r="N288" s="380"/>
      <c r="O288" s="380"/>
      <c r="P288" s="380"/>
      <c r="Q288" s="380"/>
      <c r="R288" s="378"/>
    </row>
    <row r="289" spans="1:18" s="336" customFormat="1" x14ac:dyDescent="0.2">
      <c r="C289" s="336" t="s">
        <v>1086</v>
      </c>
      <c r="E289" s="336" t="s">
        <v>10</v>
      </c>
      <c r="F289" s="380">
        <v>579204</v>
      </c>
      <c r="G289" s="380">
        <v>571053</v>
      </c>
      <c r="H289" s="380">
        <v>627459</v>
      </c>
      <c r="I289" s="380">
        <v>616245</v>
      </c>
      <c r="J289" s="380">
        <v>589190</v>
      </c>
      <c r="K289" s="380">
        <v>532748</v>
      </c>
      <c r="L289" s="380">
        <v>489709</v>
      </c>
      <c r="M289" s="380">
        <v>482494</v>
      </c>
      <c r="N289" s="380">
        <v>496035</v>
      </c>
      <c r="O289" s="380">
        <v>576969</v>
      </c>
      <c r="P289" s="380">
        <v>621973</v>
      </c>
      <c r="Q289" s="380">
        <v>643793</v>
      </c>
      <c r="R289" s="378">
        <f>SUM(F289:Q289)</f>
        <v>6826872</v>
      </c>
    </row>
    <row r="290" spans="1:18" s="336" customFormat="1" x14ac:dyDescent="0.2">
      <c r="C290" s="336" t="s">
        <v>1087</v>
      </c>
      <c r="E290" s="336" t="s">
        <v>10</v>
      </c>
      <c r="F290" s="380">
        <v>316044</v>
      </c>
      <c r="G290" s="380">
        <v>266208</v>
      </c>
      <c r="H290" s="380">
        <v>328534</v>
      </c>
      <c r="I290" s="380">
        <v>286112</v>
      </c>
      <c r="J290" s="380">
        <v>232846</v>
      </c>
      <c r="K290" s="380">
        <v>196378</v>
      </c>
      <c r="L290" s="380">
        <v>177019</v>
      </c>
      <c r="M290" s="380">
        <v>177009</v>
      </c>
      <c r="N290" s="380">
        <v>183789</v>
      </c>
      <c r="O290" s="380">
        <v>253149</v>
      </c>
      <c r="P290" s="380">
        <v>336943</v>
      </c>
      <c r="Q290" s="380">
        <v>381036</v>
      </c>
      <c r="R290" s="378">
        <f>SUM(F290:Q290)</f>
        <v>3135067</v>
      </c>
    </row>
    <row r="291" spans="1:18" s="336" customFormat="1" x14ac:dyDescent="0.2">
      <c r="C291" s="336" t="s">
        <v>1088</v>
      </c>
      <c r="E291" s="336" t="s">
        <v>10</v>
      </c>
      <c r="F291" s="378">
        <f t="shared" ref="F291:Q291" si="63">F292-F289-F290</f>
        <v>645280</v>
      </c>
      <c r="G291" s="378">
        <f t="shared" si="63"/>
        <v>528649</v>
      </c>
      <c r="H291" s="378">
        <f t="shared" si="63"/>
        <v>587049</v>
      </c>
      <c r="I291" s="378">
        <f t="shared" si="63"/>
        <v>449290</v>
      </c>
      <c r="J291" s="378">
        <f t="shared" si="63"/>
        <v>320771</v>
      </c>
      <c r="K291" s="378">
        <f t="shared" si="63"/>
        <v>132163</v>
      </c>
      <c r="L291" s="378">
        <f t="shared" si="63"/>
        <v>52731</v>
      </c>
      <c r="M291" s="378">
        <f t="shared" si="63"/>
        <v>22848</v>
      </c>
      <c r="N291" s="378">
        <f t="shared" si="63"/>
        <v>58092</v>
      </c>
      <c r="O291" s="378">
        <f t="shared" si="63"/>
        <v>258373</v>
      </c>
      <c r="P291" s="378">
        <f t="shared" si="63"/>
        <v>511067</v>
      </c>
      <c r="Q291" s="378">
        <f t="shared" si="63"/>
        <v>542545</v>
      </c>
      <c r="R291" s="378">
        <f>SUM(F291:Q291)</f>
        <v>4108858</v>
      </c>
    </row>
    <row r="292" spans="1:18" s="336" customFormat="1" x14ac:dyDescent="0.2">
      <c r="C292" s="336" t="s">
        <v>1075</v>
      </c>
      <c r="E292" s="336" t="s">
        <v>10</v>
      </c>
      <c r="F292" s="445">
        <f>'JKP-3.1c - Therms Data'!E74</f>
        <v>1540528</v>
      </c>
      <c r="G292" s="445">
        <f>'JKP-3.1c - Therms Data'!F74</f>
        <v>1365910</v>
      </c>
      <c r="H292" s="445">
        <f>'JKP-3.1c - Therms Data'!G74</f>
        <v>1543042</v>
      </c>
      <c r="I292" s="445">
        <f>'JKP-3.1c - Therms Data'!H74</f>
        <v>1351647</v>
      </c>
      <c r="J292" s="445">
        <f>'JKP-3.1c - Therms Data'!I74</f>
        <v>1142807</v>
      </c>
      <c r="K292" s="445">
        <f>'JKP-3.1c - Therms Data'!J74</f>
        <v>861289</v>
      </c>
      <c r="L292" s="445">
        <f>'JKP-3.1c - Therms Data'!K74</f>
        <v>719459</v>
      </c>
      <c r="M292" s="445">
        <f>'JKP-3.1c - Therms Data'!L74</f>
        <v>682351</v>
      </c>
      <c r="N292" s="445">
        <f>'JKP-3.1c - Therms Data'!M74</f>
        <v>737916</v>
      </c>
      <c r="O292" s="445">
        <f>'JKP-3.1c - Therms Data'!N74</f>
        <v>1088491</v>
      </c>
      <c r="P292" s="445">
        <f>'JKP-3.1c - Therms Data'!O74</f>
        <v>1469983</v>
      </c>
      <c r="Q292" s="445">
        <f>'JKP-3.1c - Therms Data'!P74</f>
        <v>1567374</v>
      </c>
      <c r="R292" s="436">
        <f>SUM(R289:R291)</f>
        <v>14070797</v>
      </c>
    </row>
    <row r="293" spans="1:18" s="336" customFormat="1" x14ac:dyDescent="0.2">
      <c r="B293" s="336" t="s">
        <v>74</v>
      </c>
      <c r="E293" s="336" t="s">
        <v>1076</v>
      </c>
      <c r="F293" s="421">
        <f>'JKP-3.1c - Data'!C166</f>
        <v>7593</v>
      </c>
      <c r="G293" s="421">
        <f>'JKP-3.1c - Data'!D166</f>
        <v>7593</v>
      </c>
      <c r="H293" s="421">
        <f>'JKP-3.1c - Data'!E166</f>
        <v>7593</v>
      </c>
      <c r="I293" s="421">
        <f>'JKP-3.1c - Data'!F166</f>
        <v>7593</v>
      </c>
      <c r="J293" s="421">
        <f>'JKP-3.1c - Data'!G166</f>
        <v>7593</v>
      </c>
      <c r="K293" s="421">
        <f>'JKP-3.1c - Data'!H166</f>
        <v>7593</v>
      </c>
      <c r="L293" s="421">
        <f>'JKP-3.1c - Data'!I166</f>
        <v>7593</v>
      </c>
      <c r="M293" s="421">
        <f>'JKP-3.1c - Data'!J166</f>
        <v>7661</v>
      </c>
      <c r="N293" s="421">
        <f>'JKP-3.1c - Data'!K166</f>
        <v>7593</v>
      </c>
      <c r="O293" s="421">
        <f>'JKP-3.1c - Data'!L166</f>
        <v>7593</v>
      </c>
      <c r="P293" s="421">
        <f>'JKP-3.1c - Data'!M166</f>
        <v>7593</v>
      </c>
      <c r="Q293" s="421">
        <f>'JKP-3.1c - Data'!N166</f>
        <v>7593</v>
      </c>
      <c r="R293" s="378">
        <f>SUM(F293:Q293)</f>
        <v>91184</v>
      </c>
    </row>
    <row r="294" spans="1:18" s="336" customFormat="1" x14ac:dyDescent="0.2">
      <c r="B294" s="336" t="s">
        <v>1071</v>
      </c>
      <c r="F294" s="380"/>
      <c r="G294" s="380"/>
      <c r="H294" s="380"/>
      <c r="I294" s="380"/>
      <c r="J294" s="380"/>
      <c r="K294" s="380"/>
      <c r="L294" s="380"/>
      <c r="M294" s="380"/>
      <c r="N294" s="380"/>
      <c r="O294" s="380"/>
      <c r="P294" s="380"/>
      <c r="Q294" s="380"/>
      <c r="R294" s="378"/>
    </row>
    <row r="295" spans="1:18" s="336" customFormat="1" x14ac:dyDescent="0.2">
      <c r="R295" s="179"/>
    </row>
    <row r="296" spans="1:18" s="336" customFormat="1" x14ac:dyDescent="0.2">
      <c r="B296" s="182" t="s">
        <v>985</v>
      </c>
      <c r="R296" s="179"/>
    </row>
    <row r="297" spans="1:18" s="336" customFormat="1" x14ac:dyDescent="0.2">
      <c r="A297" s="336" t="s">
        <v>1054</v>
      </c>
      <c r="B297" s="336" t="s">
        <v>1059</v>
      </c>
      <c r="D297" s="336">
        <v>85</v>
      </c>
      <c r="F297" s="418">
        <f t="shared" ref="F297:N297" si="64">F272*F287</f>
        <v>13428</v>
      </c>
      <c r="G297" s="418">
        <f t="shared" si="64"/>
        <v>13428</v>
      </c>
      <c r="H297" s="418">
        <f t="shared" si="64"/>
        <v>14502.24</v>
      </c>
      <c r="I297" s="418">
        <f t="shared" si="64"/>
        <v>14708.25</v>
      </c>
      <c r="J297" s="418">
        <f t="shared" si="64"/>
        <v>14708.25</v>
      </c>
      <c r="K297" s="418">
        <f t="shared" si="64"/>
        <v>14708.25</v>
      </c>
      <c r="L297" s="418">
        <f t="shared" si="64"/>
        <v>14708.25</v>
      </c>
      <c r="M297" s="418">
        <f t="shared" si="64"/>
        <v>15253</v>
      </c>
      <c r="N297" s="418">
        <f t="shared" si="64"/>
        <v>14708.25</v>
      </c>
      <c r="O297" s="418">
        <f>O272*O287</f>
        <v>14708.25</v>
      </c>
      <c r="P297" s="418">
        <f>P272*P287</f>
        <v>14708.25</v>
      </c>
      <c r="Q297" s="418">
        <f>Q272*Q287</f>
        <v>14708.25</v>
      </c>
      <c r="R297" s="437">
        <f>SUM(F297:Q297)</f>
        <v>174277.24</v>
      </c>
    </row>
    <row r="298" spans="1:18" s="336" customFormat="1" x14ac:dyDescent="0.2">
      <c r="B298" s="336" t="s">
        <v>1047</v>
      </c>
      <c r="F298" s="418"/>
      <c r="G298" s="418"/>
      <c r="H298" s="418"/>
      <c r="I298" s="418"/>
      <c r="J298" s="418"/>
      <c r="K298" s="418"/>
      <c r="L298" s="418"/>
      <c r="M298" s="418"/>
      <c r="N298" s="418"/>
      <c r="O298" s="418"/>
      <c r="P298" s="418"/>
      <c r="Q298" s="418"/>
      <c r="R298" s="437"/>
    </row>
    <row r="299" spans="1:18" s="336" customFormat="1" x14ac:dyDescent="0.2">
      <c r="C299" s="336" t="s">
        <v>1086</v>
      </c>
      <c r="D299" s="336">
        <v>85</v>
      </c>
      <c r="F299" s="418">
        <f t="shared" ref="F299:Q301" si="65">F274*F289</f>
        <v>58418.515440000003</v>
      </c>
      <c r="G299" s="418">
        <f t="shared" si="65"/>
        <v>57596.405580000006</v>
      </c>
      <c r="H299" s="418">
        <f t="shared" si="65"/>
        <v>63285.514740000006</v>
      </c>
      <c r="I299" s="418">
        <f t="shared" si="65"/>
        <v>63035.701050000003</v>
      </c>
      <c r="J299" s="418">
        <f t="shared" si="65"/>
        <v>60268.2451</v>
      </c>
      <c r="K299" s="418">
        <f t="shared" si="65"/>
        <v>54494.79292</v>
      </c>
      <c r="L299" s="418">
        <f t="shared" si="65"/>
        <v>50092.333610000001</v>
      </c>
      <c r="M299" s="418">
        <f t="shared" si="65"/>
        <v>49354.311260000002</v>
      </c>
      <c r="N299" s="418">
        <f t="shared" si="65"/>
        <v>50739.420150000005</v>
      </c>
      <c r="O299" s="418">
        <f t="shared" si="65"/>
        <v>59018.159010000003</v>
      </c>
      <c r="P299" s="418">
        <f t="shared" si="65"/>
        <v>63621.618170000002</v>
      </c>
      <c r="Q299" s="418">
        <f t="shared" si="65"/>
        <v>65853.58597</v>
      </c>
      <c r="R299" s="437">
        <f>SUM(F299:Q299)</f>
        <v>695778.60300000012</v>
      </c>
    </row>
    <row r="300" spans="1:18" s="336" customFormat="1" x14ac:dyDescent="0.2">
      <c r="C300" s="336" t="s">
        <v>1087</v>
      </c>
      <c r="D300" s="336">
        <v>85</v>
      </c>
      <c r="F300" s="418">
        <f t="shared" si="65"/>
        <v>16342.63524</v>
      </c>
      <c r="G300" s="418">
        <f t="shared" si="65"/>
        <v>13765.615679999999</v>
      </c>
      <c r="H300" s="418">
        <f t="shared" si="65"/>
        <v>16988.493139999999</v>
      </c>
      <c r="I300" s="418">
        <f t="shared" si="65"/>
        <v>15003.71328</v>
      </c>
      <c r="J300" s="418">
        <f t="shared" si="65"/>
        <v>12210.444240000001</v>
      </c>
      <c r="K300" s="418">
        <f t="shared" si="65"/>
        <v>10298.062320000001</v>
      </c>
      <c r="L300" s="418">
        <f t="shared" si="65"/>
        <v>9282.8763600000002</v>
      </c>
      <c r="M300" s="418">
        <f t="shared" si="65"/>
        <v>9282.35196</v>
      </c>
      <c r="N300" s="418">
        <f t="shared" si="65"/>
        <v>9637.89516</v>
      </c>
      <c r="O300" s="418">
        <f t="shared" si="65"/>
        <v>13275.13356</v>
      </c>
      <c r="P300" s="418">
        <f t="shared" si="65"/>
        <v>17669.290919999999</v>
      </c>
      <c r="Q300" s="418">
        <f t="shared" si="65"/>
        <v>19981.527839999999</v>
      </c>
      <c r="R300" s="437">
        <f>SUM(F300:Q300)</f>
        <v>163738.03969999996</v>
      </c>
    </row>
    <row r="301" spans="1:18" x14ac:dyDescent="0.2">
      <c r="C301" s="32" t="s">
        <v>1088</v>
      </c>
      <c r="D301" s="32">
        <v>85</v>
      </c>
      <c r="F301" s="364">
        <f t="shared" si="65"/>
        <v>32025.2464</v>
      </c>
      <c r="G301" s="364">
        <f t="shared" si="65"/>
        <v>26236.849870000002</v>
      </c>
      <c r="H301" s="364">
        <f t="shared" si="65"/>
        <v>29135.241870000002</v>
      </c>
      <c r="I301" s="364">
        <f t="shared" si="65"/>
        <v>22612.7657</v>
      </c>
      <c r="J301" s="364">
        <f t="shared" si="65"/>
        <v>16144.404430000001</v>
      </c>
      <c r="K301" s="364">
        <f t="shared" si="65"/>
        <v>6651.76379</v>
      </c>
      <c r="L301" s="364">
        <f t="shared" si="65"/>
        <v>2653.9512300000001</v>
      </c>
      <c r="M301" s="364">
        <f t="shared" si="65"/>
        <v>1149.93984</v>
      </c>
      <c r="N301" s="364">
        <f t="shared" si="65"/>
        <v>2923.77036</v>
      </c>
      <c r="O301" s="364">
        <f t="shared" si="65"/>
        <v>13003.91309</v>
      </c>
      <c r="P301" s="364">
        <f t="shared" si="65"/>
        <v>25722.002110000001</v>
      </c>
      <c r="Q301" s="364">
        <f t="shared" si="65"/>
        <v>27306.289850000001</v>
      </c>
      <c r="R301" s="341">
        <f>SUM(F301:Q301)</f>
        <v>205566.13854000001</v>
      </c>
    </row>
    <row r="302" spans="1:18" x14ac:dyDescent="0.2">
      <c r="A302" s="32" t="s">
        <v>1054</v>
      </c>
      <c r="C302" s="32" t="s">
        <v>1077</v>
      </c>
      <c r="F302" s="365">
        <f t="shared" ref="F302:N302" si="66">SUM(F299:F301)</f>
        <v>106786.39708000001</v>
      </c>
      <c r="G302" s="365">
        <f t="shared" si="66"/>
        <v>97598.871130000014</v>
      </c>
      <c r="H302" s="365">
        <f t="shared" si="66"/>
        <v>109409.24975</v>
      </c>
      <c r="I302" s="365">
        <f t="shared" si="66"/>
        <v>100652.18003</v>
      </c>
      <c r="J302" s="365">
        <f t="shared" si="66"/>
        <v>88623.093769999992</v>
      </c>
      <c r="K302" s="365">
        <f t="shared" si="66"/>
        <v>71444.619030000002</v>
      </c>
      <c r="L302" s="365">
        <f t="shared" si="66"/>
        <v>62029.161200000002</v>
      </c>
      <c r="M302" s="365">
        <f t="shared" si="66"/>
        <v>59786.603060000001</v>
      </c>
      <c r="N302" s="365">
        <f t="shared" si="66"/>
        <v>63301.085670000008</v>
      </c>
      <c r="O302" s="365">
        <f>SUM(O299:O301)</f>
        <v>85297.205660000007</v>
      </c>
      <c r="P302" s="365">
        <f>SUM(P299:P301)</f>
        <v>107012.9112</v>
      </c>
      <c r="Q302" s="365">
        <f>SUM(Q299:Q301)</f>
        <v>113141.40366</v>
      </c>
      <c r="R302" s="365">
        <f>SUM(R299:R301)</f>
        <v>1065082.7812400002</v>
      </c>
    </row>
    <row r="303" spans="1:18" x14ac:dyDescent="0.2">
      <c r="A303" s="32" t="s">
        <v>1056</v>
      </c>
      <c r="B303" s="32" t="s">
        <v>1057</v>
      </c>
      <c r="D303" s="32">
        <v>101</v>
      </c>
      <c r="F303" s="364">
        <f t="shared" ref="F303:N303" si="67">F277*F292</f>
        <v>1078616.08448</v>
      </c>
      <c r="G303" s="364">
        <f t="shared" si="67"/>
        <v>956355.54559999995</v>
      </c>
      <c r="H303" s="364">
        <f t="shared" si="67"/>
        <v>1080376.28672</v>
      </c>
      <c r="I303" s="364">
        <f t="shared" si="67"/>
        <v>946369.16352000006</v>
      </c>
      <c r="J303" s="364">
        <f t="shared" si="67"/>
        <v>800147.74912000005</v>
      </c>
      <c r="K303" s="364">
        <f t="shared" si="67"/>
        <v>603040.10623999999</v>
      </c>
      <c r="L303" s="364">
        <f t="shared" si="67"/>
        <v>503736.41343999997</v>
      </c>
      <c r="M303" s="418">
        <f t="shared" si="67"/>
        <v>477754.87615999999</v>
      </c>
      <c r="N303" s="364">
        <f t="shared" si="67"/>
        <v>516659.26656000002</v>
      </c>
      <c r="O303" s="364">
        <f>O277*O292</f>
        <v>762117.85855999996</v>
      </c>
      <c r="P303" s="364">
        <f>P277*P292</f>
        <v>972026.25875000004</v>
      </c>
      <c r="Q303" s="364">
        <f>Q277*Q292</f>
        <v>1036426.0575</v>
      </c>
      <c r="R303" s="341">
        <f>SUM(F303:Q303)</f>
        <v>9733625.6666499991</v>
      </c>
    </row>
    <row r="304" spans="1:18" x14ac:dyDescent="0.2">
      <c r="A304" s="32" t="s">
        <v>1054</v>
      </c>
      <c r="B304" s="32" t="s">
        <v>1096</v>
      </c>
      <c r="D304" s="444">
        <v>85</v>
      </c>
      <c r="F304" s="446">
        <f t="shared" ref="F304:N304" si="68">F278*F292</f>
        <v>10013.431999999999</v>
      </c>
      <c r="G304" s="446">
        <f t="shared" si="68"/>
        <v>8878.4149999999991</v>
      </c>
      <c r="H304" s="446">
        <f t="shared" si="68"/>
        <v>10029.772999999999</v>
      </c>
      <c r="I304" s="446">
        <f t="shared" si="68"/>
        <v>8907.3537300000007</v>
      </c>
      <c r="J304" s="446">
        <f t="shared" si="68"/>
        <v>7531.0981300000003</v>
      </c>
      <c r="K304" s="446">
        <f t="shared" si="68"/>
        <v>5675.8945100000001</v>
      </c>
      <c r="L304" s="446">
        <f t="shared" si="68"/>
        <v>4741.2348099999999</v>
      </c>
      <c r="M304" s="446">
        <f t="shared" si="68"/>
        <v>4496.6930900000007</v>
      </c>
      <c r="N304" s="446">
        <f t="shared" si="68"/>
        <v>4862.8664400000007</v>
      </c>
      <c r="O304" s="446">
        <f>O278*O292</f>
        <v>7173.1556900000005</v>
      </c>
      <c r="P304" s="446">
        <f>P278*P292</f>
        <v>9687.1879700000009</v>
      </c>
      <c r="Q304" s="446">
        <f>Q278*Q292</f>
        <v>10328.99466</v>
      </c>
      <c r="R304" s="451">
        <f>SUM(F304:Q304)</f>
        <v>92326.099029999998</v>
      </c>
    </row>
    <row r="305" spans="1:18" x14ac:dyDescent="0.2">
      <c r="B305" s="32" t="s">
        <v>1068</v>
      </c>
      <c r="F305" s="364"/>
      <c r="G305" s="364"/>
      <c r="H305" s="364"/>
      <c r="I305" s="364"/>
      <c r="J305" s="364"/>
      <c r="K305" s="364"/>
      <c r="L305" s="364"/>
      <c r="M305" s="364"/>
      <c r="N305" s="364"/>
      <c r="O305" s="364"/>
      <c r="P305" s="364"/>
      <c r="Q305" s="364"/>
      <c r="R305" s="341"/>
    </row>
    <row r="306" spans="1:18" x14ac:dyDescent="0.2">
      <c r="A306" s="32" t="s">
        <v>1054</v>
      </c>
      <c r="C306" s="32" t="s">
        <v>1069</v>
      </c>
      <c r="D306" s="32">
        <v>85</v>
      </c>
      <c r="F306" s="364">
        <f t="shared" ref="F306:N306" si="69">F280*F293</f>
        <v>8352.3000000000011</v>
      </c>
      <c r="G306" s="364">
        <f t="shared" si="69"/>
        <v>8352.3000000000011</v>
      </c>
      <c r="H306" s="364">
        <f t="shared" si="69"/>
        <v>8352.3000000000011</v>
      </c>
      <c r="I306" s="364">
        <f t="shared" si="69"/>
        <v>8428.2300000000014</v>
      </c>
      <c r="J306" s="364">
        <f t="shared" si="69"/>
        <v>8428.2300000000014</v>
      </c>
      <c r="K306" s="364">
        <f t="shared" si="69"/>
        <v>8428.2300000000014</v>
      </c>
      <c r="L306" s="364">
        <f t="shared" si="69"/>
        <v>8428.2300000000014</v>
      </c>
      <c r="M306" s="364">
        <f t="shared" si="69"/>
        <v>8503.7100000000009</v>
      </c>
      <c r="N306" s="364">
        <f t="shared" si="69"/>
        <v>8428.2300000000014</v>
      </c>
      <c r="O306" s="364">
        <f>O280*O293</f>
        <v>8428.2300000000014</v>
      </c>
      <c r="P306" s="364">
        <f>P280*P293</f>
        <v>8428.2300000000014</v>
      </c>
      <c r="Q306" s="364">
        <f>Q280*Q293</f>
        <v>8428.2300000000014</v>
      </c>
      <c r="R306" s="341">
        <f>SUM(F306:Q306)</f>
        <v>100986.45</v>
      </c>
    </row>
    <row r="307" spans="1:18" x14ac:dyDescent="0.2">
      <c r="A307" s="32" t="s">
        <v>1056</v>
      </c>
      <c r="C307" s="32" t="s">
        <v>1070</v>
      </c>
      <c r="D307" s="32">
        <v>101</v>
      </c>
      <c r="F307" s="364">
        <f t="shared" ref="F307:N307" si="70">F281*F293</f>
        <v>7972.6500000000005</v>
      </c>
      <c r="G307" s="364">
        <f t="shared" si="70"/>
        <v>7972.6500000000005</v>
      </c>
      <c r="H307" s="364">
        <f t="shared" si="70"/>
        <v>7972.6500000000005</v>
      </c>
      <c r="I307" s="364">
        <f t="shared" si="70"/>
        <v>7972.6500000000005</v>
      </c>
      <c r="J307" s="364">
        <f t="shared" si="70"/>
        <v>7972.6500000000005</v>
      </c>
      <c r="K307" s="364">
        <f t="shared" si="70"/>
        <v>7972.6500000000005</v>
      </c>
      <c r="L307" s="364">
        <f t="shared" si="70"/>
        <v>7972.6500000000005</v>
      </c>
      <c r="M307" s="418">
        <f t="shared" si="70"/>
        <v>8044.05</v>
      </c>
      <c r="N307" s="364">
        <f t="shared" si="70"/>
        <v>7972.6500000000005</v>
      </c>
      <c r="O307" s="364">
        <f>O281*O293</f>
        <v>7972.6500000000005</v>
      </c>
      <c r="P307" s="364">
        <f>P281*P293</f>
        <v>7972.6500000000005</v>
      </c>
      <c r="Q307" s="364">
        <f>Q281*Q293</f>
        <v>7972.6500000000005</v>
      </c>
      <c r="R307" s="341">
        <f>SUM(F307:Q307)</f>
        <v>95743.199999999983</v>
      </c>
    </row>
    <row r="308" spans="1:18" x14ac:dyDescent="0.2">
      <c r="C308" s="32" t="s">
        <v>1078</v>
      </c>
      <c r="F308" s="365">
        <f t="shared" ref="F308:N308" si="71">SUM(F306:F307)</f>
        <v>16324.95</v>
      </c>
      <c r="G308" s="365">
        <f t="shared" si="71"/>
        <v>16324.95</v>
      </c>
      <c r="H308" s="365">
        <f t="shared" si="71"/>
        <v>16324.95</v>
      </c>
      <c r="I308" s="365">
        <f t="shared" si="71"/>
        <v>16400.88</v>
      </c>
      <c r="J308" s="365">
        <f t="shared" si="71"/>
        <v>16400.88</v>
      </c>
      <c r="K308" s="365">
        <f t="shared" si="71"/>
        <v>16400.88</v>
      </c>
      <c r="L308" s="365">
        <f t="shared" si="71"/>
        <v>16400.88</v>
      </c>
      <c r="M308" s="365">
        <f t="shared" si="71"/>
        <v>16547.760000000002</v>
      </c>
      <c r="N308" s="365">
        <f t="shared" si="71"/>
        <v>16400.88</v>
      </c>
      <c r="O308" s="365">
        <f>SUM(O306:O307)</f>
        <v>16400.88</v>
      </c>
      <c r="P308" s="365">
        <f>SUM(P306:P307)</f>
        <v>16400.88</v>
      </c>
      <c r="Q308" s="365">
        <f>SUM(Q306:Q307)</f>
        <v>16400.88</v>
      </c>
      <c r="R308" s="365">
        <f>SUM(R306:R307)</f>
        <v>196729.64999999997</v>
      </c>
    </row>
    <row r="309" spans="1:18" s="336" customFormat="1" x14ac:dyDescent="0.2">
      <c r="A309" s="336" t="s">
        <v>1054</v>
      </c>
      <c r="B309" s="336" t="s">
        <v>1071</v>
      </c>
      <c r="D309" s="336">
        <v>85</v>
      </c>
      <c r="F309" s="447">
        <f>'JKP-3.1c - Data'!C183</f>
        <v>3471.6600000000035</v>
      </c>
      <c r="G309" s="447">
        <f>'JKP-3.1c - Data'!D183</f>
        <v>0</v>
      </c>
      <c r="H309" s="447">
        <f>'JKP-3.1c - Data'!E183</f>
        <v>0</v>
      </c>
      <c r="I309" s="447">
        <f>'JKP-3.1c - Data'!F183</f>
        <v>0</v>
      </c>
      <c r="J309" s="447">
        <f>'JKP-3.1c - Data'!G183</f>
        <v>0</v>
      </c>
      <c r="K309" s="447">
        <f>'JKP-3.1c - Data'!H183</f>
        <v>1102.1300000000001</v>
      </c>
      <c r="L309" s="447">
        <f>'JKP-3.1c - Data'!I183</f>
        <v>0</v>
      </c>
      <c r="M309" s="447">
        <f>'JKP-3.1c - Data'!J183</f>
        <v>2939.99</v>
      </c>
      <c r="N309" s="447">
        <f>'JKP-3.1c - Data'!K183</f>
        <v>2856.66</v>
      </c>
      <c r="O309" s="447">
        <f>'JKP-3.1c - Data'!L183</f>
        <v>0</v>
      </c>
      <c r="P309" s="447">
        <f>'JKP-3.1c - Data'!M183</f>
        <v>0</v>
      </c>
      <c r="Q309" s="447">
        <f>'JKP-3.1c - Data'!N183</f>
        <v>9865.4599999999991</v>
      </c>
      <c r="R309" s="437">
        <f>SUM(F309:Q309)</f>
        <v>20235.900000000001</v>
      </c>
    </row>
    <row r="310" spans="1:18" x14ac:dyDescent="0.2">
      <c r="B310" s="32" t="s">
        <v>1079</v>
      </c>
      <c r="F310" s="417">
        <f t="shared" ref="F310:N310" si="72">F303+F307</f>
        <v>1086588.7344799999</v>
      </c>
      <c r="G310" s="417">
        <f t="shared" si="72"/>
        <v>964328.19559999998</v>
      </c>
      <c r="H310" s="417">
        <f t="shared" si="72"/>
        <v>1088348.9367199999</v>
      </c>
      <c r="I310" s="417">
        <f t="shared" si="72"/>
        <v>954341.81352000008</v>
      </c>
      <c r="J310" s="417">
        <f t="shared" si="72"/>
        <v>808120.39912000007</v>
      </c>
      <c r="K310" s="417">
        <f t="shared" si="72"/>
        <v>611012.75624000002</v>
      </c>
      <c r="L310" s="417">
        <f t="shared" si="72"/>
        <v>511709.06344</v>
      </c>
      <c r="M310" s="417">
        <f t="shared" si="72"/>
        <v>485798.92615999997</v>
      </c>
      <c r="N310" s="417">
        <f t="shared" si="72"/>
        <v>524631.91656000004</v>
      </c>
      <c r="O310" s="417">
        <f>O303+O307</f>
        <v>770090.50855999999</v>
      </c>
      <c r="P310" s="417">
        <f>P303+P307</f>
        <v>979998.90875000006</v>
      </c>
      <c r="Q310" s="417">
        <f>Q303+Q307</f>
        <v>1044398.7075</v>
      </c>
      <c r="R310" s="417">
        <f>R303+R307</f>
        <v>9829368.8666499984</v>
      </c>
    </row>
    <row r="311" spans="1:18" x14ac:dyDescent="0.2">
      <c r="B311" s="32" t="s">
        <v>986</v>
      </c>
      <c r="F311" s="365">
        <f t="shared" ref="F311:N311" si="73">F297+F302+F303+F304+F308+F309</f>
        <v>1228640.5235599999</v>
      </c>
      <c r="G311" s="365">
        <f t="shared" si="73"/>
        <v>1092585.7817299999</v>
      </c>
      <c r="H311" s="365">
        <f t="shared" si="73"/>
        <v>1230642.4994699999</v>
      </c>
      <c r="I311" s="365">
        <f t="shared" si="73"/>
        <v>1087037.8272800001</v>
      </c>
      <c r="J311" s="365">
        <f t="shared" si="73"/>
        <v>927411.07102000015</v>
      </c>
      <c r="K311" s="365">
        <f t="shared" si="73"/>
        <v>712371.87978000008</v>
      </c>
      <c r="L311" s="365">
        <f t="shared" si="73"/>
        <v>601615.93945000006</v>
      </c>
      <c r="M311" s="365">
        <f t="shared" si="73"/>
        <v>576778.92230999994</v>
      </c>
      <c r="N311" s="365">
        <f t="shared" si="73"/>
        <v>618789.00867000013</v>
      </c>
      <c r="O311" s="365">
        <f>O297+O302+O303+O304+O308+O309</f>
        <v>885697.34990999999</v>
      </c>
      <c r="P311" s="365">
        <f>P297+P302+P303+P304+P308+P309</f>
        <v>1119835.48792</v>
      </c>
      <c r="Q311" s="365">
        <f>Q297+Q302+Q303+Q304+Q308+Q309</f>
        <v>1200871.0458199999</v>
      </c>
      <c r="R311" s="365">
        <f>R297+R302+R303+R304+R308+R309</f>
        <v>11282277.336919999</v>
      </c>
    </row>
    <row r="312" spans="1:18" x14ac:dyDescent="0.2">
      <c r="F312" s="364"/>
      <c r="G312" s="364"/>
      <c r="H312" s="364"/>
      <c r="I312" s="364"/>
      <c r="J312" s="364"/>
      <c r="K312" s="364"/>
      <c r="L312" s="364"/>
      <c r="M312" s="364"/>
      <c r="N312" s="364"/>
      <c r="O312" s="364"/>
      <c r="P312" s="364"/>
      <c r="Q312" s="364"/>
      <c r="R312" s="341"/>
    </row>
    <row r="313" spans="1:18" x14ac:dyDescent="0.2">
      <c r="A313" s="32" t="s">
        <v>1058</v>
      </c>
      <c r="B313" s="32" t="s">
        <v>1050</v>
      </c>
      <c r="F313" s="364">
        <f>F283*F292+F293*F284</f>
        <v>1039623.51776</v>
      </c>
      <c r="G313" s="364">
        <f t="shared" ref="G313:Q313" si="74">G283*G292+G293*G284</f>
        <v>922643.42719999992</v>
      </c>
      <c r="H313" s="364">
        <f t="shared" si="74"/>
        <v>1041307.69664</v>
      </c>
      <c r="I313" s="364">
        <f t="shared" si="74"/>
        <v>913088.35823999997</v>
      </c>
      <c r="J313" s="364">
        <f t="shared" si="74"/>
        <v>773182.26543999999</v>
      </c>
      <c r="K313" s="364">
        <f t="shared" si="74"/>
        <v>584587.72687999997</v>
      </c>
      <c r="L313" s="364">
        <f t="shared" si="74"/>
        <v>489572.97327999998</v>
      </c>
      <c r="M313" s="364">
        <f t="shared" si="74"/>
        <v>464781.58191999997</v>
      </c>
      <c r="N313" s="364">
        <f t="shared" si="74"/>
        <v>501937.68672</v>
      </c>
      <c r="O313" s="364">
        <f t="shared" si="74"/>
        <v>736794.89071999991</v>
      </c>
      <c r="P313" s="364">
        <f t="shared" si="74"/>
        <v>937577.74495000008</v>
      </c>
      <c r="Q313" s="364">
        <f t="shared" si="74"/>
        <v>999192.16110000003</v>
      </c>
      <c r="R313" s="341">
        <f>SUM(F313:Q313)</f>
        <v>9404290.0308499988</v>
      </c>
    </row>
    <row r="314" spans="1:18" x14ac:dyDescent="0.2">
      <c r="F314" s="364"/>
      <c r="G314" s="364"/>
      <c r="H314" s="364"/>
      <c r="I314" s="364"/>
      <c r="J314" s="364"/>
      <c r="K314" s="364"/>
      <c r="L314" s="364"/>
      <c r="M314" s="364"/>
      <c r="N314" s="364"/>
      <c r="O314" s="364"/>
      <c r="P314" s="364"/>
      <c r="Q314" s="364"/>
      <c r="R314" s="341"/>
    </row>
    <row r="315" spans="1:18" s="336" customFormat="1" x14ac:dyDescent="0.2">
      <c r="B315" s="182" t="s">
        <v>1097</v>
      </c>
      <c r="C315" s="182"/>
    </row>
    <row r="316" spans="1:18" x14ac:dyDescent="0.2">
      <c r="B316" s="276" t="s">
        <v>5</v>
      </c>
      <c r="C316" s="276"/>
    </row>
    <row r="317" spans="1:18" x14ac:dyDescent="0.2">
      <c r="B317" s="32" t="s">
        <v>1059</v>
      </c>
      <c r="D317" s="444">
        <v>86</v>
      </c>
      <c r="E317" s="32" t="s">
        <v>976</v>
      </c>
      <c r="F317" s="414">
        <v>137.5</v>
      </c>
      <c r="G317" s="414">
        <v>137.5</v>
      </c>
      <c r="H317" s="414">
        <v>137.5</v>
      </c>
      <c r="I317" s="414">
        <v>139.37</v>
      </c>
      <c r="J317" s="414">
        <v>139.37</v>
      </c>
      <c r="K317" s="414">
        <v>139.37</v>
      </c>
      <c r="L317" s="414">
        <v>139.37</v>
      </c>
      <c r="M317" s="414">
        <v>139.37</v>
      </c>
      <c r="N317" s="414">
        <v>139.37</v>
      </c>
      <c r="O317" s="414">
        <v>139.37</v>
      </c>
      <c r="P317" s="414">
        <v>139.37</v>
      </c>
      <c r="Q317" s="414">
        <v>139.37</v>
      </c>
      <c r="R317" s="439"/>
    </row>
    <row r="318" spans="1:18" x14ac:dyDescent="0.2">
      <c r="B318" s="32" t="s">
        <v>1047</v>
      </c>
      <c r="F318" s="393"/>
      <c r="G318" s="393"/>
      <c r="H318" s="393"/>
      <c r="I318" s="393"/>
      <c r="J318" s="393"/>
      <c r="K318" s="393"/>
      <c r="L318" s="393"/>
      <c r="M318" s="393"/>
      <c r="N318" s="393"/>
      <c r="O318" s="393"/>
      <c r="P318" s="393"/>
      <c r="Q318" s="393"/>
      <c r="R318" s="394"/>
    </row>
    <row r="319" spans="1:18" x14ac:dyDescent="0.2">
      <c r="C319" s="32" t="s">
        <v>1098</v>
      </c>
      <c r="D319" s="444">
        <v>86</v>
      </c>
      <c r="E319" s="32" t="s">
        <v>957</v>
      </c>
      <c r="F319" s="395">
        <v>0.19553999999999999</v>
      </c>
      <c r="G319" s="395">
        <v>0.19553999999999999</v>
      </c>
      <c r="H319" s="395">
        <v>0.19553999999999999</v>
      </c>
      <c r="I319" s="395">
        <v>0.19819999999999999</v>
      </c>
      <c r="J319" s="395">
        <v>0.19819999999999999</v>
      </c>
      <c r="K319" s="395">
        <v>0.19819999999999999</v>
      </c>
      <c r="L319" s="395">
        <v>0.19819999999999999</v>
      </c>
      <c r="M319" s="395">
        <v>0.19819999999999999</v>
      </c>
      <c r="N319" s="395">
        <v>0.19819999999999999</v>
      </c>
      <c r="O319" s="395">
        <v>0.19819999999999999</v>
      </c>
      <c r="P319" s="395">
        <v>0.19819999999999999</v>
      </c>
      <c r="Q319" s="395">
        <v>0.19819999999999999</v>
      </c>
      <c r="R319" s="394"/>
    </row>
    <row r="320" spans="1:18" x14ac:dyDescent="0.2">
      <c r="C320" s="32" t="s">
        <v>1099</v>
      </c>
      <c r="D320" s="444">
        <v>86</v>
      </c>
      <c r="E320" s="32" t="s">
        <v>957</v>
      </c>
      <c r="F320" s="395">
        <v>0.14019000000000001</v>
      </c>
      <c r="G320" s="395">
        <v>0.14019000000000001</v>
      </c>
      <c r="H320" s="395">
        <v>0.14019000000000001</v>
      </c>
      <c r="I320" s="395">
        <v>0.1421</v>
      </c>
      <c r="J320" s="395">
        <v>0.1421</v>
      </c>
      <c r="K320" s="395">
        <v>0.1421</v>
      </c>
      <c r="L320" s="395">
        <v>0.1421</v>
      </c>
      <c r="M320" s="395">
        <v>0.1421</v>
      </c>
      <c r="N320" s="395">
        <v>0.1421</v>
      </c>
      <c r="O320" s="395">
        <v>0.1421</v>
      </c>
      <c r="P320" s="395">
        <v>0.1421</v>
      </c>
      <c r="Q320" s="395">
        <v>0.1421</v>
      </c>
      <c r="R320" s="394"/>
    </row>
    <row r="321" spans="1:18" x14ac:dyDescent="0.2">
      <c r="B321" s="32" t="s">
        <v>1067</v>
      </c>
      <c r="D321" s="32">
        <v>101</v>
      </c>
      <c r="E321" s="32" t="s">
        <v>957</v>
      </c>
      <c r="F321" s="395">
        <v>0.70406000000000002</v>
      </c>
      <c r="G321" s="395">
        <v>0.70406000000000002</v>
      </c>
      <c r="H321" s="395">
        <v>0.70406000000000002</v>
      </c>
      <c r="I321" s="395">
        <v>0.70406000000000002</v>
      </c>
      <c r="J321" s="395">
        <v>0.70406000000000002</v>
      </c>
      <c r="K321" s="395">
        <v>0.70406000000000002</v>
      </c>
      <c r="L321" s="395">
        <v>0.70406000000000002</v>
      </c>
      <c r="M321" s="395">
        <v>0.70406000000000002</v>
      </c>
      <c r="N321" s="395">
        <v>0.70406000000000002</v>
      </c>
      <c r="O321" s="395">
        <v>0.70406000000000002</v>
      </c>
      <c r="P321" s="395">
        <v>0.66556999999999999</v>
      </c>
      <c r="Q321" s="395">
        <v>0.66556999999999999</v>
      </c>
      <c r="R321" s="394"/>
    </row>
    <row r="322" spans="1:18" s="336" customFormat="1" x14ac:dyDescent="0.2">
      <c r="B322" s="336" t="s">
        <v>1096</v>
      </c>
      <c r="D322" s="382">
        <v>86</v>
      </c>
      <c r="E322" s="336" t="s">
        <v>957</v>
      </c>
      <c r="F322" s="452">
        <v>6.4999999999999997E-3</v>
      </c>
      <c r="G322" s="452">
        <v>6.4999999999999997E-3</v>
      </c>
      <c r="H322" s="452">
        <v>6.4999999999999997E-3</v>
      </c>
      <c r="I322" s="452">
        <v>6.5900000000000004E-3</v>
      </c>
      <c r="J322" s="452">
        <v>6.5900000000000004E-3</v>
      </c>
      <c r="K322" s="452">
        <v>6.5900000000000004E-3</v>
      </c>
      <c r="L322" s="452">
        <v>6.5900000000000004E-3</v>
      </c>
      <c r="M322" s="452">
        <v>6.5900000000000004E-3</v>
      </c>
      <c r="N322" s="452">
        <v>6.5900000000000004E-3</v>
      </c>
      <c r="O322" s="452">
        <v>6.5900000000000004E-3</v>
      </c>
      <c r="P322" s="452">
        <v>6.5900000000000004E-3</v>
      </c>
      <c r="Q322" s="452">
        <v>6.5900000000000004E-3</v>
      </c>
      <c r="R322" s="441"/>
    </row>
    <row r="323" spans="1:18" s="336" customFormat="1" x14ac:dyDescent="0.2">
      <c r="B323" s="336" t="s">
        <v>1068</v>
      </c>
      <c r="F323" s="441"/>
      <c r="G323" s="441"/>
      <c r="H323" s="441"/>
      <c r="I323" s="441"/>
      <c r="J323" s="441"/>
      <c r="K323" s="441"/>
      <c r="L323" s="441"/>
      <c r="M323" s="441"/>
      <c r="N323" s="441"/>
      <c r="O323" s="441"/>
      <c r="P323" s="441"/>
      <c r="Q323" s="441"/>
      <c r="R323" s="441"/>
    </row>
    <row r="324" spans="1:18" s="336" customFormat="1" x14ac:dyDescent="0.2">
      <c r="C324" s="336" t="s">
        <v>1069</v>
      </c>
      <c r="D324" s="336">
        <v>86</v>
      </c>
      <c r="E324" s="336" t="s">
        <v>957</v>
      </c>
      <c r="F324" s="442">
        <v>1.1000000000000001</v>
      </c>
      <c r="G324" s="442">
        <v>1.1000000000000001</v>
      </c>
      <c r="H324" s="442">
        <v>1.1000000000000001</v>
      </c>
      <c r="I324" s="442">
        <v>1.1100000000000001</v>
      </c>
      <c r="J324" s="442">
        <v>1.1100000000000001</v>
      </c>
      <c r="K324" s="442">
        <v>1.1100000000000001</v>
      </c>
      <c r="L324" s="442">
        <v>1.1100000000000001</v>
      </c>
      <c r="M324" s="442">
        <v>1.1100000000000001</v>
      </c>
      <c r="N324" s="442">
        <v>1.1100000000000001</v>
      </c>
      <c r="O324" s="442">
        <v>1.1100000000000001</v>
      </c>
      <c r="P324" s="442">
        <v>1.1100000000000001</v>
      </c>
      <c r="Q324" s="442">
        <v>1.1100000000000001</v>
      </c>
      <c r="R324" s="441"/>
    </row>
    <row r="325" spans="1:18" s="336" customFormat="1" x14ac:dyDescent="0.2">
      <c r="A325" s="32"/>
      <c r="C325" s="336" t="s">
        <v>1070</v>
      </c>
      <c r="D325" s="336">
        <v>101</v>
      </c>
      <c r="E325" s="336" t="s">
        <v>957</v>
      </c>
      <c r="F325" s="442">
        <v>1.05</v>
      </c>
      <c r="G325" s="442">
        <v>1.05</v>
      </c>
      <c r="H325" s="442">
        <v>1.05</v>
      </c>
      <c r="I325" s="442">
        <v>1.05</v>
      </c>
      <c r="J325" s="442">
        <v>1.05</v>
      </c>
      <c r="K325" s="442">
        <v>1.05</v>
      </c>
      <c r="L325" s="442">
        <v>1.05</v>
      </c>
      <c r="M325" s="442">
        <v>1.05</v>
      </c>
      <c r="N325" s="442">
        <v>1.05</v>
      </c>
      <c r="O325" s="442">
        <v>1.05</v>
      </c>
      <c r="P325" s="442">
        <v>1.05</v>
      </c>
      <c r="Q325" s="442">
        <v>1.05</v>
      </c>
      <c r="R325" s="441"/>
    </row>
    <row r="326" spans="1:18" s="336" customFormat="1" x14ac:dyDescent="0.2">
      <c r="B326" s="336" t="s">
        <v>1071</v>
      </c>
      <c r="D326" s="382">
        <v>86</v>
      </c>
      <c r="E326" s="336" t="s">
        <v>67</v>
      </c>
      <c r="F326" s="450"/>
      <c r="G326" s="450"/>
      <c r="H326" s="450"/>
      <c r="I326" s="450"/>
      <c r="J326" s="450"/>
      <c r="K326" s="450"/>
      <c r="L326" s="450"/>
      <c r="M326" s="450"/>
      <c r="N326" s="450"/>
      <c r="O326" s="450"/>
      <c r="P326" s="450"/>
      <c r="Q326" s="450"/>
      <c r="R326" s="441"/>
    </row>
    <row r="327" spans="1:18" s="336" customFormat="1" x14ac:dyDescent="0.2">
      <c r="B327" s="336" t="s">
        <v>1050</v>
      </c>
      <c r="D327" s="382"/>
      <c r="F327" s="452">
        <v>0.67364999999999997</v>
      </c>
      <c r="G327" s="452">
        <v>0.67364999999999997</v>
      </c>
      <c r="H327" s="452">
        <v>0.67364999999999997</v>
      </c>
      <c r="I327" s="452">
        <v>0.67364999999999997</v>
      </c>
      <c r="J327" s="452">
        <v>0.67364999999999997</v>
      </c>
      <c r="K327" s="452">
        <v>0.67364999999999997</v>
      </c>
      <c r="L327" s="452">
        <v>0.67364999999999997</v>
      </c>
      <c r="M327" s="452">
        <v>0.67364999999999997</v>
      </c>
      <c r="N327" s="452">
        <v>0.67364999999999997</v>
      </c>
      <c r="O327" s="452">
        <v>0.67364999999999997</v>
      </c>
      <c r="P327" s="452">
        <v>0.63678999999999997</v>
      </c>
      <c r="Q327" s="452">
        <v>0.63678999999999997</v>
      </c>
      <c r="R327" s="441"/>
    </row>
    <row r="328" spans="1:18" s="336" customFormat="1" x14ac:dyDescent="0.2">
      <c r="B328" s="336" t="s">
        <v>1072</v>
      </c>
      <c r="D328" s="382"/>
      <c r="F328" s="442">
        <v>1</v>
      </c>
      <c r="G328" s="442">
        <v>1</v>
      </c>
      <c r="H328" s="442">
        <v>1</v>
      </c>
      <c r="I328" s="442">
        <v>1</v>
      </c>
      <c r="J328" s="442">
        <v>1</v>
      </c>
      <c r="K328" s="442">
        <v>1</v>
      </c>
      <c r="L328" s="442">
        <v>1</v>
      </c>
      <c r="M328" s="442">
        <v>1</v>
      </c>
      <c r="N328" s="442">
        <v>1</v>
      </c>
      <c r="O328" s="442">
        <v>1</v>
      </c>
      <c r="P328" s="442">
        <v>1</v>
      </c>
      <c r="Q328" s="442">
        <v>1</v>
      </c>
      <c r="R328" s="441"/>
    </row>
    <row r="329" spans="1:18" s="336" customFormat="1" x14ac:dyDescent="0.2"/>
    <row r="330" spans="1:18" s="336" customFormat="1" x14ac:dyDescent="0.2">
      <c r="B330" s="182" t="s">
        <v>982</v>
      </c>
    </row>
    <row r="331" spans="1:18" s="336" customFormat="1" x14ac:dyDescent="0.2">
      <c r="B331" s="336" t="s">
        <v>67</v>
      </c>
      <c r="E331" s="336" t="s">
        <v>67</v>
      </c>
      <c r="F331" s="421">
        <f>'JKP-3.1c - Data'!C150</f>
        <v>334</v>
      </c>
      <c r="G331" s="421">
        <f>'JKP-3.1c - Data'!D150</f>
        <v>334</v>
      </c>
      <c r="H331" s="421">
        <f>'JKP-3.1c - Data'!E150</f>
        <v>330</v>
      </c>
      <c r="I331" s="421">
        <f>'JKP-3.1c - Data'!F150</f>
        <v>327</v>
      </c>
      <c r="J331" s="421">
        <f>'JKP-3.1c - Data'!G150</f>
        <v>329</v>
      </c>
      <c r="K331" s="421">
        <f>'JKP-3.1c - Data'!H150</f>
        <v>329</v>
      </c>
      <c r="L331" s="421">
        <f>'JKP-3.1c - Data'!I150</f>
        <v>326</v>
      </c>
      <c r="M331" s="421">
        <f>'JKP-3.1c - Data'!J150</f>
        <v>324</v>
      </c>
      <c r="N331" s="421">
        <f>'JKP-3.1c - Data'!K150</f>
        <v>320</v>
      </c>
      <c r="O331" s="421">
        <f>'JKP-3.1c - Data'!L150</f>
        <v>317</v>
      </c>
      <c r="P331" s="421">
        <f>'JKP-3.1c - Data'!M150</f>
        <v>318</v>
      </c>
      <c r="Q331" s="421">
        <f>'JKP-3.1c - Data'!N150</f>
        <v>317</v>
      </c>
      <c r="R331" s="378">
        <f>SUM(F331:Q331)</f>
        <v>3905</v>
      </c>
    </row>
    <row r="332" spans="1:18" s="336" customFormat="1" x14ac:dyDescent="0.2">
      <c r="B332" s="336" t="s">
        <v>76</v>
      </c>
      <c r="F332" s="380"/>
      <c r="G332" s="380"/>
      <c r="H332" s="380"/>
      <c r="I332" s="380"/>
      <c r="J332" s="380"/>
      <c r="K332" s="380"/>
      <c r="L332" s="380"/>
      <c r="M332" s="380"/>
      <c r="N332" s="380"/>
      <c r="O332" s="380"/>
      <c r="P332" s="380"/>
      <c r="Q332" s="380"/>
      <c r="R332" s="378"/>
    </row>
    <row r="333" spans="1:18" s="336" customFormat="1" x14ac:dyDescent="0.2">
      <c r="C333" s="336" t="s">
        <v>1098</v>
      </c>
      <c r="E333" s="336" t="s">
        <v>10</v>
      </c>
      <c r="F333" s="380">
        <v>317200</v>
      </c>
      <c r="G333" s="380">
        <v>312703</v>
      </c>
      <c r="H333" s="380">
        <v>312470</v>
      </c>
      <c r="I333" s="380">
        <v>309585</v>
      </c>
      <c r="J333" s="380">
        <v>289084</v>
      </c>
      <c r="K333" s="380">
        <v>229972</v>
      </c>
      <c r="L333" s="380">
        <v>138603</v>
      </c>
      <c r="M333" s="380">
        <v>134877</v>
      </c>
      <c r="N333" s="380">
        <v>195782</v>
      </c>
      <c r="O333" s="380">
        <v>278396</v>
      </c>
      <c r="P333" s="380">
        <v>315100</v>
      </c>
      <c r="Q333" s="380">
        <v>302539</v>
      </c>
      <c r="R333" s="378">
        <f>SUM(F333:Q333)</f>
        <v>3136311</v>
      </c>
    </row>
    <row r="334" spans="1:18" s="336" customFormat="1" x14ac:dyDescent="0.2">
      <c r="C334" s="336" t="s">
        <v>1099</v>
      </c>
      <c r="E334" s="336" t="s">
        <v>10</v>
      </c>
      <c r="F334" s="378">
        <f t="shared" ref="F334:N334" si="75">F335-F333</f>
        <v>1346579</v>
      </c>
      <c r="G334" s="378">
        <f t="shared" si="75"/>
        <v>1096766</v>
      </c>
      <c r="H334" s="378">
        <f t="shared" si="75"/>
        <v>1149541</v>
      </c>
      <c r="I334" s="378">
        <f t="shared" si="75"/>
        <v>910372</v>
      </c>
      <c r="J334" s="378">
        <f t="shared" si="75"/>
        <v>690814</v>
      </c>
      <c r="K334" s="378">
        <f t="shared" si="75"/>
        <v>396709</v>
      </c>
      <c r="L334" s="378">
        <f t="shared" si="75"/>
        <v>224236</v>
      </c>
      <c r="M334" s="378">
        <f t="shared" si="75"/>
        <v>203654</v>
      </c>
      <c r="N334" s="378">
        <f t="shared" si="75"/>
        <v>298614</v>
      </c>
      <c r="O334" s="378">
        <f>O335-O333</f>
        <v>649108</v>
      </c>
      <c r="P334" s="378">
        <f>P335-P333</f>
        <v>1179847</v>
      </c>
      <c r="Q334" s="378">
        <f>Q335-Q333</f>
        <v>1404490</v>
      </c>
      <c r="R334" s="378">
        <f>SUM(F334:Q334)</f>
        <v>9550730</v>
      </c>
    </row>
    <row r="335" spans="1:18" s="336" customFormat="1" x14ac:dyDescent="0.2">
      <c r="C335" s="336" t="s">
        <v>1075</v>
      </c>
      <c r="E335" s="336" t="s">
        <v>10</v>
      </c>
      <c r="F335" s="445">
        <f>'JKP-3.1c - Therms Data'!E76</f>
        <v>1663779</v>
      </c>
      <c r="G335" s="445">
        <f>'JKP-3.1c - Therms Data'!F76</f>
        <v>1409469</v>
      </c>
      <c r="H335" s="445">
        <f>'JKP-3.1c - Therms Data'!G76</f>
        <v>1462011</v>
      </c>
      <c r="I335" s="445">
        <f>'JKP-3.1c - Therms Data'!H76</f>
        <v>1219957</v>
      </c>
      <c r="J335" s="445">
        <f>'JKP-3.1c - Therms Data'!I76</f>
        <v>979898</v>
      </c>
      <c r="K335" s="445">
        <f>'JKP-3.1c - Therms Data'!J76</f>
        <v>626681</v>
      </c>
      <c r="L335" s="445">
        <f>'JKP-3.1c - Therms Data'!K76</f>
        <v>362839</v>
      </c>
      <c r="M335" s="445">
        <f>'JKP-3.1c - Therms Data'!L76</f>
        <v>338531</v>
      </c>
      <c r="N335" s="445">
        <f>'JKP-3.1c - Therms Data'!M76</f>
        <v>494396</v>
      </c>
      <c r="O335" s="445">
        <f>'JKP-3.1c - Therms Data'!N76</f>
        <v>927504</v>
      </c>
      <c r="P335" s="445">
        <f>'JKP-3.1c - Therms Data'!O76</f>
        <v>1494947</v>
      </c>
      <c r="Q335" s="445">
        <f>'JKP-3.1c - Therms Data'!P76</f>
        <v>1707029</v>
      </c>
      <c r="R335" s="436">
        <f>SUM(R333:R334)</f>
        <v>12687041</v>
      </c>
    </row>
    <row r="336" spans="1:18" s="336" customFormat="1" x14ac:dyDescent="0.2">
      <c r="B336" s="336" t="s">
        <v>74</v>
      </c>
      <c r="E336" s="336" t="s">
        <v>1076</v>
      </c>
      <c r="F336" s="421">
        <f>'JKP-3.1c - Data'!C170</f>
        <v>9510</v>
      </c>
      <c r="G336" s="421">
        <f>'JKP-3.1c - Data'!D170</f>
        <v>9429</v>
      </c>
      <c r="H336" s="421">
        <f>'JKP-3.1c - Data'!E170</f>
        <v>9258</v>
      </c>
      <c r="I336" s="421">
        <f>'JKP-3.1c - Data'!F170</f>
        <v>9188</v>
      </c>
      <c r="J336" s="421">
        <f>'JKP-3.1c - Data'!G170</f>
        <v>9260</v>
      </c>
      <c r="K336" s="421">
        <f>'JKP-3.1c - Data'!H170</f>
        <v>9258</v>
      </c>
      <c r="L336" s="421">
        <f>'JKP-3.1c - Data'!I170</f>
        <v>9136</v>
      </c>
      <c r="M336" s="421">
        <f>'JKP-3.1c - Data'!J170</f>
        <v>8867</v>
      </c>
      <c r="N336" s="421">
        <f>'JKP-3.1c - Data'!K170</f>
        <v>8570</v>
      </c>
      <c r="O336" s="421">
        <f>'JKP-3.1c - Data'!L170</f>
        <v>8457</v>
      </c>
      <c r="P336" s="421">
        <f>'JKP-3.1c - Data'!M170</f>
        <v>8504</v>
      </c>
      <c r="Q336" s="421">
        <f>'JKP-3.1c - Data'!N170</f>
        <v>8244</v>
      </c>
      <c r="R336" s="378">
        <f>SUM(F336:Q336)</f>
        <v>107681</v>
      </c>
    </row>
    <row r="337" spans="1:18" s="336" customFormat="1" x14ac:dyDescent="0.2">
      <c r="B337" s="336" t="s">
        <v>1071</v>
      </c>
      <c r="F337" s="380"/>
      <c r="G337" s="380"/>
      <c r="H337" s="380"/>
      <c r="I337" s="380"/>
      <c r="J337" s="380"/>
      <c r="K337" s="380"/>
      <c r="L337" s="380"/>
      <c r="M337" s="380"/>
      <c r="N337" s="380"/>
      <c r="O337" s="380"/>
      <c r="P337" s="380"/>
      <c r="Q337" s="380"/>
      <c r="R337" s="378"/>
    </row>
    <row r="338" spans="1:18" s="336" customFormat="1" x14ac:dyDescent="0.2">
      <c r="R338" s="179"/>
    </row>
    <row r="339" spans="1:18" s="336" customFormat="1" x14ac:dyDescent="0.2">
      <c r="B339" s="182" t="s">
        <v>985</v>
      </c>
      <c r="R339" s="179"/>
    </row>
    <row r="340" spans="1:18" s="336" customFormat="1" x14ac:dyDescent="0.2">
      <c r="A340" s="336" t="s">
        <v>1054</v>
      </c>
      <c r="B340" s="336" t="s">
        <v>1059</v>
      </c>
      <c r="D340" s="336">
        <v>86</v>
      </c>
      <c r="F340" s="418">
        <f t="shared" ref="F340:N340" si="76">F317*F331</f>
        <v>45925</v>
      </c>
      <c r="G340" s="418">
        <f t="shared" si="76"/>
        <v>45925</v>
      </c>
      <c r="H340" s="418">
        <f t="shared" si="76"/>
        <v>45375</v>
      </c>
      <c r="I340" s="418">
        <f t="shared" si="76"/>
        <v>45573.99</v>
      </c>
      <c r="J340" s="418">
        <f t="shared" si="76"/>
        <v>45852.73</v>
      </c>
      <c r="K340" s="418">
        <f t="shared" si="76"/>
        <v>45852.73</v>
      </c>
      <c r="L340" s="418">
        <f t="shared" si="76"/>
        <v>45434.62</v>
      </c>
      <c r="M340" s="418">
        <f t="shared" si="76"/>
        <v>45155.880000000005</v>
      </c>
      <c r="N340" s="418">
        <f t="shared" si="76"/>
        <v>44598.400000000001</v>
      </c>
      <c r="O340" s="418">
        <f>O317*O331</f>
        <v>44180.29</v>
      </c>
      <c r="P340" s="418">
        <f>P317*P331</f>
        <v>44319.66</v>
      </c>
      <c r="Q340" s="418">
        <f>Q317*Q331</f>
        <v>44180.29</v>
      </c>
      <c r="R340" s="437">
        <f>SUM(F340:Q340)</f>
        <v>542373.59000000008</v>
      </c>
    </row>
    <row r="341" spans="1:18" x14ac:dyDescent="0.2">
      <c r="B341" s="32" t="s">
        <v>1047</v>
      </c>
      <c r="F341" s="364"/>
      <c r="G341" s="364"/>
      <c r="H341" s="364"/>
      <c r="I341" s="364"/>
      <c r="J341" s="364"/>
      <c r="K341" s="364"/>
      <c r="L341" s="364"/>
      <c r="M341" s="364"/>
      <c r="N341" s="364"/>
      <c r="O341" s="364"/>
      <c r="P341" s="364"/>
      <c r="Q341" s="364"/>
      <c r="R341" s="341"/>
    </row>
    <row r="342" spans="1:18" x14ac:dyDescent="0.2">
      <c r="C342" s="32" t="s">
        <v>1098</v>
      </c>
      <c r="D342" s="32">
        <v>86</v>
      </c>
      <c r="F342" s="364">
        <f t="shared" ref="F342:Q343" si="77">F319*F333</f>
        <v>62025.288</v>
      </c>
      <c r="G342" s="364">
        <f t="shared" si="77"/>
        <v>61145.944619999995</v>
      </c>
      <c r="H342" s="364">
        <f t="shared" si="77"/>
        <v>61100.383799999996</v>
      </c>
      <c r="I342" s="364">
        <f t="shared" si="77"/>
        <v>61359.746999999996</v>
      </c>
      <c r="J342" s="364">
        <f t="shared" si="77"/>
        <v>57296.448799999998</v>
      </c>
      <c r="K342" s="364">
        <f t="shared" si="77"/>
        <v>45580.450399999994</v>
      </c>
      <c r="L342" s="364">
        <f t="shared" si="77"/>
        <v>27471.114599999997</v>
      </c>
      <c r="M342" s="364">
        <f t="shared" si="77"/>
        <v>26732.6214</v>
      </c>
      <c r="N342" s="364">
        <f t="shared" si="77"/>
        <v>38803.992399999996</v>
      </c>
      <c r="O342" s="364">
        <f t="shared" si="77"/>
        <v>55178.087199999994</v>
      </c>
      <c r="P342" s="364">
        <f t="shared" si="77"/>
        <v>62452.819999999992</v>
      </c>
      <c r="Q342" s="364">
        <f t="shared" si="77"/>
        <v>59963.229799999994</v>
      </c>
      <c r="R342" s="341">
        <f>SUM(F342:Q342)</f>
        <v>619110.12801999983</v>
      </c>
    </row>
    <row r="343" spans="1:18" x14ac:dyDescent="0.2">
      <c r="C343" s="32" t="s">
        <v>1099</v>
      </c>
      <c r="D343" s="32">
        <v>86</v>
      </c>
      <c r="F343" s="364">
        <f t="shared" si="77"/>
        <v>188776.91001000002</v>
      </c>
      <c r="G343" s="364">
        <f t="shared" si="77"/>
        <v>153755.62554000001</v>
      </c>
      <c r="H343" s="364">
        <f t="shared" si="77"/>
        <v>161154.15279000002</v>
      </c>
      <c r="I343" s="364">
        <f t="shared" si="77"/>
        <v>129363.8612</v>
      </c>
      <c r="J343" s="364">
        <f t="shared" si="77"/>
        <v>98164.669399999999</v>
      </c>
      <c r="K343" s="364">
        <f t="shared" si="77"/>
        <v>56372.348900000005</v>
      </c>
      <c r="L343" s="364">
        <f t="shared" si="77"/>
        <v>31863.935600000001</v>
      </c>
      <c r="M343" s="364">
        <f t="shared" si="77"/>
        <v>28939.233400000001</v>
      </c>
      <c r="N343" s="364">
        <f t="shared" si="77"/>
        <v>42433.049400000004</v>
      </c>
      <c r="O343" s="364">
        <f t="shared" si="77"/>
        <v>92238.246800000008</v>
      </c>
      <c r="P343" s="364">
        <f t="shared" si="77"/>
        <v>167656.25870000001</v>
      </c>
      <c r="Q343" s="364">
        <f t="shared" si="77"/>
        <v>199578.02900000001</v>
      </c>
      <c r="R343" s="341">
        <f>SUM(F343:Q343)</f>
        <v>1350296.3207400001</v>
      </c>
    </row>
    <row r="344" spans="1:18" x14ac:dyDescent="0.2">
      <c r="A344" s="32" t="s">
        <v>1054</v>
      </c>
      <c r="C344" s="32" t="s">
        <v>1077</v>
      </c>
      <c r="F344" s="365">
        <f t="shared" ref="F344:N344" si="78">SUM(F342:F343)</f>
        <v>250802.19801000002</v>
      </c>
      <c r="G344" s="365">
        <f t="shared" si="78"/>
        <v>214901.57016</v>
      </c>
      <c r="H344" s="365">
        <f t="shared" si="78"/>
        <v>222254.53659000003</v>
      </c>
      <c r="I344" s="365">
        <f t="shared" si="78"/>
        <v>190723.60819999999</v>
      </c>
      <c r="J344" s="365">
        <f t="shared" si="78"/>
        <v>155461.1182</v>
      </c>
      <c r="K344" s="365">
        <f t="shared" si="78"/>
        <v>101952.7993</v>
      </c>
      <c r="L344" s="365">
        <f t="shared" si="78"/>
        <v>59335.050199999998</v>
      </c>
      <c r="M344" s="365">
        <f t="shared" si="78"/>
        <v>55671.854800000001</v>
      </c>
      <c r="N344" s="365">
        <f t="shared" si="78"/>
        <v>81237.041800000006</v>
      </c>
      <c r="O344" s="365">
        <f>SUM(O342:O343)</f>
        <v>147416.334</v>
      </c>
      <c r="P344" s="365">
        <f>SUM(P342:P343)</f>
        <v>230109.07870000001</v>
      </c>
      <c r="Q344" s="365">
        <f>SUM(Q342:Q343)</f>
        <v>259541.25880000001</v>
      </c>
      <c r="R344" s="365">
        <f>SUM(R342:R343)</f>
        <v>1969406.4487600001</v>
      </c>
    </row>
    <row r="345" spans="1:18" x14ac:dyDescent="0.2">
      <c r="A345" s="336" t="s">
        <v>1056</v>
      </c>
      <c r="B345" s="32" t="s">
        <v>1057</v>
      </c>
      <c r="D345" s="32">
        <v>101</v>
      </c>
      <c r="F345" s="364">
        <f t="shared" ref="F345:N345" si="79">F321*F335</f>
        <v>1171400.2427400001</v>
      </c>
      <c r="G345" s="364">
        <f t="shared" si="79"/>
        <v>992350.74414000008</v>
      </c>
      <c r="H345" s="364">
        <f t="shared" si="79"/>
        <v>1029343.4646600001</v>
      </c>
      <c r="I345" s="364">
        <f t="shared" si="79"/>
        <v>858922.92541999999</v>
      </c>
      <c r="J345" s="364">
        <f t="shared" si="79"/>
        <v>689906.98588000005</v>
      </c>
      <c r="K345" s="364">
        <f t="shared" si="79"/>
        <v>441221.02486</v>
      </c>
      <c r="L345" s="364">
        <f t="shared" si="79"/>
        <v>255460.42634000001</v>
      </c>
      <c r="M345" s="418">
        <f t="shared" si="79"/>
        <v>238346.13586000001</v>
      </c>
      <c r="N345" s="364">
        <f t="shared" si="79"/>
        <v>348084.44776000001</v>
      </c>
      <c r="O345" s="364">
        <f>O321*O335</f>
        <v>653018.46623999998</v>
      </c>
      <c r="P345" s="364">
        <f>P321*P335</f>
        <v>994991.87479000003</v>
      </c>
      <c r="Q345" s="364">
        <f>Q321*Q335</f>
        <v>1136147.29153</v>
      </c>
      <c r="R345" s="341">
        <f>SUM(F345:Q345)</f>
        <v>8809194.0302200001</v>
      </c>
    </row>
    <row r="346" spans="1:18" x14ac:dyDescent="0.2">
      <c r="A346" s="32" t="s">
        <v>1054</v>
      </c>
      <c r="B346" s="32" t="s">
        <v>1096</v>
      </c>
      <c r="D346" s="444"/>
      <c r="F346" s="365">
        <f t="shared" ref="F346:N346" si="80">F322*F335</f>
        <v>10814.5635</v>
      </c>
      <c r="G346" s="365">
        <f t="shared" si="80"/>
        <v>9161.548499999999</v>
      </c>
      <c r="H346" s="365">
        <f t="shared" si="80"/>
        <v>9503.0715</v>
      </c>
      <c r="I346" s="365">
        <f t="shared" si="80"/>
        <v>8039.5166300000001</v>
      </c>
      <c r="J346" s="365">
        <f t="shared" si="80"/>
        <v>6457.5278200000002</v>
      </c>
      <c r="K346" s="365">
        <f t="shared" si="80"/>
        <v>4129.8277900000003</v>
      </c>
      <c r="L346" s="365">
        <f t="shared" si="80"/>
        <v>2391.1090100000001</v>
      </c>
      <c r="M346" s="365">
        <f t="shared" si="80"/>
        <v>2230.9192900000003</v>
      </c>
      <c r="N346" s="365">
        <f t="shared" si="80"/>
        <v>3258.0696400000002</v>
      </c>
      <c r="O346" s="365">
        <f>O322*O335</f>
        <v>6112.2513600000002</v>
      </c>
      <c r="P346" s="365">
        <f>P322*P335</f>
        <v>9851.7007300000005</v>
      </c>
      <c r="Q346" s="365">
        <f>Q322*Q335</f>
        <v>11249.321110000001</v>
      </c>
      <c r="R346" s="365">
        <f>SUM(F346:Q346)</f>
        <v>83199.426880000014</v>
      </c>
    </row>
    <row r="347" spans="1:18" x14ac:dyDescent="0.2">
      <c r="B347" s="32" t="s">
        <v>1068</v>
      </c>
      <c r="F347" s="364"/>
      <c r="G347" s="364"/>
      <c r="H347" s="364"/>
      <c r="I347" s="364"/>
      <c r="J347" s="364"/>
      <c r="K347" s="364"/>
      <c r="L347" s="364"/>
      <c r="M347" s="364"/>
      <c r="N347" s="364"/>
      <c r="O347" s="364"/>
      <c r="P347" s="364"/>
      <c r="Q347" s="364"/>
      <c r="R347" s="341"/>
    </row>
    <row r="348" spans="1:18" x14ac:dyDescent="0.2">
      <c r="A348" s="32" t="s">
        <v>1054</v>
      </c>
      <c r="C348" s="32" t="s">
        <v>1069</v>
      </c>
      <c r="D348" s="32">
        <v>86</v>
      </c>
      <c r="F348" s="364">
        <f t="shared" ref="F348:N348" si="81">F324*F336</f>
        <v>10461</v>
      </c>
      <c r="G348" s="364">
        <f t="shared" si="81"/>
        <v>10371.900000000001</v>
      </c>
      <c r="H348" s="364">
        <f t="shared" si="81"/>
        <v>10183.800000000001</v>
      </c>
      <c r="I348" s="364">
        <f t="shared" si="81"/>
        <v>10198.68</v>
      </c>
      <c r="J348" s="364">
        <f t="shared" si="81"/>
        <v>10278.6</v>
      </c>
      <c r="K348" s="364">
        <f t="shared" si="81"/>
        <v>10276.380000000001</v>
      </c>
      <c r="L348" s="364">
        <f t="shared" si="81"/>
        <v>10140.960000000001</v>
      </c>
      <c r="M348" s="364">
        <f t="shared" si="81"/>
        <v>9842.3700000000008</v>
      </c>
      <c r="N348" s="364">
        <f t="shared" si="81"/>
        <v>9512.7000000000007</v>
      </c>
      <c r="O348" s="364">
        <f>O324*O336</f>
        <v>9387.27</v>
      </c>
      <c r="P348" s="364">
        <f>P324*P336</f>
        <v>9439.44</v>
      </c>
      <c r="Q348" s="364">
        <f>Q324*Q336</f>
        <v>9150.84</v>
      </c>
      <c r="R348" s="341">
        <f>SUM(F348:Q348)</f>
        <v>119243.94</v>
      </c>
    </row>
    <row r="349" spans="1:18" s="336" customFormat="1" x14ac:dyDescent="0.2">
      <c r="A349" s="336" t="s">
        <v>1056</v>
      </c>
      <c r="C349" s="336" t="s">
        <v>1070</v>
      </c>
      <c r="D349" s="336">
        <v>101</v>
      </c>
      <c r="F349" s="418">
        <f t="shared" ref="F349:N349" si="82">F325*F336</f>
        <v>9985.5</v>
      </c>
      <c r="G349" s="418">
        <f t="shared" si="82"/>
        <v>9900.4500000000007</v>
      </c>
      <c r="H349" s="418">
        <f t="shared" si="82"/>
        <v>9720.9</v>
      </c>
      <c r="I349" s="418">
        <f t="shared" si="82"/>
        <v>9647.4</v>
      </c>
      <c r="J349" s="418">
        <f t="shared" si="82"/>
        <v>9723</v>
      </c>
      <c r="K349" s="418">
        <f t="shared" si="82"/>
        <v>9720.9</v>
      </c>
      <c r="L349" s="418">
        <f t="shared" si="82"/>
        <v>9592.8000000000011</v>
      </c>
      <c r="M349" s="418">
        <f t="shared" si="82"/>
        <v>9310.35</v>
      </c>
      <c r="N349" s="418">
        <f t="shared" si="82"/>
        <v>8998.5</v>
      </c>
      <c r="O349" s="418">
        <f>O325*O336</f>
        <v>8879.85</v>
      </c>
      <c r="P349" s="418">
        <f>P325*P336</f>
        <v>8929.2000000000007</v>
      </c>
      <c r="Q349" s="418">
        <f>Q325*Q336</f>
        <v>8656.2000000000007</v>
      </c>
      <c r="R349" s="437">
        <f>SUM(F349:Q349)</f>
        <v>113065.05</v>
      </c>
    </row>
    <row r="350" spans="1:18" s="336" customFormat="1" x14ac:dyDescent="0.2">
      <c r="C350" s="336" t="s">
        <v>1078</v>
      </c>
      <c r="F350" s="339">
        <f t="shared" ref="F350:N350" si="83">SUM(F348:F349)</f>
        <v>20446.5</v>
      </c>
      <c r="G350" s="339">
        <f t="shared" si="83"/>
        <v>20272.350000000002</v>
      </c>
      <c r="H350" s="339">
        <f t="shared" si="83"/>
        <v>19904.7</v>
      </c>
      <c r="I350" s="339">
        <f t="shared" si="83"/>
        <v>19846.080000000002</v>
      </c>
      <c r="J350" s="339">
        <f t="shared" si="83"/>
        <v>20001.599999999999</v>
      </c>
      <c r="K350" s="339">
        <f t="shared" si="83"/>
        <v>19997.28</v>
      </c>
      <c r="L350" s="339">
        <f t="shared" si="83"/>
        <v>19733.760000000002</v>
      </c>
      <c r="M350" s="339">
        <f t="shared" si="83"/>
        <v>19152.72</v>
      </c>
      <c r="N350" s="339">
        <f t="shared" si="83"/>
        <v>18511.2</v>
      </c>
      <c r="O350" s="339">
        <f>SUM(O348:O349)</f>
        <v>18267.120000000003</v>
      </c>
      <c r="P350" s="339">
        <f>SUM(P348:P349)</f>
        <v>18368.64</v>
      </c>
      <c r="Q350" s="339">
        <f>SUM(Q348:Q349)</f>
        <v>17807.04</v>
      </c>
      <c r="R350" s="339">
        <f>SUM(R348:R349)</f>
        <v>232308.99</v>
      </c>
    </row>
    <row r="351" spans="1:18" s="336" customFormat="1" x14ac:dyDescent="0.2">
      <c r="A351" s="336" t="s">
        <v>1054</v>
      </c>
      <c r="B351" s="336" t="s">
        <v>1071</v>
      </c>
      <c r="D351" s="336">
        <v>86</v>
      </c>
      <c r="F351" s="447">
        <f>'JKP-3.1c - Data'!C187</f>
        <v>0</v>
      </c>
      <c r="G351" s="447">
        <f>'JKP-3.1c - Data'!D187</f>
        <v>1587.1599999999999</v>
      </c>
      <c r="H351" s="447">
        <f>'JKP-3.1c - Data'!E187</f>
        <v>0</v>
      </c>
      <c r="I351" s="447">
        <f>'JKP-3.1c - Data'!F187</f>
        <v>0</v>
      </c>
      <c r="J351" s="447">
        <f>'JKP-3.1c - Data'!G187</f>
        <v>0</v>
      </c>
      <c r="K351" s="447">
        <f>'JKP-3.1c - Data'!H187</f>
        <v>0</v>
      </c>
      <c r="L351" s="447">
        <f>'JKP-3.1c - Data'!I187</f>
        <v>116.15</v>
      </c>
      <c r="M351" s="447">
        <f>'JKP-3.1c - Data'!J187</f>
        <v>1787.29</v>
      </c>
      <c r="N351" s="447">
        <f>'JKP-3.1c - Data'!K187</f>
        <v>23486.960000000003</v>
      </c>
      <c r="O351" s="447">
        <f>'JKP-3.1c - Data'!L187</f>
        <v>0</v>
      </c>
      <c r="P351" s="447">
        <f>'JKP-3.1c - Data'!M187</f>
        <v>0</v>
      </c>
      <c r="Q351" s="447">
        <f>'JKP-3.1c - Data'!N187</f>
        <v>0</v>
      </c>
      <c r="R351" s="437">
        <f>SUM(F351:Q351)</f>
        <v>26977.56</v>
      </c>
    </row>
    <row r="352" spans="1:18" s="336" customFormat="1" x14ac:dyDescent="0.2">
      <c r="B352" s="336" t="s">
        <v>1079</v>
      </c>
      <c r="F352" s="339">
        <f t="shared" ref="F352:N352" si="84">F345+F349</f>
        <v>1181385.7427400001</v>
      </c>
      <c r="G352" s="339">
        <f t="shared" si="84"/>
        <v>1002251.19414</v>
      </c>
      <c r="H352" s="339">
        <f t="shared" si="84"/>
        <v>1039064.3646600001</v>
      </c>
      <c r="I352" s="339">
        <f t="shared" si="84"/>
        <v>868570.32542000001</v>
      </c>
      <c r="J352" s="339">
        <f t="shared" si="84"/>
        <v>699629.98588000005</v>
      </c>
      <c r="K352" s="339">
        <f t="shared" si="84"/>
        <v>450941.92486000003</v>
      </c>
      <c r="L352" s="339">
        <f t="shared" si="84"/>
        <v>265053.22633999999</v>
      </c>
      <c r="M352" s="339">
        <f t="shared" si="84"/>
        <v>247656.48586000002</v>
      </c>
      <c r="N352" s="339">
        <f t="shared" si="84"/>
        <v>357082.94776000001</v>
      </c>
      <c r="O352" s="339">
        <f>O345+O349</f>
        <v>661898.31623999996</v>
      </c>
      <c r="P352" s="339">
        <f>P345+P349</f>
        <v>1003921.07479</v>
      </c>
      <c r="Q352" s="339">
        <f>Q345+Q349</f>
        <v>1144803.49153</v>
      </c>
      <c r="R352" s="339">
        <f>R345+R349</f>
        <v>8922259.0802200008</v>
      </c>
    </row>
    <row r="353" spans="1:18" s="336" customFormat="1" x14ac:dyDescent="0.2">
      <c r="B353" s="336" t="s">
        <v>986</v>
      </c>
      <c r="F353" s="339">
        <f t="shared" ref="F353:N353" si="85">F340+F344+F345+F346+F350+F351</f>
        <v>1499388.50425</v>
      </c>
      <c r="G353" s="339">
        <f t="shared" si="85"/>
        <v>1284198.3728000002</v>
      </c>
      <c r="H353" s="339">
        <f t="shared" si="85"/>
        <v>1326380.7727500002</v>
      </c>
      <c r="I353" s="339">
        <f t="shared" si="85"/>
        <v>1123106.1202499999</v>
      </c>
      <c r="J353" s="339">
        <f t="shared" si="85"/>
        <v>917679.96189999999</v>
      </c>
      <c r="K353" s="339">
        <f t="shared" si="85"/>
        <v>613153.6619500001</v>
      </c>
      <c r="L353" s="339">
        <f t="shared" si="85"/>
        <v>382471.11555000005</v>
      </c>
      <c r="M353" s="339">
        <f t="shared" si="85"/>
        <v>362344.79994999996</v>
      </c>
      <c r="N353" s="339">
        <f t="shared" si="85"/>
        <v>519176.11920000007</v>
      </c>
      <c r="O353" s="339">
        <f>O340+O344+O345+O346+O350+O351</f>
        <v>868994.46160000004</v>
      </c>
      <c r="P353" s="339">
        <f>P340+P344+P345+P346+P350+P351</f>
        <v>1297640.9542199997</v>
      </c>
      <c r="Q353" s="339">
        <f>Q340+Q344+Q345+Q346+Q350+Q351</f>
        <v>1468925.20144</v>
      </c>
      <c r="R353" s="339">
        <f>R340+R344+R345+R346+R350+R351</f>
        <v>11663460.045860002</v>
      </c>
    </row>
    <row r="354" spans="1:18" s="336" customFormat="1" x14ac:dyDescent="0.2">
      <c r="F354" s="418"/>
      <c r="G354" s="418"/>
      <c r="H354" s="418"/>
      <c r="I354" s="418"/>
      <c r="J354" s="418"/>
      <c r="K354" s="418"/>
      <c r="L354" s="418"/>
      <c r="M354" s="418"/>
      <c r="N354" s="418"/>
      <c r="O354" s="418"/>
      <c r="P354" s="418"/>
      <c r="Q354" s="418"/>
      <c r="R354" s="437"/>
    </row>
    <row r="355" spans="1:18" s="336" customFormat="1" x14ac:dyDescent="0.2">
      <c r="A355" s="336" t="s">
        <v>1058</v>
      </c>
      <c r="B355" s="336" t="s">
        <v>1050</v>
      </c>
      <c r="F355" s="418">
        <f>F327*F335+F336*F328</f>
        <v>1130314.7233499999</v>
      </c>
      <c r="G355" s="418">
        <f t="shared" ref="G355:Q355" si="86">G327*G335+G336*G328</f>
        <v>958917.79184999992</v>
      </c>
      <c r="H355" s="418">
        <f t="shared" si="86"/>
        <v>994141.71014999994</v>
      </c>
      <c r="I355" s="418">
        <f t="shared" si="86"/>
        <v>831012.03304999997</v>
      </c>
      <c r="J355" s="418">
        <f t="shared" si="86"/>
        <v>669368.28769999999</v>
      </c>
      <c r="K355" s="418">
        <f t="shared" si="86"/>
        <v>431421.65564999997</v>
      </c>
      <c r="L355" s="418">
        <f t="shared" si="86"/>
        <v>253562.49234999999</v>
      </c>
      <c r="M355" s="418">
        <f t="shared" si="86"/>
        <v>236918.40815</v>
      </c>
      <c r="N355" s="418">
        <f t="shared" si="86"/>
        <v>341619.86540000001</v>
      </c>
      <c r="O355" s="418">
        <f t="shared" si="86"/>
        <v>633270.06959999993</v>
      </c>
      <c r="P355" s="418">
        <f t="shared" si="86"/>
        <v>960471.30012999999</v>
      </c>
      <c r="Q355" s="418">
        <f t="shared" si="86"/>
        <v>1095262.99691</v>
      </c>
      <c r="R355" s="437">
        <f>SUM(F355:Q355)</f>
        <v>8536281.3342899997</v>
      </c>
    </row>
    <row r="356" spans="1:18" s="336" customFormat="1" x14ac:dyDescent="0.2">
      <c r="F356" s="418"/>
      <c r="G356" s="418"/>
      <c r="H356" s="418"/>
      <c r="I356" s="418"/>
      <c r="J356" s="418"/>
      <c r="K356" s="418"/>
      <c r="L356" s="418"/>
      <c r="M356" s="418"/>
      <c r="N356" s="418"/>
      <c r="O356" s="418"/>
      <c r="P356" s="418"/>
      <c r="Q356" s="418"/>
      <c r="R356" s="437"/>
    </row>
    <row r="357" spans="1:18" s="336" customFormat="1" x14ac:dyDescent="0.2">
      <c r="B357" s="182" t="s">
        <v>1100</v>
      </c>
      <c r="C357" s="182"/>
    </row>
    <row r="358" spans="1:18" s="336" customFormat="1" x14ac:dyDescent="0.2">
      <c r="B358" s="182" t="s">
        <v>5</v>
      </c>
      <c r="C358" s="182"/>
    </row>
    <row r="359" spans="1:18" s="336" customFormat="1" x14ac:dyDescent="0.2">
      <c r="B359" s="336" t="s">
        <v>1059</v>
      </c>
      <c r="D359" s="336">
        <v>87</v>
      </c>
      <c r="E359" s="336" t="s">
        <v>976</v>
      </c>
      <c r="F359" s="442">
        <v>537.12</v>
      </c>
      <c r="G359" s="442">
        <v>537.12</v>
      </c>
      <c r="H359" s="442">
        <v>537.12</v>
      </c>
      <c r="I359" s="442">
        <v>544.91</v>
      </c>
      <c r="J359" s="442">
        <v>544.91</v>
      </c>
      <c r="K359" s="442">
        <v>544.91</v>
      </c>
      <c r="L359" s="442">
        <v>544.91</v>
      </c>
      <c r="M359" s="442">
        <v>544.91</v>
      </c>
      <c r="N359" s="442">
        <v>544.91</v>
      </c>
      <c r="O359" s="442">
        <v>544.91</v>
      </c>
      <c r="P359" s="442">
        <v>544.91</v>
      </c>
      <c r="Q359" s="442">
        <v>544.91</v>
      </c>
      <c r="R359" s="435"/>
    </row>
    <row r="360" spans="1:18" s="336" customFormat="1" x14ac:dyDescent="0.2">
      <c r="B360" s="336" t="s">
        <v>1047</v>
      </c>
      <c r="F360" s="448"/>
      <c r="G360" s="448"/>
      <c r="H360" s="448"/>
      <c r="I360" s="448"/>
      <c r="J360" s="448"/>
      <c r="K360" s="448"/>
      <c r="L360" s="448"/>
      <c r="M360" s="448"/>
      <c r="N360" s="448"/>
      <c r="O360" s="448"/>
      <c r="P360" s="448"/>
      <c r="Q360" s="448"/>
      <c r="R360" s="441"/>
    </row>
    <row r="361" spans="1:18" s="336" customFormat="1" x14ac:dyDescent="0.2">
      <c r="C361" s="336" t="s">
        <v>1086</v>
      </c>
      <c r="D361" s="336">
        <v>87</v>
      </c>
      <c r="E361" s="336" t="s">
        <v>957</v>
      </c>
      <c r="F361" s="440">
        <v>0.13618</v>
      </c>
      <c r="G361" s="440">
        <v>0.13618</v>
      </c>
      <c r="H361" s="440">
        <v>0.13618</v>
      </c>
      <c r="I361" s="440">
        <v>0.13815</v>
      </c>
      <c r="J361" s="440">
        <v>0.13815</v>
      </c>
      <c r="K361" s="440">
        <v>0.13815</v>
      </c>
      <c r="L361" s="440">
        <v>0.13815</v>
      </c>
      <c r="M361" s="440">
        <v>0.13815</v>
      </c>
      <c r="N361" s="440">
        <v>0.13815</v>
      </c>
      <c r="O361" s="440">
        <v>0.13815</v>
      </c>
      <c r="P361" s="440">
        <v>0.13815</v>
      </c>
      <c r="Q361" s="440">
        <v>0.13815</v>
      </c>
      <c r="R361" s="441"/>
    </row>
    <row r="362" spans="1:18" s="336" customFormat="1" x14ac:dyDescent="0.2">
      <c r="C362" s="336" t="s">
        <v>1087</v>
      </c>
      <c r="D362" s="336">
        <v>87</v>
      </c>
      <c r="E362" s="336" t="s">
        <v>957</v>
      </c>
      <c r="F362" s="440">
        <v>8.3140000000000006E-2</v>
      </c>
      <c r="G362" s="440">
        <v>8.3140000000000006E-2</v>
      </c>
      <c r="H362" s="440">
        <v>8.3140000000000006E-2</v>
      </c>
      <c r="I362" s="440">
        <v>8.4349999999999994E-2</v>
      </c>
      <c r="J362" s="440">
        <v>8.4349999999999994E-2</v>
      </c>
      <c r="K362" s="440">
        <v>8.4349999999999994E-2</v>
      </c>
      <c r="L362" s="440">
        <v>8.4349999999999994E-2</v>
      </c>
      <c r="M362" s="440">
        <v>8.4349999999999994E-2</v>
      </c>
      <c r="N362" s="440">
        <v>8.4349999999999994E-2</v>
      </c>
      <c r="O362" s="440">
        <v>8.4349999999999994E-2</v>
      </c>
      <c r="P362" s="440">
        <v>8.4349999999999994E-2</v>
      </c>
      <c r="Q362" s="440">
        <v>8.4349999999999994E-2</v>
      </c>
      <c r="R362" s="441"/>
    </row>
    <row r="363" spans="1:18" s="336" customFormat="1" x14ac:dyDescent="0.2">
      <c r="C363" s="336" t="s">
        <v>1090</v>
      </c>
      <c r="D363" s="336">
        <v>87</v>
      </c>
      <c r="E363" s="336" t="s">
        <v>957</v>
      </c>
      <c r="F363" s="440">
        <v>5.3679999999999999E-2</v>
      </c>
      <c r="G363" s="440">
        <v>5.3679999999999999E-2</v>
      </c>
      <c r="H363" s="440">
        <v>5.3679999999999999E-2</v>
      </c>
      <c r="I363" s="440">
        <v>5.4460000000000001E-2</v>
      </c>
      <c r="J363" s="440">
        <v>5.4460000000000001E-2</v>
      </c>
      <c r="K363" s="440">
        <v>5.4460000000000001E-2</v>
      </c>
      <c r="L363" s="440">
        <v>5.4460000000000001E-2</v>
      </c>
      <c r="M363" s="440">
        <v>5.4460000000000001E-2</v>
      </c>
      <c r="N363" s="440">
        <v>5.4460000000000001E-2</v>
      </c>
      <c r="O363" s="440">
        <v>5.4460000000000001E-2</v>
      </c>
      <c r="P363" s="440">
        <v>5.4460000000000001E-2</v>
      </c>
      <c r="Q363" s="440">
        <v>5.4460000000000001E-2</v>
      </c>
      <c r="R363" s="441"/>
    </row>
    <row r="364" spans="1:18" s="336" customFormat="1" x14ac:dyDescent="0.2">
      <c r="C364" s="336" t="s">
        <v>1091</v>
      </c>
      <c r="D364" s="336">
        <v>87</v>
      </c>
      <c r="E364" s="336" t="s">
        <v>957</v>
      </c>
      <c r="F364" s="440">
        <v>3.5189999999999999E-2</v>
      </c>
      <c r="G364" s="440">
        <v>3.5189999999999999E-2</v>
      </c>
      <c r="H364" s="440">
        <v>3.5189999999999999E-2</v>
      </c>
      <c r="I364" s="440">
        <v>3.5700000000000003E-2</v>
      </c>
      <c r="J364" s="440">
        <v>3.5700000000000003E-2</v>
      </c>
      <c r="K364" s="440">
        <v>3.5700000000000003E-2</v>
      </c>
      <c r="L364" s="440">
        <v>3.5700000000000003E-2</v>
      </c>
      <c r="M364" s="440">
        <v>3.5700000000000003E-2</v>
      </c>
      <c r="N364" s="440">
        <v>3.5700000000000003E-2</v>
      </c>
      <c r="O364" s="440">
        <v>3.5700000000000003E-2</v>
      </c>
      <c r="P364" s="440">
        <v>3.5700000000000003E-2</v>
      </c>
      <c r="Q364" s="440">
        <v>3.5700000000000003E-2</v>
      </c>
      <c r="R364" s="441"/>
    </row>
    <row r="365" spans="1:18" s="336" customFormat="1" x14ac:dyDescent="0.2">
      <c r="C365" s="336" t="s">
        <v>1092</v>
      </c>
      <c r="D365" s="336">
        <v>87</v>
      </c>
      <c r="E365" s="336" t="s">
        <v>957</v>
      </c>
      <c r="F365" s="440">
        <v>2.5919999999999999E-2</v>
      </c>
      <c r="G365" s="440">
        <v>2.5919999999999999E-2</v>
      </c>
      <c r="H365" s="440">
        <v>2.5919999999999999E-2</v>
      </c>
      <c r="I365" s="440">
        <v>2.63E-2</v>
      </c>
      <c r="J365" s="440">
        <v>2.63E-2</v>
      </c>
      <c r="K365" s="440">
        <v>2.63E-2</v>
      </c>
      <c r="L365" s="440">
        <v>2.63E-2</v>
      </c>
      <c r="M365" s="440">
        <v>2.63E-2</v>
      </c>
      <c r="N365" s="440">
        <v>2.63E-2</v>
      </c>
      <c r="O365" s="440">
        <v>2.63E-2</v>
      </c>
      <c r="P365" s="440">
        <v>2.63E-2</v>
      </c>
      <c r="Q365" s="440">
        <v>2.63E-2</v>
      </c>
      <c r="R365" s="441"/>
    </row>
    <row r="366" spans="1:18" s="336" customFormat="1" x14ac:dyDescent="0.2">
      <c r="C366" s="336" t="s">
        <v>1093</v>
      </c>
      <c r="D366" s="336">
        <v>87</v>
      </c>
      <c r="E366" s="336" t="s">
        <v>957</v>
      </c>
      <c r="F366" s="440">
        <v>2.0469999999999999E-2</v>
      </c>
      <c r="G366" s="440">
        <v>2.0469999999999999E-2</v>
      </c>
      <c r="H366" s="440">
        <v>2.0469999999999999E-2</v>
      </c>
      <c r="I366" s="440">
        <v>2.077E-2</v>
      </c>
      <c r="J366" s="440">
        <v>2.077E-2</v>
      </c>
      <c r="K366" s="440">
        <v>2.077E-2</v>
      </c>
      <c r="L366" s="440">
        <v>2.077E-2</v>
      </c>
      <c r="M366" s="440">
        <v>2.077E-2</v>
      </c>
      <c r="N366" s="440">
        <v>2.077E-2</v>
      </c>
      <c r="O366" s="440">
        <v>2.077E-2</v>
      </c>
      <c r="P366" s="440">
        <v>2.077E-2</v>
      </c>
      <c r="Q366" s="440">
        <v>2.077E-2</v>
      </c>
      <c r="R366" s="441"/>
    </row>
    <row r="367" spans="1:18" s="336" customFormat="1" x14ac:dyDescent="0.2">
      <c r="B367" s="336" t="s">
        <v>1067</v>
      </c>
      <c r="D367" s="336">
        <v>101</v>
      </c>
      <c r="E367" s="336" t="s">
        <v>957</v>
      </c>
      <c r="F367" s="440">
        <v>0.69859000000000004</v>
      </c>
      <c r="G367" s="440">
        <v>0.69859000000000004</v>
      </c>
      <c r="H367" s="440">
        <v>0.69859000000000004</v>
      </c>
      <c r="I367" s="440">
        <v>0.69859000000000004</v>
      </c>
      <c r="J367" s="440">
        <v>0.69859000000000004</v>
      </c>
      <c r="K367" s="440">
        <v>0.69859000000000004</v>
      </c>
      <c r="L367" s="440">
        <v>0.69859000000000004</v>
      </c>
      <c r="M367" s="440">
        <v>0.69859000000000004</v>
      </c>
      <c r="N367" s="440">
        <v>0.69859000000000004</v>
      </c>
      <c r="O367" s="440">
        <v>0.69859000000000004</v>
      </c>
      <c r="P367" s="440">
        <v>0.65951000000000004</v>
      </c>
      <c r="Q367" s="440">
        <v>0.65951000000000004</v>
      </c>
      <c r="R367" s="441"/>
    </row>
    <row r="368" spans="1:18" s="336" customFormat="1" x14ac:dyDescent="0.2">
      <c r="B368" s="336" t="s">
        <v>1096</v>
      </c>
      <c r="D368" s="382">
        <v>85</v>
      </c>
      <c r="E368" s="336" t="s">
        <v>957</v>
      </c>
      <c r="F368" s="440">
        <v>5.0000000000000001E-3</v>
      </c>
      <c r="G368" s="440">
        <v>5.0000000000000001E-3</v>
      </c>
      <c r="H368" s="440">
        <v>5.0000000000000001E-3</v>
      </c>
      <c r="I368" s="440">
        <v>5.0699999999999999E-3</v>
      </c>
      <c r="J368" s="440">
        <v>5.0699999999999999E-3</v>
      </c>
      <c r="K368" s="440">
        <v>5.0699999999999999E-3</v>
      </c>
      <c r="L368" s="440">
        <v>5.0699999999999999E-3</v>
      </c>
      <c r="M368" s="440">
        <v>5.0699999999999999E-3</v>
      </c>
      <c r="N368" s="440">
        <v>5.0699999999999999E-3</v>
      </c>
      <c r="O368" s="440">
        <v>5.0699999999999999E-3</v>
      </c>
      <c r="P368" s="440">
        <v>5.0699999999999999E-3</v>
      </c>
      <c r="Q368" s="440">
        <v>5.0699999999999999E-3</v>
      </c>
      <c r="R368" s="441"/>
    </row>
    <row r="369" spans="2:18" s="336" customFormat="1" x14ac:dyDescent="0.2">
      <c r="B369" s="336" t="s">
        <v>1068</v>
      </c>
      <c r="F369" s="441"/>
      <c r="G369" s="441"/>
      <c r="H369" s="441"/>
      <c r="I369" s="441"/>
      <c r="J369" s="441"/>
      <c r="K369" s="441"/>
      <c r="L369" s="441"/>
      <c r="M369" s="441"/>
      <c r="N369" s="441"/>
      <c r="O369" s="441"/>
      <c r="P369" s="441"/>
      <c r="Q369" s="441"/>
      <c r="R369" s="441"/>
    </row>
    <row r="370" spans="2:18" s="336" customFormat="1" x14ac:dyDescent="0.2">
      <c r="C370" s="336" t="s">
        <v>1069</v>
      </c>
      <c r="D370" s="336">
        <v>101</v>
      </c>
      <c r="E370" s="336" t="s">
        <v>957</v>
      </c>
      <c r="F370" s="442">
        <v>1.1000000000000001</v>
      </c>
      <c r="G370" s="442">
        <v>1.1000000000000001</v>
      </c>
      <c r="H370" s="442">
        <v>1.1000000000000001</v>
      </c>
      <c r="I370" s="442">
        <v>1.1100000000000001</v>
      </c>
      <c r="J370" s="442">
        <v>1.1100000000000001</v>
      </c>
      <c r="K370" s="442">
        <v>1.1100000000000001</v>
      </c>
      <c r="L370" s="442">
        <v>1.1100000000000001</v>
      </c>
      <c r="M370" s="442">
        <v>1.1100000000000001</v>
      </c>
      <c r="N370" s="442">
        <v>1.1100000000000001</v>
      </c>
      <c r="O370" s="442">
        <v>1.1100000000000001</v>
      </c>
      <c r="P370" s="442">
        <v>1.1100000000000001</v>
      </c>
      <c r="Q370" s="442">
        <v>1.1100000000000001</v>
      </c>
      <c r="R370" s="441"/>
    </row>
    <row r="371" spans="2:18" s="336" customFormat="1" x14ac:dyDescent="0.2">
      <c r="C371" s="336" t="s">
        <v>1070</v>
      </c>
      <c r="D371" s="336">
        <v>101</v>
      </c>
      <c r="E371" s="336" t="s">
        <v>957</v>
      </c>
      <c r="F371" s="442">
        <v>1.05</v>
      </c>
      <c r="G371" s="442">
        <v>1.05</v>
      </c>
      <c r="H371" s="442">
        <v>1.05</v>
      </c>
      <c r="I371" s="442">
        <v>1.05</v>
      </c>
      <c r="J371" s="442">
        <v>1.05</v>
      </c>
      <c r="K371" s="442">
        <v>1.05</v>
      </c>
      <c r="L371" s="442">
        <v>1.05</v>
      </c>
      <c r="M371" s="442">
        <v>1.05</v>
      </c>
      <c r="N371" s="442">
        <v>1.05</v>
      </c>
      <c r="O371" s="442">
        <v>1.05</v>
      </c>
      <c r="P371" s="442">
        <v>1.05</v>
      </c>
      <c r="Q371" s="442">
        <v>1.05</v>
      </c>
      <c r="R371" s="441"/>
    </row>
    <row r="372" spans="2:18" s="336" customFormat="1" x14ac:dyDescent="0.2">
      <c r="B372" s="336" t="s">
        <v>1071</v>
      </c>
      <c r="D372" s="336">
        <v>85</v>
      </c>
      <c r="E372" s="336" t="s">
        <v>67</v>
      </c>
      <c r="F372" s="450"/>
      <c r="G372" s="450"/>
      <c r="H372" s="450"/>
      <c r="I372" s="450"/>
      <c r="J372" s="450"/>
      <c r="K372" s="450"/>
      <c r="L372" s="450"/>
      <c r="M372" s="450"/>
      <c r="N372" s="450"/>
      <c r="O372" s="450"/>
      <c r="P372" s="450"/>
      <c r="Q372" s="450"/>
      <c r="R372" s="441"/>
    </row>
    <row r="373" spans="2:18" s="336" customFormat="1" x14ac:dyDescent="0.2">
      <c r="B373" s="336" t="s">
        <v>1050</v>
      </c>
      <c r="F373" s="440">
        <v>0.66842000000000001</v>
      </c>
      <c r="G373" s="440">
        <v>0.66842000000000001</v>
      </c>
      <c r="H373" s="440">
        <v>0.66842000000000001</v>
      </c>
      <c r="I373" s="440">
        <v>0.66842000000000001</v>
      </c>
      <c r="J373" s="440">
        <v>0.66842000000000001</v>
      </c>
      <c r="K373" s="440">
        <v>0.66842000000000001</v>
      </c>
      <c r="L373" s="440">
        <v>0.66842000000000001</v>
      </c>
      <c r="M373" s="440">
        <v>0.66842000000000001</v>
      </c>
      <c r="N373" s="440">
        <v>0.66842000000000001</v>
      </c>
      <c r="O373" s="440">
        <v>0.66842000000000001</v>
      </c>
      <c r="P373" s="440">
        <v>0.63099000000000005</v>
      </c>
      <c r="Q373" s="440">
        <v>0.63099000000000005</v>
      </c>
      <c r="R373" s="441"/>
    </row>
    <row r="374" spans="2:18" s="336" customFormat="1" x14ac:dyDescent="0.2">
      <c r="B374" s="336" t="s">
        <v>1072</v>
      </c>
      <c r="F374" s="442">
        <v>1</v>
      </c>
      <c r="G374" s="442">
        <v>1</v>
      </c>
      <c r="H374" s="442">
        <v>1</v>
      </c>
      <c r="I374" s="442">
        <v>1</v>
      </c>
      <c r="J374" s="442">
        <v>1</v>
      </c>
      <c r="K374" s="442">
        <v>1</v>
      </c>
      <c r="L374" s="442">
        <v>1</v>
      </c>
      <c r="M374" s="442">
        <v>1</v>
      </c>
      <c r="N374" s="442">
        <v>1</v>
      </c>
      <c r="O374" s="442">
        <v>1</v>
      </c>
      <c r="P374" s="442">
        <v>1</v>
      </c>
      <c r="Q374" s="442">
        <v>1</v>
      </c>
      <c r="R374" s="441"/>
    </row>
    <row r="375" spans="2:18" s="336" customFormat="1" x14ac:dyDescent="0.2"/>
    <row r="376" spans="2:18" x14ac:dyDescent="0.2">
      <c r="B376" s="276" t="s">
        <v>982</v>
      </c>
    </row>
    <row r="377" spans="2:18" x14ac:dyDescent="0.2">
      <c r="B377" s="32" t="s">
        <v>67</v>
      </c>
      <c r="E377" s="32" t="s">
        <v>67</v>
      </c>
      <c r="F377" s="397">
        <f>'JKP-3.1c - Data'!C153</f>
        <v>8</v>
      </c>
      <c r="G377" s="397">
        <f>'JKP-3.1c - Data'!D153</f>
        <v>8</v>
      </c>
      <c r="H377" s="397">
        <f>'JKP-3.1c - Data'!E153</f>
        <v>8</v>
      </c>
      <c r="I377" s="397">
        <f>'JKP-3.1c - Data'!F153</f>
        <v>8</v>
      </c>
      <c r="J377" s="397">
        <f>'JKP-3.1c - Data'!G153</f>
        <v>8</v>
      </c>
      <c r="K377" s="397">
        <f>'JKP-3.1c - Data'!H153</f>
        <v>8</v>
      </c>
      <c r="L377" s="397">
        <f>'JKP-3.1c - Data'!I153</f>
        <v>8</v>
      </c>
      <c r="M377" s="397">
        <f>'JKP-3.1c - Data'!J153</f>
        <v>8</v>
      </c>
      <c r="N377" s="397">
        <f>'JKP-3.1c - Data'!K153</f>
        <v>8</v>
      </c>
      <c r="O377" s="397">
        <f>'JKP-3.1c - Data'!L153</f>
        <v>8</v>
      </c>
      <c r="P377" s="397">
        <f>'JKP-3.1c - Data'!M153</f>
        <v>8</v>
      </c>
      <c r="Q377" s="397">
        <f>'JKP-3.1c - Data'!N153</f>
        <v>8</v>
      </c>
      <c r="R377" s="378">
        <f>SUM(F377:Q377)</f>
        <v>96</v>
      </c>
    </row>
    <row r="378" spans="2:18" s="336" customFormat="1" x14ac:dyDescent="0.2">
      <c r="B378" s="336" t="s">
        <v>76</v>
      </c>
      <c r="F378" s="380"/>
      <c r="G378" s="380"/>
      <c r="H378" s="380"/>
      <c r="I378" s="380"/>
      <c r="J378" s="380"/>
      <c r="K378" s="380"/>
      <c r="L378" s="380"/>
      <c r="M378" s="380"/>
      <c r="N378" s="380"/>
      <c r="O378" s="380"/>
      <c r="P378" s="380"/>
      <c r="Q378" s="380"/>
      <c r="R378" s="378"/>
    </row>
    <row r="379" spans="2:18" s="336" customFormat="1" x14ac:dyDescent="0.2">
      <c r="C379" s="336" t="s">
        <v>1086</v>
      </c>
      <c r="E379" s="336" t="s">
        <v>10</v>
      </c>
      <c r="F379" s="380">
        <v>200000</v>
      </c>
      <c r="G379" s="380">
        <v>200000</v>
      </c>
      <c r="H379" s="380">
        <v>200000</v>
      </c>
      <c r="I379" s="380">
        <v>200000</v>
      </c>
      <c r="J379" s="380">
        <v>200000</v>
      </c>
      <c r="K379" s="380">
        <v>200000</v>
      </c>
      <c r="L379" s="380">
        <v>200000</v>
      </c>
      <c r="M379" s="380">
        <v>200000</v>
      </c>
      <c r="N379" s="380">
        <v>200000</v>
      </c>
      <c r="O379" s="380">
        <v>200000</v>
      </c>
      <c r="P379" s="380">
        <v>200000</v>
      </c>
      <c r="Q379" s="380">
        <v>200000</v>
      </c>
      <c r="R379" s="378">
        <f t="shared" ref="R379:R384" si="87">SUM(F379:Q379)</f>
        <v>2400000</v>
      </c>
    </row>
    <row r="380" spans="2:18" s="336" customFormat="1" x14ac:dyDescent="0.2">
      <c r="C380" s="336" t="s">
        <v>1087</v>
      </c>
      <c r="E380" s="336" t="s">
        <v>10</v>
      </c>
      <c r="F380" s="380">
        <v>200000</v>
      </c>
      <c r="G380" s="380">
        <v>200000</v>
      </c>
      <c r="H380" s="380">
        <v>200000</v>
      </c>
      <c r="I380" s="380">
        <v>200000</v>
      </c>
      <c r="J380" s="380">
        <v>200000</v>
      </c>
      <c r="K380" s="380">
        <v>195699</v>
      </c>
      <c r="L380" s="380">
        <v>186566</v>
      </c>
      <c r="M380" s="380">
        <v>184560</v>
      </c>
      <c r="N380" s="380">
        <v>191740</v>
      </c>
      <c r="O380" s="380">
        <v>200000</v>
      </c>
      <c r="P380" s="380">
        <v>200000</v>
      </c>
      <c r="Q380" s="380">
        <v>200000</v>
      </c>
      <c r="R380" s="378">
        <f t="shared" si="87"/>
        <v>2358565</v>
      </c>
    </row>
    <row r="381" spans="2:18" s="336" customFormat="1" x14ac:dyDescent="0.2">
      <c r="C381" s="336" t="s">
        <v>1090</v>
      </c>
      <c r="E381" s="336" t="s">
        <v>10</v>
      </c>
      <c r="F381" s="380">
        <v>400000</v>
      </c>
      <c r="G381" s="380">
        <v>374635</v>
      </c>
      <c r="H381" s="380">
        <v>392434</v>
      </c>
      <c r="I381" s="380">
        <v>373808</v>
      </c>
      <c r="J381" s="380">
        <v>339785</v>
      </c>
      <c r="K381" s="380">
        <v>310346</v>
      </c>
      <c r="L381" s="380">
        <v>286477</v>
      </c>
      <c r="M381" s="380">
        <v>268194</v>
      </c>
      <c r="N381" s="380">
        <v>291399</v>
      </c>
      <c r="O381" s="380">
        <v>340058</v>
      </c>
      <c r="P381" s="380">
        <v>390038</v>
      </c>
      <c r="Q381" s="380">
        <v>385191</v>
      </c>
      <c r="R381" s="378">
        <f t="shared" si="87"/>
        <v>4152365</v>
      </c>
    </row>
    <row r="382" spans="2:18" s="336" customFormat="1" x14ac:dyDescent="0.2">
      <c r="C382" s="336" t="s">
        <v>1091</v>
      </c>
      <c r="E382" s="336" t="s">
        <v>10</v>
      </c>
      <c r="F382" s="380">
        <v>602411</v>
      </c>
      <c r="G382" s="380">
        <v>518545</v>
      </c>
      <c r="H382" s="380">
        <v>546752</v>
      </c>
      <c r="I382" s="380">
        <v>493433</v>
      </c>
      <c r="J382" s="380">
        <v>443750</v>
      </c>
      <c r="K382" s="380">
        <v>333966</v>
      </c>
      <c r="L382" s="380">
        <v>253590</v>
      </c>
      <c r="M382" s="380">
        <v>224223</v>
      </c>
      <c r="N382" s="380">
        <v>241817</v>
      </c>
      <c r="O382" s="380">
        <v>455596</v>
      </c>
      <c r="P382" s="380">
        <v>566933</v>
      </c>
      <c r="Q382" s="380">
        <v>615230</v>
      </c>
      <c r="R382" s="378">
        <f t="shared" si="87"/>
        <v>5296246</v>
      </c>
    </row>
    <row r="383" spans="2:18" s="336" customFormat="1" x14ac:dyDescent="0.2">
      <c r="C383" s="336" t="s">
        <v>1092</v>
      </c>
      <c r="E383" s="336" t="s">
        <v>10</v>
      </c>
      <c r="F383" s="380">
        <v>492049</v>
      </c>
      <c r="G383" s="380">
        <v>410145</v>
      </c>
      <c r="H383" s="380">
        <v>431231</v>
      </c>
      <c r="I383" s="380">
        <v>374849</v>
      </c>
      <c r="J383" s="380">
        <v>327086</v>
      </c>
      <c r="K383" s="380">
        <v>300000</v>
      </c>
      <c r="L383" s="380">
        <v>300000</v>
      </c>
      <c r="M383" s="380">
        <v>300000</v>
      </c>
      <c r="N383" s="380">
        <v>300000</v>
      </c>
      <c r="O383" s="380">
        <v>310252</v>
      </c>
      <c r="P383" s="380">
        <v>485655</v>
      </c>
      <c r="Q383" s="380">
        <v>573924</v>
      </c>
      <c r="R383" s="378">
        <f t="shared" si="87"/>
        <v>4605191</v>
      </c>
    </row>
    <row r="384" spans="2:18" s="336" customFormat="1" x14ac:dyDescent="0.2">
      <c r="C384" s="336" t="s">
        <v>1093</v>
      </c>
      <c r="E384" s="336" t="s">
        <v>10</v>
      </c>
      <c r="F384" s="378">
        <f t="shared" ref="F384:N384" si="88">F385-SUM(F379:F383)</f>
        <v>1097684</v>
      </c>
      <c r="G384" s="378">
        <f t="shared" si="88"/>
        <v>933206</v>
      </c>
      <c r="H384" s="378">
        <f t="shared" si="88"/>
        <v>999161</v>
      </c>
      <c r="I384" s="378">
        <f t="shared" si="88"/>
        <v>837145</v>
      </c>
      <c r="J384" s="378">
        <f t="shared" si="88"/>
        <v>745732</v>
      </c>
      <c r="K384" s="378">
        <f t="shared" si="88"/>
        <v>532592</v>
      </c>
      <c r="L384" s="378">
        <f t="shared" si="88"/>
        <v>338959</v>
      </c>
      <c r="M384" s="378">
        <f t="shared" si="88"/>
        <v>246873</v>
      </c>
      <c r="N384" s="378">
        <f t="shared" si="88"/>
        <v>304576</v>
      </c>
      <c r="O384" s="378">
        <f>O385-SUM(O379:O383)</f>
        <v>636811</v>
      </c>
      <c r="P384" s="378">
        <f>P385-SUM(P379:P383)</f>
        <v>964890</v>
      </c>
      <c r="Q384" s="378">
        <f>Q385-SUM(Q379:Q383)</f>
        <v>1281536</v>
      </c>
      <c r="R384" s="378">
        <f t="shared" si="87"/>
        <v>8919165</v>
      </c>
    </row>
    <row r="385" spans="1:18" s="336" customFormat="1" x14ac:dyDescent="0.2">
      <c r="C385" s="336" t="s">
        <v>1075</v>
      </c>
      <c r="E385" s="336" t="s">
        <v>10</v>
      </c>
      <c r="F385" s="445">
        <f>'JKP-3.1c - Therms Data'!E77</f>
        <v>2992144</v>
      </c>
      <c r="G385" s="445">
        <f>'JKP-3.1c - Therms Data'!F77</f>
        <v>2636531</v>
      </c>
      <c r="H385" s="445">
        <f>'JKP-3.1c - Therms Data'!G77</f>
        <v>2769578</v>
      </c>
      <c r="I385" s="445">
        <f>'JKP-3.1c - Therms Data'!H77</f>
        <v>2479235</v>
      </c>
      <c r="J385" s="445">
        <f>'JKP-3.1c - Therms Data'!I77</f>
        <v>2256353</v>
      </c>
      <c r="K385" s="445">
        <f>'JKP-3.1c - Therms Data'!J77</f>
        <v>1872603</v>
      </c>
      <c r="L385" s="445">
        <f>'JKP-3.1c - Therms Data'!K77</f>
        <v>1565592</v>
      </c>
      <c r="M385" s="445">
        <f>'JKP-3.1c - Therms Data'!L77</f>
        <v>1423850</v>
      </c>
      <c r="N385" s="445">
        <f>'JKP-3.1c - Therms Data'!M77</f>
        <v>1529532</v>
      </c>
      <c r="O385" s="445">
        <f>'JKP-3.1c - Therms Data'!N77</f>
        <v>2142717</v>
      </c>
      <c r="P385" s="445">
        <f>'JKP-3.1c - Therms Data'!O77</f>
        <v>2807516</v>
      </c>
      <c r="Q385" s="445">
        <f>'JKP-3.1c - Therms Data'!P77</f>
        <v>3255881</v>
      </c>
      <c r="R385" s="436">
        <f>SUM(R379:R384)</f>
        <v>27731532</v>
      </c>
    </row>
    <row r="386" spans="1:18" s="336" customFormat="1" x14ac:dyDescent="0.2">
      <c r="B386" s="336" t="s">
        <v>74</v>
      </c>
      <c r="E386" s="336" t="s">
        <v>1076</v>
      </c>
      <c r="F386" s="421">
        <f>'JKP-3.1c - Data'!C173</f>
        <v>532</v>
      </c>
      <c r="G386" s="421">
        <f>'JKP-3.1c - Data'!D173</f>
        <v>532</v>
      </c>
      <c r="H386" s="421">
        <f>'JKP-3.1c - Data'!E173</f>
        <v>532</v>
      </c>
      <c r="I386" s="421">
        <f>'JKP-3.1c - Data'!F173</f>
        <v>532</v>
      </c>
      <c r="J386" s="421">
        <f>'JKP-3.1c - Data'!G173</f>
        <v>532</v>
      </c>
      <c r="K386" s="421">
        <f>'JKP-3.1c - Data'!H173</f>
        <v>532</v>
      </c>
      <c r="L386" s="421">
        <f>'JKP-3.1c - Data'!I173</f>
        <v>532</v>
      </c>
      <c r="M386" s="421">
        <f>'JKP-3.1c - Data'!J173</f>
        <v>532</v>
      </c>
      <c r="N386" s="421">
        <f>'JKP-3.1c - Data'!K173</f>
        <v>532</v>
      </c>
      <c r="O386" s="421">
        <f>'JKP-3.1c - Data'!L173</f>
        <v>532</v>
      </c>
      <c r="P386" s="421">
        <f>'JKP-3.1c - Data'!M173</f>
        <v>532</v>
      </c>
      <c r="Q386" s="421">
        <f>'JKP-3.1c - Data'!N173</f>
        <v>532</v>
      </c>
      <c r="R386" s="378">
        <f>SUM(F386:Q386)</f>
        <v>6384</v>
      </c>
    </row>
    <row r="387" spans="1:18" s="336" customFormat="1" x14ac:dyDescent="0.2">
      <c r="B387" s="336" t="s">
        <v>1071</v>
      </c>
      <c r="F387" s="380"/>
      <c r="G387" s="380"/>
      <c r="H387" s="380"/>
      <c r="I387" s="380"/>
      <c r="J387" s="380"/>
      <c r="K387" s="380"/>
      <c r="L387" s="380"/>
      <c r="M387" s="380"/>
      <c r="N387" s="380"/>
      <c r="O387" s="380"/>
      <c r="P387" s="380"/>
      <c r="Q387" s="380"/>
      <c r="R387" s="378"/>
    </row>
    <row r="388" spans="1:18" s="336" customFormat="1" x14ac:dyDescent="0.2">
      <c r="R388" s="179"/>
    </row>
    <row r="389" spans="1:18" s="336" customFormat="1" x14ac:dyDescent="0.2">
      <c r="B389" s="182" t="s">
        <v>985</v>
      </c>
      <c r="R389" s="179"/>
    </row>
    <row r="390" spans="1:18" s="336" customFormat="1" x14ac:dyDescent="0.2">
      <c r="A390" s="336" t="s">
        <v>1054</v>
      </c>
      <c r="B390" s="336" t="s">
        <v>1059</v>
      </c>
      <c r="D390" s="336">
        <v>85</v>
      </c>
      <c r="F390" s="418">
        <f t="shared" ref="F390:Q390" si="89">F359*F377</f>
        <v>4296.96</v>
      </c>
      <c r="G390" s="418">
        <f t="shared" si="89"/>
        <v>4296.96</v>
      </c>
      <c r="H390" s="418">
        <f t="shared" si="89"/>
        <v>4296.96</v>
      </c>
      <c r="I390" s="418">
        <f t="shared" si="89"/>
        <v>4359.28</v>
      </c>
      <c r="J390" s="418">
        <f t="shared" si="89"/>
        <v>4359.28</v>
      </c>
      <c r="K390" s="418">
        <f t="shared" si="89"/>
        <v>4359.28</v>
      </c>
      <c r="L390" s="418">
        <f t="shared" si="89"/>
        <v>4359.28</v>
      </c>
      <c r="M390" s="418">
        <f t="shared" si="89"/>
        <v>4359.28</v>
      </c>
      <c r="N390" s="418">
        <f t="shared" si="89"/>
        <v>4359.28</v>
      </c>
      <c r="O390" s="418">
        <f t="shared" si="89"/>
        <v>4359.28</v>
      </c>
      <c r="P390" s="418">
        <f t="shared" si="89"/>
        <v>4359.28</v>
      </c>
      <c r="Q390" s="418">
        <f t="shared" si="89"/>
        <v>4359.28</v>
      </c>
      <c r="R390" s="437">
        <f>SUM(F390:Q390)</f>
        <v>52124.399999999994</v>
      </c>
    </row>
    <row r="391" spans="1:18" s="336" customFormat="1" x14ac:dyDescent="0.2">
      <c r="B391" s="336" t="s">
        <v>1047</v>
      </c>
      <c r="F391" s="418"/>
      <c r="G391" s="418"/>
      <c r="H391" s="418"/>
      <c r="I391" s="418"/>
      <c r="J391" s="418"/>
      <c r="K391" s="418"/>
      <c r="L391" s="418"/>
      <c r="M391" s="418"/>
      <c r="N391" s="418"/>
      <c r="O391" s="418"/>
      <c r="P391" s="418"/>
      <c r="Q391" s="418"/>
      <c r="R391" s="437"/>
    </row>
    <row r="392" spans="1:18" s="336" customFormat="1" x14ac:dyDescent="0.2">
      <c r="C392" s="336" t="s">
        <v>1086</v>
      </c>
      <c r="D392" s="336">
        <v>87</v>
      </c>
      <c r="F392" s="418">
        <f t="shared" ref="F392:Q397" si="90">F361*F379</f>
        <v>27236</v>
      </c>
      <c r="G392" s="418">
        <f t="shared" si="90"/>
        <v>27236</v>
      </c>
      <c r="H392" s="418">
        <f t="shared" si="90"/>
        <v>27236</v>
      </c>
      <c r="I392" s="418">
        <f t="shared" si="90"/>
        <v>27630</v>
      </c>
      <c r="J392" s="418">
        <f t="shared" si="90"/>
        <v>27630</v>
      </c>
      <c r="K392" s="418">
        <f t="shared" si="90"/>
        <v>27630</v>
      </c>
      <c r="L392" s="418">
        <f t="shared" si="90"/>
        <v>27630</v>
      </c>
      <c r="M392" s="418">
        <f t="shared" si="90"/>
        <v>27630</v>
      </c>
      <c r="N392" s="418">
        <f t="shared" si="90"/>
        <v>27630</v>
      </c>
      <c r="O392" s="418">
        <f t="shared" si="90"/>
        <v>27630</v>
      </c>
      <c r="P392" s="418">
        <f t="shared" si="90"/>
        <v>27630</v>
      </c>
      <c r="Q392" s="418">
        <f t="shared" si="90"/>
        <v>27630</v>
      </c>
      <c r="R392" s="437">
        <f t="shared" ref="R392:R397" si="91">SUM(F392:Q392)</f>
        <v>330378</v>
      </c>
    </row>
    <row r="393" spans="1:18" s="336" customFormat="1" x14ac:dyDescent="0.2">
      <c r="C393" s="336" t="s">
        <v>1087</v>
      </c>
      <c r="D393" s="336">
        <v>87</v>
      </c>
      <c r="F393" s="418">
        <f t="shared" si="90"/>
        <v>16628</v>
      </c>
      <c r="G393" s="418">
        <f t="shared" si="90"/>
        <v>16628</v>
      </c>
      <c r="H393" s="418">
        <f t="shared" si="90"/>
        <v>16628</v>
      </c>
      <c r="I393" s="418">
        <f t="shared" si="90"/>
        <v>16870</v>
      </c>
      <c r="J393" s="418">
        <f t="shared" si="90"/>
        <v>16870</v>
      </c>
      <c r="K393" s="418">
        <f t="shared" si="90"/>
        <v>16507.210649999997</v>
      </c>
      <c r="L393" s="418">
        <f t="shared" si="90"/>
        <v>15736.8421</v>
      </c>
      <c r="M393" s="418">
        <f t="shared" si="90"/>
        <v>15567.635999999999</v>
      </c>
      <c r="N393" s="418">
        <f t="shared" si="90"/>
        <v>16173.268999999998</v>
      </c>
      <c r="O393" s="418">
        <f t="shared" si="90"/>
        <v>16870</v>
      </c>
      <c r="P393" s="418">
        <f t="shared" si="90"/>
        <v>16870</v>
      </c>
      <c r="Q393" s="418">
        <f t="shared" si="90"/>
        <v>16870</v>
      </c>
      <c r="R393" s="437">
        <f t="shared" si="91"/>
        <v>198218.95774999997</v>
      </c>
    </row>
    <row r="394" spans="1:18" s="336" customFormat="1" x14ac:dyDescent="0.2">
      <c r="C394" s="336" t="s">
        <v>1090</v>
      </c>
      <c r="D394" s="336">
        <v>87</v>
      </c>
      <c r="F394" s="418">
        <f t="shared" si="90"/>
        <v>21472</v>
      </c>
      <c r="G394" s="418">
        <f t="shared" si="90"/>
        <v>20110.406800000001</v>
      </c>
      <c r="H394" s="418">
        <f t="shared" si="90"/>
        <v>21065.857120000001</v>
      </c>
      <c r="I394" s="418">
        <f t="shared" si="90"/>
        <v>20357.58368</v>
      </c>
      <c r="J394" s="418">
        <f t="shared" si="90"/>
        <v>18504.6911</v>
      </c>
      <c r="K394" s="418">
        <f t="shared" si="90"/>
        <v>16901.443159999999</v>
      </c>
      <c r="L394" s="418">
        <f t="shared" si="90"/>
        <v>15601.537420000001</v>
      </c>
      <c r="M394" s="418">
        <f t="shared" si="90"/>
        <v>14605.845240000001</v>
      </c>
      <c r="N394" s="418">
        <f t="shared" si="90"/>
        <v>15869.589540000001</v>
      </c>
      <c r="O394" s="418">
        <f t="shared" si="90"/>
        <v>18519.558680000002</v>
      </c>
      <c r="P394" s="418">
        <f t="shared" si="90"/>
        <v>21241.46948</v>
      </c>
      <c r="Q394" s="418">
        <f t="shared" si="90"/>
        <v>20977.50186</v>
      </c>
      <c r="R394" s="437">
        <f t="shared" si="91"/>
        <v>225227.48407999997</v>
      </c>
    </row>
    <row r="395" spans="1:18" x14ac:dyDescent="0.2">
      <c r="C395" s="32" t="s">
        <v>1091</v>
      </c>
      <c r="D395" s="32">
        <v>87</v>
      </c>
      <c r="F395" s="364">
        <f t="shared" si="90"/>
        <v>21198.843089999998</v>
      </c>
      <c r="G395" s="364">
        <f t="shared" si="90"/>
        <v>18247.598549999999</v>
      </c>
      <c r="H395" s="364">
        <f t="shared" si="90"/>
        <v>19240.202880000001</v>
      </c>
      <c r="I395" s="364">
        <f t="shared" si="90"/>
        <v>17615.558100000002</v>
      </c>
      <c r="J395" s="364">
        <f t="shared" si="90"/>
        <v>15841.875000000002</v>
      </c>
      <c r="K395" s="364">
        <f t="shared" si="90"/>
        <v>11922.586200000002</v>
      </c>
      <c r="L395" s="364">
        <f t="shared" si="90"/>
        <v>9053.1630000000005</v>
      </c>
      <c r="M395" s="364">
        <f t="shared" si="90"/>
        <v>8004.7611000000006</v>
      </c>
      <c r="N395" s="364">
        <f t="shared" si="90"/>
        <v>8632.8669000000009</v>
      </c>
      <c r="O395" s="364">
        <f t="shared" si="90"/>
        <v>16264.7772</v>
      </c>
      <c r="P395" s="364">
        <f t="shared" si="90"/>
        <v>20239.508100000003</v>
      </c>
      <c r="Q395" s="364">
        <f t="shared" si="90"/>
        <v>21963.711000000003</v>
      </c>
      <c r="R395" s="341">
        <f t="shared" si="91"/>
        <v>188225.45112000004</v>
      </c>
    </row>
    <row r="396" spans="1:18" x14ac:dyDescent="0.2">
      <c r="C396" s="32" t="s">
        <v>1092</v>
      </c>
      <c r="D396" s="32">
        <v>87</v>
      </c>
      <c r="F396" s="364">
        <f t="shared" si="90"/>
        <v>12753.91008</v>
      </c>
      <c r="G396" s="364">
        <f t="shared" si="90"/>
        <v>10630.9584</v>
      </c>
      <c r="H396" s="364">
        <f t="shared" si="90"/>
        <v>11177.507519999999</v>
      </c>
      <c r="I396" s="364">
        <f t="shared" si="90"/>
        <v>9858.5287000000008</v>
      </c>
      <c r="J396" s="364">
        <f t="shared" si="90"/>
        <v>8602.3618000000006</v>
      </c>
      <c r="K396" s="364">
        <f t="shared" si="90"/>
        <v>7890</v>
      </c>
      <c r="L396" s="364">
        <f t="shared" si="90"/>
        <v>7890</v>
      </c>
      <c r="M396" s="364">
        <f t="shared" si="90"/>
        <v>7890</v>
      </c>
      <c r="N396" s="364">
        <f t="shared" si="90"/>
        <v>7890</v>
      </c>
      <c r="O396" s="364">
        <f t="shared" si="90"/>
        <v>8159.6275999999998</v>
      </c>
      <c r="P396" s="364">
        <f t="shared" si="90"/>
        <v>12772.726500000001</v>
      </c>
      <c r="Q396" s="364">
        <f t="shared" si="90"/>
        <v>15094.2012</v>
      </c>
      <c r="R396" s="341">
        <f t="shared" si="91"/>
        <v>120609.82180000001</v>
      </c>
    </row>
    <row r="397" spans="1:18" x14ac:dyDescent="0.2">
      <c r="C397" s="32" t="s">
        <v>1093</v>
      </c>
      <c r="D397" s="32">
        <v>87</v>
      </c>
      <c r="F397" s="364">
        <f t="shared" si="90"/>
        <v>22469.591479999999</v>
      </c>
      <c r="G397" s="364">
        <f t="shared" si="90"/>
        <v>19102.72682</v>
      </c>
      <c r="H397" s="364">
        <f t="shared" si="90"/>
        <v>20452.825669999998</v>
      </c>
      <c r="I397" s="364">
        <f t="shared" si="90"/>
        <v>17387.501650000002</v>
      </c>
      <c r="J397" s="364">
        <f t="shared" si="90"/>
        <v>15488.853639999999</v>
      </c>
      <c r="K397" s="364">
        <f t="shared" si="90"/>
        <v>11061.93584</v>
      </c>
      <c r="L397" s="364">
        <f t="shared" si="90"/>
        <v>7040.1784299999999</v>
      </c>
      <c r="M397" s="364">
        <f t="shared" si="90"/>
        <v>5127.5522099999998</v>
      </c>
      <c r="N397" s="364">
        <f t="shared" si="90"/>
        <v>6326.0435200000002</v>
      </c>
      <c r="O397" s="364">
        <f t="shared" si="90"/>
        <v>13226.564469999999</v>
      </c>
      <c r="P397" s="364">
        <f t="shared" si="90"/>
        <v>20040.765299999999</v>
      </c>
      <c r="Q397" s="364">
        <f t="shared" si="90"/>
        <v>26617.50272</v>
      </c>
      <c r="R397" s="341">
        <f t="shared" si="91"/>
        <v>184342.04175</v>
      </c>
    </row>
    <row r="398" spans="1:18" x14ac:dyDescent="0.2">
      <c r="A398" s="32" t="s">
        <v>1054</v>
      </c>
      <c r="C398" s="32" t="s">
        <v>1077</v>
      </c>
      <c r="F398" s="365">
        <f t="shared" ref="F398:N398" si="92">SUM(F392:F397)</f>
        <v>121758.34465</v>
      </c>
      <c r="G398" s="365">
        <f t="shared" si="92"/>
        <v>111955.69056999999</v>
      </c>
      <c r="H398" s="365">
        <f t="shared" si="92"/>
        <v>115800.39319</v>
      </c>
      <c r="I398" s="365">
        <f t="shared" si="92"/>
        <v>109719.17213000001</v>
      </c>
      <c r="J398" s="365">
        <f t="shared" si="92"/>
        <v>102937.78154</v>
      </c>
      <c r="K398" s="365">
        <f t="shared" si="92"/>
        <v>91913.17585</v>
      </c>
      <c r="L398" s="365">
        <f t="shared" si="92"/>
        <v>82951.720950000003</v>
      </c>
      <c r="M398" s="365">
        <f t="shared" si="92"/>
        <v>78825.794549999991</v>
      </c>
      <c r="N398" s="365">
        <f t="shared" si="92"/>
        <v>82521.768960000016</v>
      </c>
      <c r="O398" s="365">
        <f>SUM(O392:O397)</f>
        <v>100670.52795</v>
      </c>
      <c r="P398" s="365">
        <f>SUM(P392:P397)</f>
        <v>118794.46938000001</v>
      </c>
      <c r="Q398" s="365">
        <f>SUM(Q392:Q397)</f>
        <v>129152.91678</v>
      </c>
      <c r="R398" s="365">
        <f>SUM(R392:R397)</f>
        <v>1247001.7565000001</v>
      </c>
    </row>
    <row r="399" spans="1:18" x14ac:dyDescent="0.2">
      <c r="A399" s="336" t="s">
        <v>1056</v>
      </c>
      <c r="B399" s="32" t="s">
        <v>1057</v>
      </c>
      <c r="D399" s="32">
        <v>101</v>
      </c>
      <c r="F399" s="364">
        <f t="shared" ref="F399:N399" si="93">F367*F385</f>
        <v>2090281.87696</v>
      </c>
      <c r="G399" s="364">
        <f t="shared" si="93"/>
        <v>1841854.1912900002</v>
      </c>
      <c r="H399" s="364">
        <f t="shared" si="93"/>
        <v>1934799.49502</v>
      </c>
      <c r="I399" s="364">
        <f t="shared" si="93"/>
        <v>1731968.7786500002</v>
      </c>
      <c r="J399" s="364">
        <f t="shared" si="93"/>
        <v>1576265.6422700002</v>
      </c>
      <c r="K399" s="364">
        <f t="shared" si="93"/>
        <v>1308181.7297700001</v>
      </c>
      <c r="L399" s="364">
        <f t="shared" si="93"/>
        <v>1093706.9152800001</v>
      </c>
      <c r="M399" s="418">
        <f t="shared" si="93"/>
        <v>994687.37150000001</v>
      </c>
      <c r="N399" s="364">
        <f t="shared" si="93"/>
        <v>1068515.75988</v>
      </c>
      <c r="O399" s="364">
        <f>O367*O385</f>
        <v>1496880.66903</v>
      </c>
      <c r="P399" s="364">
        <f>P367*P385</f>
        <v>1851584.8771600001</v>
      </c>
      <c r="Q399" s="364">
        <f>Q367*Q385</f>
        <v>2147286.0783100002</v>
      </c>
      <c r="R399" s="341">
        <f>SUM(F399:Q399)</f>
        <v>19136013.385120004</v>
      </c>
    </row>
    <row r="400" spans="1:18" x14ac:dyDescent="0.2">
      <c r="A400" s="32" t="s">
        <v>1054</v>
      </c>
      <c r="B400" s="32" t="s">
        <v>1096</v>
      </c>
      <c r="D400" s="444">
        <v>87</v>
      </c>
      <c r="F400" s="365">
        <f t="shared" ref="F400:N400" si="94">F368*F385</f>
        <v>14960.720000000001</v>
      </c>
      <c r="G400" s="365">
        <f t="shared" si="94"/>
        <v>13182.655000000001</v>
      </c>
      <c r="H400" s="365">
        <f t="shared" si="94"/>
        <v>13847.89</v>
      </c>
      <c r="I400" s="365">
        <f t="shared" si="94"/>
        <v>12569.721449999999</v>
      </c>
      <c r="J400" s="365">
        <f t="shared" si="94"/>
        <v>11439.709709999999</v>
      </c>
      <c r="K400" s="365">
        <f t="shared" si="94"/>
        <v>9494.0972099999999</v>
      </c>
      <c r="L400" s="365">
        <f t="shared" si="94"/>
        <v>7937.5514400000002</v>
      </c>
      <c r="M400" s="365">
        <f t="shared" si="94"/>
        <v>7218.9195</v>
      </c>
      <c r="N400" s="365">
        <f t="shared" si="94"/>
        <v>7754.7272400000002</v>
      </c>
      <c r="O400" s="365">
        <f>O368*O385</f>
        <v>10863.57519</v>
      </c>
      <c r="P400" s="365">
        <f>P368*P385</f>
        <v>14234.10612</v>
      </c>
      <c r="Q400" s="365">
        <f>Q368*Q385</f>
        <v>16507.31667</v>
      </c>
      <c r="R400" s="342">
        <f>SUM(F400:Q400)</f>
        <v>140010.98953000002</v>
      </c>
    </row>
    <row r="401" spans="1:18" x14ac:dyDescent="0.2">
      <c r="B401" s="32" t="s">
        <v>1068</v>
      </c>
      <c r="F401" s="364"/>
      <c r="G401" s="364"/>
      <c r="H401" s="364"/>
      <c r="I401" s="364"/>
      <c r="J401" s="364"/>
      <c r="K401" s="364"/>
      <c r="L401" s="364"/>
      <c r="M401" s="364"/>
      <c r="N401" s="364"/>
      <c r="O401" s="364"/>
      <c r="P401" s="364"/>
      <c r="Q401" s="364"/>
      <c r="R401" s="341"/>
    </row>
    <row r="402" spans="1:18" x14ac:dyDescent="0.2">
      <c r="A402" s="32" t="s">
        <v>1054</v>
      </c>
      <c r="C402" s="32" t="s">
        <v>1069</v>
      </c>
      <c r="D402" s="444">
        <v>87</v>
      </c>
      <c r="F402" s="364">
        <f t="shared" ref="F402:N402" si="95">F370*F386</f>
        <v>585.20000000000005</v>
      </c>
      <c r="G402" s="364">
        <f t="shared" si="95"/>
        <v>585.20000000000005</v>
      </c>
      <c r="H402" s="364">
        <f t="shared" si="95"/>
        <v>585.20000000000005</v>
      </c>
      <c r="I402" s="364">
        <f t="shared" si="95"/>
        <v>590.5200000000001</v>
      </c>
      <c r="J402" s="364">
        <f t="shared" si="95"/>
        <v>590.5200000000001</v>
      </c>
      <c r="K402" s="364">
        <f t="shared" si="95"/>
        <v>590.5200000000001</v>
      </c>
      <c r="L402" s="364">
        <f t="shared" si="95"/>
        <v>590.5200000000001</v>
      </c>
      <c r="M402" s="364">
        <f t="shared" si="95"/>
        <v>590.5200000000001</v>
      </c>
      <c r="N402" s="364">
        <f t="shared" si="95"/>
        <v>590.5200000000001</v>
      </c>
      <c r="O402" s="364">
        <f>O370*O386</f>
        <v>590.5200000000001</v>
      </c>
      <c r="P402" s="364">
        <f>P370*P386</f>
        <v>590.5200000000001</v>
      </c>
      <c r="Q402" s="364">
        <f>Q370*Q386</f>
        <v>590.5200000000001</v>
      </c>
      <c r="R402" s="341">
        <f>SUM(F402:Q402)</f>
        <v>7070.2800000000025</v>
      </c>
    </row>
    <row r="403" spans="1:18" x14ac:dyDescent="0.2">
      <c r="A403" s="336" t="s">
        <v>1056</v>
      </c>
      <c r="C403" s="32" t="s">
        <v>1070</v>
      </c>
      <c r="D403" s="32">
        <v>101</v>
      </c>
      <c r="F403" s="364">
        <f t="shared" ref="F403:N403" si="96">F371*F386</f>
        <v>558.6</v>
      </c>
      <c r="G403" s="364">
        <f t="shared" si="96"/>
        <v>558.6</v>
      </c>
      <c r="H403" s="364">
        <f t="shared" si="96"/>
        <v>558.6</v>
      </c>
      <c r="I403" s="364">
        <f t="shared" si="96"/>
        <v>558.6</v>
      </c>
      <c r="J403" s="364">
        <f t="shared" si="96"/>
        <v>558.6</v>
      </c>
      <c r="K403" s="364">
        <f t="shared" si="96"/>
        <v>558.6</v>
      </c>
      <c r="L403" s="364">
        <f t="shared" si="96"/>
        <v>558.6</v>
      </c>
      <c r="M403" s="418">
        <f t="shared" si="96"/>
        <v>558.6</v>
      </c>
      <c r="N403" s="364">
        <f t="shared" si="96"/>
        <v>558.6</v>
      </c>
      <c r="O403" s="364">
        <f>O371*O386</f>
        <v>558.6</v>
      </c>
      <c r="P403" s="364">
        <f>P371*P386</f>
        <v>558.6</v>
      </c>
      <c r="Q403" s="364">
        <f>Q371*Q386</f>
        <v>558.6</v>
      </c>
      <c r="R403" s="341">
        <f>SUM(F403:Q403)</f>
        <v>6703.2000000000016</v>
      </c>
    </row>
    <row r="404" spans="1:18" s="336" customFormat="1" x14ac:dyDescent="0.2">
      <c r="C404" s="336" t="s">
        <v>1078</v>
      </c>
      <c r="F404" s="339">
        <f t="shared" ref="F404:N404" si="97">SUM(F402:F403)</f>
        <v>1143.8000000000002</v>
      </c>
      <c r="G404" s="339">
        <f t="shared" si="97"/>
        <v>1143.8000000000002</v>
      </c>
      <c r="H404" s="339">
        <f t="shared" si="97"/>
        <v>1143.8000000000002</v>
      </c>
      <c r="I404" s="339">
        <f t="shared" si="97"/>
        <v>1149.1200000000001</v>
      </c>
      <c r="J404" s="339">
        <f t="shared" si="97"/>
        <v>1149.1200000000001</v>
      </c>
      <c r="K404" s="339">
        <f t="shared" si="97"/>
        <v>1149.1200000000001</v>
      </c>
      <c r="L404" s="339">
        <f t="shared" si="97"/>
        <v>1149.1200000000001</v>
      </c>
      <c r="M404" s="339">
        <f t="shared" si="97"/>
        <v>1149.1200000000001</v>
      </c>
      <c r="N404" s="339">
        <f t="shared" si="97"/>
        <v>1149.1200000000001</v>
      </c>
      <c r="O404" s="339">
        <f>SUM(O402:O403)</f>
        <v>1149.1200000000001</v>
      </c>
      <c r="P404" s="339">
        <f>SUM(P402:P403)</f>
        <v>1149.1200000000001</v>
      </c>
      <c r="Q404" s="339">
        <f>SUM(Q402:Q403)</f>
        <v>1149.1200000000001</v>
      </c>
      <c r="R404" s="339">
        <f>SUM(R402:R403)</f>
        <v>13773.480000000003</v>
      </c>
    </row>
    <row r="405" spans="1:18" s="336" customFormat="1" x14ac:dyDescent="0.2">
      <c r="A405" s="336" t="s">
        <v>1054</v>
      </c>
      <c r="B405" s="336" t="s">
        <v>1071</v>
      </c>
      <c r="D405" s="382">
        <v>87</v>
      </c>
      <c r="F405" s="447">
        <f>'JKP-3.1c - Data'!C190</f>
        <v>0</v>
      </c>
      <c r="G405" s="447">
        <f>'JKP-3.1c - Data'!D190</f>
        <v>0</v>
      </c>
      <c r="H405" s="447">
        <f>'JKP-3.1c - Data'!E190</f>
        <v>0</v>
      </c>
      <c r="I405" s="447">
        <f>'JKP-3.1c - Data'!F190</f>
        <v>0</v>
      </c>
      <c r="J405" s="447">
        <f>'JKP-3.1c - Data'!G190</f>
        <v>0</v>
      </c>
      <c r="K405" s="447">
        <f>'JKP-3.1c - Data'!H190</f>
        <v>0</v>
      </c>
      <c r="L405" s="447">
        <f>'JKP-3.1c - Data'!I190</f>
        <v>0</v>
      </c>
      <c r="M405" s="447">
        <f>'JKP-3.1c - Data'!J190</f>
        <v>0</v>
      </c>
      <c r="N405" s="447">
        <f>'JKP-3.1c - Data'!K190</f>
        <v>0</v>
      </c>
      <c r="O405" s="447">
        <f>'JKP-3.1c - Data'!L190</f>
        <v>12706.11</v>
      </c>
      <c r="P405" s="447">
        <f>'JKP-3.1c - Data'!M190</f>
        <v>0</v>
      </c>
      <c r="Q405" s="447">
        <f>'JKP-3.1c - Data'!N190</f>
        <v>0</v>
      </c>
      <c r="R405" s="437">
        <f>SUM(F405:Q405)</f>
        <v>12706.11</v>
      </c>
    </row>
    <row r="406" spans="1:18" s="336" customFormat="1" x14ac:dyDescent="0.2">
      <c r="B406" s="336" t="s">
        <v>1079</v>
      </c>
      <c r="F406" s="339">
        <f t="shared" ref="F406:N406" si="98">F399+F403</f>
        <v>2090840.4769600001</v>
      </c>
      <c r="G406" s="339">
        <f t="shared" si="98"/>
        <v>1842412.7912900003</v>
      </c>
      <c r="H406" s="339">
        <f t="shared" si="98"/>
        <v>1935358.0950200001</v>
      </c>
      <c r="I406" s="339">
        <f t="shared" si="98"/>
        <v>1732527.3786500003</v>
      </c>
      <c r="J406" s="339">
        <f t="shared" si="98"/>
        <v>1576824.2422700003</v>
      </c>
      <c r="K406" s="339">
        <f t="shared" si="98"/>
        <v>1308740.3297700002</v>
      </c>
      <c r="L406" s="339">
        <f t="shared" si="98"/>
        <v>1094265.5152800002</v>
      </c>
      <c r="M406" s="339">
        <f t="shared" si="98"/>
        <v>995245.97149999999</v>
      </c>
      <c r="N406" s="339">
        <f t="shared" si="98"/>
        <v>1069074.3598800001</v>
      </c>
      <c r="O406" s="339">
        <f>O399+O403</f>
        <v>1497439.2690300001</v>
      </c>
      <c r="P406" s="339">
        <f>P399+P403</f>
        <v>1852143.4771600002</v>
      </c>
      <c r="Q406" s="339">
        <f>Q399+Q403</f>
        <v>2147844.6783100003</v>
      </c>
      <c r="R406" s="339">
        <f>R399+R403</f>
        <v>19142716.585120004</v>
      </c>
    </row>
    <row r="407" spans="1:18" s="336" customFormat="1" x14ac:dyDescent="0.2">
      <c r="B407" s="336" t="s">
        <v>986</v>
      </c>
      <c r="F407" s="339">
        <f t="shared" ref="F407:N407" si="99">F390+F398+F399+F400+F404+F405</f>
        <v>2232441.7016099999</v>
      </c>
      <c r="G407" s="339">
        <f t="shared" si="99"/>
        <v>1972433.2968600004</v>
      </c>
      <c r="H407" s="339">
        <f t="shared" si="99"/>
        <v>2069888.5382099999</v>
      </c>
      <c r="I407" s="339">
        <f t="shared" si="99"/>
        <v>1859766.0722300005</v>
      </c>
      <c r="J407" s="339">
        <f t="shared" si="99"/>
        <v>1696151.5335200003</v>
      </c>
      <c r="K407" s="339">
        <f t="shared" si="99"/>
        <v>1415097.4028300003</v>
      </c>
      <c r="L407" s="339">
        <f t="shared" si="99"/>
        <v>1190104.5876700003</v>
      </c>
      <c r="M407" s="339">
        <f t="shared" si="99"/>
        <v>1086240.4855500001</v>
      </c>
      <c r="N407" s="339">
        <f t="shared" si="99"/>
        <v>1164300.6560800001</v>
      </c>
      <c r="O407" s="339">
        <f>O390+O398+O399+O400+O404+O405</f>
        <v>1626629.2821700003</v>
      </c>
      <c r="P407" s="339">
        <f>P390+P398+P399+P400+P404+P405</f>
        <v>1990121.8526600001</v>
      </c>
      <c r="Q407" s="339">
        <f>Q390+Q398+Q399+Q400+Q404+Q405</f>
        <v>2298454.7117600003</v>
      </c>
      <c r="R407" s="339">
        <f>R390+R398+R399+R400+R404+R405</f>
        <v>20601630.121150006</v>
      </c>
    </row>
    <row r="408" spans="1:18" s="336" customFormat="1" x14ac:dyDescent="0.2">
      <c r="F408" s="418"/>
      <c r="G408" s="418"/>
      <c r="H408" s="418"/>
      <c r="I408" s="418"/>
      <c r="J408" s="418"/>
      <c r="K408" s="418"/>
      <c r="L408" s="418"/>
      <c r="M408" s="418"/>
      <c r="N408" s="418"/>
      <c r="O408" s="418"/>
      <c r="P408" s="418"/>
      <c r="Q408" s="418"/>
      <c r="R408" s="418"/>
    </row>
    <row r="409" spans="1:18" s="336" customFormat="1" x14ac:dyDescent="0.2">
      <c r="A409" s="336" t="s">
        <v>1058</v>
      </c>
      <c r="B409" s="336" t="s">
        <v>1050</v>
      </c>
      <c r="F409" s="418">
        <f>F373*F385+F386*F374</f>
        <v>2000540.8924800002</v>
      </c>
      <c r="G409" s="418">
        <f t="shared" ref="G409:Q409" si="100">G373*G385+G386*G374</f>
        <v>1762842.0510200001</v>
      </c>
      <c r="H409" s="418">
        <f t="shared" si="100"/>
        <v>1851773.3267600001</v>
      </c>
      <c r="I409" s="418">
        <f t="shared" si="100"/>
        <v>1657702.2587000001</v>
      </c>
      <c r="J409" s="418">
        <f t="shared" si="100"/>
        <v>1508723.47226</v>
      </c>
      <c r="K409" s="418">
        <f t="shared" si="100"/>
        <v>1252217.2972600001</v>
      </c>
      <c r="L409" s="418">
        <f t="shared" si="100"/>
        <v>1047005.0046400001</v>
      </c>
      <c r="M409" s="418">
        <f t="shared" si="100"/>
        <v>952261.81700000004</v>
      </c>
      <c r="N409" s="418">
        <f t="shared" si="100"/>
        <v>1022901.7794400001</v>
      </c>
      <c r="O409" s="418">
        <f t="shared" si="100"/>
        <v>1432766.89714</v>
      </c>
      <c r="P409" s="418">
        <f t="shared" si="100"/>
        <v>1772046.5208400001</v>
      </c>
      <c r="Q409" s="418">
        <f t="shared" si="100"/>
        <v>2054960.3521900002</v>
      </c>
      <c r="R409" s="418">
        <f>SUM(F409:Q409)</f>
        <v>18315741.66973</v>
      </c>
    </row>
    <row r="410" spans="1:18" s="336" customFormat="1" x14ac:dyDescent="0.2">
      <c r="F410" s="418"/>
      <c r="G410" s="418"/>
      <c r="H410" s="418"/>
      <c r="I410" s="418"/>
      <c r="J410" s="418"/>
      <c r="K410" s="418"/>
      <c r="L410" s="418"/>
      <c r="M410" s="418"/>
      <c r="N410" s="418"/>
      <c r="O410" s="418"/>
      <c r="P410" s="418"/>
      <c r="Q410" s="418"/>
      <c r="R410" s="418"/>
    </row>
    <row r="411" spans="1:18" x14ac:dyDescent="0.2">
      <c r="B411" s="276" t="s">
        <v>970</v>
      </c>
      <c r="C411" s="276"/>
    </row>
    <row r="412" spans="1:18" x14ac:dyDescent="0.2">
      <c r="B412" s="276" t="s">
        <v>5</v>
      </c>
      <c r="C412" s="276"/>
    </row>
    <row r="413" spans="1:18" x14ac:dyDescent="0.2">
      <c r="B413" s="32" t="s">
        <v>1059</v>
      </c>
      <c r="D413" s="32">
        <v>31</v>
      </c>
      <c r="E413" s="32" t="s">
        <v>976</v>
      </c>
      <c r="F413" s="413">
        <f t="shared" ref="F413:Q416" si="101">F85</f>
        <v>30</v>
      </c>
      <c r="G413" s="413">
        <f t="shared" si="101"/>
        <v>30</v>
      </c>
      <c r="H413" s="413">
        <f t="shared" si="101"/>
        <v>30</v>
      </c>
      <c r="I413" s="413">
        <f t="shared" si="101"/>
        <v>30.8</v>
      </c>
      <c r="J413" s="413">
        <f t="shared" si="101"/>
        <v>30.8</v>
      </c>
      <c r="K413" s="413">
        <f t="shared" si="101"/>
        <v>30.8</v>
      </c>
      <c r="L413" s="413">
        <f t="shared" si="101"/>
        <v>30.8</v>
      </c>
      <c r="M413" s="413">
        <f t="shared" si="101"/>
        <v>30.8</v>
      </c>
      <c r="N413" s="413">
        <f t="shared" si="101"/>
        <v>30.8</v>
      </c>
      <c r="O413" s="413">
        <f t="shared" si="101"/>
        <v>30.8</v>
      </c>
      <c r="P413" s="413">
        <f t="shared" si="101"/>
        <v>30.8</v>
      </c>
      <c r="Q413" s="413">
        <f t="shared" si="101"/>
        <v>30.8</v>
      </c>
      <c r="R413" s="439"/>
    </row>
    <row r="414" spans="1:18" x14ac:dyDescent="0.2">
      <c r="B414" s="32" t="s">
        <v>1047</v>
      </c>
      <c r="D414" s="32">
        <v>31</v>
      </c>
      <c r="E414" s="32" t="s">
        <v>957</v>
      </c>
      <c r="F414" s="393">
        <f t="shared" si="101"/>
        <v>0.29265999999999998</v>
      </c>
      <c r="G414" s="393">
        <f t="shared" si="101"/>
        <v>0.29265999999999998</v>
      </c>
      <c r="H414" s="393">
        <f t="shared" si="101"/>
        <v>0.29265999999999998</v>
      </c>
      <c r="I414" s="393">
        <f t="shared" si="101"/>
        <v>0.30047000000000001</v>
      </c>
      <c r="J414" s="393">
        <f t="shared" si="101"/>
        <v>0.30047000000000001</v>
      </c>
      <c r="K414" s="393">
        <f t="shared" si="101"/>
        <v>0.30047000000000001</v>
      </c>
      <c r="L414" s="393">
        <f t="shared" si="101"/>
        <v>0.30047000000000001</v>
      </c>
      <c r="M414" s="393">
        <f t="shared" si="101"/>
        <v>0.30047000000000001</v>
      </c>
      <c r="N414" s="393">
        <f t="shared" si="101"/>
        <v>0.30047000000000001</v>
      </c>
      <c r="O414" s="393">
        <f t="shared" si="101"/>
        <v>0.30047000000000001</v>
      </c>
      <c r="P414" s="393">
        <f t="shared" si="101"/>
        <v>0.30047000000000001</v>
      </c>
      <c r="Q414" s="393">
        <f t="shared" si="101"/>
        <v>0.30047000000000001</v>
      </c>
      <c r="R414" s="394"/>
    </row>
    <row r="415" spans="1:18" x14ac:dyDescent="0.2">
      <c r="B415" s="32" t="s">
        <v>1067</v>
      </c>
      <c r="D415" s="32">
        <v>101</v>
      </c>
      <c r="E415" s="32" t="s">
        <v>957</v>
      </c>
      <c r="F415" s="453">
        <f t="shared" si="101"/>
        <v>0.74761</v>
      </c>
      <c r="G415" s="453">
        <f t="shared" si="101"/>
        <v>0.74761</v>
      </c>
      <c r="H415" s="453">
        <f t="shared" si="101"/>
        <v>0.74761</v>
      </c>
      <c r="I415" s="453">
        <f t="shared" si="101"/>
        <v>0.74761</v>
      </c>
      <c r="J415" s="453">
        <f t="shared" si="101"/>
        <v>0.74761</v>
      </c>
      <c r="K415" s="453">
        <f t="shared" si="101"/>
        <v>0.74761</v>
      </c>
      <c r="L415" s="453">
        <f t="shared" si="101"/>
        <v>0.74761</v>
      </c>
      <c r="M415" s="453">
        <f t="shared" si="101"/>
        <v>0.74761</v>
      </c>
      <c r="N415" s="453">
        <f t="shared" si="101"/>
        <v>0.74761</v>
      </c>
      <c r="O415" s="453">
        <f t="shared" si="101"/>
        <v>0.74761</v>
      </c>
      <c r="P415" s="453">
        <f t="shared" si="101"/>
        <v>0.71392999999999995</v>
      </c>
      <c r="Q415" s="453">
        <f t="shared" si="101"/>
        <v>0.71392999999999995</v>
      </c>
      <c r="R415" s="394"/>
    </row>
    <row r="416" spans="1:18" x14ac:dyDescent="0.2">
      <c r="B416" s="32" t="s">
        <v>1050</v>
      </c>
      <c r="F416" s="453">
        <f>F88</f>
        <v>0.71531999999999996</v>
      </c>
      <c r="G416" s="453">
        <f t="shared" si="101"/>
        <v>0.71531999999999996</v>
      </c>
      <c r="H416" s="453">
        <f t="shared" si="101"/>
        <v>0.71531999999999996</v>
      </c>
      <c r="I416" s="453">
        <f t="shared" si="101"/>
        <v>0.71531999999999996</v>
      </c>
      <c r="J416" s="453">
        <f t="shared" si="101"/>
        <v>0.71531999999999996</v>
      </c>
      <c r="K416" s="453">
        <f t="shared" si="101"/>
        <v>0.71531999999999996</v>
      </c>
      <c r="L416" s="453">
        <f t="shared" si="101"/>
        <v>0.71531999999999996</v>
      </c>
      <c r="M416" s="453">
        <f t="shared" si="101"/>
        <v>0.71531999999999996</v>
      </c>
      <c r="N416" s="453">
        <f t="shared" si="101"/>
        <v>0.71531999999999996</v>
      </c>
      <c r="O416" s="453">
        <f t="shared" si="101"/>
        <v>0.71531999999999996</v>
      </c>
      <c r="P416" s="453">
        <f t="shared" si="101"/>
        <v>0.68306</v>
      </c>
      <c r="Q416" s="453">
        <f t="shared" si="101"/>
        <v>0.68306</v>
      </c>
      <c r="R416" s="394"/>
    </row>
    <row r="418" spans="1:18" x14ac:dyDescent="0.2">
      <c r="B418" s="276" t="s">
        <v>982</v>
      </c>
    </row>
    <row r="419" spans="1:18" x14ac:dyDescent="0.2">
      <c r="B419" s="32" t="s">
        <v>67</v>
      </c>
      <c r="E419" s="32" t="s">
        <v>67</v>
      </c>
      <c r="F419" s="397">
        <f>'JKP-3.1c - Data'!C140</f>
        <v>2456</v>
      </c>
      <c r="G419" s="397">
        <f>'JKP-3.1c - Data'!D140</f>
        <v>2452</v>
      </c>
      <c r="H419" s="397">
        <f>'JKP-3.1c - Data'!E140</f>
        <v>2438</v>
      </c>
      <c r="I419" s="397">
        <f>'JKP-3.1c - Data'!F140</f>
        <v>2426.02</v>
      </c>
      <c r="J419" s="397">
        <f>'JKP-3.1c - Data'!G140</f>
        <v>2428</v>
      </c>
      <c r="K419" s="397">
        <f>'JKP-3.1c - Data'!H140</f>
        <v>2444</v>
      </c>
      <c r="L419" s="397">
        <f>'JKP-3.1c - Data'!I140</f>
        <v>2423</v>
      </c>
      <c r="M419" s="397">
        <f>'JKP-3.1c - Data'!J140</f>
        <v>2413</v>
      </c>
      <c r="N419" s="397">
        <f>'JKP-3.1c - Data'!K140</f>
        <v>2412</v>
      </c>
      <c r="O419" s="397">
        <f>'JKP-3.1c - Data'!L140</f>
        <v>2421</v>
      </c>
      <c r="P419" s="397">
        <f>'JKP-3.1c - Data'!M140</f>
        <v>2419</v>
      </c>
      <c r="Q419" s="397">
        <f>'JKP-3.1c - Data'!N140</f>
        <v>2423</v>
      </c>
      <c r="R419" s="378">
        <f>SUM(F419:Q419)</f>
        <v>29155.02</v>
      </c>
    </row>
    <row r="420" spans="1:18" x14ac:dyDescent="0.2">
      <c r="B420" s="32" t="s">
        <v>76</v>
      </c>
      <c r="E420" s="32" t="s">
        <v>10</v>
      </c>
      <c r="F420" s="397">
        <f>'JKP-3.1c - Therms Data'!E86</f>
        <v>1862880</v>
      </c>
      <c r="G420" s="397">
        <f>'JKP-3.1c - Therms Data'!F86</f>
        <v>1530899</v>
      </c>
      <c r="H420" s="397">
        <f>'JKP-3.1c - Therms Data'!G86</f>
        <v>1488929</v>
      </c>
      <c r="I420" s="397">
        <f>'JKP-3.1c - Therms Data'!H86</f>
        <v>1169710</v>
      </c>
      <c r="J420" s="397">
        <f>'JKP-3.1c - Therms Data'!I86</f>
        <v>831580</v>
      </c>
      <c r="K420" s="397">
        <f>'JKP-3.1c - Therms Data'!J86</f>
        <v>572733</v>
      </c>
      <c r="L420" s="397">
        <f>'JKP-3.1c - Therms Data'!K86</f>
        <v>457633</v>
      </c>
      <c r="M420" s="397">
        <f>'JKP-3.1c - Therms Data'!L86</f>
        <v>450461</v>
      </c>
      <c r="N420" s="397">
        <f>'JKP-3.1c - Therms Data'!M86</f>
        <v>516301</v>
      </c>
      <c r="O420" s="397">
        <f>'JKP-3.1c - Therms Data'!N86</f>
        <v>875671</v>
      </c>
      <c r="P420" s="397">
        <f>'JKP-3.1c - Therms Data'!O86</f>
        <v>1570654</v>
      </c>
      <c r="Q420" s="397">
        <f>'JKP-3.1c - Therms Data'!P86</f>
        <v>2065921</v>
      </c>
      <c r="R420" s="378">
        <f>SUM(F420:Q420)</f>
        <v>13393372</v>
      </c>
    </row>
    <row r="421" spans="1:18" x14ac:dyDescent="0.2">
      <c r="R421" s="277"/>
    </row>
    <row r="422" spans="1:18" x14ac:dyDescent="0.2">
      <c r="B422" s="276" t="s">
        <v>985</v>
      </c>
      <c r="R422" s="277"/>
    </row>
    <row r="423" spans="1:18" x14ac:dyDescent="0.2">
      <c r="A423" s="32" t="s">
        <v>1054</v>
      </c>
      <c r="B423" s="32" t="s">
        <v>1059</v>
      </c>
      <c r="D423" s="32">
        <v>31</v>
      </c>
      <c r="F423" s="364">
        <f t="shared" ref="F423:Q424" si="102">F413*F419</f>
        <v>73680</v>
      </c>
      <c r="G423" s="364">
        <f t="shared" si="102"/>
        <v>73560</v>
      </c>
      <c r="H423" s="364">
        <f t="shared" si="102"/>
        <v>73140</v>
      </c>
      <c r="I423" s="364">
        <f t="shared" si="102"/>
        <v>74721.415999999997</v>
      </c>
      <c r="J423" s="364">
        <f t="shared" si="102"/>
        <v>74782.400000000009</v>
      </c>
      <c r="K423" s="364">
        <f t="shared" si="102"/>
        <v>75275.199999999997</v>
      </c>
      <c r="L423" s="364">
        <f t="shared" si="102"/>
        <v>74628.400000000009</v>
      </c>
      <c r="M423" s="364">
        <f t="shared" si="102"/>
        <v>74320.400000000009</v>
      </c>
      <c r="N423" s="364">
        <f t="shared" si="102"/>
        <v>74289.600000000006</v>
      </c>
      <c r="O423" s="364">
        <f t="shared" si="102"/>
        <v>74566.8</v>
      </c>
      <c r="P423" s="364">
        <f t="shared" si="102"/>
        <v>74505.2</v>
      </c>
      <c r="Q423" s="364">
        <f t="shared" si="102"/>
        <v>74628.400000000009</v>
      </c>
      <c r="R423" s="341">
        <f>SUM(F423:Q423)</f>
        <v>892097.81599999999</v>
      </c>
    </row>
    <row r="424" spans="1:18" x14ac:dyDescent="0.2">
      <c r="A424" s="32" t="s">
        <v>1054</v>
      </c>
      <c r="B424" s="32" t="s">
        <v>1047</v>
      </c>
      <c r="D424" s="32">
        <v>31</v>
      </c>
      <c r="F424" s="364">
        <f t="shared" si="102"/>
        <v>545190.4608</v>
      </c>
      <c r="G424" s="364">
        <f t="shared" si="102"/>
        <v>448032.90133999998</v>
      </c>
      <c r="H424" s="364">
        <f t="shared" si="102"/>
        <v>435749.96113999997</v>
      </c>
      <c r="I424" s="364">
        <f t="shared" si="102"/>
        <v>351462.76370000001</v>
      </c>
      <c r="J424" s="364">
        <f t="shared" si="102"/>
        <v>249864.8426</v>
      </c>
      <c r="K424" s="364">
        <f t="shared" si="102"/>
        <v>172089.08451000002</v>
      </c>
      <c r="L424" s="364">
        <f t="shared" si="102"/>
        <v>137504.98751000001</v>
      </c>
      <c r="M424" s="364">
        <f t="shared" si="102"/>
        <v>135350.01667000001</v>
      </c>
      <c r="N424" s="364">
        <f t="shared" si="102"/>
        <v>155132.96147000001</v>
      </c>
      <c r="O424" s="364">
        <f t="shared" si="102"/>
        <v>263112.86537000001</v>
      </c>
      <c r="P424" s="364">
        <f t="shared" si="102"/>
        <v>471934.40738000005</v>
      </c>
      <c r="Q424" s="364">
        <f t="shared" si="102"/>
        <v>620747.28287</v>
      </c>
      <c r="R424" s="341">
        <f>SUM(F424:Q424)</f>
        <v>3986172.5353600001</v>
      </c>
    </row>
    <row r="425" spans="1:18" x14ac:dyDescent="0.2">
      <c r="A425" s="336" t="s">
        <v>1056</v>
      </c>
      <c r="B425" s="32" t="s">
        <v>1057</v>
      </c>
      <c r="D425" s="32">
        <v>101</v>
      </c>
      <c r="F425" s="364">
        <f t="shared" ref="F425:N425" si="103">F415*F420</f>
        <v>1392707.7168000001</v>
      </c>
      <c r="G425" s="364">
        <f t="shared" si="103"/>
        <v>1144515.40139</v>
      </c>
      <c r="H425" s="364">
        <f t="shared" si="103"/>
        <v>1113138.2096899999</v>
      </c>
      <c r="I425" s="364">
        <f t="shared" si="103"/>
        <v>874486.89309999999</v>
      </c>
      <c r="J425" s="364">
        <f t="shared" si="103"/>
        <v>621697.52379999997</v>
      </c>
      <c r="K425" s="364">
        <f t="shared" si="103"/>
        <v>428180.91813000001</v>
      </c>
      <c r="L425" s="364">
        <f t="shared" si="103"/>
        <v>342131.00712999998</v>
      </c>
      <c r="M425" s="418">
        <f t="shared" si="103"/>
        <v>336769.14821000001</v>
      </c>
      <c r="N425" s="364">
        <f t="shared" si="103"/>
        <v>385991.79061000003</v>
      </c>
      <c r="O425" s="364">
        <f>O415*O420</f>
        <v>654660.39630999998</v>
      </c>
      <c r="P425" s="364">
        <f>P415*P420</f>
        <v>1121337.0102199998</v>
      </c>
      <c r="Q425" s="364">
        <f>Q415*Q420</f>
        <v>1474922.9795299999</v>
      </c>
      <c r="R425" s="341">
        <f>SUM(F425:Q425)</f>
        <v>9890538.9949199986</v>
      </c>
    </row>
    <row r="426" spans="1:18" x14ac:dyDescent="0.2">
      <c r="B426" s="32" t="s">
        <v>986</v>
      </c>
      <c r="F426" s="365">
        <f t="shared" ref="F426:N426" si="104">F423+F424+F425</f>
        <v>2011578.1776000001</v>
      </c>
      <c r="G426" s="365">
        <f t="shared" si="104"/>
        <v>1666108.3027300001</v>
      </c>
      <c r="H426" s="365">
        <f t="shared" si="104"/>
        <v>1622028.17083</v>
      </c>
      <c r="I426" s="365">
        <f t="shared" si="104"/>
        <v>1300671.0728</v>
      </c>
      <c r="J426" s="365">
        <f t="shared" si="104"/>
        <v>946344.76639999996</v>
      </c>
      <c r="K426" s="365">
        <f t="shared" si="104"/>
        <v>675545.20264000003</v>
      </c>
      <c r="L426" s="365">
        <f t="shared" si="104"/>
        <v>554264.39464000007</v>
      </c>
      <c r="M426" s="365">
        <f t="shared" si="104"/>
        <v>546439.56487999996</v>
      </c>
      <c r="N426" s="365">
        <f t="shared" si="104"/>
        <v>615414.3520800001</v>
      </c>
      <c r="O426" s="365">
        <f>O423+O424+O425</f>
        <v>992340.06168000004</v>
      </c>
      <c r="P426" s="365">
        <f>P423+P424+P425</f>
        <v>1667776.6176</v>
      </c>
      <c r="Q426" s="365">
        <f>Q423+Q424+Q425</f>
        <v>2170298.6623999998</v>
      </c>
      <c r="R426" s="365">
        <f>R423+R424+R425</f>
        <v>14768809.346279997</v>
      </c>
    </row>
    <row r="427" spans="1:18" x14ac:dyDescent="0.2">
      <c r="F427" s="364"/>
      <c r="G427" s="364"/>
      <c r="H427" s="364"/>
      <c r="I427" s="364"/>
      <c r="J427" s="364"/>
      <c r="K427" s="364"/>
      <c r="L427" s="364"/>
      <c r="M427" s="364"/>
      <c r="N427" s="364"/>
      <c r="O427" s="364"/>
      <c r="P427" s="364"/>
      <c r="Q427" s="364"/>
      <c r="R427" s="341"/>
    </row>
    <row r="428" spans="1:18" x14ac:dyDescent="0.2">
      <c r="A428" s="32" t="s">
        <v>1058</v>
      </c>
      <c r="B428" s="32" t="s">
        <v>1050</v>
      </c>
      <c r="F428" s="364">
        <f>F416*F420</f>
        <v>1332555.3215999999</v>
      </c>
      <c r="G428" s="364">
        <f t="shared" ref="G428:Q428" si="105">G416*G420</f>
        <v>1095082.6726799998</v>
      </c>
      <c r="H428" s="364">
        <f t="shared" si="105"/>
        <v>1065060.6922799998</v>
      </c>
      <c r="I428" s="364">
        <f t="shared" si="105"/>
        <v>836716.95719999995</v>
      </c>
      <c r="J428" s="364">
        <f t="shared" si="105"/>
        <v>594845.80559999996</v>
      </c>
      <c r="K428" s="364">
        <f t="shared" si="105"/>
        <v>409687.36955999996</v>
      </c>
      <c r="L428" s="364">
        <f t="shared" si="105"/>
        <v>327354.03755999997</v>
      </c>
      <c r="M428" s="364">
        <f t="shared" si="105"/>
        <v>322223.76251999999</v>
      </c>
      <c r="N428" s="364">
        <f t="shared" si="105"/>
        <v>369320.43131999997</v>
      </c>
      <c r="O428" s="364">
        <f t="shared" si="105"/>
        <v>626384.97971999994</v>
      </c>
      <c r="P428" s="364">
        <f t="shared" si="105"/>
        <v>1072850.9212400001</v>
      </c>
      <c r="Q428" s="364">
        <f t="shared" si="105"/>
        <v>1411147.99826</v>
      </c>
      <c r="R428" s="341">
        <f>SUM(F428:Q428)</f>
        <v>9463230.9495400004</v>
      </c>
    </row>
    <row r="429" spans="1:18" x14ac:dyDescent="0.2">
      <c r="F429" s="364"/>
      <c r="G429" s="364"/>
      <c r="H429" s="364"/>
      <c r="I429" s="364"/>
      <c r="J429" s="364"/>
      <c r="K429" s="364"/>
      <c r="L429" s="364"/>
      <c r="M429" s="364"/>
      <c r="N429" s="364"/>
      <c r="O429" s="364"/>
      <c r="P429" s="364"/>
      <c r="Q429" s="364"/>
      <c r="R429" s="341"/>
    </row>
    <row r="430" spans="1:18" x14ac:dyDescent="0.2">
      <c r="B430" s="276" t="s">
        <v>1101</v>
      </c>
      <c r="C430" s="276"/>
    </row>
    <row r="431" spans="1:18" x14ac:dyDescent="0.2">
      <c r="B431" s="276" t="s">
        <v>5</v>
      </c>
      <c r="C431" s="276"/>
    </row>
    <row r="432" spans="1:18" x14ac:dyDescent="0.2">
      <c r="B432" s="32" t="s">
        <v>1059</v>
      </c>
      <c r="D432" s="32">
        <v>41</v>
      </c>
      <c r="E432" s="32" t="s">
        <v>976</v>
      </c>
      <c r="F432" s="413">
        <f t="shared" ref="F432:N432" si="106">F104</f>
        <v>105</v>
      </c>
      <c r="G432" s="413">
        <f t="shared" si="106"/>
        <v>105</v>
      </c>
      <c r="H432" s="413">
        <f t="shared" si="106"/>
        <v>105</v>
      </c>
      <c r="I432" s="413">
        <f t="shared" si="106"/>
        <v>107.51</v>
      </c>
      <c r="J432" s="413">
        <f t="shared" si="106"/>
        <v>107.51</v>
      </c>
      <c r="K432" s="413">
        <f t="shared" si="106"/>
        <v>107.51</v>
      </c>
      <c r="L432" s="413">
        <f t="shared" si="106"/>
        <v>107.51</v>
      </c>
      <c r="M432" s="413">
        <f t="shared" si="106"/>
        <v>107.51</v>
      </c>
      <c r="N432" s="413">
        <f t="shared" si="106"/>
        <v>107.51</v>
      </c>
      <c r="O432" s="413">
        <f>O104</f>
        <v>107.51</v>
      </c>
      <c r="P432" s="413">
        <f>P104</f>
        <v>107.51</v>
      </c>
      <c r="Q432" s="413">
        <f>Q104</f>
        <v>107.51</v>
      </c>
      <c r="R432" s="439"/>
    </row>
    <row r="433" spans="2:18" x14ac:dyDescent="0.2">
      <c r="B433" s="32" t="s">
        <v>1047</v>
      </c>
      <c r="F433" s="393"/>
      <c r="G433" s="393"/>
      <c r="H433" s="393"/>
      <c r="I433" s="393"/>
      <c r="J433" s="393"/>
      <c r="K433" s="393"/>
      <c r="L433" s="393"/>
      <c r="M433" s="393"/>
      <c r="N433" s="393"/>
      <c r="O433" s="393"/>
      <c r="P433" s="393"/>
      <c r="Q433" s="393"/>
      <c r="R433" s="394"/>
    </row>
    <row r="434" spans="2:18" x14ac:dyDescent="0.2">
      <c r="C434" s="32" t="s">
        <v>1065</v>
      </c>
      <c r="D434" s="32">
        <v>41</v>
      </c>
      <c r="E434" s="32" t="s">
        <v>957</v>
      </c>
      <c r="F434" s="393">
        <f t="shared" ref="F434:Q436" si="107">F106</f>
        <v>0.13467000000000001</v>
      </c>
      <c r="G434" s="393">
        <f t="shared" si="107"/>
        <v>0.13467000000000001</v>
      </c>
      <c r="H434" s="393">
        <f t="shared" si="107"/>
        <v>0.13467000000000001</v>
      </c>
      <c r="I434" s="393">
        <f t="shared" si="107"/>
        <v>0.13789000000000001</v>
      </c>
      <c r="J434" s="393">
        <f t="shared" si="107"/>
        <v>0.13789000000000001</v>
      </c>
      <c r="K434" s="393">
        <f t="shared" si="107"/>
        <v>0.13789000000000001</v>
      </c>
      <c r="L434" s="393">
        <f t="shared" si="107"/>
        <v>0.13789000000000001</v>
      </c>
      <c r="M434" s="393">
        <f t="shared" si="107"/>
        <v>0.13789000000000001</v>
      </c>
      <c r="N434" s="393">
        <f t="shared" si="107"/>
        <v>0.13789000000000001</v>
      </c>
      <c r="O434" s="393">
        <f t="shared" si="107"/>
        <v>0.13789000000000001</v>
      </c>
      <c r="P434" s="393">
        <f t="shared" si="107"/>
        <v>0.13789000000000001</v>
      </c>
      <c r="Q434" s="393">
        <f t="shared" si="107"/>
        <v>0.13789000000000001</v>
      </c>
      <c r="R434" s="394"/>
    </row>
    <row r="435" spans="2:18" x14ac:dyDescent="0.2">
      <c r="C435" s="32" t="s">
        <v>1066</v>
      </c>
      <c r="D435" s="32">
        <v>41</v>
      </c>
      <c r="E435" s="32" t="s">
        <v>957</v>
      </c>
      <c r="F435" s="393">
        <f t="shared" si="107"/>
        <v>0.1099</v>
      </c>
      <c r="G435" s="393">
        <f t="shared" si="107"/>
        <v>0.1099</v>
      </c>
      <c r="H435" s="393">
        <f t="shared" si="107"/>
        <v>0.1099</v>
      </c>
      <c r="I435" s="393">
        <f t="shared" si="107"/>
        <v>0.11253000000000001</v>
      </c>
      <c r="J435" s="393">
        <f t="shared" si="107"/>
        <v>0.11253000000000001</v>
      </c>
      <c r="K435" s="393">
        <f t="shared" si="107"/>
        <v>0.11253000000000001</v>
      </c>
      <c r="L435" s="393">
        <f t="shared" si="107"/>
        <v>0.11253000000000001</v>
      </c>
      <c r="M435" s="393">
        <f t="shared" si="107"/>
        <v>0.11253000000000001</v>
      </c>
      <c r="N435" s="393">
        <f t="shared" si="107"/>
        <v>0.11253000000000001</v>
      </c>
      <c r="O435" s="393">
        <f t="shared" si="107"/>
        <v>0.11253000000000001</v>
      </c>
      <c r="P435" s="393">
        <f t="shared" si="107"/>
        <v>0.11253000000000001</v>
      </c>
      <c r="Q435" s="393">
        <f t="shared" si="107"/>
        <v>0.11253000000000001</v>
      </c>
      <c r="R435" s="394"/>
    </row>
    <row r="436" spans="2:18" x14ac:dyDescent="0.2">
      <c r="B436" s="32" t="s">
        <v>1067</v>
      </c>
      <c r="D436" s="32">
        <v>101</v>
      </c>
      <c r="E436" s="32" t="s">
        <v>957</v>
      </c>
      <c r="F436" s="453">
        <f t="shared" si="107"/>
        <v>0.67091999999999996</v>
      </c>
      <c r="G436" s="453">
        <f t="shared" si="107"/>
        <v>0.67091999999999996</v>
      </c>
      <c r="H436" s="453">
        <f t="shared" si="107"/>
        <v>0.67091999999999996</v>
      </c>
      <c r="I436" s="453">
        <f t="shared" si="107"/>
        <v>0.67091999999999996</v>
      </c>
      <c r="J436" s="453">
        <f t="shared" si="107"/>
        <v>0.67091999999999996</v>
      </c>
      <c r="K436" s="453">
        <f t="shared" si="107"/>
        <v>0.67091999999999996</v>
      </c>
      <c r="L436" s="453">
        <f t="shared" si="107"/>
        <v>0.67091999999999996</v>
      </c>
      <c r="M436" s="453">
        <f t="shared" si="107"/>
        <v>0.67091999999999996</v>
      </c>
      <c r="N436" s="453">
        <f t="shared" si="107"/>
        <v>0.67091999999999996</v>
      </c>
      <c r="O436" s="453">
        <f t="shared" si="107"/>
        <v>0.67091999999999996</v>
      </c>
      <c r="P436" s="453">
        <f t="shared" si="107"/>
        <v>0.62878000000000001</v>
      </c>
      <c r="Q436" s="453">
        <f t="shared" si="107"/>
        <v>0.62878000000000001</v>
      </c>
      <c r="R436" s="394"/>
    </row>
    <row r="437" spans="2:18" x14ac:dyDescent="0.2">
      <c r="B437" s="32" t="s">
        <v>1068</v>
      </c>
      <c r="F437" s="394"/>
      <c r="G437" s="394"/>
      <c r="H437" s="394"/>
      <c r="I437" s="394"/>
      <c r="J437" s="394"/>
      <c r="K437" s="394"/>
      <c r="L437" s="394"/>
      <c r="M437" s="394"/>
      <c r="N437" s="394"/>
      <c r="O437" s="394"/>
      <c r="P437" s="394"/>
      <c r="Q437" s="394"/>
      <c r="R437" s="394"/>
    </row>
    <row r="438" spans="2:18" x14ac:dyDescent="0.2">
      <c r="C438" s="32" t="s">
        <v>1069</v>
      </c>
      <c r="D438" s="32">
        <v>101</v>
      </c>
      <c r="E438" s="32" t="s">
        <v>957</v>
      </c>
      <c r="F438" s="454">
        <f t="shared" ref="F438:Q442" si="108">F110</f>
        <v>1.1000000000000001</v>
      </c>
      <c r="G438" s="454">
        <f t="shared" si="108"/>
        <v>1.1000000000000001</v>
      </c>
      <c r="H438" s="454">
        <f t="shared" si="108"/>
        <v>1.1000000000000001</v>
      </c>
      <c r="I438" s="454">
        <f t="shared" si="108"/>
        <v>1.1100000000000001</v>
      </c>
      <c r="J438" s="454">
        <f t="shared" si="108"/>
        <v>1.1100000000000001</v>
      </c>
      <c r="K438" s="454">
        <f t="shared" si="108"/>
        <v>1.1100000000000001</v>
      </c>
      <c r="L438" s="454">
        <f t="shared" si="108"/>
        <v>1.1100000000000001</v>
      </c>
      <c r="M438" s="454">
        <f t="shared" si="108"/>
        <v>1.1100000000000001</v>
      </c>
      <c r="N438" s="454">
        <f t="shared" si="108"/>
        <v>1.1100000000000001</v>
      </c>
      <c r="O438" s="454">
        <f t="shared" si="108"/>
        <v>1.1100000000000001</v>
      </c>
      <c r="P438" s="454">
        <f t="shared" si="108"/>
        <v>1.1100000000000001</v>
      </c>
      <c r="Q438" s="454">
        <f t="shared" si="108"/>
        <v>1.1100000000000001</v>
      </c>
      <c r="R438" s="394"/>
    </row>
    <row r="439" spans="2:18" x14ac:dyDescent="0.2">
      <c r="C439" s="32" t="s">
        <v>1070</v>
      </c>
      <c r="D439" s="32">
        <v>101</v>
      </c>
      <c r="E439" s="32" t="s">
        <v>957</v>
      </c>
      <c r="F439" s="454">
        <f t="shared" si="108"/>
        <v>1.05</v>
      </c>
      <c r="G439" s="454">
        <f t="shared" si="108"/>
        <v>1.05</v>
      </c>
      <c r="H439" s="454">
        <f t="shared" si="108"/>
        <v>1.05</v>
      </c>
      <c r="I439" s="454">
        <f t="shared" si="108"/>
        <v>1.05</v>
      </c>
      <c r="J439" s="454">
        <f t="shared" si="108"/>
        <v>1.05</v>
      </c>
      <c r="K439" s="454">
        <f t="shared" si="108"/>
        <v>1.05</v>
      </c>
      <c r="L439" s="454">
        <f t="shared" si="108"/>
        <v>1.05</v>
      </c>
      <c r="M439" s="454">
        <f t="shared" si="108"/>
        <v>1.05</v>
      </c>
      <c r="N439" s="454">
        <f t="shared" si="108"/>
        <v>1.05</v>
      </c>
      <c r="O439" s="454">
        <f t="shared" si="108"/>
        <v>1.05</v>
      </c>
      <c r="P439" s="454">
        <f t="shared" si="108"/>
        <v>1.05</v>
      </c>
      <c r="Q439" s="454">
        <f t="shared" si="108"/>
        <v>1.05</v>
      </c>
      <c r="R439" s="394"/>
    </row>
    <row r="440" spans="2:18" x14ac:dyDescent="0.2">
      <c r="B440" s="32" t="s">
        <v>1071</v>
      </c>
      <c r="D440" s="32">
        <v>41</v>
      </c>
      <c r="E440" s="32" t="s">
        <v>67</v>
      </c>
      <c r="F440" s="413">
        <f t="shared" si="108"/>
        <v>121.2</v>
      </c>
      <c r="G440" s="413">
        <f t="shared" si="108"/>
        <v>121.2</v>
      </c>
      <c r="H440" s="413">
        <f t="shared" si="108"/>
        <v>121.2</v>
      </c>
      <c r="I440" s="413">
        <f t="shared" si="108"/>
        <v>124.1</v>
      </c>
      <c r="J440" s="413">
        <f t="shared" si="108"/>
        <v>124.1</v>
      </c>
      <c r="K440" s="413">
        <f t="shared" si="108"/>
        <v>124.1</v>
      </c>
      <c r="L440" s="413">
        <f t="shared" si="108"/>
        <v>124.1</v>
      </c>
      <c r="M440" s="413">
        <f t="shared" si="108"/>
        <v>124.1</v>
      </c>
      <c r="N440" s="413">
        <f t="shared" si="108"/>
        <v>124.1</v>
      </c>
      <c r="O440" s="413">
        <f t="shared" si="108"/>
        <v>124.1</v>
      </c>
      <c r="P440" s="413">
        <f t="shared" si="108"/>
        <v>124.1</v>
      </c>
      <c r="Q440" s="413">
        <f t="shared" si="108"/>
        <v>124.1</v>
      </c>
      <c r="R440" s="394"/>
    </row>
    <row r="441" spans="2:18" x14ac:dyDescent="0.2">
      <c r="B441" s="32" t="s">
        <v>1050</v>
      </c>
      <c r="F441" s="453">
        <f>F113</f>
        <v>0.64193999999999996</v>
      </c>
      <c r="G441" s="453">
        <f t="shared" si="108"/>
        <v>0.64193999999999996</v>
      </c>
      <c r="H441" s="453">
        <f t="shared" si="108"/>
        <v>0.64193999999999996</v>
      </c>
      <c r="I441" s="453">
        <f t="shared" si="108"/>
        <v>0.64193999999999996</v>
      </c>
      <c r="J441" s="453">
        <f t="shared" si="108"/>
        <v>0.64193999999999996</v>
      </c>
      <c r="K441" s="453">
        <f t="shared" si="108"/>
        <v>0.64193999999999996</v>
      </c>
      <c r="L441" s="453">
        <f t="shared" si="108"/>
        <v>0.64193999999999996</v>
      </c>
      <c r="M441" s="453">
        <f t="shared" si="108"/>
        <v>0.64193999999999996</v>
      </c>
      <c r="N441" s="453">
        <f t="shared" si="108"/>
        <v>0.64193999999999996</v>
      </c>
      <c r="O441" s="453">
        <f t="shared" si="108"/>
        <v>0.64193999999999996</v>
      </c>
      <c r="P441" s="453">
        <f t="shared" si="108"/>
        <v>0.60158999999999996</v>
      </c>
      <c r="Q441" s="453">
        <f t="shared" si="108"/>
        <v>0.60158999999999996</v>
      </c>
      <c r="R441" s="394"/>
    </row>
    <row r="442" spans="2:18" x14ac:dyDescent="0.2">
      <c r="B442" s="32" t="s">
        <v>1072</v>
      </c>
      <c r="F442" s="454">
        <f>F114</f>
        <v>1</v>
      </c>
      <c r="G442" s="454">
        <f t="shared" si="108"/>
        <v>1</v>
      </c>
      <c r="H442" s="454">
        <f t="shared" si="108"/>
        <v>1</v>
      </c>
      <c r="I442" s="454">
        <f t="shared" si="108"/>
        <v>1</v>
      </c>
      <c r="J442" s="454">
        <f t="shared" si="108"/>
        <v>1</v>
      </c>
      <c r="K442" s="454">
        <f t="shared" si="108"/>
        <v>1</v>
      </c>
      <c r="L442" s="454">
        <f t="shared" si="108"/>
        <v>1</v>
      </c>
      <c r="M442" s="454">
        <f t="shared" si="108"/>
        <v>1</v>
      </c>
      <c r="N442" s="454">
        <f t="shared" si="108"/>
        <v>1</v>
      </c>
      <c r="O442" s="454">
        <f t="shared" si="108"/>
        <v>1</v>
      </c>
      <c r="P442" s="454">
        <f t="shared" si="108"/>
        <v>1</v>
      </c>
      <c r="Q442" s="454">
        <f t="shared" si="108"/>
        <v>1</v>
      </c>
      <c r="R442" s="394"/>
    </row>
    <row r="444" spans="2:18" x14ac:dyDescent="0.2">
      <c r="B444" s="276" t="s">
        <v>982</v>
      </c>
    </row>
    <row r="445" spans="2:18" x14ac:dyDescent="0.2">
      <c r="B445" s="32" t="s">
        <v>67</v>
      </c>
      <c r="E445" s="32" t="s">
        <v>67</v>
      </c>
      <c r="F445" s="397">
        <f>'JKP-3.1c - Data'!C142</f>
        <v>113</v>
      </c>
      <c r="G445" s="397">
        <f>'JKP-3.1c - Data'!D142</f>
        <v>114</v>
      </c>
      <c r="H445" s="397">
        <f>'JKP-3.1c - Data'!E142</f>
        <v>115</v>
      </c>
      <c r="I445" s="397">
        <f>'JKP-3.1c - Data'!F142</f>
        <v>115.00999999999999</v>
      </c>
      <c r="J445" s="397">
        <f>'JKP-3.1c - Data'!G142</f>
        <v>116</v>
      </c>
      <c r="K445" s="397">
        <f>'JKP-3.1c - Data'!H142</f>
        <v>117</v>
      </c>
      <c r="L445" s="397">
        <f>'JKP-3.1c - Data'!I142</f>
        <v>116</v>
      </c>
      <c r="M445" s="397">
        <f>'JKP-3.1c - Data'!J142</f>
        <v>114</v>
      </c>
      <c r="N445" s="397">
        <f>'JKP-3.1c - Data'!K142</f>
        <v>117</v>
      </c>
      <c r="O445" s="397">
        <f>'JKP-3.1c - Data'!L142</f>
        <v>115</v>
      </c>
      <c r="P445" s="397">
        <f>'JKP-3.1c - Data'!M142</f>
        <v>114</v>
      </c>
      <c r="Q445" s="397">
        <f>'JKP-3.1c - Data'!N142</f>
        <v>113</v>
      </c>
      <c r="R445" s="378">
        <f>SUM(F445:Q445)</f>
        <v>1379.01</v>
      </c>
    </row>
    <row r="446" spans="2:18" s="336" customFormat="1" x14ac:dyDescent="0.2">
      <c r="B446" s="336" t="s">
        <v>76</v>
      </c>
      <c r="F446" s="380"/>
      <c r="G446" s="380"/>
      <c r="H446" s="380"/>
      <c r="I446" s="380"/>
      <c r="J446" s="380"/>
      <c r="K446" s="380"/>
      <c r="L446" s="380"/>
      <c r="M446" s="380"/>
      <c r="N446" s="380"/>
      <c r="O446" s="380"/>
      <c r="P446" s="380"/>
      <c r="Q446" s="380"/>
      <c r="R446" s="378"/>
    </row>
    <row r="447" spans="2:18" s="336" customFormat="1" x14ac:dyDescent="0.2">
      <c r="C447" s="32" t="s">
        <v>1073</v>
      </c>
      <c r="E447" s="336" t="s">
        <v>10</v>
      </c>
      <c r="F447" s="380">
        <v>96708</v>
      </c>
      <c r="G447" s="380">
        <v>98814</v>
      </c>
      <c r="H447" s="380">
        <v>100546</v>
      </c>
      <c r="I447" s="380">
        <v>98365</v>
      </c>
      <c r="J447" s="380">
        <v>99273</v>
      </c>
      <c r="K447" s="380">
        <v>98975</v>
      </c>
      <c r="L447" s="380">
        <v>96263</v>
      </c>
      <c r="M447" s="380">
        <v>96802</v>
      </c>
      <c r="N447" s="380">
        <v>96749</v>
      </c>
      <c r="O447" s="380">
        <v>97341</v>
      </c>
      <c r="P447" s="380">
        <v>96782</v>
      </c>
      <c r="Q447" s="380">
        <v>94311</v>
      </c>
      <c r="R447" s="378">
        <f>SUM(F447:Q447)</f>
        <v>1170929</v>
      </c>
    </row>
    <row r="448" spans="2:18" s="336" customFormat="1" x14ac:dyDescent="0.2">
      <c r="C448" s="32" t="s">
        <v>1074</v>
      </c>
      <c r="E448" s="336" t="s">
        <v>10</v>
      </c>
      <c r="F448" s="380">
        <v>352054</v>
      </c>
      <c r="G448" s="380">
        <v>345475</v>
      </c>
      <c r="H448" s="380">
        <v>367064</v>
      </c>
      <c r="I448" s="380">
        <v>353189</v>
      </c>
      <c r="J448" s="380">
        <v>348836</v>
      </c>
      <c r="K448" s="380">
        <v>334634</v>
      </c>
      <c r="L448" s="380">
        <v>327120</v>
      </c>
      <c r="M448" s="380">
        <v>325670</v>
      </c>
      <c r="N448" s="380">
        <v>325112</v>
      </c>
      <c r="O448" s="380">
        <v>349000</v>
      </c>
      <c r="P448" s="380">
        <v>353036</v>
      </c>
      <c r="Q448" s="380">
        <v>349916</v>
      </c>
      <c r="R448" s="378">
        <f>SUM(F448:Q448)</f>
        <v>4131106</v>
      </c>
    </row>
    <row r="449" spans="1:18" s="336" customFormat="1" x14ac:dyDescent="0.2">
      <c r="C449" s="32" t="s">
        <v>1066</v>
      </c>
      <c r="E449" s="336" t="s">
        <v>10</v>
      </c>
      <c r="F449" s="378">
        <f t="shared" ref="F449:Q449" si="109">F450-SUM(F447:F448)</f>
        <v>876339</v>
      </c>
      <c r="G449" s="378">
        <f t="shared" si="109"/>
        <v>780629</v>
      </c>
      <c r="H449" s="378">
        <f t="shared" si="109"/>
        <v>932816</v>
      </c>
      <c r="I449" s="378">
        <f t="shared" si="109"/>
        <v>895181</v>
      </c>
      <c r="J449" s="378">
        <f t="shared" si="109"/>
        <v>892014</v>
      </c>
      <c r="K449" s="378">
        <f t="shared" si="109"/>
        <v>765060</v>
      </c>
      <c r="L449" s="378">
        <f t="shared" si="109"/>
        <v>743455</v>
      </c>
      <c r="M449" s="378">
        <f t="shared" si="109"/>
        <v>795102</v>
      </c>
      <c r="N449" s="378">
        <f t="shared" si="109"/>
        <v>775672</v>
      </c>
      <c r="O449" s="378">
        <f t="shared" si="109"/>
        <v>893813</v>
      </c>
      <c r="P449" s="378">
        <f t="shared" si="109"/>
        <v>937058</v>
      </c>
      <c r="Q449" s="378">
        <f t="shared" si="109"/>
        <v>940057</v>
      </c>
      <c r="R449" s="378">
        <f>SUM(F449:Q449)</f>
        <v>10227196</v>
      </c>
    </row>
    <row r="450" spans="1:18" s="336" customFormat="1" x14ac:dyDescent="0.2">
      <c r="C450" s="336" t="s">
        <v>1075</v>
      </c>
      <c r="E450" s="336" t="s">
        <v>10</v>
      </c>
      <c r="F450" s="445">
        <f>'JKP-3.1c - Therms Data'!E87</f>
        <v>1325101</v>
      </c>
      <c r="G450" s="445">
        <f>'JKP-3.1c - Therms Data'!F87</f>
        <v>1224918</v>
      </c>
      <c r="H450" s="445">
        <f>'JKP-3.1c - Therms Data'!G87</f>
        <v>1400426</v>
      </c>
      <c r="I450" s="445">
        <f>'JKP-3.1c - Therms Data'!H87</f>
        <v>1346735</v>
      </c>
      <c r="J450" s="445">
        <f>'JKP-3.1c - Therms Data'!I87</f>
        <v>1340123</v>
      </c>
      <c r="K450" s="445">
        <f>'JKP-3.1c - Therms Data'!J87</f>
        <v>1198669</v>
      </c>
      <c r="L450" s="445">
        <f>'JKP-3.1c - Therms Data'!K87</f>
        <v>1166838</v>
      </c>
      <c r="M450" s="445">
        <f>'JKP-3.1c - Therms Data'!L87</f>
        <v>1217574</v>
      </c>
      <c r="N450" s="445">
        <f>'JKP-3.1c - Therms Data'!M87</f>
        <v>1197533</v>
      </c>
      <c r="O450" s="445">
        <f>'JKP-3.1c - Therms Data'!N87</f>
        <v>1340154</v>
      </c>
      <c r="P450" s="445">
        <f>'JKP-3.1c - Therms Data'!O87</f>
        <v>1386876</v>
      </c>
      <c r="Q450" s="445">
        <f>'JKP-3.1c - Therms Data'!P87</f>
        <v>1384284</v>
      </c>
      <c r="R450" s="436">
        <f>SUM(R447:R449)</f>
        <v>15529231</v>
      </c>
    </row>
    <row r="451" spans="1:18" s="336" customFormat="1" x14ac:dyDescent="0.2">
      <c r="B451" s="336" t="s">
        <v>74</v>
      </c>
      <c r="E451" s="336" t="s">
        <v>1076</v>
      </c>
      <c r="F451" s="421">
        <f>'JKP-3.1c - Data'!C163</f>
        <v>57110.51</v>
      </c>
      <c r="G451" s="421">
        <f>'JKP-3.1c - Data'!D163</f>
        <v>57496.51</v>
      </c>
      <c r="H451" s="421">
        <f>'JKP-3.1c - Data'!E163</f>
        <v>58536.51</v>
      </c>
      <c r="I451" s="421">
        <f>'JKP-3.1c - Data'!F163</f>
        <v>58147.519999999997</v>
      </c>
      <c r="J451" s="421">
        <f>'JKP-3.1c - Data'!G163</f>
        <v>58460.499999999993</v>
      </c>
      <c r="K451" s="421">
        <f>'JKP-3.1c - Data'!H163</f>
        <v>58908.51</v>
      </c>
      <c r="L451" s="421">
        <f>'JKP-3.1c - Data'!I163</f>
        <v>57873</v>
      </c>
      <c r="M451" s="421">
        <f>'JKP-3.1c - Data'!J163</f>
        <v>57441</v>
      </c>
      <c r="N451" s="421">
        <f>'JKP-3.1c - Data'!K163</f>
        <v>57931</v>
      </c>
      <c r="O451" s="421">
        <f>'JKP-3.1c - Data'!L163</f>
        <v>57777</v>
      </c>
      <c r="P451" s="421">
        <f>'JKP-3.1c - Data'!M163</f>
        <v>57723</v>
      </c>
      <c r="Q451" s="421">
        <f>'JKP-3.1c - Data'!N163</f>
        <v>57689</v>
      </c>
      <c r="R451" s="378">
        <f>SUM(F451:Q451)</f>
        <v>695094.06</v>
      </c>
    </row>
    <row r="452" spans="1:18" s="336" customFormat="1" x14ac:dyDescent="0.2">
      <c r="B452" s="336" t="s">
        <v>1071</v>
      </c>
      <c r="E452" s="336" t="s">
        <v>67</v>
      </c>
      <c r="F452" s="380"/>
      <c r="G452" s="380"/>
      <c r="H452" s="380"/>
      <c r="I452" s="380"/>
      <c r="J452" s="380"/>
      <c r="K452" s="380"/>
      <c r="L452" s="380"/>
      <c r="M452" s="380"/>
      <c r="N452" s="380"/>
      <c r="O452" s="380"/>
      <c r="P452" s="380"/>
      <c r="Q452" s="380"/>
      <c r="R452" s="378"/>
    </row>
    <row r="453" spans="1:18" s="336" customFormat="1" x14ac:dyDescent="0.2">
      <c r="F453" s="362"/>
      <c r="G453" s="362"/>
      <c r="H453" s="362"/>
      <c r="I453" s="362"/>
      <c r="J453" s="362"/>
      <c r="K453" s="362"/>
      <c r="L453" s="362"/>
      <c r="M453" s="362"/>
      <c r="N453" s="362"/>
      <c r="O453" s="362"/>
      <c r="P453" s="362"/>
      <c r="Q453" s="362"/>
      <c r="R453" s="362"/>
    </row>
    <row r="454" spans="1:18" s="336" customFormat="1" x14ac:dyDescent="0.2">
      <c r="B454" s="182" t="s">
        <v>985</v>
      </c>
      <c r="R454" s="179"/>
    </row>
    <row r="455" spans="1:18" s="336" customFormat="1" x14ac:dyDescent="0.2">
      <c r="A455" s="336" t="s">
        <v>1054</v>
      </c>
      <c r="B455" s="336" t="s">
        <v>1059</v>
      </c>
      <c r="D455" s="336">
        <v>41</v>
      </c>
      <c r="F455" s="418">
        <f t="shared" ref="F455:N455" si="110">F432*F445</f>
        <v>11865</v>
      </c>
      <c r="G455" s="418">
        <f t="shared" si="110"/>
        <v>11970</v>
      </c>
      <c r="H455" s="418">
        <f t="shared" si="110"/>
        <v>12075</v>
      </c>
      <c r="I455" s="418">
        <f t="shared" si="110"/>
        <v>12364.7251</v>
      </c>
      <c r="J455" s="418">
        <f t="shared" si="110"/>
        <v>12471.16</v>
      </c>
      <c r="K455" s="418">
        <f t="shared" si="110"/>
        <v>12578.67</v>
      </c>
      <c r="L455" s="418">
        <f t="shared" si="110"/>
        <v>12471.16</v>
      </c>
      <c r="M455" s="418">
        <f t="shared" si="110"/>
        <v>12256.140000000001</v>
      </c>
      <c r="N455" s="418">
        <f t="shared" si="110"/>
        <v>12578.67</v>
      </c>
      <c r="O455" s="418">
        <f>O432*O445</f>
        <v>12363.650000000001</v>
      </c>
      <c r="P455" s="418">
        <f>P432*P445</f>
        <v>12256.140000000001</v>
      </c>
      <c r="Q455" s="418">
        <f>Q432*Q445</f>
        <v>12148.630000000001</v>
      </c>
      <c r="R455" s="437">
        <f>SUM(F455:Q455)</f>
        <v>147398.94510000001</v>
      </c>
    </row>
    <row r="456" spans="1:18" s="336" customFormat="1" x14ac:dyDescent="0.2">
      <c r="B456" s="336" t="s">
        <v>1047</v>
      </c>
      <c r="F456" s="418"/>
      <c r="G456" s="418"/>
      <c r="H456" s="418"/>
      <c r="I456" s="418"/>
      <c r="J456" s="418"/>
      <c r="K456" s="418"/>
      <c r="L456" s="418"/>
      <c r="M456" s="418"/>
      <c r="N456" s="418"/>
      <c r="O456" s="418"/>
      <c r="P456" s="418"/>
      <c r="Q456" s="418"/>
      <c r="R456" s="437"/>
    </row>
    <row r="457" spans="1:18" s="336" customFormat="1" x14ac:dyDescent="0.2">
      <c r="C457" s="32" t="s">
        <v>1073</v>
      </c>
      <c r="F457" s="350">
        <v>0</v>
      </c>
      <c r="G457" s="350">
        <v>0</v>
      </c>
      <c r="H457" s="350">
        <v>0</v>
      </c>
      <c r="I457" s="350">
        <v>0</v>
      </c>
      <c r="J457" s="350">
        <v>0</v>
      </c>
      <c r="K457" s="350">
        <v>0</v>
      </c>
      <c r="L457" s="350">
        <v>0</v>
      </c>
      <c r="M457" s="350">
        <v>0</v>
      </c>
      <c r="N457" s="350">
        <v>0</v>
      </c>
      <c r="O457" s="350">
        <v>0</v>
      </c>
      <c r="P457" s="350">
        <v>0</v>
      </c>
      <c r="Q457" s="350">
        <v>0</v>
      </c>
      <c r="R457" s="437">
        <f>SUM(F457:Q457)</f>
        <v>0</v>
      </c>
    </row>
    <row r="458" spans="1:18" s="336" customFormat="1" x14ac:dyDescent="0.2">
      <c r="C458" s="32" t="s">
        <v>1074</v>
      </c>
      <c r="D458" s="336">
        <v>41</v>
      </c>
      <c r="F458" s="418">
        <f t="shared" ref="F458:Q459" si="111">F434*F448</f>
        <v>47411.112180000004</v>
      </c>
      <c r="G458" s="418">
        <f t="shared" si="111"/>
        <v>46525.118250000007</v>
      </c>
      <c r="H458" s="418">
        <f t="shared" si="111"/>
        <v>49432.508880000001</v>
      </c>
      <c r="I458" s="418">
        <f t="shared" si="111"/>
        <v>48701.231210000005</v>
      </c>
      <c r="J458" s="418">
        <f t="shared" si="111"/>
        <v>48100.996040000005</v>
      </c>
      <c r="K458" s="418">
        <f t="shared" si="111"/>
        <v>46142.682260000001</v>
      </c>
      <c r="L458" s="418">
        <f t="shared" si="111"/>
        <v>45106.576800000003</v>
      </c>
      <c r="M458" s="418">
        <f t="shared" si="111"/>
        <v>44906.636300000006</v>
      </c>
      <c r="N458" s="418">
        <f t="shared" si="111"/>
        <v>44829.693680000004</v>
      </c>
      <c r="O458" s="418">
        <f t="shared" si="111"/>
        <v>48123.610000000008</v>
      </c>
      <c r="P458" s="418">
        <f t="shared" si="111"/>
        <v>48680.134040000004</v>
      </c>
      <c r="Q458" s="418">
        <f t="shared" si="111"/>
        <v>48249.917240000002</v>
      </c>
      <c r="R458" s="437">
        <f>SUM(F458:Q458)</f>
        <v>566210.21687999996</v>
      </c>
    </row>
    <row r="459" spans="1:18" s="336" customFormat="1" x14ac:dyDescent="0.2">
      <c r="C459" s="32" t="s">
        <v>1066</v>
      </c>
      <c r="D459" s="336">
        <v>41</v>
      </c>
      <c r="F459" s="418">
        <f t="shared" si="111"/>
        <v>96309.656099999993</v>
      </c>
      <c r="G459" s="418">
        <f t="shared" si="111"/>
        <v>85791.127099999998</v>
      </c>
      <c r="H459" s="418">
        <f t="shared" si="111"/>
        <v>102516.47839999999</v>
      </c>
      <c r="I459" s="418">
        <f t="shared" si="111"/>
        <v>100734.71793</v>
      </c>
      <c r="J459" s="418">
        <f t="shared" si="111"/>
        <v>100378.33542</v>
      </c>
      <c r="K459" s="418">
        <f t="shared" si="111"/>
        <v>86092.20180000001</v>
      </c>
      <c r="L459" s="418">
        <f t="shared" si="111"/>
        <v>83660.991150000002</v>
      </c>
      <c r="M459" s="418">
        <f t="shared" si="111"/>
        <v>89472.82806</v>
      </c>
      <c r="N459" s="418">
        <f t="shared" si="111"/>
        <v>87286.370160000006</v>
      </c>
      <c r="O459" s="418">
        <f t="shared" si="111"/>
        <v>100580.77689000001</v>
      </c>
      <c r="P459" s="418">
        <f t="shared" si="111"/>
        <v>105447.13674</v>
      </c>
      <c r="Q459" s="418">
        <f t="shared" si="111"/>
        <v>105784.61421</v>
      </c>
      <c r="R459" s="437">
        <f>SUM(F459:Q459)</f>
        <v>1144055.2339599999</v>
      </c>
    </row>
    <row r="460" spans="1:18" s="336" customFormat="1" x14ac:dyDescent="0.2">
      <c r="A460" s="336" t="s">
        <v>1054</v>
      </c>
      <c r="C460" s="336" t="s">
        <v>1077</v>
      </c>
      <c r="F460" s="365">
        <f t="shared" ref="F460:R460" si="112">SUM(F457:F459)</f>
        <v>143720.76827999999</v>
      </c>
      <c r="G460" s="365">
        <f t="shared" si="112"/>
        <v>132316.24535000001</v>
      </c>
      <c r="H460" s="365">
        <f t="shared" si="112"/>
        <v>151948.98728</v>
      </c>
      <c r="I460" s="365">
        <f t="shared" si="112"/>
        <v>149435.94914000001</v>
      </c>
      <c r="J460" s="365">
        <f t="shared" si="112"/>
        <v>148479.33146000002</v>
      </c>
      <c r="K460" s="365">
        <f t="shared" si="112"/>
        <v>132234.88406000001</v>
      </c>
      <c r="L460" s="365">
        <f t="shared" si="112"/>
        <v>128767.56795</v>
      </c>
      <c r="M460" s="365">
        <f t="shared" si="112"/>
        <v>134379.46436000001</v>
      </c>
      <c r="N460" s="365">
        <f t="shared" si="112"/>
        <v>132116.06384000002</v>
      </c>
      <c r="O460" s="365">
        <f t="shared" si="112"/>
        <v>148704.38689000002</v>
      </c>
      <c r="P460" s="365">
        <f t="shared" si="112"/>
        <v>154127.27078000002</v>
      </c>
      <c r="Q460" s="365">
        <f t="shared" si="112"/>
        <v>154034.53145000001</v>
      </c>
      <c r="R460" s="365">
        <f t="shared" si="112"/>
        <v>1710265.4508399998</v>
      </c>
    </row>
    <row r="461" spans="1:18" s="336" customFormat="1" x14ac:dyDescent="0.2">
      <c r="A461" s="336" t="s">
        <v>1056</v>
      </c>
      <c r="B461" s="336" t="s">
        <v>1057</v>
      </c>
      <c r="D461" s="336">
        <v>101</v>
      </c>
      <c r="F461" s="418">
        <f t="shared" ref="F461:Q461" si="113">F436*F450</f>
        <v>889036.76291999989</v>
      </c>
      <c r="G461" s="418">
        <f t="shared" si="113"/>
        <v>821821.9845599999</v>
      </c>
      <c r="H461" s="418">
        <f t="shared" si="113"/>
        <v>939573.81191999989</v>
      </c>
      <c r="I461" s="418">
        <f t="shared" si="113"/>
        <v>903551.44619999989</v>
      </c>
      <c r="J461" s="418">
        <f t="shared" si="113"/>
        <v>899115.32315999991</v>
      </c>
      <c r="K461" s="418">
        <f t="shared" si="113"/>
        <v>804211.00547999993</v>
      </c>
      <c r="L461" s="418">
        <f t="shared" si="113"/>
        <v>782854.95095999993</v>
      </c>
      <c r="M461" s="418">
        <f t="shared" si="113"/>
        <v>816894.74807999993</v>
      </c>
      <c r="N461" s="418">
        <f t="shared" si="113"/>
        <v>803448.84035999991</v>
      </c>
      <c r="O461" s="418">
        <f t="shared" si="113"/>
        <v>899136.12167999998</v>
      </c>
      <c r="P461" s="418">
        <f t="shared" si="113"/>
        <v>872039.89127999998</v>
      </c>
      <c r="Q461" s="418">
        <f t="shared" si="113"/>
        <v>870410.09351999999</v>
      </c>
      <c r="R461" s="437">
        <f>SUM(F461:Q461)</f>
        <v>10302094.980119999</v>
      </c>
    </row>
    <row r="462" spans="1:18" s="336" customFormat="1" x14ac:dyDescent="0.2">
      <c r="B462" s="336" t="s">
        <v>1068</v>
      </c>
      <c r="F462" s="418"/>
      <c r="G462" s="418"/>
      <c r="H462" s="418"/>
      <c r="I462" s="418"/>
      <c r="J462" s="418"/>
      <c r="K462" s="418"/>
      <c r="L462" s="418"/>
      <c r="M462" s="418"/>
      <c r="N462" s="418"/>
      <c r="O462" s="418"/>
      <c r="P462" s="418"/>
      <c r="Q462" s="418"/>
      <c r="R462" s="437"/>
    </row>
    <row r="463" spans="1:18" s="336" customFormat="1" x14ac:dyDescent="0.2">
      <c r="A463" s="336" t="s">
        <v>1054</v>
      </c>
      <c r="C463" s="336" t="s">
        <v>1069</v>
      </c>
      <c r="D463" s="336">
        <v>41</v>
      </c>
      <c r="F463" s="418">
        <f t="shared" ref="F463:Q463" si="114">F438*F451</f>
        <v>62821.561000000009</v>
      </c>
      <c r="G463" s="418">
        <f t="shared" si="114"/>
        <v>63246.161000000007</v>
      </c>
      <c r="H463" s="418">
        <f t="shared" si="114"/>
        <v>64390.161000000007</v>
      </c>
      <c r="I463" s="418">
        <f t="shared" si="114"/>
        <v>64543.747200000005</v>
      </c>
      <c r="J463" s="418">
        <f t="shared" si="114"/>
        <v>64891.154999999999</v>
      </c>
      <c r="K463" s="418">
        <f t="shared" si="114"/>
        <v>65388.446100000008</v>
      </c>
      <c r="L463" s="418">
        <f t="shared" si="114"/>
        <v>64239.030000000006</v>
      </c>
      <c r="M463" s="418">
        <f t="shared" si="114"/>
        <v>63759.51</v>
      </c>
      <c r="N463" s="418">
        <f t="shared" si="114"/>
        <v>64303.41</v>
      </c>
      <c r="O463" s="418">
        <f t="shared" si="114"/>
        <v>64132.470000000008</v>
      </c>
      <c r="P463" s="418">
        <f t="shared" si="114"/>
        <v>64072.530000000006</v>
      </c>
      <c r="Q463" s="418">
        <f t="shared" si="114"/>
        <v>64034.790000000008</v>
      </c>
      <c r="R463" s="437">
        <f>SUM(F463:Q463)</f>
        <v>769822.97130000009</v>
      </c>
    </row>
    <row r="464" spans="1:18" s="336" customFormat="1" x14ac:dyDescent="0.2">
      <c r="A464" s="336" t="s">
        <v>1056</v>
      </c>
      <c r="C464" s="336" t="s">
        <v>1070</v>
      </c>
      <c r="D464" s="336">
        <v>101</v>
      </c>
      <c r="F464" s="418">
        <f t="shared" ref="F464:Q464" si="115">F439*F451</f>
        <v>59966.035500000005</v>
      </c>
      <c r="G464" s="418">
        <f t="shared" si="115"/>
        <v>60371.335500000008</v>
      </c>
      <c r="H464" s="418">
        <f t="shared" si="115"/>
        <v>61463.335500000008</v>
      </c>
      <c r="I464" s="418">
        <f t="shared" si="115"/>
        <v>61054.896000000001</v>
      </c>
      <c r="J464" s="418">
        <f t="shared" si="115"/>
        <v>61383.524999999994</v>
      </c>
      <c r="K464" s="418">
        <f t="shared" si="115"/>
        <v>61853.935500000007</v>
      </c>
      <c r="L464" s="418">
        <f t="shared" si="115"/>
        <v>60766.65</v>
      </c>
      <c r="M464" s="418">
        <f t="shared" si="115"/>
        <v>60313.05</v>
      </c>
      <c r="N464" s="418">
        <f t="shared" si="115"/>
        <v>60827.55</v>
      </c>
      <c r="O464" s="418">
        <f t="shared" si="115"/>
        <v>60665.850000000006</v>
      </c>
      <c r="P464" s="418">
        <f t="shared" si="115"/>
        <v>60609.15</v>
      </c>
      <c r="Q464" s="418">
        <f t="shared" si="115"/>
        <v>60573.450000000004</v>
      </c>
      <c r="R464" s="437">
        <f>SUM(F464:Q464)</f>
        <v>729848.76300000004</v>
      </c>
    </row>
    <row r="465" spans="1:18" s="336" customFormat="1" x14ac:dyDescent="0.2">
      <c r="C465" s="336" t="s">
        <v>1078</v>
      </c>
      <c r="F465" s="339">
        <f t="shared" ref="F465:N465" si="116">SUM(F463:F464)</f>
        <v>122787.59650000001</v>
      </c>
      <c r="G465" s="339">
        <f t="shared" si="116"/>
        <v>123617.49650000001</v>
      </c>
      <c r="H465" s="339">
        <f t="shared" si="116"/>
        <v>125853.49650000001</v>
      </c>
      <c r="I465" s="339">
        <f t="shared" si="116"/>
        <v>125598.64320000001</v>
      </c>
      <c r="J465" s="339">
        <f t="shared" si="116"/>
        <v>126274.68</v>
      </c>
      <c r="K465" s="339">
        <f t="shared" si="116"/>
        <v>127242.38160000002</v>
      </c>
      <c r="L465" s="339">
        <f t="shared" si="116"/>
        <v>125005.68000000001</v>
      </c>
      <c r="M465" s="339">
        <f t="shared" si="116"/>
        <v>124072.56</v>
      </c>
      <c r="N465" s="339">
        <f t="shared" si="116"/>
        <v>125130.96</v>
      </c>
      <c r="O465" s="339">
        <f>SUM(O463:O464)</f>
        <v>124798.32</v>
      </c>
      <c r="P465" s="339">
        <f>SUM(P463:P464)</f>
        <v>124681.68000000001</v>
      </c>
      <c r="Q465" s="339">
        <f>SUM(Q463:Q464)</f>
        <v>124608.24000000002</v>
      </c>
      <c r="R465" s="339">
        <f>SUM(R463:R464)</f>
        <v>1499671.7343000001</v>
      </c>
    </row>
    <row r="466" spans="1:18" s="336" customFormat="1" x14ac:dyDescent="0.2">
      <c r="A466" s="336" t="s">
        <v>1054</v>
      </c>
      <c r="B466" s="336" t="s">
        <v>1071</v>
      </c>
      <c r="D466" s="336">
        <v>41</v>
      </c>
      <c r="F466" s="418">
        <f t="shared" ref="F466:N466" si="117">F445*F440</f>
        <v>13695.6</v>
      </c>
      <c r="G466" s="418">
        <f t="shared" si="117"/>
        <v>13816.800000000001</v>
      </c>
      <c r="H466" s="418">
        <f t="shared" si="117"/>
        <v>13938</v>
      </c>
      <c r="I466" s="418">
        <f t="shared" si="117"/>
        <v>14272.740999999998</v>
      </c>
      <c r="J466" s="418">
        <f t="shared" si="117"/>
        <v>14395.599999999999</v>
      </c>
      <c r="K466" s="418">
        <f t="shared" si="117"/>
        <v>14519.699999999999</v>
      </c>
      <c r="L466" s="418">
        <f t="shared" si="117"/>
        <v>14395.599999999999</v>
      </c>
      <c r="M466" s="418">
        <f t="shared" si="117"/>
        <v>14147.4</v>
      </c>
      <c r="N466" s="418">
        <f t="shared" si="117"/>
        <v>14519.699999999999</v>
      </c>
      <c r="O466" s="418">
        <f>O445*O440</f>
        <v>14271.5</v>
      </c>
      <c r="P466" s="418">
        <f>P445*P440</f>
        <v>14147.4</v>
      </c>
      <c r="Q466" s="418">
        <f>Q445*Q440</f>
        <v>14023.3</v>
      </c>
      <c r="R466" s="437">
        <f>SUM(F466:Q466)</f>
        <v>170143.34099999999</v>
      </c>
    </row>
    <row r="467" spans="1:18" s="336" customFormat="1" x14ac:dyDescent="0.2">
      <c r="B467" s="336" t="s">
        <v>1079</v>
      </c>
      <c r="F467" s="339">
        <f t="shared" ref="F467:N467" si="118">F461+F464</f>
        <v>949002.79841999989</v>
      </c>
      <c r="G467" s="339">
        <f t="shared" si="118"/>
        <v>882193.32005999994</v>
      </c>
      <c r="H467" s="339">
        <f t="shared" si="118"/>
        <v>1001037.1474199999</v>
      </c>
      <c r="I467" s="339">
        <f t="shared" si="118"/>
        <v>964606.34219999984</v>
      </c>
      <c r="J467" s="339">
        <f t="shared" si="118"/>
        <v>960498.84815999994</v>
      </c>
      <c r="K467" s="339">
        <f t="shared" si="118"/>
        <v>866064.94097999996</v>
      </c>
      <c r="L467" s="339">
        <f t="shared" si="118"/>
        <v>843621.60095999995</v>
      </c>
      <c r="M467" s="339">
        <f t="shared" si="118"/>
        <v>877207.79807999998</v>
      </c>
      <c r="N467" s="339">
        <f t="shared" si="118"/>
        <v>864276.39035999996</v>
      </c>
      <c r="O467" s="339">
        <f>O461+O464</f>
        <v>959801.97167999996</v>
      </c>
      <c r="P467" s="339">
        <f>P461+P464</f>
        <v>932649.04128</v>
      </c>
      <c r="Q467" s="339">
        <f>Q461+Q464</f>
        <v>930983.54351999995</v>
      </c>
      <c r="R467" s="339">
        <f>R461+R464</f>
        <v>11031943.74312</v>
      </c>
    </row>
    <row r="468" spans="1:18" s="336" customFormat="1" x14ac:dyDescent="0.2">
      <c r="B468" s="336" t="s">
        <v>986</v>
      </c>
      <c r="F468" s="339">
        <f t="shared" ref="F468:R468" si="119">F455+F460+F461+F465+F466</f>
        <v>1181105.7276999999</v>
      </c>
      <c r="G468" s="339">
        <f t="shared" si="119"/>
        <v>1103542.5264099999</v>
      </c>
      <c r="H468" s="339">
        <f t="shared" si="119"/>
        <v>1243389.2956999997</v>
      </c>
      <c r="I468" s="339">
        <f t="shared" si="119"/>
        <v>1205223.5046399999</v>
      </c>
      <c r="J468" s="339">
        <f t="shared" si="119"/>
        <v>1200736.0946199999</v>
      </c>
      <c r="K468" s="339">
        <f t="shared" si="119"/>
        <v>1090786.64114</v>
      </c>
      <c r="L468" s="339">
        <f t="shared" si="119"/>
        <v>1063494.95891</v>
      </c>
      <c r="M468" s="339">
        <f t="shared" si="119"/>
        <v>1101750.3124399998</v>
      </c>
      <c r="N468" s="339">
        <f t="shared" si="119"/>
        <v>1087794.2341999998</v>
      </c>
      <c r="O468" s="339">
        <f t="shared" si="119"/>
        <v>1199273.97857</v>
      </c>
      <c r="P468" s="339">
        <f t="shared" si="119"/>
        <v>1177252.38206</v>
      </c>
      <c r="Q468" s="339">
        <f t="shared" si="119"/>
        <v>1175224.7949700002</v>
      </c>
      <c r="R468" s="339">
        <f t="shared" si="119"/>
        <v>13829574.45136</v>
      </c>
    </row>
    <row r="469" spans="1:18" s="336" customFormat="1" x14ac:dyDescent="0.2">
      <c r="F469" s="418"/>
      <c r="G469" s="418"/>
      <c r="H469" s="418"/>
      <c r="I469" s="418"/>
      <c r="J469" s="418"/>
      <c r="K469" s="418"/>
      <c r="L469" s="418"/>
      <c r="M469" s="418"/>
      <c r="N469" s="418"/>
      <c r="O469" s="418"/>
      <c r="P469" s="418"/>
      <c r="Q469" s="418"/>
      <c r="R469" s="437"/>
    </row>
    <row r="470" spans="1:18" s="336" customFormat="1" x14ac:dyDescent="0.2">
      <c r="A470" s="336" t="s">
        <v>1058</v>
      </c>
      <c r="B470" s="336" t="s">
        <v>1050</v>
      </c>
      <c r="F470" s="418">
        <f>F441*F450+F451*F442</f>
        <v>907745.84593999991</v>
      </c>
      <c r="G470" s="418">
        <f t="shared" ref="G470:Q470" si="120">G441*G450+G451*G442</f>
        <v>843820.3709199999</v>
      </c>
      <c r="H470" s="418">
        <f t="shared" si="120"/>
        <v>957525.97644</v>
      </c>
      <c r="I470" s="418">
        <f t="shared" si="120"/>
        <v>922670.58589999995</v>
      </c>
      <c r="J470" s="418">
        <f t="shared" si="120"/>
        <v>918739.05861999991</v>
      </c>
      <c r="K470" s="418">
        <f t="shared" si="120"/>
        <v>828382.08785999997</v>
      </c>
      <c r="L470" s="418">
        <f t="shared" si="120"/>
        <v>806912.98572</v>
      </c>
      <c r="M470" s="418">
        <f t="shared" si="120"/>
        <v>839050.45355999994</v>
      </c>
      <c r="N470" s="418">
        <f t="shared" si="120"/>
        <v>826675.33401999995</v>
      </c>
      <c r="O470" s="418">
        <f t="shared" si="120"/>
        <v>918075.45875999995</v>
      </c>
      <c r="P470" s="418">
        <f t="shared" si="120"/>
        <v>892053.73283999995</v>
      </c>
      <c r="Q470" s="418">
        <f t="shared" si="120"/>
        <v>890460.41155999992</v>
      </c>
      <c r="R470" s="437">
        <f>SUM(F470:Q470)</f>
        <v>10552112.302140001</v>
      </c>
    </row>
    <row r="471" spans="1:18" s="336" customFormat="1" x14ac:dyDescent="0.2">
      <c r="F471" s="418"/>
      <c r="G471" s="418"/>
      <c r="H471" s="418"/>
      <c r="I471" s="418"/>
      <c r="J471" s="418"/>
      <c r="K471" s="418"/>
      <c r="L471" s="418"/>
      <c r="M471" s="418"/>
      <c r="N471" s="418"/>
      <c r="O471" s="418"/>
      <c r="P471" s="418"/>
      <c r="Q471" s="418"/>
      <c r="R471" s="437"/>
    </row>
    <row r="472" spans="1:18" s="336" customFormat="1" x14ac:dyDescent="0.2">
      <c r="B472" s="182" t="s">
        <v>1102</v>
      </c>
      <c r="C472" s="182"/>
      <c r="F472" s="415"/>
      <c r="G472" s="415"/>
      <c r="H472" s="415"/>
      <c r="I472" s="415"/>
      <c r="J472" s="415"/>
    </row>
    <row r="473" spans="1:18" s="336" customFormat="1" x14ac:dyDescent="0.2">
      <c r="B473" s="182" t="s">
        <v>5</v>
      </c>
      <c r="C473" s="182"/>
      <c r="F473" s="415"/>
      <c r="G473" s="415"/>
      <c r="H473" s="415"/>
      <c r="I473" s="415"/>
      <c r="J473" s="415"/>
    </row>
    <row r="474" spans="1:18" s="336" customFormat="1" x14ac:dyDescent="0.2">
      <c r="B474" s="336" t="s">
        <v>1059</v>
      </c>
      <c r="D474" s="444" t="s">
        <v>808</v>
      </c>
      <c r="E474" s="336" t="s">
        <v>976</v>
      </c>
      <c r="F474" s="455">
        <f>F146</f>
        <v>405</v>
      </c>
      <c r="G474" s="455">
        <f t="shared" ref="G474:L474" si="121">G146</f>
        <v>405</v>
      </c>
      <c r="H474" s="455">
        <f t="shared" si="121"/>
        <v>405</v>
      </c>
      <c r="I474" s="455">
        <f t="shared" si="121"/>
        <v>414.68</v>
      </c>
      <c r="J474" s="455">
        <f t="shared" si="121"/>
        <v>414.68</v>
      </c>
      <c r="K474" s="455">
        <f t="shared" si="121"/>
        <v>414.68</v>
      </c>
      <c r="L474" s="455">
        <f t="shared" si="121"/>
        <v>414.68</v>
      </c>
      <c r="M474" s="455">
        <f>M146</f>
        <v>414.68</v>
      </c>
      <c r="N474" s="455">
        <f>N146</f>
        <v>414.68</v>
      </c>
      <c r="O474" s="455">
        <f>O146</f>
        <v>414.68</v>
      </c>
      <c r="P474" s="455">
        <f>P146</f>
        <v>414.68</v>
      </c>
      <c r="Q474" s="455">
        <f>Q146</f>
        <v>414.68</v>
      </c>
    </row>
    <row r="475" spans="1:18" s="336" customFormat="1" x14ac:dyDescent="0.2">
      <c r="B475" s="336" t="s">
        <v>1047</v>
      </c>
      <c r="F475" s="456"/>
      <c r="G475" s="456"/>
      <c r="H475" s="456"/>
      <c r="I475" s="456"/>
      <c r="J475" s="456"/>
      <c r="K475" s="456"/>
      <c r="L475" s="456"/>
      <c r="M475" s="456"/>
      <c r="N475" s="456"/>
      <c r="O475" s="456"/>
      <c r="P475" s="456"/>
      <c r="Q475" s="456"/>
    </row>
    <row r="476" spans="1:18" s="336" customFormat="1" x14ac:dyDescent="0.2">
      <c r="C476" s="336" t="s">
        <v>1065</v>
      </c>
      <c r="D476" s="444" t="s">
        <v>808</v>
      </c>
      <c r="E476" s="336" t="s">
        <v>957</v>
      </c>
      <c r="F476" s="456">
        <f t="shared" ref="F476:Q481" si="122">F148</f>
        <v>0.13467000000000001</v>
      </c>
      <c r="G476" s="456">
        <f t="shared" si="122"/>
        <v>0.13467000000000001</v>
      </c>
      <c r="H476" s="456">
        <f t="shared" si="122"/>
        <v>0.13467000000000001</v>
      </c>
      <c r="I476" s="456">
        <f t="shared" si="122"/>
        <v>0.13789000000000001</v>
      </c>
      <c r="J476" s="456">
        <f t="shared" si="122"/>
        <v>0.13789000000000001</v>
      </c>
      <c r="K476" s="456">
        <f t="shared" si="122"/>
        <v>0.13789000000000001</v>
      </c>
      <c r="L476" s="456">
        <f t="shared" si="122"/>
        <v>0.13789000000000001</v>
      </c>
      <c r="M476" s="456">
        <f t="shared" si="122"/>
        <v>0.13789000000000001</v>
      </c>
      <c r="N476" s="456">
        <f t="shared" si="122"/>
        <v>0.13789000000000001</v>
      </c>
      <c r="O476" s="456">
        <f t="shared" si="122"/>
        <v>0.13789000000000001</v>
      </c>
      <c r="P476" s="456">
        <f t="shared" si="122"/>
        <v>0.13789000000000001</v>
      </c>
      <c r="Q476" s="456">
        <f t="shared" si="122"/>
        <v>0.13789000000000001</v>
      </c>
    </row>
    <row r="477" spans="1:18" s="336" customFormat="1" x14ac:dyDescent="0.2">
      <c r="C477" s="336" t="s">
        <v>1066</v>
      </c>
      <c r="D477" s="444" t="s">
        <v>808</v>
      </c>
      <c r="E477" s="336" t="s">
        <v>957</v>
      </c>
      <c r="F477" s="456">
        <f t="shared" si="122"/>
        <v>0.1099</v>
      </c>
      <c r="G477" s="456">
        <f t="shared" si="122"/>
        <v>0.1099</v>
      </c>
      <c r="H477" s="456">
        <f t="shared" si="122"/>
        <v>0.1099</v>
      </c>
      <c r="I477" s="456">
        <f t="shared" si="122"/>
        <v>0.11253000000000001</v>
      </c>
      <c r="J477" s="456">
        <f t="shared" si="122"/>
        <v>0.11253000000000001</v>
      </c>
      <c r="K477" s="456">
        <f t="shared" si="122"/>
        <v>0.11253000000000001</v>
      </c>
      <c r="L477" s="456">
        <f t="shared" si="122"/>
        <v>0.11253000000000001</v>
      </c>
      <c r="M477" s="456">
        <f t="shared" si="122"/>
        <v>0.11253000000000001</v>
      </c>
      <c r="N477" s="456">
        <f t="shared" si="122"/>
        <v>0.11253000000000001</v>
      </c>
      <c r="O477" s="456">
        <f t="shared" si="122"/>
        <v>0.11253000000000001</v>
      </c>
      <c r="P477" s="456">
        <f t="shared" si="122"/>
        <v>0.11253000000000001</v>
      </c>
      <c r="Q477" s="456">
        <f t="shared" si="122"/>
        <v>0.11253000000000001</v>
      </c>
    </row>
    <row r="478" spans="1:18" x14ac:dyDescent="0.2">
      <c r="B478" s="336" t="s">
        <v>1081</v>
      </c>
      <c r="D478" s="444" t="s">
        <v>808</v>
      </c>
      <c r="E478" s="32" t="s">
        <v>957</v>
      </c>
      <c r="F478" s="457">
        <f t="shared" si="122"/>
        <v>6.9999999999999999E-4</v>
      </c>
      <c r="G478" s="457">
        <f t="shared" si="122"/>
        <v>6.9999999999999999E-4</v>
      </c>
      <c r="H478" s="457">
        <f t="shared" si="122"/>
        <v>6.9999999999999999E-4</v>
      </c>
      <c r="I478" s="457">
        <f t="shared" si="122"/>
        <v>6.9999999999999999E-4</v>
      </c>
      <c r="J478" s="457">
        <f t="shared" si="122"/>
        <v>6.9999999999999999E-4</v>
      </c>
      <c r="K478" s="457">
        <f t="shared" si="122"/>
        <v>6.9999999999999999E-4</v>
      </c>
      <c r="L478" s="457">
        <f t="shared" si="122"/>
        <v>6.9999999999999999E-4</v>
      </c>
      <c r="M478" s="457">
        <f t="shared" si="122"/>
        <v>6.9999999999999999E-4</v>
      </c>
      <c r="N478" s="457">
        <f t="shared" si="122"/>
        <v>6.9999999999999999E-4</v>
      </c>
      <c r="O478" s="457">
        <f t="shared" si="122"/>
        <v>6.9999999999999999E-4</v>
      </c>
      <c r="P478" s="457">
        <f t="shared" si="122"/>
        <v>6.9999999999999999E-4</v>
      </c>
      <c r="Q478" s="457">
        <f t="shared" si="122"/>
        <v>6.9999999999999999E-4</v>
      </c>
    </row>
    <row r="479" spans="1:18" x14ac:dyDescent="0.2">
      <c r="B479" s="32" t="s">
        <v>1082</v>
      </c>
      <c r="F479" s="457">
        <f t="shared" si="122"/>
        <v>-5.0000000000000001E-3</v>
      </c>
      <c r="G479" s="457">
        <f t="shared" si="122"/>
        <v>-5.0000000000000001E-3</v>
      </c>
      <c r="H479" s="457">
        <f t="shared" si="122"/>
        <v>-5.0000000000000001E-3</v>
      </c>
      <c r="I479" s="457">
        <f t="shared" si="122"/>
        <v>-5.0699999999999999E-3</v>
      </c>
      <c r="J479" s="457">
        <f t="shared" si="122"/>
        <v>-5.0699999999999999E-3</v>
      </c>
      <c r="K479" s="457">
        <f t="shared" si="122"/>
        <v>-5.0699999999999999E-3</v>
      </c>
      <c r="L479" s="457">
        <f t="shared" si="122"/>
        <v>-5.0699999999999999E-3</v>
      </c>
      <c r="M479" s="457">
        <f t="shared" si="122"/>
        <v>-5.0699999999999999E-3</v>
      </c>
      <c r="N479" s="457">
        <f t="shared" si="122"/>
        <v>-5.0699999999999999E-3</v>
      </c>
      <c r="O479" s="457">
        <f t="shared" si="122"/>
        <v>-5.0699999999999999E-3</v>
      </c>
      <c r="P479" s="457">
        <f t="shared" si="122"/>
        <v>-5.0699999999999999E-3</v>
      </c>
      <c r="Q479" s="457">
        <f t="shared" si="122"/>
        <v>-5.0699999999999999E-3</v>
      </c>
    </row>
    <row r="480" spans="1:18" s="336" customFormat="1" x14ac:dyDescent="0.2">
      <c r="B480" s="336" t="s">
        <v>1069</v>
      </c>
      <c r="D480" s="336">
        <v>101</v>
      </c>
      <c r="E480" s="336" t="s">
        <v>957</v>
      </c>
      <c r="F480" s="458">
        <f t="shared" si="122"/>
        <v>1.1000000000000001</v>
      </c>
      <c r="G480" s="458">
        <f t="shared" si="122"/>
        <v>1.1000000000000001</v>
      </c>
      <c r="H480" s="458">
        <f t="shared" si="122"/>
        <v>1.1000000000000001</v>
      </c>
      <c r="I480" s="458">
        <f t="shared" si="122"/>
        <v>1.1100000000000001</v>
      </c>
      <c r="J480" s="458">
        <f t="shared" si="122"/>
        <v>1.1100000000000001</v>
      </c>
      <c r="K480" s="458">
        <f t="shared" si="122"/>
        <v>1.1100000000000001</v>
      </c>
      <c r="L480" s="458">
        <f t="shared" si="122"/>
        <v>1.1100000000000001</v>
      </c>
      <c r="M480" s="458">
        <f t="shared" si="122"/>
        <v>1.1100000000000001</v>
      </c>
      <c r="N480" s="458">
        <f t="shared" si="122"/>
        <v>1.1100000000000001</v>
      </c>
      <c r="O480" s="458">
        <f t="shared" si="122"/>
        <v>1.1100000000000001</v>
      </c>
      <c r="P480" s="458">
        <f t="shared" si="122"/>
        <v>1.1100000000000001</v>
      </c>
      <c r="Q480" s="458">
        <f t="shared" si="122"/>
        <v>1.1100000000000001</v>
      </c>
    </row>
    <row r="481" spans="1:18" s="336" customFormat="1" x14ac:dyDescent="0.2">
      <c r="B481" s="336" t="s">
        <v>1071</v>
      </c>
      <c r="D481" s="444" t="s">
        <v>808</v>
      </c>
      <c r="E481" s="336" t="s">
        <v>67</v>
      </c>
      <c r="F481" s="458">
        <f t="shared" si="122"/>
        <v>121.2</v>
      </c>
      <c r="G481" s="458">
        <f t="shared" si="122"/>
        <v>121.2</v>
      </c>
      <c r="H481" s="458">
        <f t="shared" si="122"/>
        <v>121.2</v>
      </c>
      <c r="I481" s="458">
        <f t="shared" si="122"/>
        <v>124.1</v>
      </c>
      <c r="J481" s="458">
        <f t="shared" si="122"/>
        <v>124.1</v>
      </c>
      <c r="K481" s="458">
        <f t="shared" si="122"/>
        <v>124.1</v>
      </c>
      <c r="L481" s="458">
        <f t="shared" si="122"/>
        <v>124.1</v>
      </c>
      <c r="M481" s="458">
        <f t="shared" si="122"/>
        <v>124.1</v>
      </c>
      <c r="N481" s="458">
        <f t="shared" si="122"/>
        <v>124.1</v>
      </c>
      <c r="O481" s="458">
        <f t="shared" si="122"/>
        <v>124.1</v>
      </c>
      <c r="P481" s="458">
        <f t="shared" si="122"/>
        <v>124.1</v>
      </c>
      <c r="Q481" s="458">
        <f t="shared" si="122"/>
        <v>124.1</v>
      </c>
    </row>
    <row r="482" spans="1:18" s="336" customFormat="1" x14ac:dyDescent="0.2">
      <c r="M482" s="32"/>
      <c r="N482" s="32"/>
      <c r="O482" s="32"/>
      <c r="P482" s="32"/>
      <c r="Q482" s="32"/>
    </row>
    <row r="483" spans="1:18" s="336" customFormat="1" x14ac:dyDescent="0.2">
      <c r="B483" s="182" t="s">
        <v>982</v>
      </c>
      <c r="M483" s="32"/>
      <c r="N483" s="32"/>
      <c r="O483" s="32"/>
      <c r="P483" s="32"/>
      <c r="Q483" s="32"/>
    </row>
    <row r="484" spans="1:18" s="336" customFormat="1" x14ac:dyDescent="0.2">
      <c r="B484" s="336" t="s">
        <v>67</v>
      </c>
      <c r="D484" s="444" t="s">
        <v>808</v>
      </c>
      <c r="E484" s="336" t="s">
        <v>67</v>
      </c>
      <c r="F484" s="397">
        <f>'JKP-3.1c - Data'!C144</f>
        <v>15</v>
      </c>
      <c r="G484" s="397">
        <f>'JKP-3.1c - Data'!D144</f>
        <v>15</v>
      </c>
      <c r="H484" s="397">
        <f>'JKP-3.1c - Data'!E144</f>
        <v>14</v>
      </c>
      <c r="I484" s="397">
        <f>'JKP-3.1c - Data'!F144</f>
        <v>14</v>
      </c>
      <c r="J484" s="397">
        <f>'JKP-3.1c - Data'!G144</f>
        <v>14</v>
      </c>
      <c r="K484" s="397">
        <f>'JKP-3.1c - Data'!H144</f>
        <v>14</v>
      </c>
      <c r="L484" s="397">
        <f>'JKP-3.1c - Data'!I144</f>
        <v>14</v>
      </c>
      <c r="M484" s="397">
        <f>'JKP-3.1c - Data'!J144</f>
        <v>15</v>
      </c>
      <c r="N484" s="397">
        <f>'JKP-3.1c - Data'!K144</f>
        <v>15</v>
      </c>
      <c r="O484" s="397">
        <f>'JKP-3.1c - Data'!L144</f>
        <v>16</v>
      </c>
      <c r="P484" s="397">
        <f>'JKP-3.1c - Data'!M144</f>
        <v>16</v>
      </c>
      <c r="Q484" s="397">
        <f>'JKP-3.1c - Data'!N144</f>
        <v>16</v>
      </c>
      <c r="R484" s="362">
        <f>SUM(F484:Q484)</f>
        <v>178</v>
      </c>
    </row>
    <row r="485" spans="1:18" s="336" customFormat="1" x14ac:dyDescent="0.2">
      <c r="B485" s="336" t="s">
        <v>76</v>
      </c>
      <c r="F485" s="380"/>
      <c r="G485" s="380"/>
      <c r="H485" s="380"/>
      <c r="I485" s="380"/>
      <c r="J485" s="380"/>
      <c r="K485" s="380"/>
      <c r="L485" s="380"/>
      <c r="M485" s="380"/>
      <c r="N485" s="380"/>
      <c r="O485" s="380"/>
      <c r="P485" s="380"/>
      <c r="Q485" s="380"/>
    </row>
    <row r="486" spans="1:18" s="336" customFormat="1" x14ac:dyDescent="0.2">
      <c r="C486" s="336" t="s">
        <v>1073</v>
      </c>
      <c r="D486" s="444" t="s">
        <v>808</v>
      </c>
      <c r="E486" s="336" t="s">
        <v>10</v>
      </c>
      <c r="F486" s="380">
        <v>13500</v>
      </c>
      <c r="G486" s="380">
        <v>12853</v>
      </c>
      <c r="H486" s="380">
        <v>12600</v>
      </c>
      <c r="I486" s="380">
        <v>12600</v>
      </c>
      <c r="J486" s="380">
        <v>12600</v>
      </c>
      <c r="K486" s="380">
        <v>12600</v>
      </c>
      <c r="L486" s="380">
        <v>13500</v>
      </c>
      <c r="M486" s="380">
        <v>13500</v>
      </c>
      <c r="N486" s="380">
        <v>13500</v>
      </c>
      <c r="O486" s="380">
        <v>14400</v>
      </c>
      <c r="P486" s="380">
        <v>14400</v>
      </c>
      <c r="Q486" s="380">
        <v>14400</v>
      </c>
      <c r="R486" s="362">
        <f t="shared" ref="R486:R491" si="123">SUM(F486:Q486)</f>
        <v>160453</v>
      </c>
    </row>
    <row r="487" spans="1:18" s="336" customFormat="1" x14ac:dyDescent="0.2">
      <c r="C487" s="336" t="s">
        <v>1074</v>
      </c>
      <c r="D487" s="444" t="s">
        <v>808</v>
      </c>
      <c r="E487" s="336" t="s">
        <v>10</v>
      </c>
      <c r="F487" s="380">
        <v>61500</v>
      </c>
      <c r="G487" s="380">
        <v>57400</v>
      </c>
      <c r="H487" s="380">
        <v>57400</v>
      </c>
      <c r="I487" s="380">
        <v>57400</v>
      </c>
      <c r="J487" s="380">
        <v>57400</v>
      </c>
      <c r="K487" s="380">
        <v>57400</v>
      </c>
      <c r="L487" s="380">
        <v>61500</v>
      </c>
      <c r="M487" s="380">
        <v>61500</v>
      </c>
      <c r="N487" s="380">
        <v>61500</v>
      </c>
      <c r="O487" s="380">
        <v>65600</v>
      </c>
      <c r="P487" s="380">
        <v>65600</v>
      </c>
      <c r="Q487" s="380">
        <v>65600</v>
      </c>
      <c r="R487" s="362">
        <f t="shared" si="123"/>
        <v>729800</v>
      </c>
    </row>
    <row r="488" spans="1:18" s="336" customFormat="1" x14ac:dyDescent="0.2">
      <c r="C488" s="336" t="s">
        <v>1066</v>
      </c>
      <c r="D488" s="444" t="s">
        <v>808</v>
      </c>
      <c r="E488" s="336" t="s">
        <v>10</v>
      </c>
      <c r="F488" s="378">
        <f t="shared" ref="F488:M488" si="124">F489-SUM(F486:F487)</f>
        <v>234029</v>
      </c>
      <c r="G488" s="378">
        <f t="shared" si="124"/>
        <v>217802</v>
      </c>
      <c r="H488" s="378">
        <f t="shared" si="124"/>
        <v>258103</v>
      </c>
      <c r="I488" s="378">
        <f t="shared" si="124"/>
        <v>241349</v>
      </c>
      <c r="J488" s="378">
        <f t="shared" si="124"/>
        <v>217974</v>
      </c>
      <c r="K488" s="378">
        <f t="shared" si="124"/>
        <v>239899</v>
      </c>
      <c r="L488" s="378">
        <f t="shared" si="124"/>
        <v>330719</v>
      </c>
      <c r="M488" s="378">
        <f t="shared" si="124"/>
        <v>339751</v>
      </c>
      <c r="N488" s="378">
        <f>N489-SUM(N486:N487)</f>
        <v>318132</v>
      </c>
      <c r="O488" s="378">
        <f>O489-SUM(O486:O487)</f>
        <v>349271</v>
      </c>
      <c r="P488" s="378">
        <f>P489-SUM(P486:P487)</f>
        <v>399248</v>
      </c>
      <c r="Q488" s="378">
        <f>Q489-SUM(Q486:Q487)</f>
        <v>414758</v>
      </c>
      <c r="R488" s="362">
        <f t="shared" si="123"/>
        <v>3561035</v>
      </c>
    </row>
    <row r="489" spans="1:18" s="336" customFormat="1" x14ac:dyDescent="0.2">
      <c r="C489" s="336" t="s">
        <v>1075</v>
      </c>
      <c r="D489" s="444" t="s">
        <v>808</v>
      </c>
      <c r="E489" s="336" t="s">
        <v>10</v>
      </c>
      <c r="F489" s="443">
        <f>'JKP-3.1c - Therms Data'!E88</f>
        <v>309029</v>
      </c>
      <c r="G489" s="443">
        <f>'JKP-3.1c - Therms Data'!F88</f>
        <v>288055</v>
      </c>
      <c r="H489" s="443">
        <f>'JKP-3.1c - Therms Data'!G88</f>
        <v>328103</v>
      </c>
      <c r="I489" s="443">
        <f>'JKP-3.1c - Therms Data'!H88</f>
        <v>311349</v>
      </c>
      <c r="J489" s="443">
        <f>'JKP-3.1c - Therms Data'!I88</f>
        <v>287974</v>
      </c>
      <c r="K489" s="443">
        <f>'JKP-3.1c - Therms Data'!J88</f>
        <v>309899</v>
      </c>
      <c r="L489" s="443">
        <f>'JKP-3.1c - Therms Data'!K88</f>
        <v>405719</v>
      </c>
      <c r="M489" s="443">
        <f>'JKP-3.1c - Therms Data'!L88</f>
        <v>414751</v>
      </c>
      <c r="N489" s="443">
        <f>'JKP-3.1c - Therms Data'!M88</f>
        <v>393132</v>
      </c>
      <c r="O489" s="443">
        <f>'JKP-3.1c - Therms Data'!N88</f>
        <v>429271</v>
      </c>
      <c r="P489" s="443">
        <f>'JKP-3.1c - Therms Data'!O88</f>
        <v>479248</v>
      </c>
      <c r="Q489" s="443">
        <f>'JKP-3.1c - Therms Data'!P88</f>
        <v>494758</v>
      </c>
      <c r="R489" s="430">
        <f t="shared" si="123"/>
        <v>4451288</v>
      </c>
    </row>
    <row r="490" spans="1:18" s="336" customFormat="1" x14ac:dyDescent="0.2">
      <c r="B490" s="336" t="s">
        <v>74</v>
      </c>
      <c r="D490" s="444" t="s">
        <v>808</v>
      </c>
      <c r="E490" s="336" t="s">
        <v>1076</v>
      </c>
      <c r="F490" s="421">
        <f>'JKP-3.1c - Data'!C165</f>
        <v>16443</v>
      </c>
      <c r="G490" s="421">
        <f>'JKP-3.1c - Data'!D165</f>
        <v>16443</v>
      </c>
      <c r="H490" s="421">
        <f>'JKP-3.1c - Data'!E165</f>
        <v>14103</v>
      </c>
      <c r="I490" s="421">
        <f>'JKP-3.1c - Data'!F165</f>
        <v>14103</v>
      </c>
      <c r="J490" s="421">
        <f>'JKP-3.1c - Data'!G165</f>
        <v>14103.000000000002</v>
      </c>
      <c r="K490" s="421">
        <f>'JKP-3.1c - Data'!H165</f>
        <v>14103</v>
      </c>
      <c r="L490" s="421">
        <f>'JKP-3.1c - Data'!I165</f>
        <v>18197</v>
      </c>
      <c r="M490" s="421">
        <f>'JKP-3.1c - Data'!J165</f>
        <v>18309</v>
      </c>
      <c r="N490" s="421">
        <f>'JKP-3.1c - Data'!K165</f>
        <v>18309</v>
      </c>
      <c r="O490" s="421">
        <f>'JKP-3.1c - Data'!L165</f>
        <v>18309</v>
      </c>
      <c r="P490" s="421">
        <f>'JKP-3.1c - Data'!M165</f>
        <v>20237</v>
      </c>
      <c r="Q490" s="421">
        <f>'JKP-3.1c - Data'!N165</f>
        <v>20237</v>
      </c>
      <c r="R490" s="362">
        <f t="shared" si="123"/>
        <v>202896</v>
      </c>
    </row>
    <row r="491" spans="1:18" s="336" customFormat="1" x14ac:dyDescent="0.2">
      <c r="B491" s="336" t="s">
        <v>1071</v>
      </c>
      <c r="D491" s="444" t="s">
        <v>808</v>
      </c>
      <c r="E491" s="336" t="s">
        <v>67</v>
      </c>
      <c r="F491" s="398">
        <f t="shared" ref="F491:L491" si="125">F484</f>
        <v>15</v>
      </c>
      <c r="G491" s="398">
        <f t="shared" si="125"/>
        <v>15</v>
      </c>
      <c r="H491" s="398">
        <f t="shared" si="125"/>
        <v>14</v>
      </c>
      <c r="I491" s="398">
        <f t="shared" si="125"/>
        <v>14</v>
      </c>
      <c r="J491" s="398">
        <f t="shared" si="125"/>
        <v>14</v>
      </c>
      <c r="K491" s="398">
        <f t="shared" si="125"/>
        <v>14</v>
      </c>
      <c r="L491" s="398">
        <f t="shared" si="125"/>
        <v>14</v>
      </c>
      <c r="M491" s="398">
        <f>M484</f>
        <v>15</v>
      </c>
      <c r="N491" s="398">
        <f>N484</f>
        <v>15</v>
      </c>
      <c r="O491" s="398">
        <f>O484</f>
        <v>16</v>
      </c>
      <c r="P491" s="398">
        <f>P484</f>
        <v>16</v>
      </c>
      <c r="Q491" s="398">
        <f>Q484</f>
        <v>16</v>
      </c>
      <c r="R491" s="362">
        <f t="shared" si="123"/>
        <v>178</v>
      </c>
    </row>
    <row r="492" spans="1:18" s="336" customFormat="1" x14ac:dyDescent="0.2">
      <c r="F492" s="362"/>
      <c r="G492" s="362"/>
      <c r="H492" s="362"/>
      <c r="I492" s="362"/>
      <c r="J492" s="362"/>
      <c r="K492" s="362"/>
      <c r="L492" s="362"/>
      <c r="M492" s="279"/>
      <c r="N492" s="279"/>
      <c r="O492" s="279"/>
      <c r="P492" s="279"/>
      <c r="Q492" s="279"/>
    </row>
    <row r="493" spans="1:18" s="336" customFormat="1" x14ac:dyDescent="0.2">
      <c r="B493" s="182" t="s">
        <v>985</v>
      </c>
      <c r="M493" s="32"/>
      <c r="N493" s="32"/>
      <c r="O493" s="32"/>
      <c r="P493" s="32"/>
      <c r="Q493" s="32"/>
    </row>
    <row r="494" spans="1:18" s="336" customFormat="1" x14ac:dyDescent="0.2">
      <c r="A494" s="336" t="s">
        <v>1054</v>
      </c>
      <c r="B494" s="336" t="s">
        <v>1059</v>
      </c>
      <c r="D494" s="444" t="s">
        <v>808</v>
      </c>
      <c r="F494" s="364">
        <f t="shared" ref="F494:Q494" si="126">F474*F484</f>
        <v>6075</v>
      </c>
      <c r="G494" s="364">
        <f t="shared" si="126"/>
        <v>6075</v>
      </c>
      <c r="H494" s="364">
        <f t="shared" si="126"/>
        <v>5670</v>
      </c>
      <c r="I494" s="364">
        <f t="shared" si="126"/>
        <v>5805.52</v>
      </c>
      <c r="J494" s="364">
        <f t="shared" si="126"/>
        <v>5805.52</v>
      </c>
      <c r="K494" s="364">
        <f t="shared" si="126"/>
        <v>5805.52</v>
      </c>
      <c r="L494" s="364">
        <f t="shared" si="126"/>
        <v>5805.52</v>
      </c>
      <c r="M494" s="364">
        <f t="shared" si="126"/>
        <v>6220.2</v>
      </c>
      <c r="N494" s="364">
        <f t="shared" si="126"/>
        <v>6220.2</v>
      </c>
      <c r="O494" s="364">
        <f t="shared" si="126"/>
        <v>6634.88</v>
      </c>
      <c r="P494" s="364">
        <f t="shared" si="126"/>
        <v>6634.88</v>
      </c>
      <c r="Q494" s="364">
        <f t="shared" si="126"/>
        <v>6634.88</v>
      </c>
      <c r="R494" s="364">
        <f>SUM(F494:Q494)</f>
        <v>73387.12</v>
      </c>
    </row>
    <row r="495" spans="1:18" s="336" customFormat="1" x14ac:dyDescent="0.2">
      <c r="B495" s="336" t="s">
        <v>1047</v>
      </c>
      <c r="F495" s="364"/>
      <c r="G495" s="364"/>
      <c r="H495" s="364"/>
      <c r="I495" s="364"/>
      <c r="J495" s="364"/>
      <c r="K495" s="364"/>
      <c r="L495" s="364"/>
      <c r="M495" s="364"/>
      <c r="N495" s="364"/>
      <c r="O495" s="364"/>
      <c r="P495" s="364"/>
      <c r="Q495" s="364"/>
      <c r="R495" s="364"/>
    </row>
    <row r="496" spans="1:18" s="336" customFormat="1" x14ac:dyDescent="0.2">
      <c r="C496" s="336" t="s">
        <v>1073</v>
      </c>
      <c r="F496" s="350">
        <v>0</v>
      </c>
      <c r="G496" s="350">
        <v>0</v>
      </c>
      <c r="H496" s="350">
        <v>0</v>
      </c>
      <c r="I496" s="350">
        <v>0</v>
      </c>
      <c r="J496" s="350">
        <v>0</v>
      </c>
      <c r="K496" s="350">
        <v>0</v>
      </c>
      <c r="L496" s="350">
        <v>0</v>
      </c>
      <c r="M496" s="350">
        <v>0</v>
      </c>
      <c r="N496" s="350">
        <v>0</v>
      </c>
      <c r="O496" s="350">
        <v>0</v>
      </c>
      <c r="P496" s="350">
        <v>0</v>
      </c>
      <c r="Q496" s="350">
        <v>0</v>
      </c>
      <c r="R496" s="350">
        <f t="shared" ref="R496:R501" si="127">SUM(F496:Q496)</f>
        <v>0</v>
      </c>
    </row>
    <row r="497" spans="1:18" s="336" customFormat="1" x14ac:dyDescent="0.2">
      <c r="C497" s="336" t="s">
        <v>1074</v>
      </c>
      <c r="D497" s="444" t="s">
        <v>808</v>
      </c>
      <c r="F497" s="364">
        <f t="shared" ref="F497:Q498" si="128">F476*F487</f>
        <v>8282.2049999999999</v>
      </c>
      <c r="G497" s="364">
        <f t="shared" si="128"/>
        <v>7730.0580000000009</v>
      </c>
      <c r="H497" s="364">
        <f t="shared" si="128"/>
        <v>7730.0580000000009</v>
      </c>
      <c r="I497" s="364">
        <f t="shared" si="128"/>
        <v>7914.8860000000004</v>
      </c>
      <c r="J497" s="364">
        <f t="shared" si="128"/>
        <v>7914.8860000000004</v>
      </c>
      <c r="K497" s="364">
        <f t="shared" si="128"/>
        <v>7914.8860000000004</v>
      </c>
      <c r="L497" s="364">
        <f t="shared" si="128"/>
        <v>8480.2350000000006</v>
      </c>
      <c r="M497" s="364">
        <f t="shared" si="128"/>
        <v>8480.2350000000006</v>
      </c>
      <c r="N497" s="364">
        <f t="shared" si="128"/>
        <v>8480.2350000000006</v>
      </c>
      <c r="O497" s="364">
        <f t="shared" si="128"/>
        <v>9045.5840000000007</v>
      </c>
      <c r="P497" s="364">
        <f t="shared" si="128"/>
        <v>9045.5840000000007</v>
      </c>
      <c r="Q497" s="364">
        <f t="shared" si="128"/>
        <v>9045.5840000000007</v>
      </c>
      <c r="R497" s="364">
        <f t="shared" si="127"/>
        <v>100064.43600000002</v>
      </c>
    </row>
    <row r="498" spans="1:18" s="336" customFormat="1" x14ac:dyDescent="0.2">
      <c r="C498" s="336" t="s">
        <v>1066</v>
      </c>
      <c r="D498" s="444" t="s">
        <v>808</v>
      </c>
      <c r="F498" s="364">
        <f t="shared" si="128"/>
        <v>25719.787099999998</v>
      </c>
      <c r="G498" s="364">
        <f t="shared" si="128"/>
        <v>23936.4398</v>
      </c>
      <c r="H498" s="364">
        <f t="shared" si="128"/>
        <v>28365.519700000001</v>
      </c>
      <c r="I498" s="364">
        <f t="shared" si="128"/>
        <v>27159.002970000001</v>
      </c>
      <c r="J498" s="364">
        <f t="shared" si="128"/>
        <v>24528.614219999999</v>
      </c>
      <c r="K498" s="364">
        <f t="shared" si="128"/>
        <v>26995.834470000002</v>
      </c>
      <c r="L498" s="364">
        <f t="shared" si="128"/>
        <v>37215.809070000003</v>
      </c>
      <c r="M498" s="364">
        <f t="shared" si="128"/>
        <v>38232.180030000003</v>
      </c>
      <c r="N498" s="364">
        <f t="shared" si="128"/>
        <v>35799.393960000001</v>
      </c>
      <c r="O498" s="364">
        <f t="shared" si="128"/>
        <v>39303.465629999999</v>
      </c>
      <c r="P498" s="364">
        <f t="shared" si="128"/>
        <v>44927.377440000004</v>
      </c>
      <c r="Q498" s="364">
        <f t="shared" si="128"/>
        <v>46672.71774</v>
      </c>
      <c r="R498" s="364">
        <f t="shared" si="127"/>
        <v>398856.14212999999</v>
      </c>
    </row>
    <row r="499" spans="1:18" s="336" customFormat="1" x14ac:dyDescent="0.2">
      <c r="A499" s="336" t="s">
        <v>1054</v>
      </c>
      <c r="C499" s="336" t="s">
        <v>1077</v>
      </c>
      <c r="F499" s="365">
        <f t="shared" ref="F499:L499" si="129">SUM(F496:F498)</f>
        <v>34001.992099999996</v>
      </c>
      <c r="G499" s="365">
        <f t="shared" si="129"/>
        <v>31666.497800000001</v>
      </c>
      <c r="H499" s="365">
        <f t="shared" si="129"/>
        <v>36095.577700000002</v>
      </c>
      <c r="I499" s="365">
        <f t="shared" si="129"/>
        <v>35073.88897</v>
      </c>
      <c r="J499" s="365">
        <f t="shared" si="129"/>
        <v>32443.500220000002</v>
      </c>
      <c r="K499" s="365">
        <f t="shared" si="129"/>
        <v>34910.72047</v>
      </c>
      <c r="L499" s="365">
        <f t="shared" si="129"/>
        <v>45696.044070000004</v>
      </c>
      <c r="M499" s="365">
        <f>SUM(M496:M498)</f>
        <v>46712.415030000004</v>
      </c>
      <c r="N499" s="365">
        <f>SUM(N496:N498)</f>
        <v>44279.628960000002</v>
      </c>
      <c r="O499" s="365">
        <f>SUM(O496:O498)</f>
        <v>48349.049630000001</v>
      </c>
      <c r="P499" s="365">
        <f>SUM(P496:P498)</f>
        <v>53972.961440000006</v>
      </c>
      <c r="Q499" s="365">
        <f>SUM(Q496:Q498)</f>
        <v>55718.301740000003</v>
      </c>
      <c r="R499" s="365">
        <f t="shared" si="127"/>
        <v>498920.57813000004</v>
      </c>
    </row>
    <row r="500" spans="1:18" x14ac:dyDescent="0.2">
      <c r="A500" s="32" t="s">
        <v>1056</v>
      </c>
      <c r="B500" s="336" t="s">
        <v>1081</v>
      </c>
      <c r="D500" s="444" t="s">
        <v>808</v>
      </c>
      <c r="F500" s="418">
        <f t="shared" ref="F500:Q500" si="130">F478*F489</f>
        <v>216.3203</v>
      </c>
      <c r="G500" s="418">
        <f t="shared" si="130"/>
        <v>201.63849999999999</v>
      </c>
      <c r="H500" s="418">
        <f t="shared" si="130"/>
        <v>229.6721</v>
      </c>
      <c r="I500" s="418">
        <f t="shared" si="130"/>
        <v>217.9443</v>
      </c>
      <c r="J500" s="418">
        <f t="shared" si="130"/>
        <v>201.58179999999999</v>
      </c>
      <c r="K500" s="418">
        <f t="shared" si="130"/>
        <v>216.92930000000001</v>
      </c>
      <c r="L500" s="418">
        <f t="shared" si="130"/>
        <v>284.00330000000002</v>
      </c>
      <c r="M500" s="418">
        <f t="shared" si="130"/>
        <v>290.32569999999998</v>
      </c>
      <c r="N500" s="418">
        <f t="shared" si="130"/>
        <v>275.19240000000002</v>
      </c>
      <c r="O500" s="418">
        <f t="shared" si="130"/>
        <v>300.48969999999997</v>
      </c>
      <c r="P500" s="418">
        <f t="shared" si="130"/>
        <v>335.47359999999998</v>
      </c>
      <c r="Q500" s="418">
        <f t="shared" si="130"/>
        <v>346.3306</v>
      </c>
      <c r="R500" s="418">
        <f t="shared" si="127"/>
        <v>3115.9016000000001</v>
      </c>
    </row>
    <row r="501" spans="1:18" x14ac:dyDescent="0.2">
      <c r="A501" s="32" t="s">
        <v>1054</v>
      </c>
      <c r="B501" s="32" t="s">
        <v>1082</v>
      </c>
      <c r="F501" s="418">
        <f t="shared" ref="F501:Q503" si="131">F479*F489</f>
        <v>-1545.145</v>
      </c>
      <c r="G501" s="418">
        <f t="shared" si="131"/>
        <v>-1440.2750000000001</v>
      </c>
      <c r="H501" s="418">
        <f t="shared" si="131"/>
        <v>-1640.5150000000001</v>
      </c>
      <c r="I501" s="418">
        <f t="shared" si="131"/>
        <v>-1578.53943</v>
      </c>
      <c r="J501" s="418">
        <f t="shared" si="131"/>
        <v>-1460.02818</v>
      </c>
      <c r="K501" s="418">
        <f t="shared" si="131"/>
        <v>-1571.1879300000001</v>
      </c>
      <c r="L501" s="418">
        <f t="shared" si="131"/>
        <v>-2056.9953299999997</v>
      </c>
      <c r="M501" s="418">
        <f t="shared" si="131"/>
        <v>-2102.78757</v>
      </c>
      <c r="N501" s="418">
        <f t="shared" si="131"/>
        <v>-1993.1792399999999</v>
      </c>
      <c r="O501" s="418">
        <f t="shared" si="131"/>
        <v>-2176.4039699999998</v>
      </c>
      <c r="P501" s="418">
        <f t="shared" si="131"/>
        <v>-2429.7873599999998</v>
      </c>
      <c r="Q501" s="418">
        <f t="shared" si="131"/>
        <v>-2508.4230600000001</v>
      </c>
      <c r="R501" s="418">
        <f t="shared" si="127"/>
        <v>-22503.267069999998</v>
      </c>
    </row>
    <row r="502" spans="1:18" s="336" customFormat="1" x14ac:dyDescent="0.2">
      <c r="A502" s="336" t="s">
        <v>1054</v>
      </c>
      <c r="B502" s="336" t="s">
        <v>1069</v>
      </c>
      <c r="D502" s="444" t="s">
        <v>808</v>
      </c>
      <c r="F502" s="364">
        <f t="shared" si="131"/>
        <v>18087.300000000003</v>
      </c>
      <c r="G502" s="364">
        <f t="shared" si="131"/>
        <v>18087.300000000003</v>
      </c>
      <c r="H502" s="364">
        <f t="shared" si="131"/>
        <v>15513.300000000001</v>
      </c>
      <c r="I502" s="364">
        <f t="shared" si="131"/>
        <v>15654.330000000002</v>
      </c>
      <c r="J502" s="364">
        <f t="shared" si="131"/>
        <v>15654.330000000004</v>
      </c>
      <c r="K502" s="364">
        <f t="shared" si="131"/>
        <v>15654.330000000002</v>
      </c>
      <c r="L502" s="364">
        <f t="shared" si="131"/>
        <v>20198.670000000002</v>
      </c>
      <c r="M502" s="364">
        <f t="shared" si="131"/>
        <v>20322.990000000002</v>
      </c>
      <c r="N502" s="364">
        <f t="shared" si="131"/>
        <v>20322.990000000002</v>
      </c>
      <c r="O502" s="364">
        <f t="shared" si="131"/>
        <v>20322.990000000002</v>
      </c>
      <c r="P502" s="364">
        <f t="shared" si="131"/>
        <v>22463.070000000003</v>
      </c>
      <c r="Q502" s="364">
        <f t="shared" si="131"/>
        <v>22463.070000000003</v>
      </c>
      <c r="R502" s="364">
        <f>SUM(F502:Q502)</f>
        <v>224744.67</v>
      </c>
    </row>
    <row r="503" spans="1:18" s="336" customFormat="1" x14ac:dyDescent="0.2">
      <c r="A503" s="336" t="s">
        <v>1054</v>
      </c>
      <c r="B503" s="336" t="s">
        <v>1071</v>
      </c>
      <c r="D503" s="444" t="s">
        <v>808</v>
      </c>
      <c r="F503" s="418">
        <f t="shared" si="131"/>
        <v>1818</v>
      </c>
      <c r="G503" s="418">
        <f t="shared" si="131"/>
        <v>1818</v>
      </c>
      <c r="H503" s="418">
        <f t="shared" si="131"/>
        <v>1696.8</v>
      </c>
      <c r="I503" s="418">
        <f t="shared" si="131"/>
        <v>1737.3999999999999</v>
      </c>
      <c r="J503" s="418">
        <f t="shared" si="131"/>
        <v>1737.3999999999999</v>
      </c>
      <c r="K503" s="418">
        <f t="shared" si="131"/>
        <v>1737.3999999999999</v>
      </c>
      <c r="L503" s="418">
        <f t="shared" si="131"/>
        <v>1737.3999999999999</v>
      </c>
      <c r="M503" s="418">
        <f>M481*M491</f>
        <v>1861.5</v>
      </c>
      <c r="N503" s="418">
        <f>N481*N491</f>
        <v>1861.5</v>
      </c>
      <c r="O503" s="418">
        <f>O481*O491</f>
        <v>1985.6</v>
      </c>
      <c r="P503" s="418">
        <f>P481*P491</f>
        <v>1985.6</v>
      </c>
      <c r="Q503" s="418">
        <f>Q481*Q491</f>
        <v>1985.6</v>
      </c>
      <c r="R503" s="418">
        <f>SUM(F503:Q503)</f>
        <v>21962.199999999997</v>
      </c>
    </row>
    <row r="504" spans="1:18" s="336" customFormat="1" x14ac:dyDescent="0.2">
      <c r="B504" s="336" t="s">
        <v>986</v>
      </c>
      <c r="F504" s="339">
        <f>F494+F499+F502+F503+F500+F501</f>
        <v>58653.467400000001</v>
      </c>
      <c r="G504" s="339">
        <f t="shared" ref="G504:R504" si="132">G494+G499+G502+G503+G500+G501</f>
        <v>56408.1613</v>
      </c>
      <c r="H504" s="339">
        <f t="shared" si="132"/>
        <v>57564.834800000011</v>
      </c>
      <c r="I504" s="339">
        <f t="shared" si="132"/>
        <v>56910.543840000013</v>
      </c>
      <c r="J504" s="339">
        <f t="shared" si="132"/>
        <v>54382.303840000008</v>
      </c>
      <c r="K504" s="339">
        <f t="shared" si="132"/>
        <v>56753.711840000011</v>
      </c>
      <c r="L504" s="339">
        <f t="shared" si="132"/>
        <v>71664.642039999992</v>
      </c>
      <c r="M504" s="339">
        <f t="shared" si="132"/>
        <v>73304.643160000007</v>
      </c>
      <c r="N504" s="339">
        <f t="shared" si="132"/>
        <v>70966.332120000006</v>
      </c>
      <c r="O504" s="339">
        <f t="shared" si="132"/>
        <v>75416.605360000016</v>
      </c>
      <c r="P504" s="339">
        <f t="shared" si="132"/>
        <v>82962.197680000012</v>
      </c>
      <c r="Q504" s="339">
        <f t="shared" si="132"/>
        <v>84639.759280000013</v>
      </c>
      <c r="R504" s="339">
        <f t="shared" si="132"/>
        <v>799627.20266000007</v>
      </c>
    </row>
    <row r="505" spans="1:18" s="336" customFormat="1" x14ac:dyDescent="0.2">
      <c r="F505" s="415"/>
      <c r="G505" s="415"/>
      <c r="H505" s="415"/>
      <c r="I505" s="415"/>
      <c r="J505" s="415"/>
    </row>
    <row r="506" spans="1:18" s="336" customFormat="1" x14ac:dyDescent="0.2">
      <c r="A506" s="336" t="s">
        <v>1058</v>
      </c>
      <c r="B506" s="336" t="s">
        <v>1050</v>
      </c>
      <c r="F506" s="340">
        <f>F500</f>
        <v>216.3203</v>
      </c>
      <c r="G506" s="340">
        <f t="shared" ref="G506:Q506" si="133">G500</f>
        <v>201.63849999999999</v>
      </c>
      <c r="H506" s="340">
        <f t="shared" si="133"/>
        <v>229.6721</v>
      </c>
      <c r="I506" s="340">
        <f t="shared" si="133"/>
        <v>217.9443</v>
      </c>
      <c r="J506" s="340">
        <f t="shared" si="133"/>
        <v>201.58179999999999</v>
      </c>
      <c r="K506" s="340">
        <f t="shared" si="133"/>
        <v>216.92930000000001</v>
      </c>
      <c r="L506" s="340">
        <f t="shared" si="133"/>
        <v>284.00330000000002</v>
      </c>
      <c r="M506" s="340">
        <f t="shared" si="133"/>
        <v>290.32569999999998</v>
      </c>
      <c r="N506" s="340">
        <f t="shared" si="133"/>
        <v>275.19240000000002</v>
      </c>
      <c r="O506" s="340">
        <f t="shared" si="133"/>
        <v>300.48969999999997</v>
      </c>
      <c r="P506" s="340">
        <f t="shared" si="133"/>
        <v>335.47359999999998</v>
      </c>
      <c r="Q506" s="340">
        <f t="shared" si="133"/>
        <v>346.3306</v>
      </c>
      <c r="R506" s="418">
        <f>SUM(F506:Q506)</f>
        <v>3115.9016000000001</v>
      </c>
    </row>
    <row r="507" spans="1:18" s="336" customFormat="1" x14ac:dyDescent="0.2">
      <c r="F507" s="415"/>
      <c r="G507" s="415"/>
      <c r="H507" s="415"/>
      <c r="I507" s="415"/>
      <c r="J507" s="415"/>
    </row>
    <row r="508" spans="1:18" x14ac:dyDescent="0.2">
      <c r="B508" s="276" t="s">
        <v>1103</v>
      </c>
      <c r="C508" s="276"/>
      <c r="F508" s="390"/>
      <c r="G508" s="390"/>
      <c r="H508" s="390"/>
      <c r="I508" s="390"/>
      <c r="J508" s="390"/>
    </row>
    <row r="509" spans="1:18" x14ac:dyDescent="0.2">
      <c r="B509" s="276" t="s">
        <v>5</v>
      </c>
      <c r="C509" s="276"/>
      <c r="F509" s="390"/>
      <c r="G509" s="390"/>
      <c r="H509" s="390"/>
      <c r="I509" s="390"/>
      <c r="J509" s="390"/>
    </row>
    <row r="510" spans="1:18" x14ac:dyDescent="0.2">
      <c r="B510" s="32" t="s">
        <v>1059</v>
      </c>
      <c r="D510" s="444" t="s">
        <v>809</v>
      </c>
      <c r="E510" s="32" t="s">
        <v>976</v>
      </c>
      <c r="F510" s="413">
        <f t="shared" ref="F510:N510" si="134">F182</f>
        <v>859.39</v>
      </c>
      <c r="G510" s="413">
        <f t="shared" si="134"/>
        <v>859.39</v>
      </c>
      <c r="H510" s="413">
        <f t="shared" si="134"/>
        <v>859.39</v>
      </c>
      <c r="I510" s="413">
        <f t="shared" si="134"/>
        <v>871.59</v>
      </c>
      <c r="J510" s="413">
        <f t="shared" si="134"/>
        <v>871.59</v>
      </c>
      <c r="K510" s="413">
        <f t="shared" si="134"/>
        <v>871.59</v>
      </c>
      <c r="L510" s="413">
        <f t="shared" si="134"/>
        <v>871.59</v>
      </c>
      <c r="M510" s="454">
        <f t="shared" si="134"/>
        <v>871.59</v>
      </c>
      <c r="N510" s="454">
        <f t="shared" si="134"/>
        <v>871.59</v>
      </c>
      <c r="O510" s="454">
        <f>O182</f>
        <v>871.59</v>
      </c>
      <c r="P510" s="454">
        <f>P182</f>
        <v>871.59</v>
      </c>
      <c r="Q510" s="454">
        <f>Q182</f>
        <v>871.59</v>
      </c>
    </row>
    <row r="511" spans="1:18" x14ac:dyDescent="0.2">
      <c r="B511" s="32" t="s">
        <v>1047</v>
      </c>
      <c r="F511" s="393"/>
      <c r="G511" s="393"/>
      <c r="H511" s="393"/>
      <c r="I511" s="393"/>
      <c r="J511" s="393"/>
      <c r="K511" s="393"/>
      <c r="L511" s="393"/>
      <c r="M511" s="453"/>
      <c r="N511" s="453"/>
      <c r="O511" s="453"/>
      <c r="P511" s="453"/>
      <c r="Q511" s="453"/>
    </row>
    <row r="512" spans="1:18" x14ac:dyDescent="0.2">
      <c r="C512" s="32" t="s">
        <v>1086</v>
      </c>
      <c r="D512" s="444" t="s">
        <v>809</v>
      </c>
      <c r="E512" s="32" t="s">
        <v>957</v>
      </c>
      <c r="F512" s="393">
        <f t="shared" ref="F512:Q516" si="135">F184</f>
        <v>0.10086000000000001</v>
      </c>
      <c r="G512" s="393">
        <f t="shared" si="135"/>
        <v>0.10086000000000001</v>
      </c>
      <c r="H512" s="393">
        <f t="shared" si="135"/>
        <v>0.10086000000000001</v>
      </c>
      <c r="I512" s="393">
        <f t="shared" si="135"/>
        <v>0.10229000000000001</v>
      </c>
      <c r="J512" s="393">
        <f t="shared" si="135"/>
        <v>0.10229000000000001</v>
      </c>
      <c r="K512" s="393">
        <f t="shared" si="135"/>
        <v>0.10229000000000001</v>
      </c>
      <c r="L512" s="393">
        <f t="shared" si="135"/>
        <v>0.10229000000000001</v>
      </c>
      <c r="M512" s="459">
        <f t="shared" si="135"/>
        <v>0.10229000000000001</v>
      </c>
      <c r="N512" s="459">
        <f t="shared" si="135"/>
        <v>0.10229000000000001</v>
      </c>
      <c r="O512" s="459">
        <f t="shared" si="135"/>
        <v>0.10229000000000001</v>
      </c>
      <c r="P512" s="459">
        <f t="shared" si="135"/>
        <v>0.10229000000000001</v>
      </c>
      <c r="Q512" s="459">
        <f t="shared" si="135"/>
        <v>0.10229000000000001</v>
      </c>
    </row>
    <row r="513" spans="2:18" x14ac:dyDescent="0.2">
      <c r="C513" s="32" t="s">
        <v>1087</v>
      </c>
      <c r="D513" s="444" t="s">
        <v>809</v>
      </c>
      <c r="E513" s="32" t="s">
        <v>957</v>
      </c>
      <c r="F513" s="393">
        <f t="shared" si="135"/>
        <v>5.1709999999999999E-2</v>
      </c>
      <c r="G513" s="393">
        <f t="shared" si="135"/>
        <v>5.1709999999999999E-2</v>
      </c>
      <c r="H513" s="393">
        <f t="shared" si="135"/>
        <v>5.1709999999999999E-2</v>
      </c>
      <c r="I513" s="393">
        <f t="shared" si="135"/>
        <v>5.2440000000000001E-2</v>
      </c>
      <c r="J513" s="393">
        <f t="shared" si="135"/>
        <v>5.2440000000000001E-2</v>
      </c>
      <c r="K513" s="393">
        <f t="shared" si="135"/>
        <v>5.2440000000000001E-2</v>
      </c>
      <c r="L513" s="393">
        <f t="shared" si="135"/>
        <v>5.2440000000000001E-2</v>
      </c>
      <c r="M513" s="459">
        <f t="shared" si="135"/>
        <v>5.2440000000000001E-2</v>
      </c>
      <c r="N513" s="459">
        <f t="shared" si="135"/>
        <v>5.2440000000000001E-2</v>
      </c>
      <c r="O513" s="459">
        <f t="shared" si="135"/>
        <v>5.2440000000000001E-2</v>
      </c>
      <c r="P513" s="459">
        <f t="shared" si="135"/>
        <v>5.2440000000000001E-2</v>
      </c>
      <c r="Q513" s="459">
        <f t="shared" si="135"/>
        <v>5.2440000000000001E-2</v>
      </c>
    </row>
    <row r="514" spans="2:18" x14ac:dyDescent="0.2">
      <c r="C514" s="32" t="s">
        <v>1088</v>
      </c>
      <c r="D514" s="444" t="s">
        <v>809</v>
      </c>
      <c r="E514" s="32" t="s">
        <v>957</v>
      </c>
      <c r="F514" s="393">
        <f t="shared" si="135"/>
        <v>4.9630000000000001E-2</v>
      </c>
      <c r="G514" s="393">
        <f t="shared" si="135"/>
        <v>4.9630000000000001E-2</v>
      </c>
      <c r="H514" s="393">
        <f t="shared" si="135"/>
        <v>4.9630000000000001E-2</v>
      </c>
      <c r="I514" s="393">
        <f t="shared" si="135"/>
        <v>5.033E-2</v>
      </c>
      <c r="J514" s="393">
        <f t="shared" si="135"/>
        <v>5.033E-2</v>
      </c>
      <c r="K514" s="393">
        <f t="shared" si="135"/>
        <v>5.033E-2</v>
      </c>
      <c r="L514" s="393">
        <f t="shared" si="135"/>
        <v>5.033E-2</v>
      </c>
      <c r="M514" s="459">
        <f t="shared" si="135"/>
        <v>5.033E-2</v>
      </c>
      <c r="N514" s="459">
        <f t="shared" si="135"/>
        <v>5.033E-2</v>
      </c>
      <c r="O514" s="459">
        <f t="shared" si="135"/>
        <v>5.033E-2</v>
      </c>
      <c r="P514" s="459">
        <f t="shared" si="135"/>
        <v>5.033E-2</v>
      </c>
      <c r="Q514" s="459">
        <f t="shared" si="135"/>
        <v>5.033E-2</v>
      </c>
    </row>
    <row r="515" spans="2:18" x14ac:dyDescent="0.2">
      <c r="B515" s="336" t="s">
        <v>1081</v>
      </c>
      <c r="D515" s="382" t="s">
        <v>809</v>
      </c>
      <c r="E515" s="336" t="s">
        <v>957</v>
      </c>
      <c r="F515" s="393">
        <f t="shared" si="135"/>
        <v>6.9999999999999999E-4</v>
      </c>
      <c r="G515" s="393">
        <f t="shared" si="135"/>
        <v>6.9999999999999999E-4</v>
      </c>
      <c r="H515" s="393">
        <f t="shared" si="135"/>
        <v>6.9999999999999999E-4</v>
      </c>
      <c r="I515" s="393">
        <f t="shared" si="135"/>
        <v>6.9999999999999999E-4</v>
      </c>
      <c r="J515" s="393">
        <f t="shared" si="135"/>
        <v>6.9999999999999999E-4</v>
      </c>
      <c r="K515" s="393">
        <f t="shared" si="135"/>
        <v>6.9999999999999999E-4</v>
      </c>
      <c r="L515" s="393">
        <f t="shared" si="135"/>
        <v>6.9999999999999999E-4</v>
      </c>
      <c r="M515" s="459">
        <f t="shared" si="135"/>
        <v>6.9999999999999999E-4</v>
      </c>
      <c r="N515" s="459">
        <f t="shared" si="135"/>
        <v>6.9999999999999999E-4</v>
      </c>
      <c r="O515" s="459">
        <f t="shared" si="135"/>
        <v>6.9999999999999999E-4</v>
      </c>
      <c r="P515" s="459">
        <f t="shared" si="135"/>
        <v>6.9999999999999999E-4</v>
      </c>
      <c r="Q515" s="459">
        <f t="shared" si="135"/>
        <v>6.9999999999999999E-4</v>
      </c>
    </row>
    <row r="516" spans="2:18" x14ac:dyDescent="0.2">
      <c r="B516" s="32" t="s">
        <v>1069</v>
      </c>
      <c r="D516" s="32">
        <v>101</v>
      </c>
      <c r="E516" s="32" t="s">
        <v>957</v>
      </c>
      <c r="F516" s="413">
        <f t="shared" si="135"/>
        <v>1.1000000000000001</v>
      </c>
      <c r="G516" s="413">
        <f t="shared" si="135"/>
        <v>1.1000000000000001</v>
      </c>
      <c r="H516" s="413">
        <f t="shared" si="135"/>
        <v>1.1000000000000001</v>
      </c>
      <c r="I516" s="413">
        <f t="shared" si="135"/>
        <v>1.1100000000000001</v>
      </c>
      <c r="J516" s="413">
        <f t="shared" si="135"/>
        <v>1.1100000000000001</v>
      </c>
      <c r="K516" s="413">
        <f t="shared" si="135"/>
        <v>1.1100000000000001</v>
      </c>
      <c r="L516" s="413">
        <f t="shared" si="135"/>
        <v>1.1100000000000001</v>
      </c>
      <c r="M516" s="460">
        <f t="shared" si="135"/>
        <v>1.1100000000000001</v>
      </c>
      <c r="N516" s="460">
        <f t="shared" si="135"/>
        <v>1.1100000000000001</v>
      </c>
      <c r="O516" s="460">
        <f t="shared" si="135"/>
        <v>1.1100000000000001</v>
      </c>
      <c r="P516" s="460">
        <f t="shared" si="135"/>
        <v>1.1100000000000001</v>
      </c>
      <c r="Q516" s="460">
        <f t="shared" si="135"/>
        <v>1.1100000000000001</v>
      </c>
    </row>
    <row r="517" spans="2:18" s="336" customFormat="1" x14ac:dyDescent="0.2">
      <c r="B517" s="336" t="s">
        <v>1071</v>
      </c>
      <c r="D517" s="444" t="s">
        <v>809</v>
      </c>
      <c r="E517" s="336" t="s">
        <v>67</v>
      </c>
      <c r="F517" s="442"/>
      <c r="G517" s="442"/>
      <c r="H517" s="442"/>
      <c r="I517" s="442"/>
      <c r="J517" s="442"/>
      <c r="K517" s="442"/>
      <c r="L517" s="442"/>
      <c r="M517" s="442"/>
      <c r="N517" s="442"/>
      <c r="O517" s="442"/>
      <c r="P517" s="442"/>
      <c r="Q517" s="442"/>
    </row>
    <row r="518" spans="2:18" s="336" customFormat="1" x14ac:dyDescent="0.2">
      <c r="F518" s="415"/>
      <c r="G518" s="415"/>
      <c r="H518" s="415"/>
      <c r="I518" s="415"/>
      <c r="J518" s="415"/>
    </row>
    <row r="519" spans="2:18" s="336" customFormat="1" x14ac:dyDescent="0.2">
      <c r="B519" s="182" t="s">
        <v>1083</v>
      </c>
      <c r="F519" s="415"/>
      <c r="G519" s="415"/>
      <c r="H519" s="415"/>
      <c r="I519" s="415"/>
      <c r="J519" s="415"/>
    </row>
    <row r="520" spans="2:18" s="336" customFormat="1" x14ac:dyDescent="0.2">
      <c r="B520" s="336" t="s">
        <v>67</v>
      </c>
      <c r="D520" s="444" t="s">
        <v>809</v>
      </c>
      <c r="E520" s="336" t="s">
        <v>67</v>
      </c>
      <c r="F520" s="421">
        <f>'JKP-3.1c - Data'!C149</f>
        <v>63</v>
      </c>
      <c r="G520" s="421">
        <f>'JKP-3.1c - Data'!D149</f>
        <v>65</v>
      </c>
      <c r="H520" s="421">
        <f>'JKP-3.1c - Data'!E149</f>
        <v>64</v>
      </c>
      <c r="I520" s="421">
        <f>'JKP-3.1c - Data'!F149</f>
        <v>64</v>
      </c>
      <c r="J520" s="421">
        <f>'JKP-3.1c - Data'!G149</f>
        <v>63.999999999999993</v>
      </c>
      <c r="K520" s="421">
        <f>'JKP-3.1c - Data'!H149</f>
        <v>63</v>
      </c>
      <c r="L520" s="421">
        <f>'JKP-3.1c - Data'!I149</f>
        <v>63</v>
      </c>
      <c r="M520" s="421">
        <f>'JKP-3.1c - Data'!J149</f>
        <v>62</v>
      </c>
      <c r="N520" s="421">
        <f>'JKP-3.1c - Data'!K149</f>
        <v>62</v>
      </c>
      <c r="O520" s="421">
        <f>'JKP-3.1c - Data'!L149</f>
        <v>62</v>
      </c>
      <c r="P520" s="421">
        <f>'JKP-3.1c - Data'!M149</f>
        <v>62</v>
      </c>
      <c r="Q520" s="421">
        <f>'JKP-3.1c - Data'!N149</f>
        <v>63</v>
      </c>
      <c r="R520" s="378">
        <f>SUM(F520:Q520)</f>
        <v>757</v>
      </c>
    </row>
    <row r="521" spans="2:18" s="336" customFormat="1" x14ac:dyDescent="0.2">
      <c r="B521" s="336" t="s">
        <v>76</v>
      </c>
      <c r="F521" s="380"/>
      <c r="G521" s="380"/>
      <c r="H521" s="380"/>
      <c r="I521" s="380"/>
      <c r="J521" s="380"/>
      <c r="K521" s="380"/>
      <c r="L521" s="380"/>
      <c r="M521" s="380"/>
      <c r="N521" s="380"/>
      <c r="O521" s="380"/>
      <c r="P521" s="380"/>
      <c r="Q521" s="380"/>
      <c r="R521" s="378"/>
    </row>
    <row r="522" spans="2:18" s="336" customFormat="1" x14ac:dyDescent="0.2">
      <c r="C522" s="336" t="s">
        <v>1086</v>
      </c>
      <c r="D522" s="444" t="s">
        <v>809</v>
      </c>
      <c r="E522" s="336" t="s">
        <v>10</v>
      </c>
      <c r="F522" s="380">
        <v>1300086</v>
      </c>
      <c r="G522" s="380">
        <v>1359088</v>
      </c>
      <c r="H522" s="380">
        <v>1447827</v>
      </c>
      <c r="I522" s="380">
        <v>1448608</v>
      </c>
      <c r="J522" s="380">
        <v>1479655</v>
      </c>
      <c r="K522" s="380">
        <v>1475803</v>
      </c>
      <c r="L522" s="380">
        <v>1391248</v>
      </c>
      <c r="M522" s="380">
        <v>1400299</v>
      </c>
      <c r="N522" s="380">
        <v>1390439</v>
      </c>
      <c r="O522" s="380">
        <v>1452877</v>
      </c>
      <c r="P522" s="380">
        <v>1410443</v>
      </c>
      <c r="Q522" s="380">
        <v>1317754</v>
      </c>
      <c r="R522" s="378">
        <f>SUM(F522:Q522)</f>
        <v>16874127</v>
      </c>
    </row>
    <row r="523" spans="2:18" s="336" customFormat="1" x14ac:dyDescent="0.2">
      <c r="C523" s="336" t="s">
        <v>1087</v>
      </c>
      <c r="D523" s="444" t="s">
        <v>809</v>
      </c>
      <c r="E523" s="336" t="s">
        <v>10</v>
      </c>
      <c r="F523" s="380">
        <v>764738</v>
      </c>
      <c r="G523" s="380">
        <v>756676</v>
      </c>
      <c r="H523" s="380">
        <v>896677</v>
      </c>
      <c r="I523" s="380">
        <v>849173</v>
      </c>
      <c r="J523" s="380">
        <v>812946</v>
      </c>
      <c r="K523" s="380">
        <v>944272</v>
      </c>
      <c r="L523" s="380">
        <v>836907</v>
      </c>
      <c r="M523" s="380">
        <v>863182</v>
      </c>
      <c r="N523" s="380">
        <v>882239</v>
      </c>
      <c r="O523" s="380">
        <v>913470</v>
      </c>
      <c r="P523" s="380">
        <v>811150</v>
      </c>
      <c r="Q523" s="380">
        <v>735474</v>
      </c>
      <c r="R523" s="378">
        <f>SUM(F523:Q523)</f>
        <v>10066904</v>
      </c>
    </row>
    <row r="524" spans="2:18" s="336" customFormat="1" x14ac:dyDescent="0.2">
      <c r="C524" s="336" t="s">
        <v>1088</v>
      </c>
      <c r="D524" s="444" t="s">
        <v>809</v>
      </c>
      <c r="E524" s="336" t="s">
        <v>10</v>
      </c>
      <c r="F524" s="378">
        <f t="shared" ref="F524:M524" si="136">F525-SUM(F522:F523)</f>
        <v>1132089</v>
      </c>
      <c r="G524" s="378">
        <f t="shared" si="136"/>
        <v>1035200</v>
      </c>
      <c r="H524" s="378">
        <f t="shared" si="136"/>
        <v>1281979</v>
      </c>
      <c r="I524" s="378">
        <f t="shared" si="136"/>
        <v>1215482</v>
      </c>
      <c r="J524" s="378">
        <f t="shared" si="136"/>
        <v>1282290</v>
      </c>
      <c r="K524" s="378">
        <f t="shared" si="136"/>
        <v>1564170</v>
      </c>
      <c r="L524" s="378">
        <f t="shared" si="136"/>
        <v>1336969</v>
      </c>
      <c r="M524" s="378">
        <f t="shared" si="136"/>
        <v>1411813</v>
      </c>
      <c r="N524" s="378">
        <f>N525-SUM(N522:N523)</f>
        <v>1154727</v>
      </c>
      <c r="O524" s="378">
        <f>O525-SUM(O522:O523)</f>
        <v>1275791</v>
      </c>
      <c r="P524" s="378">
        <f>P525-SUM(P522:P523)</f>
        <v>1281982</v>
      </c>
      <c r="Q524" s="378">
        <f>Q525-SUM(Q522:Q523)</f>
        <v>1188277</v>
      </c>
      <c r="R524" s="378">
        <f>SUM(F524:Q524)</f>
        <v>15160769</v>
      </c>
    </row>
    <row r="525" spans="2:18" s="336" customFormat="1" x14ac:dyDescent="0.2">
      <c r="C525" s="336" t="s">
        <v>1075</v>
      </c>
      <c r="D525" s="444" t="s">
        <v>809</v>
      </c>
      <c r="E525" s="336" t="s">
        <v>10</v>
      </c>
      <c r="F525" s="445">
        <f>'JKP-3.1c - Therms Data'!E91</f>
        <v>3196913</v>
      </c>
      <c r="G525" s="445">
        <f>'JKP-3.1c - Therms Data'!F91</f>
        <v>3150964</v>
      </c>
      <c r="H525" s="445">
        <f>'JKP-3.1c - Therms Data'!G91</f>
        <v>3626483</v>
      </c>
      <c r="I525" s="445">
        <f>'JKP-3.1c - Therms Data'!H91</f>
        <v>3513263</v>
      </c>
      <c r="J525" s="445">
        <f>'JKP-3.1c - Therms Data'!I91</f>
        <v>3574891</v>
      </c>
      <c r="K525" s="445">
        <f>'JKP-3.1c - Therms Data'!J91</f>
        <v>3984245</v>
      </c>
      <c r="L525" s="445">
        <f>'JKP-3.1c - Therms Data'!K91</f>
        <v>3565124</v>
      </c>
      <c r="M525" s="445">
        <f>'JKP-3.1c - Therms Data'!L91</f>
        <v>3675294</v>
      </c>
      <c r="N525" s="445">
        <f>'JKP-3.1c - Therms Data'!M91</f>
        <v>3427405</v>
      </c>
      <c r="O525" s="445">
        <f>'JKP-3.1c - Therms Data'!N91</f>
        <v>3642138</v>
      </c>
      <c r="P525" s="445">
        <f>'JKP-3.1c - Therms Data'!O91</f>
        <v>3503575</v>
      </c>
      <c r="Q525" s="445">
        <f>'JKP-3.1c - Therms Data'!P91</f>
        <v>3241505</v>
      </c>
      <c r="R525" s="436">
        <f>SUM(F525:Q525)</f>
        <v>42101800</v>
      </c>
    </row>
    <row r="526" spans="2:18" s="336" customFormat="1" x14ac:dyDescent="0.2">
      <c r="B526" s="336" t="s">
        <v>74</v>
      </c>
      <c r="D526" s="444" t="s">
        <v>809</v>
      </c>
      <c r="E526" s="336" t="s">
        <v>1076</v>
      </c>
      <c r="F526" s="421">
        <f>'JKP-3.1c - Data'!C169</f>
        <v>41254</v>
      </c>
      <c r="G526" s="421">
        <f>'JKP-3.1c - Data'!D169</f>
        <v>38204</v>
      </c>
      <c r="H526" s="421">
        <f>'JKP-3.1c - Data'!E169</f>
        <v>38204</v>
      </c>
      <c r="I526" s="421">
        <f>'JKP-3.1c - Data'!F169</f>
        <v>38204</v>
      </c>
      <c r="J526" s="421">
        <f>'JKP-3.1c - Data'!G169</f>
        <v>35704</v>
      </c>
      <c r="K526" s="421">
        <f>'JKP-3.1c - Data'!H169</f>
        <v>35704</v>
      </c>
      <c r="L526" s="421">
        <f>'JKP-3.1c - Data'!I169</f>
        <v>35704</v>
      </c>
      <c r="M526" s="421">
        <f>'JKP-3.1c - Data'!J169</f>
        <v>35584</v>
      </c>
      <c r="N526" s="421">
        <f>'JKP-3.1c - Data'!K169</f>
        <v>35584</v>
      </c>
      <c r="O526" s="421">
        <f>'JKP-3.1c - Data'!L169</f>
        <v>35584</v>
      </c>
      <c r="P526" s="421">
        <f>'JKP-3.1c - Data'!M169</f>
        <v>35584</v>
      </c>
      <c r="Q526" s="421">
        <f>'JKP-3.1c - Data'!N169</f>
        <v>35601</v>
      </c>
      <c r="R526" s="378">
        <f>SUM(F526:Q526)</f>
        <v>440915</v>
      </c>
    </row>
    <row r="527" spans="2:18" s="336" customFormat="1" x14ac:dyDescent="0.2">
      <c r="B527" s="336" t="s">
        <v>1071</v>
      </c>
      <c r="D527" s="382"/>
      <c r="F527" s="380"/>
      <c r="G527" s="380"/>
      <c r="H527" s="380"/>
      <c r="I527" s="380"/>
      <c r="J527" s="380"/>
      <c r="K527" s="380"/>
      <c r="L527" s="380"/>
      <c r="M527" s="380"/>
      <c r="N527" s="380"/>
      <c r="O527" s="380"/>
      <c r="P527" s="380"/>
      <c r="Q527" s="380"/>
      <c r="R527" s="380"/>
    </row>
    <row r="528" spans="2:18" s="336" customFormat="1" x14ac:dyDescent="0.2"/>
    <row r="529" spans="1:18" s="336" customFormat="1" x14ac:dyDescent="0.2">
      <c r="B529" s="182" t="s">
        <v>985</v>
      </c>
    </row>
    <row r="530" spans="1:18" s="336" customFormat="1" x14ac:dyDescent="0.2">
      <c r="A530" s="336" t="s">
        <v>1054</v>
      </c>
      <c r="B530" s="336" t="s">
        <v>1059</v>
      </c>
      <c r="D530" s="382" t="s">
        <v>809</v>
      </c>
      <c r="F530" s="418">
        <f t="shared" ref="F530:Q530" si="137">F510*F520</f>
        <v>54141.57</v>
      </c>
      <c r="G530" s="418">
        <f t="shared" si="137"/>
        <v>55860.35</v>
      </c>
      <c r="H530" s="418">
        <f t="shared" si="137"/>
        <v>55000.959999999999</v>
      </c>
      <c r="I530" s="418">
        <f t="shared" si="137"/>
        <v>55781.760000000002</v>
      </c>
      <c r="J530" s="418">
        <f t="shared" si="137"/>
        <v>55781.759999999995</v>
      </c>
      <c r="K530" s="418">
        <f t="shared" si="137"/>
        <v>54910.170000000006</v>
      </c>
      <c r="L530" s="418">
        <f t="shared" si="137"/>
        <v>54910.170000000006</v>
      </c>
      <c r="M530" s="418">
        <f t="shared" si="137"/>
        <v>54038.58</v>
      </c>
      <c r="N530" s="418">
        <f t="shared" si="137"/>
        <v>54038.58</v>
      </c>
      <c r="O530" s="418">
        <f t="shared" si="137"/>
        <v>54038.58</v>
      </c>
      <c r="P530" s="418">
        <f t="shared" si="137"/>
        <v>54038.58</v>
      </c>
      <c r="Q530" s="418">
        <f t="shared" si="137"/>
        <v>54910.170000000006</v>
      </c>
      <c r="R530" s="418">
        <f>SUM(F530:Q530)</f>
        <v>657451.23</v>
      </c>
    </row>
    <row r="531" spans="1:18" x14ac:dyDescent="0.2">
      <c r="B531" s="32" t="s">
        <v>1047</v>
      </c>
      <c r="D531" s="444"/>
      <c r="F531" s="418"/>
      <c r="G531" s="418"/>
      <c r="H531" s="418"/>
      <c r="I531" s="418"/>
      <c r="J531" s="418"/>
      <c r="K531" s="418"/>
      <c r="L531" s="418"/>
      <c r="M531" s="418"/>
      <c r="N531" s="418"/>
      <c r="O531" s="418"/>
      <c r="P531" s="418"/>
      <c r="Q531" s="418"/>
      <c r="R531" s="418"/>
    </row>
    <row r="532" spans="1:18" x14ac:dyDescent="0.2">
      <c r="C532" s="32" t="s">
        <v>1086</v>
      </c>
      <c r="D532" s="382" t="s">
        <v>809</v>
      </c>
      <c r="F532" s="418">
        <f t="shared" ref="F532:Q534" si="138">F512*F522</f>
        <v>131126.67396000001</v>
      </c>
      <c r="G532" s="418">
        <f t="shared" si="138"/>
        <v>137077.61568000002</v>
      </c>
      <c r="H532" s="418">
        <f t="shared" si="138"/>
        <v>146027.83122000002</v>
      </c>
      <c r="I532" s="418">
        <f t="shared" si="138"/>
        <v>148178.11232000001</v>
      </c>
      <c r="J532" s="418">
        <f t="shared" si="138"/>
        <v>151353.90995</v>
      </c>
      <c r="K532" s="418">
        <f t="shared" si="138"/>
        <v>150959.88887</v>
      </c>
      <c r="L532" s="418">
        <f t="shared" si="138"/>
        <v>142310.75792</v>
      </c>
      <c r="M532" s="418">
        <f t="shared" si="138"/>
        <v>143236.58471</v>
      </c>
      <c r="N532" s="418">
        <f t="shared" si="138"/>
        <v>142228.00531000001</v>
      </c>
      <c r="O532" s="418">
        <f t="shared" si="138"/>
        <v>148614.78833000001</v>
      </c>
      <c r="P532" s="418">
        <f t="shared" si="138"/>
        <v>144274.21447000001</v>
      </c>
      <c r="Q532" s="418">
        <f t="shared" si="138"/>
        <v>134793.05666</v>
      </c>
      <c r="R532" s="418">
        <f t="shared" ref="R532:R538" si="139">SUM(F532:Q532)</f>
        <v>1720181.4393999998</v>
      </c>
    </row>
    <row r="533" spans="1:18" x14ac:dyDescent="0.2">
      <c r="C533" s="32" t="s">
        <v>1087</v>
      </c>
      <c r="D533" s="382" t="s">
        <v>809</v>
      </c>
      <c r="F533" s="418">
        <f t="shared" si="138"/>
        <v>39544.601979999999</v>
      </c>
      <c r="G533" s="418">
        <f t="shared" si="138"/>
        <v>39127.715960000001</v>
      </c>
      <c r="H533" s="418">
        <f t="shared" si="138"/>
        <v>46367.167670000003</v>
      </c>
      <c r="I533" s="418">
        <f t="shared" si="138"/>
        <v>44530.632120000002</v>
      </c>
      <c r="J533" s="418">
        <f t="shared" si="138"/>
        <v>42630.88824</v>
      </c>
      <c r="K533" s="418">
        <f t="shared" si="138"/>
        <v>49517.623679999997</v>
      </c>
      <c r="L533" s="418">
        <f t="shared" si="138"/>
        <v>43887.403080000004</v>
      </c>
      <c r="M533" s="418">
        <f t="shared" si="138"/>
        <v>45265.264080000001</v>
      </c>
      <c r="N533" s="418">
        <f t="shared" si="138"/>
        <v>46264.613160000001</v>
      </c>
      <c r="O533" s="418">
        <f t="shared" si="138"/>
        <v>47902.366800000003</v>
      </c>
      <c r="P533" s="418">
        <f t="shared" si="138"/>
        <v>42536.705999999998</v>
      </c>
      <c r="Q533" s="418">
        <f t="shared" si="138"/>
        <v>38568.256560000002</v>
      </c>
      <c r="R533" s="418">
        <f t="shared" si="139"/>
        <v>526143.23933000001</v>
      </c>
    </row>
    <row r="534" spans="1:18" x14ac:dyDescent="0.2">
      <c r="C534" s="32" t="s">
        <v>1088</v>
      </c>
      <c r="D534" s="382" t="s">
        <v>809</v>
      </c>
      <c r="F534" s="364">
        <f t="shared" si="138"/>
        <v>56185.577069999999</v>
      </c>
      <c r="G534" s="364">
        <f t="shared" si="138"/>
        <v>51376.976000000002</v>
      </c>
      <c r="H534" s="364">
        <f t="shared" si="138"/>
        <v>63624.617769999997</v>
      </c>
      <c r="I534" s="364">
        <f t="shared" si="138"/>
        <v>61175.209060000001</v>
      </c>
      <c r="J534" s="364">
        <f t="shared" si="138"/>
        <v>64537.655700000003</v>
      </c>
      <c r="K534" s="364">
        <f t="shared" si="138"/>
        <v>78724.676099999997</v>
      </c>
      <c r="L534" s="364">
        <f t="shared" si="138"/>
        <v>67289.649770000004</v>
      </c>
      <c r="M534" s="364">
        <f t="shared" si="138"/>
        <v>71056.548290000006</v>
      </c>
      <c r="N534" s="364">
        <f t="shared" si="138"/>
        <v>58117.409910000002</v>
      </c>
      <c r="O534" s="364">
        <f t="shared" si="138"/>
        <v>64210.561029999997</v>
      </c>
      <c r="P534" s="364">
        <f t="shared" si="138"/>
        <v>64522.154060000001</v>
      </c>
      <c r="Q534" s="364">
        <f t="shared" si="138"/>
        <v>59805.98141</v>
      </c>
      <c r="R534" s="364">
        <f t="shared" si="139"/>
        <v>760627.01616999996</v>
      </c>
    </row>
    <row r="535" spans="1:18" x14ac:dyDescent="0.2">
      <c r="A535" s="32" t="s">
        <v>1054</v>
      </c>
      <c r="C535" s="32" t="s">
        <v>1077</v>
      </c>
      <c r="D535" s="444"/>
      <c r="F535" s="365">
        <f t="shared" ref="F535:M535" si="140">SUM(F532:F534)</f>
        <v>226856.85301000002</v>
      </c>
      <c r="G535" s="365">
        <f t="shared" si="140"/>
        <v>227582.30764000001</v>
      </c>
      <c r="H535" s="365">
        <f t="shared" si="140"/>
        <v>256019.61666</v>
      </c>
      <c r="I535" s="365">
        <f t="shared" si="140"/>
        <v>253883.9535</v>
      </c>
      <c r="J535" s="365">
        <f t="shared" si="140"/>
        <v>258522.45389</v>
      </c>
      <c r="K535" s="365">
        <f t="shared" si="140"/>
        <v>279202.18864999997</v>
      </c>
      <c r="L535" s="365">
        <f t="shared" si="140"/>
        <v>253487.81077000004</v>
      </c>
      <c r="M535" s="365">
        <f t="shared" si="140"/>
        <v>259558.39708</v>
      </c>
      <c r="N535" s="365">
        <f>SUM(N532:N534)</f>
        <v>246610.02838000003</v>
      </c>
      <c r="O535" s="365">
        <f>SUM(O532:O534)</f>
        <v>260727.71616000001</v>
      </c>
      <c r="P535" s="365">
        <f>SUM(P532:P534)</f>
        <v>251333.07453000001</v>
      </c>
      <c r="Q535" s="365">
        <f>SUM(Q532:Q534)</f>
        <v>233167.29463000002</v>
      </c>
      <c r="R535" s="365">
        <f t="shared" si="139"/>
        <v>3006951.6948999995</v>
      </c>
    </row>
    <row r="536" spans="1:18" x14ac:dyDescent="0.2">
      <c r="A536" s="390" t="s">
        <v>1056</v>
      </c>
      <c r="B536" s="336" t="s">
        <v>1081</v>
      </c>
      <c r="D536" s="382" t="s">
        <v>809</v>
      </c>
      <c r="E536" s="390"/>
      <c r="F536" s="446">
        <f t="shared" ref="F536:Q537" si="141">F515*F525</f>
        <v>2237.8391000000001</v>
      </c>
      <c r="G536" s="446">
        <f t="shared" si="141"/>
        <v>2205.6747999999998</v>
      </c>
      <c r="H536" s="446">
        <f t="shared" si="141"/>
        <v>2538.5380999999998</v>
      </c>
      <c r="I536" s="446">
        <f t="shared" si="141"/>
        <v>2459.2840999999999</v>
      </c>
      <c r="J536" s="446">
        <f t="shared" si="141"/>
        <v>2502.4236999999998</v>
      </c>
      <c r="K536" s="446">
        <f t="shared" si="141"/>
        <v>2788.9715000000001</v>
      </c>
      <c r="L536" s="446">
        <f t="shared" si="141"/>
        <v>2495.5868</v>
      </c>
      <c r="M536" s="446">
        <f t="shared" si="141"/>
        <v>2572.7058000000002</v>
      </c>
      <c r="N536" s="446">
        <f t="shared" si="141"/>
        <v>2399.1835000000001</v>
      </c>
      <c r="O536" s="446">
        <f t="shared" si="141"/>
        <v>2549.4965999999999</v>
      </c>
      <c r="P536" s="446">
        <f t="shared" si="141"/>
        <v>2452.5025000000001</v>
      </c>
      <c r="Q536" s="446">
        <f t="shared" si="141"/>
        <v>2269.0535</v>
      </c>
      <c r="R536" s="446">
        <f t="shared" si="139"/>
        <v>29471.259999999995</v>
      </c>
    </row>
    <row r="537" spans="1:18" x14ac:dyDescent="0.2">
      <c r="A537" s="32" t="s">
        <v>1054</v>
      </c>
      <c r="B537" s="32" t="s">
        <v>1069</v>
      </c>
      <c r="D537" s="382" t="s">
        <v>809</v>
      </c>
      <c r="F537" s="364">
        <f t="shared" si="141"/>
        <v>45379.4</v>
      </c>
      <c r="G537" s="364">
        <f t="shared" si="141"/>
        <v>42024.4</v>
      </c>
      <c r="H537" s="364">
        <f t="shared" si="141"/>
        <v>42024.4</v>
      </c>
      <c r="I537" s="364">
        <f t="shared" si="141"/>
        <v>42406.44</v>
      </c>
      <c r="J537" s="364">
        <f t="shared" si="141"/>
        <v>39631.440000000002</v>
      </c>
      <c r="K537" s="364">
        <f t="shared" si="141"/>
        <v>39631.440000000002</v>
      </c>
      <c r="L537" s="364">
        <f t="shared" si="141"/>
        <v>39631.440000000002</v>
      </c>
      <c r="M537" s="364">
        <f t="shared" si="141"/>
        <v>39498.240000000005</v>
      </c>
      <c r="N537" s="364">
        <f t="shared" si="141"/>
        <v>39498.240000000005</v>
      </c>
      <c r="O537" s="364">
        <f t="shared" si="141"/>
        <v>39498.240000000005</v>
      </c>
      <c r="P537" s="364">
        <f t="shared" si="141"/>
        <v>39498.240000000005</v>
      </c>
      <c r="Q537" s="364">
        <f t="shared" si="141"/>
        <v>39517.11</v>
      </c>
      <c r="R537" s="364">
        <f t="shared" si="139"/>
        <v>488239.02999999997</v>
      </c>
    </row>
    <row r="538" spans="1:18" s="336" customFormat="1" x14ac:dyDescent="0.2">
      <c r="A538" s="336" t="s">
        <v>1054</v>
      </c>
      <c r="B538" s="336" t="s">
        <v>1071</v>
      </c>
      <c r="D538" s="382" t="s">
        <v>809</v>
      </c>
      <c r="F538" s="447">
        <f>'JKP-3.1c - Data'!C186</f>
        <v>0</v>
      </c>
      <c r="G538" s="447">
        <f>'JKP-3.1c - Data'!D186</f>
        <v>0</v>
      </c>
      <c r="H538" s="447">
        <f>'JKP-3.1c - Data'!E186</f>
        <v>4975.97</v>
      </c>
      <c r="I538" s="447">
        <f>'JKP-3.1c - Data'!F186</f>
        <v>204602.52</v>
      </c>
      <c r="J538" s="447">
        <f>'JKP-3.1c - Data'!G186</f>
        <v>132721.98000000001</v>
      </c>
      <c r="K538" s="447">
        <f>'JKP-3.1c - Data'!H186</f>
        <v>0</v>
      </c>
      <c r="L538" s="447">
        <f>'JKP-3.1c - Data'!I186</f>
        <v>9820.9500000000007</v>
      </c>
      <c r="M538" s="447">
        <f>'JKP-3.1c - Data'!J186</f>
        <v>0</v>
      </c>
      <c r="N538" s="447">
        <f>'JKP-3.1c - Data'!K186</f>
        <v>19527.16</v>
      </c>
      <c r="O538" s="447">
        <f>'JKP-3.1c - Data'!L186</f>
        <v>0</v>
      </c>
      <c r="P538" s="447">
        <f>'JKP-3.1c - Data'!M186</f>
        <v>11374.9</v>
      </c>
      <c r="Q538" s="447">
        <f>'JKP-3.1c - Data'!N186</f>
        <v>0</v>
      </c>
      <c r="R538" s="365">
        <f t="shared" si="139"/>
        <v>383023.48</v>
      </c>
    </row>
    <row r="539" spans="1:18" x14ac:dyDescent="0.2">
      <c r="B539" s="32" t="s">
        <v>986</v>
      </c>
      <c r="F539" s="365">
        <f>F530+F535+F536+F537+F538</f>
        <v>328615.66211000003</v>
      </c>
      <c r="G539" s="365">
        <f t="shared" ref="G539:R539" si="142">G530+G535+G536+G537+G538</f>
        <v>327672.73243999999</v>
      </c>
      <c r="H539" s="365">
        <f t="shared" si="142"/>
        <v>360559.48476000002</v>
      </c>
      <c r="I539" s="365">
        <f t="shared" si="142"/>
        <v>559133.95759999997</v>
      </c>
      <c r="J539" s="365">
        <f t="shared" si="142"/>
        <v>489160.05758999998</v>
      </c>
      <c r="K539" s="365">
        <f t="shared" si="142"/>
        <v>376532.77014999994</v>
      </c>
      <c r="L539" s="365">
        <f t="shared" si="142"/>
        <v>360345.95757000003</v>
      </c>
      <c r="M539" s="365">
        <f t="shared" si="142"/>
        <v>355667.92287999997</v>
      </c>
      <c r="N539" s="365">
        <f t="shared" si="142"/>
        <v>362073.19188</v>
      </c>
      <c r="O539" s="365">
        <f t="shared" si="142"/>
        <v>356814.03276000003</v>
      </c>
      <c r="P539" s="365">
        <f t="shared" si="142"/>
        <v>358697.29703000002</v>
      </c>
      <c r="Q539" s="365">
        <f t="shared" si="142"/>
        <v>329863.62812999997</v>
      </c>
      <c r="R539" s="365">
        <f t="shared" si="142"/>
        <v>4565136.6948999986</v>
      </c>
    </row>
    <row r="540" spans="1:18" x14ac:dyDescent="0.2">
      <c r="F540" s="390"/>
      <c r="G540" s="390"/>
      <c r="H540" s="390"/>
      <c r="I540" s="390"/>
      <c r="J540" s="390"/>
    </row>
    <row r="541" spans="1:18" x14ac:dyDescent="0.2">
      <c r="A541" s="32" t="s">
        <v>1058</v>
      </c>
      <c r="B541" s="32" t="s">
        <v>1050</v>
      </c>
      <c r="F541" s="417">
        <f>F536</f>
        <v>2237.8391000000001</v>
      </c>
      <c r="G541" s="417">
        <f t="shared" ref="G541:Q541" si="143">G536</f>
        <v>2205.6747999999998</v>
      </c>
      <c r="H541" s="417">
        <f t="shared" si="143"/>
        <v>2538.5380999999998</v>
      </c>
      <c r="I541" s="417">
        <f t="shared" si="143"/>
        <v>2459.2840999999999</v>
      </c>
      <c r="J541" s="417">
        <f t="shared" si="143"/>
        <v>2502.4236999999998</v>
      </c>
      <c r="K541" s="417">
        <f t="shared" si="143"/>
        <v>2788.9715000000001</v>
      </c>
      <c r="L541" s="417">
        <f t="shared" si="143"/>
        <v>2495.5868</v>
      </c>
      <c r="M541" s="417">
        <f t="shared" si="143"/>
        <v>2572.7058000000002</v>
      </c>
      <c r="N541" s="417">
        <f t="shared" si="143"/>
        <v>2399.1835000000001</v>
      </c>
      <c r="O541" s="417">
        <f t="shared" si="143"/>
        <v>2549.4965999999999</v>
      </c>
      <c r="P541" s="417">
        <f t="shared" si="143"/>
        <v>2452.5025000000001</v>
      </c>
      <c r="Q541" s="417">
        <f t="shared" si="143"/>
        <v>2269.0535</v>
      </c>
      <c r="R541" s="364">
        <f>SUM(F541:Q541)</f>
        <v>29471.259999999995</v>
      </c>
    </row>
    <row r="542" spans="1:18" x14ac:dyDescent="0.2">
      <c r="F542" s="390"/>
      <c r="G542" s="390"/>
      <c r="H542" s="390"/>
      <c r="I542" s="390"/>
      <c r="J542" s="390"/>
    </row>
    <row r="543" spans="1:18" x14ac:dyDescent="0.2">
      <c r="B543" s="276" t="s">
        <v>1104</v>
      </c>
      <c r="C543" s="276"/>
    </row>
    <row r="544" spans="1:18" x14ac:dyDescent="0.2">
      <c r="B544" s="276" t="s">
        <v>5</v>
      </c>
      <c r="C544" s="276"/>
    </row>
    <row r="545" spans="2:18" x14ac:dyDescent="0.2">
      <c r="B545" s="32" t="s">
        <v>1059</v>
      </c>
      <c r="D545" s="444" t="s">
        <v>810</v>
      </c>
      <c r="E545" s="32" t="s">
        <v>976</v>
      </c>
      <c r="F545" s="414">
        <v>437.5</v>
      </c>
      <c r="G545" s="414">
        <v>437.5</v>
      </c>
      <c r="H545" s="414">
        <v>437.5</v>
      </c>
      <c r="I545" s="414">
        <v>443.45</v>
      </c>
      <c r="J545" s="414">
        <v>443.45</v>
      </c>
      <c r="K545" s="414">
        <v>443.45</v>
      </c>
      <c r="L545" s="414">
        <v>443.45</v>
      </c>
      <c r="M545" s="414">
        <v>443.45</v>
      </c>
      <c r="N545" s="414">
        <v>443.45</v>
      </c>
      <c r="O545" s="414">
        <v>443.45</v>
      </c>
      <c r="P545" s="414">
        <v>443.45</v>
      </c>
      <c r="Q545" s="414">
        <v>443.45</v>
      </c>
      <c r="R545" s="439"/>
    </row>
    <row r="546" spans="2:18" x14ac:dyDescent="0.2">
      <c r="B546" s="32" t="s">
        <v>1047</v>
      </c>
      <c r="F546" s="393"/>
      <c r="G546" s="393"/>
      <c r="H546" s="393"/>
      <c r="I546" s="393"/>
      <c r="J546" s="393"/>
      <c r="K546" s="393"/>
      <c r="L546" s="393"/>
      <c r="M546" s="393"/>
      <c r="N546" s="393"/>
      <c r="O546" s="393"/>
      <c r="P546" s="393"/>
      <c r="Q546" s="393"/>
      <c r="R546" s="394"/>
    </row>
    <row r="547" spans="2:18" x14ac:dyDescent="0.2">
      <c r="C547" s="32" t="s">
        <v>1098</v>
      </c>
      <c r="D547" s="444" t="s">
        <v>810</v>
      </c>
      <c r="E547" s="32" t="s">
        <v>957</v>
      </c>
      <c r="F547" s="395">
        <v>0.19553999999999999</v>
      </c>
      <c r="G547" s="395">
        <v>0.19553999999999999</v>
      </c>
      <c r="H547" s="395">
        <v>0.19553999999999999</v>
      </c>
      <c r="I547" s="395">
        <v>0.19819999999999999</v>
      </c>
      <c r="J547" s="395">
        <v>0.19819999999999999</v>
      </c>
      <c r="K547" s="395">
        <v>0.19819999999999999</v>
      </c>
      <c r="L547" s="395">
        <v>0.19819999999999999</v>
      </c>
      <c r="M547" s="395">
        <v>0.19819999999999999</v>
      </c>
      <c r="N547" s="395">
        <v>0.19819999999999999</v>
      </c>
      <c r="O547" s="395">
        <v>0.19819999999999999</v>
      </c>
      <c r="P547" s="395">
        <v>0.19819999999999999</v>
      </c>
      <c r="Q547" s="395">
        <v>0.19819999999999999</v>
      </c>
      <c r="R547" s="394"/>
    </row>
    <row r="548" spans="2:18" x14ac:dyDescent="0.2">
      <c r="C548" s="32" t="s">
        <v>1099</v>
      </c>
      <c r="D548" s="444" t="s">
        <v>810</v>
      </c>
      <c r="E548" s="32" t="s">
        <v>957</v>
      </c>
      <c r="F548" s="395">
        <v>0.14019000000000001</v>
      </c>
      <c r="G548" s="395">
        <v>0.14019000000000001</v>
      </c>
      <c r="H548" s="395">
        <v>0.14019000000000001</v>
      </c>
      <c r="I548" s="395">
        <v>0.1421</v>
      </c>
      <c r="J548" s="395">
        <v>0.1421</v>
      </c>
      <c r="K548" s="395">
        <v>0.1421</v>
      </c>
      <c r="L548" s="395">
        <v>0.1421</v>
      </c>
      <c r="M548" s="395">
        <v>0.1421</v>
      </c>
      <c r="N548" s="395">
        <v>0.1421</v>
      </c>
      <c r="O548" s="395">
        <v>0.1421</v>
      </c>
      <c r="P548" s="395">
        <v>0.1421</v>
      </c>
      <c r="Q548" s="395">
        <v>0.1421</v>
      </c>
      <c r="R548" s="394"/>
    </row>
    <row r="549" spans="2:18" x14ac:dyDescent="0.2">
      <c r="B549" s="32" t="s">
        <v>1081</v>
      </c>
      <c r="D549" s="444" t="s">
        <v>810</v>
      </c>
      <c r="E549" s="32" t="s">
        <v>957</v>
      </c>
      <c r="F549" s="461">
        <v>6.9999999999999999E-4</v>
      </c>
      <c r="G549" s="461">
        <v>6.9999999999999999E-4</v>
      </c>
      <c r="H549" s="461">
        <v>6.9999999999999999E-4</v>
      </c>
      <c r="I549" s="461">
        <v>6.9999999999999999E-4</v>
      </c>
      <c r="J549" s="461">
        <v>6.9999999999999999E-4</v>
      </c>
      <c r="K549" s="461">
        <v>6.9999999999999999E-4</v>
      </c>
      <c r="L549" s="461">
        <v>6.9999999999999999E-4</v>
      </c>
      <c r="M549" s="461">
        <v>6.9999999999999999E-4</v>
      </c>
      <c r="N549" s="461">
        <v>6.9999999999999999E-4</v>
      </c>
      <c r="O549" s="461">
        <v>6.9999999999999999E-4</v>
      </c>
      <c r="P549" s="461">
        <v>6.9999999999999999E-4</v>
      </c>
      <c r="Q549" s="461">
        <v>6.9999999999999999E-4</v>
      </c>
      <c r="R549" s="394"/>
    </row>
    <row r="550" spans="2:18" x14ac:dyDescent="0.2">
      <c r="B550" s="32" t="s">
        <v>1069</v>
      </c>
      <c r="D550" s="32">
        <v>101</v>
      </c>
      <c r="E550" s="32" t="s">
        <v>957</v>
      </c>
      <c r="F550" s="414">
        <v>1.1000000000000001</v>
      </c>
      <c r="G550" s="414">
        <v>1.1000000000000001</v>
      </c>
      <c r="H550" s="414">
        <v>1.1000000000000001</v>
      </c>
      <c r="I550" s="414">
        <v>1.1100000000000001</v>
      </c>
      <c r="J550" s="414">
        <v>1.1100000000000001</v>
      </c>
      <c r="K550" s="414">
        <v>1.1100000000000001</v>
      </c>
      <c r="L550" s="414">
        <v>1.1100000000000001</v>
      </c>
      <c r="M550" s="414">
        <v>1.1100000000000001</v>
      </c>
      <c r="N550" s="414">
        <v>1.1100000000000001</v>
      </c>
      <c r="O550" s="414">
        <v>1.1100000000000001</v>
      </c>
      <c r="P550" s="414">
        <v>1.1100000000000001</v>
      </c>
      <c r="Q550" s="414">
        <v>1.1100000000000001</v>
      </c>
      <c r="R550" s="394"/>
    </row>
    <row r="551" spans="2:18" s="336" customFormat="1" x14ac:dyDescent="0.2">
      <c r="B551" s="336" t="s">
        <v>1071</v>
      </c>
      <c r="D551" s="444" t="s">
        <v>810</v>
      </c>
      <c r="E551" s="336" t="s">
        <v>67</v>
      </c>
      <c r="F551" s="450"/>
      <c r="G551" s="450"/>
      <c r="H551" s="442"/>
      <c r="I551" s="450"/>
      <c r="J551" s="450"/>
      <c r="K551" s="450"/>
      <c r="L551" s="450"/>
      <c r="M551" s="450"/>
      <c r="N551" s="450"/>
      <c r="O551" s="450"/>
      <c r="P551" s="450"/>
      <c r="Q551" s="450"/>
      <c r="R551" s="441"/>
    </row>
    <row r="552" spans="2:18" s="336" customFormat="1" x14ac:dyDescent="0.2"/>
    <row r="553" spans="2:18" s="336" customFormat="1" x14ac:dyDescent="0.2">
      <c r="B553" s="182" t="s">
        <v>982</v>
      </c>
    </row>
    <row r="554" spans="2:18" s="336" customFormat="1" x14ac:dyDescent="0.2">
      <c r="B554" s="336" t="s">
        <v>67</v>
      </c>
      <c r="E554" s="336" t="s">
        <v>67</v>
      </c>
      <c r="F554" s="421">
        <f>'JKP-3.1c - Data'!C152</f>
        <v>0</v>
      </c>
      <c r="G554" s="421">
        <f>'JKP-3.1c - Data'!D152</f>
        <v>0</v>
      </c>
      <c r="H554" s="421">
        <f>'JKP-3.1c - Data'!E152</f>
        <v>0</v>
      </c>
      <c r="I554" s="421">
        <f>'JKP-3.1c - Data'!F152</f>
        <v>0</v>
      </c>
      <c r="J554" s="421">
        <f>'JKP-3.1c - Data'!G152</f>
        <v>0</v>
      </c>
      <c r="K554" s="421">
        <f>'JKP-3.1c - Data'!H152</f>
        <v>1</v>
      </c>
      <c r="L554" s="421">
        <f>'JKP-3.1c - Data'!I152</f>
        <v>1</v>
      </c>
      <c r="M554" s="421">
        <f>'JKP-3.1c - Data'!J152</f>
        <v>1</v>
      </c>
      <c r="N554" s="421">
        <f>'JKP-3.1c - Data'!K152</f>
        <v>1</v>
      </c>
      <c r="O554" s="421">
        <f>'JKP-3.1c - Data'!L152</f>
        <v>1</v>
      </c>
      <c r="P554" s="421">
        <f>'JKP-3.1c - Data'!M152</f>
        <v>1</v>
      </c>
      <c r="Q554" s="421">
        <f>'JKP-3.1c - Data'!N152</f>
        <v>1</v>
      </c>
      <c r="R554" s="378">
        <f>SUM(F554:Q554)</f>
        <v>7</v>
      </c>
    </row>
    <row r="555" spans="2:18" s="336" customFormat="1" x14ac:dyDescent="0.2">
      <c r="B555" s="336" t="s">
        <v>76</v>
      </c>
      <c r="F555" s="380"/>
      <c r="G555" s="380"/>
      <c r="H555" s="380"/>
      <c r="I555" s="380"/>
      <c r="J555" s="380"/>
      <c r="K555" s="380"/>
      <c r="L555" s="380"/>
      <c r="M555" s="380"/>
      <c r="N555" s="380"/>
      <c r="O555" s="380"/>
      <c r="P555" s="380"/>
      <c r="Q555" s="380"/>
      <c r="R555" s="378"/>
    </row>
    <row r="556" spans="2:18" s="336" customFormat="1" x14ac:dyDescent="0.2">
      <c r="C556" s="336" t="s">
        <v>1098</v>
      </c>
      <c r="E556" s="336" t="s">
        <v>10</v>
      </c>
      <c r="F556" s="380">
        <v>0</v>
      </c>
      <c r="G556" s="380">
        <v>0</v>
      </c>
      <c r="H556" s="380">
        <v>0</v>
      </c>
      <c r="I556" s="380">
        <v>0</v>
      </c>
      <c r="J556" s="380">
        <v>0</v>
      </c>
      <c r="K556" s="380">
        <v>0</v>
      </c>
      <c r="L556" s="380">
        <v>0</v>
      </c>
      <c r="M556" s="380">
        <v>1000</v>
      </c>
      <c r="N556" s="380">
        <v>1000</v>
      </c>
      <c r="O556" s="380">
        <v>1000</v>
      </c>
      <c r="P556" s="380">
        <v>963</v>
      </c>
      <c r="Q556" s="380">
        <v>197</v>
      </c>
      <c r="R556" s="378">
        <f>SUM(F556:Q556)</f>
        <v>4160</v>
      </c>
    </row>
    <row r="557" spans="2:18" s="336" customFormat="1" x14ac:dyDescent="0.2">
      <c r="C557" s="336" t="s">
        <v>1099</v>
      </c>
      <c r="E557" s="336" t="s">
        <v>10</v>
      </c>
      <c r="F557" s="378">
        <f t="shared" ref="F557:N557" si="144">F558-F556</f>
        <v>0</v>
      </c>
      <c r="G557" s="378">
        <f t="shared" si="144"/>
        <v>0</v>
      </c>
      <c r="H557" s="378">
        <f t="shared" si="144"/>
        <v>0</v>
      </c>
      <c r="I557" s="378">
        <f t="shared" si="144"/>
        <v>0</v>
      </c>
      <c r="J557" s="378">
        <f t="shared" si="144"/>
        <v>0</v>
      </c>
      <c r="K557" s="378">
        <f t="shared" si="144"/>
        <v>0</v>
      </c>
      <c r="L557" s="378">
        <f t="shared" si="144"/>
        <v>0</v>
      </c>
      <c r="M557" s="378">
        <f t="shared" si="144"/>
        <v>1158</v>
      </c>
      <c r="N557" s="378">
        <f t="shared" si="144"/>
        <v>8063</v>
      </c>
      <c r="O557" s="378">
        <f>O558-O556</f>
        <v>7098</v>
      </c>
      <c r="P557" s="378">
        <f>P558-P556</f>
        <v>0</v>
      </c>
      <c r="Q557" s="378">
        <f>Q558-Q556</f>
        <v>0</v>
      </c>
      <c r="R557" s="378">
        <f>SUM(F557:Q557)</f>
        <v>16319</v>
      </c>
    </row>
    <row r="558" spans="2:18" s="336" customFormat="1" x14ac:dyDescent="0.2">
      <c r="C558" s="336" t="s">
        <v>1075</v>
      </c>
      <c r="E558" s="336" t="s">
        <v>10</v>
      </c>
      <c r="F558" s="445">
        <f>'JKP-3.1c - Therms Data'!E93</f>
        <v>0</v>
      </c>
      <c r="G558" s="445">
        <f>'JKP-3.1c - Therms Data'!F93</f>
        <v>0</v>
      </c>
      <c r="H558" s="445">
        <f>'JKP-3.1c - Therms Data'!G93</f>
        <v>0</v>
      </c>
      <c r="I558" s="445">
        <f>'JKP-3.1c - Therms Data'!H93</f>
        <v>0</v>
      </c>
      <c r="J558" s="445">
        <f>'JKP-3.1c - Therms Data'!I93</f>
        <v>0</v>
      </c>
      <c r="K558" s="445">
        <f>'JKP-3.1c - Therms Data'!J93</f>
        <v>0</v>
      </c>
      <c r="L558" s="445">
        <f>'JKP-3.1c - Therms Data'!K93</f>
        <v>0</v>
      </c>
      <c r="M558" s="445">
        <f>'JKP-3.1c - Therms Data'!L93</f>
        <v>2158</v>
      </c>
      <c r="N558" s="445">
        <f>'JKP-3.1c - Therms Data'!M93</f>
        <v>9063</v>
      </c>
      <c r="O558" s="445">
        <f>'JKP-3.1c - Therms Data'!N93</f>
        <v>8098</v>
      </c>
      <c r="P558" s="445">
        <f>'JKP-3.1c - Therms Data'!O93</f>
        <v>963</v>
      </c>
      <c r="Q558" s="445">
        <f>'JKP-3.1c - Therms Data'!P93</f>
        <v>197</v>
      </c>
      <c r="R558" s="436">
        <f>SUM(R556:R557)</f>
        <v>20479</v>
      </c>
    </row>
    <row r="559" spans="2:18" s="336" customFormat="1" x14ac:dyDescent="0.2">
      <c r="B559" s="336" t="s">
        <v>74</v>
      </c>
      <c r="E559" s="336" t="s">
        <v>1076</v>
      </c>
      <c r="F559" s="421">
        <f>'JKP-3.1c - Data'!C172</f>
        <v>0</v>
      </c>
      <c r="G559" s="421">
        <f>'JKP-3.1c - Data'!D172</f>
        <v>0</v>
      </c>
      <c r="H559" s="421">
        <f>'JKP-3.1c - Data'!E172</f>
        <v>0</v>
      </c>
      <c r="I559" s="421">
        <f>'JKP-3.1c - Data'!F172</f>
        <v>0</v>
      </c>
      <c r="J559" s="421">
        <f>'JKP-3.1c - Data'!G172</f>
        <v>0</v>
      </c>
      <c r="K559" s="421">
        <f>'JKP-3.1c - Data'!H172</f>
        <v>0</v>
      </c>
      <c r="L559" s="421">
        <f>'JKP-3.1c - Data'!I172</f>
        <v>0</v>
      </c>
      <c r="M559" s="421">
        <f>'JKP-3.1c - Data'!J172</f>
        <v>0</v>
      </c>
      <c r="N559" s="421">
        <f>'JKP-3.1c - Data'!K172</f>
        <v>0</v>
      </c>
      <c r="O559" s="421">
        <f>'JKP-3.1c - Data'!L172</f>
        <v>0</v>
      </c>
      <c r="P559" s="421">
        <f>'JKP-3.1c - Data'!M172</f>
        <v>0</v>
      </c>
      <c r="Q559" s="421">
        <f>'JKP-3.1c - Data'!N172</f>
        <v>0</v>
      </c>
      <c r="R559" s="378">
        <f>SUM(F559:Q559)</f>
        <v>0</v>
      </c>
    </row>
    <row r="560" spans="2:18" s="336" customFormat="1" x14ac:dyDescent="0.2">
      <c r="B560" s="336" t="s">
        <v>1071</v>
      </c>
      <c r="F560" s="447"/>
      <c r="G560" s="447"/>
      <c r="H560" s="447"/>
      <c r="I560" s="447"/>
      <c r="J560" s="447"/>
      <c r="K560" s="447"/>
      <c r="L560" s="447"/>
      <c r="M560" s="447"/>
      <c r="N560" s="447"/>
      <c r="O560" s="447"/>
      <c r="P560" s="447"/>
      <c r="Q560" s="447"/>
      <c r="R560" s="417"/>
    </row>
    <row r="561" spans="1:18" s="336" customFormat="1" x14ac:dyDescent="0.2">
      <c r="R561" s="179"/>
    </row>
    <row r="562" spans="1:18" s="336" customFormat="1" x14ac:dyDescent="0.2">
      <c r="B562" s="182" t="s">
        <v>985</v>
      </c>
      <c r="R562" s="179"/>
    </row>
    <row r="563" spans="1:18" s="336" customFormat="1" x14ac:dyDescent="0.2">
      <c r="A563" s="336" t="s">
        <v>1054</v>
      </c>
      <c r="B563" s="336" t="s">
        <v>1059</v>
      </c>
      <c r="D563" s="444" t="s">
        <v>810</v>
      </c>
      <c r="F563" s="418">
        <f>F545*F554</f>
        <v>0</v>
      </c>
      <c r="G563" s="418">
        <f t="shared" ref="G563:Q563" si="145">G545*G554</f>
        <v>0</v>
      </c>
      <c r="H563" s="418">
        <f t="shared" si="145"/>
        <v>0</v>
      </c>
      <c r="I563" s="418">
        <f t="shared" si="145"/>
        <v>0</v>
      </c>
      <c r="J563" s="418">
        <f t="shared" si="145"/>
        <v>0</v>
      </c>
      <c r="K563" s="418">
        <f t="shared" si="145"/>
        <v>443.45</v>
      </c>
      <c r="L563" s="418">
        <f t="shared" si="145"/>
        <v>443.45</v>
      </c>
      <c r="M563" s="418">
        <f t="shared" si="145"/>
        <v>443.45</v>
      </c>
      <c r="N563" s="418">
        <f t="shared" si="145"/>
        <v>443.45</v>
      </c>
      <c r="O563" s="418">
        <f t="shared" si="145"/>
        <v>443.45</v>
      </c>
      <c r="P563" s="418">
        <f t="shared" si="145"/>
        <v>443.45</v>
      </c>
      <c r="Q563" s="418">
        <f t="shared" si="145"/>
        <v>443.45</v>
      </c>
      <c r="R563" s="378">
        <f>SUM(F563:Q563)</f>
        <v>3104.1499999999996</v>
      </c>
    </row>
    <row r="564" spans="1:18" s="336" customFormat="1" x14ac:dyDescent="0.2">
      <c r="B564" s="336" t="s">
        <v>1047</v>
      </c>
      <c r="F564" s="418"/>
      <c r="G564" s="418"/>
      <c r="H564" s="418"/>
      <c r="I564" s="418"/>
      <c r="J564" s="418"/>
      <c r="K564" s="418"/>
      <c r="L564" s="418"/>
      <c r="M564" s="418"/>
      <c r="N564" s="418"/>
      <c r="O564" s="418"/>
      <c r="P564" s="418"/>
      <c r="Q564" s="418"/>
      <c r="R564" s="418"/>
    </row>
    <row r="565" spans="1:18" s="336" customFormat="1" x14ac:dyDescent="0.2">
      <c r="C565" s="336" t="s">
        <v>1098</v>
      </c>
      <c r="D565" s="444" t="s">
        <v>810</v>
      </c>
      <c r="F565" s="418">
        <f>F547*F556</f>
        <v>0</v>
      </c>
      <c r="G565" s="418">
        <f t="shared" ref="G565:Q566" si="146">G547*G556</f>
        <v>0</v>
      </c>
      <c r="H565" s="418">
        <f t="shared" si="146"/>
        <v>0</v>
      </c>
      <c r="I565" s="418">
        <f t="shared" si="146"/>
        <v>0</v>
      </c>
      <c r="J565" s="418">
        <f t="shared" si="146"/>
        <v>0</v>
      </c>
      <c r="K565" s="418">
        <f t="shared" si="146"/>
        <v>0</v>
      </c>
      <c r="L565" s="418">
        <f t="shared" si="146"/>
        <v>0</v>
      </c>
      <c r="M565" s="418">
        <f t="shared" si="146"/>
        <v>198.2</v>
      </c>
      <c r="N565" s="418">
        <f t="shared" si="146"/>
        <v>198.2</v>
      </c>
      <c r="O565" s="418">
        <f t="shared" si="146"/>
        <v>198.2</v>
      </c>
      <c r="P565" s="418">
        <f t="shared" si="146"/>
        <v>190.86659999999998</v>
      </c>
      <c r="Q565" s="418">
        <f t="shared" si="146"/>
        <v>39.045400000000001</v>
      </c>
      <c r="R565" s="378">
        <f>SUM(F565:Q565)</f>
        <v>824.51199999999983</v>
      </c>
    </row>
    <row r="566" spans="1:18" s="336" customFormat="1" x14ac:dyDescent="0.2">
      <c r="C566" s="336" t="s">
        <v>1099</v>
      </c>
      <c r="D566" s="444" t="s">
        <v>810</v>
      </c>
      <c r="F566" s="418">
        <f>F548*F557</f>
        <v>0</v>
      </c>
      <c r="G566" s="418">
        <f t="shared" si="146"/>
        <v>0</v>
      </c>
      <c r="H566" s="418">
        <f t="shared" si="146"/>
        <v>0</v>
      </c>
      <c r="I566" s="418">
        <f t="shared" si="146"/>
        <v>0</v>
      </c>
      <c r="J566" s="418">
        <f t="shared" si="146"/>
        <v>0</v>
      </c>
      <c r="K566" s="418">
        <f t="shared" si="146"/>
        <v>0</v>
      </c>
      <c r="L566" s="418">
        <f t="shared" si="146"/>
        <v>0</v>
      </c>
      <c r="M566" s="418">
        <f t="shared" si="146"/>
        <v>164.55180000000001</v>
      </c>
      <c r="N566" s="418">
        <f t="shared" si="146"/>
        <v>1145.7523000000001</v>
      </c>
      <c r="O566" s="418">
        <f t="shared" si="146"/>
        <v>1008.6258</v>
      </c>
      <c r="P566" s="418">
        <f t="shared" si="146"/>
        <v>0</v>
      </c>
      <c r="Q566" s="418">
        <f t="shared" si="146"/>
        <v>0</v>
      </c>
      <c r="R566" s="378">
        <f>SUM(F566:Q566)</f>
        <v>2318.9299000000001</v>
      </c>
    </row>
    <row r="567" spans="1:18" x14ac:dyDescent="0.2">
      <c r="A567" s="32" t="s">
        <v>1054</v>
      </c>
      <c r="C567" s="32" t="s">
        <v>1077</v>
      </c>
      <c r="F567" s="365">
        <f>SUM(F565:F566)</f>
        <v>0</v>
      </c>
      <c r="G567" s="365">
        <f t="shared" ref="G567:R567" si="147">SUM(G565:G566)</f>
        <v>0</v>
      </c>
      <c r="H567" s="365">
        <f t="shared" si="147"/>
        <v>0</v>
      </c>
      <c r="I567" s="365">
        <f t="shared" si="147"/>
        <v>0</v>
      </c>
      <c r="J567" s="365">
        <f t="shared" si="147"/>
        <v>0</v>
      </c>
      <c r="K567" s="365">
        <f t="shared" si="147"/>
        <v>0</v>
      </c>
      <c r="L567" s="365">
        <f t="shared" si="147"/>
        <v>0</v>
      </c>
      <c r="M567" s="365">
        <f t="shared" si="147"/>
        <v>362.7518</v>
      </c>
      <c r="N567" s="365">
        <f t="shared" si="147"/>
        <v>1343.9523000000002</v>
      </c>
      <c r="O567" s="365">
        <f t="shared" si="147"/>
        <v>1206.8258000000001</v>
      </c>
      <c r="P567" s="365">
        <f t="shared" si="147"/>
        <v>190.86659999999998</v>
      </c>
      <c r="Q567" s="365">
        <f t="shared" si="147"/>
        <v>39.045400000000001</v>
      </c>
      <c r="R567" s="365">
        <f t="shared" si="147"/>
        <v>3143.4418999999998</v>
      </c>
    </row>
    <row r="568" spans="1:18" x14ac:dyDescent="0.2">
      <c r="A568" s="32" t="s">
        <v>1056</v>
      </c>
      <c r="B568" s="32" t="s">
        <v>1105</v>
      </c>
      <c r="D568" s="444"/>
      <c r="F568" s="365">
        <f>F549*F558</f>
        <v>0</v>
      </c>
      <c r="G568" s="365">
        <f t="shared" ref="G568:Q569" si="148">G549*G558</f>
        <v>0</v>
      </c>
      <c r="H568" s="365">
        <f t="shared" si="148"/>
        <v>0</v>
      </c>
      <c r="I568" s="365">
        <f t="shared" si="148"/>
        <v>0</v>
      </c>
      <c r="J568" s="365">
        <f t="shared" si="148"/>
        <v>0</v>
      </c>
      <c r="K568" s="365">
        <f t="shared" si="148"/>
        <v>0</v>
      </c>
      <c r="L568" s="365">
        <f t="shared" si="148"/>
        <v>0</v>
      </c>
      <c r="M568" s="365">
        <f t="shared" si="148"/>
        <v>1.5105999999999999</v>
      </c>
      <c r="N568" s="365">
        <f t="shared" si="148"/>
        <v>6.3441000000000001</v>
      </c>
      <c r="O568" s="365">
        <f t="shared" si="148"/>
        <v>5.6685999999999996</v>
      </c>
      <c r="P568" s="365">
        <f t="shared" si="148"/>
        <v>0.67410000000000003</v>
      </c>
      <c r="Q568" s="365">
        <f t="shared" si="148"/>
        <v>0.13789999999999999</v>
      </c>
      <c r="R568" s="436">
        <f>SUM(F568:Q568)</f>
        <v>14.335299999999998</v>
      </c>
    </row>
    <row r="569" spans="1:18" x14ac:dyDescent="0.2">
      <c r="A569" s="32" t="s">
        <v>1054</v>
      </c>
      <c r="B569" s="32" t="s">
        <v>1069</v>
      </c>
      <c r="D569" s="444" t="s">
        <v>810</v>
      </c>
      <c r="F569" s="364">
        <f>F550*F559</f>
        <v>0</v>
      </c>
      <c r="G569" s="364">
        <f t="shared" si="148"/>
        <v>0</v>
      </c>
      <c r="H569" s="364">
        <f t="shared" si="148"/>
        <v>0</v>
      </c>
      <c r="I569" s="364">
        <f t="shared" si="148"/>
        <v>0</v>
      </c>
      <c r="J569" s="364">
        <f t="shared" si="148"/>
        <v>0</v>
      </c>
      <c r="K569" s="364">
        <f t="shared" si="148"/>
        <v>0</v>
      </c>
      <c r="L569" s="364">
        <f t="shared" si="148"/>
        <v>0</v>
      </c>
      <c r="M569" s="364">
        <f t="shared" si="148"/>
        <v>0</v>
      </c>
      <c r="N569" s="364">
        <f t="shared" si="148"/>
        <v>0</v>
      </c>
      <c r="O569" s="364">
        <f t="shared" si="148"/>
        <v>0</v>
      </c>
      <c r="P569" s="364">
        <f t="shared" si="148"/>
        <v>0</v>
      </c>
      <c r="Q569" s="364">
        <f t="shared" si="148"/>
        <v>0</v>
      </c>
      <c r="R569" s="378">
        <f>SUM(F569:Q569)</f>
        <v>0</v>
      </c>
    </row>
    <row r="570" spans="1:18" s="336" customFormat="1" x14ac:dyDescent="0.2">
      <c r="A570" s="336" t="s">
        <v>1054</v>
      </c>
      <c r="B570" s="336" t="s">
        <v>1071</v>
      </c>
      <c r="D570" s="444" t="s">
        <v>810</v>
      </c>
      <c r="F570" s="447">
        <f>'JKP-3.1c - Data'!C189</f>
        <v>0</v>
      </c>
      <c r="G570" s="447">
        <f>'JKP-3.1c - Data'!D189</f>
        <v>0</v>
      </c>
      <c r="H570" s="447">
        <f>'JKP-3.1c - Data'!E189</f>
        <v>0</v>
      </c>
      <c r="I570" s="447">
        <f>'JKP-3.1c - Data'!F189</f>
        <v>0</v>
      </c>
      <c r="J570" s="447">
        <f>'JKP-3.1c - Data'!G189</f>
        <v>0</v>
      </c>
      <c r="K570" s="447">
        <f>'JKP-3.1c - Data'!H189</f>
        <v>0</v>
      </c>
      <c r="L570" s="447">
        <f>'JKP-3.1c - Data'!I189</f>
        <v>0</v>
      </c>
      <c r="M570" s="447">
        <f>'JKP-3.1c - Data'!J189</f>
        <v>0</v>
      </c>
      <c r="N570" s="447">
        <f>'JKP-3.1c - Data'!K189</f>
        <v>68.489999999999995</v>
      </c>
      <c r="O570" s="447">
        <f>'JKP-3.1c - Data'!L189</f>
        <v>0</v>
      </c>
      <c r="P570" s="447">
        <f>'JKP-3.1c - Data'!M189</f>
        <v>0</v>
      </c>
      <c r="Q570" s="447">
        <f>'JKP-3.1c - Data'!N189</f>
        <v>0</v>
      </c>
      <c r="R570" s="378">
        <f>SUM(F570:Q570)</f>
        <v>68.489999999999995</v>
      </c>
    </row>
    <row r="571" spans="1:18" x14ac:dyDescent="0.2">
      <c r="B571" s="32" t="s">
        <v>986</v>
      </c>
      <c r="F571" s="365">
        <f>F563+F567+F568+F569+F570</f>
        <v>0</v>
      </c>
      <c r="G571" s="365">
        <f t="shared" ref="G571:R571" si="149">G563+G567+G568+G569+G570</f>
        <v>0</v>
      </c>
      <c r="H571" s="365">
        <f t="shared" si="149"/>
        <v>0</v>
      </c>
      <c r="I571" s="365">
        <f t="shared" si="149"/>
        <v>0</v>
      </c>
      <c r="J571" s="365">
        <f t="shared" si="149"/>
        <v>0</v>
      </c>
      <c r="K571" s="365">
        <f t="shared" si="149"/>
        <v>443.45</v>
      </c>
      <c r="L571" s="365">
        <f t="shared" si="149"/>
        <v>443.45</v>
      </c>
      <c r="M571" s="365">
        <f t="shared" si="149"/>
        <v>807.7124</v>
      </c>
      <c r="N571" s="365">
        <f t="shared" si="149"/>
        <v>1862.2364000000002</v>
      </c>
      <c r="O571" s="365">
        <f t="shared" si="149"/>
        <v>1655.9444000000001</v>
      </c>
      <c r="P571" s="365">
        <f t="shared" si="149"/>
        <v>634.99069999999995</v>
      </c>
      <c r="Q571" s="365">
        <f t="shared" si="149"/>
        <v>482.63330000000002</v>
      </c>
      <c r="R571" s="365">
        <f t="shared" si="149"/>
        <v>6330.417199999999</v>
      </c>
    </row>
    <row r="572" spans="1:18" x14ac:dyDescent="0.2">
      <c r="F572" s="364"/>
      <c r="G572" s="364"/>
      <c r="H572" s="364"/>
      <c r="I572" s="364"/>
      <c r="J572" s="364"/>
      <c r="K572" s="364"/>
      <c r="L572" s="364"/>
      <c r="M572" s="364"/>
      <c r="N572" s="364"/>
      <c r="O572" s="364"/>
      <c r="P572" s="364"/>
      <c r="Q572" s="364"/>
      <c r="R572" s="364"/>
    </row>
    <row r="573" spans="1:18" x14ac:dyDescent="0.2">
      <c r="A573" s="32" t="s">
        <v>1058</v>
      </c>
      <c r="B573" s="32" t="s">
        <v>1050</v>
      </c>
      <c r="F573" s="364">
        <f>F568</f>
        <v>0</v>
      </c>
      <c r="G573" s="364">
        <f t="shared" ref="G573:Q573" si="150">G568</f>
        <v>0</v>
      </c>
      <c r="H573" s="364">
        <f t="shared" si="150"/>
        <v>0</v>
      </c>
      <c r="I573" s="364">
        <f t="shared" si="150"/>
        <v>0</v>
      </c>
      <c r="J573" s="364">
        <f t="shared" si="150"/>
        <v>0</v>
      </c>
      <c r="K573" s="364">
        <f t="shared" si="150"/>
        <v>0</v>
      </c>
      <c r="L573" s="364">
        <f t="shared" si="150"/>
        <v>0</v>
      </c>
      <c r="M573" s="364">
        <f t="shared" si="150"/>
        <v>1.5105999999999999</v>
      </c>
      <c r="N573" s="364">
        <f t="shared" si="150"/>
        <v>6.3441000000000001</v>
      </c>
      <c r="O573" s="364">
        <f t="shared" si="150"/>
        <v>5.6685999999999996</v>
      </c>
      <c r="P573" s="364">
        <f t="shared" si="150"/>
        <v>0.67410000000000003</v>
      </c>
      <c r="Q573" s="364">
        <f t="shared" si="150"/>
        <v>0.13789999999999999</v>
      </c>
      <c r="R573" s="378">
        <f>SUM(F573:Q573)</f>
        <v>14.335299999999998</v>
      </c>
    </row>
    <row r="574" spans="1:18" x14ac:dyDescent="0.2">
      <c r="F574" s="364"/>
      <c r="G574" s="364"/>
      <c r="H574" s="364"/>
      <c r="I574" s="364"/>
      <c r="J574" s="364"/>
      <c r="K574" s="364"/>
      <c r="L574" s="364"/>
      <c r="M574" s="364"/>
      <c r="N574" s="364"/>
      <c r="O574" s="364"/>
      <c r="P574" s="364"/>
      <c r="Q574" s="364"/>
      <c r="R574" s="341"/>
    </row>
    <row r="575" spans="1:18" x14ac:dyDescent="0.2">
      <c r="B575" s="276" t="s">
        <v>1106</v>
      </c>
      <c r="C575" s="276"/>
      <c r="F575" s="390"/>
      <c r="G575" s="390"/>
      <c r="H575" s="390"/>
      <c r="I575" s="390"/>
      <c r="J575" s="390"/>
    </row>
    <row r="576" spans="1:18" x14ac:dyDescent="0.2">
      <c r="B576" s="276" t="s">
        <v>5</v>
      </c>
      <c r="C576" s="276"/>
      <c r="F576" s="390"/>
      <c r="G576" s="390"/>
      <c r="H576" s="390"/>
      <c r="I576" s="390"/>
      <c r="J576" s="390"/>
    </row>
    <row r="577" spans="2:18" x14ac:dyDescent="0.2">
      <c r="B577" s="32" t="s">
        <v>1059</v>
      </c>
      <c r="D577" s="444" t="s">
        <v>811</v>
      </c>
      <c r="E577" s="32" t="s">
        <v>976</v>
      </c>
      <c r="F577" s="413">
        <f t="shared" ref="F577:L577" si="151">F217</f>
        <v>859.39</v>
      </c>
      <c r="G577" s="413">
        <f t="shared" si="151"/>
        <v>859.39</v>
      </c>
      <c r="H577" s="413">
        <f t="shared" si="151"/>
        <v>859.39</v>
      </c>
      <c r="I577" s="413">
        <f t="shared" si="151"/>
        <v>871.85</v>
      </c>
      <c r="J577" s="413">
        <f t="shared" si="151"/>
        <v>871.85</v>
      </c>
      <c r="K577" s="413">
        <f t="shared" si="151"/>
        <v>871.85</v>
      </c>
      <c r="L577" s="413">
        <f t="shared" si="151"/>
        <v>871.85</v>
      </c>
      <c r="M577" s="460">
        <f>M217</f>
        <v>871.85</v>
      </c>
      <c r="N577" s="460">
        <f>N217</f>
        <v>871.85</v>
      </c>
      <c r="O577" s="460">
        <f>O217</f>
        <v>871.85</v>
      </c>
      <c r="P577" s="460">
        <f>P217</f>
        <v>871.85</v>
      </c>
      <c r="Q577" s="460">
        <f>Q217</f>
        <v>871.85</v>
      </c>
    </row>
    <row r="578" spans="2:18" x14ac:dyDescent="0.2">
      <c r="B578" s="32" t="s">
        <v>1047</v>
      </c>
      <c r="F578" s="393"/>
      <c r="G578" s="393"/>
      <c r="H578" s="393"/>
      <c r="I578" s="393"/>
      <c r="J578" s="393"/>
      <c r="K578" s="393"/>
      <c r="L578" s="393"/>
      <c r="M578" s="459"/>
      <c r="N578" s="459"/>
      <c r="O578" s="459"/>
      <c r="P578" s="459"/>
      <c r="Q578" s="459"/>
    </row>
    <row r="579" spans="2:18" x14ac:dyDescent="0.2">
      <c r="C579" s="32" t="s">
        <v>1086</v>
      </c>
      <c r="D579" s="444" t="s">
        <v>811</v>
      </c>
      <c r="E579" s="32" t="s">
        <v>957</v>
      </c>
      <c r="F579" s="393">
        <f t="shared" ref="F579:Q586" si="152">F219</f>
        <v>0.13618</v>
      </c>
      <c r="G579" s="393">
        <f t="shared" si="152"/>
        <v>0.13618</v>
      </c>
      <c r="H579" s="393">
        <f t="shared" si="152"/>
        <v>0.13618</v>
      </c>
      <c r="I579" s="393">
        <f t="shared" si="152"/>
        <v>0.13815</v>
      </c>
      <c r="J579" s="393">
        <f t="shared" si="152"/>
        <v>0.13815</v>
      </c>
      <c r="K579" s="393">
        <f t="shared" si="152"/>
        <v>0.13815</v>
      </c>
      <c r="L579" s="393">
        <f t="shared" si="152"/>
        <v>0.13815</v>
      </c>
      <c r="M579" s="459">
        <f t="shared" si="152"/>
        <v>0.13815</v>
      </c>
      <c r="N579" s="459">
        <f t="shared" si="152"/>
        <v>0.13815</v>
      </c>
      <c r="O579" s="459">
        <f t="shared" si="152"/>
        <v>0.13815</v>
      </c>
      <c r="P579" s="459">
        <f t="shared" si="152"/>
        <v>0.13815</v>
      </c>
      <c r="Q579" s="459">
        <f t="shared" si="152"/>
        <v>0.13815</v>
      </c>
    </row>
    <row r="580" spans="2:18" x14ac:dyDescent="0.2">
      <c r="C580" s="32" t="s">
        <v>1087</v>
      </c>
      <c r="D580" s="444" t="s">
        <v>811</v>
      </c>
      <c r="E580" s="32" t="s">
        <v>957</v>
      </c>
      <c r="F580" s="393">
        <f t="shared" si="152"/>
        <v>8.3140000000000006E-2</v>
      </c>
      <c r="G580" s="393">
        <f t="shared" si="152"/>
        <v>8.3140000000000006E-2</v>
      </c>
      <c r="H580" s="393">
        <f t="shared" si="152"/>
        <v>8.3140000000000006E-2</v>
      </c>
      <c r="I580" s="393">
        <f t="shared" si="152"/>
        <v>8.4349999999999994E-2</v>
      </c>
      <c r="J580" s="393">
        <f t="shared" si="152"/>
        <v>8.4349999999999994E-2</v>
      </c>
      <c r="K580" s="393">
        <f t="shared" si="152"/>
        <v>8.4349999999999994E-2</v>
      </c>
      <c r="L580" s="393">
        <f t="shared" si="152"/>
        <v>8.4349999999999994E-2</v>
      </c>
      <c r="M580" s="459">
        <f t="shared" si="152"/>
        <v>8.4349999999999994E-2</v>
      </c>
      <c r="N580" s="459">
        <f t="shared" si="152"/>
        <v>8.4349999999999994E-2</v>
      </c>
      <c r="O580" s="459">
        <f t="shared" si="152"/>
        <v>8.4349999999999994E-2</v>
      </c>
      <c r="P580" s="459">
        <f t="shared" si="152"/>
        <v>8.4349999999999994E-2</v>
      </c>
      <c r="Q580" s="459">
        <f t="shared" si="152"/>
        <v>8.4349999999999994E-2</v>
      </c>
    </row>
    <row r="581" spans="2:18" x14ac:dyDescent="0.2">
      <c r="C581" s="32" t="s">
        <v>1090</v>
      </c>
      <c r="D581" s="444" t="s">
        <v>811</v>
      </c>
      <c r="E581" s="32" t="s">
        <v>957</v>
      </c>
      <c r="F581" s="393">
        <f t="shared" si="152"/>
        <v>5.3679999999999999E-2</v>
      </c>
      <c r="G581" s="393">
        <f t="shared" si="152"/>
        <v>5.3679999999999999E-2</v>
      </c>
      <c r="H581" s="393">
        <f t="shared" si="152"/>
        <v>5.3679999999999999E-2</v>
      </c>
      <c r="I581" s="393">
        <f t="shared" si="152"/>
        <v>5.4460000000000001E-2</v>
      </c>
      <c r="J581" s="393">
        <f t="shared" si="152"/>
        <v>5.4460000000000001E-2</v>
      </c>
      <c r="K581" s="393">
        <f t="shared" si="152"/>
        <v>5.4460000000000001E-2</v>
      </c>
      <c r="L581" s="393">
        <f t="shared" si="152"/>
        <v>5.4460000000000001E-2</v>
      </c>
      <c r="M581" s="459">
        <f t="shared" si="152"/>
        <v>5.4460000000000001E-2</v>
      </c>
      <c r="N581" s="459">
        <f t="shared" si="152"/>
        <v>5.4460000000000001E-2</v>
      </c>
      <c r="O581" s="459">
        <f t="shared" si="152"/>
        <v>5.4460000000000001E-2</v>
      </c>
      <c r="P581" s="459">
        <f t="shared" si="152"/>
        <v>5.4460000000000001E-2</v>
      </c>
      <c r="Q581" s="459">
        <f t="shared" si="152"/>
        <v>5.4460000000000001E-2</v>
      </c>
    </row>
    <row r="582" spans="2:18" x14ac:dyDescent="0.2">
      <c r="C582" s="32" t="s">
        <v>1091</v>
      </c>
      <c r="D582" s="444" t="s">
        <v>811</v>
      </c>
      <c r="E582" s="32" t="s">
        <v>957</v>
      </c>
      <c r="F582" s="393">
        <f t="shared" si="152"/>
        <v>3.5189999999999999E-2</v>
      </c>
      <c r="G582" s="393">
        <f t="shared" si="152"/>
        <v>3.5189999999999999E-2</v>
      </c>
      <c r="H582" s="393">
        <f t="shared" si="152"/>
        <v>3.5189999999999999E-2</v>
      </c>
      <c r="I582" s="393">
        <f t="shared" si="152"/>
        <v>3.5700000000000003E-2</v>
      </c>
      <c r="J582" s="393">
        <f t="shared" si="152"/>
        <v>3.5700000000000003E-2</v>
      </c>
      <c r="K582" s="393">
        <f t="shared" si="152"/>
        <v>3.5700000000000003E-2</v>
      </c>
      <c r="L582" s="393">
        <f t="shared" si="152"/>
        <v>3.5700000000000003E-2</v>
      </c>
      <c r="M582" s="459">
        <f t="shared" si="152"/>
        <v>3.5700000000000003E-2</v>
      </c>
      <c r="N582" s="459">
        <f t="shared" si="152"/>
        <v>3.5700000000000003E-2</v>
      </c>
      <c r="O582" s="459">
        <f t="shared" si="152"/>
        <v>3.5700000000000003E-2</v>
      </c>
      <c r="P582" s="459">
        <f t="shared" si="152"/>
        <v>3.5700000000000003E-2</v>
      </c>
      <c r="Q582" s="459">
        <f t="shared" si="152"/>
        <v>3.5700000000000003E-2</v>
      </c>
    </row>
    <row r="583" spans="2:18" x14ac:dyDescent="0.2">
      <c r="C583" s="32" t="s">
        <v>1092</v>
      </c>
      <c r="D583" s="444" t="s">
        <v>811</v>
      </c>
      <c r="E583" s="32" t="s">
        <v>957</v>
      </c>
      <c r="F583" s="393">
        <f t="shared" si="152"/>
        <v>2.5919999999999999E-2</v>
      </c>
      <c r="G583" s="393">
        <f t="shared" si="152"/>
        <v>2.5919999999999999E-2</v>
      </c>
      <c r="H583" s="393">
        <f t="shared" si="152"/>
        <v>2.5919999999999999E-2</v>
      </c>
      <c r="I583" s="393">
        <f t="shared" si="152"/>
        <v>2.63E-2</v>
      </c>
      <c r="J583" s="393">
        <f t="shared" si="152"/>
        <v>2.63E-2</v>
      </c>
      <c r="K583" s="393">
        <f t="shared" si="152"/>
        <v>2.63E-2</v>
      </c>
      <c r="L583" s="393">
        <f t="shared" si="152"/>
        <v>2.63E-2</v>
      </c>
      <c r="M583" s="459">
        <f t="shared" si="152"/>
        <v>2.63E-2</v>
      </c>
      <c r="N583" s="459">
        <f t="shared" si="152"/>
        <v>2.63E-2</v>
      </c>
      <c r="O583" s="459">
        <f t="shared" si="152"/>
        <v>2.63E-2</v>
      </c>
      <c r="P583" s="459">
        <f t="shared" si="152"/>
        <v>2.63E-2</v>
      </c>
      <c r="Q583" s="459">
        <f t="shared" si="152"/>
        <v>2.63E-2</v>
      </c>
    </row>
    <row r="584" spans="2:18" x14ac:dyDescent="0.2">
      <c r="C584" s="32" t="s">
        <v>1093</v>
      </c>
      <c r="D584" s="444" t="s">
        <v>811</v>
      </c>
      <c r="E584" s="32" t="s">
        <v>957</v>
      </c>
      <c r="F584" s="393">
        <f t="shared" si="152"/>
        <v>2.0469999999999999E-2</v>
      </c>
      <c r="G584" s="393">
        <f t="shared" si="152"/>
        <v>2.0469999999999999E-2</v>
      </c>
      <c r="H584" s="393">
        <f t="shared" si="152"/>
        <v>2.0469999999999999E-2</v>
      </c>
      <c r="I584" s="393">
        <f t="shared" si="152"/>
        <v>2.077E-2</v>
      </c>
      <c r="J584" s="393">
        <f t="shared" si="152"/>
        <v>2.077E-2</v>
      </c>
      <c r="K584" s="393">
        <f t="shared" si="152"/>
        <v>2.077E-2</v>
      </c>
      <c r="L584" s="393">
        <f t="shared" si="152"/>
        <v>2.077E-2</v>
      </c>
      <c r="M584" s="459">
        <f t="shared" si="152"/>
        <v>2.077E-2</v>
      </c>
      <c r="N584" s="459">
        <f t="shared" si="152"/>
        <v>2.077E-2</v>
      </c>
      <c r="O584" s="459">
        <f t="shared" si="152"/>
        <v>2.077E-2</v>
      </c>
      <c r="P584" s="459">
        <f t="shared" si="152"/>
        <v>2.077E-2</v>
      </c>
      <c r="Q584" s="459">
        <f t="shared" si="152"/>
        <v>2.077E-2</v>
      </c>
    </row>
    <row r="585" spans="2:18" x14ac:dyDescent="0.2">
      <c r="B585" s="336" t="s">
        <v>1081</v>
      </c>
      <c r="D585" s="382" t="s">
        <v>811</v>
      </c>
      <c r="E585" s="336" t="s">
        <v>957</v>
      </c>
      <c r="F585" s="393">
        <f t="shared" si="152"/>
        <v>6.9999999999999999E-4</v>
      </c>
      <c r="G585" s="393">
        <f t="shared" si="152"/>
        <v>6.9999999999999999E-4</v>
      </c>
      <c r="H585" s="393">
        <f t="shared" si="152"/>
        <v>6.9999999999999999E-4</v>
      </c>
      <c r="I585" s="393">
        <f t="shared" si="152"/>
        <v>6.9999999999999999E-4</v>
      </c>
      <c r="J585" s="393">
        <f t="shared" si="152"/>
        <v>6.9999999999999999E-4</v>
      </c>
      <c r="K585" s="393">
        <f t="shared" si="152"/>
        <v>6.9999999999999999E-4</v>
      </c>
      <c r="L585" s="393">
        <f t="shared" si="152"/>
        <v>6.9999999999999999E-4</v>
      </c>
      <c r="M585" s="459">
        <f>M225</f>
        <v>6.9999999999999999E-4</v>
      </c>
      <c r="N585" s="459">
        <f>N225</f>
        <v>6.9999999999999999E-4</v>
      </c>
      <c r="O585" s="459">
        <f t="shared" si="152"/>
        <v>6.9999999999999999E-4</v>
      </c>
      <c r="P585" s="459">
        <f t="shared" si="152"/>
        <v>6.9999999999999999E-4</v>
      </c>
      <c r="Q585" s="459">
        <f t="shared" si="152"/>
        <v>6.9999999999999999E-4</v>
      </c>
    </row>
    <row r="586" spans="2:18" x14ac:dyDescent="0.2">
      <c r="B586" s="32" t="s">
        <v>1069</v>
      </c>
      <c r="D586" s="444" t="s">
        <v>811</v>
      </c>
      <c r="E586" s="32" t="s">
        <v>957</v>
      </c>
      <c r="F586" s="413">
        <f t="shared" si="152"/>
        <v>1.1000000000000001</v>
      </c>
      <c r="G586" s="413">
        <f t="shared" si="152"/>
        <v>1.1000000000000001</v>
      </c>
      <c r="H586" s="413">
        <f t="shared" si="152"/>
        <v>1.1000000000000001</v>
      </c>
      <c r="I586" s="413">
        <f t="shared" si="152"/>
        <v>1.1100000000000001</v>
      </c>
      <c r="J586" s="413">
        <f t="shared" si="152"/>
        <v>1.1100000000000001</v>
      </c>
      <c r="K586" s="413">
        <f t="shared" si="152"/>
        <v>1.1100000000000001</v>
      </c>
      <c r="L586" s="413">
        <f t="shared" si="152"/>
        <v>1.1100000000000001</v>
      </c>
      <c r="M586" s="460">
        <f>M226</f>
        <v>1.1100000000000001</v>
      </c>
      <c r="N586" s="460">
        <f>N226</f>
        <v>1.1100000000000001</v>
      </c>
      <c r="O586" s="460">
        <f t="shared" si="152"/>
        <v>1.1100000000000001</v>
      </c>
      <c r="P586" s="460">
        <f t="shared" si="152"/>
        <v>1.1100000000000001</v>
      </c>
      <c r="Q586" s="460">
        <f t="shared" si="152"/>
        <v>1.1100000000000001</v>
      </c>
    </row>
    <row r="587" spans="2:18" s="336" customFormat="1" x14ac:dyDescent="0.2">
      <c r="B587" s="336" t="s">
        <v>1071</v>
      </c>
      <c r="D587" s="444" t="s">
        <v>811</v>
      </c>
      <c r="E587" s="336" t="s">
        <v>67</v>
      </c>
      <c r="F587" s="442"/>
      <c r="G587" s="442"/>
      <c r="H587" s="442"/>
      <c r="I587" s="442"/>
      <c r="J587" s="442"/>
      <c r="K587" s="442"/>
      <c r="L587" s="442"/>
    </row>
    <row r="588" spans="2:18" s="336" customFormat="1" x14ac:dyDescent="0.2">
      <c r="F588" s="415"/>
      <c r="G588" s="415"/>
      <c r="H588" s="415"/>
      <c r="I588" s="415"/>
      <c r="J588" s="415"/>
    </row>
    <row r="589" spans="2:18" s="336" customFormat="1" x14ac:dyDescent="0.2">
      <c r="B589" s="182" t="s">
        <v>1083</v>
      </c>
      <c r="F589" s="415"/>
      <c r="G589" s="415"/>
      <c r="H589" s="415"/>
      <c r="I589" s="415"/>
      <c r="J589" s="415"/>
    </row>
    <row r="590" spans="2:18" s="336" customFormat="1" x14ac:dyDescent="0.2">
      <c r="B590" s="336" t="s">
        <v>67</v>
      </c>
      <c r="D590" s="444" t="s">
        <v>811</v>
      </c>
      <c r="E590" s="336" t="s">
        <v>67</v>
      </c>
      <c r="F590" s="421">
        <f>'JKP-3.1c - Data'!C156</f>
        <v>11</v>
      </c>
      <c r="G590" s="421">
        <f>'JKP-3.1c - Data'!D156</f>
        <v>11</v>
      </c>
      <c r="H590" s="421">
        <f>'JKP-3.1c - Data'!E156</f>
        <v>11</v>
      </c>
      <c r="I590" s="421">
        <f>'JKP-3.1c - Data'!F156</f>
        <v>11</v>
      </c>
      <c r="J590" s="421">
        <f>'JKP-3.1c - Data'!G156</f>
        <v>11</v>
      </c>
      <c r="K590" s="421">
        <f>'JKP-3.1c - Data'!H156</f>
        <v>11</v>
      </c>
      <c r="L590" s="421">
        <f>'JKP-3.1c - Data'!I156</f>
        <v>11</v>
      </c>
      <c r="M590" s="421">
        <f>'JKP-3.1c - Data'!J156</f>
        <v>11</v>
      </c>
      <c r="N590" s="421">
        <f>'JKP-3.1c - Data'!K156</f>
        <v>11</v>
      </c>
      <c r="O590" s="421">
        <f>'JKP-3.1c - Data'!L156</f>
        <v>11</v>
      </c>
      <c r="P590" s="421">
        <f>'JKP-3.1c - Data'!M156</f>
        <v>11</v>
      </c>
      <c r="Q590" s="421">
        <f>'JKP-3.1c - Data'!N156</f>
        <v>10</v>
      </c>
      <c r="R590" s="362">
        <f>SUM(F590:Q590)</f>
        <v>131</v>
      </c>
    </row>
    <row r="591" spans="2:18" s="336" customFormat="1" x14ac:dyDescent="0.2">
      <c r="B591" s="336" t="s">
        <v>76</v>
      </c>
      <c r="F591" s="380"/>
      <c r="G591" s="380"/>
      <c r="H591" s="380"/>
      <c r="I591" s="380"/>
      <c r="J591" s="380"/>
      <c r="K591" s="380"/>
      <c r="L591" s="380"/>
      <c r="M591" s="380"/>
      <c r="N591" s="380"/>
      <c r="O591" s="380"/>
      <c r="P591" s="380"/>
      <c r="Q591" s="380"/>
    </row>
    <row r="592" spans="2:18" s="336" customFormat="1" x14ac:dyDescent="0.2">
      <c r="C592" s="336" t="s">
        <v>1086</v>
      </c>
      <c r="D592" s="444" t="s">
        <v>811</v>
      </c>
      <c r="E592" s="336" t="s">
        <v>10</v>
      </c>
      <c r="F592" s="380">
        <v>233002</v>
      </c>
      <c r="G592" s="380">
        <v>237361</v>
      </c>
      <c r="H592" s="380">
        <v>250000</v>
      </c>
      <c r="I592" s="380">
        <v>250000</v>
      </c>
      <c r="J592" s="380">
        <v>250000</v>
      </c>
      <c r="K592" s="380">
        <v>250295</v>
      </c>
      <c r="L592" s="380">
        <v>275000</v>
      </c>
      <c r="M592" s="380">
        <v>275000</v>
      </c>
      <c r="N592" s="380">
        <v>275000</v>
      </c>
      <c r="O592" s="380">
        <v>275000</v>
      </c>
      <c r="P592" s="380">
        <v>239521</v>
      </c>
      <c r="Q592" s="380">
        <v>244957</v>
      </c>
      <c r="R592" s="362">
        <f t="shared" ref="R592:R599" si="153">SUM(F592:Q592)</f>
        <v>3055136</v>
      </c>
    </row>
    <row r="593" spans="1:18" s="336" customFormat="1" x14ac:dyDescent="0.2">
      <c r="C593" s="336" t="s">
        <v>1087</v>
      </c>
      <c r="D593" s="444" t="s">
        <v>811</v>
      </c>
      <c r="E593" s="336" t="s">
        <v>10</v>
      </c>
      <c r="F593" s="380">
        <v>225000</v>
      </c>
      <c r="G593" s="380">
        <v>225000</v>
      </c>
      <c r="H593" s="380">
        <v>243175</v>
      </c>
      <c r="I593" s="380">
        <v>250000</v>
      </c>
      <c r="J593" s="380">
        <v>239298</v>
      </c>
      <c r="K593" s="380">
        <v>241718</v>
      </c>
      <c r="L593" s="380">
        <v>241997</v>
      </c>
      <c r="M593" s="380">
        <v>275000</v>
      </c>
      <c r="N593" s="380">
        <v>275000</v>
      </c>
      <c r="O593" s="380">
        <v>275000</v>
      </c>
      <c r="P593" s="380">
        <v>225000</v>
      </c>
      <c r="Q593" s="380">
        <v>225000</v>
      </c>
      <c r="R593" s="362">
        <f t="shared" si="153"/>
        <v>2941188</v>
      </c>
    </row>
    <row r="594" spans="1:18" s="336" customFormat="1" x14ac:dyDescent="0.2">
      <c r="C594" s="336" t="s">
        <v>1090</v>
      </c>
      <c r="D594" s="444" t="s">
        <v>811</v>
      </c>
      <c r="E594" s="336" t="s">
        <v>10</v>
      </c>
      <c r="F594" s="380">
        <v>450000</v>
      </c>
      <c r="G594" s="380">
        <v>450000</v>
      </c>
      <c r="H594" s="380">
        <v>450000</v>
      </c>
      <c r="I594" s="380">
        <v>456951</v>
      </c>
      <c r="J594" s="380">
        <v>450000</v>
      </c>
      <c r="K594" s="380">
        <v>450000</v>
      </c>
      <c r="L594" s="380">
        <v>450000</v>
      </c>
      <c r="M594" s="380">
        <v>529945</v>
      </c>
      <c r="N594" s="380">
        <v>542077</v>
      </c>
      <c r="O594" s="380">
        <v>537115</v>
      </c>
      <c r="P594" s="380">
        <v>450000</v>
      </c>
      <c r="Q594" s="380">
        <v>450000</v>
      </c>
      <c r="R594" s="362">
        <f t="shared" si="153"/>
        <v>5666088</v>
      </c>
    </row>
    <row r="595" spans="1:18" s="336" customFormat="1" x14ac:dyDescent="0.2">
      <c r="C595" s="336" t="s">
        <v>1091</v>
      </c>
      <c r="D595" s="444" t="s">
        <v>811</v>
      </c>
      <c r="E595" s="336" t="s">
        <v>10</v>
      </c>
      <c r="F595" s="380">
        <v>900000</v>
      </c>
      <c r="G595" s="380">
        <v>890972</v>
      </c>
      <c r="H595" s="380">
        <v>819393</v>
      </c>
      <c r="I595" s="380">
        <v>871573</v>
      </c>
      <c r="J595" s="380">
        <v>900000</v>
      </c>
      <c r="K595" s="380">
        <v>900000</v>
      </c>
      <c r="L595" s="380">
        <v>900000</v>
      </c>
      <c r="M595" s="380">
        <v>955341</v>
      </c>
      <c r="N595" s="380">
        <v>924425</v>
      </c>
      <c r="O595" s="380">
        <v>900000</v>
      </c>
      <c r="P595" s="380">
        <v>900000</v>
      </c>
      <c r="Q595" s="380">
        <v>875878</v>
      </c>
      <c r="R595" s="362">
        <f t="shared" si="153"/>
        <v>10737582</v>
      </c>
    </row>
    <row r="596" spans="1:18" s="336" customFormat="1" x14ac:dyDescent="0.2">
      <c r="C596" s="336" t="s">
        <v>1092</v>
      </c>
      <c r="D596" s="444" t="s">
        <v>811</v>
      </c>
      <c r="E596" s="336" t="s">
        <v>10</v>
      </c>
      <c r="F596" s="380">
        <v>2239208</v>
      </c>
      <c r="G596" s="380">
        <v>2174048</v>
      </c>
      <c r="H596" s="380">
        <v>2151855</v>
      </c>
      <c r="I596" s="380">
        <v>2149221</v>
      </c>
      <c r="J596" s="380">
        <v>2222143</v>
      </c>
      <c r="K596" s="380">
        <v>2135368</v>
      </c>
      <c r="L596" s="380">
        <v>2097365</v>
      </c>
      <c r="M596" s="380">
        <v>2247151</v>
      </c>
      <c r="N596" s="380">
        <v>2086920</v>
      </c>
      <c r="O596" s="380">
        <v>2172513</v>
      </c>
      <c r="P596" s="380">
        <v>1981141</v>
      </c>
      <c r="Q596" s="380">
        <v>1839709</v>
      </c>
      <c r="R596" s="362">
        <f t="shared" si="153"/>
        <v>25496642</v>
      </c>
    </row>
    <row r="597" spans="1:18" s="336" customFormat="1" x14ac:dyDescent="0.2">
      <c r="C597" s="336" t="s">
        <v>1093</v>
      </c>
      <c r="D597" s="444" t="s">
        <v>811</v>
      </c>
      <c r="E597" s="336" t="s">
        <v>10</v>
      </c>
      <c r="F597" s="378">
        <f t="shared" ref="F597:M597" si="154">F598-SUM(F592:F596)</f>
        <v>3231478</v>
      </c>
      <c r="G597" s="378">
        <f t="shared" si="154"/>
        <v>1780829</v>
      </c>
      <c r="H597" s="378">
        <f t="shared" si="154"/>
        <v>3002301</v>
      </c>
      <c r="I597" s="378">
        <f t="shared" si="154"/>
        <v>2880556</v>
      </c>
      <c r="J597" s="378">
        <f t="shared" si="154"/>
        <v>3908149</v>
      </c>
      <c r="K597" s="378">
        <f t="shared" si="154"/>
        <v>2733660</v>
      </c>
      <c r="L597" s="378">
        <f t="shared" si="154"/>
        <v>3335718</v>
      </c>
      <c r="M597" s="378">
        <f t="shared" si="154"/>
        <v>3166091</v>
      </c>
      <c r="N597" s="378">
        <f>N598-SUM(N592:N596)</f>
        <v>2201045</v>
      </c>
      <c r="O597" s="378">
        <f>O598-SUM(O592:O596)</f>
        <v>2307132</v>
      </c>
      <c r="P597" s="378">
        <f>P598-SUM(P592:P596)</f>
        <v>1500048</v>
      </c>
      <c r="Q597" s="378">
        <f>Q598-SUM(Q592:Q596)</f>
        <v>2037587</v>
      </c>
      <c r="R597" s="362">
        <f t="shared" si="153"/>
        <v>32084594</v>
      </c>
    </row>
    <row r="598" spans="1:18" s="336" customFormat="1" x14ac:dyDescent="0.2">
      <c r="C598" s="336" t="s">
        <v>1075</v>
      </c>
      <c r="D598" s="444" t="s">
        <v>811</v>
      </c>
      <c r="E598" s="336" t="s">
        <v>10</v>
      </c>
      <c r="F598" s="445">
        <f>'JKP-3.1c - Therms Data'!E95</f>
        <v>7278688</v>
      </c>
      <c r="G598" s="445">
        <f>'JKP-3.1c - Therms Data'!F95</f>
        <v>5758210</v>
      </c>
      <c r="H598" s="445">
        <f>'JKP-3.1c - Therms Data'!G95</f>
        <v>6916724</v>
      </c>
      <c r="I598" s="445">
        <f>'JKP-3.1c - Therms Data'!H95</f>
        <v>6858301</v>
      </c>
      <c r="J598" s="445">
        <f>'JKP-3.1c - Therms Data'!I95</f>
        <v>7969590</v>
      </c>
      <c r="K598" s="445">
        <f>'JKP-3.1c - Therms Data'!J95</f>
        <v>6711041</v>
      </c>
      <c r="L598" s="445">
        <f>'JKP-3.1c - Therms Data'!K95</f>
        <v>7300080</v>
      </c>
      <c r="M598" s="445">
        <f>'JKP-3.1c - Therms Data'!L95</f>
        <v>7448528</v>
      </c>
      <c r="N598" s="445">
        <f>'JKP-3.1c - Therms Data'!M95</f>
        <v>6304467</v>
      </c>
      <c r="O598" s="445">
        <f>'JKP-3.1c - Therms Data'!N95</f>
        <v>6466760</v>
      </c>
      <c r="P598" s="445">
        <f>'JKP-3.1c - Therms Data'!O95</f>
        <v>5295710</v>
      </c>
      <c r="Q598" s="445">
        <f>'JKP-3.1c - Therms Data'!P95</f>
        <v>5673131</v>
      </c>
      <c r="R598" s="436">
        <f t="shared" si="153"/>
        <v>79981230</v>
      </c>
    </row>
    <row r="599" spans="1:18" s="336" customFormat="1" x14ac:dyDescent="0.2">
      <c r="B599" s="336" t="s">
        <v>74</v>
      </c>
      <c r="D599" s="444" t="s">
        <v>811</v>
      </c>
      <c r="E599" s="336" t="s">
        <v>1076</v>
      </c>
      <c r="F599" s="421">
        <f>'JKP-3.1c - Data'!C176</f>
        <v>37739</v>
      </c>
      <c r="G599" s="421">
        <f>'JKP-3.1c - Data'!D176</f>
        <v>37739</v>
      </c>
      <c r="H599" s="421">
        <f>'JKP-3.1c - Data'!E176</f>
        <v>37739</v>
      </c>
      <c r="I599" s="421">
        <f>'JKP-3.1c - Data'!F176</f>
        <v>37739</v>
      </c>
      <c r="J599" s="421">
        <f>'JKP-3.1c - Data'!G176</f>
        <v>37739</v>
      </c>
      <c r="K599" s="421">
        <f>'JKP-3.1c - Data'!H176</f>
        <v>37739</v>
      </c>
      <c r="L599" s="421">
        <f>'JKP-3.1c - Data'!I176</f>
        <v>37739</v>
      </c>
      <c r="M599" s="421">
        <f>'JKP-3.1c - Data'!J176</f>
        <v>37739</v>
      </c>
      <c r="N599" s="421">
        <f>'JKP-3.1c - Data'!K176</f>
        <v>37739</v>
      </c>
      <c r="O599" s="421">
        <f>'JKP-3.1c - Data'!L176</f>
        <v>37739</v>
      </c>
      <c r="P599" s="421">
        <f>'JKP-3.1c - Data'!M176</f>
        <v>37739</v>
      </c>
      <c r="Q599" s="421">
        <f>'JKP-3.1c - Data'!N176</f>
        <v>37722</v>
      </c>
      <c r="R599" s="362">
        <f t="shared" si="153"/>
        <v>452851</v>
      </c>
    </row>
    <row r="600" spans="1:18" s="336" customFormat="1" x14ac:dyDescent="0.2">
      <c r="B600" s="336" t="s">
        <v>1071</v>
      </c>
      <c r="F600" s="415"/>
      <c r="G600" s="415"/>
      <c r="H600" s="415"/>
      <c r="I600" s="415"/>
      <c r="J600" s="415"/>
    </row>
    <row r="601" spans="1:18" s="336" customFormat="1" x14ac:dyDescent="0.2">
      <c r="F601" s="415"/>
      <c r="G601" s="415"/>
      <c r="H601" s="415"/>
      <c r="I601" s="415"/>
      <c r="J601" s="415"/>
    </row>
    <row r="602" spans="1:18" s="336" customFormat="1" x14ac:dyDescent="0.2">
      <c r="B602" s="182" t="s">
        <v>985</v>
      </c>
      <c r="F602" s="415"/>
      <c r="G602" s="415"/>
      <c r="H602" s="415"/>
      <c r="I602" s="415"/>
      <c r="J602" s="415"/>
    </row>
    <row r="603" spans="1:18" s="336" customFormat="1" x14ac:dyDescent="0.2">
      <c r="A603" s="336" t="s">
        <v>1054</v>
      </c>
      <c r="B603" s="336" t="s">
        <v>1059</v>
      </c>
      <c r="D603" s="444" t="s">
        <v>811</v>
      </c>
      <c r="F603" s="418">
        <f t="shared" ref="F603:Q603" si="155">F577*F590</f>
        <v>9453.2899999999991</v>
      </c>
      <c r="G603" s="418">
        <f t="shared" si="155"/>
        <v>9453.2899999999991</v>
      </c>
      <c r="H603" s="418">
        <f t="shared" si="155"/>
        <v>9453.2899999999991</v>
      </c>
      <c r="I603" s="418">
        <f t="shared" si="155"/>
        <v>9590.35</v>
      </c>
      <c r="J603" s="418">
        <f t="shared" si="155"/>
        <v>9590.35</v>
      </c>
      <c r="K603" s="418">
        <f t="shared" si="155"/>
        <v>9590.35</v>
      </c>
      <c r="L603" s="418">
        <f t="shared" si="155"/>
        <v>9590.35</v>
      </c>
      <c r="M603" s="418">
        <f t="shared" si="155"/>
        <v>9590.35</v>
      </c>
      <c r="N603" s="418">
        <f t="shared" si="155"/>
        <v>9590.35</v>
      </c>
      <c r="O603" s="418">
        <f t="shared" si="155"/>
        <v>9590.35</v>
      </c>
      <c r="P603" s="418">
        <f t="shared" si="155"/>
        <v>9590.35</v>
      </c>
      <c r="Q603" s="418">
        <f t="shared" si="155"/>
        <v>8718.5</v>
      </c>
      <c r="R603" s="418">
        <f>SUM(F603:Q603)</f>
        <v>113801.17000000001</v>
      </c>
    </row>
    <row r="604" spans="1:18" s="336" customFormat="1" x14ac:dyDescent="0.2">
      <c r="B604" s="336" t="s">
        <v>1047</v>
      </c>
      <c r="F604" s="418"/>
      <c r="G604" s="418"/>
      <c r="H604" s="418"/>
      <c r="I604" s="418"/>
      <c r="J604" s="418"/>
      <c r="K604" s="418"/>
      <c r="L604" s="418"/>
      <c r="M604" s="418"/>
      <c r="N604" s="418"/>
      <c r="O604" s="418"/>
      <c r="P604" s="418"/>
      <c r="Q604" s="418"/>
      <c r="R604" s="418"/>
    </row>
    <row r="605" spans="1:18" x14ac:dyDescent="0.2">
      <c r="C605" s="32" t="s">
        <v>1086</v>
      </c>
      <c r="D605" s="444" t="s">
        <v>811</v>
      </c>
      <c r="F605" s="364">
        <f t="shared" ref="F605:Q610" si="156">F579*F592</f>
        <v>31730.212359999998</v>
      </c>
      <c r="G605" s="364">
        <f t="shared" si="156"/>
        <v>32323.82098</v>
      </c>
      <c r="H605" s="364">
        <f t="shared" si="156"/>
        <v>34045</v>
      </c>
      <c r="I605" s="364">
        <f t="shared" si="156"/>
        <v>34537.5</v>
      </c>
      <c r="J605" s="364">
        <f t="shared" si="156"/>
        <v>34537.5</v>
      </c>
      <c r="K605" s="364">
        <f t="shared" si="156"/>
        <v>34578.254249999998</v>
      </c>
      <c r="L605" s="364">
        <f t="shared" si="156"/>
        <v>37991.25</v>
      </c>
      <c r="M605" s="364">
        <f t="shared" si="156"/>
        <v>37991.25</v>
      </c>
      <c r="N605" s="364">
        <f t="shared" si="156"/>
        <v>37991.25</v>
      </c>
      <c r="O605" s="364">
        <f t="shared" si="156"/>
        <v>37991.25</v>
      </c>
      <c r="P605" s="364">
        <f t="shared" si="156"/>
        <v>33089.826150000001</v>
      </c>
      <c r="Q605" s="364">
        <f t="shared" si="156"/>
        <v>33840.809549999998</v>
      </c>
      <c r="R605" s="364">
        <f t="shared" ref="R605:R613" si="157">SUM(F605:Q605)</f>
        <v>420647.92328999995</v>
      </c>
    </row>
    <row r="606" spans="1:18" x14ac:dyDescent="0.2">
      <c r="C606" s="32" t="s">
        <v>1087</v>
      </c>
      <c r="D606" s="444" t="s">
        <v>811</v>
      </c>
      <c r="F606" s="364">
        <f t="shared" si="156"/>
        <v>18706.5</v>
      </c>
      <c r="G606" s="364">
        <f t="shared" si="156"/>
        <v>18706.5</v>
      </c>
      <c r="H606" s="364">
        <f t="shared" si="156"/>
        <v>20217.569500000001</v>
      </c>
      <c r="I606" s="364">
        <f t="shared" si="156"/>
        <v>21087.5</v>
      </c>
      <c r="J606" s="364">
        <f t="shared" si="156"/>
        <v>20184.7863</v>
      </c>
      <c r="K606" s="364">
        <f t="shared" si="156"/>
        <v>20388.9133</v>
      </c>
      <c r="L606" s="364">
        <f t="shared" si="156"/>
        <v>20412.446949999998</v>
      </c>
      <c r="M606" s="364">
        <f t="shared" si="156"/>
        <v>23196.25</v>
      </c>
      <c r="N606" s="364">
        <f t="shared" si="156"/>
        <v>23196.25</v>
      </c>
      <c r="O606" s="364">
        <f t="shared" si="156"/>
        <v>23196.25</v>
      </c>
      <c r="P606" s="364">
        <f t="shared" si="156"/>
        <v>18978.75</v>
      </c>
      <c r="Q606" s="364">
        <f t="shared" si="156"/>
        <v>18978.75</v>
      </c>
      <c r="R606" s="364">
        <f t="shared" si="157"/>
        <v>247250.46604999999</v>
      </c>
    </row>
    <row r="607" spans="1:18" x14ac:dyDescent="0.2">
      <c r="C607" s="32" t="s">
        <v>1090</v>
      </c>
      <c r="D607" s="444" t="s">
        <v>811</v>
      </c>
      <c r="F607" s="364">
        <f t="shared" si="156"/>
        <v>24156</v>
      </c>
      <c r="G607" s="364">
        <f t="shared" si="156"/>
        <v>24156</v>
      </c>
      <c r="H607" s="364">
        <f t="shared" si="156"/>
        <v>24156</v>
      </c>
      <c r="I607" s="364">
        <f t="shared" si="156"/>
        <v>24885.551460000002</v>
      </c>
      <c r="J607" s="364">
        <f t="shared" si="156"/>
        <v>24507</v>
      </c>
      <c r="K607" s="364">
        <f t="shared" si="156"/>
        <v>24507</v>
      </c>
      <c r="L607" s="364">
        <f t="shared" si="156"/>
        <v>24507</v>
      </c>
      <c r="M607" s="364">
        <f t="shared" si="156"/>
        <v>28860.804700000001</v>
      </c>
      <c r="N607" s="364">
        <f t="shared" si="156"/>
        <v>29521.513419999999</v>
      </c>
      <c r="O607" s="364">
        <f t="shared" si="156"/>
        <v>29251.282900000002</v>
      </c>
      <c r="P607" s="364">
        <f t="shared" si="156"/>
        <v>24507</v>
      </c>
      <c r="Q607" s="364">
        <f t="shared" si="156"/>
        <v>24507</v>
      </c>
      <c r="R607" s="364">
        <f t="shared" si="157"/>
        <v>307522.15247999999</v>
      </c>
    </row>
    <row r="608" spans="1:18" x14ac:dyDescent="0.2">
      <c r="C608" s="32" t="s">
        <v>1091</v>
      </c>
      <c r="D608" s="444" t="s">
        <v>811</v>
      </c>
      <c r="F608" s="364">
        <f t="shared" si="156"/>
        <v>31671</v>
      </c>
      <c r="G608" s="364">
        <f t="shared" si="156"/>
        <v>31353.304679999997</v>
      </c>
      <c r="H608" s="364">
        <f t="shared" si="156"/>
        <v>28834.43967</v>
      </c>
      <c r="I608" s="364">
        <f t="shared" si="156"/>
        <v>31115.156100000004</v>
      </c>
      <c r="J608" s="364">
        <f t="shared" si="156"/>
        <v>32130.000000000004</v>
      </c>
      <c r="K608" s="364">
        <f t="shared" si="156"/>
        <v>32130.000000000004</v>
      </c>
      <c r="L608" s="364">
        <f t="shared" si="156"/>
        <v>32130.000000000004</v>
      </c>
      <c r="M608" s="364">
        <f t="shared" si="156"/>
        <v>34105.673699999999</v>
      </c>
      <c r="N608" s="364">
        <f t="shared" si="156"/>
        <v>33001.972500000003</v>
      </c>
      <c r="O608" s="364">
        <f t="shared" si="156"/>
        <v>32130.000000000004</v>
      </c>
      <c r="P608" s="364">
        <f t="shared" si="156"/>
        <v>32130.000000000004</v>
      </c>
      <c r="Q608" s="364">
        <f t="shared" si="156"/>
        <v>31268.844600000004</v>
      </c>
      <c r="R608" s="364">
        <f t="shared" si="157"/>
        <v>382000.39125000004</v>
      </c>
    </row>
    <row r="609" spans="1:19" x14ac:dyDescent="0.2">
      <c r="C609" s="32" t="s">
        <v>1092</v>
      </c>
      <c r="D609" s="444" t="s">
        <v>811</v>
      </c>
      <c r="F609" s="364">
        <f t="shared" si="156"/>
        <v>58040.271359999999</v>
      </c>
      <c r="G609" s="364">
        <f t="shared" si="156"/>
        <v>56351.324159999996</v>
      </c>
      <c r="H609" s="364">
        <f t="shared" si="156"/>
        <v>55776.081599999998</v>
      </c>
      <c r="I609" s="364">
        <f t="shared" si="156"/>
        <v>56524.512300000002</v>
      </c>
      <c r="J609" s="364">
        <f t="shared" si="156"/>
        <v>58442.3609</v>
      </c>
      <c r="K609" s="364">
        <f t="shared" si="156"/>
        <v>56160.178400000004</v>
      </c>
      <c r="L609" s="364">
        <f t="shared" si="156"/>
        <v>55160.699500000002</v>
      </c>
      <c r="M609" s="364">
        <f t="shared" si="156"/>
        <v>59100.071300000003</v>
      </c>
      <c r="N609" s="364">
        <f t="shared" si="156"/>
        <v>54885.995999999999</v>
      </c>
      <c r="O609" s="364">
        <f t="shared" si="156"/>
        <v>57137.091899999999</v>
      </c>
      <c r="P609" s="364">
        <f t="shared" si="156"/>
        <v>52104.008300000001</v>
      </c>
      <c r="Q609" s="364">
        <f t="shared" si="156"/>
        <v>48384.346700000002</v>
      </c>
      <c r="R609" s="364">
        <f t="shared" si="157"/>
        <v>668066.94241999998</v>
      </c>
    </row>
    <row r="610" spans="1:19" x14ac:dyDescent="0.2">
      <c r="C610" s="32" t="s">
        <v>1093</v>
      </c>
      <c r="D610" s="444" t="s">
        <v>811</v>
      </c>
      <c r="F610" s="364">
        <f t="shared" si="156"/>
        <v>66148.354659999997</v>
      </c>
      <c r="G610" s="364">
        <f t="shared" si="156"/>
        <v>36453.569629999998</v>
      </c>
      <c r="H610" s="364">
        <f t="shared" si="156"/>
        <v>61457.101469999994</v>
      </c>
      <c r="I610" s="364">
        <f t="shared" si="156"/>
        <v>59829.148119999998</v>
      </c>
      <c r="J610" s="364">
        <f t="shared" si="156"/>
        <v>81172.254730000001</v>
      </c>
      <c r="K610" s="364">
        <f t="shared" si="156"/>
        <v>56778.118199999997</v>
      </c>
      <c r="L610" s="364">
        <f t="shared" si="156"/>
        <v>69282.862859999994</v>
      </c>
      <c r="M610" s="364">
        <f t="shared" si="156"/>
        <v>65759.710070000001</v>
      </c>
      <c r="N610" s="364">
        <f t="shared" si="156"/>
        <v>45715.70465</v>
      </c>
      <c r="O610" s="364">
        <f t="shared" si="156"/>
        <v>47919.13164</v>
      </c>
      <c r="P610" s="364">
        <f t="shared" si="156"/>
        <v>31155.99696</v>
      </c>
      <c r="Q610" s="364">
        <f t="shared" si="156"/>
        <v>42320.681989999997</v>
      </c>
      <c r="R610" s="364">
        <f t="shared" si="157"/>
        <v>663992.63497999997</v>
      </c>
    </row>
    <row r="611" spans="1:19" x14ac:dyDescent="0.2">
      <c r="A611" s="32" t="s">
        <v>1054</v>
      </c>
      <c r="C611" s="32" t="s">
        <v>1077</v>
      </c>
      <c r="F611" s="365">
        <f t="shared" ref="F611:M611" si="158">SUM(F605:F610)</f>
        <v>230452.33838000003</v>
      </c>
      <c r="G611" s="365">
        <f t="shared" si="158"/>
        <v>199344.51945000002</v>
      </c>
      <c r="H611" s="365">
        <f t="shared" si="158"/>
        <v>224486.19224</v>
      </c>
      <c r="I611" s="365">
        <f t="shared" si="158"/>
        <v>227979.36798000001</v>
      </c>
      <c r="J611" s="365">
        <f t="shared" si="158"/>
        <v>250973.90192999999</v>
      </c>
      <c r="K611" s="365">
        <f t="shared" si="158"/>
        <v>224542.46414999999</v>
      </c>
      <c r="L611" s="365">
        <f t="shared" si="158"/>
        <v>239484.25930999999</v>
      </c>
      <c r="M611" s="365">
        <f t="shared" si="158"/>
        <v>249013.75977</v>
      </c>
      <c r="N611" s="365">
        <f>SUM(N605:N610)</f>
        <v>224312.68656999999</v>
      </c>
      <c r="O611" s="365">
        <f>SUM(O605:O610)</f>
        <v>227625.00644</v>
      </c>
      <c r="P611" s="365">
        <f>SUM(P605:P610)</f>
        <v>191965.58141000001</v>
      </c>
      <c r="Q611" s="365">
        <f>SUM(Q605:Q610)</f>
        <v>199300.43284000002</v>
      </c>
      <c r="R611" s="365">
        <f t="shared" si="157"/>
        <v>2689480.5104700001</v>
      </c>
    </row>
    <row r="612" spans="1:19" x14ac:dyDescent="0.2">
      <c r="A612" s="32" t="s">
        <v>1056</v>
      </c>
      <c r="B612" s="336" t="s">
        <v>1081</v>
      </c>
      <c r="D612" s="444" t="s">
        <v>811</v>
      </c>
      <c r="F612" s="365">
        <f t="shared" ref="F612:Q613" si="159">F585*F598</f>
        <v>5095.0815999999995</v>
      </c>
      <c r="G612" s="365">
        <f t="shared" si="159"/>
        <v>4030.7469999999998</v>
      </c>
      <c r="H612" s="365">
        <f t="shared" si="159"/>
        <v>4841.7067999999999</v>
      </c>
      <c r="I612" s="365">
        <f t="shared" si="159"/>
        <v>4800.8107</v>
      </c>
      <c r="J612" s="365">
        <f t="shared" si="159"/>
        <v>5578.7129999999997</v>
      </c>
      <c r="K612" s="365">
        <f t="shared" si="159"/>
        <v>4697.7286999999997</v>
      </c>
      <c r="L612" s="365">
        <f t="shared" si="159"/>
        <v>5110.0559999999996</v>
      </c>
      <c r="M612" s="365">
        <f t="shared" si="159"/>
        <v>5213.9696000000004</v>
      </c>
      <c r="N612" s="365">
        <f t="shared" si="159"/>
        <v>4413.1269000000002</v>
      </c>
      <c r="O612" s="365">
        <f t="shared" si="159"/>
        <v>4526.732</v>
      </c>
      <c r="P612" s="365">
        <f t="shared" si="159"/>
        <v>3706.9969999999998</v>
      </c>
      <c r="Q612" s="365">
        <f t="shared" si="159"/>
        <v>3971.1916999999999</v>
      </c>
      <c r="R612" s="365">
        <f t="shared" si="157"/>
        <v>55986.861000000012</v>
      </c>
    </row>
    <row r="613" spans="1:19" x14ac:dyDescent="0.2">
      <c r="A613" s="32" t="s">
        <v>1054</v>
      </c>
      <c r="B613" s="32" t="s">
        <v>1069</v>
      </c>
      <c r="D613" s="444" t="s">
        <v>811</v>
      </c>
      <c r="F613" s="364">
        <f t="shared" si="159"/>
        <v>41512.9</v>
      </c>
      <c r="G613" s="364">
        <f t="shared" si="159"/>
        <v>41512.9</v>
      </c>
      <c r="H613" s="364">
        <f t="shared" si="159"/>
        <v>41512.9</v>
      </c>
      <c r="I613" s="364">
        <f t="shared" si="159"/>
        <v>41890.29</v>
      </c>
      <c r="J613" s="364">
        <f t="shared" si="159"/>
        <v>41890.29</v>
      </c>
      <c r="K613" s="364">
        <f t="shared" si="159"/>
        <v>41890.29</v>
      </c>
      <c r="L613" s="364">
        <f t="shared" si="159"/>
        <v>41890.29</v>
      </c>
      <c r="M613" s="364">
        <f t="shared" si="159"/>
        <v>41890.29</v>
      </c>
      <c r="N613" s="364">
        <f t="shared" si="159"/>
        <v>41890.29</v>
      </c>
      <c r="O613" s="364">
        <f t="shared" si="159"/>
        <v>41890.29</v>
      </c>
      <c r="P613" s="364">
        <f t="shared" si="159"/>
        <v>41890.29</v>
      </c>
      <c r="Q613" s="364">
        <f t="shared" si="159"/>
        <v>41871.420000000006</v>
      </c>
      <c r="R613" s="364">
        <f t="shared" si="157"/>
        <v>501532.43999999994</v>
      </c>
    </row>
    <row r="614" spans="1:19" s="336" customFormat="1" x14ac:dyDescent="0.2">
      <c r="A614" s="336" t="s">
        <v>1054</v>
      </c>
      <c r="B614" s="336" t="s">
        <v>1071</v>
      </c>
      <c r="D614" s="444" t="s">
        <v>811</v>
      </c>
      <c r="F614" s="447">
        <f>'JKP-3.1c - Data'!C193</f>
        <v>0</v>
      </c>
      <c r="G614" s="447">
        <f>'JKP-3.1c - Data'!D193</f>
        <v>0</v>
      </c>
      <c r="H614" s="447">
        <f>'JKP-3.1c - Data'!E193</f>
        <v>0</v>
      </c>
      <c r="I614" s="447">
        <f>'JKP-3.1c - Data'!F193</f>
        <v>0</v>
      </c>
      <c r="J614" s="447">
        <f>'JKP-3.1c - Data'!G193</f>
        <v>24448.23</v>
      </c>
      <c r="K614" s="447">
        <f>'JKP-3.1c - Data'!H193</f>
        <v>0</v>
      </c>
      <c r="L614" s="447">
        <f>'JKP-3.1c - Data'!I193</f>
        <v>30434.67</v>
      </c>
      <c r="M614" s="447">
        <f>'JKP-3.1c - Data'!J193</f>
        <v>0</v>
      </c>
      <c r="N614" s="447">
        <f>'JKP-3.1c - Data'!K193</f>
        <v>5142.2299999999996</v>
      </c>
      <c r="O614" s="447">
        <f>'JKP-3.1c - Data'!L193</f>
        <v>0</v>
      </c>
      <c r="P614" s="447">
        <f>'JKP-3.1c - Data'!M193</f>
        <v>6661.43</v>
      </c>
      <c r="Q614" s="447">
        <f>'JKP-3.1c - Data'!N193</f>
        <v>0</v>
      </c>
      <c r="R614" s="437">
        <f>SUM(F614:Q614)</f>
        <v>66686.559999999998</v>
      </c>
      <c r="S614" s="415"/>
    </row>
    <row r="615" spans="1:19" x14ac:dyDescent="0.2">
      <c r="B615" s="32" t="s">
        <v>986</v>
      </c>
      <c r="F615" s="365">
        <f>F603+F611+F612+F613+F614</f>
        <v>286513.60998000007</v>
      </c>
      <c r="G615" s="365">
        <f t="shared" ref="G615:R615" si="160">G603+G611+G612+G613+G614</f>
        <v>254341.45645000003</v>
      </c>
      <c r="H615" s="365">
        <f t="shared" si="160"/>
        <v>280294.08904000005</v>
      </c>
      <c r="I615" s="365">
        <f t="shared" si="160"/>
        <v>284260.81868000003</v>
      </c>
      <c r="J615" s="365">
        <f t="shared" si="160"/>
        <v>332481.48492999998</v>
      </c>
      <c r="K615" s="365">
        <f t="shared" si="160"/>
        <v>280720.83285000001</v>
      </c>
      <c r="L615" s="365">
        <f t="shared" si="160"/>
        <v>326509.62530999997</v>
      </c>
      <c r="M615" s="365">
        <f t="shared" si="160"/>
        <v>305708.36936999997</v>
      </c>
      <c r="N615" s="365">
        <f t="shared" si="160"/>
        <v>285348.68346999999</v>
      </c>
      <c r="O615" s="365">
        <f t="shared" si="160"/>
        <v>283632.37844</v>
      </c>
      <c r="P615" s="365">
        <f t="shared" si="160"/>
        <v>253814.64841000002</v>
      </c>
      <c r="Q615" s="365">
        <f t="shared" si="160"/>
        <v>253861.54454000003</v>
      </c>
      <c r="R615" s="365">
        <f t="shared" si="160"/>
        <v>3427487.5414700001</v>
      </c>
    </row>
    <row r="616" spans="1:19" x14ac:dyDescent="0.2">
      <c r="C616" s="386"/>
      <c r="F616" s="390"/>
      <c r="G616" s="390"/>
      <c r="H616" s="390"/>
      <c r="I616" s="390"/>
      <c r="J616" s="390"/>
    </row>
    <row r="617" spans="1:19" x14ac:dyDescent="0.2">
      <c r="A617" s="32" t="s">
        <v>1058</v>
      </c>
      <c r="B617" s="32" t="s">
        <v>1050</v>
      </c>
      <c r="C617" s="386"/>
      <c r="F617" s="417">
        <f>F612</f>
        <v>5095.0815999999995</v>
      </c>
      <c r="G617" s="417">
        <f t="shared" ref="G617:Q617" si="161">G612</f>
        <v>4030.7469999999998</v>
      </c>
      <c r="H617" s="417">
        <f t="shared" si="161"/>
        <v>4841.7067999999999</v>
      </c>
      <c r="I617" s="417">
        <f t="shared" si="161"/>
        <v>4800.8107</v>
      </c>
      <c r="J617" s="417">
        <f t="shared" si="161"/>
        <v>5578.7129999999997</v>
      </c>
      <c r="K617" s="417">
        <f t="shared" si="161"/>
        <v>4697.7286999999997</v>
      </c>
      <c r="L617" s="417">
        <f t="shared" si="161"/>
        <v>5110.0559999999996</v>
      </c>
      <c r="M617" s="417">
        <f t="shared" si="161"/>
        <v>5213.9696000000004</v>
      </c>
      <c r="N617" s="417">
        <f t="shared" si="161"/>
        <v>4413.1269000000002</v>
      </c>
      <c r="O617" s="417">
        <f t="shared" si="161"/>
        <v>4526.732</v>
      </c>
      <c r="P617" s="417">
        <f t="shared" si="161"/>
        <v>3706.9969999999998</v>
      </c>
      <c r="Q617" s="417">
        <f t="shared" si="161"/>
        <v>3971.1916999999999</v>
      </c>
      <c r="R617" s="364">
        <f>SUM(F617:Q617)</f>
        <v>55986.861000000012</v>
      </c>
    </row>
    <row r="618" spans="1:19" x14ac:dyDescent="0.2">
      <c r="C618" s="386"/>
      <c r="F618" s="390"/>
      <c r="G618" s="390"/>
      <c r="H618" s="390"/>
      <c r="I618" s="390"/>
      <c r="J618" s="390"/>
    </row>
    <row r="619" spans="1:19" x14ac:dyDescent="0.2">
      <c r="B619" s="276" t="s">
        <v>1107</v>
      </c>
    </row>
    <row r="620" spans="1:19" x14ac:dyDescent="0.2">
      <c r="B620" s="276" t="s">
        <v>5</v>
      </c>
    </row>
    <row r="621" spans="1:19" x14ac:dyDescent="0.2">
      <c r="B621" s="32" t="s">
        <v>1063</v>
      </c>
      <c r="D621" s="32">
        <v>61</v>
      </c>
      <c r="E621" s="32" t="s">
        <v>1108</v>
      </c>
      <c r="F621" s="414">
        <v>0.1</v>
      </c>
      <c r="G621" s="414">
        <f t="shared" ref="G621:N621" si="162">F621</f>
        <v>0.1</v>
      </c>
      <c r="H621" s="414">
        <f t="shared" si="162"/>
        <v>0.1</v>
      </c>
      <c r="I621" s="414">
        <f t="shared" si="162"/>
        <v>0.1</v>
      </c>
      <c r="J621" s="414">
        <f t="shared" si="162"/>
        <v>0.1</v>
      </c>
      <c r="K621" s="414">
        <f t="shared" si="162"/>
        <v>0.1</v>
      </c>
      <c r="L621" s="414">
        <f t="shared" si="162"/>
        <v>0.1</v>
      </c>
      <c r="M621" s="414">
        <f t="shared" si="162"/>
        <v>0.1</v>
      </c>
      <c r="N621" s="414">
        <f t="shared" si="162"/>
        <v>0.1</v>
      </c>
      <c r="O621" s="414">
        <f>N621</f>
        <v>0.1</v>
      </c>
      <c r="P621" s="414">
        <f>O621</f>
        <v>0.1</v>
      </c>
      <c r="Q621" s="414">
        <f>P621</f>
        <v>0.1</v>
      </c>
    </row>
    <row r="623" spans="1:19" x14ac:dyDescent="0.2">
      <c r="B623" s="276" t="s">
        <v>982</v>
      </c>
    </row>
    <row r="624" spans="1:19" s="336" customFormat="1" x14ac:dyDescent="0.2">
      <c r="B624" s="336" t="s">
        <v>74</v>
      </c>
      <c r="E624" s="336" t="s">
        <v>1064</v>
      </c>
      <c r="F624" s="421">
        <f>'JKP-3.1c - Data'!C130</f>
        <v>947</v>
      </c>
      <c r="G624" s="421">
        <f>'JKP-3.1c - Data'!D130</f>
        <v>947</v>
      </c>
      <c r="H624" s="421">
        <f>'JKP-3.1c - Data'!E130</f>
        <v>947</v>
      </c>
      <c r="I624" s="421">
        <f>'JKP-3.1c - Data'!F130</f>
        <v>947</v>
      </c>
      <c r="J624" s="421">
        <f>'JKP-3.1c - Data'!G130</f>
        <v>947</v>
      </c>
      <c r="K624" s="421">
        <f>'JKP-3.1c - Data'!H130</f>
        <v>947</v>
      </c>
      <c r="L624" s="421">
        <f>'JKP-3.1c - Data'!I130</f>
        <v>947</v>
      </c>
      <c r="M624" s="421">
        <f>'JKP-3.1c - Data'!J130</f>
        <v>947</v>
      </c>
      <c r="N624" s="421">
        <f>'JKP-3.1c - Data'!K130</f>
        <v>947</v>
      </c>
      <c r="O624" s="421">
        <f>'JKP-3.1c - Data'!L130</f>
        <v>947</v>
      </c>
      <c r="P624" s="421">
        <f>'JKP-3.1c - Data'!M130</f>
        <v>947</v>
      </c>
      <c r="Q624" s="421">
        <f>'JKP-3.1c - Data'!N130</f>
        <v>947</v>
      </c>
      <c r="R624" s="378">
        <f>SUM(F624:Q624)</f>
        <v>11364</v>
      </c>
    </row>
    <row r="626" spans="1:18" x14ac:dyDescent="0.2">
      <c r="B626" s="276" t="s">
        <v>985</v>
      </c>
    </row>
    <row r="627" spans="1:18" x14ac:dyDescent="0.2">
      <c r="A627" s="32" t="s">
        <v>1054</v>
      </c>
      <c r="B627" s="32" t="s">
        <v>1063</v>
      </c>
      <c r="F627" s="364">
        <f t="shared" ref="F627:N627" si="163">F621*F624</f>
        <v>94.7</v>
      </c>
      <c r="G627" s="364">
        <f t="shared" si="163"/>
        <v>94.7</v>
      </c>
      <c r="H627" s="364">
        <f t="shared" si="163"/>
        <v>94.7</v>
      </c>
      <c r="I627" s="364">
        <f t="shared" si="163"/>
        <v>94.7</v>
      </c>
      <c r="J627" s="364">
        <f t="shared" si="163"/>
        <v>94.7</v>
      </c>
      <c r="K627" s="364">
        <f t="shared" si="163"/>
        <v>94.7</v>
      </c>
      <c r="L627" s="364">
        <f t="shared" si="163"/>
        <v>94.7</v>
      </c>
      <c r="M627" s="364">
        <f t="shared" si="163"/>
        <v>94.7</v>
      </c>
      <c r="N627" s="364">
        <f t="shared" si="163"/>
        <v>94.7</v>
      </c>
      <c r="O627" s="364">
        <f>O621*O624</f>
        <v>94.7</v>
      </c>
      <c r="P627" s="364">
        <f>P621*P624</f>
        <v>94.7</v>
      </c>
      <c r="Q627" s="364">
        <f>Q621*Q624</f>
        <v>94.7</v>
      </c>
      <c r="R627" s="364">
        <f>SUM(F627:Q627)</f>
        <v>1136.4000000000003</v>
      </c>
    </row>
    <row r="628" spans="1:18" s="336" customFormat="1" x14ac:dyDescent="0.2"/>
    <row r="629" spans="1:18" x14ac:dyDescent="0.2">
      <c r="B629" s="276" t="s">
        <v>1109</v>
      </c>
      <c r="C629" s="276"/>
    </row>
    <row r="630" spans="1:18" x14ac:dyDescent="0.2">
      <c r="B630" s="276" t="s">
        <v>5</v>
      </c>
      <c r="C630" s="276"/>
    </row>
    <row r="631" spans="1:18" x14ac:dyDescent="0.2">
      <c r="B631" s="32" t="s">
        <v>1059</v>
      </c>
      <c r="D631" s="32">
        <v>85</v>
      </c>
      <c r="E631" s="32" t="s">
        <v>976</v>
      </c>
      <c r="F631" s="413">
        <f t="shared" ref="F631:N631" si="164">F272</f>
        <v>537.12</v>
      </c>
      <c r="G631" s="413">
        <f t="shared" si="164"/>
        <v>537.12</v>
      </c>
      <c r="H631" s="413">
        <f t="shared" si="164"/>
        <v>537.12</v>
      </c>
      <c r="I631" s="413">
        <f t="shared" si="164"/>
        <v>544.75</v>
      </c>
      <c r="J631" s="413">
        <f t="shared" si="164"/>
        <v>544.75</v>
      </c>
      <c r="K631" s="413">
        <f t="shared" si="164"/>
        <v>544.75</v>
      </c>
      <c r="L631" s="413">
        <f t="shared" si="164"/>
        <v>544.75</v>
      </c>
      <c r="M631" s="413">
        <f t="shared" si="164"/>
        <v>544.75</v>
      </c>
      <c r="N631" s="413">
        <f t="shared" si="164"/>
        <v>544.75</v>
      </c>
      <c r="O631" s="413">
        <f>O272</f>
        <v>544.75</v>
      </c>
      <c r="P631" s="413">
        <f>P272</f>
        <v>544.75</v>
      </c>
      <c r="Q631" s="413">
        <f>Q272</f>
        <v>544.75</v>
      </c>
      <c r="R631" s="439"/>
    </row>
    <row r="632" spans="1:18" x14ac:dyDescent="0.2">
      <c r="B632" s="32" t="s">
        <v>1047</v>
      </c>
      <c r="F632" s="393"/>
      <c r="G632" s="393"/>
      <c r="H632" s="393"/>
      <c r="I632" s="393"/>
      <c r="J632" s="393"/>
      <c r="K632" s="393"/>
      <c r="L632" s="393"/>
      <c r="M632" s="393"/>
      <c r="N632" s="393"/>
      <c r="O632" s="393"/>
      <c r="P632" s="393"/>
      <c r="Q632" s="393"/>
      <c r="R632" s="394"/>
    </row>
    <row r="633" spans="1:18" x14ac:dyDescent="0.2">
      <c r="C633" s="32" t="s">
        <v>1086</v>
      </c>
      <c r="D633" s="32">
        <v>85</v>
      </c>
      <c r="E633" s="32" t="s">
        <v>957</v>
      </c>
      <c r="F633" s="393">
        <f t="shared" ref="F633:Q637" si="165">F274</f>
        <v>0.10086000000000001</v>
      </c>
      <c r="G633" s="393">
        <f t="shared" si="165"/>
        <v>0.10086000000000001</v>
      </c>
      <c r="H633" s="393">
        <f t="shared" si="165"/>
        <v>0.10086000000000001</v>
      </c>
      <c r="I633" s="393">
        <f t="shared" si="165"/>
        <v>0.10229000000000001</v>
      </c>
      <c r="J633" s="393">
        <f t="shared" si="165"/>
        <v>0.10229000000000001</v>
      </c>
      <c r="K633" s="393">
        <f t="shared" si="165"/>
        <v>0.10229000000000001</v>
      </c>
      <c r="L633" s="393">
        <f t="shared" si="165"/>
        <v>0.10229000000000001</v>
      </c>
      <c r="M633" s="393">
        <f t="shared" si="165"/>
        <v>0.10229000000000001</v>
      </c>
      <c r="N633" s="393">
        <f t="shared" si="165"/>
        <v>0.10229000000000001</v>
      </c>
      <c r="O633" s="393">
        <f t="shared" si="165"/>
        <v>0.10229000000000001</v>
      </c>
      <c r="P633" s="393">
        <f t="shared" si="165"/>
        <v>0.10229000000000001</v>
      </c>
      <c r="Q633" s="393">
        <f t="shared" si="165"/>
        <v>0.10229000000000001</v>
      </c>
      <c r="R633" s="394"/>
    </row>
    <row r="634" spans="1:18" x14ac:dyDescent="0.2">
      <c r="C634" s="32" t="s">
        <v>1087</v>
      </c>
      <c r="D634" s="32">
        <v>85</v>
      </c>
      <c r="E634" s="32" t="s">
        <v>957</v>
      </c>
      <c r="F634" s="393">
        <f t="shared" si="165"/>
        <v>5.1709999999999999E-2</v>
      </c>
      <c r="G634" s="393">
        <f t="shared" si="165"/>
        <v>5.1709999999999999E-2</v>
      </c>
      <c r="H634" s="393">
        <f t="shared" si="165"/>
        <v>5.1709999999999999E-2</v>
      </c>
      <c r="I634" s="393">
        <f t="shared" si="165"/>
        <v>5.2440000000000001E-2</v>
      </c>
      <c r="J634" s="393">
        <f t="shared" si="165"/>
        <v>5.2440000000000001E-2</v>
      </c>
      <c r="K634" s="393">
        <f t="shared" si="165"/>
        <v>5.2440000000000001E-2</v>
      </c>
      <c r="L634" s="393">
        <f t="shared" si="165"/>
        <v>5.2440000000000001E-2</v>
      </c>
      <c r="M634" s="393">
        <f t="shared" si="165"/>
        <v>5.2440000000000001E-2</v>
      </c>
      <c r="N634" s="393">
        <f t="shared" si="165"/>
        <v>5.2440000000000001E-2</v>
      </c>
      <c r="O634" s="393">
        <f t="shared" si="165"/>
        <v>5.2440000000000001E-2</v>
      </c>
      <c r="P634" s="393">
        <f t="shared" si="165"/>
        <v>5.2440000000000001E-2</v>
      </c>
      <c r="Q634" s="393">
        <f t="shared" si="165"/>
        <v>5.2440000000000001E-2</v>
      </c>
      <c r="R634" s="394"/>
    </row>
    <row r="635" spans="1:18" x14ac:dyDescent="0.2">
      <c r="C635" s="32" t="s">
        <v>1088</v>
      </c>
      <c r="D635" s="32">
        <v>85</v>
      </c>
      <c r="E635" s="32" t="s">
        <v>957</v>
      </c>
      <c r="F635" s="393">
        <f t="shared" si="165"/>
        <v>4.9630000000000001E-2</v>
      </c>
      <c r="G635" s="393">
        <f t="shared" si="165"/>
        <v>4.9630000000000001E-2</v>
      </c>
      <c r="H635" s="393">
        <f t="shared" si="165"/>
        <v>4.9630000000000001E-2</v>
      </c>
      <c r="I635" s="393">
        <f t="shared" si="165"/>
        <v>5.033E-2</v>
      </c>
      <c r="J635" s="393">
        <f t="shared" si="165"/>
        <v>5.033E-2</v>
      </c>
      <c r="K635" s="393">
        <f t="shared" si="165"/>
        <v>5.033E-2</v>
      </c>
      <c r="L635" s="393">
        <f t="shared" si="165"/>
        <v>5.033E-2</v>
      </c>
      <c r="M635" s="393">
        <f t="shared" si="165"/>
        <v>5.033E-2</v>
      </c>
      <c r="N635" s="393">
        <f t="shared" si="165"/>
        <v>5.033E-2</v>
      </c>
      <c r="O635" s="393">
        <f t="shared" si="165"/>
        <v>5.033E-2</v>
      </c>
      <c r="P635" s="393">
        <f t="shared" si="165"/>
        <v>5.033E-2</v>
      </c>
      <c r="Q635" s="393">
        <f t="shared" si="165"/>
        <v>5.033E-2</v>
      </c>
      <c r="R635" s="394"/>
    </row>
    <row r="636" spans="1:18" x14ac:dyDescent="0.2">
      <c r="B636" s="32" t="s">
        <v>1067</v>
      </c>
      <c r="D636" s="32">
        <v>101</v>
      </c>
      <c r="E636" s="32" t="s">
        <v>957</v>
      </c>
      <c r="F636" s="393">
        <f t="shared" si="165"/>
        <v>0.70016</v>
      </c>
      <c r="G636" s="393">
        <f t="shared" si="165"/>
        <v>0.70016</v>
      </c>
      <c r="H636" s="393">
        <f t="shared" si="165"/>
        <v>0.70016</v>
      </c>
      <c r="I636" s="393">
        <f t="shared" si="165"/>
        <v>0.70016</v>
      </c>
      <c r="J636" s="393">
        <f t="shared" si="165"/>
        <v>0.70016</v>
      </c>
      <c r="K636" s="393">
        <f t="shared" si="165"/>
        <v>0.70016</v>
      </c>
      <c r="L636" s="393">
        <f t="shared" si="165"/>
        <v>0.70016</v>
      </c>
      <c r="M636" s="393">
        <f t="shared" si="165"/>
        <v>0.70016</v>
      </c>
      <c r="N636" s="393">
        <f t="shared" si="165"/>
        <v>0.70016</v>
      </c>
      <c r="O636" s="393">
        <f t="shared" si="165"/>
        <v>0.70016</v>
      </c>
      <c r="P636" s="393">
        <f t="shared" si="165"/>
        <v>0.66125</v>
      </c>
      <c r="Q636" s="393">
        <f t="shared" si="165"/>
        <v>0.66125</v>
      </c>
      <c r="R636" s="394"/>
    </row>
    <row r="637" spans="1:18" x14ac:dyDescent="0.2">
      <c r="C637" s="32" t="s">
        <v>1096</v>
      </c>
      <c r="D637" s="444">
        <v>85</v>
      </c>
      <c r="E637" s="32" t="s">
        <v>957</v>
      </c>
      <c r="F637" s="393">
        <f t="shared" si="165"/>
        <v>6.4999999999999997E-3</v>
      </c>
      <c r="G637" s="393">
        <f t="shared" si="165"/>
        <v>6.4999999999999997E-3</v>
      </c>
      <c r="H637" s="393">
        <f t="shared" si="165"/>
        <v>6.4999999999999997E-3</v>
      </c>
      <c r="I637" s="393">
        <f t="shared" si="165"/>
        <v>6.5900000000000004E-3</v>
      </c>
      <c r="J637" s="393">
        <f t="shared" si="165"/>
        <v>6.5900000000000004E-3</v>
      </c>
      <c r="K637" s="393">
        <f t="shared" si="165"/>
        <v>6.5900000000000004E-3</v>
      </c>
      <c r="L637" s="393">
        <f t="shared" si="165"/>
        <v>6.5900000000000004E-3</v>
      </c>
      <c r="M637" s="393">
        <f t="shared" si="165"/>
        <v>6.5900000000000004E-3</v>
      </c>
      <c r="N637" s="393">
        <f t="shared" si="165"/>
        <v>6.5900000000000004E-3</v>
      </c>
      <c r="O637" s="393">
        <f t="shared" si="165"/>
        <v>6.5900000000000004E-3</v>
      </c>
      <c r="P637" s="393">
        <f t="shared" si="165"/>
        <v>6.5900000000000004E-3</v>
      </c>
      <c r="Q637" s="393">
        <f t="shared" si="165"/>
        <v>6.5900000000000004E-3</v>
      </c>
      <c r="R637" s="394"/>
    </row>
    <row r="638" spans="1:18" x14ac:dyDescent="0.2">
      <c r="B638" s="32" t="s">
        <v>1068</v>
      </c>
      <c r="F638" s="394"/>
      <c r="G638" s="394"/>
      <c r="H638" s="394"/>
      <c r="I638" s="394"/>
      <c r="J638" s="394"/>
      <c r="K638" s="394"/>
      <c r="L638" s="394"/>
      <c r="M638" s="394"/>
      <c r="N638" s="394"/>
      <c r="O638" s="394"/>
      <c r="P638" s="394"/>
      <c r="Q638" s="394"/>
      <c r="R638" s="394"/>
    </row>
    <row r="639" spans="1:18" x14ac:dyDescent="0.2">
      <c r="C639" s="32" t="s">
        <v>1069</v>
      </c>
      <c r="D639" s="32">
        <v>101</v>
      </c>
      <c r="E639" s="32" t="s">
        <v>957</v>
      </c>
      <c r="F639" s="454">
        <f t="shared" ref="F639:Q640" si="166">F280</f>
        <v>1.1000000000000001</v>
      </c>
      <c r="G639" s="454">
        <f t="shared" si="166"/>
        <v>1.1000000000000001</v>
      </c>
      <c r="H639" s="454">
        <f t="shared" si="166"/>
        <v>1.1000000000000001</v>
      </c>
      <c r="I639" s="454">
        <f t="shared" si="166"/>
        <v>1.1100000000000001</v>
      </c>
      <c r="J639" s="454">
        <f t="shared" si="166"/>
        <v>1.1100000000000001</v>
      </c>
      <c r="K639" s="454">
        <f t="shared" si="166"/>
        <v>1.1100000000000001</v>
      </c>
      <c r="L639" s="454">
        <f t="shared" si="166"/>
        <v>1.1100000000000001</v>
      </c>
      <c r="M639" s="454">
        <f t="shared" si="166"/>
        <v>1.1100000000000001</v>
      </c>
      <c r="N639" s="454">
        <f t="shared" si="166"/>
        <v>1.1100000000000001</v>
      </c>
      <c r="O639" s="454">
        <f t="shared" si="166"/>
        <v>1.1100000000000001</v>
      </c>
      <c r="P639" s="454">
        <f t="shared" si="166"/>
        <v>1.1100000000000001</v>
      </c>
      <c r="Q639" s="454">
        <f t="shared" si="166"/>
        <v>1.1100000000000001</v>
      </c>
      <c r="R639" s="394"/>
    </row>
    <row r="640" spans="1:18" s="336" customFormat="1" x14ac:dyDescent="0.2">
      <c r="C640" s="336" t="s">
        <v>1070</v>
      </c>
      <c r="D640" s="336">
        <v>101</v>
      </c>
      <c r="E640" s="336" t="s">
        <v>957</v>
      </c>
      <c r="F640" s="450">
        <f t="shared" si="166"/>
        <v>1.05</v>
      </c>
      <c r="G640" s="450">
        <f t="shared" si="166"/>
        <v>1.05</v>
      </c>
      <c r="H640" s="450">
        <f t="shared" si="166"/>
        <v>1.05</v>
      </c>
      <c r="I640" s="450">
        <f t="shared" si="166"/>
        <v>1.05</v>
      </c>
      <c r="J640" s="450">
        <f t="shared" si="166"/>
        <v>1.05</v>
      </c>
      <c r="K640" s="450">
        <f t="shared" si="166"/>
        <v>1.05</v>
      </c>
      <c r="L640" s="450">
        <f t="shared" si="166"/>
        <v>1.05</v>
      </c>
      <c r="M640" s="450">
        <f t="shared" si="166"/>
        <v>1.05</v>
      </c>
      <c r="N640" s="450">
        <f t="shared" si="166"/>
        <v>1.05</v>
      </c>
      <c r="O640" s="450">
        <f t="shared" si="166"/>
        <v>1.05</v>
      </c>
      <c r="P640" s="450">
        <f t="shared" si="166"/>
        <v>1.05</v>
      </c>
      <c r="Q640" s="450">
        <f t="shared" si="166"/>
        <v>1.05</v>
      </c>
      <c r="R640" s="441"/>
    </row>
    <row r="641" spans="1:18" s="336" customFormat="1" x14ac:dyDescent="0.2">
      <c r="B641" s="336" t="s">
        <v>1071</v>
      </c>
      <c r="D641" s="336">
        <v>85</v>
      </c>
      <c r="E641" s="336" t="s">
        <v>67</v>
      </c>
      <c r="F641" s="450"/>
      <c r="G641" s="450"/>
      <c r="H641" s="442"/>
      <c r="I641" s="450"/>
      <c r="J641" s="450"/>
      <c r="K641" s="450"/>
      <c r="L641" s="450"/>
      <c r="M641" s="450"/>
      <c r="N641" s="450"/>
      <c r="O641" s="450"/>
      <c r="P641" s="450"/>
      <c r="Q641" s="450"/>
      <c r="R641" s="441"/>
    </row>
    <row r="642" spans="1:18" s="336" customFormat="1" x14ac:dyDescent="0.2">
      <c r="B642" s="336" t="s">
        <v>1050</v>
      </c>
      <c r="F642" s="393">
        <f>F283</f>
        <v>0.66991999999999996</v>
      </c>
      <c r="G642" s="393">
        <f t="shared" ref="G642:Q643" si="167">G283</f>
        <v>0.66991999999999996</v>
      </c>
      <c r="H642" s="393">
        <f t="shared" si="167"/>
        <v>0.66991999999999996</v>
      </c>
      <c r="I642" s="393">
        <f t="shared" si="167"/>
        <v>0.66991999999999996</v>
      </c>
      <c r="J642" s="393">
        <f t="shared" si="167"/>
        <v>0.66991999999999996</v>
      </c>
      <c r="K642" s="393">
        <f t="shared" si="167"/>
        <v>0.66991999999999996</v>
      </c>
      <c r="L642" s="393">
        <f t="shared" si="167"/>
        <v>0.66991999999999996</v>
      </c>
      <c r="M642" s="393">
        <f t="shared" si="167"/>
        <v>0.66991999999999996</v>
      </c>
      <c r="N642" s="393">
        <f t="shared" si="167"/>
        <v>0.66991999999999996</v>
      </c>
      <c r="O642" s="393">
        <f t="shared" si="167"/>
        <v>0.66991999999999996</v>
      </c>
      <c r="P642" s="393">
        <f t="shared" si="167"/>
        <v>0.63265000000000005</v>
      </c>
      <c r="Q642" s="393">
        <f t="shared" si="167"/>
        <v>0.63265000000000005</v>
      </c>
      <c r="R642" s="441"/>
    </row>
    <row r="643" spans="1:18" s="336" customFormat="1" x14ac:dyDescent="0.2">
      <c r="B643" s="336" t="s">
        <v>1110</v>
      </c>
      <c r="F643" s="454">
        <f>F284</f>
        <v>1</v>
      </c>
      <c r="G643" s="454">
        <f t="shared" si="167"/>
        <v>1</v>
      </c>
      <c r="H643" s="454">
        <f t="shared" si="167"/>
        <v>1</v>
      </c>
      <c r="I643" s="454">
        <f t="shared" si="167"/>
        <v>1</v>
      </c>
      <c r="J643" s="454">
        <f t="shared" si="167"/>
        <v>1</v>
      </c>
      <c r="K643" s="454">
        <f t="shared" si="167"/>
        <v>1</v>
      </c>
      <c r="L643" s="454">
        <f t="shared" si="167"/>
        <v>1</v>
      </c>
      <c r="M643" s="454">
        <f t="shared" si="167"/>
        <v>1</v>
      </c>
      <c r="N643" s="454">
        <f t="shared" si="167"/>
        <v>1</v>
      </c>
      <c r="O643" s="454">
        <f t="shared" si="167"/>
        <v>1</v>
      </c>
      <c r="P643" s="454">
        <f t="shared" si="167"/>
        <v>1</v>
      </c>
      <c r="Q643" s="454">
        <f t="shared" si="167"/>
        <v>1</v>
      </c>
      <c r="R643" s="441"/>
    </row>
    <row r="644" spans="1:18" s="336" customFormat="1" x14ac:dyDescent="0.2"/>
    <row r="645" spans="1:18" s="336" customFormat="1" x14ac:dyDescent="0.2">
      <c r="B645" s="182" t="s">
        <v>982</v>
      </c>
    </row>
    <row r="646" spans="1:18" s="336" customFormat="1" x14ac:dyDescent="0.2">
      <c r="B646" s="336" t="s">
        <v>67</v>
      </c>
      <c r="E646" s="336" t="s">
        <v>67</v>
      </c>
      <c r="F646" s="421">
        <f>'JKP-3.1c - Data'!C147</f>
        <v>9</v>
      </c>
      <c r="G646" s="421">
        <f>'JKP-3.1c - Data'!D147</f>
        <v>9</v>
      </c>
      <c r="H646" s="421">
        <f>'JKP-3.1c - Data'!E147</f>
        <v>9</v>
      </c>
      <c r="I646" s="421">
        <f>'JKP-3.1c - Data'!F147</f>
        <v>9</v>
      </c>
      <c r="J646" s="421">
        <f>'JKP-3.1c - Data'!G147</f>
        <v>8</v>
      </c>
      <c r="K646" s="421">
        <f>'JKP-3.1c - Data'!H147</f>
        <v>8</v>
      </c>
      <c r="L646" s="421">
        <f>'JKP-3.1c - Data'!I147</f>
        <v>8</v>
      </c>
      <c r="M646" s="421">
        <f>'JKP-3.1c - Data'!J147</f>
        <v>8</v>
      </c>
      <c r="N646" s="421">
        <f>'JKP-3.1c - Data'!K147</f>
        <v>8</v>
      </c>
      <c r="O646" s="421">
        <f>'JKP-3.1c - Data'!L147</f>
        <v>8</v>
      </c>
      <c r="P646" s="421">
        <f>'JKP-3.1c - Data'!M147</f>
        <v>8</v>
      </c>
      <c r="Q646" s="421">
        <f>'JKP-3.1c - Data'!N147</f>
        <v>8</v>
      </c>
      <c r="R646" s="378">
        <f>SUM(F646:Q646)</f>
        <v>100</v>
      </c>
    </row>
    <row r="647" spans="1:18" s="336" customFormat="1" x14ac:dyDescent="0.2">
      <c r="B647" s="336" t="s">
        <v>76</v>
      </c>
      <c r="F647" s="380"/>
      <c r="G647" s="380"/>
      <c r="H647" s="380"/>
      <c r="I647" s="380"/>
      <c r="J647" s="380"/>
      <c r="K647" s="380"/>
      <c r="L647" s="380"/>
      <c r="M647" s="380"/>
      <c r="N647" s="380"/>
      <c r="O647" s="380"/>
      <c r="P647" s="380"/>
      <c r="Q647" s="380"/>
      <c r="R647" s="378"/>
    </row>
    <row r="648" spans="1:18" s="336" customFormat="1" x14ac:dyDescent="0.2">
      <c r="C648" s="336" t="s">
        <v>1086</v>
      </c>
      <c r="E648" s="336" t="s">
        <v>10</v>
      </c>
      <c r="F648" s="380">
        <v>159808</v>
      </c>
      <c r="G648" s="380">
        <v>159616</v>
      </c>
      <c r="H648" s="380">
        <v>164262</v>
      </c>
      <c r="I648" s="380">
        <v>164862</v>
      </c>
      <c r="J648" s="380">
        <v>154196</v>
      </c>
      <c r="K648" s="380">
        <v>159226</v>
      </c>
      <c r="L648" s="380">
        <v>151099</v>
      </c>
      <c r="M648" s="380">
        <v>178864</v>
      </c>
      <c r="N648" s="380">
        <v>181777</v>
      </c>
      <c r="O648" s="380">
        <v>161297</v>
      </c>
      <c r="P648" s="380">
        <v>160388</v>
      </c>
      <c r="Q648" s="380">
        <v>157636</v>
      </c>
      <c r="R648" s="378">
        <f>SUM(F648:Q648)</f>
        <v>1953031</v>
      </c>
    </row>
    <row r="649" spans="1:18" s="336" customFormat="1" x14ac:dyDescent="0.2">
      <c r="C649" s="336" t="s">
        <v>1087</v>
      </c>
      <c r="E649" s="336" t="s">
        <v>10</v>
      </c>
      <c r="F649" s="380">
        <v>60257</v>
      </c>
      <c r="G649" s="380">
        <v>48921</v>
      </c>
      <c r="H649" s="380">
        <v>59228</v>
      </c>
      <c r="I649" s="380">
        <v>53424</v>
      </c>
      <c r="J649" s="380">
        <v>56923</v>
      </c>
      <c r="K649" s="380">
        <v>46744</v>
      </c>
      <c r="L649" s="380">
        <v>41570</v>
      </c>
      <c r="M649" s="380">
        <v>57731</v>
      </c>
      <c r="N649" s="380">
        <v>56825</v>
      </c>
      <c r="O649" s="380">
        <v>55501</v>
      </c>
      <c r="P649" s="380">
        <v>54110</v>
      </c>
      <c r="Q649" s="380">
        <v>62037</v>
      </c>
      <c r="R649" s="378">
        <f>SUM(F649:Q649)</f>
        <v>653271</v>
      </c>
    </row>
    <row r="650" spans="1:18" s="336" customFormat="1" x14ac:dyDescent="0.2">
      <c r="C650" s="336" t="s">
        <v>1088</v>
      </c>
      <c r="E650" s="336" t="s">
        <v>10</v>
      </c>
      <c r="F650" s="378">
        <f t="shared" ref="F650:N650" si="168">F651-SUM(F648:F649)</f>
        <v>23960</v>
      </c>
      <c r="G650" s="378">
        <f t="shared" si="168"/>
        <v>21900</v>
      </c>
      <c r="H650" s="378">
        <f t="shared" si="168"/>
        <v>26820</v>
      </c>
      <c r="I650" s="378">
        <f t="shared" si="168"/>
        <v>20124</v>
      </c>
      <c r="J650" s="378">
        <f t="shared" si="168"/>
        <v>20670</v>
      </c>
      <c r="K650" s="378">
        <f t="shared" si="168"/>
        <v>17495</v>
      </c>
      <c r="L650" s="378">
        <f t="shared" si="168"/>
        <v>18186</v>
      </c>
      <c r="M650" s="378">
        <f t="shared" si="168"/>
        <v>18232</v>
      </c>
      <c r="N650" s="378">
        <f t="shared" si="168"/>
        <v>15187</v>
      </c>
      <c r="O650" s="378">
        <f>O651-SUM(O648:O649)</f>
        <v>19817</v>
      </c>
      <c r="P650" s="378">
        <f>P651-SUM(P648:P649)</f>
        <v>23562</v>
      </c>
      <c r="Q650" s="378">
        <f>Q651-SUM(Q648:Q649)</f>
        <v>29857</v>
      </c>
      <c r="R650" s="378">
        <f>SUM(F650:Q650)</f>
        <v>255810</v>
      </c>
    </row>
    <row r="651" spans="1:18" s="336" customFormat="1" x14ac:dyDescent="0.2">
      <c r="C651" s="336" t="s">
        <v>1075</v>
      </c>
      <c r="E651" s="336" t="s">
        <v>10</v>
      </c>
      <c r="F651" s="445">
        <f>'JKP-3.1c - Therms Data'!E90</f>
        <v>244025</v>
      </c>
      <c r="G651" s="445">
        <f>'JKP-3.1c - Therms Data'!F90</f>
        <v>230437</v>
      </c>
      <c r="H651" s="445">
        <f>'JKP-3.1c - Therms Data'!G90</f>
        <v>250310</v>
      </c>
      <c r="I651" s="445">
        <f>'JKP-3.1c - Therms Data'!H90</f>
        <v>238410</v>
      </c>
      <c r="J651" s="445">
        <f>'JKP-3.1c - Therms Data'!I90</f>
        <v>231789</v>
      </c>
      <c r="K651" s="445">
        <f>'JKP-3.1c - Therms Data'!J90</f>
        <v>223465</v>
      </c>
      <c r="L651" s="445">
        <f>'JKP-3.1c - Therms Data'!K90</f>
        <v>210855</v>
      </c>
      <c r="M651" s="445">
        <f>'JKP-3.1c - Therms Data'!L90</f>
        <v>254827</v>
      </c>
      <c r="N651" s="445">
        <f>'JKP-3.1c - Therms Data'!M90</f>
        <v>253789</v>
      </c>
      <c r="O651" s="445">
        <f>'JKP-3.1c - Therms Data'!N90</f>
        <v>236615</v>
      </c>
      <c r="P651" s="445">
        <f>'JKP-3.1c - Therms Data'!O90</f>
        <v>238060</v>
      </c>
      <c r="Q651" s="445">
        <f>'JKP-3.1c - Therms Data'!P90</f>
        <v>249530</v>
      </c>
      <c r="R651" s="436">
        <f>SUM(R648:R650)</f>
        <v>2862112</v>
      </c>
    </row>
    <row r="652" spans="1:18" s="336" customFormat="1" x14ac:dyDescent="0.2">
      <c r="B652" s="336" t="s">
        <v>74</v>
      </c>
      <c r="E652" s="336" t="s">
        <v>1076</v>
      </c>
      <c r="F652" s="421">
        <f>'JKP-3.1c - Data'!C167</f>
        <v>2443</v>
      </c>
      <c r="G652" s="421">
        <f>'JKP-3.1c - Data'!D167</f>
        <v>2443</v>
      </c>
      <c r="H652" s="421">
        <f>'JKP-3.1c - Data'!E167</f>
        <v>2443</v>
      </c>
      <c r="I652" s="421">
        <f>'JKP-3.1c - Data'!F167</f>
        <v>2443</v>
      </c>
      <c r="J652" s="421">
        <f>'JKP-3.1c - Data'!G167</f>
        <v>2443</v>
      </c>
      <c r="K652" s="421">
        <f>'JKP-3.1c - Data'!H167</f>
        <v>2443</v>
      </c>
      <c r="L652" s="421">
        <f>'JKP-3.1c - Data'!I167</f>
        <v>2443</v>
      </c>
      <c r="M652" s="421">
        <f>'JKP-3.1c - Data'!J167</f>
        <v>2443</v>
      </c>
      <c r="N652" s="421">
        <f>'JKP-3.1c - Data'!K167</f>
        <v>2443</v>
      </c>
      <c r="O652" s="421">
        <f>'JKP-3.1c - Data'!L167</f>
        <v>2443</v>
      </c>
      <c r="P652" s="421">
        <f>'JKP-3.1c - Data'!M167</f>
        <v>2443</v>
      </c>
      <c r="Q652" s="421">
        <f>'JKP-3.1c - Data'!N167</f>
        <v>2443</v>
      </c>
      <c r="R652" s="378">
        <f>SUM(F652:Q652)</f>
        <v>29316</v>
      </c>
    </row>
    <row r="653" spans="1:18" s="336" customFormat="1" x14ac:dyDescent="0.2">
      <c r="B653" s="336" t="s">
        <v>1071</v>
      </c>
      <c r="F653" s="380"/>
      <c r="G653" s="380"/>
      <c r="H653" s="380"/>
      <c r="I653" s="380"/>
      <c r="J653" s="380"/>
      <c r="K653" s="380"/>
      <c r="L653" s="380"/>
      <c r="M653" s="380"/>
      <c r="N653" s="380"/>
      <c r="O653" s="380"/>
      <c r="P653" s="380"/>
      <c r="Q653" s="380"/>
      <c r="R653" s="378"/>
    </row>
    <row r="654" spans="1:18" s="336" customFormat="1" x14ac:dyDescent="0.2">
      <c r="N654" s="362"/>
      <c r="O654" s="362"/>
      <c r="P654" s="362"/>
      <c r="Q654" s="362"/>
      <c r="R654" s="179"/>
    </row>
    <row r="655" spans="1:18" s="336" customFormat="1" x14ac:dyDescent="0.2">
      <c r="B655" s="182" t="s">
        <v>985</v>
      </c>
      <c r="R655" s="179"/>
    </row>
    <row r="656" spans="1:18" s="336" customFormat="1" x14ac:dyDescent="0.2">
      <c r="A656" s="336" t="s">
        <v>1054</v>
      </c>
      <c r="B656" s="336" t="s">
        <v>1059</v>
      </c>
      <c r="D656" s="336">
        <v>85</v>
      </c>
      <c r="F656" s="418">
        <f t="shared" ref="F656:N656" si="169">F631*F646</f>
        <v>4834.08</v>
      </c>
      <c r="G656" s="418">
        <f t="shared" si="169"/>
        <v>4834.08</v>
      </c>
      <c r="H656" s="418">
        <f t="shared" si="169"/>
        <v>4834.08</v>
      </c>
      <c r="I656" s="418">
        <f t="shared" si="169"/>
        <v>4902.75</v>
      </c>
      <c r="J656" s="418">
        <f t="shared" si="169"/>
        <v>4358</v>
      </c>
      <c r="K656" s="418">
        <f t="shared" si="169"/>
        <v>4358</v>
      </c>
      <c r="L656" s="418">
        <f t="shared" si="169"/>
        <v>4358</v>
      </c>
      <c r="M656" s="418">
        <f t="shared" si="169"/>
        <v>4358</v>
      </c>
      <c r="N656" s="418">
        <f t="shared" si="169"/>
        <v>4358</v>
      </c>
      <c r="O656" s="418">
        <f>O631*O646</f>
        <v>4358</v>
      </c>
      <c r="P656" s="418">
        <f>P631*P646</f>
        <v>4358</v>
      </c>
      <c r="Q656" s="418">
        <f>Q631*Q646</f>
        <v>4358</v>
      </c>
      <c r="R656" s="437">
        <f>SUM(F656:Q656)</f>
        <v>54268.99</v>
      </c>
    </row>
    <row r="657" spans="1:18" x14ac:dyDescent="0.2">
      <c r="C657" s="32" t="s">
        <v>1047</v>
      </c>
      <c r="F657" s="364"/>
      <c r="G657" s="364"/>
      <c r="H657" s="364"/>
      <c r="I657" s="364"/>
      <c r="J657" s="364"/>
      <c r="K657" s="364"/>
      <c r="L657" s="364"/>
      <c r="M657" s="364"/>
      <c r="N657" s="364"/>
      <c r="O657" s="364"/>
      <c r="P657" s="364"/>
      <c r="Q657" s="364"/>
      <c r="R657" s="341"/>
    </row>
    <row r="658" spans="1:18" x14ac:dyDescent="0.2">
      <c r="C658" s="32" t="s">
        <v>1086</v>
      </c>
      <c r="D658" s="32">
        <v>85</v>
      </c>
      <c r="F658" s="364">
        <f t="shared" ref="F658:Q660" si="170">F633*F648</f>
        <v>16118.23488</v>
      </c>
      <c r="G658" s="364">
        <f t="shared" si="170"/>
        <v>16098.869760000001</v>
      </c>
      <c r="H658" s="364">
        <f t="shared" si="170"/>
        <v>16567.465319999999</v>
      </c>
      <c r="I658" s="364">
        <f t="shared" si="170"/>
        <v>16863.733980000001</v>
      </c>
      <c r="J658" s="364">
        <f t="shared" si="170"/>
        <v>15772.708840000001</v>
      </c>
      <c r="K658" s="364">
        <f t="shared" si="170"/>
        <v>16287.227540000002</v>
      </c>
      <c r="L658" s="364">
        <f t="shared" si="170"/>
        <v>15455.916710000001</v>
      </c>
      <c r="M658" s="364">
        <f t="shared" si="170"/>
        <v>18295.99856</v>
      </c>
      <c r="N658" s="364">
        <f t="shared" si="170"/>
        <v>18593.96933</v>
      </c>
      <c r="O658" s="364">
        <f t="shared" si="170"/>
        <v>16499.07013</v>
      </c>
      <c r="P658" s="364">
        <f t="shared" si="170"/>
        <v>16406.088520000001</v>
      </c>
      <c r="Q658" s="364">
        <f t="shared" si="170"/>
        <v>16124.586440000001</v>
      </c>
      <c r="R658" s="341">
        <f t="shared" ref="R658:R666" si="171">SUM(F658:Q658)</f>
        <v>199083.87001000001</v>
      </c>
    </row>
    <row r="659" spans="1:18" x14ac:dyDescent="0.2">
      <c r="C659" s="32" t="s">
        <v>1087</v>
      </c>
      <c r="D659" s="32">
        <v>85</v>
      </c>
      <c r="F659" s="364">
        <f t="shared" si="170"/>
        <v>3115.8894700000001</v>
      </c>
      <c r="G659" s="364">
        <f t="shared" si="170"/>
        <v>2529.7049099999999</v>
      </c>
      <c r="H659" s="364">
        <f t="shared" si="170"/>
        <v>3062.6798800000001</v>
      </c>
      <c r="I659" s="364">
        <f t="shared" si="170"/>
        <v>2801.55456</v>
      </c>
      <c r="J659" s="364">
        <f t="shared" si="170"/>
        <v>2985.0421200000001</v>
      </c>
      <c r="K659" s="364">
        <f t="shared" si="170"/>
        <v>2451.2553600000001</v>
      </c>
      <c r="L659" s="364">
        <f t="shared" si="170"/>
        <v>2179.9308000000001</v>
      </c>
      <c r="M659" s="364">
        <f t="shared" si="170"/>
        <v>3027.4136400000002</v>
      </c>
      <c r="N659" s="364">
        <f t="shared" si="170"/>
        <v>2979.9030000000002</v>
      </c>
      <c r="O659" s="364">
        <f t="shared" si="170"/>
        <v>2910.47244</v>
      </c>
      <c r="P659" s="364">
        <f t="shared" si="170"/>
        <v>2837.5284000000001</v>
      </c>
      <c r="Q659" s="364">
        <f t="shared" si="170"/>
        <v>3253.22028</v>
      </c>
      <c r="R659" s="341">
        <f t="shared" si="171"/>
        <v>34134.594859999997</v>
      </c>
    </row>
    <row r="660" spans="1:18" x14ac:dyDescent="0.2">
      <c r="C660" s="32" t="s">
        <v>1088</v>
      </c>
      <c r="D660" s="32">
        <v>85</v>
      </c>
      <c r="F660" s="364">
        <f t="shared" si="170"/>
        <v>1189.1348</v>
      </c>
      <c r="G660" s="364">
        <f t="shared" si="170"/>
        <v>1086.8969999999999</v>
      </c>
      <c r="H660" s="364">
        <f t="shared" si="170"/>
        <v>1331.0766000000001</v>
      </c>
      <c r="I660" s="364">
        <f t="shared" si="170"/>
        <v>1012.84092</v>
      </c>
      <c r="J660" s="364">
        <f t="shared" si="170"/>
        <v>1040.3210999999999</v>
      </c>
      <c r="K660" s="364">
        <f t="shared" si="170"/>
        <v>880.52335000000005</v>
      </c>
      <c r="L660" s="364">
        <f t="shared" si="170"/>
        <v>915.30137999999999</v>
      </c>
      <c r="M660" s="364">
        <f t="shared" si="170"/>
        <v>917.61656000000005</v>
      </c>
      <c r="N660" s="364">
        <f t="shared" si="170"/>
        <v>764.36171000000002</v>
      </c>
      <c r="O660" s="364">
        <f t="shared" si="170"/>
        <v>997.38960999999995</v>
      </c>
      <c r="P660" s="364">
        <f t="shared" si="170"/>
        <v>1185.87546</v>
      </c>
      <c r="Q660" s="364">
        <f t="shared" si="170"/>
        <v>1502.70281</v>
      </c>
      <c r="R660" s="341">
        <f t="shared" si="171"/>
        <v>12824.041299999999</v>
      </c>
    </row>
    <row r="661" spans="1:18" x14ac:dyDescent="0.2">
      <c r="A661" s="32" t="s">
        <v>1054</v>
      </c>
      <c r="C661" s="32" t="s">
        <v>1077</v>
      </c>
      <c r="F661" s="365">
        <f t="shared" ref="F661:N661" si="172">SUM(F658:F660)</f>
        <v>20423.259149999998</v>
      </c>
      <c r="G661" s="365">
        <f t="shared" si="172"/>
        <v>19715.471670000003</v>
      </c>
      <c r="H661" s="365">
        <f t="shared" si="172"/>
        <v>20961.221799999999</v>
      </c>
      <c r="I661" s="365">
        <f t="shared" si="172"/>
        <v>20678.12946</v>
      </c>
      <c r="J661" s="365">
        <f t="shared" si="172"/>
        <v>19798.072060000002</v>
      </c>
      <c r="K661" s="365">
        <f t="shared" si="172"/>
        <v>19619.006250000002</v>
      </c>
      <c r="L661" s="365">
        <f t="shared" si="172"/>
        <v>18551.14889</v>
      </c>
      <c r="M661" s="365">
        <f t="shared" si="172"/>
        <v>22241.028759999997</v>
      </c>
      <c r="N661" s="365">
        <f t="shared" si="172"/>
        <v>22338.234039999999</v>
      </c>
      <c r="O661" s="365">
        <f>SUM(O658:O660)</f>
        <v>20406.93218</v>
      </c>
      <c r="P661" s="365">
        <f>SUM(P658:P660)</f>
        <v>20429.49238</v>
      </c>
      <c r="Q661" s="365">
        <f>SUM(Q658:Q660)</f>
        <v>20880.509529999999</v>
      </c>
      <c r="R661" s="365">
        <f t="shared" si="171"/>
        <v>246042.50617000004</v>
      </c>
    </row>
    <row r="662" spans="1:18" x14ac:dyDescent="0.2">
      <c r="A662" s="336" t="s">
        <v>1056</v>
      </c>
      <c r="B662" s="32" t="s">
        <v>1067</v>
      </c>
      <c r="D662" s="32">
        <v>101</v>
      </c>
      <c r="F662" s="364">
        <f t="shared" ref="F662:N662" si="173">F636*F651</f>
        <v>170856.54399999999</v>
      </c>
      <c r="G662" s="364">
        <f t="shared" si="173"/>
        <v>161342.76991999999</v>
      </c>
      <c r="H662" s="364">
        <f t="shared" si="173"/>
        <v>175257.0496</v>
      </c>
      <c r="I662" s="364">
        <f t="shared" si="173"/>
        <v>166925.14559999999</v>
      </c>
      <c r="J662" s="364">
        <f t="shared" si="173"/>
        <v>162289.38623999999</v>
      </c>
      <c r="K662" s="364">
        <f t="shared" si="173"/>
        <v>156461.25440000001</v>
      </c>
      <c r="L662" s="364">
        <f t="shared" si="173"/>
        <v>147632.23680000001</v>
      </c>
      <c r="M662" s="418">
        <f t="shared" si="173"/>
        <v>178419.67232000001</v>
      </c>
      <c r="N662" s="364">
        <f t="shared" si="173"/>
        <v>177692.90624000001</v>
      </c>
      <c r="O662" s="364">
        <f>O636*O651</f>
        <v>165668.3584</v>
      </c>
      <c r="P662" s="364">
        <f>P636*P651</f>
        <v>157417.17499999999</v>
      </c>
      <c r="Q662" s="364">
        <f>Q636*Q651</f>
        <v>165001.71249999999</v>
      </c>
      <c r="R662" s="341">
        <f t="shared" si="171"/>
        <v>1984964.2110199998</v>
      </c>
    </row>
    <row r="663" spans="1:18" x14ac:dyDescent="0.2">
      <c r="A663" s="390" t="s">
        <v>1054</v>
      </c>
      <c r="B663" s="390" t="s">
        <v>1096</v>
      </c>
      <c r="D663" s="462">
        <v>85</v>
      </c>
      <c r="E663" s="390"/>
      <c r="F663" s="417">
        <f t="shared" ref="F663:N663" si="174">F637*F651</f>
        <v>1586.1624999999999</v>
      </c>
      <c r="G663" s="417">
        <f t="shared" si="174"/>
        <v>1497.8405</v>
      </c>
      <c r="H663" s="417">
        <f t="shared" si="174"/>
        <v>1627.0149999999999</v>
      </c>
      <c r="I663" s="417">
        <f t="shared" si="174"/>
        <v>1571.1219000000001</v>
      </c>
      <c r="J663" s="417">
        <f t="shared" si="174"/>
        <v>1527.4895100000001</v>
      </c>
      <c r="K663" s="417">
        <f t="shared" si="174"/>
        <v>1472.63435</v>
      </c>
      <c r="L663" s="417">
        <f t="shared" si="174"/>
        <v>1389.5344500000001</v>
      </c>
      <c r="M663" s="417">
        <f t="shared" si="174"/>
        <v>1679.3099300000001</v>
      </c>
      <c r="N663" s="417">
        <f t="shared" si="174"/>
        <v>1672.4695100000001</v>
      </c>
      <c r="O663" s="417">
        <f>O637*O651</f>
        <v>1559.29285</v>
      </c>
      <c r="P663" s="417">
        <f>P637*P651</f>
        <v>1568.8154000000002</v>
      </c>
      <c r="Q663" s="417">
        <f>Q637*Q651</f>
        <v>1644.4027000000001</v>
      </c>
      <c r="R663" s="463">
        <f t="shared" si="171"/>
        <v>18796.088599999999</v>
      </c>
    </row>
    <row r="664" spans="1:18" x14ac:dyDescent="0.2">
      <c r="B664" s="32" t="s">
        <v>1068</v>
      </c>
      <c r="F664" s="364"/>
      <c r="G664" s="364"/>
      <c r="H664" s="364"/>
      <c r="I664" s="364"/>
      <c r="J664" s="364"/>
      <c r="K664" s="364"/>
      <c r="L664" s="364"/>
      <c r="M664" s="364"/>
      <c r="N664" s="364"/>
      <c r="O664" s="364"/>
      <c r="P664" s="364"/>
      <c r="Q664" s="364"/>
      <c r="R664" s="341">
        <f t="shared" si="171"/>
        <v>0</v>
      </c>
    </row>
    <row r="665" spans="1:18" x14ac:dyDescent="0.2">
      <c r="A665" s="32" t="s">
        <v>1054</v>
      </c>
      <c r="C665" s="32" t="s">
        <v>1069</v>
      </c>
      <c r="D665" s="32">
        <v>85</v>
      </c>
      <c r="F665" s="364">
        <f t="shared" ref="F665:N665" si="175">F639*F652</f>
        <v>2687.3</v>
      </c>
      <c r="G665" s="364">
        <f t="shared" si="175"/>
        <v>2687.3</v>
      </c>
      <c r="H665" s="364">
        <f t="shared" si="175"/>
        <v>2687.3</v>
      </c>
      <c r="I665" s="364">
        <f t="shared" si="175"/>
        <v>2711.73</v>
      </c>
      <c r="J665" s="364">
        <f t="shared" si="175"/>
        <v>2711.73</v>
      </c>
      <c r="K665" s="364">
        <f t="shared" si="175"/>
        <v>2711.73</v>
      </c>
      <c r="L665" s="364">
        <f t="shared" si="175"/>
        <v>2711.73</v>
      </c>
      <c r="M665" s="364">
        <f t="shared" si="175"/>
        <v>2711.73</v>
      </c>
      <c r="N665" s="364">
        <f t="shared" si="175"/>
        <v>2711.73</v>
      </c>
      <c r="O665" s="364">
        <f>O639*O652</f>
        <v>2711.73</v>
      </c>
      <c r="P665" s="364">
        <f>P639*P652</f>
        <v>2711.73</v>
      </c>
      <c r="Q665" s="364">
        <f>Q639*Q652</f>
        <v>2711.73</v>
      </c>
      <c r="R665" s="341">
        <f t="shared" si="171"/>
        <v>32467.469999999998</v>
      </c>
    </row>
    <row r="666" spans="1:18" x14ac:dyDescent="0.2">
      <c r="A666" s="336" t="s">
        <v>1056</v>
      </c>
      <c r="C666" s="32" t="s">
        <v>1070</v>
      </c>
      <c r="D666" s="32">
        <v>101</v>
      </c>
      <c r="F666" s="364">
        <f t="shared" ref="F666:N666" si="176">F640*F652</f>
        <v>2565.15</v>
      </c>
      <c r="G666" s="364">
        <f t="shared" si="176"/>
        <v>2565.15</v>
      </c>
      <c r="H666" s="364">
        <f t="shared" si="176"/>
        <v>2565.15</v>
      </c>
      <c r="I666" s="364">
        <f t="shared" si="176"/>
        <v>2565.15</v>
      </c>
      <c r="J666" s="364">
        <f t="shared" si="176"/>
        <v>2565.15</v>
      </c>
      <c r="K666" s="364">
        <f t="shared" si="176"/>
        <v>2565.15</v>
      </c>
      <c r="L666" s="364">
        <f t="shared" si="176"/>
        <v>2565.15</v>
      </c>
      <c r="M666" s="418">
        <f t="shared" si="176"/>
        <v>2565.15</v>
      </c>
      <c r="N666" s="364">
        <f t="shared" si="176"/>
        <v>2565.15</v>
      </c>
      <c r="O666" s="364">
        <f>O640*O652</f>
        <v>2565.15</v>
      </c>
      <c r="P666" s="364">
        <f>P640*P652</f>
        <v>2565.15</v>
      </c>
      <c r="Q666" s="364">
        <f>Q640*Q652</f>
        <v>2565.15</v>
      </c>
      <c r="R666" s="341">
        <f t="shared" si="171"/>
        <v>30781.800000000007</v>
      </c>
    </row>
    <row r="667" spans="1:18" x14ac:dyDescent="0.2">
      <c r="C667" s="32" t="s">
        <v>1078</v>
      </c>
      <c r="F667" s="365">
        <f t="shared" ref="F667:N667" si="177">SUM(F665:F666)</f>
        <v>5252.4500000000007</v>
      </c>
      <c r="G667" s="365">
        <f t="shared" si="177"/>
        <v>5252.4500000000007</v>
      </c>
      <c r="H667" s="365">
        <f t="shared" si="177"/>
        <v>5252.4500000000007</v>
      </c>
      <c r="I667" s="365">
        <f t="shared" si="177"/>
        <v>5276.88</v>
      </c>
      <c r="J667" s="365">
        <f t="shared" si="177"/>
        <v>5276.88</v>
      </c>
      <c r="K667" s="365">
        <f t="shared" si="177"/>
        <v>5276.88</v>
      </c>
      <c r="L667" s="365">
        <f t="shared" si="177"/>
        <v>5276.88</v>
      </c>
      <c r="M667" s="365">
        <f t="shared" si="177"/>
        <v>5276.88</v>
      </c>
      <c r="N667" s="365">
        <f t="shared" si="177"/>
        <v>5276.88</v>
      </c>
      <c r="O667" s="365">
        <f>SUM(O665:O666)</f>
        <v>5276.88</v>
      </c>
      <c r="P667" s="365">
        <f>SUM(P665:P666)</f>
        <v>5276.88</v>
      </c>
      <c r="Q667" s="365">
        <f>SUM(Q665:Q666)</f>
        <v>5276.88</v>
      </c>
      <c r="R667" s="365">
        <f>SUM(R665:R666)</f>
        <v>63249.270000000004</v>
      </c>
    </row>
    <row r="668" spans="1:18" s="336" customFormat="1" x14ac:dyDescent="0.2">
      <c r="A668" s="336" t="s">
        <v>1054</v>
      </c>
      <c r="B668" s="336" t="s">
        <v>1071</v>
      </c>
      <c r="D668" s="336">
        <v>85</v>
      </c>
      <c r="F668" s="447">
        <f>'JKP-3.1c - Data'!C184</f>
        <v>0</v>
      </c>
      <c r="G668" s="447">
        <f>'JKP-3.1c - Data'!D184</f>
        <v>16339.8</v>
      </c>
      <c r="H668" s="447">
        <f>'JKP-3.1c - Data'!E184</f>
        <v>0</v>
      </c>
      <c r="I668" s="447">
        <f>'JKP-3.1c - Data'!F184</f>
        <v>0</v>
      </c>
      <c r="J668" s="447">
        <f>'JKP-3.1c - Data'!G184</f>
        <v>0</v>
      </c>
      <c r="K668" s="447">
        <f>'JKP-3.1c - Data'!H184</f>
        <v>0</v>
      </c>
      <c r="L668" s="447">
        <f>'JKP-3.1c - Data'!I184</f>
        <v>0</v>
      </c>
      <c r="M668" s="447">
        <f>'JKP-3.1c - Data'!J184</f>
        <v>0</v>
      </c>
      <c r="N668" s="447">
        <f>'JKP-3.1c - Data'!K184</f>
        <v>0</v>
      </c>
      <c r="O668" s="447">
        <f>'JKP-3.1c - Data'!L184</f>
        <v>0</v>
      </c>
      <c r="P668" s="447">
        <f>'JKP-3.1c - Data'!M184</f>
        <v>0</v>
      </c>
      <c r="Q668" s="447">
        <f>'JKP-3.1c - Data'!N184</f>
        <v>1052.69</v>
      </c>
      <c r="R668" s="437">
        <f>SUM(F668:Q668)</f>
        <v>17392.489999999998</v>
      </c>
    </row>
    <row r="669" spans="1:18" x14ac:dyDescent="0.2">
      <c r="B669" s="32" t="s">
        <v>1079</v>
      </c>
      <c r="F669" s="365">
        <f t="shared" ref="F669:N669" si="178">F662+F666</f>
        <v>173421.69399999999</v>
      </c>
      <c r="G669" s="365">
        <f t="shared" si="178"/>
        <v>163907.91991999999</v>
      </c>
      <c r="H669" s="365">
        <f t="shared" si="178"/>
        <v>177822.19959999999</v>
      </c>
      <c r="I669" s="365">
        <f t="shared" si="178"/>
        <v>169490.29559999998</v>
      </c>
      <c r="J669" s="365">
        <f t="shared" si="178"/>
        <v>164854.53623999999</v>
      </c>
      <c r="K669" s="365">
        <f t="shared" si="178"/>
        <v>159026.4044</v>
      </c>
      <c r="L669" s="365">
        <f t="shared" si="178"/>
        <v>150197.38680000001</v>
      </c>
      <c r="M669" s="365">
        <f t="shared" si="178"/>
        <v>180984.82232000001</v>
      </c>
      <c r="N669" s="365">
        <f t="shared" si="178"/>
        <v>180258.05624000001</v>
      </c>
      <c r="O669" s="365">
        <f>O662+O666</f>
        <v>168233.50839999999</v>
      </c>
      <c r="P669" s="365">
        <f>P662+P666</f>
        <v>159982.32499999998</v>
      </c>
      <c r="Q669" s="365">
        <f>Q662+Q666</f>
        <v>167566.86249999999</v>
      </c>
      <c r="R669" s="365">
        <f>R662+R666</f>
        <v>2015746.0110199999</v>
      </c>
    </row>
    <row r="670" spans="1:18" x14ac:dyDescent="0.2">
      <c r="B670" s="32" t="s">
        <v>986</v>
      </c>
      <c r="F670" s="365">
        <f t="shared" ref="F670:N670" si="179">F656+F661+F662+F663+F667+F668</f>
        <v>202952.49565000003</v>
      </c>
      <c r="G670" s="365">
        <f t="shared" si="179"/>
        <v>208982.41209</v>
      </c>
      <c r="H670" s="365">
        <f t="shared" si="179"/>
        <v>207931.81640000001</v>
      </c>
      <c r="I670" s="365">
        <f t="shared" si="179"/>
        <v>199354.02695999999</v>
      </c>
      <c r="J670" s="365">
        <f t="shared" si="179"/>
        <v>193249.82781000002</v>
      </c>
      <c r="K670" s="365">
        <f t="shared" si="179"/>
        <v>187187.77500000002</v>
      </c>
      <c r="L670" s="365">
        <f t="shared" si="179"/>
        <v>177207.80014000004</v>
      </c>
      <c r="M670" s="365">
        <f t="shared" si="179"/>
        <v>211974.89100999999</v>
      </c>
      <c r="N670" s="365">
        <f t="shared" si="179"/>
        <v>211338.48979000002</v>
      </c>
      <c r="O670" s="365">
        <f>O656+O661+O662+O663+O667+O668</f>
        <v>197269.46343</v>
      </c>
      <c r="P670" s="365">
        <f>P656+P661+P662+P663+P667+P668</f>
        <v>189050.36278</v>
      </c>
      <c r="Q670" s="365">
        <f>Q656+Q661+Q662+Q663+Q667+Q668</f>
        <v>198214.19473000002</v>
      </c>
      <c r="R670" s="365">
        <f>R656+R661+R662+R663+R667+R668</f>
        <v>2384713.5557900001</v>
      </c>
    </row>
    <row r="671" spans="1:18" x14ac:dyDescent="0.2">
      <c r="F671" s="364"/>
      <c r="G671" s="364"/>
      <c r="H671" s="364"/>
      <c r="I671" s="364"/>
      <c r="J671" s="364"/>
      <c r="K671" s="364"/>
      <c r="L671" s="364"/>
      <c r="M671" s="364"/>
      <c r="N671" s="364"/>
      <c r="O671" s="364"/>
      <c r="P671" s="364"/>
      <c r="Q671" s="364"/>
      <c r="R671" s="341"/>
    </row>
    <row r="672" spans="1:18" x14ac:dyDescent="0.2">
      <c r="A672" s="32" t="s">
        <v>1058</v>
      </c>
      <c r="B672" s="32" t="s">
        <v>1050</v>
      </c>
      <c r="F672" s="364">
        <f>F642*F651+F652*F643</f>
        <v>165920.228</v>
      </c>
      <c r="G672" s="364">
        <f t="shared" ref="G672:Q672" si="180">G642*G651+G652*G643</f>
        <v>156817.35503999999</v>
      </c>
      <c r="H672" s="364">
        <f t="shared" si="180"/>
        <v>170130.6752</v>
      </c>
      <c r="I672" s="364">
        <f t="shared" si="180"/>
        <v>162158.62719999999</v>
      </c>
      <c r="J672" s="364">
        <f t="shared" si="180"/>
        <v>157723.08687999999</v>
      </c>
      <c r="K672" s="364">
        <f t="shared" si="180"/>
        <v>152146.6728</v>
      </c>
      <c r="L672" s="364">
        <f t="shared" si="180"/>
        <v>143698.9816</v>
      </c>
      <c r="M672" s="364">
        <f t="shared" si="180"/>
        <v>173156.70384</v>
      </c>
      <c r="N672" s="364">
        <f t="shared" si="180"/>
        <v>172461.32687999998</v>
      </c>
      <c r="O672" s="364">
        <f t="shared" si="180"/>
        <v>160956.1208</v>
      </c>
      <c r="P672" s="364">
        <f t="shared" si="180"/>
        <v>153051.65900000001</v>
      </c>
      <c r="Q672" s="364">
        <f t="shared" si="180"/>
        <v>160308.1545</v>
      </c>
      <c r="R672" s="341">
        <f>SUM(F672:Q672)</f>
        <v>1928529.5917400001</v>
      </c>
    </row>
    <row r="673" spans="2:18" x14ac:dyDescent="0.2">
      <c r="F673" s="364"/>
      <c r="G673" s="364"/>
      <c r="H673" s="364"/>
      <c r="I673" s="364"/>
      <c r="J673" s="364"/>
      <c r="K673" s="364"/>
      <c r="L673" s="364"/>
      <c r="M673" s="364"/>
      <c r="N673" s="364"/>
      <c r="O673" s="364"/>
      <c r="P673" s="364"/>
      <c r="Q673" s="364"/>
      <c r="R673" s="341"/>
    </row>
    <row r="674" spans="2:18" x14ac:dyDescent="0.2">
      <c r="B674" s="276" t="s">
        <v>1111</v>
      </c>
      <c r="C674" s="276"/>
    </row>
    <row r="675" spans="2:18" x14ac:dyDescent="0.2">
      <c r="B675" s="276" t="s">
        <v>5</v>
      </c>
      <c r="C675" s="276"/>
    </row>
    <row r="676" spans="2:18" x14ac:dyDescent="0.2">
      <c r="B676" s="32" t="s">
        <v>1059</v>
      </c>
      <c r="D676" s="444">
        <v>86</v>
      </c>
      <c r="E676" s="32" t="s">
        <v>976</v>
      </c>
      <c r="F676" s="413">
        <f t="shared" ref="F676:N676" si="181">F317</f>
        <v>137.5</v>
      </c>
      <c r="G676" s="413">
        <f t="shared" si="181"/>
        <v>137.5</v>
      </c>
      <c r="H676" s="413">
        <f t="shared" si="181"/>
        <v>137.5</v>
      </c>
      <c r="I676" s="413">
        <f t="shared" si="181"/>
        <v>139.37</v>
      </c>
      <c r="J676" s="413">
        <f t="shared" si="181"/>
        <v>139.37</v>
      </c>
      <c r="K676" s="413">
        <f t="shared" si="181"/>
        <v>139.37</v>
      </c>
      <c r="L676" s="413">
        <f t="shared" si="181"/>
        <v>139.37</v>
      </c>
      <c r="M676" s="413">
        <f t="shared" si="181"/>
        <v>139.37</v>
      </c>
      <c r="N676" s="413">
        <f t="shared" si="181"/>
        <v>139.37</v>
      </c>
      <c r="O676" s="413">
        <f>O317</f>
        <v>139.37</v>
      </c>
      <c r="P676" s="413">
        <f>P317</f>
        <v>139.37</v>
      </c>
      <c r="Q676" s="413">
        <f>Q317</f>
        <v>139.37</v>
      </c>
      <c r="R676" s="439"/>
    </row>
    <row r="677" spans="2:18" x14ac:dyDescent="0.2">
      <c r="B677" s="32" t="s">
        <v>1047</v>
      </c>
      <c r="F677" s="393"/>
      <c r="G677" s="393"/>
      <c r="H677" s="393"/>
      <c r="I677" s="393"/>
      <c r="J677" s="393"/>
      <c r="K677" s="393"/>
      <c r="L677" s="393"/>
      <c r="M677" s="393"/>
      <c r="N677" s="393"/>
      <c r="O677" s="393"/>
      <c r="P677" s="393"/>
      <c r="Q677" s="393"/>
      <c r="R677" s="394"/>
    </row>
    <row r="678" spans="2:18" x14ac:dyDescent="0.2">
      <c r="C678" s="32" t="s">
        <v>1098</v>
      </c>
      <c r="D678" s="444">
        <v>86</v>
      </c>
      <c r="E678" s="32" t="s">
        <v>957</v>
      </c>
      <c r="F678" s="393">
        <f t="shared" ref="F678:Q681" si="182">F319</f>
        <v>0.19553999999999999</v>
      </c>
      <c r="G678" s="393">
        <f t="shared" si="182"/>
        <v>0.19553999999999999</v>
      </c>
      <c r="H678" s="393">
        <f t="shared" si="182"/>
        <v>0.19553999999999999</v>
      </c>
      <c r="I678" s="393">
        <f t="shared" si="182"/>
        <v>0.19819999999999999</v>
      </c>
      <c r="J678" s="393">
        <f t="shared" si="182"/>
        <v>0.19819999999999999</v>
      </c>
      <c r="K678" s="393">
        <f t="shared" si="182"/>
        <v>0.19819999999999999</v>
      </c>
      <c r="L678" s="393">
        <f t="shared" si="182"/>
        <v>0.19819999999999999</v>
      </c>
      <c r="M678" s="393">
        <f t="shared" si="182"/>
        <v>0.19819999999999999</v>
      </c>
      <c r="N678" s="393">
        <f t="shared" si="182"/>
        <v>0.19819999999999999</v>
      </c>
      <c r="O678" s="393">
        <f t="shared" si="182"/>
        <v>0.19819999999999999</v>
      </c>
      <c r="P678" s="393">
        <f t="shared" si="182"/>
        <v>0.19819999999999999</v>
      </c>
      <c r="Q678" s="393">
        <f t="shared" si="182"/>
        <v>0.19819999999999999</v>
      </c>
      <c r="R678" s="394"/>
    </row>
    <row r="679" spans="2:18" x14ac:dyDescent="0.2">
      <c r="C679" s="32" t="s">
        <v>1099</v>
      </c>
      <c r="D679" s="444">
        <v>86</v>
      </c>
      <c r="E679" s="32" t="s">
        <v>957</v>
      </c>
      <c r="F679" s="393">
        <f t="shared" si="182"/>
        <v>0.14019000000000001</v>
      </c>
      <c r="G679" s="393">
        <f t="shared" si="182"/>
        <v>0.14019000000000001</v>
      </c>
      <c r="H679" s="393">
        <f t="shared" si="182"/>
        <v>0.14019000000000001</v>
      </c>
      <c r="I679" s="393">
        <f t="shared" si="182"/>
        <v>0.1421</v>
      </c>
      <c r="J679" s="393">
        <f t="shared" si="182"/>
        <v>0.1421</v>
      </c>
      <c r="K679" s="393">
        <f t="shared" si="182"/>
        <v>0.1421</v>
      </c>
      <c r="L679" s="393">
        <f t="shared" si="182"/>
        <v>0.1421</v>
      </c>
      <c r="M679" s="393">
        <f t="shared" si="182"/>
        <v>0.1421</v>
      </c>
      <c r="N679" s="393">
        <f t="shared" si="182"/>
        <v>0.1421</v>
      </c>
      <c r="O679" s="393">
        <f t="shared" si="182"/>
        <v>0.1421</v>
      </c>
      <c r="P679" s="393">
        <f t="shared" si="182"/>
        <v>0.1421</v>
      </c>
      <c r="Q679" s="393">
        <f t="shared" si="182"/>
        <v>0.1421</v>
      </c>
      <c r="R679" s="394"/>
    </row>
    <row r="680" spans="2:18" x14ac:dyDescent="0.2">
      <c r="B680" s="32" t="s">
        <v>1067</v>
      </c>
      <c r="D680" s="32">
        <v>101</v>
      </c>
      <c r="E680" s="32" t="s">
        <v>957</v>
      </c>
      <c r="F680" s="393">
        <f t="shared" si="182"/>
        <v>0.70406000000000002</v>
      </c>
      <c r="G680" s="393">
        <f t="shared" si="182"/>
        <v>0.70406000000000002</v>
      </c>
      <c r="H680" s="393">
        <f t="shared" si="182"/>
        <v>0.70406000000000002</v>
      </c>
      <c r="I680" s="393">
        <f t="shared" si="182"/>
        <v>0.70406000000000002</v>
      </c>
      <c r="J680" s="393">
        <f t="shared" si="182"/>
        <v>0.70406000000000002</v>
      </c>
      <c r="K680" s="393">
        <f t="shared" si="182"/>
        <v>0.70406000000000002</v>
      </c>
      <c r="L680" s="393">
        <f t="shared" si="182"/>
        <v>0.70406000000000002</v>
      </c>
      <c r="M680" s="393">
        <f t="shared" si="182"/>
        <v>0.70406000000000002</v>
      </c>
      <c r="N680" s="393">
        <f t="shared" si="182"/>
        <v>0.70406000000000002</v>
      </c>
      <c r="O680" s="393">
        <f t="shared" si="182"/>
        <v>0.70406000000000002</v>
      </c>
      <c r="P680" s="393">
        <f t="shared" si="182"/>
        <v>0.66556999999999999</v>
      </c>
      <c r="Q680" s="393">
        <f t="shared" si="182"/>
        <v>0.66556999999999999</v>
      </c>
      <c r="R680" s="394"/>
    </row>
    <row r="681" spans="2:18" x14ac:dyDescent="0.2">
      <c r="B681" s="32" t="s">
        <v>1096</v>
      </c>
      <c r="D681" s="444">
        <v>86</v>
      </c>
      <c r="E681" s="32" t="s">
        <v>957</v>
      </c>
      <c r="F681" s="394">
        <f t="shared" si="182"/>
        <v>6.4999999999999997E-3</v>
      </c>
      <c r="G681" s="394">
        <f t="shared" si="182"/>
        <v>6.4999999999999997E-3</v>
      </c>
      <c r="H681" s="394">
        <f t="shared" si="182"/>
        <v>6.4999999999999997E-3</v>
      </c>
      <c r="I681" s="394">
        <f t="shared" si="182"/>
        <v>6.5900000000000004E-3</v>
      </c>
      <c r="J681" s="394">
        <f t="shared" si="182"/>
        <v>6.5900000000000004E-3</v>
      </c>
      <c r="K681" s="394">
        <f t="shared" si="182"/>
        <v>6.5900000000000004E-3</v>
      </c>
      <c r="L681" s="394">
        <f t="shared" si="182"/>
        <v>6.5900000000000004E-3</v>
      </c>
      <c r="M681" s="394">
        <f t="shared" si="182"/>
        <v>6.5900000000000004E-3</v>
      </c>
      <c r="N681" s="394">
        <f t="shared" si="182"/>
        <v>6.5900000000000004E-3</v>
      </c>
      <c r="O681" s="394">
        <f t="shared" si="182"/>
        <v>6.5900000000000004E-3</v>
      </c>
      <c r="P681" s="394">
        <f t="shared" si="182"/>
        <v>6.5900000000000004E-3</v>
      </c>
      <c r="Q681" s="394">
        <f t="shared" si="182"/>
        <v>6.5900000000000004E-3</v>
      </c>
      <c r="R681" s="394"/>
    </row>
    <row r="682" spans="2:18" x14ac:dyDescent="0.2">
      <c r="B682" s="32" t="s">
        <v>1068</v>
      </c>
      <c r="F682" s="394"/>
      <c r="G682" s="394"/>
      <c r="H682" s="394"/>
      <c r="I682" s="394"/>
      <c r="J682" s="394"/>
      <c r="K682" s="394"/>
      <c r="L682" s="394"/>
      <c r="M682" s="394"/>
      <c r="N682" s="394"/>
      <c r="O682" s="394"/>
      <c r="P682" s="394"/>
      <c r="Q682" s="394"/>
      <c r="R682" s="394"/>
    </row>
    <row r="683" spans="2:18" x14ac:dyDescent="0.2">
      <c r="C683" s="32" t="s">
        <v>1069</v>
      </c>
      <c r="D683" s="32">
        <v>101</v>
      </c>
      <c r="E683" s="32" t="s">
        <v>957</v>
      </c>
      <c r="F683" s="454">
        <f t="shared" ref="F683:Q684" si="183">F324</f>
        <v>1.1000000000000001</v>
      </c>
      <c r="G683" s="454">
        <f t="shared" si="183"/>
        <v>1.1000000000000001</v>
      </c>
      <c r="H683" s="454">
        <f t="shared" si="183"/>
        <v>1.1000000000000001</v>
      </c>
      <c r="I683" s="454">
        <f t="shared" si="183"/>
        <v>1.1100000000000001</v>
      </c>
      <c r="J683" s="454">
        <f t="shared" si="183"/>
        <v>1.1100000000000001</v>
      </c>
      <c r="K683" s="454">
        <f t="shared" si="183"/>
        <v>1.1100000000000001</v>
      </c>
      <c r="L683" s="454">
        <f t="shared" si="183"/>
        <v>1.1100000000000001</v>
      </c>
      <c r="M683" s="454">
        <f t="shared" si="183"/>
        <v>1.1100000000000001</v>
      </c>
      <c r="N683" s="454">
        <f t="shared" si="183"/>
        <v>1.1100000000000001</v>
      </c>
      <c r="O683" s="454">
        <f t="shared" si="183"/>
        <v>1.1100000000000001</v>
      </c>
      <c r="P683" s="454">
        <f t="shared" si="183"/>
        <v>1.1100000000000001</v>
      </c>
      <c r="Q683" s="454">
        <f t="shared" si="183"/>
        <v>1.1100000000000001</v>
      </c>
      <c r="R683" s="394"/>
    </row>
    <row r="684" spans="2:18" s="336" customFormat="1" x14ac:dyDescent="0.2">
      <c r="C684" s="336" t="s">
        <v>1070</v>
      </c>
      <c r="D684" s="336">
        <v>101</v>
      </c>
      <c r="E684" s="336" t="s">
        <v>957</v>
      </c>
      <c r="F684" s="460">
        <f t="shared" si="183"/>
        <v>1.05</v>
      </c>
      <c r="G684" s="460">
        <f t="shared" si="183"/>
        <v>1.05</v>
      </c>
      <c r="H684" s="460">
        <f t="shared" si="183"/>
        <v>1.05</v>
      </c>
      <c r="I684" s="460">
        <f t="shared" si="183"/>
        <v>1.05</v>
      </c>
      <c r="J684" s="460">
        <f t="shared" si="183"/>
        <v>1.05</v>
      </c>
      <c r="K684" s="460">
        <f t="shared" si="183"/>
        <v>1.05</v>
      </c>
      <c r="L684" s="460">
        <f t="shared" si="183"/>
        <v>1.05</v>
      </c>
      <c r="M684" s="460">
        <f t="shared" si="183"/>
        <v>1.05</v>
      </c>
      <c r="N684" s="460">
        <f t="shared" si="183"/>
        <v>1.05</v>
      </c>
      <c r="O684" s="460">
        <f t="shared" si="183"/>
        <v>1.05</v>
      </c>
      <c r="P684" s="460">
        <f t="shared" si="183"/>
        <v>1.05</v>
      </c>
      <c r="Q684" s="460">
        <f t="shared" si="183"/>
        <v>1.05</v>
      </c>
      <c r="R684" s="441"/>
    </row>
    <row r="685" spans="2:18" s="336" customFormat="1" x14ac:dyDescent="0.2">
      <c r="B685" s="336" t="s">
        <v>1071</v>
      </c>
      <c r="D685" s="382">
        <v>86</v>
      </c>
      <c r="E685" s="336" t="s">
        <v>67</v>
      </c>
      <c r="F685" s="450"/>
      <c r="G685" s="450"/>
      <c r="H685" s="442"/>
      <c r="I685" s="450"/>
      <c r="J685" s="450"/>
      <c r="K685" s="450"/>
      <c r="L685" s="450"/>
      <c r="M685" s="450"/>
      <c r="N685" s="450"/>
      <c r="O685" s="450"/>
      <c r="P685" s="450"/>
      <c r="Q685" s="450"/>
      <c r="R685" s="441"/>
    </row>
    <row r="686" spans="2:18" s="336" customFormat="1" x14ac:dyDescent="0.2">
      <c r="B686" s="336" t="s">
        <v>1050</v>
      </c>
      <c r="D686" s="382"/>
      <c r="F686" s="394">
        <f>F327</f>
        <v>0.67364999999999997</v>
      </c>
      <c r="G686" s="394">
        <f t="shared" ref="G686:Q687" si="184">G327</f>
        <v>0.67364999999999997</v>
      </c>
      <c r="H686" s="394">
        <f t="shared" si="184"/>
        <v>0.67364999999999997</v>
      </c>
      <c r="I686" s="394">
        <f t="shared" si="184"/>
        <v>0.67364999999999997</v>
      </c>
      <c r="J686" s="394">
        <f t="shared" si="184"/>
        <v>0.67364999999999997</v>
      </c>
      <c r="K686" s="394">
        <f t="shared" si="184"/>
        <v>0.67364999999999997</v>
      </c>
      <c r="L686" s="394">
        <f t="shared" si="184"/>
        <v>0.67364999999999997</v>
      </c>
      <c r="M686" s="394">
        <f t="shared" si="184"/>
        <v>0.67364999999999997</v>
      </c>
      <c r="N686" s="394">
        <f t="shared" si="184"/>
        <v>0.67364999999999997</v>
      </c>
      <c r="O686" s="394">
        <f t="shared" si="184"/>
        <v>0.67364999999999997</v>
      </c>
      <c r="P686" s="394">
        <f t="shared" si="184"/>
        <v>0.63678999999999997</v>
      </c>
      <c r="Q686" s="394">
        <f t="shared" si="184"/>
        <v>0.63678999999999997</v>
      </c>
      <c r="R686" s="441"/>
    </row>
    <row r="687" spans="2:18" s="336" customFormat="1" x14ac:dyDescent="0.2">
      <c r="B687" s="336" t="s">
        <v>1072</v>
      </c>
      <c r="D687" s="382"/>
      <c r="F687" s="454">
        <f>F328</f>
        <v>1</v>
      </c>
      <c r="G687" s="454">
        <f t="shared" si="184"/>
        <v>1</v>
      </c>
      <c r="H687" s="454">
        <f t="shared" si="184"/>
        <v>1</v>
      </c>
      <c r="I687" s="454">
        <f t="shared" si="184"/>
        <v>1</v>
      </c>
      <c r="J687" s="454">
        <f t="shared" si="184"/>
        <v>1</v>
      </c>
      <c r="K687" s="454">
        <f t="shared" si="184"/>
        <v>1</v>
      </c>
      <c r="L687" s="454">
        <f t="shared" si="184"/>
        <v>1</v>
      </c>
      <c r="M687" s="454">
        <f t="shared" si="184"/>
        <v>1</v>
      </c>
      <c r="N687" s="454">
        <f t="shared" si="184"/>
        <v>1</v>
      </c>
      <c r="O687" s="454">
        <f t="shared" si="184"/>
        <v>1</v>
      </c>
      <c r="P687" s="454">
        <f t="shared" si="184"/>
        <v>1</v>
      </c>
      <c r="Q687" s="454">
        <f t="shared" si="184"/>
        <v>1</v>
      </c>
      <c r="R687" s="441"/>
    </row>
    <row r="688" spans="2:18" s="336" customFormat="1" x14ac:dyDescent="0.2"/>
    <row r="689" spans="1:18" s="336" customFormat="1" x14ac:dyDescent="0.2">
      <c r="B689" s="182" t="s">
        <v>982</v>
      </c>
    </row>
    <row r="690" spans="1:18" s="336" customFormat="1" x14ac:dyDescent="0.2">
      <c r="B690" s="336" t="s">
        <v>67</v>
      </c>
      <c r="E690" s="336" t="s">
        <v>67</v>
      </c>
      <c r="F690" s="421">
        <f>'JKP-3.1c - Data'!C151</f>
        <v>9</v>
      </c>
      <c r="G690" s="421">
        <f>'JKP-3.1c - Data'!D151</f>
        <v>11</v>
      </c>
      <c r="H690" s="421">
        <f>'JKP-3.1c - Data'!E151</f>
        <v>10</v>
      </c>
      <c r="I690" s="421">
        <f>'JKP-3.1c - Data'!F151</f>
        <v>9</v>
      </c>
      <c r="J690" s="421">
        <f>'JKP-3.1c - Data'!G151</f>
        <v>10</v>
      </c>
      <c r="K690" s="421">
        <f>'JKP-3.1c - Data'!H151</f>
        <v>9</v>
      </c>
      <c r="L690" s="421">
        <f>'JKP-3.1c - Data'!I151</f>
        <v>10</v>
      </c>
      <c r="M690" s="421">
        <f>'JKP-3.1c - Data'!J151</f>
        <v>10</v>
      </c>
      <c r="N690" s="421">
        <f>'JKP-3.1c - Data'!K151</f>
        <v>10</v>
      </c>
      <c r="O690" s="421">
        <f>'JKP-3.1c - Data'!L151</f>
        <v>10</v>
      </c>
      <c r="P690" s="421">
        <f>'JKP-3.1c - Data'!M151</f>
        <v>10</v>
      </c>
      <c r="Q690" s="421">
        <f>'JKP-3.1c - Data'!N151</f>
        <v>10</v>
      </c>
      <c r="R690" s="378">
        <f>SUM(F690:Q690)</f>
        <v>118</v>
      </c>
    </row>
    <row r="691" spans="1:18" s="336" customFormat="1" x14ac:dyDescent="0.2">
      <c r="B691" s="336" t="s">
        <v>76</v>
      </c>
      <c r="F691" s="380"/>
      <c r="G691" s="380"/>
      <c r="H691" s="380"/>
      <c r="I691" s="380"/>
      <c r="J691" s="380"/>
      <c r="K691" s="380"/>
      <c r="L691" s="380"/>
      <c r="M691" s="380"/>
      <c r="N691" s="380"/>
      <c r="O691" s="380"/>
      <c r="P691" s="380"/>
      <c r="Q691" s="380"/>
      <c r="R691" s="378"/>
    </row>
    <row r="692" spans="1:18" s="336" customFormat="1" x14ac:dyDescent="0.2">
      <c r="C692" s="336" t="s">
        <v>1098</v>
      </c>
      <c r="E692" s="336" t="s">
        <v>10</v>
      </c>
      <c r="F692" s="380">
        <v>8746</v>
      </c>
      <c r="G692" s="380">
        <v>8501</v>
      </c>
      <c r="H692" s="380">
        <v>7448</v>
      </c>
      <c r="I692" s="380">
        <v>8493</v>
      </c>
      <c r="J692" s="380">
        <v>8187</v>
      </c>
      <c r="K692" s="380">
        <v>7941</v>
      </c>
      <c r="L692" s="380">
        <v>7145</v>
      </c>
      <c r="M692" s="380">
        <v>7808</v>
      </c>
      <c r="N692" s="380">
        <v>8000</v>
      </c>
      <c r="O692" s="380">
        <v>6285</v>
      </c>
      <c r="P692" s="380">
        <v>9249</v>
      </c>
      <c r="Q692" s="380">
        <v>9802</v>
      </c>
      <c r="R692" s="378">
        <f>SUM(F692:Q692)</f>
        <v>97605</v>
      </c>
    </row>
    <row r="693" spans="1:18" s="336" customFormat="1" x14ac:dyDescent="0.2">
      <c r="C693" s="336" t="s">
        <v>1099</v>
      </c>
      <c r="E693" s="336" t="s">
        <v>10</v>
      </c>
      <c r="F693" s="378">
        <f t="shared" ref="F693:N693" si="185">F694-F692</f>
        <v>162759</v>
      </c>
      <c r="G693" s="378">
        <f t="shared" si="185"/>
        <v>137882</v>
      </c>
      <c r="H693" s="378">
        <f t="shared" si="185"/>
        <v>59467</v>
      </c>
      <c r="I693" s="378">
        <f t="shared" si="185"/>
        <v>32121</v>
      </c>
      <c r="J693" s="378">
        <f t="shared" si="185"/>
        <v>56841</v>
      </c>
      <c r="K693" s="378">
        <f t="shared" si="185"/>
        <v>75935</v>
      </c>
      <c r="L693" s="378">
        <f t="shared" si="185"/>
        <v>48383</v>
      </c>
      <c r="M693" s="378">
        <f t="shared" si="185"/>
        <v>23643</v>
      </c>
      <c r="N693" s="378">
        <f t="shared" si="185"/>
        <v>17943</v>
      </c>
      <c r="O693" s="378">
        <f>O694-O692</f>
        <v>23906</v>
      </c>
      <c r="P693" s="378">
        <f>P694-P692</f>
        <v>43005</v>
      </c>
      <c r="Q693" s="378">
        <f>Q694-Q692</f>
        <v>52842</v>
      </c>
      <c r="R693" s="378">
        <f>SUM(F693:Q693)</f>
        <v>734727</v>
      </c>
    </row>
    <row r="694" spans="1:18" s="336" customFormat="1" x14ac:dyDescent="0.2">
      <c r="C694" s="336" t="s">
        <v>1075</v>
      </c>
      <c r="E694" s="336" t="s">
        <v>10</v>
      </c>
      <c r="F694" s="445">
        <f>'JKP-3.1c - Therms Data'!E92</f>
        <v>171505</v>
      </c>
      <c r="G694" s="445">
        <f>'JKP-3.1c - Therms Data'!F92</f>
        <v>146383</v>
      </c>
      <c r="H694" s="445">
        <f>'JKP-3.1c - Therms Data'!G92</f>
        <v>66915</v>
      </c>
      <c r="I694" s="445">
        <f>'JKP-3.1c - Therms Data'!H92</f>
        <v>40614</v>
      </c>
      <c r="J694" s="445">
        <f>'JKP-3.1c - Therms Data'!I92</f>
        <v>65028</v>
      </c>
      <c r="K694" s="445">
        <f>'JKP-3.1c - Therms Data'!J92</f>
        <v>83876</v>
      </c>
      <c r="L694" s="445">
        <f>'JKP-3.1c - Therms Data'!K92</f>
        <v>55528</v>
      </c>
      <c r="M694" s="445">
        <f>'JKP-3.1c - Therms Data'!L92</f>
        <v>31451</v>
      </c>
      <c r="N694" s="445">
        <f>'JKP-3.1c - Therms Data'!M92</f>
        <v>25943</v>
      </c>
      <c r="O694" s="445">
        <f>'JKP-3.1c - Therms Data'!N92</f>
        <v>30191</v>
      </c>
      <c r="P694" s="445">
        <f>'JKP-3.1c - Therms Data'!O92</f>
        <v>52254</v>
      </c>
      <c r="Q694" s="445">
        <f>'JKP-3.1c - Therms Data'!P92</f>
        <v>62644</v>
      </c>
      <c r="R694" s="436">
        <f>SUM(R692:R693)</f>
        <v>832332</v>
      </c>
    </row>
    <row r="695" spans="1:18" s="336" customFormat="1" x14ac:dyDescent="0.2">
      <c r="B695" s="336" t="s">
        <v>74</v>
      </c>
      <c r="E695" s="336" t="s">
        <v>1076</v>
      </c>
      <c r="F695" s="421">
        <f>'JKP-3.1c - Data'!C171</f>
        <v>127</v>
      </c>
      <c r="G695" s="421">
        <f>'JKP-3.1c - Data'!D171</f>
        <v>137</v>
      </c>
      <c r="H695" s="421">
        <f>'JKP-3.1c - Data'!E171</f>
        <v>132</v>
      </c>
      <c r="I695" s="421">
        <f>'JKP-3.1c - Data'!F171</f>
        <v>132</v>
      </c>
      <c r="J695" s="421">
        <f>'JKP-3.1c - Data'!G171</f>
        <v>132</v>
      </c>
      <c r="K695" s="421">
        <f>'JKP-3.1c - Data'!H171</f>
        <v>132</v>
      </c>
      <c r="L695" s="421">
        <f>'JKP-3.1c - Data'!I171</f>
        <v>132</v>
      </c>
      <c r="M695" s="421">
        <f>'JKP-3.1c - Data'!J171</f>
        <v>132</v>
      </c>
      <c r="N695" s="421">
        <f>'JKP-3.1c - Data'!K171</f>
        <v>132</v>
      </c>
      <c r="O695" s="421">
        <f>'JKP-3.1c - Data'!L171</f>
        <v>132</v>
      </c>
      <c r="P695" s="421">
        <f>'JKP-3.1c - Data'!M171</f>
        <v>132</v>
      </c>
      <c r="Q695" s="421">
        <f>'JKP-3.1c - Data'!N171</f>
        <v>132</v>
      </c>
      <c r="R695" s="378">
        <f>SUM(F695:Q695)</f>
        <v>1584</v>
      </c>
    </row>
    <row r="696" spans="1:18" s="336" customFormat="1" x14ac:dyDescent="0.2">
      <c r="B696" s="336" t="s">
        <v>1071</v>
      </c>
      <c r="F696" s="380"/>
      <c r="G696" s="380"/>
      <c r="H696" s="380"/>
      <c r="I696" s="380"/>
      <c r="J696" s="380"/>
      <c r="K696" s="380"/>
      <c r="L696" s="380"/>
      <c r="M696" s="380"/>
      <c r="N696" s="380"/>
      <c r="O696" s="380"/>
      <c r="P696" s="380"/>
      <c r="Q696" s="380"/>
      <c r="R696" s="378"/>
    </row>
    <row r="697" spans="1:18" s="336" customFormat="1" x14ac:dyDescent="0.2">
      <c r="R697" s="179"/>
    </row>
    <row r="698" spans="1:18" s="336" customFormat="1" x14ac:dyDescent="0.2">
      <c r="B698" s="182" t="s">
        <v>985</v>
      </c>
      <c r="R698" s="179"/>
    </row>
    <row r="699" spans="1:18" s="336" customFormat="1" x14ac:dyDescent="0.2">
      <c r="A699" s="336" t="s">
        <v>1054</v>
      </c>
      <c r="B699" s="336" t="s">
        <v>1059</v>
      </c>
      <c r="D699" s="336">
        <v>86</v>
      </c>
      <c r="F699" s="418">
        <f t="shared" ref="F699:N699" si="186">F676*F690</f>
        <v>1237.5</v>
      </c>
      <c r="G699" s="418">
        <f t="shared" si="186"/>
        <v>1512.5</v>
      </c>
      <c r="H699" s="418">
        <f t="shared" si="186"/>
        <v>1375</v>
      </c>
      <c r="I699" s="418">
        <f t="shared" si="186"/>
        <v>1254.33</v>
      </c>
      <c r="J699" s="418">
        <f t="shared" si="186"/>
        <v>1393.7</v>
      </c>
      <c r="K699" s="418">
        <f t="shared" si="186"/>
        <v>1254.33</v>
      </c>
      <c r="L699" s="418">
        <f t="shared" si="186"/>
        <v>1393.7</v>
      </c>
      <c r="M699" s="418">
        <f t="shared" si="186"/>
        <v>1393.7</v>
      </c>
      <c r="N699" s="418">
        <f t="shared" si="186"/>
        <v>1393.7</v>
      </c>
      <c r="O699" s="418">
        <f>O676*O690</f>
        <v>1393.7</v>
      </c>
      <c r="P699" s="418">
        <f>P676*P690</f>
        <v>1393.7</v>
      </c>
      <c r="Q699" s="418">
        <f>Q676*Q690</f>
        <v>1393.7</v>
      </c>
      <c r="R699" s="437">
        <f>SUM(F699:Q699)</f>
        <v>16389.560000000001</v>
      </c>
    </row>
    <row r="700" spans="1:18" s="336" customFormat="1" x14ac:dyDescent="0.2">
      <c r="B700" s="336" t="s">
        <v>1047</v>
      </c>
      <c r="F700" s="418"/>
      <c r="G700" s="418"/>
      <c r="H700" s="418"/>
      <c r="I700" s="418"/>
      <c r="J700" s="418"/>
      <c r="K700" s="418"/>
      <c r="L700" s="418"/>
      <c r="M700" s="418"/>
      <c r="N700" s="418"/>
      <c r="O700" s="418"/>
      <c r="P700" s="418"/>
      <c r="Q700" s="418"/>
      <c r="R700" s="437"/>
    </row>
    <row r="701" spans="1:18" s="336" customFormat="1" x14ac:dyDescent="0.2">
      <c r="C701" s="336" t="s">
        <v>1098</v>
      </c>
      <c r="D701" s="336">
        <v>86</v>
      </c>
      <c r="F701" s="418">
        <f t="shared" ref="F701:Q702" si="187">F678*F692</f>
        <v>1710.1928399999999</v>
      </c>
      <c r="G701" s="418">
        <f t="shared" si="187"/>
        <v>1662.2855399999999</v>
      </c>
      <c r="H701" s="418">
        <f t="shared" si="187"/>
        <v>1456.38192</v>
      </c>
      <c r="I701" s="418">
        <f t="shared" si="187"/>
        <v>1683.3126</v>
      </c>
      <c r="J701" s="418">
        <f t="shared" si="187"/>
        <v>1622.6633999999999</v>
      </c>
      <c r="K701" s="418">
        <f t="shared" si="187"/>
        <v>1573.9061999999999</v>
      </c>
      <c r="L701" s="418">
        <f t="shared" si="187"/>
        <v>1416.1389999999999</v>
      </c>
      <c r="M701" s="418">
        <f t="shared" si="187"/>
        <v>1547.5455999999999</v>
      </c>
      <c r="N701" s="418">
        <f t="shared" si="187"/>
        <v>1585.6</v>
      </c>
      <c r="O701" s="418">
        <f t="shared" si="187"/>
        <v>1245.6869999999999</v>
      </c>
      <c r="P701" s="418">
        <f t="shared" si="187"/>
        <v>1833.1517999999999</v>
      </c>
      <c r="Q701" s="418">
        <f t="shared" si="187"/>
        <v>1942.7564</v>
      </c>
      <c r="R701" s="437">
        <f t="shared" ref="R701:R711" si="188">SUM(F701:Q701)</f>
        <v>19279.622299999995</v>
      </c>
    </row>
    <row r="702" spans="1:18" s="336" customFormat="1" x14ac:dyDescent="0.2">
      <c r="C702" s="336" t="s">
        <v>1099</v>
      </c>
      <c r="D702" s="336">
        <v>86</v>
      </c>
      <c r="F702" s="418">
        <f t="shared" si="187"/>
        <v>22817.184210000003</v>
      </c>
      <c r="G702" s="418">
        <f t="shared" si="187"/>
        <v>19329.67758</v>
      </c>
      <c r="H702" s="418">
        <f t="shared" si="187"/>
        <v>8336.6787299999996</v>
      </c>
      <c r="I702" s="418">
        <f t="shared" si="187"/>
        <v>4564.3941000000004</v>
      </c>
      <c r="J702" s="418">
        <f t="shared" si="187"/>
        <v>8077.1061</v>
      </c>
      <c r="K702" s="418">
        <f t="shared" si="187"/>
        <v>10790.363499999999</v>
      </c>
      <c r="L702" s="418">
        <f t="shared" si="187"/>
        <v>6875.2242999999999</v>
      </c>
      <c r="M702" s="418">
        <f t="shared" si="187"/>
        <v>3359.6703000000002</v>
      </c>
      <c r="N702" s="418">
        <f t="shared" si="187"/>
        <v>2549.7003</v>
      </c>
      <c r="O702" s="418">
        <f t="shared" si="187"/>
        <v>3397.0426000000002</v>
      </c>
      <c r="P702" s="418">
        <f t="shared" si="187"/>
        <v>6111.0105000000003</v>
      </c>
      <c r="Q702" s="418">
        <f t="shared" si="187"/>
        <v>7508.8482000000004</v>
      </c>
      <c r="R702" s="437">
        <f t="shared" si="188"/>
        <v>103716.90041999999</v>
      </c>
    </row>
    <row r="703" spans="1:18" x14ac:dyDescent="0.2">
      <c r="A703" s="32" t="s">
        <v>1054</v>
      </c>
      <c r="C703" s="32" t="s">
        <v>1077</v>
      </c>
      <c r="F703" s="365">
        <f t="shared" ref="F703:N703" si="189">SUM(F701:F702)</f>
        <v>24527.377050000003</v>
      </c>
      <c r="G703" s="365">
        <f t="shared" si="189"/>
        <v>20991.96312</v>
      </c>
      <c r="H703" s="365">
        <f t="shared" si="189"/>
        <v>9793.0606499999994</v>
      </c>
      <c r="I703" s="365">
        <f t="shared" si="189"/>
        <v>6247.7067000000006</v>
      </c>
      <c r="J703" s="365">
        <f t="shared" si="189"/>
        <v>9699.7695000000003</v>
      </c>
      <c r="K703" s="365">
        <f t="shared" si="189"/>
        <v>12364.269699999999</v>
      </c>
      <c r="L703" s="365">
        <f t="shared" si="189"/>
        <v>8291.3632999999991</v>
      </c>
      <c r="M703" s="365">
        <f t="shared" si="189"/>
        <v>4907.2159000000001</v>
      </c>
      <c r="N703" s="365">
        <f t="shared" si="189"/>
        <v>4135.3002999999999</v>
      </c>
      <c r="O703" s="365">
        <f>SUM(O701:O702)</f>
        <v>4642.7296000000006</v>
      </c>
      <c r="P703" s="365">
        <f>SUM(P701:P702)</f>
        <v>7944.1623</v>
      </c>
      <c r="Q703" s="365">
        <f>SUM(Q701:Q702)</f>
        <v>9451.6046000000006</v>
      </c>
      <c r="R703" s="365">
        <f t="shared" si="188"/>
        <v>122996.52272000001</v>
      </c>
    </row>
    <row r="704" spans="1:18" x14ac:dyDescent="0.2">
      <c r="A704" s="336" t="s">
        <v>1056</v>
      </c>
      <c r="B704" s="32" t="s">
        <v>1057</v>
      </c>
      <c r="D704" s="32">
        <v>101</v>
      </c>
      <c r="F704" s="364">
        <f t="shared" ref="F704:N704" si="190">F680*F694</f>
        <v>120749.8103</v>
      </c>
      <c r="G704" s="364">
        <f t="shared" si="190"/>
        <v>103062.41498</v>
      </c>
      <c r="H704" s="364">
        <f t="shared" si="190"/>
        <v>47112.174899999998</v>
      </c>
      <c r="I704" s="364">
        <f t="shared" si="190"/>
        <v>28594.69284</v>
      </c>
      <c r="J704" s="364">
        <f t="shared" si="190"/>
        <v>45783.613680000002</v>
      </c>
      <c r="K704" s="364">
        <f t="shared" si="190"/>
        <v>59053.736560000005</v>
      </c>
      <c r="L704" s="364">
        <f t="shared" si="190"/>
        <v>39095.043680000002</v>
      </c>
      <c r="M704" s="418">
        <f t="shared" si="190"/>
        <v>22143.391060000002</v>
      </c>
      <c r="N704" s="364">
        <f t="shared" si="190"/>
        <v>18265.42858</v>
      </c>
      <c r="O704" s="364">
        <f>O680*O694</f>
        <v>21256.275460000001</v>
      </c>
      <c r="P704" s="364">
        <f>P680*P694</f>
        <v>34778.694779999998</v>
      </c>
      <c r="Q704" s="364">
        <f>Q680*Q694</f>
        <v>41693.967080000002</v>
      </c>
      <c r="R704" s="341">
        <f t="shared" si="188"/>
        <v>581589.24389999988</v>
      </c>
    </row>
    <row r="705" spans="1:18" x14ac:dyDescent="0.2">
      <c r="A705" s="32" t="s">
        <v>1054</v>
      </c>
      <c r="B705" s="32" t="s">
        <v>1096</v>
      </c>
      <c r="D705" s="444"/>
      <c r="F705" s="365">
        <f t="shared" ref="F705:N705" si="191">F681*F694</f>
        <v>1114.7825</v>
      </c>
      <c r="G705" s="365">
        <f t="shared" si="191"/>
        <v>951.48949999999991</v>
      </c>
      <c r="H705" s="365">
        <f t="shared" si="191"/>
        <v>434.94749999999999</v>
      </c>
      <c r="I705" s="365">
        <f t="shared" si="191"/>
        <v>267.64626000000004</v>
      </c>
      <c r="J705" s="365">
        <f t="shared" si="191"/>
        <v>428.53452000000004</v>
      </c>
      <c r="K705" s="365">
        <f t="shared" si="191"/>
        <v>552.74284</v>
      </c>
      <c r="L705" s="365">
        <f t="shared" si="191"/>
        <v>365.92952000000002</v>
      </c>
      <c r="M705" s="365">
        <f t="shared" si="191"/>
        <v>207.26209</v>
      </c>
      <c r="N705" s="365">
        <f t="shared" si="191"/>
        <v>170.96437</v>
      </c>
      <c r="O705" s="365">
        <f>O681*O694</f>
        <v>198.95869000000002</v>
      </c>
      <c r="P705" s="365">
        <f>P681*P694</f>
        <v>344.35386</v>
      </c>
      <c r="Q705" s="365">
        <f>Q681*Q694</f>
        <v>412.82396</v>
      </c>
      <c r="R705" s="365">
        <f t="shared" si="188"/>
        <v>5450.4356100000005</v>
      </c>
    </row>
    <row r="706" spans="1:18" x14ac:dyDescent="0.2">
      <c r="B706" s="32" t="s">
        <v>1068</v>
      </c>
      <c r="F706" s="364"/>
      <c r="G706" s="364"/>
      <c r="H706" s="364"/>
      <c r="I706" s="364"/>
      <c r="J706" s="364"/>
      <c r="K706" s="364"/>
      <c r="L706" s="364"/>
      <c r="M706" s="364"/>
      <c r="N706" s="364"/>
      <c r="O706" s="364"/>
      <c r="P706" s="364"/>
      <c r="Q706" s="364"/>
      <c r="R706" s="341">
        <f t="shared" si="188"/>
        <v>0</v>
      </c>
    </row>
    <row r="707" spans="1:18" x14ac:dyDescent="0.2">
      <c r="A707" s="32" t="s">
        <v>1054</v>
      </c>
      <c r="C707" s="32" t="s">
        <v>1069</v>
      </c>
      <c r="D707" s="32">
        <v>86</v>
      </c>
      <c r="F707" s="364">
        <f t="shared" ref="F707:N707" si="192">F683*F695</f>
        <v>139.70000000000002</v>
      </c>
      <c r="G707" s="364">
        <f t="shared" si="192"/>
        <v>150.70000000000002</v>
      </c>
      <c r="H707" s="364">
        <f t="shared" si="192"/>
        <v>145.20000000000002</v>
      </c>
      <c r="I707" s="364">
        <f t="shared" si="192"/>
        <v>146.52000000000001</v>
      </c>
      <c r="J707" s="364">
        <f t="shared" si="192"/>
        <v>146.52000000000001</v>
      </c>
      <c r="K707" s="364">
        <f t="shared" si="192"/>
        <v>146.52000000000001</v>
      </c>
      <c r="L707" s="364">
        <f t="shared" si="192"/>
        <v>146.52000000000001</v>
      </c>
      <c r="M707" s="364">
        <f t="shared" si="192"/>
        <v>146.52000000000001</v>
      </c>
      <c r="N707" s="364">
        <f t="shared" si="192"/>
        <v>146.52000000000001</v>
      </c>
      <c r="O707" s="364">
        <f>O683*O695</f>
        <v>146.52000000000001</v>
      </c>
      <c r="P707" s="364">
        <f>P683*P695</f>
        <v>146.52000000000001</v>
      </c>
      <c r="Q707" s="364">
        <f>Q683*Q695</f>
        <v>146.52000000000001</v>
      </c>
      <c r="R707" s="341">
        <f t="shared" si="188"/>
        <v>1754.28</v>
      </c>
    </row>
    <row r="708" spans="1:18" x14ac:dyDescent="0.2">
      <c r="A708" s="336" t="s">
        <v>1056</v>
      </c>
      <c r="C708" s="32" t="s">
        <v>1070</v>
      </c>
      <c r="D708" s="32">
        <v>101</v>
      </c>
      <c r="F708" s="364">
        <f t="shared" ref="F708:N708" si="193">F684*F695</f>
        <v>133.35</v>
      </c>
      <c r="G708" s="364">
        <f t="shared" si="193"/>
        <v>143.85</v>
      </c>
      <c r="H708" s="364">
        <f t="shared" si="193"/>
        <v>138.6</v>
      </c>
      <c r="I708" s="364">
        <f t="shared" si="193"/>
        <v>138.6</v>
      </c>
      <c r="J708" s="364">
        <f t="shared" si="193"/>
        <v>138.6</v>
      </c>
      <c r="K708" s="364">
        <f t="shared" si="193"/>
        <v>138.6</v>
      </c>
      <c r="L708" s="364">
        <f t="shared" si="193"/>
        <v>138.6</v>
      </c>
      <c r="M708" s="418">
        <f t="shared" si="193"/>
        <v>138.6</v>
      </c>
      <c r="N708" s="364">
        <f t="shared" si="193"/>
        <v>138.6</v>
      </c>
      <c r="O708" s="364">
        <f>O684*O695</f>
        <v>138.6</v>
      </c>
      <c r="P708" s="364">
        <f>P684*P695</f>
        <v>138.6</v>
      </c>
      <c r="Q708" s="364">
        <f>Q684*Q695</f>
        <v>138.6</v>
      </c>
      <c r="R708" s="341">
        <f t="shared" si="188"/>
        <v>1663.1999999999996</v>
      </c>
    </row>
    <row r="709" spans="1:18" x14ac:dyDescent="0.2">
      <c r="C709" s="32" t="s">
        <v>1078</v>
      </c>
      <c r="F709" s="365">
        <f t="shared" ref="F709:N709" si="194">SUM(F707:F708)</f>
        <v>273.05</v>
      </c>
      <c r="G709" s="365">
        <f t="shared" si="194"/>
        <v>294.55</v>
      </c>
      <c r="H709" s="365">
        <f t="shared" si="194"/>
        <v>283.8</v>
      </c>
      <c r="I709" s="365">
        <f t="shared" si="194"/>
        <v>285.12</v>
      </c>
      <c r="J709" s="365">
        <f t="shared" si="194"/>
        <v>285.12</v>
      </c>
      <c r="K709" s="365">
        <f t="shared" si="194"/>
        <v>285.12</v>
      </c>
      <c r="L709" s="365">
        <f t="shared" si="194"/>
        <v>285.12</v>
      </c>
      <c r="M709" s="365">
        <f t="shared" si="194"/>
        <v>285.12</v>
      </c>
      <c r="N709" s="365">
        <f t="shared" si="194"/>
        <v>285.12</v>
      </c>
      <c r="O709" s="365">
        <f>SUM(O707:O708)</f>
        <v>285.12</v>
      </c>
      <c r="P709" s="365">
        <f>SUM(P707:P708)</f>
        <v>285.12</v>
      </c>
      <c r="Q709" s="365">
        <f>SUM(Q707:Q708)</f>
        <v>285.12</v>
      </c>
      <c r="R709" s="365">
        <f t="shared" si="188"/>
        <v>3417.4799999999991</v>
      </c>
    </row>
    <row r="710" spans="1:18" s="336" customFormat="1" x14ac:dyDescent="0.2">
      <c r="A710" s="336" t="s">
        <v>1054</v>
      </c>
      <c r="B710" s="336" t="s">
        <v>1071</v>
      </c>
      <c r="D710" s="336">
        <v>86</v>
      </c>
      <c r="F710" s="447">
        <f>'JKP-3.1c - Data'!C188</f>
        <v>0</v>
      </c>
      <c r="G710" s="447">
        <f>'JKP-3.1c - Data'!D188</f>
        <v>0</v>
      </c>
      <c r="H710" s="447">
        <f>'JKP-3.1c - Data'!E188</f>
        <v>0</v>
      </c>
      <c r="I710" s="447">
        <f>'JKP-3.1c - Data'!F188</f>
        <v>0</v>
      </c>
      <c r="J710" s="447">
        <f>'JKP-3.1c - Data'!G188</f>
        <v>0</v>
      </c>
      <c r="K710" s="447">
        <f>'JKP-3.1c - Data'!H188</f>
        <v>0</v>
      </c>
      <c r="L710" s="447">
        <f>'JKP-3.1c - Data'!I188</f>
        <v>0</v>
      </c>
      <c r="M710" s="447">
        <f>'JKP-3.1c - Data'!J188</f>
        <v>0</v>
      </c>
      <c r="N710" s="447">
        <f>'JKP-3.1c - Data'!K188</f>
        <v>1255.01</v>
      </c>
      <c r="O710" s="447">
        <f>'JKP-3.1c - Data'!L188</f>
        <v>0</v>
      </c>
      <c r="P710" s="447">
        <f>'JKP-3.1c - Data'!M188</f>
        <v>0</v>
      </c>
      <c r="Q710" s="447">
        <f>'JKP-3.1c - Data'!N188</f>
        <v>0</v>
      </c>
      <c r="R710" s="437">
        <f t="shared" si="188"/>
        <v>1255.01</v>
      </c>
    </row>
    <row r="711" spans="1:18" x14ac:dyDescent="0.2">
      <c r="B711" s="32" t="s">
        <v>1079</v>
      </c>
      <c r="F711" s="365">
        <f t="shared" ref="F711:N711" si="195">F704+F708</f>
        <v>120883.1603</v>
      </c>
      <c r="G711" s="365">
        <f t="shared" si="195"/>
        <v>103206.26498000001</v>
      </c>
      <c r="H711" s="365">
        <f t="shared" si="195"/>
        <v>47250.774899999997</v>
      </c>
      <c r="I711" s="365">
        <f t="shared" si="195"/>
        <v>28733.292839999998</v>
      </c>
      <c r="J711" s="365">
        <f t="shared" si="195"/>
        <v>45922.213680000001</v>
      </c>
      <c r="K711" s="365">
        <f t="shared" si="195"/>
        <v>59192.336560000003</v>
      </c>
      <c r="L711" s="365">
        <f t="shared" si="195"/>
        <v>39233.643680000001</v>
      </c>
      <c r="M711" s="365">
        <f t="shared" si="195"/>
        <v>22281.99106</v>
      </c>
      <c r="N711" s="365">
        <f t="shared" si="195"/>
        <v>18404.028579999998</v>
      </c>
      <c r="O711" s="365">
        <f>O704+O708</f>
        <v>21394.875459999999</v>
      </c>
      <c r="P711" s="365">
        <f>P704+P708</f>
        <v>34917.294779999997</v>
      </c>
      <c r="Q711" s="365">
        <f>Q704+Q708</f>
        <v>41832.567080000001</v>
      </c>
      <c r="R711" s="365">
        <f t="shared" si="188"/>
        <v>583252.44390000007</v>
      </c>
    </row>
    <row r="712" spans="1:18" x14ac:dyDescent="0.2">
      <c r="B712" s="32" t="s">
        <v>986</v>
      </c>
      <c r="F712" s="365">
        <f t="shared" ref="F712:N712" si="196">F699+F703+F704+F705+F709+F710</f>
        <v>147902.51984999998</v>
      </c>
      <c r="G712" s="365">
        <f t="shared" si="196"/>
        <v>126812.9176</v>
      </c>
      <c r="H712" s="365">
        <f t="shared" si="196"/>
        <v>58998.983050000003</v>
      </c>
      <c r="I712" s="365">
        <f t="shared" si="196"/>
        <v>36649.495800000004</v>
      </c>
      <c r="J712" s="365">
        <f t="shared" si="196"/>
        <v>57590.737700000005</v>
      </c>
      <c r="K712" s="365">
        <f t="shared" si="196"/>
        <v>73510.199100000013</v>
      </c>
      <c r="L712" s="365">
        <f t="shared" si="196"/>
        <v>49431.156500000005</v>
      </c>
      <c r="M712" s="365">
        <f t="shared" si="196"/>
        <v>28936.689050000001</v>
      </c>
      <c r="N712" s="365">
        <f t="shared" si="196"/>
        <v>25505.523249999998</v>
      </c>
      <c r="O712" s="365">
        <f>O699+O703+O704+O705+O709+O710</f>
        <v>27776.783749999999</v>
      </c>
      <c r="P712" s="365">
        <f>P699+P703+P704+P705+P709+P710</f>
        <v>44746.030940000004</v>
      </c>
      <c r="Q712" s="365">
        <f>Q699+Q703+Q704+Q705+Q709+Q710</f>
        <v>53237.215640000009</v>
      </c>
      <c r="R712" s="365">
        <f>R699+R703+R704+R705+R709+R710</f>
        <v>731098.25222999998</v>
      </c>
    </row>
    <row r="713" spans="1:18" x14ac:dyDescent="0.2">
      <c r="F713" s="364"/>
      <c r="G713" s="364"/>
      <c r="H713" s="364"/>
      <c r="I713" s="364"/>
      <c r="J713" s="364"/>
      <c r="K713" s="364"/>
      <c r="L713" s="364"/>
      <c r="M713" s="364"/>
      <c r="N713" s="364"/>
      <c r="O713" s="364"/>
      <c r="P713" s="364"/>
      <c r="Q713" s="364"/>
      <c r="R713" s="341"/>
    </row>
    <row r="714" spans="1:18" x14ac:dyDescent="0.2">
      <c r="A714" s="32" t="s">
        <v>1058</v>
      </c>
      <c r="B714" s="32" t="s">
        <v>1050</v>
      </c>
      <c r="F714" s="364">
        <f>F686*F694+F695*F687</f>
        <v>115661.34324999999</v>
      </c>
      <c r="G714" s="364">
        <f t="shared" ref="G714:Q714" si="197">G686*G694+G695*G687</f>
        <v>98747.907949999993</v>
      </c>
      <c r="H714" s="364">
        <f t="shared" si="197"/>
        <v>45209.289749999996</v>
      </c>
      <c r="I714" s="364">
        <f t="shared" si="197"/>
        <v>27491.6211</v>
      </c>
      <c r="J714" s="364">
        <f t="shared" si="197"/>
        <v>43938.112199999996</v>
      </c>
      <c r="K714" s="364">
        <f t="shared" si="197"/>
        <v>56635.0674</v>
      </c>
      <c r="L714" s="364">
        <f t="shared" si="197"/>
        <v>37538.4372</v>
      </c>
      <c r="M714" s="364">
        <f t="shared" si="197"/>
        <v>21318.96615</v>
      </c>
      <c r="N714" s="364">
        <f t="shared" si="197"/>
        <v>17608.501949999998</v>
      </c>
      <c r="O714" s="364">
        <f t="shared" si="197"/>
        <v>20470.167149999997</v>
      </c>
      <c r="P714" s="364">
        <f t="shared" si="197"/>
        <v>33406.824659999998</v>
      </c>
      <c r="Q714" s="364">
        <f t="shared" si="197"/>
        <v>40023.072759999995</v>
      </c>
      <c r="R714" s="341">
        <f>SUM(F714:Q714)</f>
        <v>558049.31151999987</v>
      </c>
    </row>
    <row r="715" spans="1:18" x14ac:dyDescent="0.2">
      <c r="F715" s="364"/>
      <c r="G715" s="364"/>
      <c r="H715" s="364"/>
      <c r="I715" s="364"/>
      <c r="J715" s="364"/>
      <c r="K715" s="364"/>
      <c r="L715" s="364"/>
      <c r="M715" s="364"/>
      <c r="N715" s="364"/>
      <c r="O715" s="364"/>
      <c r="P715" s="364"/>
      <c r="Q715" s="364"/>
      <c r="R715" s="341"/>
    </row>
    <row r="716" spans="1:18" x14ac:dyDescent="0.2">
      <c r="B716" s="276" t="s">
        <v>1112</v>
      </c>
      <c r="C716" s="276"/>
    </row>
    <row r="717" spans="1:18" x14ac:dyDescent="0.2">
      <c r="B717" s="276" t="s">
        <v>5</v>
      </c>
      <c r="C717" s="276"/>
    </row>
    <row r="718" spans="1:18" x14ac:dyDescent="0.2">
      <c r="B718" s="32" t="s">
        <v>1059</v>
      </c>
      <c r="D718" s="32">
        <v>87</v>
      </c>
      <c r="E718" s="32" t="s">
        <v>976</v>
      </c>
      <c r="F718" s="413">
        <f t="shared" ref="F718:N718" si="198">F359</f>
        <v>537.12</v>
      </c>
      <c r="G718" s="413">
        <f t="shared" si="198"/>
        <v>537.12</v>
      </c>
      <c r="H718" s="413">
        <f t="shared" si="198"/>
        <v>537.12</v>
      </c>
      <c r="I718" s="413">
        <f t="shared" si="198"/>
        <v>544.91</v>
      </c>
      <c r="J718" s="413">
        <f t="shared" si="198"/>
        <v>544.91</v>
      </c>
      <c r="K718" s="413">
        <f t="shared" si="198"/>
        <v>544.91</v>
      </c>
      <c r="L718" s="413">
        <f t="shared" si="198"/>
        <v>544.91</v>
      </c>
      <c r="M718" s="413">
        <f t="shared" si="198"/>
        <v>544.91</v>
      </c>
      <c r="N718" s="413">
        <f t="shared" si="198"/>
        <v>544.91</v>
      </c>
      <c r="O718" s="413">
        <f>O359</f>
        <v>544.91</v>
      </c>
      <c r="P718" s="413">
        <f>P359</f>
        <v>544.91</v>
      </c>
      <c r="Q718" s="413">
        <f>Q359</f>
        <v>544.91</v>
      </c>
      <c r="R718" s="439"/>
    </row>
    <row r="719" spans="1:18" x14ac:dyDescent="0.2">
      <c r="C719" s="32" t="s">
        <v>1047</v>
      </c>
      <c r="F719" s="393"/>
      <c r="G719" s="393"/>
      <c r="H719" s="393"/>
      <c r="I719" s="393"/>
      <c r="J719" s="393"/>
      <c r="K719" s="393"/>
      <c r="L719" s="393"/>
      <c r="M719" s="393"/>
      <c r="N719" s="393"/>
      <c r="O719" s="393"/>
      <c r="P719" s="393"/>
      <c r="Q719" s="393"/>
      <c r="R719" s="394"/>
    </row>
    <row r="720" spans="1:18" x14ac:dyDescent="0.2">
      <c r="C720" s="32" t="s">
        <v>1086</v>
      </c>
      <c r="D720" s="32">
        <v>87</v>
      </c>
      <c r="E720" s="32" t="s">
        <v>957</v>
      </c>
      <c r="F720" s="393">
        <f t="shared" ref="F720:Q727" si="199">F361</f>
        <v>0.13618</v>
      </c>
      <c r="G720" s="393">
        <f t="shared" si="199"/>
        <v>0.13618</v>
      </c>
      <c r="H720" s="393">
        <f t="shared" si="199"/>
        <v>0.13618</v>
      </c>
      <c r="I720" s="393">
        <f t="shared" si="199"/>
        <v>0.13815</v>
      </c>
      <c r="J720" s="393">
        <f t="shared" si="199"/>
        <v>0.13815</v>
      </c>
      <c r="K720" s="393">
        <f t="shared" si="199"/>
        <v>0.13815</v>
      </c>
      <c r="L720" s="393">
        <f t="shared" si="199"/>
        <v>0.13815</v>
      </c>
      <c r="M720" s="393">
        <f t="shared" si="199"/>
        <v>0.13815</v>
      </c>
      <c r="N720" s="393">
        <f t="shared" si="199"/>
        <v>0.13815</v>
      </c>
      <c r="O720" s="393">
        <f t="shared" si="199"/>
        <v>0.13815</v>
      </c>
      <c r="P720" s="393">
        <f t="shared" si="199"/>
        <v>0.13815</v>
      </c>
      <c r="Q720" s="393">
        <f t="shared" si="199"/>
        <v>0.13815</v>
      </c>
      <c r="R720" s="394"/>
    </row>
    <row r="721" spans="1:18" x14ac:dyDescent="0.2">
      <c r="C721" s="32" t="s">
        <v>1087</v>
      </c>
      <c r="D721" s="32">
        <v>87</v>
      </c>
      <c r="E721" s="32" t="s">
        <v>957</v>
      </c>
      <c r="F721" s="393">
        <f t="shared" si="199"/>
        <v>8.3140000000000006E-2</v>
      </c>
      <c r="G721" s="393">
        <f t="shared" si="199"/>
        <v>8.3140000000000006E-2</v>
      </c>
      <c r="H721" s="393">
        <f t="shared" si="199"/>
        <v>8.3140000000000006E-2</v>
      </c>
      <c r="I721" s="393">
        <f t="shared" si="199"/>
        <v>8.4349999999999994E-2</v>
      </c>
      <c r="J721" s="393">
        <f t="shared" si="199"/>
        <v>8.4349999999999994E-2</v>
      </c>
      <c r="K721" s="393">
        <f t="shared" si="199"/>
        <v>8.4349999999999994E-2</v>
      </c>
      <c r="L721" s="393">
        <f t="shared" si="199"/>
        <v>8.4349999999999994E-2</v>
      </c>
      <c r="M721" s="393">
        <f t="shared" si="199"/>
        <v>8.4349999999999994E-2</v>
      </c>
      <c r="N721" s="393">
        <f t="shared" si="199"/>
        <v>8.4349999999999994E-2</v>
      </c>
      <c r="O721" s="393">
        <f t="shared" si="199"/>
        <v>8.4349999999999994E-2</v>
      </c>
      <c r="P721" s="393">
        <f t="shared" si="199"/>
        <v>8.4349999999999994E-2</v>
      </c>
      <c r="Q721" s="393">
        <f t="shared" si="199"/>
        <v>8.4349999999999994E-2</v>
      </c>
      <c r="R721" s="394"/>
    </row>
    <row r="722" spans="1:18" x14ac:dyDescent="0.2">
      <c r="C722" s="32" t="s">
        <v>1090</v>
      </c>
      <c r="D722" s="32">
        <v>87</v>
      </c>
      <c r="E722" s="32" t="s">
        <v>957</v>
      </c>
      <c r="F722" s="393">
        <f t="shared" si="199"/>
        <v>5.3679999999999999E-2</v>
      </c>
      <c r="G722" s="393">
        <f t="shared" si="199"/>
        <v>5.3679999999999999E-2</v>
      </c>
      <c r="H722" s="393">
        <f t="shared" si="199"/>
        <v>5.3679999999999999E-2</v>
      </c>
      <c r="I722" s="393">
        <f t="shared" si="199"/>
        <v>5.4460000000000001E-2</v>
      </c>
      <c r="J722" s="393">
        <f t="shared" si="199"/>
        <v>5.4460000000000001E-2</v>
      </c>
      <c r="K722" s="393">
        <f t="shared" si="199"/>
        <v>5.4460000000000001E-2</v>
      </c>
      <c r="L722" s="393">
        <f t="shared" si="199"/>
        <v>5.4460000000000001E-2</v>
      </c>
      <c r="M722" s="393">
        <f t="shared" si="199"/>
        <v>5.4460000000000001E-2</v>
      </c>
      <c r="N722" s="393">
        <f t="shared" si="199"/>
        <v>5.4460000000000001E-2</v>
      </c>
      <c r="O722" s="393">
        <f t="shared" si="199"/>
        <v>5.4460000000000001E-2</v>
      </c>
      <c r="P722" s="393">
        <f t="shared" si="199"/>
        <v>5.4460000000000001E-2</v>
      </c>
      <c r="Q722" s="393">
        <f t="shared" si="199"/>
        <v>5.4460000000000001E-2</v>
      </c>
      <c r="R722" s="394"/>
    </row>
    <row r="723" spans="1:18" x14ac:dyDescent="0.2">
      <c r="C723" s="32" t="s">
        <v>1091</v>
      </c>
      <c r="D723" s="32">
        <v>87</v>
      </c>
      <c r="E723" s="32" t="s">
        <v>957</v>
      </c>
      <c r="F723" s="393">
        <f t="shared" si="199"/>
        <v>3.5189999999999999E-2</v>
      </c>
      <c r="G723" s="393">
        <f t="shared" si="199"/>
        <v>3.5189999999999999E-2</v>
      </c>
      <c r="H723" s="393">
        <f t="shared" si="199"/>
        <v>3.5189999999999999E-2</v>
      </c>
      <c r="I723" s="393">
        <f t="shared" si="199"/>
        <v>3.5700000000000003E-2</v>
      </c>
      <c r="J723" s="393">
        <f t="shared" si="199"/>
        <v>3.5700000000000003E-2</v>
      </c>
      <c r="K723" s="393">
        <f t="shared" si="199"/>
        <v>3.5700000000000003E-2</v>
      </c>
      <c r="L723" s="393">
        <f t="shared" si="199"/>
        <v>3.5700000000000003E-2</v>
      </c>
      <c r="M723" s="393">
        <f t="shared" si="199"/>
        <v>3.5700000000000003E-2</v>
      </c>
      <c r="N723" s="393">
        <f t="shared" si="199"/>
        <v>3.5700000000000003E-2</v>
      </c>
      <c r="O723" s="393">
        <f t="shared" si="199"/>
        <v>3.5700000000000003E-2</v>
      </c>
      <c r="P723" s="393">
        <f t="shared" si="199"/>
        <v>3.5700000000000003E-2</v>
      </c>
      <c r="Q723" s="393">
        <f t="shared" si="199"/>
        <v>3.5700000000000003E-2</v>
      </c>
      <c r="R723" s="394"/>
    </row>
    <row r="724" spans="1:18" x14ac:dyDescent="0.2">
      <c r="C724" s="32" t="s">
        <v>1092</v>
      </c>
      <c r="D724" s="32">
        <v>87</v>
      </c>
      <c r="E724" s="32" t="s">
        <v>957</v>
      </c>
      <c r="F724" s="393">
        <f t="shared" si="199"/>
        <v>2.5919999999999999E-2</v>
      </c>
      <c r="G724" s="393">
        <f t="shared" si="199"/>
        <v>2.5919999999999999E-2</v>
      </c>
      <c r="H724" s="393">
        <f t="shared" si="199"/>
        <v>2.5919999999999999E-2</v>
      </c>
      <c r="I724" s="393">
        <f t="shared" si="199"/>
        <v>2.63E-2</v>
      </c>
      <c r="J724" s="393">
        <f t="shared" si="199"/>
        <v>2.63E-2</v>
      </c>
      <c r="K724" s="393">
        <f t="shared" si="199"/>
        <v>2.63E-2</v>
      </c>
      <c r="L724" s="393">
        <f t="shared" si="199"/>
        <v>2.63E-2</v>
      </c>
      <c r="M724" s="393">
        <f t="shared" si="199"/>
        <v>2.63E-2</v>
      </c>
      <c r="N724" s="393">
        <f t="shared" si="199"/>
        <v>2.63E-2</v>
      </c>
      <c r="O724" s="393">
        <f t="shared" si="199"/>
        <v>2.63E-2</v>
      </c>
      <c r="P724" s="393">
        <f t="shared" si="199"/>
        <v>2.63E-2</v>
      </c>
      <c r="Q724" s="393">
        <f t="shared" si="199"/>
        <v>2.63E-2</v>
      </c>
      <c r="R724" s="394"/>
    </row>
    <row r="725" spans="1:18" x14ac:dyDescent="0.2">
      <c r="C725" s="32" t="s">
        <v>1093</v>
      </c>
      <c r="D725" s="32">
        <v>87</v>
      </c>
      <c r="E725" s="32" t="s">
        <v>957</v>
      </c>
      <c r="F725" s="393">
        <f t="shared" si="199"/>
        <v>2.0469999999999999E-2</v>
      </c>
      <c r="G725" s="393">
        <f t="shared" si="199"/>
        <v>2.0469999999999999E-2</v>
      </c>
      <c r="H725" s="393">
        <f t="shared" si="199"/>
        <v>2.0469999999999999E-2</v>
      </c>
      <c r="I725" s="393">
        <f t="shared" si="199"/>
        <v>2.077E-2</v>
      </c>
      <c r="J725" s="393">
        <f t="shared" si="199"/>
        <v>2.077E-2</v>
      </c>
      <c r="K725" s="393">
        <f t="shared" si="199"/>
        <v>2.077E-2</v>
      </c>
      <c r="L725" s="393">
        <f t="shared" si="199"/>
        <v>2.077E-2</v>
      </c>
      <c r="M725" s="393">
        <f t="shared" si="199"/>
        <v>2.077E-2</v>
      </c>
      <c r="N725" s="393">
        <f t="shared" si="199"/>
        <v>2.077E-2</v>
      </c>
      <c r="O725" s="393">
        <f t="shared" si="199"/>
        <v>2.077E-2</v>
      </c>
      <c r="P725" s="393">
        <f t="shared" si="199"/>
        <v>2.077E-2</v>
      </c>
      <c r="Q725" s="393">
        <f t="shared" si="199"/>
        <v>2.077E-2</v>
      </c>
      <c r="R725" s="394"/>
    </row>
    <row r="726" spans="1:18" x14ac:dyDescent="0.2">
      <c r="A726" s="336"/>
      <c r="B726" s="32" t="s">
        <v>1067</v>
      </c>
      <c r="D726" s="32">
        <v>101</v>
      </c>
      <c r="E726" s="32" t="s">
        <v>957</v>
      </c>
      <c r="F726" s="393">
        <f t="shared" si="199"/>
        <v>0.69859000000000004</v>
      </c>
      <c r="G726" s="393">
        <f t="shared" si="199"/>
        <v>0.69859000000000004</v>
      </c>
      <c r="H726" s="393">
        <f t="shared" si="199"/>
        <v>0.69859000000000004</v>
      </c>
      <c r="I726" s="393">
        <f t="shared" si="199"/>
        <v>0.69859000000000004</v>
      </c>
      <c r="J726" s="393">
        <f t="shared" si="199"/>
        <v>0.69859000000000004</v>
      </c>
      <c r="K726" s="393">
        <f t="shared" si="199"/>
        <v>0.69859000000000004</v>
      </c>
      <c r="L726" s="393">
        <f t="shared" si="199"/>
        <v>0.69859000000000004</v>
      </c>
      <c r="M726" s="393">
        <f t="shared" si="199"/>
        <v>0.69859000000000004</v>
      </c>
      <c r="N726" s="393">
        <f t="shared" si="199"/>
        <v>0.69859000000000004</v>
      </c>
      <c r="O726" s="393">
        <f t="shared" si="199"/>
        <v>0.69859000000000004</v>
      </c>
      <c r="P726" s="393">
        <f t="shared" si="199"/>
        <v>0.65951000000000004</v>
      </c>
      <c r="Q726" s="393">
        <f t="shared" si="199"/>
        <v>0.65951000000000004</v>
      </c>
      <c r="R726" s="394"/>
    </row>
    <row r="727" spans="1:18" x14ac:dyDescent="0.2">
      <c r="B727" s="32" t="s">
        <v>1096</v>
      </c>
      <c r="D727" s="444">
        <v>87</v>
      </c>
      <c r="E727" s="32" t="s">
        <v>957</v>
      </c>
      <c r="F727" s="393">
        <f t="shared" si="199"/>
        <v>5.0000000000000001E-3</v>
      </c>
      <c r="G727" s="393">
        <f t="shared" si="199"/>
        <v>5.0000000000000001E-3</v>
      </c>
      <c r="H727" s="393">
        <f t="shared" si="199"/>
        <v>5.0000000000000001E-3</v>
      </c>
      <c r="I727" s="393">
        <f t="shared" si="199"/>
        <v>5.0699999999999999E-3</v>
      </c>
      <c r="J727" s="393">
        <f t="shared" si="199"/>
        <v>5.0699999999999999E-3</v>
      </c>
      <c r="K727" s="393">
        <f t="shared" si="199"/>
        <v>5.0699999999999999E-3</v>
      </c>
      <c r="L727" s="393">
        <f t="shared" si="199"/>
        <v>5.0699999999999999E-3</v>
      </c>
      <c r="M727" s="393">
        <f t="shared" si="199"/>
        <v>5.0699999999999999E-3</v>
      </c>
      <c r="N727" s="393">
        <f t="shared" si="199"/>
        <v>5.0699999999999999E-3</v>
      </c>
      <c r="O727" s="393">
        <f t="shared" si="199"/>
        <v>5.0699999999999999E-3</v>
      </c>
      <c r="P727" s="393">
        <f t="shared" si="199"/>
        <v>5.0699999999999999E-3</v>
      </c>
      <c r="Q727" s="393">
        <f t="shared" si="199"/>
        <v>5.0699999999999999E-3</v>
      </c>
      <c r="R727" s="394"/>
    </row>
    <row r="728" spans="1:18" x14ac:dyDescent="0.2">
      <c r="B728" s="32" t="s">
        <v>1068</v>
      </c>
      <c r="F728" s="394"/>
      <c r="G728" s="394"/>
      <c r="H728" s="394"/>
      <c r="I728" s="394"/>
      <c r="J728" s="394"/>
      <c r="K728" s="394"/>
      <c r="L728" s="394"/>
      <c r="M728" s="394"/>
      <c r="N728" s="394"/>
      <c r="O728" s="394"/>
      <c r="P728" s="394"/>
      <c r="Q728" s="394"/>
      <c r="R728" s="394"/>
    </row>
    <row r="729" spans="1:18" x14ac:dyDescent="0.2">
      <c r="C729" s="32" t="s">
        <v>1069</v>
      </c>
      <c r="D729" s="32">
        <v>87</v>
      </c>
      <c r="E729" s="32" t="s">
        <v>957</v>
      </c>
      <c r="F729" s="454">
        <f t="shared" ref="F729:Q730" si="200">F370</f>
        <v>1.1000000000000001</v>
      </c>
      <c r="G729" s="454">
        <f t="shared" si="200"/>
        <v>1.1000000000000001</v>
      </c>
      <c r="H729" s="454">
        <f t="shared" si="200"/>
        <v>1.1000000000000001</v>
      </c>
      <c r="I729" s="454">
        <f t="shared" si="200"/>
        <v>1.1100000000000001</v>
      </c>
      <c r="J729" s="454">
        <f t="shared" si="200"/>
        <v>1.1100000000000001</v>
      </c>
      <c r="K729" s="454">
        <f t="shared" si="200"/>
        <v>1.1100000000000001</v>
      </c>
      <c r="L729" s="454">
        <f t="shared" si="200"/>
        <v>1.1100000000000001</v>
      </c>
      <c r="M729" s="454">
        <f t="shared" si="200"/>
        <v>1.1100000000000001</v>
      </c>
      <c r="N729" s="454">
        <f t="shared" si="200"/>
        <v>1.1100000000000001</v>
      </c>
      <c r="O729" s="454">
        <f t="shared" si="200"/>
        <v>1.1100000000000001</v>
      </c>
      <c r="P729" s="454">
        <f t="shared" si="200"/>
        <v>1.1100000000000001</v>
      </c>
      <c r="Q729" s="454">
        <f t="shared" si="200"/>
        <v>1.1100000000000001</v>
      </c>
      <c r="R729" s="394"/>
    </row>
    <row r="730" spans="1:18" x14ac:dyDescent="0.2">
      <c r="A730" s="336"/>
      <c r="C730" s="32" t="s">
        <v>1070</v>
      </c>
      <c r="D730" s="32">
        <v>101</v>
      </c>
      <c r="E730" s="32" t="s">
        <v>957</v>
      </c>
      <c r="F730" s="413">
        <f t="shared" si="200"/>
        <v>1.05</v>
      </c>
      <c r="G730" s="413">
        <f t="shared" si="200"/>
        <v>1.05</v>
      </c>
      <c r="H730" s="413">
        <f t="shared" si="200"/>
        <v>1.05</v>
      </c>
      <c r="I730" s="413">
        <f t="shared" si="200"/>
        <v>1.05</v>
      </c>
      <c r="J730" s="413">
        <f t="shared" si="200"/>
        <v>1.05</v>
      </c>
      <c r="K730" s="413">
        <f t="shared" si="200"/>
        <v>1.05</v>
      </c>
      <c r="L730" s="413">
        <f t="shared" si="200"/>
        <v>1.05</v>
      </c>
      <c r="M730" s="413">
        <f t="shared" si="200"/>
        <v>1.05</v>
      </c>
      <c r="N730" s="413">
        <f t="shared" si="200"/>
        <v>1.05</v>
      </c>
      <c r="O730" s="413">
        <f t="shared" si="200"/>
        <v>1.05</v>
      </c>
      <c r="P730" s="413">
        <f t="shared" si="200"/>
        <v>1.05</v>
      </c>
      <c r="Q730" s="413">
        <f t="shared" si="200"/>
        <v>1.05</v>
      </c>
      <c r="R730" s="394"/>
    </row>
    <row r="731" spans="1:18" s="336" customFormat="1" x14ac:dyDescent="0.2">
      <c r="B731" s="336" t="s">
        <v>1071</v>
      </c>
      <c r="D731" s="336">
        <v>87</v>
      </c>
      <c r="E731" s="336" t="s">
        <v>67</v>
      </c>
      <c r="F731" s="450"/>
      <c r="G731" s="450"/>
      <c r="H731" s="442"/>
      <c r="I731" s="450"/>
      <c r="J731" s="450"/>
      <c r="K731" s="450"/>
      <c r="L731" s="450"/>
      <c r="M731" s="450"/>
      <c r="N731" s="450"/>
      <c r="O731" s="450"/>
      <c r="P731" s="450"/>
      <c r="Q731" s="450"/>
      <c r="R731" s="441"/>
    </row>
    <row r="732" spans="1:18" s="336" customFormat="1" x14ac:dyDescent="0.2">
      <c r="B732" s="336" t="s">
        <v>1050</v>
      </c>
      <c r="F732" s="393">
        <f>F373</f>
        <v>0.66842000000000001</v>
      </c>
      <c r="G732" s="393">
        <f t="shared" ref="G732:Q733" si="201">G373</f>
        <v>0.66842000000000001</v>
      </c>
      <c r="H732" s="393">
        <f t="shared" si="201"/>
        <v>0.66842000000000001</v>
      </c>
      <c r="I732" s="393">
        <f t="shared" si="201"/>
        <v>0.66842000000000001</v>
      </c>
      <c r="J732" s="393">
        <f t="shared" si="201"/>
        <v>0.66842000000000001</v>
      </c>
      <c r="K732" s="393">
        <f t="shared" si="201"/>
        <v>0.66842000000000001</v>
      </c>
      <c r="L732" s="393">
        <f t="shared" si="201"/>
        <v>0.66842000000000001</v>
      </c>
      <c r="M732" s="393">
        <f t="shared" si="201"/>
        <v>0.66842000000000001</v>
      </c>
      <c r="N732" s="393">
        <f t="shared" si="201"/>
        <v>0.66842000000000001</v>
      </c>
      <c r="O732" s="393">
        <f t="shared" si="201"/>
        <v>0.66842000000000001</v>
      </c>
      <c r="P732" s="393">
        <f t="shared" si="201"/>
        <v>0.63099000000000005</v>
      </c>
      <c r="Q732" s="393">
        <f t="shared" si="201"/>
        <v>0.63099000000000005</v>
      </c>
      <c r="R732" s="441"/>
    </row>
    <row r="733" spans="1:18" s="336" customFormat="1" x14ac:dyDescent="0.2">
      <c r="B733" s="336" t="s">
        <v>1072</v>
      </c>
      <c r="F733" s="454">
        <f>F374</f>
        <v>1</v>
      </c>
      <c r="G733" s="454">
        <f t="shared" si="201"/>
        <v>1</v>
      </c>
      <c r="H733" s="454">
        <f t="shared" si="201"/>
        <v>1</v>
      </c>
      <c r="I733" s="454">
        <f t="shared" si="201"/>
        <v>1</v>
      </c>
      <c r="J733" s="454">
        <f t="shared" si="201"/>
        <v>1</v>
      </c>
      <c r="K733" s="454">
        <f t="shared" si="201"/>
        <v>1</v>
      </c>
      <c r="L733" s="454">
        <f t="shared" si="201"/>
        <v>1</v>
      </c>
      <c r="M733" s="454">
        <f t="shared" si="201"/>
        <v>1</v>
      </c>
      <c r="N733" s="454">
        <f t="shared" si="201"/>
        <v>1</v>
      </c>
      <c r="O733" s="454">
        <f t="shared" si="201"/>
        <v>1</v>
      </c>
      <c r="P733" s="454">
        <f t="shared" si="201"/>
        <v>1</v>
      </c>
      <c r="Q733" s="454">
        <f t="shared" si="201"/>
        <v>1</v>
      </c>
      <c r="R733" s="441"/>
    </row>
    <row r="734" spans="1:18" s="336" customFormat="1" x14ac:dyDescent="0.2"/>
    <row r="735" spans="1:18" s="336" customFormat="1" x14ac:dyDescent="0.2">
      <c r="B735" s="182" t="s">
        <v>982</v>
      </c>
    </row>
    <row r="736" spans="1:18" s="336" customFormat="1" x14ac:dyDescent="0.2">
      <c r="B736" s="336" t="s">
        <v>67</v>
      </c>
      <c r="E736" s="336" t="s">
        <v>67</v>
      </c>
      <c r="F736" s="421">
        <f>'JKP-3.1c - Data'!C154</f>
        <v>1</v>
      </c>
      <c r="G736" s="421">
        <f>'JKP-3.1c - Data'!D154</f>
        <v>1</v>
      </c>
      <c r="H736" s="421">
        <f>'JKP-3.1c - Data'!E154</f>
        <v>2</v>
      </c>
      <c r="I736" s="421">
        <f>'JKP-3.1c - Data'!F154</f>
        <v>0</v>
      </c>
      <c r="J736" s="421">
        <f>'JKP-3.1c - Data'!G154</f>
        <v>1</v>
      </c>
      <c r="K736" s="421">
        <f>'JKP-3.1c - Data'!H154</f>
        <v>2</v>
      </c>
      <c r="L736" s="421">
        <f>'JKP-3.1c - Data'!I154</f>
        <v>1</v>
      </c>
      <c r="M736" s="421">
        <f>'JKP-3.1c - Data'!J154</f>
        <v>0</v>
      </c>
      <c r="N736" s="421">
        <f>'JKP-3.1c - Data'!K154</f>
        <v>2</v>
      </c>
      <c r="O736" s="421">
        <f>'JKP-3.1c - Data'!L154</f>
        <v>1</v>
      </c>
      <c r="P736" s="421">
        <f>'JKP-3.1c - Data'!M154</f>
        <v>0</v>
      </c>
      <c r="Q736" s="421">
        <f>'JKP-3.1c - Data'!N154</f>
        <v>1</v>
      </c>
      <c r="R736" s="378">
        <f>SUM(F736:Q736)</f>
        <v>12</v>
      </c>
    </row>
    <row r="737" spans="1:18" s="336" customFormat="1" x14ac:dyDescent="0.2">
      <c r="B737" s="336" t="s">
        <v>76</v>
      </c>
      <c r="F737" s="380"/>
      <c r="G737" s="380"/>
      <c r="H737" s="380"/>
      <c r="I737" s="380"/>
      <c r="J737" s="380"/>
      <c r="K737" s="380"/>
      <c r="L737" s="380"/>
      <c r="M737" s="380"/>
      <c r="N737" s="380"/>
      <c r="O737" s="380"/>
      <c r="P737" s="380"/>
      <c r="Q737" s="380"/>
      <c r="R737" s="378"/>
    </row>
    <row r="738" spans="1:18" s="336" customFormat="1" x14ac:dyDescent="0.2">
      <c r="C738" s="336" t="s">
        <v>1086</v>
      </c>
      <c r="E738" s="336" t="s">
        <v>10</v>
      </c>
      <c r="F738" s="380">
        <v>25000</v>
      </c>
      <c r="G738" s="380">
        <v>25000</v>
      </c>
      <c r="H738" s="380">
        <v>25000</v>
      </c>
      <c r="I738" s="380">
        <v>25000</v>
      </c>
      <c r="J738" s="380">
        <v>25000</v>
      </c>
      <c r="K738" s="380">
        <v>25000</v>
      </c>
      <c r="L738" s="380">
        <v>25000</v>
      </c>
      <c r="M738" s="380">
        <v>25000</v>
      </c>
      <c r="N738" s="380">
        <v>25000</v>
      </c>
      <c r="O738" s="380">
        <v>25000</v>
      </c>
      <c r="P738" s="380">
        <v>25000</v>
      </c>
      <c r="Q738" s="380">
        <v>25000</v>
      </c>
      <c r="R738" s="378">
        <f t="shared" ref="R738:R743" si="202">SUM(F738:Q738)</f>
        <v>300000</v>
      </c>
    </row>
    <row r="739" spans="1:18" s="336" customFormat="1" x14ac:dyDescent="0.2">
      <c r="C739" s="336" t="s">
        <v>1087</v>
      </c>
      <c r="E739" s="336" t="s">
        <v>10</v>
      </c>
      <c r="F739" s="380">
        <v>25000</v>
      </c>
      <c r="G739" s="380">
        <v>25000</v>
      </c>
      <c r="H739" s="380">
        <v>25000</v>
      </c>
      <c r="I739" s="380">
        <v>25000</v>
      </c>
      <c r="J739" s="380">
        <v>25000</v>
      </c>
      <c r="K739" s="380">
        <v>25000</v>
      </c>
      <c r="L739" s="380">
        <v>25000</v>
      </c>
      <c r="M739" s="380">
        <v>25000</v>
      </c>
      <c r="N739" s="380">
        <v>25000</v>
      </c>
      <c r="O739" s="380">
        <v>25000</v>
      </c>
      <c r="P739" s="380">
        <v>25000</v>
      </c>
      <c r="Q739" s="380">
        <v>25000</v>
      </c>
      <c r="R739" s="378">
        <f t="shared" si="202"/>
        <v>300000</v>
      </c>
    </row>
    <row r="740" spans="1:18" s="336" customFormat="1" x14ac:dyDescent="0.2">
      <c r="C740" s="336" t="s">
        <v>1090</v>
      </c>
      <c r="E740" s="336" t="s">
        <v>10</v>
      </c>
      <c r="F740" s="380">
        <v>33770</v>
      </c>
      <c r="G740" s="380">
        <v>50000</v>
      </c>
      <c r="H740" s="380">
        <v>50000</v>
      </c>
      <c r="I740" s="380">
        <v>50000</v>
      </c>
      <c r="J740" s="380">
        <v>50000</v>
      </c>
      <c r="K740" s="380">
        <v>50000</v>
      </c>
      <c r="L740" s="380">
        <v>50000</v>
      </c>
      <c r="M740" s="380">
        <v>50000</v>
      </c>
      <c r="N740" s="380">
        <v>50000</v>
      </c>
      <c r="O740" s="380">
        <v>50000</v>
      </c>
      <c r="P740" s="380">
        <v>50000</v>
      </c>
      <c r="Q740" s="380">
        <v>50000</v>
      </c>
      <c r="R740" s="378">
        <f t="shared" si="202"/>
        <v>583770</v>
      </c>
    </row>
    <row r="741" spans="1:18" s="336" customFormat="1" x14ac:dyDescent="0.2">
      <c r="C741" s="336" t="s">
        <v>1091</v>
      </c>
      <c r="E741" s="336" t="s">
        <v>10</v>
      </c>
      <c r="F741" s="380">
        <v>0</v>
      </c>
      <c r="G741" s="380">
        <v>15393</v>
      </c>
      <c r="H741" s="380">
        <v>18389</v>
      </c>
      <c r="I741" s="380">
        <v>48227</v>
      </c>
      <c r="J741" s="380">
        <v>72767</v>
      </c>
      <c r="K741" s="380">
        <v>30945</v>
      </c>
      <c r="L741" s="380">
        <v>5034</v>
      </c>
      <c r="M741" s="380">
        <v>53481</v>
      </c>
      <c r="N741" s="380">
        <v>100000</v>
      </c>
      <c r="O741" s="380">
        <v>100000</v>
      </c>
      <c r="P741" s="380">
        <v>100000</v>
      </c>
      <c r="Q741" s="380">
        <v>36423</v>
      </c>
      <c r="R741" s="378">
        <f t="shared" si="202"/>
        <v>580659</v>
      </c>
    </row>
    <row r="742" spans="1:18" s="336" customFormat="1" x14ac:dyDescent="0.2">
      <c r="C742" s="336" t="s">
        <v>1092</v>
      </c>
      <c r="E742" s="336" t="s">
        <v>10</v>
      </c>
      <c r="F742" s="380">
        <v>0</v>
      </c>
      <c r="G742" s="380">
        <v>0</v>
      </c>
      <c r="H742" s="380">
        <v>0</v>
      </c>
      <c r="I742" s="380">
        <v>0</v>
      </c>
      <c r="J742" s="380">
        <v>0</v>
      </c>
      <c r="K742" s="380">
        <v>0</v>
      </c>
      <c r="L742" s="380">
        <v>0</v>
      </c>
      <c r="M742" s="380">
        <v>0</v>
      </c>
      <c r="N742" s="380">
        <v>237</v>
      </c>
      <c r="O742" s="380">
        <v>22364</v>
      </c>
      <c r="P742" s="380">
        <v>2008</v>
      </c>
      <c r="Q742" s="380">
        <v>0</v>
      </c>
      <c r="R742" s="378">
        <f t="shared" si="202"/>
        <v>24609</v>
      </c>
    </row>
    <row r="743" spans="1:18" s="336" customFormat="1" x14ac:dyDescent="0.2">
      <c r="C743" s="336" t="s">
        <v>1093</v>
      </c>
      <c r="E743" s="336" t="s">
        <v>10</v>
      </c>
      <c r="F743" s="378">
        <f t="shared" ref="F743:N743" si="203">F744-SUM(F738:F742)</f>
        <v>0</v>
      </c>
      <c r="G743" s="378">
        <f t="shared" si="203"/>
        <v>0</v>
      </c>
      <c r="H743" s="378">
        <f t="shared" si="203"/>
        <v>0</v>
      </c>
      <c r="I743" s="378">
        <f t="shared" si="203"/>
        <v>0</v>
      </c>
      <c r="J743" s="378">
        <f t="shared" si="203"/>
        <v>0</v>
      </c>
      <c r="K743" s="378">
        <f t="shared" si="203"/>
        <v>0</v>
      </c>
      <c r="L743" s="378">
        <f t="shared" si="203"/>
        <v>0</v>
      </c>
      <c r="M743" s="378">
        <f t="shared" si="203"/>
        <v>0</v>
      </c>
      <c r="N743" s="378">
        <f t="shared" si="203"/>
        <v>0</v>
      </c>
      <c r="O743" s="378">
        <f>O744-SUM(O738:O742)</f>
        <v>0</v>
      </c>
      <c r="P743" s="378">
        <f>P744-SUM(P738:P742)</f>
        <v>0</v>
      </c>
      <c r="Q743" s="378">
        <f>Q744-SUM(Q738:Q742)</f>
        <v>0</v>
      </c>
      <c r="R743" s="378">
        <f t="shared" si="202"/>
        <v>0</v>
      </c>
    </row>
    <row r="744" spans="1:18" s="336" customFormat="1" x14ac:dyDescent="0.2">
      <c r="C744" s="336" t="s">
        <v>1075</v>
      </c>
      <c r="E744" s="336" t="s">
        <v>10</v>
      </c>
      <c r="F744" s="445">
        <f>'JKP-3.1c - Therms Data'!E94</f>
        <v>83770</v>
      </c>
      <c r="G744" s="445">
        <f>'JKP-3.1c - Therms Data'!F94</f>
        <v>115393</v>
      </c>
      <c r="H744" s="445">
        <f>'JKP-3.1c - Therms Data'!G94</f>
        <v>118389</v>
      </c>
      <c r="I744" s="445">
        <f>'JKP-3.1c - Therms Data'!H94</f>
        <v>148227</v>
      </c>
      <c r="J744" s="445">
        <f>'JKP-3.1c - Therms Data'!I94</f>
        <v>172767</v>
      </c>
      <c r="K744" s="445">
        <f>'JKP-3.1c - Therms Data'!J94</f>
        <v>130945</v>
      </c>
      <c r="L744" s="445">
        <f>'JKP-3.1c - Therms Data'!K94</f>
        <v>105034</v>
      </c>
      <c r="M744" s="445">
        <f>'JKP-3.1c - Therms Data'!L94</f>
        <v>153481</v>
      </c>
      <c r="N744" s="445">
        <f>'JKP-3.1c - Therms Data'!M94</f>
        <v>200237</v>
      </c>
      <c r="O744" s="445">
        <f>'JKP-3.1c - Therms Data'!N94</f>
        <v>222364</v>
      </c>
      <c r="P744" s="445">
        <f>'JKP-3.1c - Therms Data'!O94</f>
        <v>202008</v>
      </c>
      <c r="Q744" s="445">
        <f>'JKP-3.1c - Therms Data'!P94</f>
        <v>136423</v>
      </c>
      <c r="R744" s="436">
        <f>SUM(R738:R743)</f>
        <v>1789038</v>
      </c>
    </row>
    <row r="745" spans="1:18" s="336" customFormat="1" x14ac:dyDescent="0.2">
      <c r="B745" s="336" t="s">
        <v>74</v>
      </c>
      <c r="E745" s="336" t="s">
        <v>1076</v>
      </c>
      <c r="F745" s="421"/>
      <c r="G745" s="421"/>
      <c r="H745" s="421"/>
      <c r="I745" s="421"/>
      <c r="J745" s="421"/>
      <c r="K745" s="421"/>
      <c r="L745" s="421"/>
      <c r="M745" s="421"/>
      <c r="N745" s="421"/>
      <c r="O745" s="421"/>
      <c r="P745" s="421"/>
      <c r="Q745" s="421"/>
      <c r="R745" s="378">
        <f>SUM(F745:Q745)</f>
        <v>0</v>
      </c>
    </row>
    <row r="746" spans="1:18" s="336" customFormat="1" x14ac:dyDescent="0.2">
      <c r="B746" s="336" t="s">
        <v>1071</v>
      </c>
      <c r="F746" s="380"/>
      <c r="G746" s="380"/>
      <c r="H746" s="380"/>
      <c r="I746" s="380"/>
      <c r="J746" s="380"/>
      <c r="K746" s="380"/>
      <c r="L746" s="380"/>
      <c r="M746" s="380"/>
      <c r="N746" s="380"/>
      <c r="O746" s="380"/>
      <c r="P746" s="380"/>
      <c r="Q746" s="380"/>
      <c r="R746" s="378"/>
    </row>
    <row r="747" spans="1:18" s="336" customFormat="1" x14ac:dyDescent="0.2">
      <c r="R747" s="179"/>
    </row>
    <row r="748" spans="1:18" s="336" customFormat="1" x14ac:dyDescent="0.2">
      <c r="B748" s="182" t="s">
        <v>985</v>
      </c>
      <c r="R748" s="179"/>
    </row>
    <row r="749" spans="1:18" s="336" customFormat="1" x14ac:dyDescent="0.2">
      <c r="A749" s="336" t="s">
        <v>1054</v>
      </c>
      <c r="B749" s="336" t="s">
        <v>1059</v>
      </c>
      <c r="D749" s="336">
        <v>87</v>
      </c>
      <c r="F749" s="418">
        <f t="shared" ref="F749:Q749" si="204">F718*F736</f>
        <v>537.12</v>
      </c>
      <c r="G749" s="418">
        <f t="shared" si="204"/>
        <v>537.12</v>
      </c>
      <c r="H749" s="418">
        <f t="shared" si="204"/>
        <v>1074.24</v>
      </c>
      <c r="I749" s="418">
        <f t="shared" si="204"/>
        <v>0</v>
      </c>
      <c r="J749" s="418">
        <f t="shared" si="204"/>
        <v>544.91</v>
      </c>
      <c r="K749" s="418">
        <f t="shared" si="204"/>
        <v>1089.82</v>
      </c>
      <c r="L749" s="418">
        <f t="shared" si="204"/>
        <v>544.91</v>
      </c>
      <c r="M749" s="418">
        <f t="shared" si="204"/>
        <v>0</v>
      </c>
      <c r="N749" s="418">
        <f t="shared" si="204"/>
        <v>1089.82</v>
      </c>
      <c r="O749" s="418">
        <f t="shared" si="204"/>
        <v>544.91</v>
      </c>
      <c r="P749" s="418">
        <f t="shared" si="204"/>
        <v>0</v>
      </c>
      <c r="Q749" s="418">
        <f t="shared" si="204"/>
        <v>544.91</v>
      </c>
      <c r="R749" s="437">
        <f>SUM(F749:Q749)</f>
        <v>6507.7599999999993</v>
      </c>
    </row>
    <row r="750" spans="1:18" s="336" customFormat="1" x14ac:dyDescent="0.2">
      <c r="B750" s="336" t="s">
        <v>1047</v>
      </c>
      <c r="F750" s="418"/>
      <c r="G750" s="418"/>
      <c r="H750" s="418"/>
      <c r="I750" s="418"/>
      <c r="J750" s="418"/>
      <c r="K750" s="418"/>
      <c r="L750" s="418"/>
      <c r="M750" s="418"/>
      <c r="N750" s="418"/>
      <c r="O750" s="418"/>
      <c r="P750" s="418"/>
      <c r="Q750" s="418"/>
      <c r="R750" s="437"/>
    </row>
    <row r="751" spans="1:18" x14ac:dyDescent="0.2">
      <c r="C751" s="32" t="s">
        <v>1086</v>
      </c>
      <c r="D751" s="32">
        <v>87</v>
      </c>
      <c r="F751" s="364">
        <f t="shared" ref="F751:Q756" si="205">F720*F738</f>
        <v>3404.5</v>
      </c>
      <c r="G751" s="364">
        <f t="shared" si="205"/>
        <v>3404.5</v>
      </c>
      <c r="H751" s="364">
        <f t="shared" si="205"/>
        <v>3404.5</v>
      </c>
      <c r="I751" s="364">
        <f t="shared" si="205"/>
        <v>3453.75</v>
      </c>
      <c r="J751" s="364">
        <f t="shared" si="205"/>
        <v>3453.75</v>
      </c>
      <c r="K751" s="364">
        <f t="shared" si="205"/>
        <v>3453.75</v>
      </c>
      <c r="L751" s="364">
        <f t="shared" si="205"/>
        <v>3453.75</v>
      </c>
      <c r="M751" s="364">
        <f t="shared" si="205"/>
        <v>3453.75</v>
      </c>
      <c r="N751" s="364">
        <f t="shared" si="205"/>
        <v>3453.75</v>
      </c>
      <c r="O751" s="364">
        <f t="shared" si="205"/>
        <v>3453.75</v>
      </c>
      <c r="P751" s="364">
        <f t="shared" si="205"/>
        <v>3453.75</v>
      </c>
      <c r="Q751" s="364">
        <f t="shared" si="205"/>
        <v>3453.75</v>
      </c>
      <c r="R751" s="341">
        <f t="shared" ref="R751:R764" si="206">SUM(F751:Q751)</f>
        <v>41297.25</v>
      </c>
    </row>
    <row r="752" spans="1:18" x14ac:dyDescent="0.2">
      <c r="C752" s="32" t="s">
        <v>1087</v>
      </c>
      <c r="D752" s="32">
        <v>87</v>
      </c>
      <c r="F752" s="364">
        <f t="shared" si="205"/>
        <v>2078.5</v>
      </c>
      <c r="G752" s="364">
        <f t="shared" si="205"/>
        <v>2078.5</v>
      </c>
      <c r="H752" s="364">
        <f t="shared" si="205"/>
        <v>2078.5</v>
      </c>
      <c r="I752" s="364">
        <f t="shared" si="205"/>
        <v>2108.75</v>
      </c>
      <c r="J752" s="364">
        <f t="shared" si="205"/>
        <v>2108.75</v>
      </c>
      <c r="K752" s="364">
        <f t="shared" si="205"/>
        <v>2108.75</v>
      </c>
      <c r="L752" s="364">
        <f t="shared" si="205"/>
        <v>2108.75</v>
      </c>
      <c r="M752" s="364">
        <f t="shared" si="205"/>
        <v>2108.75</v>
      </c>
      <c r="N752" s="364">
        <f t="shared" si="205"/>
        <v>2108.75</v>
      </c>
      <c r="O752" s="364">
        <f t="shared" si="205"/>
        <v>2108.75</v>
      </c>
      <c r="P752" s="364">
        <f t="shared" si="205"/>
        <v>2108.75</v>
      </c>
      <c r="Q752" s="364">
        <f t="shared" si="205"/>
        <v>2108.75</v>
      </c>
      <c r="R752" s="341">
        <f t="shared" si="206"/>
        <v>25214.25</v>
      </c>
    </row>
    <row r="753" spans="1:18" x14ac:dyDescent="0.2">
      <c r="C753" s="32" t="s">
        <v>1090</v>
      </c>
      <c r="D753" s="32">
        <v>87</v>
      </c>
      <c r="F753" s="364">
        <f t="shared" si="205"/>
        <v>1812.7736</v>
      </c>
      <c r="G753" s="364">
        <f t="shared" si="205"/>
        <v>2684</v>
      </c>
      <c r="H753" s="364">
        <f t="shared" si="205"/>
        <v>2684</v>
      </c>
      <c r="I753" s="364">
        <f t="shared" si="205"/>
        <v>2723</v>
      </c>
      <c r="J753" s="364">
        <f t="shared" si="205"/>
        <v>2723</v>
      </c>
      <c r="K753" s="364">
        <f t="shared" si="205"/>
        <v>2723</v>
      </c>
      <c r="L753" s="364">
        <f t="shared" si="205"/>
        <v>2723</v>
      </c>
      <c r="M753" s="364">
        <f t="shared" si="205"/>
        <v>2723</v>
      </c>
      <c r="N753" s="364">
        <f t="shared" si="205"/>
        <v>2723</v>
      </c>
      <c r="O753" s="364">
        <f t="shared" si="205"/>
        <v>2723</v>
      </c>
      <c r="P753" s="364">
        <f t="shared" si="205"/>
        <v>2723</v>
      </c>
      <c r="Q753" s="364">
        <f t="shared" si="205"/>
        <v>2723</v>
      </c>
      <c r="R753" s="341">
        <f t="shared" si="206"/>
        <v>31687.7736</v>
      </c>
    </row>
    <row r="754" spans="1:18" x14ac:dyDescent="0.2">
      <c r="C754" s="32" t="s">
        <v>1091</v>
      </c>
      <c r="D754" s="32">
        <v>87</v>
      </c>
      <c r="F754" s="364">
        <f t="shared" si="205"/>
        <v>0</v>
      </c>
      <c r="G754" s="364">
        <f t="shared" si="205"/>
        <v>541.67966999999999</v>
      </c>
      <c r="H754" s="364">
        <f t="shared" si="205"/>
        <v>647.10891000000004</v>
      </c>
      <c r="I754" s="364">
        <f t="shared" si="205"/>
        <v>1721.7039000000002</v>
      </c>
      <c r="J754" s="364">
        <f t="shared" si="205"/>
        <v>2597.7819000000004</v>
      </c>
      <c r="K754" s="364">
        <f t="shared" si="205"/>
        <v>1104.7365</v>
      </c>
      <c r="L754" s="364">
        <f t="shared" si="205"/>
        <v>179.71380000000002</v>
      </c>
      <c r="M754" s="364">
        <f t="shared" si="205"/>
        <v>1909.2717000000002</v>
      </c>
      <c r="N754" s="364">
        <f t="shared" si="205"/>
        <v>3570.0000000000005</v>
      </c>
      <c r="O754" s="364">
        <f t="shared" si="205"/>
        <v>3570.0000000000005</v>
      </c>
      <c r="P754" s="364">
        <f t="shared" si="205"/>
        <v>3570.0000000000005</v>
      </c>
      <c r="Q754" s="364">
        <f t="shared" si="205"/>
        <v>1300.3011000000001</v>
      </c>
      <c r="R754" s="341">
        <f t="shared" si="206"/>
        <v>20712.297480000001</v>
      </c>
    </row>
    <row r="755" spans="1:18" x14ac:dyDescent="0.2">
      <c r="C755" s="32" t="s">
        <v>1092</v>
      </c>
      <c r="D755" s="32">
        <v>87</v>
      </c>
      <c r="F755" s="364">
        <f t="shared" si="205"/>
        <v>0</v>
      </c>
      <c r="G755" s="364">
        <f t="shared" si="205"/>
        <v>0</v>
      </c>
      <c r="H755" s="364">
        <f t="shared" si="205"/>
        <v>0</v>
      </c>
      <c r="I755" s="364">
        <f t="shared" si="205"/>
        <v>0</v>
      </c>
      <c r="J755" s="364">
        <f t="shared" si="205"/>
        <v>0</v>
      </c>
      <c r="K755" s="364">
        <f t="shared" si="205"/>
        <v>0</v>
      </c>
      <c r="L755" s="364">
        <f t="shared" si="205"/>
        <v>0</v>
      </c>
      <c r="M755" s="364">
        <f t="shared" si="205"/>
        <v>0</v>
      </c>
      <c r="N755" s="364">
        <f t="shared" si="205"/>
        <v>6.2331000000000003</v>
      </c>
      <c r="O755" s="364">
        <f t="shared" si="205"/>
        <v>588.17320000000007</v>
      </c>
      <c r="P755" s="364">
        <f t="shared" si="205"/>
        <v>52.810400000000001</v>
      </c>
      <c r="Q755" s="364">
        <f t="shared" si="205"/>
        <v>0</v>
      </c>
      <c r="R755" s="341">
        <f t="shared" si="206"/>
        <v>647.21670000000006</v>
      </c>
    </row>
    <row r="756" spans="1:18" x14ac:dyDescent="0.2">
      <c r="C756" s="32" t="s">
        <v>1093</v>
      </c>
      <c r="D756" s="32">
        <v>87</v>
      </c>
      <c r="F756" s="364">
        <f t="shared" si="205"/>
        <v>0</v>
      </c>
      <c r="G756" s="364">
        <f t="shared" si="205"/>
        <v>0</v>
      </c>
      <c r="H756" s="364">
        <f t="shared" si="205"/>
        <v>0</v>
      </c>
      <c r="I756" s="364">
        <f t="shared" si="205"/>
        <v>0</v>
      </c>
      <c r="J756" s="364">
        <f t="shared" si="205"/>
        <v>0</v>
      </c>
      <c r="K756" s="364">
        <f t="shared" si="205"/>
        <v>0</v>
      </c>
      <c r="L756" s="364">
        <f t="shared" si="205"/>
        <v>0</v>
      </c>
      <c r="M756" s="364">
        <f t="shared" si="205"/>
        <v>0</v>
      </c>
      <c r="N756" s="364">
        <f t="shared" si="205"/>
        <v>0</v>
      </c>
      <c r="O756" s="364">
        <f t="shared" si="205"/>
        <v>0</v>
      </c>
      <c r="P756" s="364">
        <f t="shared" si="205"/>
        <v>0</v>
      </c>
      <c r="Q756" s="364">
        <f t="shared" si="205"/>
        <v>0</v>
      </c>
      <c r="R756" s="341">
        <f t="shared" si="206"/>
        <v>0</v>
      </c>
    </row>
    <row r="757" spans="1:18" x14ac:dyDescent="0.2">
      <c r="A757" s="32" t="s">
        <v>1054</v>
      </c>
      <c r="C757" s="32" t="s">
        <v>1077</v>
      </c>
      <c r="F757" s="365">
        <f t="shared" ref="F757:N757" si="207">SUM(F751:F756)</f>
        <v>7295.7736000000004</v>
      </c>
      <c r="G757" s="365">
        <f t="shared" si="207"/>
        <v>8708.6796699999995</v>
      </c>
      <c r="H757" s="365">
        <f t="shared" si="207"/>
        <v>8814.1089100000008</v>
      </c>
      <c r="I757" s="365">
        <f t="shared" si="207"/>
        <v>10007.2039</v>
      </c>
      <c r="J757" s="365">
        <f t="shared" si="207"/>
        <v>10883.2819</v>
      </c>
      <c r="K757" s="365">
        <f t="shared" si="207"/>
        <v>9390.2364999999991</v>
      </c>
      <c r="L757" s="365">
        <f t="shared" si="207"/>
        <v>8465.2137999999995</v>
      </c>
      <c r="M757" s="365">
        <f t="shared" si="207"/>
        <v>10194.771700000001</v>
      </c>
      <c r="N757" s="365">
        <f t="shared" si="207"/>
        <v>11861.733099999999</v>
      </c>
      <c r="O757" s="365">
        <f>SUM(O751:O756)</f>
        <v>12443.673199999999</v>
      </c>
      <c r="P757" s="365">
        <f>SUM(P751:P756)</f>
        <v>11908.3104</v>
      </c>
      <c r="Q757" s="365">
        <f>SUM(Q751:Q756)</f>
        <v>9585.8011000000006</v>
      </c>
      <c r="R757" s="365">
        <f t="shared" si="206"/>
        <v>119558.78778</v>
      </c>
    </row>
    <row r="758" spans="1:18" x14ac:dyDescent="0.2">
      <c r="A758" s="32" t="s">
        <v>1056</v>
      </c>
      <c r="B758" s="32" t="s">
        <v>1057</v>
      </c>
      <c r="D758" s="32">
        <v>101</v>
      </c>
      <c r="F758" s="364">
        <f t="shared" ref="F758:N758" si="208">F726*F744</f>
        <v>58520.884300000005</v>
      </c>
      <c r="G758" s="364">
        <f t="shared" si="208"/>
        <v>80612.395870000008</v>
      </c>
      <c r="H758" s="364">
        <f t="shared" si="208"/>
        <v>82705.371510000012</v>
      </c>
      <c r="I758" s="364">
        <f t="shared" si="208"/>
        <v>103549.89993</v>
      </c>
      <c r="J758" s="364">
        <f t="shared" si="208"/>
        <v>120693.29853000001</v>
      </c>
      <c r="K758" s="364">
        <f t="shared" si="208"/>
        <v>91476.86755000001</v>
      </c>
      <c r="L758" s="364">
        <f t="shared" si="208"/>
        <v>73375.702060000011</v>
      </c>
      <c r="M758" s="418">
        <f t="shared" si="208"/>
        <v>107220.29179</v>
      </c>
      <c r="N758" s="364">
        <f t="shared" si="208"/>
        <v>139883.56583000001</v>
      </c>
      <c r="O758" s="364">
        <f>O726*O744</f>
        <v>155341.26676</v>
      </c>
      <c r="P758" s="364">
        <f>P726*P744</f>
        <v>133226.29608</v>
      </c>
      <c r="Q758" s="364">
        <f>Q726*Q744</f>
        <v>89972.332730000009</v>
      </c>
      <c r="R758" s="341">
        <f t="shared" si="206"/>
        <v>1236578.17294</v>
      </c>
    </row>
    <row r="759" spans="1:18" x14ac:dyDescent="0.2">
      <c r="A759" s="32" t="s">
        <v>1054</v>
      </c>
      <c r="B759" s="32" t="s">
        <v>1096</v>
      </c>
      <c r="D759" s="444">
        <v>87</v>
      </c>
      <c r="F759" s="365">
        <f t="shared" ref="F759:N759" si="209">F727*F744</f>
        <v>418.85</v>
      </c>
      <c r="G759" s="365">
        <f t="shared" si="209"/>
        <v>576.96500000000003</v>
      </c>
      <c r="H759" s="365">
        <f t="shared" si="209"/>
        <v>591.94500000000005</v>
      </c>
      <c r="I759" s="365">
        <f t="shared" si="209"/>
        <v>751.51089000000002</v>
      </c>
      <c r="J759" s="365">
        <f t="shared" si="209"/>
        <v>875.92868999999996</v>
      </c>
      <c r="K759" s="365">
        <f t="shared" si="209"/>
        <v>663.89114999999993</v>
      </c>
      <c r="L759" s="365">
        <f t="shared" si="209"/>
        <v>532.52238</v>
      </c>
      <c r="M759" s="365">
        <f t="shared" si="209"/>
        <v>778.14866999999992</v>
      </c>
      <c r="N759" s="365">
        <f t="shared" si="209"/>
        <v>1015.20159</v>
      </c>
      <c r="O759" s="365">
        <f>O727*O744</f>
        <v>1127.3854799999999</v>
      </c>
      <c r="P759" s="365">
        <f>P727*P744</f>
        <v>1024.18056</v>
      </c>
      <c r="Q759" s="365">
        <f>Q727*Q744</f>
        <v>691.66460999999993</v>
      </c>
      <c r="R759" s="342">
        <f t="shared" si="206"/>
        <v>9048.194019999999</v>
      </c>
    </row>
    <row r="760" spans="1:18" x14ac:dyDescent="0.2">
      <c r="B760" s="32" t="s">
        <v>1068</v>
      </c>
      <c r="F760" s="364"/>
      <c r="G760" s="364"/>
      <c r="H760" s="364"/>
      <c r="I760" s="364"/>
      <c r="J760" s="364"/>
      <c r="K760" s="364"/>
      <c r="L760" s="364"/>
      <c r="M760" s="364"/>
      <c r="N760" s="364"/>
      <c r="O760" s="364"/>
      <c r="P760" s="364"/>
      <c r="Q760" s="364"/>
      <c r="R760" s="341">
        <f t="shared" si="206"/>
        <v>0</v>
      </c>
    </row>
    <row r="761" spans="1:18" x14ac:dyDescent="0.2">
      <c r="A761" s="32" t="s">
        <v>1054</v>
      </c>
      <c r="C761" s="32" t="s">
        <v>1069</v>
      </c>
      <c r="D761" s="444">
        <v>87</v>
      </c>
      <c r="F761" s="364">
        <f t="shared" ref="F761:N761" si="210">F729*F745</f>
        <v>0</v>
      </c>
      <c r="G761" s="364">
        <f t="shared" si="210"/>
        <v>0</v>
      </c>
      <c r="H761" s="364">
        <f t="shared" si="210"/>
        <v>0</v>
      </c>
      <c r="I761" s="364">
        <f t="shared" si="210"/>
        <v>0</v>
      </c>
      <c r="J761" s="364">
        <f t="shared" si="210"/>
        <v>0</v>
      </c>
      <c r="K761" s="364">
        <f t="shared" si="210"/>
        <v>0</v>
      </c>
      <c r="L761" s="364">
        <f t="shared" si="210"/>
        <v>0</v>
      </c>
      <c r="M761" s="364">
        <f t="shared" si="210"/>
        <v>0</v>
      </c>
      <c r="N761" s="364">
        <f t="shared" si="210"/>
        <v>0</v>
      </c>
      <c r="O761" s="364">
        <f>O729*O745</f>
        <v>0</v>
      </c>
      <c r="P761" s="364">
        <f>P729*P745</f>
        <v>0</v>
      </c>
      <c r="Q761" s="364">
        <f>Q729*Q745</f>
        <v>0</v>
      </c>
      <c r="R761" s="341">
        <f t="shared" si="206"/>
        <v>0</v>
      </c>
    </row>
    <row r="762" spans="1:18" x14ac:dyDescent="0.2">
      <c r="A762" s="32" t="s">
        <v>1056</v>
      </c>
      <c r="C762" s="32" t="s">
        <v>1070</v>
      </c>
      <c r="D762" s="32">
        <v>101</v>
      </c>
      <c r="F762" s="364">
        <f t="shared" ref="F762:N762" si="211">F730*F745</f>
        <v>0</v>
      </c>
      <c r="G762" s="364">
        <f t="shared" si="211"/>
        <v>0</v>
      </c>
      <c r="H762" s="364">
        <f t="shared" si="211"/>
        <v>0</v>
      </c>
      <c r="I762" s="364">
        <f t="shared" si="211"/>
        <v>0</v>
      </c>
      <c r="J762" s="364">
        <f t="shared" si="211"/>
        <v>0</v>
      </c>
      <c r="K762" s="364">
        <f t="shared" si="211"/>
        <v>0</v>
      </c>
      <c r="L762" s="364">
        <f t="shared" si="211"/>
        <v>0</v>
      </c>
      <c r="M762" s="418">
        <f t="shared" si="211"/>
        <v>0</v>
      </c>
      <c r="N762" s="364">
        <f t="shared" si="211"/>
        <v>0</v>
      </c>
      <c r="O762" s="364">
        <f>O730*O745</f>
        <v>0</v>
      </c>
      <c r="P762" s="364">
        <f>P730*P745</f>
        <v>0</v>
      </c>
      <c r="Q762" s="364">
        <f>Q730*Q745</f>
        <v>0</v>
      </c>
      <c r="R762" s="341">
        <f t="shared" si="206"/>
        <v>0</v>
      </c>
    </row>
    <row r="763" spans="1:18" x14ac:dyDescent="0.2">
      <c r="C763" s="32" t="s">
        <v>1078</v>
      </c>
      <c r="F763" s="365">
        <f t="shared" ref="F763:N763" si="212">SUM(F761:F762)</f>
        <v>0</v>
      </c>
      <c r="G763" s="365">
        <f t="shared" si="212"/>
        <v>0</v>
      </c>
      <c r="H763" s="365">
        <f t="shared" si="212"/>
        <v>0</v>
      </c>
      <c r="I763" s="365">
        <f t="shared" si="212"/>
        <v>0</v>
      </c>
      <c r="J763" s="365">
        <f t="shared" si="212"/>
        <v>0</v>
      </c>
      <c r="K763" s="365">
        <f t="shared" si="212"/>
        <v>0</v>
      </c>
      <c r="L763" s="365">
        <f t="shared" si="212"/>
        <v>0</v>
      </c>
      <c r="M763" s="365">
        <f t="shared" si="212"/>
        <v>0</v>
      </c>
      <c r="N763" s="365">
        <f t="shared" si="212"/>
        <v>0</v>
      </c>
      <c r="O763" s="365">
        <f>SUM(O761:O762)</f>
        <v>0</v>
      </c>
      <c r="P763" s="365">
        <f>SUM(P761:P762)</f>
        <v>0</v>
      </c>
      <c r="Q763" s="365">
        <f>SUM(Q761:Q762)</f>
        <v>0</v>
      </c>
      <c r="R763" s="365">
        <f t="shared" si="206"/>
        <v>0</v>
      </c>
    </row>
    <row r="764" spans="1:18" s="336" customFormat="1" x14ac:dyDescent="0.2">
      <c r="A764" s="336" t="s">
        <v>1054</v>
      </c>
      <c r="B764" s="336" t="s">
        <v>1071</v>
      </c>
      <c r="D764" s="382">
        <v>87</v>
      </c>
      <c r="F764" s="447">
        <f>'JKP-3.1c - Data'!C191</f>
        <v>0</v>
      </c>
      <c r="G764" s="447">
        <f>'JKP-3.1c - Data'!D191</f>
        <v>70168.09</v>
      </c>
      <c r="H764" s="447">
        <f>'JKP-3.1c - Data'!E191</f>
        <v>0</v>
      </c>
      <c r="I764" s="447">
        <f>'JKP-3.1c - Data'!F191</f>
        <v>0</v>
      </c>
      <c r="J764" s="447">
        <f>'JKP-3.1c - Data'!G191</f>
        <v>0</v>
      </c>
      <c r="K764" s="447">
        <f>'JKP-3.1c - Data'!H191</f>
        <v>0</v>
      </c>
      <c r="L764" s="447">
        <f>'JKP-3.1c - Data'!I191</f>
        <v>0</v>
      </c>
      <c r="M764" s="447">
        <f>'JKP-3.1c - Data'!J191</f>
        <v>0</v>
      </c>
      <c r="N764" s="447">
        <f>'JKP-3.1c - Data'!K191</f>
        <v>0</v>
      </c>
      <c r="O764" s="447">
        <f>'JKP-3.1c - Data'!L191</f>
        <v>0</v>
      </c>
      <c r="P764" s="447">
        <f>'JKP-3.1c - Data'!M191</f>
        <v>0</v>
      </c>
      <c r="Q764" s="447">
        <f>'JKP-3.1c - Data'!N191</f>
        <v>0</v>
      </c>
      <c r="R764" s="437">
        <f t="shared" si="206"/>
        <v>70168.09</v>
      </c>
    </row>
    <row r="765" spans="1:18" x14ac:dyDescent="0.2">
      <c r="B765" s="32" t="s">
        <v>1079</v>
      </c>
      <c r="F765" s="365">
        <f t="shared" ref="F765:N765" si="213">F758+F762</f>
        <v>58520.884300000005</v>
      </c>
      <c r="G765" s="365">
        <f t="shared" si="213"/>
        <v>80612.395870000008</v>
      </c>
      <c r="H765" s="365">
        <f t="shared" si="213"/>
        <v>82705.371510000012</v>
      </c>
      <c r="I765" s="365">
        <f t="shared" si="213"/>
        <v>103549.89993</v>
      </c>
      <c r="J765" s="365">
        <f t="shared" si="213"/>
        <v>120693.29853000001</v>
      </c>
      <c r="K765" s="365">
        <f t="shared" si="213"/>
        <v>91476.86755000001</v>
      </c>
      <c r="L765" s="365">
        <f t="shared" si="213"/>
        <v>73375.702060000011</v>
      </c>
      <c r="M765" s="365">
        <f t="shared" si="213"/>
        <v>107220.29179</v>
      </c>
      <c r="N765" s="365">
        <f t="shared" si="213"/>
        <v>139883.56583000001</v>
      </c>
      <c r="O765" s="365">
        <f>O758+O762</f>
        <v>155341.26676</v>
      </c>
      <c r="P765" s="365">
        <f>P758+P762</f>
        <v>133226.29608</v>
      </c>
      <c r="Q765" s="365">
        <f>Q758+Q762</f>
        <v>89972.332730000009</v>
      </c>
      <c r="R765" s="365">
        <f>R758+R762</f>
        <v>1236578.17294</v>
      </c>
    </row>
    <row r="766" spans="1:18" x14ac:dyDescent="0.2">
      <c r="B766" s="32" t="s">
        <v>986</v>
      </c>
      <c r="F766" s="365">
        <f t="shared" ref="F766:N766" si="214">F749+F757+F759+F758+F763+F764</f>
        <v>66772.627900000007</v>
      </c>
      <c r="G766" s="365">
        <f t="shared" si="214"/>
        <v>160603.25054000001</v>
      </c>
      <c r="H766" s="365">
        <f t="shared" si="214"/>
        <v>93185.665420000005</v>
      </c>
      <c r="I766" s="365">
        <f t="shared" si="214"/>
        <v>114308.61472</v>
      </c>
      <c r="J766" s="365">
        <f t="shared" si="214"/>
        <v>132997.41912000001</v>
      </c>
      <c r="K766" s="365">
        <f t="shared" si="214"/>
        <v>102620.81520000001</v>
      </c>
      <c r="L766" s="365">
        <f t="shared" si="214"/>
        <v>82918.348240000007</v>
      </c>
      <c r="M766" s="365">
        <f t="shared" si="214"/>
        <v>118193.21216000001</v>
      </c>
      <c r="N766" s="365">
        <f t="shared" si="214"/>
        <v>153850.32052000001</v>
      </c>
      <c r="O766" s="365">
        <f>O749+O757+O759+O758+O763+O764</f>
        <v>169457.23543999999</v>
      </c>
      <c r="P766" s="365">
        <f>P749+P757+P759+P758+P763+P764</f>
        <v>146158.78704</v>
      </c>
      <c r="Q766" s="365">
        <f>Q749+Q757+Q759+Q758+Q763+Q764</f>
        <v>100794.70844000002</v>
      </c>
      <c r="R766" s="365">
        <f>R749+R757+R759+R758+R763+R764</f>
        <v>1441861.00474</v>
      </c>
    </row>
    <row r="767" spans="1:18" x14ac:dyDescent="0.2">
      <c r="C767" s="386"/>
      <c r="F767" s="364"/>
      <c r="G767" s="364"/>
      <c r="H767" s="364"/>
      <c r="I767" s="364"/>
      <c r="J767" s="364"/>
      <c r="K767" s="364"/>
      <c r="L767" s="364"/>
      <c r="N767" s="364"/>
      <c r="O767" s="364"/>
      <c r="P767" s="364"/>
      <c r="Q767" s="364"/>
      <c r="R767" s="341"/>
    </row>
    <row r="768" spans="1:18" x14ac:dyDescent="0.2">
      <c r="A768" s="32" t="s">
        <v>1058</v>
      </c>
      <c r="B768" s="32" t="s">
        <v>1050</v>
      </c>
      <c r="C768" s="386"/>
      <c r="F768" s="364">
        <f>F732*F744+F745*F733</f>
        <v>55993.543400000002</v>
      </c>
      <c r="G768" s="364">
        <f t="shared" ref="G768:Q768" si="215">G732*G744+G745*G733</f>
        <v>77130.989060000007</v>
      </c>
      <c r="H768" s="364">
        <f t="shared" si="215"/>
        <v>79133.575379999995</v>
      </c>
      <c r="I768" s="364">
        <f t="shared" si="215"/>
        <v>99077.891340000002</v>
      </c>
      <c r="J768" s="364">
        <f t="shared" si="215"/>
        <v>115480.91814000001</v>
      </c>
      <c r="K768" s="364">
        <f t="shared" si="215"/>
        <v>87526.256900000008</v>
      </c>
      <c r="L768" s="364">
        <f t="shared" si="215"/>
        <v>70206.826280000008</v>
      </c>
      <c r="M768" s="364">
        <f t="shared" si="215"/>
        <v>102589.77002</v>
      </c>
      <c r="N768" s="364">
        <f t="shared" si="215"/>
        <v>133842.41554000002</v>
      </c>
      <c r="O768" s="364">
        <f t="shared" si="215"/>
        <v>148632.54488</v>
      </c>
      <c r="P768" s="364">
        <f t="shared" si="215"/>
        <v>127465.02792000001</v>
      </c>
      <c r="Q768" s="364">
        <f t="shared" si="215"/>
        <v>86081.548770000009</v>
      </c>
      <c r="R768" s="341">
        <f>SUM(F768:Q768)</f>
        <v>1183161.3076299999</v>
      </c>
    </row>
    <row r="769" spans="2:18" x14ac:dyDescent="0.2">
      <c r="C769" s="386"/>
      <c r="F769" s="364"/>
      <c r="G769" s="364"/>
      <c r="H769" s="364"/>
      <c r="I769" s="364"/>
      <c r="J769" s="364"/>
      <c r="K769" s="364"/>
      <c r="L769" s="364"/>
      <c r="N769" s="364"/>
      <c r="O769" s="364"/>
      <c r="P769" s="364"/>
      <c r="Q769" s="364"/>
      <c r="R769" s="341"/>
    </row>
    <row r="770" spans="2:18" ht="13.5" thickBot="1" x14ac:dyDescent="0.25">
      <c r="B770" s="276" t="s">
        <v>1113</v>
      </c>
      <c r="M770" s="276" t="s">
        <v>304</v>
      </c>
    </row>
    <row r="771" spans="2:18" x14ac:dyDescent="0.2">
      <c r="B771" s="464" t="s">
        <v>5</v>
      </c>
      <c r="C771" s="465"/>
      <c r="D771" s="465"/>
      <c r="E771" s="465"/>
      <c r="F771" s="465"/>
      <c r="G771" s="465"/>
      <c r="H771" s="465"/>
      <c r="I771" s="465"/>
      <c r="J771" s="465"/>
      <c r="K771" s="465"/>
      <c r="L771" s="465"/>
      <c r="M771" s="465"/>
      <c r="N771" s="465"/>
      <c r="O771" s="465"/>
      <c r="P771" s="465"/>
      <c r="Q771" s="465"/>
      <c r="R771" s="466"/>
    </row>
    <row r="772" spans="2:18" x14ac:dyDescent="0.2">
      <c r="B772" s="281" t="s">
        <v>1059</v>
      </c>
      <c r="C772" s="390"/>
      <c r="D772" s="390">
        <v>99</v>
      </c>
      <c r="E772" s="390" t="s">
        <v>976</v>
      </c>
      <c r="F772" s="434">
        <v>859.39</v>
      </c>
      <c r="G772" s="434">
        <v>859.39</v>
      </c>
      <c r="H772" s="434">
        <v>859.39</v>
      </c>
      <c r="I772" s="434">
        <v>871.85</v>
      </c>
      <c r="J772" s="434">
        <v>871.85</v>
      </c>
      <c r="K772" s="434">
        <v>871.85</v>
      </c>
      <c r="L772" s="434">
        <v>871.85</v>
      </c>
      <c r="M772" s="434">
        <v>871.85</v>
      </c>
      <c r="N772" s="434">
        <v>871.85</v>
      </c>
      <c r="O772" s="434">
        <v>871.85</v>
      </c>
      <c r="P772" s="434">
        <v>871.85</v>
      </c>
      <c r="Q772" s="434">
        <v>871.85</v>
      </c>
      <c r="R772" s="467"/>
    </row>
    <row r="773" spans="2:18" x14ac:dyDescent="0.2">
      <c r="B773" s="281" t="s">
        <v>1114</v>
      </c>
      <c r="C773" s="390"/>
      <c r="D773" s="390"/>
      <c r="E773" s="390"/>
      <c r="F773" s="468"/>
      <c r="G773" s="468"/>
      <c r="H773" s="468"/>
      <c r="I773" s="468"/>
      <c r="J773" s="468"/>
      <c r="K773" s="468"/>
      <c r="L773" s="468"/>
      <c r="M773" s="468"/>
      <c r="N773" s="468"/>
      <c r="O773" s="468"/>
      <c r="P773" s="468"/>
      <c r="Q773" s="468"/>
      <c r="R773" s="469"/>
    </row>
    <row r="774" spans="2:18" x14ac:dyDescent="0.2">
      <c r="B774" s="281"/>
      <c r="C774" s="390" t="s">
        <v>1115</v>
      </c>
      <c r="D774" s="390">
        <v>99</v>
      </c>
      <c r="E774" s="390" t="s">
        <v>957</v>
      </c>
      <c r="F774" s="452">
        <v>9.6970000000000001E-2</v>
      </c>
      <c r="G774" s="452">
        <v>9.6970000000000001E-2</v>
      </c>
      <c r="H774" s="452">
        <v>9.6970000000000001E-2</v>
      </c>
      <c r="I774" s="452">
        <v>9.6970000000000001E-2</v>
      </c>
      <c r="J774" s="452">
        <v>9.6970000000000001E-2</v>
      </c>
      <c r="K774" s="452">
        <v>0.10589</v>
      </c>
      <c r="L774" s="452">
        <v>0.10589</v>
      </c>
      <c r="M774" s="452">
        <v>0.10589</v>
      </c>
      <c r="N774" s="452">
        <v>0.10589</v>
      </c>
      <c r="O774" s="452">
        <v>0.10589</v>
      </c>
      <c r="P774" s="452">
        <v>0.10589</v>
      </c>
      <c r="Q774" s="452">
        <v>0.10589</v>
      </c>
      <c r="R774" s="470"/>
    </row>
    <row r="775" spans="2:18" x14ac:dyDescent="0.2">
      <c r="B775" s="281"/>
      <c r="C775" s="390" t="s">
        <v>1116</v>
      </c>
      <c r="D775" s="390">
        <v>99</v>
      </c>
      <c r="E775" s="390" t="s">
        <v>957</v>
      </c>
      <c r="F775" s="452">
        <v>5.2740000000000002E-2</v>
      </c>
      <c r="G775" s="452">
        <v>5.2740000000000002E-2</v>
      </c>
      <c r="H775" s="452">
        <v>5.2740000000000002E-2</v>
      </c>
      <c r="I775" s="452">
        <v>5.2740000000000002E-2</v>
      </c>
      <c r="J775" s="452">
        <v>5.2740000000000002E-2</v>
      </c>
      <c r="K775" s="452">
        <v>5.7590000000000002E-2</v>
      </c>
      <c r="L775" s="452">
        <v>5.7590000000000002E-2</v>
      </c>
      <c r="M775" s="452">
        <v>5.7590000000000002E-2</v>
      </c>
      <c r="N775" s="452">
        <v>5.7590000000000002E-2</v>
      </c>
      <c r="O775" s="452">
        <v>5.7590000000000002E-2</v>
      </c>
      <c r="P775" s="452">
        <v>5.7590000000000002E-2</v>
      </c>
      <c r="Q775" s="452">
        <v>5.7590000000000002E-2</v>
      </c>
      <c r="R775" s="470"/>
    </row>
    <row r="776" spans="2:18" x14ac:dyDescent="0.2">
      <c r="B776" s="281"/>
      <c r="C776" s="390" t="s">
        <v>1117</v>
      </c>
      <c r="D776" s="390">
        <v>99</v>
      </c>
      <c r="E776" s="390" t="s">
        <v>957</v>
      </c>
      <c r="F776" s="452">
        <v>3.1640000000000001E-2</v>
      </c>
      <c r="G776" s="452">
        <v>3.1640000000000001E-2</v>
      </c>
      <c r="H776" s="452">
        <v>3.1640000000000001E-2</v>
      </c>
      <c r="I776" s="452">
        <v>3.1640000000000001E-2</v>
      </c>
      <c r="J776" s="452">
        <v>3.1640000000000001E-2</v>
      </c>
      <c r="K776" s="452">
        <v>3.4549999999999997E-2</v>
      </c>
      <c r="L776" s="452">
        <v>3.4549999999999997E-2</v>
      </c>
      <c r="M776" s="452">
        <v>3.4549999999999997E-2</v>
      </c>
      <c r="N776" s="452">
        <v>3.4549999999999997E-2</v>
      </c>
      <c r="O776" s="452">
        <v>3.4549999999999997E-2</v>
      </c>
      <c r="P776" s="452">
        <v>3.4549999999999997E-2</v>
      </c>
      <c r="Q776" s="452">
        <v>3.4549999999999997E-2</v>
      </c>
      <c r="R776" s="470"/>
    </row>
    <row r="777" spans="2:18" x14ac:dyDescent="0.2">
      <c r="B777" s="281"/>
      <c r="C777" s="390" t="s">
        <v>19</v>
      </c>
      <c r="D777" s="390">
        <v>99</v>
      </c>
      <c r="E777" s="390" t="s">
        <v>957</v>
      </c>
      <c r="F777" s="452">
        <v>2.1100000000000001E-2</v>
      </c>
      <c r="G777" s="452">
        <v>2.1100000000000001E-2</v>
      </c>
      <c r="H777" s="452">
        <v>2.1100000000000001E-2</v>
      </c>
      <c r="I777" s="452">
        <v>2.1100000000000001E-2</v>
      </c>
      <c r="J777" s="452">
        <v>2.1100000000000001E-2</v>
      </c>
      <c r="K777" s="452">
        <v>2.3040000000000001E-2</v>
      </c>
      <c r="L777" s="452">
        <v>2.3040000000000001E-2</v>
      </c>
      <c r="M777" s="452">
        <v>2.3040000000000001E-2</v>
      </c>
      <c r="N777" s="452">
        <v>2.3040000000000001E-2</v>
      </c>
      <c r="O777" s="452">
        <v>2.3040000000000001E-2</v>
      </c>
      <c r="P777" s="452">
        <v>2.3040000000000001E-2</v>
      </c>
      <c r="Q777" s="452">
        <v>2.3040000000000001E-2</v>
      </c>
      <c r="R777" s="470"/>
    </row>
    <row r="778" spans="2:18" x14ac:dyDescent="0.2">
      <c r="B778" s="281"/>
      <c r="C778" s="390" t="s">
        <v>19</v>
      </c>
      <c r="D778" s="390">
        <v>99</v>
      </c>
      <c r="E778" s="390" t="s">
        <v>957</v>
      </c>
      <c r="F778" s="452">
        <v>1.5820000000000001E-2</v>
      </c>
      <c r="G778" s="452">
        <v>1.5820000000000001E-2</v>
      </c>
      <c r="H778" s="452">
        <v>1.5820000000000001E-2</v>
      </c>
      <c r="I778" s="452">
        <v>1.5820000000000001E-2</v>
      </c>
      <c r="J778" s="452">
        <v>1.5820000000000001E-2</v>
      </c>
      <c r="K778" s="452">
        <v>1.728E-2</v>
      </c>
      <c r="L778" s="452">
        <v>1.728E-2</v>
      </c>
      <c r="M778" s="452">
        <v>1.728E-2</v>
      </c>
      <c r="N778" s="452">
        <v>1.728E-2</v>
      </c>
      <c r="O778" s="452">
        <v>1.728E-2</v>
      </c>
      <c r="P778" s="452">
        <v>1.728E-2</v>
      </c>
      <c r="Q778" s="452">
        <v>1.728E-2</v>
      </c>
      <c r="R778" s="470"/>
    </row>
    <row r="779" spans="2:18" x14ac:dyDescent="0.2">
      <c r="B779" s="281"/>
      <c r="C779" s="390" t="s">
        <v>1118</v>
      </c>
      <c r="D779" s="390">
        <v>99</v>
      </c>
      <c r="E779" s="390" t="s">
        <v>957</v>
      </c>
      <c r="F779" s="452">
        <v>1.0540000000000001E-2</v>
      </c>
      <c r="G779" s="452">
        <v>1.0540000000000001E-2</v>
      </c>
      <c r="H779" s="452">
        <v>1.0540000000000001E-2</v>
      </c>
      <c r="I779" s="452">
        <v>1.0540000000000001E-2</v>
      </c>
      <c r="J779" s="452">
        <v>1.0540000000000001E-2</v>
      </c>
      <c r="K779" s="452">
        <v>1.1509999999999999E-2</v>
      </c>
      <c r="L779" s="452">
        <v>1.1509999999999999E-2</v>
      </c>
      <c r="M779" s="452">
        <v>1.1509999999999999E-2</v>
      </c>
      <c r="N779" s="452">
        <v>1.1509999999999999E-2</v>
      </c>
      <c r="O779" s="452">
        <v>1.1509999999999999E-2</v>
      </c>
      <c r="P779" s="452">
        <v>1.1509999999999999E-2</v>
      </c>
      <c r="Q779" s="452">
        <v>1.1509999999999999E-2</v>
      </c>
      <c r="R779" s="470"/>
    </row>
    <row r="780" spans="2:18" x14ac:dyDescent="0.2">
      <c r="B780" s="281" t="s">
        <v>1069</v>
      </c>
      <c r="C780" s="390"/>
      <c r="D780" s="390">
        <v>99</v>
      </c>
      <c r="E780" s="390" t="s">
        <v>1119</v>
      </c>
      <c r="F780" s="434">
        <v>1.1000000000000001</v>
      </c>
      <c r="G780" s="434">
        <v>1.1000000000000001</v>
      </c>
      <c r="H780" s="434">
        <v>1.1000000000000001</v>
      </c>
      <c r="I780" s="434">
        <v>1.1100000000000001</v>
      </c>
      <c r="J780" s="434">
        <v>1.1100000000000001</v>
      </c>
      <c r="K780" s="434">
        <v>1.1100000000000001</v>
      </c>
      <c r="L780" s="434">
        <v>1.1100000000000001</v>
      </c>
      <c r="M780" s="434">
        <v>1.1100000000000001</v>
      </c>
      <c r="N780" s="434">
        <v>1.1100000000000001</v>
      </c>
      <c r="O780" s="434">
        <v>1.1100000000000001</v>
      </c>
      <c r="P780" s="434">
        <v>1.1100000000000001</v>
      </c>
      <c r="Q780" s="434">
        <v>1.1100000000000001</v>
      </c>
      <c r="R780" s="467"/>
    </row>
    <row r="781" spans="2:18" x14ac:dyDescent="0.2">
      <c r="B781" s="281"/>
      <c r="C781" s="390"/>
      <c r="D781" s="390"/>
      <c r="E781" s="390"/>
      <c r="F781" s="390"/>
      <c r="G781" s="390"/>
      <c r="H781" s="390"/>
      <c r="I781" s="390"/>
      <c r="J781" s="390"/>
      <c r="K781" s="390"/>
      <c r="L781" s="390"/>
      <c r="M781" s="390"/>
      <c r="N781" s="390"/>
      <c r="O781" s="390"/>
      <c r="P781" s="390"/>
      <c r="Q781" s="390"/>
      <c r="R781" s="469"/>
    </row>
    <row r="782" spans="2:18" x14ac:dyDescent="0.2">
      <c r="B782" s="471" t="s">
        <v>982</v>
      </c>
      <c r="C782" s="390"/>
      <c r="D782" s="390"/>
      <c r="E782" s="390"/>
      <c r="F782" s="390"/>
      <c r="G782" s="390"/>
      <c r="H782" s="390"/>
      <c r="I782" s="390"/>
      <c r="J782" s="390"/>
      <c r="K782" s="390"/>
      <c r="L782" s="390"/>
      <c r="M782" s="390"/>
      <c r="N782" s="390"/>
      <c r="O782" s="390"/>
      <c r="P782" s="390"/>
      <c r="Q782" s="390"/>
      <c r="R782" s="469"/>
    </row>
    <row r="783" spans="2:18" x14ac:dyDescent="0.2">
      <c r="B783" s="281" t="s">
        <v>67</v>
      </c>
      <c r="C783" s="390"/>
      <c r="D783" s="390"/>
      <c r="E783" s="390" t="s">
        <v>67</v>
      </c>
      <c r="F783" s="396">
        <f>'JKP-3.1c - Data'!C157</f>
        <v>12</v>
      </c>
      <c r="G783" s="396">
        <f>'JKP-3.1c - Data'!D157</f>
        <v>12</v>
      </c>
      <c r="H783" s="396">
        <f>'JKP-3.1c - Data'!E157</f>
        <v>12</v>
      </c>
      <c r="I783" s="396">
        <f>'JKP-3.1c - Data'!F157</f>
        <v>12</v>
      </c>
      <c r="J783" s="396">
        <f>'JKP-3.1c - Data'!G157</f>
        <v>12</v>
      </c>
      <c r="K783" s="396">
        <f>'JKP-3.1c - Data'!H157</f>
        <v>12</v>
      </c>
      <c r="L783" s="396">
        <f>'JKP-3.1c - Data'!I157</f>
        <v>12</v>
      </c>
      <c r="M783" s="396">
        <f>'JKP-3.1c - Data'!J157</f>
        <v>12</v>
      </c>
      <c r="N783" s="396">
        <f>'JKP-3.1c - Data'!K157</f>
        <v>12</v>
      </c>
      <c r="O783" s="396">
        <f>'JKP-3.1c - Data'!L157</f>
        <v>12</v>
      </c>
      <c r="P783" s="396">
        <f>'JKP-3.1c - Data'!M157</f>
        <v>12</v>
      </c>
      <c r="Q783" s="396">
        <f>'JKP-3.1c - Data'!N157</f>
        <v>12</v>
      </c>
      <c r="R783" s="472">
        <f>SUM(F783:Q783)</f>
        <v>144</v>
      </c>
    </row>
    <row r="784" spans="2:18" s="336" customFormat="1" x14ac:dyDescent="0.2">
      <c r="B784" s="473" t="s">
        <v>76</v>
      </c>
      <c r="C784" s="415"/>
      <c r="D784" s="415"/>
      <c r="E784" s="415"/>
      <c r="F784" s="474"/>
      <c r="G784" s="474"/>
      <c r="H784" s="474"/>
      <c r="I784" s="474"/>
      <c r="J784" s="474"/>
      <c r="K784" s="474"/>
      <c r="L784" s="474"/>
      <c r="M784" s="474"/>
      <c r="N784" s="474"/>
      <c r="O784" s="474"/>
      <c r="P784" s="474"/>
      <c r="Q784" s="474"/>
      <c r="R784" s="475"/>
    </row>
    <row r="785" spans="1:18" s="336" customFormat="1" x14ac:dyDescent="0.2">
      <c r="B785" s="473"/>
      <c r="C785" s="415" t="s">
        <v>1115</v>
      </c>
      <c r="D785" s="415"/>
      <c r="E785" s="415" t="s">
        <v>10</v>
      </c>
      <c r="F785" s="474">
        <v>253944</v>
      </c>
      <c r="G785" s="474">
        <v>249800</v>
      </c>
      <c r="H785" s="474">
        <v>250519</v>
      </c>
      <c r="I785" s="474">
        <v>234365</v>
      </c>
      <c r="J785" s="474">
        <v>226283</v>
      </c>
      <c r="K785" s="474">
        <v>218737</v>
      </c>
      <c r="L785" s="474">
        <v>213898</v>
      </c>
      <c r="M785" s="474">
        <v>209203</v>
      </c>
      <c r="N785" s="474">
        <v>218487</v>
      </c>
      <c r="O785" s="474">
        <v>246239</v>
      </c>
      <c r="P785" s="474">
        <v>273965</v>
      </c>
      <c r="Q785" s="474">
        <v>278558</v>
      </c>
      <c r="R785" s="475">
        <f t="shared" ref="R785:R790" si="216">SUM(F785:Q785)</f>
        <v>2873998</v>
      </c>
    </row>
    <row r="786" spans="1:18" s="336" customFormat="1" x14ac:dyDescent="0.2">
      <c r="B786" s="473"/>
      <c r="C786" s="415" t="s">
        <v>1116</v>
      </c>
      <c r="D786" s="415"/>
      <c r="E786" s="415" t="s">
        <v>10</v>
      </c>
      <c r="F786" s="474">
        <v>197864</v>
      </c>
      <c r="G786" s="474">
        <v>185146</v>
      </c>
      <c r="H786" s="474">
        <v>188435</v>
      </c>
      <c r="I786" s="474">
        <v>181809</v>
      </c>
      <c r="J786" s="474">
        <v>179508</v>
      </c>
      <c r="K786" s="474">
        <v>175904</v>
      </c>
      <c r="L786" s="474">
        <v>175227</v>
      </c>
      <c r="M786" s="474">
        <v>175000</v>
      </c>
      <c r="N786" s="474">
        <v>179824</v>
      </c>
      <c r="O786" s="474">
        <v>183783</v>
      </c>
      <c r="P786" s="474">
        <v>201836</v>
      </c>
      <c r="Q786" s="474">
        <v>206486</v>
      </c>
      <c r="R786" s="475">
        <f t="shared" si="216"/>
        <v>2230822</v>
      </c>
    </row>
    <row r="787" spans="1:18" s="336" customFormat="1" x14ac:dyDescent="0.2">
      <c r="B787" s="473"/>
      <c r="C787" s="415" t="s">
        <v>1117</v>
      </c>
      <c r="D787" s="415"/>
      <c r="E787" s="415" t="s">
        <v>10</v>
      </c>
      <c r="F787" s="474">
        <v>350000</v>
      </c>
      <c r="G787" s="474">
        <v>350000</v>
      </c>
      <c r="H787" s="474">
        <v>350000</v>
      </c>
      <c r="I787" s="474">
        <v>350000</v>
      </c>
      <c r="J787" s="474">
        <v>350000</v>
      </c>
      <c r="K787" s="474">
        <v>350000</v>
      </c>
      <c r="L787" s="474">
        <v>350000</v>
      </c>
      <c r="M787" s="474">
        <v>350000</v>
      </c>
      <c r="N787" s="474">
        <v>350000</v>
      </c>
      <c r="O787" s="474">
        <v>350000</v>
      </c>
      <c r="P787" s="474">
        <v>350000</v>
      </c>
      <c r="Q787" s="474">
        <v>350000</v>
      </c>
      <c r="R787" s="475">
        <f t="shared" si="216"/>
        <v>4200000</v>
      </c>
    </row>
    <row r="788" spans="1:18" s="336" customFormat="1" x14ac:dyDescent="0.2">
      <c r="B788" s="473"/>
      <c r="C788" s="415" t="s">
        <v>19</v>
      </c>
      <c r="D788" s="415"/>
      <c r="E788" s="415" t="s">
        <v>10</v>
      </c>
      <c r="F788" s="474">
        <v>700000</v>
      </c>
      <c r="G788" s="474">
        <v>700000</v>
      </c>
      <c r="H788" s="474">
        <v>700000</v>
      </c>
      <c r="I788" s="474">
        <v>696980</v>
      </c>
      <c r="J788" s="474">
        <v>666126</v>
      </c>
      <c r="K788" s="474">
        <v>557195</v>
      </c>
      <c r="L788" s="474">
        <v>534767</v>
      </c>
      <c r="M788" s="474">
        <v>530991</v>
      </c>
      <c r="N788" s="474">
        <v>528511</v>
      </c>
      <c r="O788" s="474">
        <v>665130</v>
      </c>
      <c r="P788" s="474">
        <v>700000</v>
      </c>
      <c r="Q788" s="474">
        <v>700000</v>
      </c>
      <c r="R788" s="475">
        <f t="shared" si="216"/>
        <v>7679700</v>
      </c>
    </row>
    <row r="789" spans="1:18" s="336" customFormat="1" x14ac:dyDescent="0.2">
      <c r="B789" s="473"/>
      <c r="C789" s="415" t="s">
        <v>19</v>
      </c>
      <c r="D789" s="415"/>
      <c r="E789" s="415" t="s">
        <v>10</v>
      </c>
      <c r="F789" s="474">
        <v>615370</v>
      </c>
      <c r="G789" s="474">
        <v>566730</v>
      </c>
      <c r="H789" s="474">
        <v>589922</v>
      </c>
      <c r="I789" s="474">
        <v>528306</v>
      </c>
      <c r="J789" s="474">
        <v>422363</v>
      </c>
      <c r="K789" s="474">
        <v>227236</v>
      </c>
      <c r="L789" s="474">
        <v>220738</v>
      </c>
      <c r="M789" s="474">
        <v>209152</v>
      </c>
      <c r="N789" s="474">
        <v>229727</v>
      </c>
      <c r="O789" s="474">
        <v>446093</v>
      </c>
      <c r="P789" s="474">
        <v>566263</v>
      </c>
      <c r="Q789" s="474">
        <v>580481</v>
      </c>
      <c r="R789" s="475">
        <f t="shared" si="216"/>
        <v>5202381</v>
      </c>
    </row>
    <row r="790" spans="1:18" s="336" customFormat="1" x14ac:dyDescent="0.2">
      <c r="B790" s="473"/>
      <c r="C790" s="415" t="s">
        <v>1118</v>
      </c>
      <c r="D790" s="415"/>
      <c r="E790" s="415" t="s">
        <v>10</v>
      </c>
      <c r="F790" s="476">
        <f t="shared" ref="F790:N790" si="217">F791-SUM(F785:F789)</f>
        <v>1399932</v>
      </c>
      <c r="G790" s="476">
        <f t="shared" si="217"/>
        <v>1296321</v>
      </c>
      <c r="H790" s="476">
        <f t="shared" si="217"/>
        <v>1575585</v>
      </c>
      <c r="I790" s="476">
        <f t="shared" si="217"/>
        <v>1246739</v>
      </c>
      <c r="J790" s="476">
        <f t="shared" si="217"/>
        <v>961425</v>
      </c>
      <c r="K790" s="476">
        <f t="shared" si="217"/>
        <v>687096</v>
      </c>
      <c r="L790" s="476">
        <f t="shared" si="217"/>
        <v>512163</v>
      </c>
      <c r="M790" s="476">
        <f t="shared" si="217"/>
        <v>467496</v>
      </c>
      <c r="N790" s="476">
        <f t="shared" si="217"/>
        <v>472858</v>
      </c>
      <c r="O790" s="476">
        <f>O791-SUM(O785:O789)</f>
        <v>896132</v>
      </c>
      <c r="P790" s="476">
        <f>P791-SUM(P785:P789)</f>
        <v>1749972</v>
      </c>
      <c r="Q790" s="476">
        <f>Q791-SUM(Q785:Q789)</f>
        <v>1756019</v>
      </c>
      <c r="R790" s="475">
        <f t="shared" si="216"/>
        <v>13021738</v>
      </c>
    </row>
    <row r="791" spans="1:18" s="336" customFormat="1" x14ac:dyDescent="0.2">
      <c r="B791" s="473"/>
      <c r="C791" s="415" t="s">
        <v>1075</v>
      </c>
      <c r="D791" s="415"/>
      <c r="E791" s="415" t="s">
        <v>10</v>
      </c>
      <c r="F791" s="445">
        <f>'JKP-3.1c - Therms Data'!E96</f>
        <v>3517110</v>
      </c>
      <c r="G791" s="445">
        <f>'JKP-3.1c - Therms Data'!F96</f>
        <v>3347997</v>
      </c>
      <c r="H791" s="445">
        <f>'JKP-3.1c - Therms Data'!G96</f>
        <v>3654461</v>
      </c>
      <c r="I791" s="445">
        <f>'JKP-3.1c - Therms Data'!H96</f>
        <v>3238199</v>
      </c>
      <c r="J791" s="445">
        <f>'JKP-3.1c - Therms Data'!I96</f>
        <v>2805705</v>
      </c>
      <c r="K791" s="445">
        <f>'JKP-3.1c - Therms Data'!J96</f>
        <v>2216168</v>
      </c>
      <c r="L791" s="445">
        <f>'JKP-3.1c - Therms Data'!K96</f>
        <v>2006793</v>
      </c>
      <c r="M791" s="445">
        <f>'JKP-3.1c - Therms Data'!L96</f>
        <v>1941842</v>
      </c>
      <c r="N791" s="445">
        <f>'JKP-3.1c - Therms Data'!M96</f>
        <v>1979407</v>
      </c>
      <c r="O791" s="445">
        <f>'JKP-3.1c - Therms Data'!N96</f>
        <v>2787377</v>
      </c>
      <c r="P791" s="445">
        <f>'JKP-3.1c - Therms Data'!O96</f>
        <v>3842036</v>
      </c>
      <c r="Q791" s="445">
        <f>'JKP-3.1c - Therms Data'!P96</f>
        <v>3871544</v>
      </c>
      <c r="R791" s="477">
        <f>SUM(R785:R790)</f>
        <v>35208639</v>
      </c>
    </row>
    <row r="792" spans="1:18" s="336" customFormat="1" x14ac:dyDescent="0.2">
      <c r="B792" s="473" t="s">
        <v>74</v>
      </c>
      <c r="C792" s="415"/>
      <c r="D792" s="415"/>
      <c r="E792" s="415" t="s">
        <v>1076</v>
      </c>
      <c r="F792" s="478">
        <f>'JKP-3.1c - Data'!C177</f>
        <v>38483</v>
      </c>
      <c r="G792" s="478">
        <f>'JKP-3.1c - Data'!D177</f>
        <v>38483</v>
      </c>
      <c r="H792" s="478">
        <f>'JKP-3.1c - Data'!E177</f>
        <v>38483</v>
      </c>
      <c r="I792" s="478">
        <f>'JKP-3.1c - Data'!F177</f>
        <v>38483</v>
      </c>
      <c r="J792" s="478">
        <f>'JKP-3.1c - Data'!G177</f>
        <v>38483</v>
      </c>
      <c r="K792" s="478">
        <f>'JKP-3.1c - Data'!H177</f>
        <v>38483</v>
      </c>
      <c r="L792" s="478">
        <f>'JKP-3.1c - Data'!I177</f>
        <v>38483</v>
      </c>
      <c r="M792" s="478">
        <f>'JKP-3.1c - Data'!J177</f>
        <v>38483</v>
      </c>
      <c r="N792" s="478">
        <f>'JKP-3.1c - Data'!K177</f>
        <v>38483</v>
      </c>
      <c r="O792" s="478">
        <f>'JKP-3.1c - Data'!L177</f>
        <v>38483</v>
      </c>
      <c r="P792" s="478">
        <f>'JKP-3.1c - Data'!M177</f>
        <v>38483</v>
      </c>
      <c r="Q792" s="478">
        <f>'JKP-3.1c - Data'!N177</f>
        <v>38483</v>
      </c>
      <c r="R792" s="472">
        <f>SUM(F792:Q792)</f>
        <v>461796</v>
      </c>
    </row>
    <row r="793" spans="1:18" x14ac:dyDescent="0.2">
      <c r="B793" s="281"/>
      <c r="C793" s="390"/>
      <c r="D793" s="390"/>
      <c r="E793" s="390"/>
      <c r="F793" s="390"/>
      <c r="G793" s="390"/>
      <c r="H793" s="390"/>
      <c r="I793" s="390"/>
      <c r="J793" s="390"/>
      <c r="K793" s="390"/>
      <c r="L793" s="390"/>
      <c r="M793" s="390"/>
      <c r="N793" s="390"/>
      <c r="O793" s="390"/>
      <c r="P793" s="390"/>
      <c r="Q793" s="390"/>
      <c r="R793" s="469"/>
    </row>
    <row r="794" spans="1:18" x14ac:dyDescent="0.2">
      <c r="B794" s="471" t="s">
        <v>985</v>
      </c>
      <c r="C794" s="390"/>
      <c r="D794" s="390"/>
      <c r="E794" s="390"/>
      <c r="F794" s="390"/>
      <c r="G794" s="390"/>
      <c r="H794" s="390"/>
      <c r="I794" s="390"/>
      <c r="J794" s="390"/>
      <c r="K794" s="390"/>
      <c r="L794" s="390"/>
      <c r="M794" s="390"/>
      <c r="N794" s="390"/>
      <c r="O794" s="390"/>
      <c r="P794" s="390"/>
      <c r="Q794" s="390"/>
      <c r="R794" s="469"/>
    </row>
    <row r="795" spans="1:18" x14ac:dyDescent="0.2">
      <c r="A795" s="32" t="s">
        <v>1054</v>
      </c>
      <c r="B795" s="281" t="s">
        <v>1059</v>
      </c>
      <c r="C795" s="390"/>
      <c r="D795" s="390">
        <v>99</v>
      </c>
      <c r="E795" s="390"/>
      <c r="F795" s="417">
        <f t="shared" ref="F795:N795" si="218">F772*F783</f>
        <v>10312.68</v>
      </c>
      <c r="G795" s="417">
        <f t="shared" si="218"/>
        <v>10312.68</v>
      </c>
      <c r="H795" s="417">
        <f t="shared" si="218"/>
        <v>10312.68</v>
      </c>
      <c r="I795" s="417">
        <f t="shared" si="218"/>
        <v>10462.200000000001</v>
      </c>
      <c r="J795" s="417">
        <f t="shared" si="218"/>
        <v>10462.200000000001</v>
      </c>
      <c r="K795" s="417">
        <f t="shared" si="218"/>
        <v>10462.200000000001</v>
      </c>
      <c r="L795" s="417">
        <f t="shared" si="218"/>
        <v>10462.200000000001</v>
      </c>
      <c r="M795" s="417">
        <f t="shared" si="218"/>
        <v>10462.200000000001</v>
      </c>
      <c r="N795" s="417">
        <f t="shared" si="218"/>
        <v>10462.200000000001</v>
      </c>
      <c r="O795" s="417">
        <f>O772*O783</f>
        <v>10462.200000000001</v>
      </c>
      <c r="P795" s="417">
        <f>P772*P783</f>
        <v>10462.200000000001</v>
      </c>
      <c r="Q795" s="417">
        <f>Q772*Q783</f>
        <v>10462.200000000001</v>
      </c>
      <c r="R795" s="479">
        <f>SUM(F795:Q795)</f>
        <v>125097.83999999998</v>
      </c>
    </row>
    <row r="796" spans="1:18" x14ac:dyDescent="0.2">
      <c r="B796" s="281" t="s">
        <v>1114</v>
      </c>
      <c r="C796" s="390"/>
      <c r="D796" s="390"/>
      <c r="E796" s="390"/>
      <c r="F796" s="417"/>
      <c r="G796" s="417"/>
      <c r="H796" s="417"/>
      <c r="I796" s="417"/>
      <c r="J796" s="417"/>
      <c r="K796" s="417"/>
      <c r="L796" s="417"/>
      <c r="M796" s="417"/>
      <c r="N796" s="417"/>
      <c r="O796" s="417"/>
      <c r="P796" s="417"/>
      <c r="Q796" s="417"/>
      <c r="R796" s="479"/>
    </row>
    <row r="797" spans="1:18" x14ac:dyDescent="0.2">
      <c r="B797" s="281"/>
      <c r="C797" s="390" t="s">
        <v>1115</v>
      </c>
      <c r="D797" s="390">
        <v>99</v>
      </c>
      <c r="E797" s="390"/>
      <c r="F797" s="417">
        <f t="shared" ref="F797:Q802" si="219">F785*F774</f>
        <v>24624.949680000002</v>
      </c>
      <c r="G797" s="417">
        <f t="shared" si="219"/>
        <v>24223.106</v>
      </c>
      <c r="H797" s="417">
        <f t="shared" si="219"/>
        <v>24292.827430000001</v>
      </c>
      <c r="I797" s="417">
        <f t="shared" si="219"/>
        <v>22726.374049999999</v>
      </c>
      <c r="J797" s="417">
        <f t="shared" si="219"/>
        <v>21942.662510000002</v>
      </c>
      <c r="K797" s="417">
        <f t="shared" si="219"/>
        <v>23162.06093</v>
      </c>
      <c r="L797" s="417">
        <f t="shared" si="219"/>
        <v>22649.659220000001</v>
      </c>
      <c r="M797" s="417">
        <f t="shared" si="219"/>
        <v>22152.505669999999</v>
      </c>
      <c r="N797" s="417">
        <f t="shared" si="219"/>
        <v>23135.58843</v>
      </c>
      <c r="O797" s="417">
        <f t="shared" si="219"/>
        <v>26074.24771</v>
      </c>
      <c r="P797" s="417">
        <f t="shared" si="219"/>
        <v>29010.153849999999</v>
      </c>
      <c r="Q797" s="417">
        <f t="shared" si="219"/>
        <v>29496.50662</v>
      </c>
      <c r="R797" s="479">
        <f t="shared" ref="R797:R802" si="220">SUM(F797:Q797)</f>
        <v>293490.6421</v>
      </c>
    </row>
    <row r="798" spans="1:18" x14ac:dyDescent="0.2">
      <c r="B798" s="281"/>
      <c r="C798" s="390" t="s">
        <v>1116</v>
      </c>
      <c r="D798" s="390">
        <v>99</v>
      </c>
      <c r="E798" s="390"/>
      <c r="F798" s="417">
        <f t="shared" si="219"/>
        <v>10435.34736</v>
      </c>
      <c r="G798" s="417">
        <f t="shared" si="219"/>
        <v>9764.6000400000012</v>
      </c>
      <c r="H798" s="417">
        <f t="shared" si="219"/>
        <v>9938.0619000000006</v>
      </c>
      <c r="I798" s="417">
        <f t="shared" si="219"/>
        <v>9588.6066600000013</v>
      </c>
      <c r="J798" s="417">
        <f t="shared" si="219"/>
        <v>9467.2519200000006</v>
      </c>
      <c r="K798" s="417">
        <f t="shared" si="219"/>
        <v>10130.31136</v>
      </c>
      <c r="L798" s="417">
        <f t="shared" si="219"/>
        <v>10091.32293</v>
      </c>
      <c r="M798" s="417">
        <f t="shared" si="219"/>
        <v>10078.25</v>
      </c>
      <c r="N798" s="417">
        <f t="shared" si="219"/>
        <v>10356.06416</v>
      </c>
      <c r="O798" s="417">
        <f t="shared" si="219"/>
        <v>10584.062970000001</v>
      </c>
      <c r="P798" s="417">
        <f t="shared" si="219"/>
        <v>11623.73524</v>
      </c>
      <c r="Q798" s="417">
        <f t="shared" si="219"/>
        <v>11891.52874</v>
      </c>
      <c r="R798" s="479">
        <f t="shared" si="220"/>
        <v>123949.14327999999</v>
      </c>
    </row>
    <row r="799" spans="1:18" x14ac:dyDescent="0.2">
      <c r="B799" s="281"/>
      <c r="C799" s="390" t="s">
        <v>1117</v>
      </c>
      <c r="D799" s="390">
        <v>99</v>
      </c>
      <c r="E799" s="390"/>
      <c r="F799" s="417">
        <f t="shared" si="219"/>
        <v>11074</v>
      </c>
      <c r="G799" s="417">
        <f t="shared" si="219"/>
        <v>11074</v>
      </c>
      <c r="H799" s="417">
        <f t="shared" si="219"/>
        <v>11074</v>
      </c>
      <c r="I799" s="417">
        <f t="shared" si="219"/>
        <v>11074</v>
      </c>
      <c r="J799" s="417">
        <f t="shared" si="219"/>
        <v>11074</v>
      </c>
      <c r="K799" s="417">
        <f t="shared" si="219"/>
        <v>12092.499999999998</v>
      </c>
      <c r="L799" s="417">
        <f t="shared" si="219"/>
        <v>12092.499999999998</v>
      </c>
      <c r="M799" s="417">
        <f t="shared" si="219"/>
        <v>12092.499999999998</v>
      </c>
      <c r="N799" s="417">
        <f t="shared" si="219"/>
        <v>12092.499999999998</v>
      </c>
      <c r="O799" s="417">
        <f t="shared" si="219"/>
        <v>12092.499999999998</v>
      </c>
      <c r="P799" s="417">
        <f t="shared" si="219"/>
        <v>12092.499999999998</v>
      </c>
      <c r="Q799" s="417">
        <f t="shared" si="219"/>
        <v>12092.499999999998</v>
      </c>
      <c r="R799" s="479">
        <f t="shared" si="220"/>
        <v>140017.5</v>
      </c>
    </row>
    <row r="800" spans="1:18" x14ac:dyDescent="0.2">
      <c r="B800" s="281"/>
      <c r="C800" s="390" t="s">
        <v>19</v>
      </c>
      <c r="D800" s="390">
        <v>99</v>
      </c>
      <c r="E800" s="390"/>
      <c r="F800" s="417">
        <f t="shared" si="219"/>
        <v>14770</v>
      </c>
      <c r="G800" s="417">
        <f t="shared" si="219"/>
        <v>14770</v>
      </c>
      <c r="H800" s="417">
        <f t="shared" si="219"/>
        <v>14770</v>
      </c>
      <c r="I800" s="417">
        <f t="shared" si="219"/>
        <v>14706.278</v>
      </c>
      <c r="J800" s="417">
        <f t="shared" si="219"/>
        <v>14055.258600000001</v>
      </c>
      <c r="K800" s="417">
        <f t="shared" si="219"/>
        <v>12837.772800000001</v>
      </c>
      <c r="L800" s="417">
        <f t="shared" si="219"/>
        <v>12321.03168</v>
      </c>
      <c r="M800" s="417">
        <f t="shared" si="219"/>
        <v>12234.032640000001</v>
      </c>
      <c r="N800" s="417">
        <f t="shared" si="219"/>
        <v>12176.893440000002</v>
      </c>
      <c r="O800" s="417">
        <f t="shared" si="219"/>
        <v>15324.595200000002</v>
      </c>
      <c r="P800" s="417">
        <f t="shared" si="219"/>
        <v>16128.000000000002</v>
      </c>
      <c r="Q800" s="417">
        <f t="shared" si="219"/>
        <v>16128.000000000002</v>
      </c>
      <c r="R800" s="479">
        <f t="shared" si="220"/>
        <v>170221.86236</v>
      </c>
    </row>
    <row r="801" spans="1:18" x14ac:dyDescent="0.2">
      <c r="B801" s="281"/>
      <c r="C801" s="390" t="s">
        <v>19</v>
      </c>
      <c r="D801" s="390">
        <v>99</v>
      </c>
      <c r="E801" s="390"/>
      <c r="F801" s="417">
        <f t="shared" si="219"/>
        <v>9735.1534000000011</v>
      </c>
      <c r="G801" s="417">
        <f t="shared" si="219"/>
        <v>8965.6686000000009</v>
      </c>
      <c r="H801" s="417">
        <f t="shared" si="219"/>
        <v>9332.5660399999997</v>
      </c>
      <c r="I801" s="417">
        <f t="shared" si="219"/>
        <v>8357.8009199999997</v>
      </c>
      <c r="J801" s="417">
        <f t="shared" si="219"/>
        <v>6681.7826600000008</v>
      </c>
      <c r="K801" s="417">
        <f t="shared" si="219"/>
        <v>3926.6380800000002</v>
      </c>
      <c r="L801" s="417">
        <f t="shared" si="219"/>
        <v>3814.3526400000001</v>
      </c>
      <c r="M801" s="417">
        <f t="shared" si="219"/>
        <v>3614.1465600000001</v>
      </c>
      <c r="N801" s="417">
        <f t="shared" si="219"/>
        <v>3969.6825600000002</v>
      </c>
      <c r="O801" s="417">
        <f t="shared" si="219"/>
        <v>7708.48704</v>
      </c>
      <c r="P801" s="417">
        <f t="shared" si="219"/>
        <v>9785.0246399999996</v>
      </c>
      <c r="Q801" s="417">
        <f t="shared" si="219"/>
        <v>10030.71168</v>
      </c>
      <c r="R801" s="479">
        <f t="shared" si="220"/>
        <v>85922.014819999982</v>
      </c>
    </row>
    <row r="802" spans="1:18" x14ac:dyDescent="0.2">
      <c r="B802" s="281"/>
      <c r="C802" s="390" t="s">
        <v>1118</v>
      </c>
      <c r="D802" s="390">
        <v>99</v>
      </c>
      <c r="E802" s="390"/>
      <c r="F802" s="417">
        <f t="shared" si="219"/>
        <v>14755.283280000001</v>
      </c>
      <c r="G802" s="417">
        <f t="shared" si="219"/>
        <v>13663.22334</v>
      </c>
      <c r="H802" s="417">
        <f t="shared" si="219"/>
        <v>16606.6659</v>
      </c>
      <c r="I802" s="417">
        <f t="shared" si="219"/>
        <v>13140.629060000001</v>
      </c>
      <c r="J802" s="417">
        <f t="shared" si="219"/>
        <v>10133.4195</v>
      </c>
      <c r="K802" s="417">
        <f t="shared" si="219"/>
        <v>7908.4749599999996</v>
      </c>
      <c r="L802" s="417">
        <f t="shared" si="219"/>
        <v>5894.9961299999995</v>
      </c>
      <c r="M802" s="417">
        <f t="shared" si="219"/>
        <v>5380.87896</v>
      </c>
      <c r="N802" s="417">
        <f t="shared" si="219"/>
        <v>5442.5955800000002</v>
      </c>
      <c r="O802" s="417">
        <f t="shared" si="219"/>
        <v>10314.479319999999</v>
      </c>
      <c r="P802" s="417">
        <f t="shared" si="219"/>
        <v>20142.17772</v>
      </c>
      <c r="Q802" s="417">
        <f t="shared" si="219"/>
        <v>20211.778689999999</v>
      </c>
      <c r="R802" s="479">
        <f t="shared" si="220"/>
        <v>143594.60244000002</v>
      </c>
    </row>
    <row r="803" spans="1:18" x14ac:dyDescent="0.2">
      <c r="A803" s="32" t="s">
        <v>1054</v>
      </c>
      <c r="B803" s="281"/>
      <c r="C803" s="390" t="s">
        <v>1120</v>
      </c>
      <c r="D803" s="390">
        <v>99</v>
      </c>
      <c r="E803" s="390"/>
      <c r="F803" s="365">
        <f t="shared" ref="F803:N803" si="221">SUM(F797:F802)</f>
        <v>85394.733720000004</v>
      </c>
      <c r="G803" s="365">
        <f t="shared" si="221"/>
        <v>82460.597980000006</v>
      </c>
      <c r="H803" s="365">
        <f t="shared" si="221"/>
        <v>86014.121270000003</v>
      </c>
      <c r="I803" s="365">
        <f t="shared" si="221"/>
        <v>79593.68869000001</v>
      </c>
      <c r="J803" s="365">
        <f t="shared" si="221"/>
        <v>73354.375190000006</v>
      </c>
      <c r="K803" s="365">
        <f t="shared" si="221"/>
        <v>70057.758130000002</v>
      </c>
      <c r="L803" s="365">
        <f t="shared" si="221"/>
        <v>66863.862599999993</v>
      </c>
      <c r="M803" s="365">
        <f t="shared" si="221"/>
        <v>65552.313829999999</v>
      </c>
      <c r="N803" s="365">
        <f t="shared" si="221"/>
        <v>67173.324169999993</v>
      </c>
      <c r="O803" s="365">
        <f>SUM(O797:O802)</f>
        <v>82098.372240000012</v>
      </c>
      <c r="P803" s="365">
        <f>SUM(P797:P802)</f>
        <v>98781.591450000007</v>
      </c>
      <c r="Q803" s="365">
        <f>SUM(Q797:Q802)</f>
        <v>99851.025730000023</v>
      </c>
      <c r="R803" s="480">
        <f>SUM(R797:R802)</f>
        <v>957195.76500000013</v>
      </c>
    </row>
    <row r="804" spans="1:18" x14ac:dyDescent="0.2">
      <c r="A804" s="32" t="s">
        <v>1054</v>
      </c>
      <c r="B804" s="281" t="s">
        <v>1069</v>
      </c>
      <c r="C804" s="390"/>
      <c r="D804" s="390">
        <v>99</v>
      </c>
      <c r="E804" s="390"/>
      <c r="F804" s="417">
        <f t="shared" ref="F804:M804" si="222">F780*F792</f>
        <v>42331.3</v>
      </c>
      <c r="G804" s="417">
        <f t="shared" si="222"/>
        <v>42331.3</v>
      </c>
      <c r="H804" s="417">
        <f t="shared" si="222"/>
        <v>42331.3</v>
      </c>
      <c r="I804" s="417">
        <f t="shared" si="222"/>
        <v>42716.130000000005</v>
      </c>
      <c r="J804" s="417">
        <f t="shared" si="222"/>
        <v>42716.130000000005</v>
      </c>
      <c r="K804" s="417">
        <f t="shared" si="222"/>
        <v>42716.130000000005</v>
      </c>
      <c r="L804" s="417">
        <f t="shared" si="222"/>
        <v>42716.130000000005</v>
      </c>
      <c r="M804" s="417">
        <f t="shared" si="222"/>
        <v>42716.130000000005</v>
      </c>
      <c r="N804" s="417">
        <f>N780*N792</f>
        <v>42716.130000000005</v>
      </c>
      <c r="O804" s="417">
        <f>O780*O792</f>
        <v>42716.130000000005</v>
      </c>
      <c r="P804" s="417">
        <f>P780*P792</f>
        <v>42716.130000000005</v>
      </c>
      <c r="Q804" s="417">
        <f>Q780*Q792</f>
        <v>42716.130000000005</v>
      </c>
      <c r="R804" s="479">
        <f>SUM(F804:Q804)</f>
        <v>511439.07000000007</v>
      </c>
    </row>
    <row r="805" spans="1:18" ht="13.5" thickBot="1" x14ac:dyDescent="0.25">
      <c r="B805" s="481" t="s">
        <v>986</v>
      </c>
      <c r="C805" s="482"/>
      <c r="D805" s="482"/>
      <c r="E805" s="482"/>
      <c r="F805" s="483">
        <f t="shared" ref="F805:N805" si="223">F795+F803+F804</f>
        <v>138038.71372</v>
      </c>
      <c r="G805" s="483">
        <f t="shared" si="223"/>
        <v>135104.57798</v>
      </c>
      <c r="H805" s="483">
        <f t="shared" si="223"/>
        <v>138658.10126999998</v>
      </c>
      <c r="I805" s="483">
        <f t="shared" si="223"/>
        <v>132772.01869</v>
      </c>
      <c r="J805" s="483">
        <f t="shared" si="223"/>
        <v>126532.70519000001</v>
      </c>
      <c r="K805" s="483">
        <f t="shared" si="223"/>
        <v>123236.08813</v>
      </c>
      <c r="L805" s="483">
        <f t="shared" si="223"/>
        <v>120042.19259999999</v>
      </c>
      <c r="M805" s="483">
        <f t="shared" si="223"/>
        <v>118730.64383</v>
      </c>
      <c r="N805" s="483">
        <f t="shared" si="223"/>
        <v>120351.65416999999</v>
      </c>
      <c r="O805" s="483">
        <f>O795+O803+O804</f>
        <v>135276.70224000001</v>
      </c>
      <c r="P805" s="483">
        <f>P795+P803+P804</f>
        <v>151959.92145000002</v>
      </c>
      <c r="Q805" s="483">
        <f>Q795+Q803+Q804</f>
        <v>153029.35573000001</v>
      </c>
      <c r="R805" s="484">
        <f>R795+R803+R804</f>
        <v>1593732.6750000003</v>
      </c>
    </row>
    <row r="806" spans="1:18" x14ac:dyDescent="0.2">
      <c r="F806" s="364"/>
      <c r="G806" s="364"/>
      <c r="H806" s="364"/>
      <c r="I806" s="364"/>
      <c r="J806" s="364"/>
      <c r="K806" s="364"/>
      <c r="L806" s="364"/>
      <c r="M806" s="364"/>
      <c r="N806" s="364"/>
      <c r="O806" s="364"/>
      <c r="P806" s="364"/>
      <c r="Q806" s="364"/>
      <c r="R806" s="364"/>
    </row>
    <row r="807" spans="1:18" x14ac:dyDescent="0.2">
      <c r="B807" s="276" t="s">
        <v>1001</v>
      </c>
    </row>
    <row r="808" spans="1:18" x14ac:dyDescent="0.2">
      <c r="B808" s="276" t="s">
        <v>1002</v>
      </c>
    </row>
    <row r="809" spans="1:18" x14ac:dyDescent="0.2">
      <c r="B809" s="277" t="s">
        <v>9</v>
      </c>
      <c r="D809" s="32">
        <v>16</v>
      </c>
      <c r="F809" s="279">
        <f>F21</f>
        <v>54</v>
      </c>
      <c r="G809" s="279">
        <f t="shared" ref="G809:Q809" si="224">G21</f>
        <v>54</v>
      </c>
      <c r="H809" s="279">
        <f t="shared" si="224"/>
        <v>54</v>
      </c>
      <c r="I809" s="279">
        <f t="shared" si="224"/>
        <v>54</v>
      </c>
      <c r="J809" s="279">
        <f t="shared" si="224"/>
        <v>53.999999999999993</v>
      </c>
      <c r="K809" s="279">
        <f t="shared" si="224"/>
        <v>54</v>
      </c>
      <c r="L809" s="279">
        <f t="shared" si="224"/>
        <v>53</v>
      </c>
      <c r="M809" s="279">
        <f t="shared" si="224"/>
        <v>53</v>
      </c>
      <c r="N809" s="279">
        <f t="shared" si="224"/>
        <v>53</v>
      </c>
      <c r="O809" s="279">
        <f t="shared" si="224"/>
        <v>53</v>
      </c>
      <c r="P809" s="279">
        <f t="shared" si="224"/>
        <v>53</v>
      </c>
      <c r="Q809" s="279">
        <f t="shared" si="224"/>
        <v>53</v>
      </c>
      <c r="R809" s="378">
        <f>SUM(F809:Q809)</f>
        <v>642</v>
      </c>
    </row>
    <row r="810" spans="1:18" x14ac:dyDescent="0.2">
      <c r="B810" s="277"/>
      <c r="F810" s="279"/>
      <c r="G810" s="279"/>
      <c r="H810" s="279"/>
      <c r="I810" s="279"/>
      <c r="J810" s="279"/>
      <c r="K810" s="279"/>
      <c r="L810" s="279"/>
      <c r="M810" s="279"/>
      <c r="N810" s="279"/>
      <c r="O810" s="279"/>
      <c r="P810" s="279"/>
      <c r="Q810" s="279"/>
      <c r="R810" s="279"/>
    </row>
    <row r="811" spans="1:18" x14ac:dyDescent="0.2">
      <c r="B811" s="32" t="s">
        <v>1121</v>
      </c>
    </row>
    <row r="812" spans="1:18" x14ac:dyDescent="0.2">
      <c r="C812" s="32" t="s">
        <v>374</v>
      </c>
      <c r="D812" s="32">
        <v>23</v>
      </c>
      <c r="F812" s="279">
        <f t="shared" ref="F812:N812" si="225">F44</f>
        <v>699965</v>
      </c>
      <c r="G812" s="279">
        <f t="shared" si="225"/>
        <v>701215</v>
      </c>
      <c r="H812" s="279">
        <f t="shared" si="225"/>
        <v>702257</v>
      </c>
      <c r="I812" s="279">
        <f t="shared" si="225"/>
        <v>702573</v>
      </c>
      <c r="J812" s="279">
        <f t="shared" si="225"/>
        <v>703246</v>
      </c>
      <c r="K812" s="279">
        <f t="shared" si="225"/>
        <v>704366</v>
      </c>
      <c r="L812" s="279">
        <f t="shared" si="225"/>
        <v>704758</v>
      </c>
      <c r="M812" s="279">
        <f t="shared" si="225"/>
        <v>703964</v>
      </c>
      <c r="N812" s="279">
        <f t="shared" si="225"/>
        <v>705153</v>
      </c>
      <c r="O812" s="279">
        <f>O44</f>
        <v>704137</v>
      </c>
      <c r="P812" s="279">
        <f>P44</f>
        <v>704666</v>
      </c>
      <c r="Q812" s="279">
        <f>Q44</f>
        <v>705036</v>
      </c>
      <c r="R812" s="378">
        <f t="shared" ref="R812:R831" si="226">SUM(F812:Q812)</f>
        <v>8441336</v>
      </c>
    </row>
    <row r="813" spans="1:18" x14ac:dyDescent="0.2">
      <c r="C813" s="32" t="s">
        <v>1122</v>
      </c>
      <c r="D813" s="32">
        <v>53</v>
      </c>
      <c r="F813" s="279">
        <f t="shared" ref="F813:N813" si="227">F62</f>
        <v>5</v>
      </c>
      <c r="G813" s="279">
        <f t="shared" si="227"/>
        <v>5</v>
      </c>
      <c r="H813" s="279">
        <f t="shared" si="227"/>
        <v>5</v>
      </c>
      <c r="I813" s="279">
        <f t="shared" si="227"/>
        <v>5</v>
      </c>
      <c r="J813" s="279">
        <f t="shared" si="227"/>
        <v>5</v>
      </c>
      <c r="K813" s="279">
        <f t="shared" si="227"/>
        <v>5</v>
      </c>
      <c r="L813" s="279">
        <f t="shared" si="227"/>
        <v>6</v>
      </c>
      <c r="M813" s="279">
        <f t="shared" si="227"/>
        <v>6</v>
      </c>
      <c r="N813" s="279">
        <f t="shared" si="227"/>
        <v>5</v>
      </c>
      <c r="O813" s="279">
        <f>O62</f>
        <v>5</v>
      </c>
      <c r="P813" s="279">
        <f>P62</f>
        <v>5</v>
      </c>
      <c r="Q813" s="279">
        <f>Q62</f>
        <v>4</v>
      </c>
      <c r="R813" s="378">
        <f t="shared" si="226"/>
        <v>61</v>
      </c>
    </row>
    <row r="814" spans="1:18" x14ac:dyDescent="0.2">
      <c r="C814" s="32" t="s">
        <v>1123</v>
      </c>
      <c r="D814" s="32">
        <v>31</v>
      </c>
      <c r="F814" s="279">
        <f t="shared" ref="F814:N814" si="228">F91</f>
        <v>52658</v>
      </c>
      <c r="G814" s="279">
        <f t="shared" si="228"/>
        <v>52610</v>
      </c>
      <c r="H814" s="279">
        <f t="shared" si="228"/>
        <v>52574</v>
      </c>
      <c r="I814" s="279">
        <f t="shared" si="228"/>
        <v>52525</v>
      </c>
      <c r="J814" s="279">
        <f t="shared" si="228"/>
        <v>52396</v>
      </c>
      <c r="K814" s="279">
        <f t="shared" si="228"/>
        <v>52307</v>
      </c>
      <c r="L814" s="279">
        <f t="shared" si="228"/>
        <v>52272</v>
      </c>
      <c r="M814" s="279">
        <f t="shared" si="228"/>
        <v>52234</v>
      </c>
      <c r="N814" s="279">
        <f t="shared" si="228"/>
        <v>52221</v>
      </c>
      <c r="O814" s="279">
        <f>O91</f>
        <v>52328</v>
      </c>
      <c r="P814" s="279">
        <f>P91</f>
        <v>52300</v>
      </c>
      <c r="Q814" s="279">
        <f>Q91</f>
        <v>52414</v>
      </c>
      <c r="R814" s="378">
        <f t="shared" si="226"/>
        <v>628839</v>
      </c>
    </row>
    <row r="815" spans="1:18" x14ac:dyDescent="0.2">
      <c r="C815" s="32" t="s">
        <v>1124</v>
      </c>
      <c r="D815" s="32">
        <v>41</v>
      </c>
      <c r="F815" s="279">
        <f t="shared" ref="F815:N815" si="229">F117</f>
        <v>1953</v>
      </c>
      <c r="G815" s="279">
        <f t="shared" si="229"/>
        <v>1949</v>
      </c>
      <c r="H815" s="279">
        <f t="shared" si="229"/>
        <v>1949</v>
      </c>
      <c r="I815" s="279">
        <f t="shared" si="229"/>
        <v>1951</v>
      </c>
      <c r="J815" s="279">
        <f t="shared" si="229"/>
        <v>1946</v>
      </c>
      <c r="K815" s="279">
        <f t="shared" si="229"/>
        <v>1952</v>
      </c>
      <c r="L815" s="279">
        <f t="shared" si="229"/>
        <v>1951</v>
      </c>
      <c r="M815" s="279">
        <f t="shared" si="229"/>
        <v>1936</v>
      </c>
      <c r="N815" s="279">
        <f t="shared" si="229"/>
        <v>1923</v>
      </c>
      <c r="O815" s="279">
        <f>O117</f>
        <v>1902</v>
      </c>
      <c r="P815" s="279">
        <f>P117</f>
        <v>1884</v>
      </c>
      <c r="Q815" s="279">
        <f>Q117</f>
        <v>1883</v>
      </c>
      <c r="R815" s="378">
        <f t="shared" si="226"/>
        <v>23179</v>
      </c>
    </row>
    <row r="816" spans="1:18" x14ac:dyDescent="0.2">
      <c r="C816" s="32" t="s">
        <v>1125</v>
      </c>
      <c r="D816" s="444" t="s">
        <v>808</v>
      </c>
      <c r="F816" s="279">
        <f t="shared" ref="F816:N816" si="230">F156</f>
        <v>10</v>
      </c>
      <c r="G816" s="279">
        <f t="shared" si="230"/>
        <v>10</v>
      </c>
      <c r="H816" s="279">
        <f t="shared" si="230"/>
        <v>10</v>
      </c>
      <c r="I816" s="279">
        <f t="shared" si="230"/>
        <v>10</v>
      </c>
      <c r="J816" s="279">
        <f t="shared" si="230"/>
        <v>10</v>
      </c>
      <c r="K816" s="279">
        <f t="shared" si="230"/>
        <v>10</v>
      </c>
      <c r="L816" s="279">
        <f t="shared" si="230"/>
        <v>10</v>
      </c>
      <c r="M816" s="279">
        <f t="shared" si="230"/>
        <v>10</v>
      </c>
      <c r="N816" s="279">
        <f t="shared" si="230"/>
        <v>11</v>
      </c>
      <c r="O816" s="279">
        <f>O156</f>
        <v>12</v>
      </c>
      <c r="P816" s="279">
        <f>P156</f>
        <v>20</v>
      </c>
      <c r="Q816" s="279">
        <f>Q156</f>
        <v>30</v>
      </c>
      <c r="R816" s="378">
        <f t="shared" si="226"/>
        <v>153</v>
      </c>
    </row>
    <row r="817" spans="3:18" x14ac:dyDescent="0.2">
      <c r="C817" s="32" t="s">
        <v>1126</v>
      </c>
      <c r="D817" s="444" t="s">
        <v>809</v>
      </c>
      <c r="F817" s="279">
        <f t="shared" ref="F817:N817" si="231">F192</f>
        <v>35</v>
      </c>
      <c r="G817" s="279">
        <f t="shared" si="231"/>
        <v>37</v>
      </c>
      <c r="H817" s="279">
        <f t="shared" si="231"/>
        <v>36</v>
      </c>
      <c r="I817" s="279">
        <f t="shared" si="231"/>
        <v>36</v>
      </c>
      <c r="J817" s="279">
        <f t="shared" si="231"/>
        <v>37</v>
      </c>
      <c r="K817" s="279">
        <f t="shared" si="231"/>
        <v>37</v>
      </c>
      <c r="L817" s="279">
        <f t="shared" si="231"/>
        <v>37</v>
      </c>
      <c r="M817" s="279">
        <f>M192</f>
        <v>37</v>
      </c>
      <c r="N817" s="279">
        <f t="shared" si="231"/>
        <v>37</v>
      </c>
      <c r="O817" s="279">
        <f>O192</f>
        <v>36</v>
      </c>
      <c r="P817" s="279">
        <f>P192</f>
        <v>35</v>
      </c>
      <c r="Q817" s="279">
        <f>Q192</f>
        <v>35</v>
      </c>
      <c r="R817" s="378">
        <f t="shared" si="226"/>
        <v>435</v>
      </c>
    </row>
    <row r="818" spans="3:18" x14ac:dyDescent="0.2">
      <c r="C818" s="32" t="s">
        <v>1127</v>
      </c>
      <c r="D818" s="444" t="s">
        <v>811</v>
      </c>
      <c r="F818" s="279">
        <f t="shared" ref="F818:N818" si="232">F230</f>
        <v>2</v>
      </c>
      <c r="G818" s="279">
        <f t="shared" si="232"/>
        <v>2</v>
      </c>
      <c r="H818" s="279">
        <f t="shared" si="232"/>
        <v>2</v>
      </c>
      <c r="I818" s="279">
        <f t="shared" si="232"/>
        <v>2</v>
      </c>
      <c r="J818" s="279">
        <f t="shared" si="232"/>
        <v>2</v>
      </c>
      <c r="K818" s="279">
        <f t="shared" si="232"/>
        <v>2</v>
      </c>
      <c r="L818" s="279">
        <f t="shared" si="232"/>
        <v>2</v>
      </c>
      <c r="M818" s="279">
        <f t="shared" si="232"/>
        <v>2</v>
      </c>
      <c r="N818" s="279">
        <f t="shared" si="232"/>
        <v>2</v>
      </c>
      <c r="O818" s="279">
        <f>O230</f>
        <v>2</v>
      </c>
      <c r="P818" s="279">
        <f>P230</f>
        <v>2</v>
      </c>
      <c r="Q818" s="279">
        <f>Q230</f>
        <v>2</v>
      </c>
      <c r="R818" s="378">
        <f t="shared" si="226"/>
        <v>24</v>
      </c>
    </row>
    <row r="819" spans="3:18" x14ac:dyDescent="0.2">
      <c r="C819" s="32" t="s">
        <v>1128</v>
      </c>
      <c r="D819" s="32">
        <v>85</v>
      </c>
      <c r="F819" s="279">
        <f t="shared" ref="F819:N819" si="233">F287</f>
        <v>25</v>
      </c>
      <c r="G819" s="279">
        <f t="shared" si="233"/>
        <v>25</v>
      </c>
      <c r="H819" s="279">
        <f t="shared" si="233"/>
        <v>27</v>
      </c>
      <c r="I819" s="279">
        <f t="shared" si="233"/>
        <v>27</v>
      </c>
      <c r="J819" s="279">
        <f t="shared" si="233"/>
        <v>27</v>
      </c>
      <c r="K819" s="279">
        <f t="shared" si="233"/>
        <v>27</v>
      </c>
      <c r="L819" s="279">
        <f t="shared" si="233"/>
        <v>27</v>
      </c>
      <c r="M819" s="279">
        <f t="shared" si="233"/>
        <v>28</v>
      </c>
      <c r="N819" s="279">
        <f t="shared" si="233"/>
        <v>27</v>
      </c>
      <c r="O819" s="279">
        <f>O287</f>
        <v>27</v>
      </c>
      <c r="P819" s="279">
        <f>P287</f>
        <v>27</v>
      </c>
      <c r="Q819" s="279">
        <f>Q287</f>
        <v>27</v>
      </c>
      <c r="R819" s="378">
        <f t="shared" si="226"/>
        <v>321</v>
      </c>
    </row>
    <row r="820" spans="3:18" x14ac:dyDescent="0.2">
      <c r="C820" s="32" t="s">
        <v>1129</v>
      </c>
      <c r="D820" s="32">
        <v>86</v>
      </c>
      <c r="F820" s="279">
        <f t="shared" ref="F820:N820" si="234">F331</f>
        <v>334</v>
      </c>
      <c r="G820" s="279">
        <f t="shared" si="234"/>
        <v>334</v>
      </c>
      <c r="H820" s="279">
        <f t="shared" si="234"/>
        <v>330</v>
      </c>
      <c r="I820" s="279">
        <f t="shared" si="234"/>
        <v>327</v>
      </c>
      <c r="J820" s="279">
        <f t="shared" si="234"/>
        <v>329</v>
      </c>
      <c r="K820" s="279">
        <f t="shared" si="234"/>
        <v>329</v>
      </c>
      <c r="L820" s="279">
        <f t="shared" si="234"/>
        <v>326</v>
      </c>
      <c r="M820" s="279">
        <f t="shared" si="234"/>
        <v>324</v>
      </c>
      <c r="N820" s="279">
        <f t="shared" si="234"/>
        <v>320</v>
      </c>
      <c r="O820" s="279">
        <f>O331</f>
        <v>317</v>
      </c>
      <c r="P820" s="279">
        <f>P331</f>
        <v>318</v>
      </c>
      <c r="Q820" s="279">
        <f>Q331</f>
        <v>317</v>
      </c>
      <c r="R820" s="378">
        <f t="shared" si="226"/>
        <v>3905</v>
      </c>
    </row>
    <row r="821" spans="3:18" x14ac:dyDescent="0.2">
      <c r="C821" s="32" t="s">
        <v>1130</v>
      </c>
      <c r="D821" s="32">
        <v>87</v>
      </c>
      <c r="F821" s="279">
        <f t="shared" ref="F821:N821" si="235">F377</f>
        <v>8</v>
      </c>
      <c r="G821" s="279">
        <f t="shared" si="235"/>
        <v>8</v>
      </c>
      <c r="H821" s="279">
        <f t="shared" si="235"/>
        <v>8</v>
      </c>
      <c r="I821" s="279">
        <f t="shared" si="235"/>
        <v>8</v>
      </c>
      <c r="J821" s="279">
        <f t="shared" si="235"/>
        <v>8</v>
      </c>
      <c r="K821" s="279">
        <f t="shared" si="235"/>
        <v>8</v>
      </c>
      <c r="L821" s="279">
        <f t="shared" si="235"/>
        <v>8</v>
      </c>
      <c r="M821" s="279">
        <f t="shared" si="235"/>
        <v>8</v>
      </c>
      <c r="N821" s="279">
        <f t="shared" si="235"/>
        <v>8</v>
      </c>
      <c r="O821" s="279">
        <f>O377</f>
        <v>8</v>
      </c>
      <c r="P821" s="279">
        <f>P377</f>
        <v>8</v>
      </c>
      <c r="Q821" s="279">
        <f>Q377</f>
        <v>8</v>
      </c>
      <c r="R821" s="378">
        <f t="shared" si="226"/>
        <v>96</v>
      </c>
    </row>
    <row r="822" spans="3:18" x14ac:dyDescent="0.2">
      <c r="C822" s="32" t="s">
        <v>1131</v>
      </c>
      <c r="D822" s="32">
        <v>31</v>
      </c>
      <c r="F822" s="279">
        <f t="shared" ref="F822:N822" si="236">F419</f>
        <v>2456</v>
      </c>
      <c r="G822" s="279">
        <f t="shared" si="236"/>
        <v>2452</v>
      </c>
      <c r="H822" s="279">
        <f t="shared" si="236"/>
        <v>2438</v>
      </c>
      <c r="I822" s="279">
        <f t="shared" si="236"/>
        <v>2426.02</v>
      </c>
      <c r="J822" s="279">
        <f t="shared" si="236"/>
        <v>2428</v>
      </c>
      <c r="K822" s="279">
        <f t="shared" si="236"/>
        <v>2444</v>
      </c>
      <c r="L822" s="279">
        <f t="shared" si="236"/>
        <v>2423</v>
      </c>
      <c r="M822" s="279">
        <f t="shared" si="236"/>
        <v>2413</v>
      </c>
      <c r="N822" s="279">
        <f t="shared" si="236"/>
        <v>2412</v>
      </c>
      <c r="O822" s="279">
        <f>O419</f>
        <v>2421</v>
      </c>
      <c r="P822" s="279">
        <f>P419</f>
        <v>2419</v>
      </c>
      <c r="Q822" s="279">
        <f>Q419</f>
        <v>2423</v>
      </c>
      <c r="R822" s="378">
        <f t="shared" si="226"/>
        <v>29155.02</v>
      </c>
    </row>
    <row r="823" spans="3:18" x14ac:dyDescent="0.2">
      <c r="C823" s="32" t="s">
        <v>1132</v>
      </c>
      <c r="D823" s="32">
        <v>41</v>
      </c>
      <c r="F823" s="279">
        <f t="shared" ref="F823:N823" si="237">F445</f>
        <v>113</v>
      </c>
      <c r="G823" s="279">
        <f t="shared" si="237"/>
        <v>114</v>
      </c>
      <c r="H823" s="279">
        <f t="shared" si="237"/>
        <v>115</v>
      </c>
      <c r="I823" s="279">
        <f t="shared" si="237"/>
        <v>115.00999999999999</v>
      </c>
      <c r="J823" s="279">
        <f t="shared" si="237"/>
        <v>116</v>
      </c>
      <c r="K823" s="279">
        <f t="shared" si="237"/>
        <v>117</v>
      </c>
      <c r="L823" s="279">
        <f t="shared" si="237"/>
        <v>116</v>
      </c>
      <c r="M823" s="279">
        <f t="shared" si="237"/>
        <v>114</v>
      </c>
      <c r="N823" s="279">
        <f t="shared" si="237"/>
        <v>117</v>
      </c>
      <c r="O823" s="279">
        <f>O445</f>
        <v>115</v>
      </c>
      <c r="P823" s="279">
        <f>P445</f>
        <v>114</v>
      </c>
      <c r="Q823" s="279">
        <f>Q445</f>
        <v>113</v>
      </c>
      <c r="R823" s="378">
        <f t="shared" si="226"/>
        <v>1379.01</v>
      </c>
    </row>
    <row r="824" spans="3:18" x14ac:dyDescent="0.2">
      <c r="C824" s="32" t="s">
        <v>1133</v>
      </c>
      <c r="D824" s="444" t="s">
        <v>808</v>
      </c>
      <c r="F824" s="279">
        <f t="shared" ref="F824:N824" si="238">F484</f>
        <v>15</v>
      </c>
      <c r="G824" s="279">
        <f t="shared" si="238"/>
        <v>15</v>
      </c>
      <c r="H824" s="279">
        <f t="shared" si="238"/>
        <v>14</v>
      </c>
      <c r="I824" s="279">
        <f t="shared" si="238"/>
        <v>14</v>
      </c>
      <c r="J824" s="279">
        <f t="shared" si="238"/>
        <v>14</v>
      </c>
      <c r="K824" s="279">
        <f t="shared" si="238"/>
        <v>14</v>
      </c>
      <c r="L824" s="279">
        <f t="shared" si="238"/>
        <v>14</v>
      </c>
      <c r="M824" s="279">
        <f t="shared" si="238"/>
        <v>15</v>
      </c>
      <c r="N824" s="279">
        <f t="shared" si="238"/>
        <v>15</v>
      </c>
      <c r="O824" s="279">
        <f>O484</f>
        <v>16</v>
      </c>
      <c r="P824" s="279">
        <f>P484</f>
        <v>16</v>
      </c>
      <c r="Q824" s="279">
        <f>Q484</f>
        <v>16</v>
      </c>
      <c r="R824" s="378">
        <f t="shared" si="226"/>
        <v>178</v>
      </c>
    </row>
    <row r="825" spans="3:18" x14ac:dyDescent="0.2">
      <c r="C825" s="32" t="s">
        <v>1134</v>
      </c>
      <c r="D825" s="444" t="s">
        <v>809</v>
      </c>
      <c r="F825" s="279">
        <f t="shared" ref="F825:N825" si="239">F520</f>
        <v>63</v>
      </c>
      <c r="G825" s="279">
        <f t="shared" si="239"/>
        <v>65</v>
      </c>
      <c r="H825" s="279">
        <f t="shared" si="239"/>
        <v>64</v>
      </c>
      <c r="I825" s="279">
        <f t="shared" si="239"/>
        <v>64</v>
      </c>
      <c r="J825" s="279">
        <f t="shared" si="239"/>
        <v>63.999999999999993</v>
      </c>
      <c r="K825" s="279">
        <f t="shared" si="239"/>
        <v>63</v>
      </c>
      <c r="L825" s="279">
        <f t="shared" si="239"/>
        <v>63</v>
      </c>
      <c r="M825" s="279">
        <f t="shared" si="239"/>
        <v>62</v>
      </c>
      <c r="N825" s="279">
        <f t="shared" si="239"/>
        <v>62</v>
      </c>
      <c r="O825" s="279">
        <f>O520</f>
        <v>62</v>
      </c>
      <c r="P825" s="279">
        <f>P520</f>
        <v>62</v>
      </c>
      <c r="Q825" s="279">
        <f>Q520</f>
        <v>63</v>
      </c>
      <c r="R825" s="378">
        <f t="shared" si="226"/>
        <v>757</v>
      </c>
    </row>
    <row r="826" spans="3:18" x14ac:dyDescent="0.2">
      <c r="C826" s="32" t="s">
        <v>1135</v>
      </c>
      <c r="D826" s="444" t="s">
        <v>810</v>
      </c>
      <c r="F826" s="279">
        <f>F554</f>
        <v>0</v>
      </c>
      <c r="G826" s="279">
        <f t="shared" ref="G826:Q826" si="240">G554</f>
        <v>0</v>
      </c>
      <c r="H826" s="279">
        <f t="shared" si="240"/>
        <v>0</v>
      </c>
      <c r="I826" s="279">
        <f t="shared" si="240"/>
        <v>0</v>
      </c>
      <c r="J826" s="279">
        <f t="shared" si="240"/>
        <v>0</v>
      </c>
      <c r="K826" s="279">
        <f t="shared" si="240"/>
        <v>1</v>
      </c>
      <c r="L826" s="279">
        <f t="shared" si="240"/>
        <v>1</v>
      </c>
      <c r="M826" s="279">
        <f t="shared" si="240"/>
        <v>1</v>
      </c>
      <c r="N826" s="279">
        <f t="shared" si="240"/>
        <v>1</v>
      </c>
      <c r="O826" s="279">
        <f t="shared" si="240"/>
        <v>1</v>
      </c>
      <c r="P826" s="279">
        <f t="shared" si="240"/>
        <v>1</v>
      </c>
      <c r="Q826" s="279">
        <f t="shared" si="240"/>
        <v>1</v>
      </c>
      <c r="R826" s="378">
        <f>SUM(F826:Q826)</f>
        <v>7</v>
      </c>
    </row>
    <row r="827" spans="3:18" x14ac:dyDescent="0.2">
      <c r="C827" s="32" t="s">
        <v>1136</v>
      </c>
      <c r="D827" s="444" t="s">
        <v>811</v>
      </c>
      <c r="F827" s="279">
        <f t="shared" ref="F827:N827" si="241">F590</f>
        <v>11</v>
      </c>
      <c r="G827" s="279">
        <f t="shared" si="241"/>
        <v>11</v>
      </c>
      <c r="H827" s="279">
        <f t="shared" si="241"/>
        <v>11</v>
      </c>
      <c r="I827" s="279">
        <f t="shared" si="241"/>
        <v>11</v>
      </c>
      <c r="J827" s="279">
        <f t="shared" si="241"/>
        <v>11</v>
      </c>
      <c r="K827" s="279">
        <f t="shared" si="241"/>
        <v>11</v>
      </c>
      <c r="L827" s="279">
        <f t="shared" si="241"/>
        <v>11</v>
      </c>
      <c r="M827" s="279">
        <f t="shared" si="241"/>
        <v>11</v>
      </c>
      <c r="N827" s="279">
        <f t="shared" si="241"/>
        <v>11</v>
      </c>
      <c r="O827" s="279">
        <f>O590</f>
        <v>11</v>
      </c>
      <c r="P827" s="279">
        <f>P590</f>
        <v>11</v>
      </c>
      <c r="Q827" s="279">
        <f>Q590</f>
        <v>10</v>
      </c>
      <c r="R827" s="378">
        <f t="shared" si="226"/>
        <v>131</v>
      </c>
    </row>
    <row r="828" spans="3:18" x14ac:dyDescent="0.2">
      <c r="C828" s="32" t="s">
        <v>1137</v>
      </c>
      <c r="D828" s="32">
        <v>85</v>
      </c>
      <c r="F828" s="279">
        <f t="shared" ref="F828:N828" si="242">F646</f>
        <v>9</v>
      </c>
      <c r="G828" s="279">
        <f t="shared" si="242"/>
        <v>9</v>
      </c>
      <c r="H828" s="279">
        <f t="shared" si="242"/>
        <v>9</v>
      </c>
      <c r="I828" s="279">
        <f t="shared" si="242"/>
        <v>9</v>
      </c>
      <c r="J828" s="279">
        <f t="shared" si="242"/>
        <v>8</v>
      </c>
      <c r="K828" s="279">
        <f t="shared" si="242"/>
        <v>8</v>
      </c>
      <c r="L828" s="279">
        <f t="shared" si="242"/>
        <v>8</v>
      </c>
      <c r="M828" s="279">
        <f t="shared" si="242"/>
        <v>8</v>
      </c>
      <c r="N828" s="279">
        <f t="shared" si="242"/>
        <v>8</v>
      </c>
      <c r="O828" s="279">
        <f>O646</f>
        <v>8</v>
      </c>
      <c r="P828" s="279">
        <f>P646</f>
        <v>8</v>
      </c>
      <c r="Q828" s="279">
        <f>Q646</f>
        <v>8</v>
      </c>
      <c r="R828" s="378">
        <f t="shared" si="226"/>
        <v>100</v>
      </c>
    </row>
    <row r="829" spans="3:18" x14ac:dyDescent="0.2">
      <c r="C829" s="32" t="s">
        <v>1138</v>
      </c>
      <c r="D829" s="32">
        <v>86</v>
      </c>
      <c r="F829" s="279">
        <f t="shared" ref="F829:N829" si="243">F690</f>
        <v>9</v>
      </c>
      <c r="G829" s="279">
        <f t="shared" si="243"/>
        <v>11</v>
      </c>
      <c r="H829" s="279">
        <f t="shared" si="243"/>
        <v>10</v>
      </c>
      <c r="I829" s="279">
        <f t="shared" si="243"/>
        <v>9</v>
      </c>
      <c r="J829" s="279">
        <f t="shared" si="243"/>
        <v>10</v>
      </c>
      <c r="K829" s="279">
        <f t="shared" si="243"/>
        <v>9</v>
      </c>
      <c r="L829" s="279">
        <f t="shared" si="243"/>
        <v>10</v>
      </c>
      <c r="M829" s="279">
        <f t="shared" si="243"/>
        <v>10</v>
      </c>
      <c r="N829" s="279">
        <f t="shared" si="243"/>
        <v>10</v>
      </c>
      <c r="O829" s="279">
        <f>O690</f>
        <v>10</v>
      </c>
      <c r="P829" s="279">
        <f>P690</f>
        <v>10</v>
      </c>
      <c r="Q829" s="279">
        <f>Q690</f>
        <v>10</v>
      </c>
      <c r="R829" s="378">
        <f t="shared" si="226"/>
        <v>118</v>
      </c>
    </row>
    <row r="830" spans="3:18" x14ac:dyDescent="0.2">
      <c r="C830" s="32" t="s">
        <v>1139</v>
      </c>
      <c r="D830" s="32">
        <v>87</v>
      </c>
      <c r="F830" s="279">
        <f t="shared" ref="F830:N830" si="244">F736</f>
        <v>1</v>
      </c>
      <c r="G830" s="279">
        <f t="shared" si="244"/>
        <v>1</v>
      </c>
      <c r="H830" s="279">
        <f t="shared" si="244"/>
        <v>2</v>
      </c>
      <c r="I830" s="279">
        <f t="shared" si="244"/>
        <v>0</v>
      </c>
      <c r="J830" s="279">
        <f t="shared" si="244"/>
        <v>1</v>
      </c>
      <c r="K830" s="279">
        <f t="shared" si="244"/>
        <v>2</v>
      </c>
      <c r="L830" s="279">
        <f t="shared" si="244"/>
        <v>1</v>
      </c>
      <c r="M830" s="279">
        <f t="shared" si="244"/>
        <v>0</v>
      </c>
      <c r="N830" s="279">
        <f t="shared" si="244"/>
        <v>2</v>
      </c>
      <c r="O830" s="279">
        <f>O736</f>
        <v>1</v>
      </c>
      <c r="P830" s="279">
        <f>P736</f>
        <v>0</v>
      </c>
      <c r="Q830" s="279">
        <f>Q736</f>
        <v>1</v>
      </c>
      <c r="R830" s="378">
        <f t="shared" si="226"/>
        <v>12</v>
      </c>
    </row>
    <row r="831" spans="3:18" x14ac:dyDescent="0.2">
      <c r="C831" s="32" t="s">
        <v>1140</v>
      </c>
      <c r="F831" s="279">
        <f t="shared" ref="F831:N831" si="245">F783</f>
        <v>12</v>
      </c>
      <c r="G831" s="279">
        <f t="shared" si="245"/>
        <v>12</v>
      </c>
      <c r="H831" s="279">
        <f t="shared" si="245"/>
        <v>12</v>
      </c>
      <c r="I831" s="279">
        <f t="shared" si="245"/>
        <v>12</v>
      </c>
      <c r="J831" s="279">
        <f t="shared" si="245"/>
        <v>12</v>
      </c>
      <c r="K831" s="279">
        <f t="shared" si="245"/>
        <v>12</v>
      </c>
      <c r="L831" s="279">
        <f t="shared" si="245"/>
        <v>12</v>
      </c>
      <c r="M831" s="279">
        <f t="shared" si="245"/>
        <v>12</v>
      </c>
      <c r="N831" s="279">
        <f t="shared" si="245"/>
        <v>12</v>
      </c>
      <c r="O831" s="279">
        <f>O783</f>
        <v>12</v>
      </c>
      <c r="P831" s="279">
        <f>P783</f>
        <v>12</v>
      </c>
      <c r="Q831" s="279">
        <f>Q783</f>
        <v>12</v>
      </c>
      <c r="R831" s="378">
        <f t="shared" si="226"/>
        <v>144</v>
      </c>
    </row>
    <row r="832" spans="3:18" x14ac:dyDescent="0.2">
      <c r="C832" s="32" t="s">
        <v>1141</v>
      </c>
      <c r="F832" s="357">
        <f t="shared" ref="F832:N832" si="246">SUM(F812:F831)</f>
        <v>757684</v>
      </c>
      <c r="G832" s="357">
        <f t="shared" si="246"/>
        <v>758885</v>
      </c>
      <c r="H832" s="357">
        <f t="shared" si="246"/>
        <v>759873</v>
      </c>
      <c r="I832" s="357">
        <f t="shared" si="246"/>
        <v>760124.03</v>
      </c>
      <c r="J832" s="357">
        <f t="shared" si="246"/>
        <v>760670</v>
      </c>
      <c r="K832" s="357">
        <f t="shared" si="246"/>
        <v>761724</v>
      </c>
      <c r="L832" s="357">
        <f t="shared" si="246"/>
        <v>762056</v>
      </c>
      <c r="M832" s="357">
        <f t="shared" si="246"/>
        <v>761195</v>
      </c>
      <c r="N832" s="357">
        <f t="shared" si="246"/>
        <v>762357</v>
      </c>
      <c r="O832" s="357">
        <f>SUM(O812:O831)</f>
        <v>761431</v>
      </c>
      <c r="P832" s="357">
        <f>SUM(P812:P831)</f>
        <v>761918</v>
      </c>
      <c r="Q832" s="357">
        <f>SUM(Q812:Q831)</f>
        <v>762413</v>
      </c>
      <c r="R832" s="357">
        <f>SUM(R812:R831)</f>
        <v>9130330.0299999993</v>
      </c>
    </row>
    <row r="833" spans="2:18" x14ac:dyDescent="0.2">
      <c r="F833" s="424"/>
      <c r="G833" s="424"/>
      <c r="H833" s="424"/>
      <c r="I833" s="424"/>
      <c r="J833" s="424"/>
      <c r="K833" s="424"/>
      <c r="L833" s="424"/>
      <c r="M833" s="424"/>
      <c r="N833" s="424"/>
      <c r="O833" s="424"/>
      <c r="P833" s="424"/>
      <c r="Q833" s="424"/>
      <c r="R833" s="424"/>
    </row>
    <row r="834" spans="2:18" x14ac:dyDescent="0.2">
      <c r="B834" s="32" t="s">
        <v>1142</v>
      </c>
      <c r="F834" s="424"/>
      <c r="G834" s="424"/>
      <c r="H834" s="424"/>
      <c r="I834" s="424"/>
      <c r="J834" s="424"/>
      <c r="K834" s="424"/>
      <c r="L834" s="424"/>
      <c r="M834" s="424"/>
      <c r="N834" s="424"/>
      <c r="O834" s="424"/>
      <c r="P834" s="424"/>
      <c r="Q834" s="424"/>
      <c r="R834" s="424"/>
    </row>
    <row r="835" spans="2:18" x14ac:dyDescent="0.2">
      <c r="C835" s="343" t="s">
        <v>1143</v>
      </c>
      <c r="D835" s="32">
        <v>23</v>
      </c>
      <c r="F835" s="424">
        <f t="shared" ref="F835:Q836" si="247">F812</f>
        <v>699965</v>
      </c>
      <c r="G835" s="424">
        <f t="shared" si="247"/>
        <v>701215</v>
      </c>
      <c r="H835" s="424">
        <f t="shared" si="247"/>
        <v>702257</v>
      </c>
      <c r="I835" s="424">
        <f t="shared" si="247"/>
        <v>702573</v>
      </c>
      <c r="J835" s="424">
        <f t="shared" si="247"/>
        <v>703246</v>
      </c>
      <c r="K835" s="424">
        <f t="shared" si="247"/>
        <v>704366</v>
      </c>
      <c r="L835" s="424">
        <f t="shared" si="247"/>
        <v>704758</v>
      </c>
      <c r="M835" s="424">
        <f t="shared" si="247"/>
        <v>703964</v>
      </c>
      <c r="N835" s="424">
        <f t="shared" si="247"/>
        <v>705153</v>
      </c>
      <c r="O835" s="424">
        <f t="shared" si="247"/>
        <v>704137</v>
      </c>
      <c r="P835" s="424">
        <f t="shared" si="247"/>
        <v>704666</v>
      </c>
      <c r="Q835" s="424">
        <f t="shared" si="247"/>
        <v>705036</v>
      </c>
      <c r="R835" s="378">
        <f t="shared" ref="R835:R846" si="248">SUM(F835:Q835)</f>
        <v>8441336</v>
      </c>
    </row>
    <row r="836" spans="2:18" x14ac:dyDescent="0.2">
      <c r="C836" s="343" t="s">
        <v>374</v>
      </c>
      <c r="D836" s="32">
        <v>53</v>
      </c>
      <c r="F836" s="424">
        <f t="shared" si="247"/>
        <v>5</v>
      </c>
      <c r="G836" s="424">
        <f t="shared" si="247"/>
        <v>5</v>
      </c>
      <c r="H836" s="424">
        <f t="shared" si="247"/>
        <v>5</v>
      </c>
      <c r="I836" s="424">
        <f t="shared" si="247"/>
        <v>5</v>
      </c>
      <c r="J836" s="424">
        <f t="shared" si="247"/>
        <v>5</v>
      </c>
      <c r="K836" s="424">
        <f t="shared" si="247"/>
        <v>5</v>
      </c>
      <c r="L836" s="424">
        <f t="shared" si="247"/>
        <v>6</v>
      </c>
      <c r="M836" s="424">
        <f t="shared" si="247"/>
        <v>6</v>
      </c>
      <c r="N836" s="424">
        <f t="shared" si="247"/>
        <v>5</v>
      </c>
      <c r="O836" s="424">
        <f t="shared" si="247"/>
        <v>5</v>
      </c>
      <c r="P836" s="424">
        <f t="shared" si="247"/>
        <v>5</v>
      </c>
      <c r="Q836" s="424">
        <f t="shared" si="247"/>
        <v>4</v>
      </c>
      <c r="R836" s="378">
        <f t="shared" si="248"/>
        <v>61</v>
      </c>
    </row>
    <row r="837" spans="2:18" x14ac:dyDescent="0.2">
      <c r="C837" s="346" t="s">
        <v>1144</v>
      </c>
      <c r="D837" s="32">
        <v>31</v>
      </c>
      <c r="F837" s="424">
        <f t="shared" ref="F837:Q838" si="249">F814+F822</f>
        <v>55114</v>
      </c>
      <c r="G837" s="424">
        <f t="shared" si="249"/>
        <v>55062</v>
      </c>
      <c r="H837" s="424">
        <f t="shared" si="249"/>
        <v>55012</v>
      </c>
      <c r="I837" s="424">
        <f t="shared" si="249"/>
        <v>54951.02</v>
      </c>
      <c r="J837" s="424">
        <f t="shared" si="249"/>
        <v>54824</v>
      </c>
      <c r="K837" s="424">
        <f t="shared" si="249"/>
        <v>54751</v>
      </c>
      <c r="L837" s="424">
        <f t="shared" si="249"/>
        <v>54695</v>
      </c>
      <c r="M837" s="424">
        <f t="shared" si="249"/>
        <v>54647</v>
      </c>
      <c r="N837" s="424">
        <f t="shared" si="249"/>
        <v>54633</v>
      </c>
      <c r="O837" s="424">
        <f t="shared" si="249"/>
        <v>54749</v>
      </c>
      <c r="P837" s="424">
        <f t="shared" si="249"/>
        <v>54719</v>
      </c>
      <c r="Q837" s="424">
        <f t="shared" si="249"/>
        <v>54837</v>
      </c>
      <c r="R837" s="378">
        <f t="shared" si="248"/>
        <v>657994.02</v>
      </c>
    </row>
    <row r="838" spans="2:18" x14ac:dyDescent="0.2">
      <c r="C838" s="343" t="s">
        <v>1145</v>
      </c>
      <c r="D838" s="32">
        <v>41</v>
      </c>
      <c r="F838" s="424">
        <f t="shared" si="249"/>
        <v>2066</v>
      </c>
      <c r="G838" s="424">
        <f t="shared" si="249"/>
        <v>2063</v>
      </c>
      <c r="H838" s="424">
        <f t="shared" si="249"/>
        <v>2064</v>
      </c>
      <c r="I838" s="424">
        <f t="shared" si="249"/>
        <v>2066.0100000000002</v>
      </c>
      <c r="J838" s="424">
        <f t="shared" si="249"/>
        <v>2062</v>
      </c>
      <c r="K838" s="424">
        <f t="shared" si="249"/>
        <v>2069</v>
      </c>
      <c r="L838" s="424">
        <f t="shared" si="249"/>
        <v>2067</v>
      </c>
      <c r="M838" s="424">
        <f t="shared" si="249"/>
        <v>2050</v>
      </c>
      <c r="N838" s="424">
        <f t="shared" si="249"/>
        <v>2040</v>
      </c>
      <c r="O838" s="424">
        <f t="shared" si="249"/>
        <v>2017</v>
      </c>
      <c r="P838" s="424">
        <f t="shared" si="249"/>
        <v>1998</v>
      </c>
      <c r="Q838" s="424">
        <f t="shared" si="249"/>
        <v>1996</v>
      </c>
      <c r="R838" s="378">
        <f t="shared" si="248"/>
        <v>24558.010000000002</v>
      </c>
    </row>
    <row r="839" spans="2:18" x14ac:dyDescent="0.2">
      <c r="C839" s="343" t="s">
        <v>1146</v>
      </c>
      <c r="D839" s="32">
        <v>85</v>
      </c>
      <c r="F839" s="424">
        <f t="shared" ref="F839:Q841" si="250">F819+F828</f>
        <v>34</v>
      </c>
      <c r="G839" s="424">
        <f t="shared" si="250"/>
        <v>34</v>
      </c>
      <c r="H839" s="424">
        <f t="shared" si="250"/>
        <v>36</v>
      </c>
      <c r="I839" s="424">
        <f t="shared" si="250"/>
        <v>36</v>
      </c>
      <c r="J839" s="424">
        <f t="shared" si="250"/>
        <v>35</v>
      </c>
      <c r="K839" s="424">
        <f t="shared" si="250"/>
        <v>35</v>
      </c>
      <c r="L839" s="424">
        <f t="shared" si="250"/>
        <v>35</v>
      </c>
      <c r="M839" s="424">
        <f t="shared" si="250"/>
        <v>36</v>
      </c>
      <c r="N839" s="424">
        <f t="shared" si="250"/>
        <v>35</v>
      </c>
      <c r="O839" s="424">
        <f t="shared" si="250"/>
        <v>35</v>
      </c>
      <c r="P839" s="424">
        <f t="shared" si="250"/>
        <v>35</v>
      </c>
      <c r="Q839" s="424">
        <f t="shared" si="250"/>
        <v>35</v>
      </c>
      <c r="R839" s="378">
        <f t="shared" si="248"/>
        <v>421</v>
      </c>
    </row>
    <row r="840" spans="2:18" x14ac:dyDescent="0.2">
      <c r="C840" s="343" t="s">
        <v>1147</v>
      </c>
      <c r="D840" s="32">
        <v>86</v>
      </c>
      <c r="F840" s="424">
        <f t="shared" si="250"/>
        <v>343</v>
      </c>
      <c r="G840" s="424">
        <f t="shared" si="250"/>
        <v>345</v>
      </c>
      <c r="H840" s="424">
        <f t="shared" si="250"/>
        <v>340</v>
      </c>
      <c r="I840" s="424">
        <f t="shared" si="250"/>
        <v>336</v>
      </c>
      <c r="J840" s="424">
        <f t="shared" si="250"/>
        <v>339</v>
      </c>
      <c r="K840" s="424">
        <f t="shared" si="250"/>
        <v>338</v>
      </c>
      <c r="L840" s="424">
        <f t="shared" si="250"/>
        <v>336</v>
      </c>
      <c r="M840" s="424">
        <f t="shared" si="250"/>
        <v>334</v>
      </c>
      <c r="N840" s="424">
        <f t="shared" si="250"/>
        <v>330</v>
      </c>
      <c r="O840" s="424">
        <f t="shared" si="250"/>
        <v>327</v>
      </c>
      <c r="P840" s="424">
        <f t="shared" si="250"/>
        <v>328</v>
      </c>
      <c r="Q840" s="424">
        <f t="shared" si="250"/>
        <v>327</v>
      </c>
      <c r="R840" s="378">
        <f t="shared" si="248"/>
        <v>4023</v>
      </c>
    </row>
    <row r="841" spans="2:18" x14ac:dyDescent="0.2">
      <c r="C841" s="343" t="s">
        <v>1148</v>
      </c>
      <c r="D841" s="32">
        <v>87</v>
      </c>
      <c r="F841" s="424">
        <f t="shared" si="250"/>
        <v>9</v>
      </c>
      <c r="G841" s="424">
        <f t="shared" si="250"/>
        <v>9</v>
      </c>
      <c r="H841" s="424">
        <f t="shared" si="250"/>
        <v>10</v>
      </c>
      <c r="I841" s="424">
        <f t="shared" si="250"/>
        <v>8</v>
      </c>
      <c r="J841" s="424">
        <f t="shared" si="250"/>
        <v>9</v>
      </c>
      <c r="K841" s="424">
        <f t="shared" si="250"/>
        <v>10</v>
      </c>
      <c r="L841" s="424">
        <f t="shared" si="250"/>
        <v>9</v>
      </c>
      <c r="M841" s="424">
        <f t="shared" si="250"/>
        <v>8</v>
      </c>
      <c r="N841" s="424">
        <f t="shared" si="250"/>
        <v>10</v>
      </c>
      <c r="O841" s="424">
        <f t="shared" si="250"/>
        <v>9</v>
      </c>
      <c r="P841" s="424">
        <f t="shared" si="250"/>
        <v>8</v>
      </c>
      <c r="Q841" s="424">
        <f t="shared" si="250"/>
        <v>9</v>
      </c>
      <c r="R841" s="378">
        <f t="shared" si="248"/>
        <v>108</v>
      </c>
    </row>
    <row r="842" spans="2:18" x14ac:dyDescent="0.2">
      <c r="C842" s="32" t="s">
        <v>1149</v>
      </c>
      <c r="D842" s="444" t="s">
        <v>808</v>
      </c>
      <c r="F842" s="424">
        <f t="shared" ref="F842:Q843" si="251">F816+F824</f>
        <v>25</v>
      </c>
      <c r="G842" s="424">
        <f t="shared" si="251"/>
        <v>25</v>
      </c>
      <c r="H842" s="424">
        <f t="shared" si="251"/>
        <v>24</v>
      </c>
      <c r="I842" s="424">
        <f t="shared" si="251"/>
        <v>24</v>
      </c>
      <c r="J842" s="424">
        <f t="shared" si="251"/>
        <v>24</v>
      </c>
      <c r="K842" s="424">
        <f t="shared" si="251"/>
        <v>24</v>
      </c>
      <c r="L842" s="424">
        <f t="shared" si="251"/>
        <v>24</v>
      </c>
      <c r="M842" s="424">
        <f t="shared" si="251"/>
        <v>25</v>
      </c>
      <c r="N842" s="424">
        <f t="shared" si="251"/>
        <v>26</v>
      </c>
      <c r="O842" s="424">
        <f t="shared" si="251"/>
        <v>28</v>
      </c>
      <c r="P842" s="424">
        <f t="shared" si="251"/>
        <v>36</v>
      </c>
      <c r="Q842" s="424">
        <f t="shared" si="251"/>
        <v>46</v>
      </c>
      <c r="R842" s="378">
        <f t="shared" si="248"/>
        <v>331</v>
      </c>
    </row>
    <row r="843" spans="2:18" x14ac:dyDescent="0.2">
      <c r="C843" s="32" t="s">
        <v>1150</v>
      </c>
      <c r="D843" s="444" t="s">
        <v>809</v>
      </c>
      <c r="F843" s="424">
        <f t="shared" si="251"/>
        <v>98</v>
      </c>
      <c r="G843" s="424">
        <f t="shared" si="251"/>
        <v>102</v>
      </c>
      <c r="H843" s="424">
        <f t="shared" si="251"/>
        <v>100</v>
      </c>
      <c r="I843" s="424">
        <f t="shared" si="251"/>
        <v>100</v>
      </c>
      <c r="J843" s="424">
        <f t="shared" si="251"/>
        <v>101</v>
      </c>
      <c r="K843" s="424">
        <f t="shared" si="251"/>
        <v>100</v>
      </c>
      <c r="L843" s="424">
        <f t="shared" si="251"/>
        <v>100</v>
      </c>
      <c r="M843" s="424">
        <f t="shared" si="251"/>
        <v>99</v>
      </c>
      <c r="N843" s="424">
        <f t="shared" si="251"/>
        <v>99</v>
      </c>
      <c r="O843" s="424">
        <f t="shared" si="251"/>
        <v>98</v>
      </c>
      <c r="P843" s="424">
        <f t="shared" si="251"/>
        <v>97</v>
      </c>
      <c r="Q843" s="424">
        <f t="shared" si="251"/>
        <v>98</v>
      </c>
      <c r="R843" s="378">
        <f t="shared" si="248"/>
        <v>1192</v>
      </c>
    </row>
    <row r="844" spans="2:18" x14ac:dyDescent="0.2">
      <c r="C844" s="32" t="s">
        <v>1151</v>
      </c>
      <c r="D844" s="444" t="s">
        <v>810</v>
      </c>
      <c r="F844" s="424">
        <f>F826</f>
        <v>0</v>
      </c>
      <c r="G844" s="424">
        <f t="shared" ref="G844:Q844" si="252">G826</f>
        <v>0</v>
      </c>
      <c r="H844" s="424">
        <f t="shared" si="252"/>
        <v>0</v>
      </c>
      <c r="I844" s="424">
        <f t="shared" si="252"/>
        <v>0</v>
      </c>
      <c r="J844" s="424">
        <f t="shared" si="252"/>
        <v>0</v>
      </c>
      <c r="K844" s="424">
        <f t="shared" si="252"/>
        <v>1</v>
      </c>
      <c r="L844" s="424">
        <f t="shared" si="252"/>
        <v>1</v>
      </c>
      <c r="M844" s="424">
        <f t="shared" si="252"/>
        <v>1</v>
      </c>
      <c r="N844" s="424">
        <f t="shared" si="252"/>
        <v>1</v>
      </c>
      <c r="O844" s="424">
        <f t="shared" si="252"/>
        <v>1</v>
      </c>
      <c r="P844" s="424">
        <f t="shared" si="252"/>
        <v>1</v>
      </c>
      <c r="Q844" s="424">
        <f t="shared" si="252"/>
        <v>1</v>
      </c>
      <c r="R844" s="378">
        <f t="shared" si="248"/>
        <v>7</v>
      </c>
    </row>
    <row r="845" spans="2:18" x14ac:dyDescent="0.2">
      <c r="C845" s="32" t="s">
        <v>1152</v>
      </c>
      <c r="D845" s="444" t="s">
        <v>811</v>
      </c>
      <c r="F845" s="424">
        <f t="shared" ref="F845:Q845" si="253">F818+F827</f>
        <v>13</v>
      </c>
      <c r="G845" s="424">
        <f t="shared" si="253"/>
        <v>13</v>
      </c>
      <c r="H845" s="424">
        <f t="shared" si="253"/>
        <v>13</v>
      </c>
      <c r="I845" s="424">
        <f t="shared" si="253"/>
        <v>13</v>
      </c>
      <c r="J845" s="424">
        <f t="shared" si="253"/>
        <v>13</v>
      </c>
      <c r="K845" s="424">
        <f t="shared" si="253"/>
        <v>13</v>
      </c>
      <c r="L845" s="424">
        <f t="shared" si="253"/>
        <v>13</v>
      </c>
      <c r="M845" s="424">
        <f t="shared" si="253"/>
        <v>13</v>
      </c>
      <c r="N845" s="424">
        <f t="shared" si="253"/>
        <v>13</v>
      </c>
      <c r="O845" s="424">
        <f t="shared" si="253"/>
        <v>13</v>
      </c>
      <c r="P845" s="424">
        <f t="shared" si="253"/>
        <v>13</v>
      </c>
      <c r="Q845" s="424">
        <f t="shared" si="253"/>
        <v>12</v>
      </c>
      <c r="R845" s="378">
        <f t="shared" si="248"/>
        <v>155</v>
      </c>
    </row>
    <row r="846" spans="2:18" x14ac:dyDescent="0.2">
      <c r="C846" s="343" t="s">
        <v>844</v>
      </c>
      <c r="F846" s="424">
        <f t="shared" ref="F846:N846" si="254">F831</f>
        <v>12</v>
      </c>
      <c r="G846" s="424">
        <f t="shared" si="254"/>
        <v>12</v>
      </c>
      <c r="H846" s="424">
        <f t="shared" si="254"/>
        <v>12</v>
      </c>
      <c r="I846" s="424">
        <f t="shared" si="254"/>
        <v>12</v>
      </c>
      <c r="J846" s="424">
        <f t="shared" si="254"/>
        <v>12</v>
      </c>
      <c r="K846" s="424">
        <f t="shared" si="254"/>
        <v>12</v>
      </c>
      <c r="L846" s="424">
        <f t="shared" si="254"/>
        <v>12</v>
      </c>
      <c r="M846" s="424">
        <f t="shared" si="254"/>
        <v>12</v>
      </c>
      <c r="N846" s="424">
        <f t="shared" si="254"/>
        <v>12</v>
      </c>
      <c r="O846" s="424">
        <f>O831</f>
        <v>12</v>
      </c>
      <c r="P846" s="424">
        <f>P831</f>
        <v>12</v>
      </c>
      <c r="Q846" s="424">
        <f>Q831</f>
        <v>12</v>
      </c>
      <c r="R846" s="378">
        <f t="shared" si="248"/>
        <v>144</v>
      </c>
    </row>
    <row r="847" spans="2:18" x14ac:dyDescent="0.2">
      <c r="C847" s="32" t="s">
        <v>1141</v>
      </c>
      <c r="F847" s="357">
        <f t="shared" ref="F847:N847" si="255">SUM(F835:F846)</f>
        <v>757684</v>
      </c>
      <c r="G847" s="357">
        <f t="shared" si="255"/>
        <v>758885</v>
      </c>
      <c r="H847" s="357">
        <f t="shared" si="255"/>
        <v>759873</v>
      </c>
      <c r="I847" s="357">
        <f t="shared" si="255"/>
        <v>760124.03</v>
      </c>
      <c r="J847" s="357">
        <f t="shared" si="255"/>
        <v>760670</v>
      </c>
      <c r="K847" s="357">
        <f t="shared" si="255"/>
        <v>761724</v>
      </c>
      <c r="L847" s="357">
        <f t="shared" si="255"/>
        <v>762056</v>
      </c>
      <c r="M847" s="357">
        <f t="shared" si="255"/>
        <v>761195</v>
      </c>
      <c r="N847" s="357">
        <f t="shared" si="255"/>
        <v>762357</v>
      </c>
      <c r="O847" s="357">
        <f>SUM(O835:O846)</f>
        <v>761431</v>
      </c>
      <c r="P847" s="357">
        <f>SUM(P835:P846)</f>
        <v>761918</v>
      </c>
      <c r="Q847" s="357">
        <f>SUM(Q835:Q846)</f>
        <v>762413</v>
      </c>
      <c r="R847" s="357">
        <f>SUM(R835:R846)</f>
        <v>9130330.0299999993</v>
      </c>
    </row>
    <row r="848" spans="2:18" x14ac:dyDescent="0.2">
      <c r="C848" s="32" t="s">
        <v>1153</v>
      </c>
      <c r="F848" s="424">
        <f t="shared" ref="F848:R848" si="256">F847-F832</f>
        <v>0</v>
      </c>
      <c r="G848" s="424">
        <f t="shared" si="256"/>
        <v>0</v>
      </c>
      <c r="H848" s="424">
        <f t="shared" si="256"/>
        <v>0</v>
      </c>
      <c r="I848" s="424">
        <f t="shared" si="256"/>
        <v>0</v>
      </c>
      <c r="J848" s="424">
        <f t="shared" si="256"/>
        <v>0</v>
      </c>
      <c r="K848" s="424">
        <f t="shared" si="256"/>
        <v>0</v>
      </c>
      <c r="L848" s="424">
        <f t="shared" si="256"/>
        <v>0</v>
      </c>
      <c r="M848" s="424">
        <f t="shared" si="256"/>
        <v>0</v>
      </c>
      <c r="N848" s="424">
        <f t="shared" si="256"/>
        <v>0</v>
      </c>
      <c r="O848" s="424">
        <f t="shared" si="256"/>
        <v>0</v>
      </c>
      <c r="P848" s="424">
        <f t="shared" si="256"/>
        <v>0</v>
      </c>
      <c r="Q848" s="424">
        <f t="shared" si="256"/>
        <v>0</v>
      </c>
      <c r="R848" s="424">
        <f t="shared" si="256"/>
        <v>0</v>
      </c>
    </row>
    <row r="849" spans="2:18" x14ac:dyDescent="0.2">
      <c r="F849" s="424"/>
      <c r="G849" s="424"/>
      <c r="H849" s="424"/>
      <c r="I849" s="424"/>
      <c r="J849" s="424"/>
      <c r="K849" s="424"/>
      <c r="L849" s="424"/>
      <c r="M849" s="424"/>
      <c r="N849" s="424"/>
      <c r="O849" s="424"/>
      <c r="P849" s="424"/>
      <c r="Q849" s="424"/>
      <c r="R849" s="424"/>
    </row>
    <row r="850" spans="2:18" x14ac:dyDescent="0.2">
      <c r="B850" s="32" t="s">
        <v>1154</v>
      </c>
      <c r="F850" s="279"/>
      <c r="G850" s="279"/>
      <c r="H850" s="279"/>
      <c r="I850" s="279"/>
      <c r="J850" s="279"/>
      <c r="K850" s="279"/>
      <c r="L850" s="279"/>
      <c r="M850" s="279"/>
      <c r="N850" s="279"/>
      <c r="O850" s="279"/>
      <c r="P850" s="279"/>
      <c r="Q850" s="279"/>
      <c r="R850" s="279"/>
    </row>
    <row r="851" spans="2:18" x14ac:dyDescent="0.2">
      <c r="C851" s="336" t="s">
        <v>1155</v>
      </c>
      <c r="D851" s="336">
        <v>16</v>
      </c>
      <c r="F851" s="398">
        <f t="shared" ref="F851:N851" si="257">F23</f>
        <v>1026</v>
      </c>
      <c r="G851" s="398">
        <f t="shared" si="257"/>
        <v>1026</v>
      </c>
      <c r="H851" s="398">
        <f t="shared" si="257"/>
        <v>1026</v>
      </c>
      <c r="I851" s="398">
        <f t="shared" si="257"/>
        <v>1026</v>
      </c>
      <c r="J851" s="398">
        <f t="shared" si="257"/>
        <v>1025.9999999999998</v>
      </c>
      <c r="K851" s="398">
        <f t="shared" si="257"/>
        <v>1026</v>
      </c>
      <c r="L851" s="398">
        <f t="shared" si="257"/>
        <v>1007</v>
      </c>
      <c r="M851" s="398">
        <f t="shared" si="257"/>
        <v>1007</v>
      </c>
      <c r="N851" s="398">
        <f t="shared" si="257"/>
        <v>1007</v>
      </c>
      <c r="O851" s="398">
        <f>O23</f>
        <v>1007</v>
      </c>
      <c r="P851" s="398">
        <f>P23</f>
        <v>1007</v>
      </c>
      <c r="Q851" s="398">
        <f>Q23</f>
        <v>1007</v>
      </c>
      <c r="R851" s="279">
        <f t="shared" ref="R851:R863" si="258">SUM(F851:Q851)</f>
        <v>12198</v>
      </c>
    </row>
    <row r="852" spans="2:18" x14ac:dyDescent="0.2">
      <c r="C852" s="32" t="s">
        <v>374</v>
      </c>
      <c r="D852" s="32">
        <v>23</v>
      </c>
      <c r="F852" s="279">
        <f t="shared" ref="F852:N852" si="259">F45</f>
        <v>71187692</v>
      </c>
      <c r="G852" s="279">
        <f t="shared" si="259"/>
        <v>58357925</v>
      </c>
      <c r="H852" s="279">
        <f t="shared" si="259"/>
        <v>59215201</v>
      </c>
      <c r="I852" s="279">
        <f t="shared" si="259"/>
        <v>46508498</v>
      </c>
      <c r="J852" s="279">
        <f t="shared" si="259"/>
        <v>33382131</v>
      </c>
      <c r="K852" s="279">
        <f t="shared" si="259"/>
        <v>21957138</v>
      </c>
      <c r="L852" s="279">
        <f t="shared" si="259"/>
        <v>15080375</v>
      </c>
      <c r="M852" s="279">
        <f t="shared" si="259"/>
        <v>14189236</v>
      </c>
      <c r="N852" s="279">
        <f t="shared" si="259"/>
        <v>18121975</v>
      </c>
      <c r="O852" s="279">
        <f>O45</f>
        <v>36524174</v>
      </c>
      <c r="P852" s="279">
        <f>P45</f>
        <v>67472591</v>
      </c>
      <c r="Q852" s="279">
        <f>Q45</f>
        <v>84734325</v>
      </c>
      <c r="R852" s="279">
        <f t="shared" si="258"/>
        <v>526731261</v>
      </c>
    </row>
    <row r="853" spans="2:18" x14ac:dyDescent="0.2">
      <c r="C853" s="32" t="s">
        <v>1122</v>
      </c>
      <c r="D853" s="32">
        <v>53</v>
      </c>
      <c r="F853" s="279">
        <f t="shared" ref="F853:N853" si="260">F63</f>
        <v>205</v>
      </c>
      <c r="G853" s="279">
        <f t="shared" si="260"/>
        <v>216</v>
      </c>
      <c r="H853" s="279">
        <f t="shared" si="260"/>
        <v>301</v>
      </c>
      <c r="I853" s="279">
        <f t="shared" si="260"/>
        <v>219</v>
      </c>
      <c r="J853" s="279">
        <f t="shared" si="260"/>
        <v>145</v>
      </c>
      <c r="K853" s="279">
        <f t="shared" si="260"/>
        <v>107</v>
      </c>
      <c r="L853" s="279">
        <f t="shared" si="260"/>
        <v>89</v>
      </c>
      <c r="M853" s="279">
        <f t="shared" si="260"/>
        <v>86</v>
      </c>
      <c r="N853" s="279">
        <f t="shared" si="260"/>
        <v>84</v>
      </c>
      <c r="O853" s="279">
        <f>O63</f>
        <v>160</v>
      </c>
      <c r="P853" s="279">
        <f>P63</f>
        <v>222</v>
      </c>
      <c r="Q853" s="279">
        <f>Q63</f>
        <v>280</v>
      </c>
      <c r="R853" s="279">
        <f t="shared" si="258"/>
        <v>2114</v>
      </c>
    </row>
    <row r="854" spans="2:18" x14ac:dyDescent="0.2">
      <c r="C854" s="32" t="s">
        <v>1123</v>
      </c>
      <c r="D854" s="32">
        <v>31</v>
      </c>
      <c r="F854" s="279">
        <f t="shared" ref="F854:N854" si="261">F92</f>
        <v>22530052</v>
      </c>
      <c r="G854" s="279">
        <f t="shared" si="261"/>
        <v>18400356</v>
      </c>
      <c r="H854" s="279">
        <f t="shared" si="261"/>
        <v>18722609</v>
      </c>
      <c r="I854" s="279">
        <f t="shared" si="261"/>
        <v>15159542</v>
      </c>
      <c r="J854" s="279">
        <f t="shared" si="261"/>
        <v>11739148</v>
      </c>
      <c r="K854" s="279">
        <f t="shared" si="261"/>
        <v>8759117</v>
      </c>
      <c r="L854" s="279">
        <f t="shared" si="261"/>
        <v>7017499</v>
      </c>
      <c r="M854" s="279">
        <f t="shared" si="261"/>
        <v>6870079</v>
      </c>
      <c r="N854" s="279">
        <f t="shared" si="261"/>
        <v>7730919</v>
      </c>
      <c r="O854" s="279">
        <f>O92</f>
        <v>12369351</v>
      </c>
      <c r="P854" s="279">
        <f>P92</f>
        <v>21057029</v>
      </c>
      <c r="Q854" s="279">
        <f>Q92</f>
        <v>26731097</v>
      </c>
      <c r="R854" s="279">
        <f t="shared" si="258"/>
        <v>177086798</v>
      </c>
    </row>
    <row r="855" spans="2:18" x14ac:dyDescent="0.2">
      <c r="C855" s="32" t="s">
        <v>1124</v>
      </c>
      <c r="D855" s="32">
        <v>41</v>
      </c>
      <c r="F855" s="279">
        <f t="shared" ref="F855:N855" si="262">F122</f>
        <v>6678954</v>
      </c>
      <c r="G855" s="279">
        <f t="shared" si="262"/>
        <v>5756196</v>
      </c>
      <c r="H855" s="279">
        <f t="shared" si="262"/>
        <v>6096346</v>
      </c>
      <c r="I855" s="279">
        <f t="shared" si="262"/>
        <v>5248744</v>
      </c>
      <c r="J855" s="279">
        <f t="shared" si="262"/>
        <v>4556788</v>
      </c>
      <c r="K855" s="279">
        <f t="shared" si="262"/>
        <v>3569491</v>
      </c>
      <c r="L855" s="279">
        <f t="shared" si="262"/>
        <v>2925297</v>
      </c>
      <c r="M855" s="279">
        <f t="shared" si="262"/>
        <v>2859421</v>
      </c>
      <c r="N855" s="279">
        <f t="shared" si="262"/>
        <v>3145935</v>
      </c>
      <c r="O855" s="279">
        <f>O122</f>
        <v>4405828</v>
      </c>
      <c r="P855" s="279">
        <f>P122</f>
        <v>6086833</v>
      </c>
      <c r="Q855" s="279">
        <f>Q122</f>
        <v>6998517</v>
      </c>
      <c r="R855" s="279">
        <f t="shared" si="258"/>
        <v>58328350</v>
      </c>
    </row>
    <row r="856" spans="2:18" x14ac:dyDescent="0.2">
      <c r="C856" s="32" t="s">
        <v>1128</v>
      </c>
      <c r="D856" s="32">
        <v>85</v>
      </c>
      <c r="F856" s="279">
        <f t="shared" ref="F856:N856" si="263">F292</f>
        <v>1540528</v>
      </c>
      <c r="G856" s="279">
        <f t="shared" si="263"/>
        <v>1365910</v>
      </c>
      <c r="H856" s="279">
        <f t="shared" si="263"/>
        <v>1543042</v>
      </c>
      <c r="I856" s="279">
        <f t="shared" si="263"/>
        <v>1351647</v>
      </c>
      <c r="J856" s="279">
        <f t="shared" si="263"/>
        <v>1142807</v>
      </c>
      <c r="K856" s="279">
        <f t="shared" si="263"/>
        <v>861289</v>
      </c>
      <c r="L856" s="279">
        <f t="shared" si="263"/>
        <v>719459</v>
      </c>
      <c r="M856" s="279">
        <f t="shared" si="263"/>
        <v>682351</v>
      </c>
      <c r="N856" s="279">
        <f t="shared" si="263"/>
        <v>737916</v>
      </c>
      <c r="O856" s="279">
        <f>O292</f>
        <v>1088491</v>
      </c>
      <c r="P856" s="279">
        <f>P292</f>
        <v>1469983</v>
      </c>
      <c r="Q856" s="279">
        <f>Q292</f>
        <v>1567374</v>
      </c>
      <c r="R856" s="279">
        <f t="shared" si="258"/>
        <v>14070797</v>
      </c>
    </row>
    <row r="857" spans="2:18" x14ac:dyDescent="0.2">
      <c r="C857" s="32" t="s">
        <v>1129</v>
      </c>
      <c r="D857" s="32">
        <v>86</v>
      </c>
      <c r="F857" s="279">
        <f t="shared" ref="F857:N857" si="264">F335</f>
        <v>1663779</v>
      </c>
      <c r="G857" s="279">
        <f t="shared" si="264"/>
        <v>1409469</v>
      </c>
      <c r="H857" s="279">
        <f t="shared" si="264"/>
        <v>1462011</v>
      </c>
      <c r="I857" s="279">
        <f t="shared" si="264"/>
        <v>1219957</v>
      </c>
      <c r="J857" s="279">
        <f t="shared" si="264"/>
        <v>979898</v>
      </c>
      <c r="K857" s="279">
        <f t="shared" si="264"/>
        <v>626681</v>
      </c>
      <c r="L857" s="279">
        <f t="shared" si="264"/>
        <v>362839</v>
      </c>
      <c r="M857" s="279">
        <f t="shared" si="264"/>
        <v>338531</v>
      </c>
      <c r="N857" s="279">
        <f t="shared" si="264"/>
        <v>494396</v>
      </c>
      <c r="O857" s="279">
        <f>O335</f>
        <v>927504</v>
      </c>
      <c r="P857" s="279">
        <f>P335</f>
        <v>1494947</v>
      </c>
      <c r="Q857" s="279">
        <f>Q335</f>
        <v>1707029</v>
      </c>
      <c r="R857" s="279">
        <f t="shared" si="258"/>
        <v>12687041</v>
      </c>
    </row>
    <row r="858" spans="2:18" x14ac:dyDescent="0.2">
      <c r="C858" s="32" t="s">
        <v>1130</v>
      </c>
      <c r="D858" s="32">
        <v>87</v>
      </c>
      <c r="F858" s="279">
        <f t="shared" ref="F858:N858" si="265">F385</f>
        <v>2992144</v>
      </c>
      <c r="G858" s="279">
        <f t="shared" si="265"/>
        <v>2636531</v>
      </c>
      <c r="H858" s="279">
        <f t="shared" si="265"/>
        <v>2769578</v>
      </c>
      <c r="I858" s="279">
        <f t="shared" si="265"/>
        <v>2479235</v>
      </c>
      <c r="J858" s="279">
        <f t="shared" si="265"/>
        <v>2256353</v>
      </c>
      <c r="K858" s="279">
        <f t="shared" si="265"/>
        <v>1872603</v>
      </c>
      <c r="L858" s="279">
        <f t="shared" si="265"/>
        <v>1565592</v>
      </c>
      <c r="M858" s="279">
        <f t="shared" si="265"/>
        <v>1423850</v>
      </c>
      <c r="N858" s="279">
        <f t="shared" si="265"/>
        <v>1529532</v>
      </c>
      <c r="O858" s="279">
        <f>O385</f>
        <v>2142717</v>
      </c>
      <c r="P858" s="279">
        <f>P385</f>
        <v>2807516</v>
      </c>
      <c r="Q858" s="279">
        <f>Q385</f>
        <v>3255881</v>
      </c>
      <c r="R858" s="279">
        <f t="shared" si="258"/>
        <v>27731532</v>
      </c>
    </row>
    <row r="859" spans="2:18" x14ac:dyDescent="0.2">
      <c r="C859" s="32" t="s">
        <v>1131</v>
      </c>
      <c r="D859" s="32">
        <v>31</v>
      </c>
      <c r="F859" s="279">
        <f t="shared" ref="F859:N859" si="266">F420</f>
        <v>1862880</v>
      </c>
      <c r="G859" s="279">
        <f t="shared" si="266"/>
        <v>1530899</v>
      </c>
      <c r="H859" s="279">
        <f t="shared" si="266"/>
        <v>1488929</v>
      </c>
      <c r="I859" s="279">
        <f t="shared" si="266"/>
        <v>1169710</v>
      </c>
      <c r="J859" s="279">
        <f t="shared" si="266"/>
        <v>831580</v>
      </c>
      <c r="K859" s="279">
        <f t="shared" si="266"/>
        <v>572733</v>
      </c>
      <c r="L859" s="279">
        <f t="shared" si="266"/>
        <v>457633</v>
      </c>
      <c r="M859" s="279">
        <f t="shared" si="266"/>
        <v>450461</v>
      </c>
      <c r="N859" s="279">
        <f t="shared" si="266"/>
        <v>516301</v>
      </c>
      <c r="O859" s="279">
        <f>O420</f>
        <v>875671</v>
      </c>
      <c r="P859" s="279">
        <f>P420</f>
        <v>1570654</v>
      </c>
      <c r="Q859" s="279">
        <f>Q420</f>
        <v>2065921</v>
      </c>
      <c r="R859" s="279">
        <f t="shared" si="258"/>
        <v>13393372</v>
      </c>
    </row>
    <row r="860" spans="2:18" x14ac:dyDescent="0.2">
      <c r="C860" s="32" t="s">
        <v>1132</v>
      </c>
      <c r="D860" s="32">
        <v>41</v>
      </c>
      <c r="F860" s="279">
        <f t="shared" ref="F860:N860" si="267">F450</f>
        <v>1325101</v>
      </c>
      <c r="G860" s="279">
        <f t="shared" si="267"/>
        <v>1224918</v>
      </c>
      <c r="H860" s="279">
        <f t="shared" si="267"/>
        <v>1400426</v>
      </c>
      <c r="I860" s="279">
        <f t="shared" si="267"/>
        <v>1346735</v>
      </c>
      <c r="J860" s="279">
        <f t="shared" si="267"/>
        <v>1340123</v>
      </c>
      <c r="K860" s="279">
        <f t="shared" si="267"/>
        <v>1198669</v>
      </c>
      <c r="L860" s="279">
        <f t="shared" si="267"/>
        <v>1166838</v>
      </c>
      <c r="M860" s="279">
        <f t="shared" si="267"/>
        <v>1217574</v>
      </c>
      <c r="N860" s="279">
        <f t="shared" si="267"/>
        <v>1197533</v>
      </c>
      <c r="O860" s="279">
        <f>O450</f>
        <v>1340154</v>
      </c>
      <c r="P860" s="279">
        <f>P450</f>
        <v>1386876</v>
      </c>
      <c r="Q860" s="279">
        <f>Q450</f>
        <v>1384284</v>
      </c>
      <c r="R860" s="279">
        <f t="shared" si="258"/>
        <v>15529231</v>
      </c>
    </row>
    <row r="861" spans="2:18" x14ac:dyDescent="0.2">
      <c r="C861" s="32" t="s">
        <v>1137</v>
      </c>
      <c r="D861" s="32">
        <v>85</v>
      </c>
      <c r="F861" s="279">
        <f t="shared" ref="F861:N861" si="268">F651</f>
        <v>244025</v>
      </c>
      <c r="G861" s="279">
        <f t="shared" si="268"/>
        <v>230437</v>
      </c>
      <c r="H861" s="279">
        <f t="shared" si="268"/>
        <v>250310</v>
      </c>
      <c r="I861" s="279">
        <f t="shared" si="268"/>
        <v>238410</v>
      </c>
      <c r="J861" s="279">
        <f t="shared" si="268"/>
        <v>231789</v>
      </c>
      <c r="K861" s="279">
        <f t="shared" si="268"/>
        <v>223465</v>
      </c>
      <c r="L861" s="279">
        <f t="shared" si="268"/>
        <v>210855</v>
      </c>
      <c r="M861" s="279">
        <f t="shared" si="268"/>
        <v>254827</v>
      </c>
      <c r="N861" s="279">
        <f t="shared" si="268"/>
        <v>253789</v>
      </c>
      <c r="O861" s="279">
        <f>O651</f>
        <v>236615</v>
      </c>
      <c r="P861" s="279">
        <f>P651</f>
        <v>238060</v>
      </c>
      <c r="Q861" s="279">
        <f>Q651</f>
        <v>249530</v>
      </c>
      <c r="R861" s="279">
        <f t="shared" si="258"/>
        <v>2862112</v>
      </c>
    </row>
    <row r="862" spans="2:18" x14ac:dyDescent="0.2">
      <c r="C862" s="32" t="s">
        <v>1138</v>
      </c>
      <c r="D862" s="32">
        <v>86</v>
      </c>
      <c r="F862" s="279">
        <f t="shared" ref="F862:N862" si="269">F694</f>
        <v>171505</v>
      </c>
      <c r="G862" s="279">
        <f t="shared" si="269"/>
        <v>146383</v>
      </c>
      <c r="H862" s="279">
        <f t="shared" si="269"/>
        <v>66915</v>
      </c>
      <c r="I862" s="279">
        <f t="shared" si="269"/>
        <v>40614</v>
      </c>
      <c r="J862" s="279">
        <f t="shared" si="269"/>
        <v>65028</v>
      </c>
      <c r="K862" s="279">
        <f t="shared" si="269"/>
        <v>83876</v>
      </c>
      <c r="L862" s="279">
        <f t="shared" si="269"/>
        <v>55528</v>
      </c>
      <c r="M862" s="279">
        <f t="shared" si="269"/>
        <v>31451</v>
      </c>
      <c r="N862" s="279">
        <f t="shared" si="269"/>
        <v>25943</v>
      </c>
      <c r="O862" s="279">
        <f>O694</f>
        <v>30191</v>
      </c>
      <c r="P862" s="279">
        <f>P694</f>
        <v>52254</v>
      </c>
      <c r="Q862" s="279">
        <f>Q694</f>
        <v>62644</v>
      </c>
      <c r="R862" s="279">
        <f t="shared" si="258"/>
        <v>832332</v>
      </c>
    </row>
    <row r="863" spans="2:18" x14ac:dyDescent="0.2">
      <c r="C863" s="32" t="s">
        <v>1139</v>
      </c>
      <c r="D863" s="32">
        <v>87</v>
      </c>
      <c r="F863" s="279">
        <f t="shared" ref="F863:N863" si="270">F744</f>
        <v>83770</v>
      </c>
      <c r="G863" s="279">
        <f t="shared" si="270"/>
        <v>115393</v>
      </c>
      <c r="H863" s="279">
        <f t="shared" si="270"/>
        <v>118389</v>
      </c>
      <c r="I863" s="279">
        <f t="shared" si="270"/>
        <v>148227</v>
      </c>
      <c r="J863" s="279">
        <f t="shared" si="270"/>
        <v>172767</v>
      </c>
      <c r="K863" s="279">
        <f t="shared" si="270"/>
        <v>130945</v>
      </c>
      <c r="L863" s="279">
        <f t="shared" si="270"/>
        <v>105034</v>
      </c>
      <c r="M863" s="279">
        <f t="shared" si="270"/>
        <v>153481</v>
      </c>
      <c r="N863" s="279">
        <f t="shared" si="270"/>
        <v>200237</v>
      </c>
      <c r="O863" s="279">
        <f>O744</f>
        <v>222364</v>
      </c>
      <c r="P863" s="279">
        <f>P744</f>
        <v>202008</v>
      </c>
      <c r="Q863" s="279">
        <f>Q744</f>
        <v>136423</v>
      </c>
      <c r="R863" s="279">
        <f t="shared" si="258"/>
        <v>1789038</v>
      </c>
    </row>
    <row r="864" spans="2:18" x14ac:dyDescent="0.2">
      <c r="C864" s="32" t="s">
        <v>1156</v>
      </c>
      <c r="F864" s="357">
        <f t="shared" ref="F864:N864" si="271">SUM(F851:F863)</f>
        <v>110281661</v>
      </c>
      <c r="G864" s="357">
        <f t="shared" si="271"/>
        <v>91175659</v>
      </c>
      <c r="H864" s="357">
        <f t="shared" si="271"/>
        <v>93135083</v>
      </c>
      <c r="I864" s="357">
        <f t="shared" si="271"/>
        <v>74912564</v>
      </c>
      <c r="J864" s="357">
        <f t="shared" si="271"/>
        <v>56699583</v>
      </c>
      <c r="K864" s="357">
        <f t="shared" si="271"/>
        <v>39857140</v>
      </c>
      <c r="L864" s="357">
        <f t="shared" si="271"/>
        <v>29668045</v>
      </c>
      <c r="M864" s="357">
        <f t="shared" si="271"/>
        <v>28472355</v>
      </c>
      <c r="N864" s="357">
        <f t="shared" si="271"/>
        <v>33955567</v>
      </c>
      <c r="O864" s="357">
        <f>SUM(O851:O863)</f>
        <v>60164227</v>
      </c>
      <c r="P864" s="357">
        <f>SUM(P851:P863)</f>
        <v>103839980</v>
      </c>
      <c r="Q864" s="357">
        <f>SUM(Q851:Q863)</f>
        <v>128894312</v>
      </c>
      <c r="R864" s="357">
        <f>SUM(R851:R863)</f>
        <v>851056176</v>
      </c>
    </row>
    <row r="866" spans="2:18" x14ac:dyDescent="0.2">
      <c r="B866" s="32" t="s">
        <v>1157</v>
      </c>
    </row>
    <row r="867" spans="2:18" x14ac:dyDescent="0.2">
      <c r="C867" s="32" t="s">
        <v>1158</v>
      </c>
      <c r="D867" s="444" t="s">
        <v>808</v>
      </c>
      <c r="F867" s="279">
        <f t="shared" ref="F867:N867" si="272">F161</f>
        <v>100691</v>
      </c>
      <c r="G867" s="279">
        <f t="shared" si="272"/>
        <v>97206</v>
      </c>
      <c r="H867" s="279">
        <f t="shared" si="272"/>
        <v>117660</v>
      </c>
      <c r="I867" s="279">
        <f t="shared" si="272"/>
        <v>114662</v>
      </c>
      <c r="J867" s="279">
        <f t="shared" si="272"/>
        <v>102961</v>
      </c>
      <c r="K867" s="279">
        <f t="shared" si="272"/>
        <v>89621</v>
      </c>
      <c r="L867" s="279">
        <f t="shared" si="272"/>
        <v>96388</v>
      </c>
      <c r="M867" s="279">
        <f t="shared" si="272"/>
        <v>90663</v>
      </c>
      <c r="N867" s="279">
        <f t="shared" si="272"/>
        <v>131647</v>
      </c>
      <c r="O867" s="279">
        <f>O161</f>
        <v>137275</v>
      </c>
      <c r="P867" s="279">
        <f>P161</f>
        <v>228305</v>
      </c>
      <c r="Q867" s="279">
        <f>Q161</f>
        <v>318484</v>
      </c>
      <c r="R867" s="279">
        <f t="shared" ref="R867:R874" si="273">SUM(F867:Q867)</f>
        <v>1625563</v>
      </c>
    </row>
    <row r="868" spans="2:18" x14ac:dyDescent="0.2">
      <c r="C868" s="32" t="s">
        <v>1159</v>
      </c>
      <c r="D868" s="444" t="s">
        <v>809</v>
      </c>
      <c r="F868" s="279">
        <f t="shared" ref="F868:N868" si="274">F197</f>
        <v>2122993</v>
      </c>
      <c r="G868" s="279">
        <f t="shared" si="274"/>
        <v>1912161</v>
      </c>
      <c r="H868" s="279">
        <f t="shared" si="274"/>
        <v>2151429</v>
      </c>
      <c r="I868" s="279">
        <f t="shared" si="274"/>
        <v>1981454</v>
      </c>
      <c r="J868" s="279">
        <f t="shared" si="274"/>
        <v>1886419</v>
      </c>
      <c r="K868" s="279">
        <f t="shared" si="274"/>
        <v>1770605</v>
      </c>
      <c r="L868" s="279">
        <f t="shared" si="274"/>
        <v>1664441</v>
      </c>
      <c r="M868" s="279">
        <f t="shared" si="274"/>
        <v>1721220</v>
      </c>
      <c r="N868" s="279">
        <f t="shared" si="274"/>
        <v>1702205</v>
      </c>
      <c r="O868" s="279">
        <f>O197</f>
        <v>1940953</v>
      </c>
      <c r="P868" s="279">
        <f>P197</f>
        <v>2090527</v>
      </c>
      <c r="Q868" s="279">
        <f>Q197</f>
        <v>2197380</v>
      </c>
      <c r="R868" s="279">
        <f t="shared" si="273"/>
        <v>23141787</v>
      </c>
    </row>
    <row r="869" spans="2:18" x14ac:dyDescent="0.2">
      <c r="C869" s="32" t="s">
        <v>1160</v>
      </c>
      <c r="D869" s="444" t="s">
        <v>811</v>
      </c>
      <c r="F869" s="279">
        <f t="shared" ref="F869:N869" si="275">F238</f>
        <v>1937952</v>
      </c>
      <c r="G869" s="279">
        <f t="shared" si="275"/>
        <v>1707812</v>
      </c>
      <c r="H869" s="279">
        <f t="shared" si="275"/>
        <v>1821369</v>
      </c>
      <c r="I869" s="279">
        <f t="shared" si="275"/>
        <v>1678807</v>
      </c>
      <c r="J869" s="279">
        <f t="shared" si="275"/>
        <v>1544678</v>
      </c>
      <c r="K869" s="279">
        <f t="shared" si="275"/>
        <v>1294429</v>
      </c>
      <c r="L869" s="279">
        <f t="shared" si="275"/>
        <v>1196692</v>
      </c>
      <c r="M869" s="279">
        <f t="shared" si="275"/>
        <v>1164811</v>
      </c>
      <c r="N869" s="279">
        <f t="shared" si="275"/>
        <v>1237757</v>
      </c>
      <c r="O869" s="279">
        <f>O238</f>
        <v>1487119</v>
      </c>
      <c r="P869" s="279">
        <f>P238</f>
        <v>1981257</v>
      </c>
      <c r="Q869" s="279">
        <f>Q238</f>
        <v>1990898</v>
      </c>
      <c r="R869" s="279">
        <f t="shared" si="273"/>
        <v>19043581</v>
      </c>
    </row>
    <row r="870" spans="2:18" x14ac:dyDescent="0.2">
      <c r="C870" s="32" t="s">
        <v>1161</v>
      </c>
      <c r="D870" s="444" t="s">
        <v>808</v>
      </c>
      <c r="F870" s="279">
        <f t="shared" ref="F870:N870" si="276">F489</f>
        <v>309029</v>
      </c>
      <c r="G870" s="279">
        <f t="shared" si="276"/>
        <v>288055</v>
      </c>
      <c r="H870" s="279">
        <f t="shared" si="276"/>
        <v>328103</v>
      </c>
      <c r="I870" s="279">
        <f t="shared" si="276"/>
        <v>311349</v>
      </c>
      <c r="J870" s="279">
        <f t="shared" si="276"/>
        <v>287974</v>
      </c>
      <c r="K870" s="279">
        <f t="shared" si="276"/>
        <v>309899</v>
      </c>
      <c r="L870" s="279">
        <f t="shared" si="276"/>
        <v>405719</v>
      </c>
      <c r="M870" s="279">
        <f t="shared" si="276"/>
        <v>414751</v>
      </c>
      <c r="N870" s="279">
        <f t="shared" si="276"/>
        <v>393132</v>
      </c>
      <c r="O870" s="279">
        <f>O489</f>
        <v>429271</v>
      </c>
      <c r="P870" s="279">
        <f>P489</f>
        <v>479248</v>
      </c>
      <c r="Q870" s="279">
        <f>Q489</f>
        <v>494758</v>
      </c>
      <c r="R870" s="279">
        <f t="shared" si="273"/>
        <v>4451288</v>
      </c>
    </row>
    <row r="871" spans="2:18" x14ac:dyDescent="0.2">
      <c r="C871" s="32" t="s">
        <v>1162</v>
      </c>
      <c r="D871" s="444" t="s">
        <v>809</v>
      </c>
      <c r="F871" s="279">
        <f t="shared" ref="F871:N871" si="277">F525</f>
        <v>3196913</v>
      </c>
      <c r="G871" s="279">
        <f t="shared" si="277"/>
        <v>3150964</v>
      </c>
      <c r="H871" s="279">
        <f t="shared" si="277"/>
        <v>3626483</v>
      </c>
      <c r="I871" s="279">
        <f t="shared" si="277"/>
        <v>3513263</v>
      </c>
      <c r="J871" s="279">
        <f t="shared" si="277"/>
        <v>3574891</v>
      </c>
      <c r="K871" s="279">
        <f t="shared" si="277"/>
        <v>3984245</v>
      </c>
      <c r="L871" s="279">
        <f t="shared" si="277"/>
        <v>3565124</v>
      </c>
      <c r="M871" s="279">
        <f t="shared" si="277"/>
        <v>3675294</v>
      </c>
      <c r="N871" s="279">
        <f t="shared" si="277"/>
        <v>3427405</v>
      </c>
      <c r="O871" s="279">
        <f>O525</f>
        <v>3642138</v>
      </c>
      <c r="P871" s="279">
        <f>P525</f>
        <v>3503575</v>
      </c>
      <c r="Q871" s="279">
        <f>Q525</f>
        <v>3241505</v>
      </c>
      <c r="R871" s="279">
        <f t="shared" si="273"/>
        <v>42101800</v>
      </c>
    </row>
    <row r="872" spans="2:18" x14ac:dyDescent="0.2">
      <c r="C872" s="32" t="s">
        <v>1163</v>
      </c>
      <c r="D872" s="444" t="s">
        <v>810</v>
      </c>
      <c r="F872" s="279">
        <f>F558</f>
        <v>0</v>
      </c>
      <c r="G872" s="279">
        <f t="shared" ref="G872:Q872" si="278">G558</f>
        <v>0</v>
      </c>
      <c r="H872" s="279">
        <f t="shared" si="278"/>
        <v>0</v>
      </c>
      <c r="I872" s="279">
        <f t="shared" si="278"/>
        <v>0</v>
      </c>
      <c r="J872" s="279">
        <f t="shared" si="278"/>
        <v>0</v>
      </c>
      <c r="K872" s="279">
        <f t="shared" si="278"/>
        <v>0</v>
      </c>
      <c r="L872" s="279">
        <f t="shared" si="278"/>
        <v>0</v>
      </c>
      <c r="M872" s="279">
        <f t="shared" si="278"/>
        <v>2158</v>
      </c>
      <c r="N872" s="279">
        <f t="shared" si="278"/>
        <v>9063</v>
      </c>
      <c r="O872" s="279">
        <f t="shared" si="278"/>
        <v>8098</v>
      </c>
      <c r="P872" s="279">
        <f t="shared" si="278"/>
        <v>963</v>
      </c>
      <c r="Q872" s="279">
        <f t="shared" si="278"/>
        <v>197</v>
      </c>
      <c r="R872" s="279">
        <f t="shared" si="273"/>
        <v>20479</v>
      </c>
    </row>
    <row r="873" spans="2:18" x14ac:dyDescent="0.2">
      <c r="C873" s="32" t="s">
        <v>1164</v>
      </c>
      <c r="D873" s="444" t="s">
        <v>811</v>
      </c>
      <c r="F873" s="279">
        <f t="shared" ref="F873:N873" si="279">F598</f>
        <v>7278688</v>
      </c>
      <c r="G873" s="279">
        <f t="shared" si="279"/>
        <v>5758210</v>
      </c>
      <c r="H873" s="279">
        <f t="shared" si="279"/>
        <v>6916724</v>
      </c>
      <c r="I873" s="279">
        <f t="shared" si="279"/>
        <v>6858301</v>
      </c>
      <c r="J873" s="279">
        <f t="shared" si="279"/>
        <v>7969590</v>
      </c>
      <c r="K873" s="279">
        <f t="shared" si="279"/>
        <v>6711041</v>
      </c>
      <c r="L873" s="279">
        <f t="shared" si="279"/>
        <v>7300080</v>
      </c>
      <c r="M873" s="279">
        <f t="shared" si="279"/>
        <v>7448528</v>
      </c>
      <c r="N873" s="279">
        <f t="shared" si="279"/>
        <v>6304467</v>
      </c>
      <c r="O873" s="279">
        <f>O598</f>
        <v>6466760</v>
      </c>
      <c r="P873" s="279">
        <f>P598</f>
        <v>5295710</v>
      </c>
      <c r="Q873" s="279">
        <f>Q598</f>
        <v>5673131</v>
      </c>
      <c r="R873" s="279">
        <f t="shared" si="273"/>
        <v>79981230</v>
      </c>
    </row>
    <row r="874" spans="2:18" x14ac:dyDescent="0.2">
      <c r="C874" s="32" t="s">
        <v>1165</v>
      </c>
      <c r="F874" s="279">
        <f t="shared" ref="F874:N874" si="280">F791</f>
        <v>3517110</v>
      </c>
      <c r="G874" s="279">
        <f t="shared" si="280"/>
        <v>3347997</v>
      </c>
      <c r="H874" s="279">
        <f t="shared" si="280"/>
        <v>3654461</v>
      </c>
      <c r="I874" s="279">
        <f t="shared" si="280"/>
        <v>3238199</v>
      </c>
      <c r="J874" s="279">
        <f t="shared" si="280"/>
        <v>2805705</v>
      </c>
      <c r="K874" s="279">
        <f t="shared" si="280"/>
        <v>2216168</v>
      </c>
      <c r="L874" s="279">
        <f t="shared" si="280"/>
        <v>2006793</v>
      </c>
      <c r="M874" s="279">
        <f t="shared" si="280"/>
        <v>1941842</v>
      </c>
      <c r="N874" s="279">
        <f t="shared" si="280"/>
        <v>1979407</v>
      </c>
      <c r="O874" s="279">
        <f>O791</f>
        <v>2787377</v>
      </c>
      <c r="P874" s="279">
        <f>P791</f>
        <v>3842036</v>
      </c>
      <c r="Q874" s="279">
        <f>Q791</f>
        <v>3871544</v>
      </c>
      <c r="R874" s="279">
        <f t="shared" si="273"/>
        <v>35208639</v>
      </c>
    </row>
    <row r="875" spans="2:18" x14ac:dyDescent="0.2">
      <c r="C875" s="32" t="s">
        <v>1166</v>
      </c>
      <c r="F875" s="357">
        <f t="shared" ref="F875:R875" si="281">SUM(F867:F874)</f>
        <v>18463376</v>
      </c>
      <c r="G875" s="357">
        <f t="shared" si="281"/>
        <v>16262405</v>
      </c>
      <c r="H875" s="357">
        <f t="shared" si="281"/>
        <v>18616229</v>
      </c>
      <c r="I875" s="357">
        <f t="shared" si="281"/>
        <v>17696035</v>
      </c>
      <c r="J875" s="357">
        <f t="shared" si="281"/>
        <v>18172218</v>
      </c>
      <c r="K875" s="357">
        <f t="shared" si="281"/>
        <v>16376008</v>
      </c>
      <c r="L875" s="357">
        <f t="shared" si="281"/>
        <v>16235237</v>
      </c>
      <c r="M875" s="357">
        <f t="shared" si="281"/>
        <v>16459267</v>
      </c>
      <c r="N875" s="357">
        <f t="shared" si="281"/>
        <v>15185083</v>
      </c>
      <c r="O875" s="357">
        <f t="shared" si="281"/>
        <v>16898991</v>
      </c>
      <c r="P875" s="357">
        <f t="shared" si="281"/>
        <v>17421621</v>
      </c>
      <c r="Q875" s="357">
        <f t="shared" si="281"/>
        <v>17787897</v>
      </c>
      <c r="R875" s="357">
        <f t="shared" si="281"/>
        <v>205574367</v>
      </c>
    </row>
    <row r="876" spans="2:18" x14ac:dyDescent="0.2">
      <c r="F876" s="424"/>
      <c r="G876" s="424"/>
      <c r="H876" s="424"/>
      <c r="I876" s="424"/>
      <c r="J876" s="424"/>
      <c r="K876" s="424"/>
      <c r="L876" s="424"/>
      <c r="M876" s="424"/>
      <c r="N876" s="424"/>
      <c r="O876" s="424"/>
      <c r="P876" s="424"/>
      <c r="Q876" s="424"/>
      <c r="R876" s="424"/>
    </row>
    <row r="877" spans="2:18" x14ac:dyDescent="0.2">
      <c r="B877" s="32" t="s">
        <v>1167</v>
      </c>
      <c r="F877" s="357">
        <f t="shared" ref="F877:R877" si="282">F864+F875</f>
        <v>128745037</v>
      </c>
      <c r="G877" s="357">
        <f t="shared" si="282"/>
        <v>107438064</v>
      </c>
      <c r="H877" s="357">
        <f t="shared" si="282"/>
        <v>111751312</v>
      </c>
      <c r="I877" s="357">
        <f t="shared" si="282"/>
        <v>92608599</v>
      </c>
      <c r="J877" s="357">
        <f t="shared" si="282"/>
        <v>74871801</v>
      </c>
      <c r="K877" s="357">
        <f t="shared" si="282"/>
        <v>56233148</v>
      </c>
      <c r="L877" s="357">
        <f t="shared" si="282"/>
        <v>45903282</v>
      </c>
      <c r="M877" s="357">
        <f t="shared" si="282"/>
        <v>44931622</v>
      </c>
      <c r="N877" s="357">
        <f t="shared" si="282"/>
        <v>49140650</v>
      </c>
      <c r="O877" s="357">
        <f t="shared" si="282"/>
        <v>77063218</v>
      </c>
      <c r="P877" s="357">
        <f t="shared" si="282"/>
        <v>121261601</v>
      </c>
      <c r="Q877" s="357">
        <f t="shared" si="282"/>
        <v>146682209</v>
      </c>
      <c r="R877" s="357">
        <f t="shared" si="282"/>
        <v>1056630543</v>
      </c>
    </row>
    <row r="878" spans="2:18" x14ac:dyDescent="0.2">
      <c r="F878" s="424"/>
      <c r="G878" s="424"/>
      <c r="H878" s="424"/>
      <c r="I878" s="424"/>
      <c r="J878" s="424"/>
      <c r="K878" s="424"/>
      <c r="L878" s="424"/>
      <c r="M878" s="424"/>
      <c r="N878" s="424"/>
      <c r="O878" s="424"/>
      <c r="P878" s="424"/>
      <c r="Q878" s="424"/>
      <c r="R878" s="424"/>
    </row>
    <row r="879" spans="2:18" x14ac:dyDescent="0.2">
      <c r="B879" s="32" t="s">
        <v>1168</v>
      </c>
      <c r="F879" s="424"/>
      <c r="G879" s="424"/>
      <c r="H879" s="424"/>
      <c r="I879" s="424"/>
      <c r="J879" s="424"/>
      <c r="K879" s="424"/>
      <c r="L879" s="424"/>
      <c r="M879" s="424"/>
      <c r="N879" s="424"/>
      <c r="O879" s="424"/>
      <c r="P879" s="424"/>
      <c r="Q879" s="424"/>
      <c r="R879" s="424"/>
    </row>
    <row r="880" spans="2:18" x14ac:dyDescent="0.2">
      <c r="C880" s="343" t="s">
        <v>1143</v>
      </c>
      <c r="D880" s="32">
        <v>16</v>
      </c>
      <c r="F880" s="424">
        <f t="shared" ref="F880:Q882" si="283">F851</f>
        <v>1026</v>
      </c>
      <c r="G880" s="424">
        <f t="shared" si="283"/>
        <v>1026</v>
      </c>
      <c r="H880" s="424">
        <f t="shared" si="283"/>
        <v>1026</v>
      </c>
      <c r="I880" s="424">
        <f t="shared" si="283"/>
        <v>1026</v>
      </c>
      <c r="J880" s="424">
        <f t="shared" si="283"/>
        <v>1025.9999999999998</v>
      </c>
      <c r="K880" s="424">
        <f t="shared" si="283"/>
        <v>1026</v>
      </c>
      <c r="L880" s="424">
        <f t="shared" si="283"/>
        <v>1007</v>
      </c>
      <c r="M880" s="424">
        <f t="shared" si="283"/>
        <v>1007</v>
      </c>
      <c r="N880" s="424">
        <f t="shared" si="283"/>
        <v>1007</v>
      </c>
      <c r="O880" s="424">
        <f t="shared" si="283"/>
        <v>1007</v>
      </c>
      <c r="P880" s="424">
        <f t="shared" si="283"/>
        <v>1007</v>
      </c>
      <c r="Q880" s="424">
        <f t="shared" si="283"/>
        <v>1007</v>
      </c>
      <c r="R880" s="279">
        <f t="shared" ref="R880:R892" si="284">SUM(F880:Q880)</f>
        <v>12198</v>
      </c>
    </row>
    <row r="881" spans="2:18" x14ac:dyDescent="0.2">
      <c r="C881" s="343" t="s">
        <v>1143</v>
      </c>
      <c r="D881" s="32">
        <v>23</v>
      </c>
      <c r="F881" s="424">
        <f t="shared" si="283"/>
        <v>71187692</v>
      </c>
      <c r="G881" s="424">
        <f t="shared" si="283"/>
        <v>58357925</v>
      </c>
      <c r="H881" s="424">
        <f t="shared" si="283"/>
        <v>59215201</v>
      </c>
      <c r="I881" s="424">
        <f t="shared" si="283"/>
        <v>46508498</v>
      </c>
      <c r="J881" s="424">
        <f t="shared" si="283"/>
        <v>33382131</v>
      </c>
      <c r="K881" s="424">
        <f t="shared" si="283"/>
        <v>21957138</v>
      </c>
      <c r="L881" s="424">
        <f t="shared" si="283"/>
        <v>15080375</v>
      </c>
      <c r="M881" s="424">
        <f t="shared" si="283"/>
        <v>14189236</v>
      </c>
      <c r="N881" s="424">
        <f t="shared" si="283"/>
        <v>18121975</v>
      </c>
      <c r="O881" s="424">
        <f t="shared" si="283"/>
        <v>36524174</v>
      </c>
      <c r="P881" s="424">
        <f t="shared" si="283"/>
        <v>67472591</v>
      </c>
      <c r="Q881" s="424">
        <f t="shared" si="283"/>
        <v>84734325</v>
      </c>
      <c r="R881" s="279">
        <f t="shared" si="284"/>
        <v>526731261</v>
      </c>
    </row>
    <row r="882" spans="2:18" x14ac:dyDescent="0.2">
      <c r="C882" s="343" t="s">
        <v>374</v>
      </c>
      <c r="D882" s="32">
        <v>53</v>
      </c>
      <c r="F882" s="424">
        <f t="shared" si="283"/>
        <v>205</v>
      </c>
      <c r="G882" s="424">
        <f t="shared" si="283"/>
        <v>216</v>
      </c>
      <c r="H882" s="424">
        <f t="shared" si="283"/>
        <v>301</v>
      </c>
      <c r="I882" s="424">
        <f t="shared" si="283"/>
        <v>219</v>
      </c>
      <c r="J882" s="424">
        <f t="shared" si="283"/>
        <v>145</v>
      </c>
      <c r="K882" s="424">
        <f t="shared" si="283"/>
        <v>107</v>
      </c>
      <c r="L882" s="424">
        <f t="shared" si="283"/>
        <v>89</v>
      </c>
      <c r="M882" s="424">
        <f t="shared" si="283"/>
        <v>86</v>
      </c>
      <c r="N882" s="424">
        <f t="shared" si="283"/>
        <v>84</v>
      </c>
      <c r="O882" s="424">
        <f t="shared" si="283"/>
        <v>160</v>
      </c>
      <c r="P882" s="424">
        <f t="shared" si="283"/>
        <v>222</v>
      </c>
      <c r="Q882" s="424">
        <f t="shared" si="283"/>
        <v>280</v>
      </c>
      <c r="R882" s="279">
        <f t="shared" si="284"/>
        <v>2114</v>
      </c>
    </row>
    <row r="883" spans="2:18" x14ac:dyDescent="0.2">
      <c r="C883" s="346" t="s">
        <v>1144</v>
      </c>
      <c r="D883" s="32">
        <v>31</v>
      </c>
      <c r="F883" s="424">
        <f t="shared" ref="F883:Q887" si="285">F854+F859</f>
        <v>24392932</v>
      </c>
      <c r="G883" s="424">
        <f t="shared" si="285"/>
        <v>19931255</v>
      </c>
      <c r="H883" s="424">
        <f t="shared" si="285"/>
        <v>20211538</v>
      </c>
      <c r="I883" s="424">
        <f t="shared" si="285"/>
        <v>16329252</v>
      </c>
      <c r="J883" s="424">
        <f t="shared" si="285"/>
        <v>12570728</v>
      </c>
      <c r="K883" s="424">
        <f t="shared" si="285"/>
        <v>9331850</v>
      </c>
      <c r="L883" s="424">
        <f t="shared" si="285"/>
        <v>7475132</v>
      </c>
      <c r="M883" s="424">
        <f t="shared" si="285"/>
        <v>7320540</v>
      </c>
      <c r="N883" s="424">
        <f t="shared" si="285"/>
        <v>8247220</v>
      </c>
      <c r="O883" s="424">
        <f t="shared" si="285"/>
        <v>13245022</v>
      </c>
      <c r="P883" s="424">
        <f t="shared" si="285"/>
        <v>22627683</v>
      </c>
      <c r="Q883" s="424">
        <f t="shared" si="285"/>
        <v>28797018</v>
      </c>
      <c r="R883" s="279">
        <f t="shared" si="284"/>
        <v>190480170</v>
      </c>
    </row>
    <row r="884" spans="2:18" x14ac:dyDescent="0.2">
      <c r="C884" s="343" t="s">
        <v>1145</v>
      </c>
      <c r="D884" s="32">
        <v>41</v>
      </c>
      <c r="F884" s="424">
        <f t="shared" si="285"/>
        <v>8004055</v>
      </c>
      <c r="G884" s="424">
        <f t="shared" si="285"/>
        <v>6981114</v>
      </c>
      <c r="H884" s="424">
        <f t="shared" si="285"/>
        <v>7496772</v>
      </c>
      <c r="I884" s="424">
        <f t="shared" si="285"/>
        <v>6595479</v>
      </c>
      <c r="J884" s="424">
        <f t="shared" si="285"/>
        <v>5896911</v>
      </c>
      <c r="K884" s="424">
        <f t="shared" si="285"/>
        <v>4768160</v>
      </c>
      <c r="L884" s="424">
        <f t="shared" si="285"/>
        <v>4092135</v>
      </c>
      <c r="M884" s="424">
        <f t="shared" si="285"/>
        <v>4076995</v>
      </c>
      <c r="N884" s="424">
        <f t="shared" si="285"/>
        <v>4343468</v>
      </c>
      <c r="O884" s="424">
        <f t="shared" si="285"/>
        <v>5745982</v>
      </c>
      <c r="P884" s="424">
        <f t="shared" si="285"/>
        <v>7473709</v>
      </c>
      <c r="Q884" s="424">
        <f t="shared" si="285"/>
        <v>8382801</v>
      </c>
      <c r="R884" s="279">
        <f t="shared" si="284"/>
        <v>73857581</v>
      </c>
    </row>
    <row r="885" spans="2:18" x14ac:dyDescent="0.2">
      <c r="C885" s="343" t="s">
        <v>1146</v>
      </c>
      <c r="D885" s="32">
        <v>85</v>
      </c>
      <c r="F885" s="424">
        <f t="shared" si="285"/>
        <v>1784553</v>
      </c>
      <c r="G885" s="424">
        <f t="shared" si="285"/>
        <v>1596347</v>
      </c>
      <c r="H885" s="424">
        <f t="shared" si="285"/>
        <v>1793352</v>
      </c>
      <c r="I885" s="424">
        <f t="shared" si="285"/>
        <v>1590057</v>
      </c>
      <c r="J885" s="424">
        <f t="shared" si="285"/>
        <v>1374596</v>
      </c>
      <c r="K885" s="424">
        <f t="shared" si="285"/>
        <v>1084754</v>
      </c>
      <c r="L885" s="424">
        <f t="shared" si="285"/>
        <v>930314</v>
      </c>
      <c r="M885" s="424">
        <f t="shared" si="285"/>
        <v>937178</v>
      </c>
      <c r="N885" s="424">
        <f t="shared" si="285"/>
        <v>991705</v>
      </c>
      <c r="O885" s="424">
        <f t="shared" si="285"/>
        <v>1325106</v>
      </c>
      <c r="P885" s="424">
        <f t="shared" si="285"/>
        <v>1708043</v>
      </c>
      <c r="Q885" s="424">
        <f t="shared" si="285"/>
        <v>1816904</v>
      </c>
      <c r="R885" s="279">
        <f t="shared" si="284"/>
        <v>16932909</v>
      </c>
    </row>
    <row r="886" spans="2:18" x14ac:dyDescent="0.2">
      <c r="C886" s="343" t="s">
        <v>1147</v>
      </c>
      <c r="D886" s="32">
        <v>86</v>
      </c>
      <c r="F886" s="424">
        <f t="shared" si="285"/>
        <v>1835284</v>
      </c>
      <c r="G886" s="424">
        <f t="shared" si="285"/>
        <v>1555852</v>
      </c>
      <c r="H886" s="424">
        <f t="shared" si="285"/>
        <v>1528926</v>
      </c>
      <c r="I886" s="424">
        <f t="shared" si="285"/>
        <v>1260571</v>
      </c>
      <c r="J886" s="424">
        <f t="shared" si="285"/>
        <v>1044926</v>
      </c>
      <c r="K886" s="424">
        <f t="shared" si="285"/>
        <v>710557</v>
      </c>
      <c r="L886" s="424">
        <f t="shared" si="285"/>
        <v>418367</v>
      </c>
      <c r="M886" s="424">
        <f t="shared" si="285"/>
        <v>369982</v>
      </c>
      <c r="N886" s="424">
        <f t="shared" si="285"/>
        <v>520339</v>
      </c>
      <c r="O886" s="424">
        <f t="shared" si="285"/>
        <v>957695</v>
      </c>
      <c r="P886" s="424">
        <f t="shared" si="285"/>
        <v>1547201</v>
      </c>
      <c r="Q886" s="424">
        <f t="shared" si="285"/>
        <v>1769673</v>
      </c>
      <c r="R886" s="279">
        <f t="shared" si="284"/>
        <v>13519373</v>
      </c>
    </row>
    <row r="887" spans="2:18" x14ac:dyDescent="0.2">
      <c r="C887" s="343" t="s">
        <v>1148</v>
      </c>
      <c r="D887" s="32">
        <v>87</v>
      </c>
      <c r="F887" s="424">
        <f t="shared" si="285"/>
        <v>3075914</v>
      </c>
      <c r="G887" s="424">
        <f t="shared" si="285"/>
        <v>2751924</v>
      </c>
      <c r="H887" s="424">
        <f t="shared" si="285"/>
        <v>2887967</v>
      </c>
      <c r="I887" s="424">
        <f t="shared" si="285"/>
        <v>2627462</v>
      </c>
      <c r="J887" s="424">
        <f t="shared" si="285"/>
        <v>2429120</v>
      </c>
      <c r="K887" s="424">
        <f t="shared" si="285"/>
        <v>2003548</v>
      </c>
      <c r="L887" s="424">
        <f t="shared" si="285"/>
        <v>1670626</v>
      </c>
      <c r="M887" s="424">
        <f t="shared" si="285"/>
        <v>1577331</v>
      </c>
      <c r="N887" s="424">
        <f t="shared" si="285"/>
        <v>1729769</v>
      </c>
      <c r="O887" s="424">
        <f t="shared" si="285"/>
        <v>2365081</v>
      </c>
      <c r="P887" s="424">
        <f t="shared" si="285"/>
        <v>3009524</v>
      </c>
      <c r="Q887" s="424">
        <f t="shared" si="285"/>
        <v>3392304</v>
      </c>
      <c r="R887" s="279">
        <f t="shared" si="284"/>
        <v>29520570</v>
      </c>
    </row>
    <row r="888" spans="2:18" x14ac:dyDescent="0.2">
      <c r="C888" s="32" t="s">
        <v>1149</v>
      </c>
      <c r="D888" s="444" t="s">
        <v>808</v>
      </c>
      <c r="F888" s="424">
        <f t="shared" ref="F888:Q889" si="286">F867+F870</f>
        <v>409720</v>
      </c>
      <c r="G888" s="424">
        <f t="shared" si="286"/>
        <v>385261</v>
      </c>
      <c r="H888" s="424">
        <f t="shared" si="286"/>
        <v>445763</v>
      </c>
      <c r="I888" s="424">
        <f t="shared" si="286"/>
        <v>426011</v>
      </c>
      <c r="J888" s="424">
        <f t="shared" si="286"/>
        <v>390935</v>
      </c>
      <c r="K888" s="424">
        <f t="shared" si="286"/>
        <v>399520</v>
      </c>
      <c r="L888" s="424">
        <f t="shared" si="286"/>
        <v>502107</v>
      </c>
      <c r="M888" s="424">
        <f t="shared" si="286"/>
        <v>505414</v>
      </c>
      <c r="N888" s="424">
        <f t="shared" si="286"/>
        <v>524779</v>
      </c>
      <c r="O888" s="424">
        <f t="shared" si="286"/>
        <v>566546</v>
      </c>
      <c r="P888" s="424">
        <f t="shared" si="286"/>
        <v>707553</v>
      </c>
      <c r="Q888" s="424">
        <f t="shared" si="286"/>
        <v>813242</v>
      </c>
      <c r="R888" s="279">
        <f t="shared" si="284"/>
        <v>6076851</v>
      </c>
    </row>
    <row r="889" spans="2:18" x14ac:dyDescent="0.2">
      <c r="C889" s="32" t="s">
        <v>1150</v>
      </c>
      <c r="D889" s="444" t="s">
        <v>809</v>
      </c>
      <c r="F889" s="424">
        <f t="shared" si="286"/>
        <v>5319906</v>
      </c>
      <c r="G889" s="424">
        <f t="shared" si="286"/>
        <v>5063125</v>
      </c>
      <c r="H889" s="424">
        <f t="shared" si="286"/>
        <v>5777912</v>
      </c>
      <c r="I889" s="424">
        <f t="shared" si="286"/>
        <v>5494717</v>
      </c>
      <c r="J889" s="424">
        <f t="shared" si="286"/>
        <v>5461310</v>
      </c>
      <c r="K889" s="424">
        <f t="shared" si="286"/>
        <v>5754850</v>
      </c>
      <c r="L889" s="424">
        <f t="shared" si="286"/>
        <v>5229565</v>
      </c>
      <c r="M889" s="424">
        <f t="shared" si="286"/>
        <v>5396514</v>
      </c>
      <c r="N889" s="424">
        <f t="shared" si="286"/>
        <v>5129610</v>
      </c>
      <c r="O889" s="424">
        <f t="shared" si="286"/>
        <v>5583091</v>
      </c>
      <c r="P889" s="424">
        <f t="shared" si="286"/>
        <v>5594102</v>
      </c>
      <c r="Q889" s="424">
        <f t="shared" si="286"/>
        <v>5438885</v>
      </c>
      <c r="R889" s="279">
        <f t="shared" si="284"/>
        <v>65243587</v>
      </c>
    </row>
    <row r="890" spans="2:18" x14ac:dyDescent="0.2">
      <c r="C890" s="32" t="s">
        <v>1151</v>
      </c>
      <c r="D890" s="444" t="s">
        <v>810</v>
      </c>
      <c r="F890" s="424">
        <f>F872</f>
        <v>0</v>
      </c>
      <c r="G890" s="424">
        <f t="shared" ref="G890:Q890" si="287">G872</f>
        <v>0</v>
      </c>
      <c r="H890" s="424">
        <f t="shared" si="287"/>
        <v>0</v>
      </c>
      <c r="I890" s="424">
        <f t="shared" si="287"/>
        <v>0</v>
      </c>
      <c r="J890" s="424">
        <f t="shared" si="287"/>
        <v>0</v>
      </c>
      <c r="K890" s="424">
        <f t="shared" si="287"/>
        <v>0</v>
      </c>
      <c r="L890" s="424">
        <f t="shared" si="287"/>
        <v>0</v>
      </c>
      <c r="M890" s="424">
        <f t="shared" si="287"/>
        <v>2158</v>
      </c>
      <c r="N890" s="424">
        <f t="shared" si="287"/>
        <v>9063</v>
      </c>
      <c r="O890" s="424">
        <f t="shared" si="287"/>
        <v>8098</v>
      </c>
      <c r="P890" s="424">
        <f t="shared" si="287"/>
        <v>963</v>
      </c>
      <c r="Q890" s="424">
        <f t="shared" si="287"/>
        <v>197</v>
      </c>
      <c r="R890" s="279">
        <f t="shared" si="284"/>
        <v>20479</v>
      </c>
    </row>
    <row r="891" spans="2:18" x14ac:dyDescent="0.2">
      <c r="C891" s="32" t="s">
        <v>1152</v>
      </c>
      <c r="D891" s="444" t="s">
        <v>811</v>
      </c>
      <c r="F891" s="424">
        <f t="shared" ref="F891:Q891" si="288">F869+F873</f>
        <v>9216640</v>
      </c>
      <c r="G891" s="424">
        <f t="shared" si="288"/>
        <v>7466022</v>
      </c>
      <c r="H891" s="424">
        <f t="shared" si="288"/>
        <v>8738093</v>
      </c>
      <c r="I891" s="424">
        <f t="shared" si="288"/>
        <v>8537108</v>
      </c>
      <c r="J891" s="424">
        <f t="shared" si="288"/>
        <v>9514268</v>
      </c>
      <c r="K891" s="424">
        <f t="shared" si="288"/>
        <v>8005470</v>
      </c>
      <c r="L891" s="424">
        <f t="shared" si="288"/>
        <v>8496772</v>
      </c>
      <c r="M891" s="424">
        <f t="shared" si="288"/>
        <v>8613339</v>
      </c>
      <c r="N891" s="424">
        <f t="shared" si="288"/>
        <v>7542224</v>
      </c>
      <c r="O891" s="424">
        <f t="shared" si="288"/>
        <v>7953879</v>
      </c>
      <c r="P891" s="424">
        <f t="shared" si="288"/>
        <v>7276967</v>
      </c>
      <c r="Q891" s="424">
        <f t="shared" si="288"/>
        <v>7664029</v>
      </c>
      <c r="R891" s="279">
        <f t="shared" si="284"/>
        <v>99024811</v>
      </c>
    </row>
    <row r="892" spans="2:18" x14ac:dyDescent="0.2">
      <c r="C892" s="343" t="s">
        <v>844</v>
      </c>
      <c r="F892" s="424">
        <f t="shared" ref="F892:N892" si="289">F874</f>
        <v>3517110</v>
      </c>
      <c r="G892" s="424">
        <f t="shared" si="289"/>
        <v>3347997</v>
      </c>
      <c r="H892" s="424">
        <f t="shared" si="289"/>
        <v>3654461</v>
      </c>
      <c r="I892" s="424">
        <f t="shared" si="289"/>
        <v>3238199</v>
      </c>
      <c r="J892" s="424">
        <f t="shared" si="289"/>
        <v>2805705</v>
      </c>
      <c r="K892" s="424">
        <f t="shared" si="289"/>
        <v>2216168</v>
      </c>
      <c r="L892" s="424">
        <f t="shared" si="289"/>
        <v>2006793</v>
      </c>
      <c r="M892" s="424">
        <f t="shared" si="289"/>
        <v>1941842</v>
      </c>
      <c r="N892" s="424">
        <f t="shared" si="289"/>
        <v>1979407</v>
      </c>
      <c r="O892" s="424">
        <f>O874</f>
        <v>2787377</v>
      </c>
      <c r="P892" s="424">
        <f>P874</f>
        <v>3842036</v>
      </c>
      <c r="Q892" s="424">
        <f>Q874</f>
        <v>3871544</v>
      </c>
      <c r="R892" s="279">
        <f t="shared" si="284"/>
        <v>35208639</v>
      </c>
    </row>
    <row r="893" spans="2:18" x14ac:dyDescent="0.2">
      <c r="C893" s="32" t="s">
        <v>1167</v>
      </c>
      <c r="F893" s="357">
        <f t="shared" ref="F893:N893" si="290">SUM(F880:F892)</f>
        <v>128745037</v>
      </c>
      <c r="G893" s="357">
        <f t="shared" si="290"/>
        <v>107438064</v>
      </c>
      <c r="H893" s="357">
        <f t="shared" si="290"/>
        <v>111751312</v>
      </c>
      <c r="I893" s="357">
        <f t="shared" si="290"/>
        <v>92608599</v>
      </c>
      <c r="J893" s="357">
        <f t="shared" si="290"/>
        <v>74871801</v>
      </c>
      <c r="K893" s="357">
        <f t="shared" si="290"/>
        <v>56233148</v>
      </c>
      <c r="L893" s="357">
        <f t="shared" si="290"/>
        <v>45903282</v>
      </c>
      <c r="M893" s="357">
        <f t="shared" si="290"/>
        <v>44931622</v>
      </c>
      <c r="N893" s="357">
        <f t="shared" si="290"/>
        <v>49140650</v>
      </c>
      <c r="O893" s="357">
        <f>SUM(O880:O892)</f>
        <v>77063218</v>
      </c>
      <c r="P893" s="357">
        <f>SUM(P880:P892)</f>
        <v>121261601</v>
      </c>
      <c r="Q893" s="357">
        <f>SUM(Q880:Q892)</f>
        <v>146682209</v>
      </c>
      <c r="R893" s="357">
        <f>SUM(R880:R892)</f>
        <v>1056630543</v>
      </c>
    </row>
    <row r="894" spans="2:18" x14ac:dyDescent="0.2">
      <c r="C894" s="32" t="s">
        <v>131</v>
      </c>
      <c r="F894" s="279">
        <f t="shared" ref="F894:R894" si="291">F877-F893</f>
        <v>0</v>
      </c>
      <c r="G894" s="279">
        <f t="shared" si="291"/>
        <v>0</v>
      </c>
      <c r="H894" s="279">
        <f t="shared" si="291"/>
        <v>0</v>
      </c>
      <c r="I894" s="279">
        <f t="shared" si="291"/>
        <v>0</v>
      </c>
      <c r="J894" s="279">
        <f t="shared" si="291"/>
        <v>0</v>
      </c>
      <c r="K894" s="279">
        <f t="shared" si="291"/>
        <v>0</v>
      </c>
      <c r="L894" s="279">
        <f t="shared" si="291"/>
        <v>0</v>
      </c>
      <c r="M894" s="279">
        <f t="shared" si="291"/>
        <v>0</v>
      </c>
      <c r="N894" s="279">
        <f t="shared" si="291"/>
        <v>0</v>
      </c>
      <c r="O894" s="279">
        <f t="shared" si="291"/>
        <v>0</v>
      </c>
      <c r="P894" s="279">
        <f t="shared" si="291"/>
        <v>0</v>
      </c>
      <c r="Q894" s="279">
        <f t="shared" si="291"/>
        <v>0</v>
      </c>
      <c r="R894" s="279">
        <f t="shared" si="291"/>
        <v>0</v>
      </c>
    </row>
    <row r="896" spans="2:18" x14ac:dyDescent="0.2">
      <c r="B896" s="32" t="s">
        <v>1169</v>
      </c>
    </row>
    <row r="897" spans="3:19" x14ac:dyDescent="0.2">
      <c r="C897" s="32" t="s">
        <v>1170</v>
      </c>
      <c r="D897" s="32">
        <v>61</v>
      </c>
      <c r="F897" s="279">
        <f>F78</f>
        <v>4027</v>
      </c>
      <c r="G897" s="279">
        <f t="shared" ref="G897:Q897" si="292">G78</f>
        <v>4027</v>
      </c>
      <c r="H897" s="279">
        <f t="shared" si="292"/>
        <v>4027</v>
      </c>
      <c r="I897" s="279">
        <f t="shared" si="292"/>
        <v>4027</v>
      </c>
      <c r="J897" s="279">
        <f t="shared" si="292"/>
        <v>4027</v>
      </c>
      <c r="K897" s="279">
        <f t="shared" si="292"/>
        <v>4027</v>
      </c>
      <c r="L897" s="279">
        <f t="shared" si="292"/>
        <v>4027</v>
      </c>
      <c r="M897" s="279">
        <f t="shared" si="292"/>
        <v>4027</v>
      </c>
      <c r="N897" s="279">
        <f t="shared" si="292"/>
        <v>4027</v>
      </c>
      <c r="O897" s="279">
        <f t="shared" si="292"/>
        <v>4027</v>
      </c>
      <c r="P897" s="279">
        <f t="shared" si="292"/>
        <v>4027</v>
      </c>
      <c r="Q897" s="279">
        <f t="shared" si="292"/>
        <v>4027</v>
      </c>
      <c r="R897" s="279">
        <f>SUM(F897:Q897)</f>
        <v>48324</v>
      </c>
    </row>
    <row r="898" spans="3:19" x14ac:dyDescent="0.2">
      <c r="C898" s="32" t="s">
        <v>1171</v>
      </c>
      <c r="D898" s="32">
        <v>61</v>
      </c>
      <c r="F898" s="279">
        <f>F264</f>
        <v>88936</v>
      </c>
      <c r="G898" s="279">
        <f t="shared" ref="G898:Q898" si="293">G264</f>
        <v>88936</v>
      </c>
      <c r="H898" s="279">
        <f t="shared" si="293"/>
        <v>89191</v>
      </c>
      <c r="I898" s="279">
        <f t="shared" si="293"/>
        <v>88936</v>
      </c>
      <c r="J898" s="279">
        <f t="shared" si="293"/>
        <v>91309</v>
      </c>
      <c r="K898" s="279">
        <f t="shared" si="293"/>
        <v>90116</v>
      </c>
      <c r="L898" s="279">
        <f t="shared" si="293"/>
        <v>92111</v>
      </c>
      <c r="M898" s="279">
        <f t="shared" si="293"/>
        <v>93269</v>
      </c>
      <c r="N898" s="279">
        <f t="shared" si="293"/>
        <v>92656</v>
      </c>
      <c r="O898" s="279">
        <f t="shared" si="293"/>
        <v>92656</v>
      </c>
      <c r="P898" s="279">
        <f t="shared" si="293"/>
        <v>92656</v>
      </c>
      <c r="Q898" s="279">
        <f t="shared" si="293"/>
        <v>92656</v>
      </c>
      <c r="R898" s="279">
        <f>SUM(F898:Q898)</f>
        <v>1093428</v>
      </c>
    </row>
    <row r="899" spans="3:19" x14ac:dyDescent="0.2">
      <c r="C899" s="32" t="s">
        <v>1172</v>
      </c>
      <c r="D899" s="32">
        <v>61</v>
      </c>
      <c r="F899" s="279">
        <f>F624</f>
        <v>947</v>
      </c>
      <c r="G899" s="279">
        <f t="shared" ref="G899:Q899" si="294">G624</f>
        <v>947</v>
      </c>
      <c r="H899" s="279">
        <f t="shared" si="294"/>
        <v>947</v>
      </c>
      <c r="I899" s="279">
        <f t="shared" si="294"/>
        <v>947</v>
      </c>
      <c r="J899" s="279">
        <f t="shared" si="294"/>
        <v>947</v>
      </c>
      <c r="K899" s="279">
        <f t="shared" si="294"/>
        <v>947</v>
      </c>
      <c r="L899" s="279">
        <f t="shared" si="294"/>
        <v>947</v>
      </c>
      <c r="M899" s="279">
        <f t="shared" si="294"/>
        <v>947</v>
      </c>
      <c r="N899" s="279">
        <f t="shared" si="294"/>
        <v>947</v>
      </c>
      <c r="O899" s="279">
        <f t="shared" si="294"/>
        <v>947</v>
      </c>
      <c r="P899" s="279">
        <f t="shared" si="294"/>
        <v>947</v>
      </c>
      <c r="Q899" s="279">
        <f t="shared" si="294"/>
        <v>947</v>
      </c>
      <c r="R899" s="279">
        <f>SUM(F899:Q899)</f>
        <v>11364</v>
      </c>
    </row>
    <row r="900" spans="3:19" x14ac:dyDescent="0.2">
      <c r="C900" s="32" t="s">
        <v>1124</v>
      </c>
      <c r="D900" s="32">
        <v>41</v>
      </c>
      <c r="F900" s="279">
        <f t="shared" ref="F900:N900" si="295">F123</f>
        <v>345023.82</v>
      </c>
      <c r="G900" s="279">
        <f t="shared" si="295"/>
        <v>345483.82</v>
      </c>
      <c r="H900" s="279">
        <f t="shared" si="295"/>
        <v>343434.82</v>
      </c>
      <c r="I900" s="279">
        <f t="shared" si="295"/>
        <v>344454.82999999996</v>
      </c>
      <c r="J900" s="279">
        <f t="shared" si="295"/>
        <v>343545.81999999995</v>
      </c>
      <c r="K900" s="279">
        <f t="shared" si="295"/>
        <v>347633.82000000007</v>
      </c>
      <c r="L900" s="279">
        <f t="shared" si="295"/>
        <v>349911.64</v>
      </c>
      <c r="M900" s="279">
        <f t="shared" si="295"/>
        <v>346640</v>
      </c>
      <c r="N900" s="279">
        <f t="shared" si="295"/>
        <v>346444</v>
      </c>
      <c r="O900" s="279">
        <f>O123</f>
        <v>339453</v>
      </c>
      <c r="P900" s="279">
        <f>P123</f>
        <v>337940</v>
      </c>
      <c r="Q900" s="279">
        <f>Q123</f>
        <v>335944</v>
      </c>
      <c r="R900" s="279">
        <f t="shared" ref="R900:R915" si="296">SUM(F900:Q900)</f>
        <v>4125909.57</v>
      </c>
    </row>
    <row r="901" spans="3:19" x14ac:dyDescent="0.2">
      <c r="C901" s="32" t="s">
        <v>1125</v>
      </c>
      <c r="D901" s="444" t="s">
        <v>808</v>
      </c>
      <c r="F901" s="279">
        <f t="shared" ref="F901:N901" si="297">F162</f>
        <v>6680</v>
      </c>
      <c r="G901" s="279">
        <f t="shared" si="297"/>
        <v>6680</v>
      </c>
      <c r="H901" s="279">
        <f t="shared" si="297"/>
        <v>6680</v>
      </c>
      <c r="I901" s="279">
        <f t="shared" si="297"/>
        <v>6680</v>
      </c>
      <c r="J901" s="279">
        <f t="shared" si="297"/>
        <v>6679.9999999999991</v>
      </c>
      <c r="K901" s="279">
        <f t="shared" si="297"/>
        <v>6680</v>
      </c>
      <c r="L901" s="279">
        <f t="shared" si="297"/>
        <v>5996</v>
      </c>
      <c r="M901" s="279">
        <f t="shared" si="297"/>
        <v>5996</v>
      </c>
      <c r="N901" s="279">
        <f t="shared" si="297"/>
        <v>5996</v>
      </c>
      <c r="O901" s="279">
        <f>O162</f>
        <v>8026</v>
      </c>
      <c r="P901" s="279">
        <f>P162</f>
        <v>8026</v>
      </c>
      <c r="Q901" s="279">
        <f>Q162</f>
        <v>12103</v>
      </c>
      <c r="R901" s="279">
        <f t="shared" si="296"/>
        <v>86223</v>
      </c>
      <c r="S901" s="279"/>
    </row>
    <row r="902" spans="3:19" x14ac:dyDescent="0.2">
      <c r="C902" s="32" t="s">
        <v>1126</v>
      </c>
      <c r="D902" s="444" t="s">
        <v>809</v>
      </c>
      <c r="F902" s="279">
        <f t="shared" ref="F902:N902" si="298">F198</f>
        <v>22456</v>
      </c>
      <c r="G902" s="279">
        <f t="shared" si="298"/>
        <v>24856</v>
      </c>
      <c r="H902" s="279">
        <f t="shared" si="298"/>
        <v>23656</v>
      </c>
      <c r="I902" s="279">
        <f t="shared" si="298"/>
        <v>23656</v>
      </c>
      <c r="J902" s="279">
        <f t="shared" si="298"/>
        <v>23656</v>
      </c>
      <c r="K902" s="279">
        <f t="shared" si="298"/>
        <v>23656</v>
      </c>
      <c r="L902" s="279">
        <f t="shared" si="298"/>
        <v>23656</v>
      </c>
      <c r="M902" s="279">
        <f t="shared" si="298"/>
        <v>23656</v>
      </c>
      <c r="N902" s="279">
        <f t="shared" si="298"/>
        <v>23656</v>
      </c>
      <c r="O902" s="279">
        <f>O198</f>
        <v>21156</v>
      </c>
      <c r="P902" s="279">
        <f>P198</f>
        <v>19656</v>
      </c>
      <c r="Q902" s="279">
        <f>Q198</f>
        <v>19356</v>
      </c>
      <c r="R902" s="279">
        <f t="shared" si="296"/>
        <v>273072</v>
      </c>
    </row>
    <row r="903" spans="3:19" x14ac:dyDescent="0.2">
      <c r="C903" s="32" t="s">
        <v>1127</v>
      </c>
      <c r="D903" s="444" t="s">
        <v>811</v>
      </c>
      <c r="F903" s="279">
        <f t="shared" ref="F903:N903" si="299">F239</f>
        <v>2</v>
      </c>
      <c r="G903" s="279">
        <f t="shared" si="299"/>
        <v>2</v>
      </c>
      <c r="H903" s="279">
        <f t="shared" si="299"/>
        <v>2</v>
      </c>
      <c r="I903" s="279">
        <f t="shared" si="299"/>
        <v>2</v>
      </c>
      <c r="J903" s="279">
        <f t="shared" si="299"/>
        <v>2</v>
      </c>
      <c r="K903" s="279">
        <f t="shared" si="299"/>
        <v>2</v>
      </c>
      <c r="L903" s="279">
        <f t="shared" si="299"/>
        <v>2</v>
      </c>
      <c r="M903" s="279">
        <f t="shared" si="299"/>
        <v>2</v>
      </c>
      <c r="N903" s="279">
        <f t="shared" si="299"/>
        <v>2</v>
      </c>
      <c r="O903" s="279">
        <f>O239</f>
        <v>2</v>
      </c>
      <c r="P903" s="279">
        <f>P239</f>
        <v>2</v>
      </c>
      <c r="Q903" s="279">
        <f>Q239</f>
        <v>2</v>
      </c>
      <c r="R903" s="279">
        <f t="shared" si="296"/>
        <v>24</v>
      </c>
    </row>
    <row r="904" spans="3:19" x14ac:dyDescent="0.2">
      <c r="C904" s="32" t="s">
        <v>1128</v>
      </c>
      <c r="D904" s="32">
        <v>85</v>
      </c>
      <c r="F904" s="279">
        <f t="shared" ref="F904:N904" si="300">F293</f>
        <v>7593</v>
      </c>
      <c r="G904" s="279">
        <f t="shared" si="300"/>
        <v>7593</v>
      </c>
      <c r="H904" s="279">
        <f t="shared" si="300"/>
        <v>7593</v>
      </c>
      <c r="I904" s="279">
        <f t="shared" si="300"/>
        <v>7593</v>
      </c>
      <c r="J904" s="279">
        <f t="shared" si="300"/>
        <v>7593</v>
      </c>
      <c r="K904" s="279">
        <f t="shared" si="300"/>
        <v>7593</v>
      </c>
      <c r="L904" s="279">
        <f t="shared" si="300"/>
        <v>7593</v>
      </c>
      <c r="M904" s="279">
        <f t="shared" si="300"/>
        <v>7661</v>
      </c>
      <c r="N904" s="279">
        <f t="shared" si="300"/>
        <v>7593</v>
      </c>
      <c r="O904" s="279">
        <f>O293</f>
        <v>7593</v>
      </c>
      <c r="P904" s="279">
        <f>P293</f>
        <v>7593</v>
      </c>
      <c r="Q904" s="279">
        <f>Q293</f>
        <v>7593</v>
      </c>
      <c r="R904" s="279">
        <f t="shared" si="296"/>
        <v>91184</v>
      </c>
    </row>
    <row r="905" spans="3:19" x14ac:dyDescent="0.2">
      <c r="C905" s="32" t="s">
        <v>1129</v>
      </c>
      <c r="D905" s="32">
        <v>86</v>
      </c>
      <c r="F905" s="279">
        <f t="shared" ref="F905:N905" si="301">F336</f>
        <v>9510</v>
      </c>
      <c r="G905" s="279">
        <f t="shared" si="301"/>
        <v>9429</v>
      </c>
      <c r="H905" s="279">
        <f t="shared" si="301"/>
        <v>9258</v>
      </c>
      <c r="I905" s="279">
        <f t="shared" si="301"/>
        <v>9188</v>
      </c>
      <c r="J905" s="279">
        <f t="shared" si="301"/>
        <v>9260</v>
      </c>
      <c r="K905" s="279">
        <f t="shared" si="301"/>
        <v>9258</v>
      </c>
      <c r="L905" s="279">
        <f t="shared" si="301"/>
        <v>9136</v>
      </c>
      <c r="M905" s="279">
        <f t="shared" si="301"/>
        <v>8867</v>
      </c>
      <c r="N905" s="279">
        <f t="shared" si="301"/>
        <v>8570</v>
      </c>
      <c r="O905" s="279">
        <f>O336</f>
        <v>8457</v>
      </c>
      <c r="P905" s="279">
        <f>P336</f>
        <v>8504</v>
      </c>
      <c r="Q905" s="279">
        <f>Q336</f>
        <v>8244</v>
      </c>
      <c r="R905" s="279">
        <f t="shared" si="296"/>
        <v>107681</v>
      </c>
    </row>
    <row r="906" spans="3:19" x14ac:dyDescent="0.2">
      <c r="C906" s="32" t="s">
        <v>1130</v>
      </c>
      <c r="D906" s="32">
        <v>87</v>
      </c>
      <c r="F906" s="279">
        <f t="shared" ref="F906:N906" si="302">F386</f>
        <v>532</v>
      </c>
      <c r="G906" s="279">
        <f t="shared" si="302"/>
        <v>532</v>
      </c>
      <c r="H906" s="279">
        <f t="shared" si="302"/>
        <v>532</v>
      </c>
      <c r="I906" s="279">
        <f t="shared" si="302"/>
        <v>532</v>
      </c>
      <c r="J906" s="279">
        <f t="shared" si="302"/>
        <v>532</v>
      </c>
      <c r="K906" s="279">
        <f t="shared" si="302"/>
        <v>532</v>
      </c>
      <c r="L906" s="279">
        <f t="shared" si="302"/>
        <v>532</v>
      </c>
      <c r="M906" s="279">
        <f t="shared" si="302"/>
        <v>532</v>
      </c>
      <c r="N906" s="279">
        <f t="shared" si="302"/>
        <v>532</v>
      </c>
      <c r="O906" s="279">
        <f>O386</f>
        <v>532</v>
      </c>
      <c r="P906" s="279">
        <f>P386</f>
        <v>532</v>
      </c>
      <c r="Q906" s="279">
        <f>Q386</f>
        <v>532</v>
      </c>
      <c r="R906" s="279">
        <f t="shared" si="296"/>
        <v>6384</v>
      </c>
    </row>
    <row r="907" spans="3:19" x14ac:dyDescent="0.2">
      <c r="C907" s="32" t="s">
        <v>1145</v>
      </c>
      <c r="D907" s="32">
        <v>41</v>
      </c>
      <c r="F907" s="279">
        <f t="shared" ref="F907:N907" si="303">F451</f>
        <v>57110.51</v>
      </c>
      <c r="G907" s="279">
        <f t="shared" si="303"/>
        <v>57496.51</v>
      </c>
      <c r="H907" s="279">
        <f t="shared" si="303"/>
        <v>58536.51</v>
      </c>
      <c r="I907" s="279">
        <f t="shared" si="303"/>
        <v>58147.519999999997</v>
      </c>
      <c r="J907" s="279">
        <f t="shared" si="303"/>
        <v>58460.499999999993</v>
      </c>
      <c r="K907" s="279">
        <f t="shared" si="303"/>
        <v>58908.51</v>
      </c>
      <c r="L907" s="279">
        <f t="shared" si="303"/>
        <v>57873</v>
      </c>
      <c r="M907" s="279">
        <f t="shared" si="303"/>
        <v>57441</v>
      </c>
      <c r="N907" s="279">
        <f t="shared" si="303"/>
        <v>57931</v>
      </c>
      <c r="O907" s="279">
        <f>O451</f>
        <v>57777</v>
      </c>
      <c r="P907" s="279">
        <f>P451</f>
        <v>57723</v>
      </c>
      <c r="Q907" s="279">
        <f>Q451</f>
        <v>57689</v>
      </c>
      <c r="R907" s="279">
        <f t="shared" si="296"/>
        <v>695094.06</v>
      </c>
    </row>
    <row r="908" spans="3:19" x14ac:dyDescent="0.2">
      <c r="C908" s="32" t="s">
        <v>1133</v>
      </c>
      <c r="D908" s="444" t="s">
        <v>808</v>
      </c>
      <c r="F908" s="279">
        <f t="shared" ref="F908:N908" si="304">F490</f>
        <v>16443</v>
      </c>
      <c r="G908" s="279">
        <f t="shared" si="304"/>
        <v>16443</v>
      </c>
      <c r="H908" s="279">
        <f t="shared" si="304"/>
        <v>14103</v>
      </c>
      <c r="I908" s="279">
        <f t="shared" si="304"/>
        <v>14103</v>
      </c>
      <c r="J908" s="279">
        <f t="shared" si="304"/>
        <v>14103.000000000002</v>
      </c>
      <c r="K908" s="279">
        <f t="shared" si="304"/>
        <v>14103</v>
      </c>
      <c r="L908" s="279">
        <f t="shared" si="304"/>
        <v>18197</v>
      </c>
      <c r="M908" s="279">
        <f t="shared" si="304"/>
        <v>18309</v>
      </c>
      <c r="N908" s="279">
        <f t="shared" si="304"/>
        <v>18309</v>
      </c>
      <c r="O908" s="279">
        <f>O490</f>
        <v>18309</v>
      </c>
      <c r="P908" s="279">
        <f>P490</f>
        <v>20237</v>
      </c>
      <c r="Q908" s="279">
        <f>Q490</f>
        <v>20237</v>
      </c>
      <c r="R908" s="279">
        <f t="shared" si="296"/>
        <v>202896</v>
      </c>
    </row>
    <row r="909" spans="3:19" x14ac:dyDescent="0.2">
      <c r="C909" s="32" t="s">
        <v>1134</v>
      </c>
      <c r="D909" s="444" t="s">
        <v>809</v>
      </c>
      <c r="F909" s="279">
        <f t="shared" ref="F909:N909" si="305">F526</f>
        <v>41254</v>
      </c>
      <c r="G909" s="279">
        <f t="shared" si="305"/>
        <v>38204</v>
      </c>
      <c r="H909" s="279">
        <f t="shared" si="305"/>
        <v>38204</v>
      </c>
      <c r="I909" s="279">
        <f t="shared" si="305"/>
        <v>38204</v>
      </c>
      <c r="J909" s="279">
        <f t="shared" si="305"/>
        <v>35704</v>
      </c>
      <c r="K909" s="279">
        <f t="shared" si="305"/>
        <v>35704</v>
      </c>
      <c r="L909" s="279">
        <f t="shared" si="305"/>
        <v>35704</v>
      </c>
      <c r="M909" s="279">
        <f t="shared" si="305"/>
        <v>35584</v>
      </c>
      <c r="N909" s="279">
        <f t="shared" si="305"/>
        <v>35584</v>
      </c>
      <c r="O909" s="279">
        <f>O526</f>
        <v>35584</v>
      </c>
      <c r="P909" s="279">
        <f>P526</f>
        <v>35584</v>
      </c>
      <c r="Q909" s="279">
        <f>Q526</f>
        <v>35601</v>
      </c>
      <c r="R909" s="279">
        <f t="shared" si="296"/>
        <v>440915</v>
      </c>
    </row>
    <row r="910" spans="3:19" x14ac:dyDescent="0.2">
      <c r="C910" s="32" t="s">
        <v>1163</v>
      </c>
      <c r="D910" s="444" t="s">
        <v>810</v>
      </c>
      <c r="F910" s="279">
        <f>F559</f>
        <v>0</v>
      </c>
      <c r="G910" s="279">
        <f t="shared" ref="G910:Q910" si="306">G559</f>
        <v>0</v>
      </c>
      <c r="H910" s="279">
        <f t="shared" si="306"/>
        <v>0</v>
      </c>
      <c r="I910" s="279">
        <f t="shared" si="306"/>
        <v>0</v>
      </c>
      <c r="J910" s="279">
        <f t="shared" si="306"/>
        <v>0</v>
      </c>
      <c r="K910" s="279">
        <f t="shared" si="306"/>
        <v>0</v>
      </c>
      <c r="L910" s="279">
        <f t="shared" si="306"/>
        <v>0</v>
      </c>
      <c r="M910" s="279">
        <f t="shared" si="306"/>
        <v>0</v>
      </c>
      <c r="N910" s="279">
        <f t="shared" si="306"/>
        <v>0</v>
      </c>
      <c r="O910" s="279">
        <f t="shared" si="306"/>
        <v>0</v>
      </c>
      <c r="P910" s="279">
        <f t="shared" si="306"/>
        <v>0</v>
      </c>
      <c r="Q910" s="279">
        <f t="shared" si="306"/>
        <v>0</v>
      </c>
      <c r="R910" s="279">
        <f t="shared" si="296"/>
        <v>0</v>
      </c>
    </row>
    <row r="911" spans="3:19" x14ac:dyDescent="0.2">
      <c r="C911" s="32" t="s">
        <v>1136</v>
      </c>
      <c r="D911" s="444" t="s">
        <v>811</v>
      </c>
      <c r="F911" s="279">
        <f t="shared" ref="F911:N911" si="307">F599</f>
        <v>37739</v>
      </c>
      <c r="G911" s="279">
        <f t="shared" si="307"/>
        <v>37739</v>
      </c>
      <c r="H911" s="279">
        <f t="shared" si="307"/>
        <v>37739</v>
      </c>
      <c r="I911" s="279">
        <f t="shared" si="307"/>
        <v>37739</v>
      </c>
      <c r="J911" s="279">
        <f t="shared" si="307"/>
        <v>37739</v>
      </c>
      <c r="K911" s="279">
        <f t="shared" si="307"/>
        <v>37739</v>
      </c>
      <c r="L911" s="279">
        <f t="shared" si="307"/>
        <v>37739</v>
      </c>
      <c r="M911" s="279">
        <f t="shared" si="307"/>
        <v>37739</v>
      </c>
      <c r="N911" s="279">
        <f t="shared" si="307"/>
        <v>37739</v>
      </c>
      <c r="O911" s="279">
        <f>O599</f>
        <v>37739</v>
      </c>
      <c r="P911" s="279">
        <f>P599</f>
        <v>37739</v>
      </c>
      <c r="Q911" s="279">
        <f>Q599</f>
        <v>37722</v>
      </c>
      <c r="R911" s="279">
        <f t="shared" si="296"/>
        <v>452851</v>
      </c>
    </row>
    <row r="912" spans="3:19" x14ac:dyDescent="0.2">
      <c r="C912" s="32" t="s">
        <v>1137</v>
      </c>
      <c r="D912" s="32">
        <v>85</v>
      </c>
      <c r="F912" s="279">
        <f t="shared" ref="F912:N912" si="308">F652</f>
        <v>2443</v>
      </c>
      <c r="G912" s="279">
        <f t="shared" si="308"/>
        <v>2443</v>
      </c>
      <c r="H912" s="279">
        <f t="shared" si="308"/>
        <v>2443</v>
      </c>
      <c r="I912" s="279">
        <f t="shared" si="308"/>
        <v>2443</v>
      </c>
      <c r="J912" s="279">
        <f t="shared" si="308"/>
        <v>2443</v>
      </c>
      <c r="K912" s="279">
        <f t="shared" si="308"/>
        <v>2443</v>
      </c>
      <c r="L912" s="279">
        <f t="shared" si="308"/>
        <v>2443</v>
      </c>
      <c r="M912" s="279">
        <f t="shared" si="308"/>
        <v>2443</v>
      </c>
      <c r="N912" s="279">
        <f t="shared" si="308"/>
        <v>2443</v>
      </c>
      <c r="O912" s="279">
        <f>O652</f>
        <v>2443</v>
      </c>
      <c r="P912" s="279">
        <f>P652</f>
        <v>2443</v>
      </c>
      <c r="Q912" s="279">
        <f>Q652</f>
        <v>2443</v>
      </c>
      <c r="R912" s="279">
        <f t="shared" si="296"/>
        <v>29316</v>
      </c>
    </row>
    <row r="913" spans="2:18" x14ac:dyDescent="0.2">
      <c r="C913" s="32" t="s">
        <v>1138</v>
      </c>
      <c r="D913" s="32">
        <v>86</v>
      </c>
      <c r="F913" s="279">
        <f t="shared" ref="F913:N913" si="309">F695</f>
        <v>127</v>
      </c>
      <c r="G913" s="279">
        <f t="shared" si="309"/>
        <v>137</v>
      </c>
      <c r="H913" s="279">
        <f t="shared" si="309"/>
        <v>132</v>
      </c>
      <c r="I913" s="279">
        <f t="shared" si="309"/>
        <v>132</v>
      </c>
      <c r="J913" s="279">
        <f t="shared" si="309"/>
        <v>132</v>
      </c>
      <c r="K913" s="279">
        <f t="shared" si="309"/>
        <v>132</v>
      </c>
      <c r="L913" s="279">
        <f t="shared" si="309"/>
        <v>132</v>
      </c>
      <c r="M913" s="279">
        <f t="shared" si="309"/>
        <v>132</v>
      </c>
      <c r="N913" s="279">
        <f t="shared" si="309"/>
        <v>132</v>
      </c>
      <c r="O913" s="279">
        <f>O695</f>
        <v>132</v>
      </c>
      <c r="P913" s="279">
        <f>P695</f>
        <v>132</v>
      </c>
      <c r="Q913" s="279">
        <f>Q695</f>
        <v>132</v>
      </c>
      <c r="R913" s="279">
        <f t="shared" si="296"/>
        <v>1584</v>
      </c>
    </row>
    <row r="914" spans="2:18" x14ac:dyDescent="0.2">
      <c r="C914" s="32" t="s">
        <v>1139</v>
      </c>
      <c r="D914" s="32">
        <v>87</v>
      </c>
      <c r="F914" s="279">
        <f t="shared" ref="F914:N914" si="310">F745</f>
        <v>0</v>
      </c>
      <c r="G914" s="279">
        <f t="shared" si="310"/>
        <v>0</v>
      </c>
      <c r="H914" s="279">
        <f t="shared" si="310"/>
        <v>0</v>
      </c>
      <c r="I914" s="279">
        <f t="shared" si="310"/>
        <v>0</v>
      </c>
      <c r="J914" s="279">
        <f t="shared" si="310"/>
        <v>0</v>
      </c>
      <c r="K914" s="279">
        <f t="shared" si="310"/>
        <v>0</v>
      </c>
      <c r="L914" s="279">
        <f t="shared" si="310"/>
        <v>0</v>
      </c>
      <c r="M914" s="279">
        <f t="shared" si="310"/>
        <v>0</v>
      </c>
      <c r="N914" s="279">
        <f t="shared" si="310"/>
        <v>0</v>
      </c>
      <c r="O914" s="279">
        <f>O745</f>
        <v>0</v>
      </c>
      <c r="P914" s="279">
        <f>P745</f>
        <v>0</v>
      </c>
      <c r="Q914" s="279">
        <f>Q745</f>
        <v>0</v>
      </c>
      <c r="R914" s="279">
        <f t="shared" si="296"/>
        <v>0</v>
      </c>
    </row>
    <row r="915" spans="2:18" x14ac:dyDescent="0.2">
      <c r="C915" s="32" t="s">
        <v>1173</v>
      </c>
      <c r="F915" s="279">
        <f t="shared" ref="F915:N915" si="311">F792</f>
        <v>38483</v>
      </c>
      <c r="G915" s="279">
        <f t="shared" si="311"/>
        <v>38483</v>
      </c>
      <c r="H915" s="279">
        <f t="shared" si="311"/>
        <v>38483</v>
      </c>
      <c r="I915" s="279">
        <f t="shared" si="311"/>
        <v>38483</v>
      </c>
      <c r="J915" s="279">
        <f t="shared" si="311"/>
        <v>38483</v>
      </c>
      <c r="K915" s="279">
        <f t="shared" si="311"/>
        <v>38483</v>
      </c>
      <c r="L915" s="279">
        <f t="shared" si="311"/>
        <v>38483</v>
      </c>
      <c r="M915" s="279">
        <f t="shared" si="311"/>
        <v>38483</v>
      </c>
      <c r="N915" s="279">
        <f t="shared" si="311"/>
        <v>38483</v>
      </c>
      <c r="O915" s="279">
        <f>O792</f>
        <v>38483</v>
      </c>
      <c r="P915" s="279">
        <f>P792</f>
        <v>38483</v>
      </c>
      <c r="Q915" s="279">
        <f>Q792</f>
        <v>38483</v>
      </c>
      <c r="R915" s="279">
        <f t="shared" si="296"/>
        <v>461796</v>
      </c>
    </row>
    <row r="916" spans="2:18" x14ac:dyDescent="0.2">
      <c r="C916" s="32" t="s">
        <v>1174</v>
      </c>
      <c r="F916" s="357">
        <f>SUM(F897:F915)</f>
        <v>679306.33</v>
      </c>
      <c r="G916" s="357">
        <f t="shared" ref="G916:R916" si="312">SUM(G897:G915)</f>
        <v>679431.33</v>
      </c>
      <c r="H916" s="357">
        <f t="shared" si="312"/>
        <v>674961.33</v>
      </c>
      <c r="I916" s="357">
        <f t="shared" si="312"/>
        <v>675267.35</v>
      </c>
      <c r="J916" s="357">
        <f t="shared" si="312"/>
        <v>674616.31999999995</v>
      </c>
      <c r="K916" s="357">
        <f t="shared" si="312"/>
        <v>677957.33000000007</v>
      </c>
      <c r="L916" s="357">
        <f t="shared" si="312"/>
        <v>684482.64</v>
      </c>
      <c r="M916" s="357">
        <f t="shared" si="312"/>
        <v>681728</v>
      </c>
      <c r="N916" s="357">
        <f t="shared" si="312"/>
        <v>681044</v>
      </c>
      <c r="O916" s="357">
        <f t="shared" si="312"/>
        <v>673316</v>
      </c>
      <c r="P916" s="357">
        <f t="shared" si="312"/>
        <v>672224</v>
      </c>
      <c r="Q916" s="357">
        <f t="shared" si="312"/>
        <v>673711</v>
      </c>
      <c r="R916" s="357">
        <f t="shared" si="312"/>
        <v>8128045.6300000008</v>
      </c>
    </row>
    <row r="918" spans="2:18" x14ac:dyDescent="0.2">
      <c r="B918" s="32" t="s">
        <v>1175</v>
      </c>
      <c r="F918" s="424"/>
      <c r="G918" s="424"/>
      <c r="H918" s="424"/>
      <c r="I918" s="424"/>
      <c r="J918" s="424"/>
      <c r="K918" s="424"/>
      <c r="L918" s="424"/>
      <c r="M918" s="424"/>
      <c r="N918" s="424"/>
      <c r="O918" s="424"/>
      <c r="P918" s="424"/>
      <c r="Q918" s="424"/>
      <c r="R918" s="424"/>
    </row>
    <row r="919" spans="2:18" x14ac:dyDescent="0.2">
      <c r="C919" s="32" t="s">
        <v>1176</v>
      </c>
      <c r="D919" s="32">
        <v>61</v>
      </c>
      <c r="F919" s="424">
        <f>SUM(F897:F899)</f>
        <v>93910</v>
      </c>
      <c r="G919" s="424">
        <f t="shared" ref="G919:Q919" si="313">SUM(G897:G899)</f>
        <v>93910</v>
      </c>
      <c r="H919" s="424">
        <f t="shared" si="313"/>
        <v>94165</v>
      </c>
      <c r="I919" s="424">
        <f t="shared" si="313"/>
        <v>93910</v>
      </c>
      <c r="J919" s="424">
        <f t="shared" si="313"/>
        <v>96283</v>
      </c>
      <c r="K919" s="424">
        <f t="shared" si="313"/>
        <v>95090</v>
      </c>
      <c r="L919" s="424">
        <f t="shared" si="313"/>
        <v>97085</v>
      </c>
      <c r="M919" s="424">
        <f t="shared" si="313"/>
        <v>98243</v>
      </c>
      <c r="N919" s="424">
        <f t="shared" si="313"/>
        <v>97630</v>
      </c>
      <c r="O919" s="424">
        <f t="shared" si="313"/>
        <v>97630</v>
      </c>
      <c r="P919" s="424">
        <f t="shared" si="313"/>
        <v>97630</v>
      </c>
      <c r="Q919" s="424">
        <f t="shared" si="313"/>
        <v>97630</v>
      </c>
      <c r="R919" s="279">
        <f t="shared" ref="R919:R928" si="314">SUM(F919:Q919)</f>
        <v>1153116</v>
      </c>
    </row>
    <row r="920" spans="2:18" x14ac:dyDescent="0.2">
      <c r="C920" s="343" t="s">
        <v>1145</v>
      </c>
      <c r="D920" s="32">
        <v>41</v>
      </c>
      <c r="F920" s="424">
        <f t="shared" ref="F920:Q920" si="315">F900+F907</f>
        <v>402134.33</v>
      </c>
      <c r="G920" s="424">
        <f t="shared" si="315"/>
        <v>402980.33</v>
      </c>
      <c r="H920" s="424">
        <f t="shared" si="315"/>
        <v>401971.33</v>
      </c>
      <c r="I920" s="424">
        <f t="shared" si="315"/>
        <v>402602.35</v>
      </c>
      <c r="J920" s="424">
        <f t="shared" si="315"/>
        <v>402006.31999999995</v>
      </c>
      <c r="K920" s="424">
        <f t="shared" si="315"/>
        <v>406542.33000000007</v>
      </c>
      <c r="L920" s="424">
        <f t="shared" si="315"/>
        <v>407784.64</v>
      </c>
      <c r="M920" s="424">
        <f t="shared" si="315"/>
        <v>404081</v>
      </c>
      <c r="N920" s="424">
        <f t="shared" si="315"/>
        <v>404375</v>
      </c>
      <c r="O920" s="424">
        <f t="shared" si="315"/>
        <v>397230</v>
      </c>
      <c r="P920" s="424">
        <f t="shared" si="315"/>
        <v>395663</v>
      </c>
      <c r="Q920" s="424">
        <f t="shared" si="315"/>
        <v>393633</v>
      </c>
      <c r="R920" s="279">
        <f t="shared" si="314"/>
        <v>4821003.63</v>
      </c>
    </row>
    <row r="921" spans="2:18" x14ac:dyDescent="0.2">
      <c r="C921" s="343" t="s">
        <v>1146</v>
      </c>
      <c r="D921" s="32">
        <v>85</v>
      </c>
      <c r="F921" s="424">
        <f t="shared" ref="F921:Q923" si="316">F904+F912</f>
        <v>10036</v>
      </c>
      <c r="G921" s="424">
        <f t="shared" si="316"/>
        <v>10036</v>
      </c>
      <c r="H921" s="424">
        <f t="shared" si="316"/>
        <v>10036</v>
      </c>
      <c r="I921" s="424">
        <f t="shared" si="316"/>
        <v>10036</v>
      </c>
      <c r="J921" s="424">
        <f t="shared" si="316"/>
        <v>10036</v>
      </c>
      <c r="K921" s="424">
        <f t="shared" si="316"/>
        <v>10036</v>
      </c>
      <c r="L921" s="424">
        <f t="shared" si="316"/>
        <v>10036</v>
      </c>
      <c r="M921" s="424">
        <f t="shared" si="316"/>
        <v>10104</v>
      </c>
      <c r="N921" s="424">
        <f t="shared" si="316"/>
        <v>10036</v>
      </c>
      <c r="O921" s="424">
        <f t="shared" si="316"/>
        <v>10036</v>
      </c>
      <c r="P921" s="424">
        <f t="shared" si="316"/>
        <v>10036</v>
      </c>
      <c r="Q921" s="424">
        <f t="shared" si="316"/>
        <v>10036</v>
      </c>
      <c r="R921" s="279">
        <f t="shared" si="314"/>
        <v>120500</v>
      </c>
    </row>
    <row r="922" spans="2:18" x14ac:dyDescent="0.2">
      <c r="C922" s="343" t="s">
        <v>1147</v>
      </c>
      <c r="D922" s="32">
        <v>86</v>
      </c>
      <c r="F922" s="424">
        <f t="shared" si="316"/>
        <v>9637</v>
      </c>
      <c r="G922" s="424">
        <f t="shared" si="316"/>
        <v>9566</v>
      </c>
      <c r="H922" s="424">
        <f t="shared" si="316"/>
        <v>9390</v>
      </c>
      <c r="I922" s="424">
        <f t="shared" si="316"/>
        <v>9320</v>
      </c>
      <c r="J922" s="424">
        <f t="shared" si="316"/>
        <v>9392</v>
      </c>
      <c r="K922" s="424">
        <f t="shared" si="316"/>
        <v>9390</v>
      </c>
      <c r="L922" s="424">
        <f t="shared" si="316"/>
        <v>9268</v>
      </c>
      <c r="M922" s="424">
        <f t="shared" si="316"/>
        <v>8999</v>
      </c>
      <c r="N922" s="424">
        <f t="shared" si="316"/>
        <v>8702</v>
      </c>
      <c r="O922" s="424">
        <f t="shared" si="316"/>
        <v>8589</v>
      </c>
      <c r="P922" s="424">
        <f t="shared" si="316"/>
        <v>8636</v>
      </c>
      <c r="Q922" s="424">
        <f t="shared" si="316"/>
        <v>8376</v>
      </c>
      <c r="R922" s="279">
        <f t="shared" si="314"/>
        <v>109265</v>
      </c>
    </row>
    <row r="923" spans="2:18" x14ac:dyDescent="0.2">
      <c r="C923" s="343" t="s">
        <v>1148</v>
      </c>
      <c r="D923" s="32">
        <v>87</v>
      </c>
      <c r="F923" s="424">
        <f t="shared" si="316"/>
        <v>532</v>
      </c>
      <c r="G923" s="424">
        <f t="shared" si="316"/>
        <v>532</v>
      </c>
      <c r="H923" s="424">
        <f t="shared" si="316"/>
        <v>532</v>
      </c>
      <c r="I923" s="424">
        <f t="shared" si="316"/>
        <v>532</v>
      </c>
      <c r="J923" s="424">
        <f t="shared" si="316"/>
        <v>532</v>
      </c>
      <c r="K923" s="424">
        <f t="shared" si="316"/>
        <v>532</v>
      </c>
      <c r="L923" s="424">
        <f t="shared" si="316"/>
        <v>532</v>
      </c>
      <c r="M923" s="424">
        <f t="shared" si="316"/>
        <v>532</v>
      </c>
      <c r="N923" s="424">
        <f t="shared" si="316"/>
        <v>532</v>
      </c>
      <c r="O923" s="424">
        <f t="shared" si="316"/>
        <v>532</v>
      </c>
      <c r="P923" s="424">
        <f t="shared" si="316"/>
        <v>532</v>
      </c>
      <c r="Q923" s="424">
        <f t="shared" si="316"/>
        <v>532</v>
      </c>
      <c r="R923" s="279">
        <f t="shared" si="314"/>
        <v>6384</v>
      </c>
    </row>
    <row r="924" spans="2:18" x14ac:dyDescent="0.2">
      <c r="C924" s="32" t="s">
        <v>1149</v>
      </c>
      <c r="D924" s="444" t="s">
        <v>808</v>
      </c>
      <c r="F924" s="424">
        <f t="shared" ref="F924:Q925" si="317">F901+F908</f>
        <v>23123</v>
      </c>
      <c r="G924" s="424">
        <f t="shared" si="317"/>
        <v>23123</v>
      </c>
      <c r="H924" s="424">
        <f t="shared" si="317"/>
        <v>20783</v>
      </c>
      <c r="I924" s="424">
        <f t="shared" si="317"/>
        <v>20783</v>
      </c>
      <c r="J924" s="424">
        <f t="shared" si="317"/>
        <v>20783</v>
      </c>
      <c r="K924" s="424">
        <f t="shared" si="317"/>
        <v>20783</v>
      </c>
      <c r="L924" s="424">
        <f t="shared" si="317"/>
        <v>24193</v>
      </c>
      <c r="M924" s="424">
        <f t="shared" si="317"/>
        <v>24305</v>
      </c>
      <c r="N924" s="424">
        <f t="shared" si="317"/>
        <v>24305</v>
      </c>
      <c r="O924" s="424">
        <f t="shared" si="317"/>
        <v>26335</v>
      </c>
      <c r="P924" s="424">
        <f t="shared" si="317"/>
        <v>28263</v>
      </c>
      <c r="Q924" s="424">
        <f t="shared" si="317"/>
        <v>32340</v>
      </c>
      <c r="R924" s="279">
        <f t="shared" si="314"/>
        <v>289119</v>
      </c>
    </row>
    <row r="925" spans="2:18" x14ac:dyDescent="0.2">
      <c r="C925" s="32" t="s">
        <v>1150</v>
      </c>
      <c r="D925" s="444" t="s">
        <v>809</v>
      </c>
      <c r="F925" s="424">
        <f t="shared" si="317"/>
        <v>63710</v>
      </c>
      <c r="G925" s="424">
        <f t="shared" si="317"/>
        <v>63060</v>
      </c>
      <c r="H925" s="424">
        <f t="shared" si="317"/>
        <v>61860</v>
      </c>
      <c r="I925" s="424">
        <f t="shared" si="317"/>
        <v>61860</v>
      </c>
      <c r="J925" s="424">
        <f t="shared" si="317"/>
        <v>59360</v>
      </c>
      <c r="K925" s="424">
        <f t="shared" si="317"/>
        <v>59360</v>
      </c>
      <c r="L925" s="424">
        <f t="shared" si="317"/>
        <v>59360</v>
      </c>
      <c r="M925" s="424">
        <f t="shared" si="317"/>
        <v>59240</v>
      </c>
      <c r="N925" s="424">
        <f t="shared" si="317"/>
        <v>59240</v>
      </c>
      <c r="O925" s="424">
        <f t="shared" si="317"/>
        <v>56740</v>
      </c>
      <c r="P925" s="424">
        <f t="shared" si="317"/>
        <v>55240</v>
      </c>
      <c r="Q925" s="424">
        <f t="shared" si="317"/>
        <v>54957</v>
      </c>
      <c r="R925" s="279">
        <f t="shared" si="314"/>
        <v>713987</v>
      </c>
    </row>
    <row r="926" spans="2:18" x14ac:dyDescent="0.2">
      <c r="C926" s="32" t="s">
        <v>1177</v>
      </c>
      <c r="D926" s="444" t="s">
        <v>810</v>
      </c>
      <c r="F926" s="424">
        <f>F910</f>
        <v>0</v>
      </c>
      <c r="G926" s="424">
        <f t="shared" ref="G926:Q926" si="318">G910</f>
        <v>0</v>
      </c>
      <c r="H926" s="424">
        <f t="shared" si="318"/>
        <v>0</v>
      </c>
      <c r="I926" s="424">
        <f t="shared" si="318"/>
        <v>0</v>
      </c>
      <c r="J926" s="424">
        <f t="shared" si="318"/>
        <v>0</v>
      </c>
      <c r="K926" s="424">
        <f t="shared" si="318"/>
        <v>0</v>
      </c>
      <c r="L926" s="424">
        <f t="shared" si="318"/>
        <v>0</v>
      </c>
      <c r="M926" s="424">
        <f t="shared" si="318"/>
        <v>0</v>
      </c>
      <c r="N926" s="424">
        <f t="shared" si="318"/>
        <v>0</v>
      </c>
      <c r="O926" s="424">
        <f t="shared" si="318"/>
        <v>0</v>
      </c>
      <c r="P926" s="424">
        <f t="shared" si="318"/>
        <v>0</v>
      </c>
      <c r="Q926" s="424">
        <f t="shared" si="318"/>
        <v>0</v>
      </c>
      <c r="R926" s="279">
        <f t="shared" si="314"/>
        <v>0</v>
      </c>
    </row>
    <row r="927" spans="2:18" x14ac:dyDescent="0.2">
      <c r="C927" s="32" t="s">
        <v>1152</v>
      </c>
      <c r="D927" s="444" t="s">
        <v>811</v>
      </c>
      <c r="F927" s="424">
        <f t="shared" ref="F927:Q927" si="319">F903+F911</f>
        <v>37741</v>
      </c>
      <c r="G927" s="424">
        <f t="shared" si="319"/>
        <v>37741</v>
      </c>
      <c r="H927" s="424">
        <f t="shared" si="319"/>
        <v>37741</v>
      </c>
      <c r="I927" s="424">
        <f t="shared" si="319"/>
        <v>37741</v>
      </c>
      <c r="J927" s="424">
        <f t="shared" si="319"/>
        <v>37741</v>
      </c>
      <c r="K927" s="424">
        <f t="shared" si="319"/>
        <v>37741</v>
      </c>
      <c r="L927" s="424">
        <f t="shared" si="319"/>
        <v>37741</v>
      </c>
      <c r="M927" s="424">
        <f t="shared" si="319"/>
        <v>37741</v>
      </c>
      <c r="N927" s="424">
        <f t="shared" si="319"/>
        <v>37741</v>
      </c>
      <c r="O927" s="424">
        <f t="shared" si="319"/>
        <v>37741</v>
      </c>
      <c r="P927" s="424">
        <f t="shared" si="319"/>
        <v>37741</v>
      </c>
      <c r="Q927" s="424">
        <f t="shared" si="319"/>
        <v>37724</v>
      </c>
      <c r="R927" s="279">
        <f t="shared" si="314"/>
        <v>452875</v>
      </c>
    </row>
    <row r="928" spans="2:18" x14ac:dyDescent="0.2">
      <c r="C928" s="343" t="s">
        <v>844</v>
      </c>
      <c r="F928" s="424">
        <f t="shared" ref="F928:N928" si="320">F915</f>
        <v>38483</v>
      </c>
      <c r="G928" s="424">
        <f t="shared" si="320"/>
        <v>38483</v>
      </c>
      <c r="H928" s="424">
        <f t="shared" si="320"/>
        <v>38483</v>
      </c>
      <c r="I928" s="424">
        <f t="shared" si="320"/>
        <v>38483</v>
      </c>
      <c r="J928" s="424">
        <f t="shared" si="320"/>
        <v>38483</v>
      </c>
      <c r="K928" s="424">
        <f t="shared" si="320"/>
        <v>38483</v>
      </c>
      <c r="L928" s="424">
        <f t="shared" si="320"/>
        <v>38483</v>
      </c>
      <c r="M928" s="424">
        <f t="shared" si="320"/>
        <v>38483</v>
      </c>
      <c r="N928" s="424">
        <f t="shared" si="320"/>
        <v>38483</v>
      </c>
      <c r="O928" s="424">
        <f>O915</f>
        <v>38483</v>
      </c>
      <c r="P928" s="424">
        <f>P915</f>
        <v>38483</v>
      </c>
      <c r="Q928" s="424">
        <f>Q915</f>
        <v>38483</v>
      </c>
      <c r="R928" s="279">
        <f t="shared" si="314"/>
        <v>461796</v>
      </c>
    </row>
    <row r="929" spans="1:26" x14ac:dyDescent="0.2">
      <c r="C929" s="32" t="s">
        <v>1174</v>
      </c>
      <c r="E929" s="364"/>
      <c r="F929" s="357">
        <f>SUM(F919:F928)</f>
        <v>679306.33000000007</v>
      </c>
      <c r="G929" s="357">
        <f t="shared" ref="G929:R929" si="321">SUM(G919:G928)</f>
        <v>679431.33000000007</v>
      </c>
      <c r="H929" s="357">
        <f t="shared" si="321"/>
        <v>674961.33000000007</v>
      </c>
      <c r="I929" s="357">
        <f t="shared" si="321"/>
        <v>675267.35</v>
      </c>
      <c r="J929" s="357">
        <f t="shared" si="321"/>
        <v>674616.31999999995</v>
      </c>
      <c r="K929" s="357">
        <f t="shared" si="321"/>
        <v>677957.33000000007</v>
      </c>
      <c r="L929" s="357">
        <f t="shared" si="321"/>
        <v>684482.64</v>
      </c>
      <c r="M929" s="357">
        <f t="shared" si="321"/>
        <v>681728</v>
      </c>
      <c r="N929" s="357">
        <f t="shared" si="321"/>
        <v>681044</v>
      </c>
      <c r="O929" s="357">
        <f t="shared" si="321"/>
        <v>673316</v>
      </c>
      <c r="P929" s="357">
        <f t="shared" si="321"/>
        <v>672224</v>
      </c>
      <c r="Q929" s="357">
        <f t="shared" si="321"/>
        <v>673711</v>
      </c>
      <c r="R929" s="357">
        <f t="shared" si="321"/>
        <v>8128045.6299999999</v>
      </c>
    </row>
    <row r="930" spans="1:26" x14ac:dyDescent="0.2">
      <c r="C930" s="32" t="s">
        <v>131</v>
      </c>
      <c r="E930" s="364"/>
      <c r="F930" s="424">
        <f t="shared" ref="F930:R930" si="322">F929-F916</f>
        <v>0</v>
      </c>
      <c r="G930" s="424">
        <f t="shared" si="322"/>
        <v>0</v>
      </c>
      <c r="H930" s="424">
        <f t="shared" si="322"/>
        <v>0</v>
      </c>
      <c r="I930" s="424">
        <f t="shared" si="322"/>
        <v>0</v>
      </c>
      <c r="J930" s="424">
        <f t="shared" si="322"/>
        <v>0</v>
      </c>
      <c r="K930" s="424">
        <f t="shared" si="322"/>
        <v>0</v>
      </c>
      <c r="L930" s="424">
        <f t="shared" si="322"/>
        <v>0</v>
      </c>
      <c r="M930" s="424">
        <f t="shared" si="322"/>
        <v>0</v>
      </c>
      <c r="N930" s="424">
        <f t="shared" si="322"/>
        <v>0</v>
      </c>
      <c r="O930" s="424">
        <f t="shared" si="322"/>
        <v>0</v>
      </c>
      <c r="P930" s="424">
        <f t="shared" si="322"/>
        <v>0</v>
      </c>
      <c r="Q930" s="424">
        <f t="shared" si="322"/>
        <v>0</v>
      </c>
      <c r="R930" s="424">
        <f t="shared" si="322"/>
        <v>0</v>
      </c>
    </row>
    <row r="931" spans="1:26" x14ac:dyDescent="0.2">
      <c r="E931" s="364"/>
      <c r="F931" s="364"/>
      <c r="G931" s="364"/>
      <c r="H931" s="364"/>
      <c r="I931" s="364"/>
      <c r="J931" s="364"/>
      <c r="K931" s="364"/>
      <c r="L931" s="364"/>
      <c r="M931" s="364"/>
      <c r="N931" s="364"/>
      <c r="O931" s="364"/>
      <c r="P931" s="364"/>
      <c r="Q931" s="364"/>
      <c r="R931" s="364"/>
    </row>
    <row r="932" spans="1:26" x14ac:dyDescent="0.2">
      <c r="B932" s="182" t="s">
        <v>1178</v>
      </c>
    </row>
    <row r="933" spans="1:26" x14ac:dyDescent="0.2">
      <c r="A933" s="32" t="s">
        <v>1056</v>
      </c>
      <c r="B933" s="32" t="s">
        <v>1179</v>
      </c>
      <c r="F933" s="364">
        <f t="shared" ref="F933:Q933" si="323">SUMIF($A$7:$A$806,$A933,F$7:F$806)-F68</f>
        <v>82344538.798600018</v>
      </c>
      <c r="G933" s="364">
        <f t="shared" si="323"/>
        <v>68108414.949330002</v>
      </c>
      <c r="H933" s="364">
        <f t="shared" si="323"/>
        <v>69523519.270930007</v>
      </c>
      <c r="I933" s="364">
        <f t="shared" si="323"/>
        <v>55937247.017060012</v>
      </c>
      <c r="J933" s="364">
        <f t="shared" si="323"/>
        <v>42335441.559019983</v>
      </c>
      <c r="K933" s="364">
        <f t="shared" si="323"/>
        <v>29823794.439579997</v>
      </c>
      <c r="L933" s="364">
        <f t="shared" si="323"/>
        <v>22259814.869120002</v>
      </c>
      <c r="M933" s="364">
        <f t="shared" si="323"/>
        <v>21364864.030990005</v>
      </c>
      <c r="N933" s="364">
        <f t="shared" si="323"/>
        <v>25446702.192809999</v>
      </c>
      <c r="O933" s="364">
        <f t="shared" si="323"/>
        <v>44956189.415110007</v>
      </c>
      <c r="P933" s="364">
        <f t="shared" si="323"/>
        <v>74005814.215269983</v>
      </c>
      <c r="Q933" s="364">
        <f t="shared" si="323"/>
        <v>91876027.920269996</v>
      </c>
      <c r="R933" s="364">
        <f>SUM(F933:Q933)</f>
        <v>627982368.67808998</v>
      </c>
      <c r="S933" s="364"/>
      <c r="T933" s="364"/>
      <c r="U933" s="364"/>
      <c r="V933" s="364"/>
      <c r="W933" s="364"/>
      <c r="X933" s="364"/>
      <c r="Y933" s="364"/>
      <c r="Z933" s="364"/>
    </row>
    <row r="934" spans="1:26" x14ac:dyDescent="0.2">
      <c r="A934" s="32" t="s">
        <v>1056</v>
      </c>
      <c r="B934" s="32" t="s">
        <v>1180</v>
      </c>
      <c r="F934" s="364">
        <f>F68</f>
        <v>686.93655000000001</v>
      </c>
      <c r="G934" s="364">
        <f t="shared" ref="G934:Q934" si="324">G68</f>
        <v>823.45247999999992</v>
      </c>
      <c r="H934" s="364">
        <f t="shared" si="324"/>
        <v>1147.4962800000001</v>
      </c>
      <c r="I934" s="364">
        <f t="shared" si="324"/>
        <v>834.88932</v>
      </c>
      <c r="J934" s="364">
        <f t="shared" si="324"/>
        <v>580.92944999999997</v>
      </c>
      <c r="K934" s="364">
        <f t="shared" si="324"/>
        <v>428.68586999999997</v>
      </c>
      <c r="L934" s="364">
        <f t="shared" si="324"/>
        <v>356.57049000000001</v>
      </c>
      <c r="M934" s="364">
        <f t="shared" si="324"/>
        <v>344.55125999999996</v>
      </c>
      <c r="N934" s="364">
        <f t="shared" si="324"/>
        <v>336.53843999999998</v>
      </c>
      <c r="O934" s="364">
        <f t="shared" si="324"/>
        <v>641.02559999999994</v>
      </c>
      <c r="P934" s="364">
        <f t="shared" si="324"/>
        <v>889.42301999999995</v>
      </c>
      <c r="Q934" s="364">
        <f t="shared" si="324"/>
        <v>1121.7947999999999</v>
      </c>
      <c r="R934" s="364">
        <f>SUM(F934:Q934)</f>
        <v>8192.2935600000001</v>
      </c>
      <c r="S934" s="364"/>
      <c r="T934" s="364"/>
      <c r="U934" s="364"/>
      <c r="V934" s="364"/>
      <c r="W934" s="364"/>
      <c r="X934" s="364"/>
      <c r="Y934" s="364"/>
      <c r="Z934" s="364"/>
    </row>
    <row r="935" spans="1:26" x14ac:dyDescent="0.2">
      <c r="A935" s="336" t="s">
        <v>1054</v>
      </c>
      <c r="B935" s="336" t="s">
        <v>1181</v>
      </c>
      <c r="C935" s="336"/>
      <c r="F935" s="364">
        <f t="shared" ref="F935:Q935" si="325">SUMIF($A$7:$A$806,$A935,F$7:F$806)</f>
        <v>43162194.233019978</v>
      </c>
      <c r="G935" s="364">
        <f t="shared" si="325"/>
        <v>37407438.021539994</v>
      </c>
      <c r="H935" s="364">
        <f t="shared" si="325"/>
        <v>37861159.07406</v>
      </c>
      <c r="I935" s="364">
        <f t="shared" si="325"/>
        <v>33275085.803679999</v>
      </c>
      <c r="J935" s="364">
        <f t="shared" si="325"/>
        <v>27389701.031799994</v>
      </c>
      <c r="K935" s="364">
        <f t="shared" si="325"/>
        <v>22082422.781409994</v>
      </c>
      <c r="L935" s="364">
        <f t="shared" si="325"/>
        <v>19008581.081569999</v>
      </c>
      <c r="M935" s="364">
        <f t="shared" si="325"/>
        <v>18605909.60173998</v>
      </c>
      <c r="N935" s="364">
        <f t="shared" si="325"/>
        <v>20335226.863369994</v>
      </c>
      <c r="O935" s="364">
        <f t="shared" si="325"/>
        <v>28513792.284099981</v>
      </c>
      <c r="P935" s="364">
        <f t="shared" si="325"/>
        <v>42490864.196209997</v>
      </c>
      <c r="Q935" s="364">
        <f t="shared" si="325"/>
        <v>50543309.175870016</v>
      </c>
      <c r="R935" s="364">
        <f>SUM(F935:Q935)</f>
        <v>380675684.14836997</v>
      </c>
      <c r="S935" s="418"/>
      <c r="T935" s="418"/>
      <c r="U935" s="418"/>
      <c r="V935" s="418"/>
      <c r="W935" s="418"/>
      <c r="X935" s="418"/>
      <c r="Y935" s="418"/>
      <c r="Z935" s="418"/>
    </row>
    <row r="936" spans="1:26" x14ac:dyDescent="0.2">
      <c r="F936" s="364"/>
      <c r="G936" s="364"/>
      <c r="H936" s="364"/>
      <c r="I936" s="364"/>
      <c r="J936" s="364"/>
      <c r="K936" s="364"/>
      <c r="L936" s="364"/>
      <c r="M936" s="364"/>
      <c r="N936" s="364"/>
      <c r="O936" s="364"/>
      <c r="P936" s="364"/>
      <c r="Q936" s="364"/>
      <c r="R936" s="364"/>
    </row>
    <row r="937" spans="1:26" s="336" customFormat="1" x14ac:dyDescent="0.2">
      <c r="B937" s="336" t="s">
        <v>1182</v>
      </c>
      <c r="F937" s="485">
        <v>1.04514</v>
      </c>
      <c r="G937" s="486">
        <f t="shared" ref="G937:N937" si="326">F937</f>
        <v>1.04514</v>
      </c>
      <c r="H937" s="486">
        <f t="shared" si="326"/>
        <v>1.04514</v>
      </c>
      <c r="I937" s="486">
        <f t="shared" si="326"/>
        <v>1.04514</v>
      </c>
      <c r="J937" s="486">
        <f t="shared" si="326"/>
        <v>1.04514</v>
      </c>
      <c r="K937" s="486">
        <f t="shared" si="326"/>
        <v>1.04514</v>
      </c>
      <c r="L937" s="486">
        <f t="shared" si="326"/>
        <v>1.04514</v>
      </c>
      <c r="M937" s="486">
        <f t="shared" si="326"/>
        <v>1.04514</v>
      </c>
      <c r="N937" s="486">
        <f t="shared" si="326"/>
        <v>1.04514</v>
      </c>
      <c r="O937" s="486">
        <f>N937</f>
        <v>1.04514</v>
      </c>
      <c r="P937" s="487">
        <v>1.045199</v>
      </c>
      <c r="Q937" s="486">
        <f>P937</f>
        <v>1.045199</v>
      </c>
      <c r="R937" s="418"/>
      <c r="S937" s="340"/>
      <c r="T937" s="340"/>
      <c r="U937" s="340"/>
      <c r="V937" s="340"/>
      <c r="W937" s="340"/>
      <c r="X937" s="340"/>
      <c r="Y937" s="340"/>
      <c r="Z937" s="340"/>
    </row>
    <row r="938" spans="1:26" x14ac:dyDescent="0.2">
      <c r="A938" s="336" t="s">
        <v>1058</v>
      </c>
      <c r="B938" s="32" t="s">
        <v>1050</v>
      </c>
      <c r="F938" s="364">
        <f t="shared" ref="F938:Q938" si="327">SUMIF($A$7:$A$806,$A938,F$7:F$806)</f>
        <v>78786870.107370019</v>
      </c>
      <c r="G938" s="364">
        <f t="shared" si="327"/>
        <v>65165744.29395999</v>
      </c>
      <c r="H938" s="364">
        <f t="shared" si="327"/>
        <v>66520115.82192</v>
      </c>
      <c r="I938" s="364">
        <f t="shared" si="327"/>
        <v>53520370.843410008</v>
      </c>
      <c r="J938" s="364">
        <f t="shared" si="327"/>
        <v>40505871.473389991</v>
      </c>
      <c r="K938" s="364">
        <f t="shared" si="327"/>
        <v>28534453.517320007</v>
      </c>
      <c r="L938" s="364">
        <f t="shared" si="327"/>
        <v>21297123.160780009</v>
      </c>
      <c r="M938" s="364">
        <f t="shared" si="327"/>
        <v>20440845.354459997</v>
      </c>
      <c r="N938" s="364">
        <f t="shared" si="327"/>
        <v>24346320.417889997</v>
      </c>
      <c r="O938" s="364">
        <f t="shared" si="327"/>
        <v>43013462.723490007</v>
      </c>
      <c r="P938" s="364">
        <f t="shared" si="327"/>
        <v>70805245.085819989</v>
      </c>
      <c r="Q938" s="364">
        <f t="shared" si="327"/>
        <v>87903021.67504999</v>
      </c>
      <c r="R938" s="364">
        <f>SUM(F938:Q938)</f>
        <v>600839444.47486007</v>
      </c>
      <c r="S938" s="340"/>
      <c r="T938" s="340"/>
      <c r="U938" s="340"/>
      <c r="V938" s="340"/>
      <c r="W938" s="340"/>
      <c r="X938" s="340"/>
      <c r="Y938" s="340"/>
      <c r="Z938" s="340"/>
    </row>
    <row r="939" spans="1:26" x14ac:dyDescent="0.2">
      <c r="F939" s="486"/>
      <c r="G939" s="486"/>
      <c r="H939" s="486"/>
      <c r="I939" s="486"/>
      <c r="J939" s="486"/>
      <c r="K939" s="486"/>
      <c r="L939" s="486"/>
      <c r="M939" s="486"/>
      <c r="N939" s="486"/>
      <c r="O939" s="486"/>
      <c r="P939" s="486"/>
      <c r="Q939" s="486"/>
      <c r="R939" s="486"/>
    </row>
    <row r="940" spans="1:26" x14ac:dyDescent="0.2">
      <c r="B940" s="488" t="s">
        <v>1183</v>
      </c>
    </row>
    <row r="941" spans="1:26" x14ac:dyDescent="0.2">
      <c r="B941" s="343" t="s">
        <v>827</v>
      </c>
      <c r="F941" s="364">
        <f>F30</f>
        <v>770.92000000000007</v>
      </c>
      <c r="G941" s="364">
        <f t="shared" ref="G941:Q941" si="328">G30</f>
        <v>770.92000000000007</v>
      </c>
      <c r="H941" s="364">
        <f t="shared" si="328"/>
        <v>770.92000000000007</v>
      </c>
      <c r="I941" s="364">
        <f t="shared" si="328"/>
        <v>784.2</v>
      </c>
      <c r="J941" s="364">
        <f t="shared" si="328"/>
        <v>784.19999999999993</v>
      </c>
      <c r="K941" s="364">
        <f t="shared" si="328"/>
        <v>510.2999999999999</v>
      </c>
      <c r="L941" s="364">
        <f t="shared" si="328"/>
        <v>500.84999999999991</v>
      </c>
      <c r="M941" s="364">
        <f t="shared" si="328"/>
        <v>500.84999999999991</v>
      </c>
      <c r="N941" s="364">
        <f t="shared" si="328"/>
        <v>500.84999999999991</v>
      </c>
      <c r="O941" s="364">
        <f t="shared" si="328"/>
        <v>500.84999999999991</v>
      </c>
      <c r="P941" s="364">
        <f t="shared" si="328"/>
        <v>500.84999999999991</v>
      </c>
      <c r="Q941" s="364">
        <f t="shared" si="328"/>
        <v>500.84999999999991</v>
      </c>
      <c r="R941" s="364">
        <f t="shared" ref="R941:R948" si="329">SUM(F941:Q941)</f>
        <v>7396.5600000000013</v>
      </c>
    </row>
    <row r="942" spans="1:26" x14ac:dyDescent="0.2">
      <c r="B942" s="343" t="s">
        <v>828</v>
      </c>
      <c r="F942" s="437">
        <f t="shared" ref="F942:N942" si="330">F48+F49</f>
        <v>30922986</v>
      </c>
      <c r="G942" s="437">
        <f t="shared" si="330"/>
        <v>26623914</v>
      </c>
      <c r="H942" s="437">
        <f t="shared" si="330"/>
        <v>26922430</v>
      </c>
      <c r="I942" s="437">
        <f t="shared" si="330"/>
        <v>23255801</v>
      </c>
      <c r="J942" s="437">
        <f t="shared" si="330"/>
        <v>18681822</v>
      </c>
      <c r="K942" s="437">
        <f t="shared" si="330"/>
        <v>14706042</v>
      </c>
      <c r="L942" s="437">
        <f t="shared" si="330"/>
        <v>12310178</v>
      </c>
      <c r="M942" s="437">
        <f t="shared" si="330"/>
        <v>11991258</v>
      </c>
      <c r="N942" s="437">
        <f t="shared" si="330"/>
        <v>13375556</v>
      </c>
      <c r="O942" s="437">
        <f>O48+O49</f>
        <v>19787211</v>
      </c>
      <c r="P942" s="437">
        <f>P48+P49</f>
        <v>30592570</v>
      </c>
      <c r="Q942" s="437">
        <f>Q48+Q49</f>
        <v>36620097</v>
      </c>
      <c r="R942" s="364">
        <f t="shared" si="329"/>
        <v>265789865</v>
      </c>
    </row>
    <row r="943" spans="1:26" x14ac:dyDescent="0.2">
      <c r="B943" s="343" t="s">
        <v>829</v>
      </c>
      <c r="F943" s="437">
        <f t="shared" ref="F943:N943" si="331">+F66+F67</f>
        <v>118.89230000000001</v>
      </c>
      <c r="G943" s="437">
        <f t="shared" si="331"/>
        <v>122.58896</v>
      </c>
      <c r="H943" s="437">
        <f t="shared" si="331"/>
        <v>151.15406000000002</v>
      </c>
      <c r="I943" s="437">
        <f t="shared" si="331"/>
        <v>126.42443</v>
      </c>
      <c r="J943" s="437">
        <f t="shared" si="331"/>
        <v>100.60065</v>
      </c>
      <c r="K943" s="437">
        <f t="shared" si="331"/>
        <v>87.339789999999994</v>
      </c>
      <c r="L943" s="437">
        <f t="shared" si="331"/>
        <v>91.058329999999998</v>
      </c>
      <c r="M943" s="437">
        <f t="shared" si="331"/>
        <v>90.011420000000001</v>
      </c>
      <c r="N943" s="437">
        <f t="shared" si="331"/>
        <v>79.313479999999998</v>
      </c>
      <c r="O943" s="437">
        <f>+O66+O67</f>
        <v>105.8352</v>
      </c>
      <c r="P943" s="437">
        <f>+P66+P67</f>
        <v>127.47134</v>
      </c>
      <c r="Q943" s="437">
        <f>+Q66+Q67</f>
        <v>137.7116</v>
      </c>
      <c r="R943" s="364">
        <f t="shared" si="329"/>
        <v>1338.4015600000002</v>
      </c>
    </row>
    <row r="944" spans="1:26" x14ac:dyDescent="0.2">
      <c r="B944" s="346" t="s">
        <v>830</v>
      </c>
      <c r="F944" s="364">
        <f t="shared" ref="F944:Q944" si="332">F95+F96+F423+F424</f>
        <v>8792255.4791199993</v>
      </c>
      <c r="G944" s="364">
        <f t="shared" si="332"/>
        <v>7484941.0882999999</v>
      </c>
      <c r="H944" s="364">
        <f t="shared" si="332"/>
        <v>7565468.7110799998</v>
      </c>
      <c r="I944" s="364">
        <f t="shared" si="332"/>
        <v>6598941.7644400001</v>
      </c>
      <c r="J944" s="364">
        <f t="shared" si="332"/>
        <v>5465705.8421600005</v>
      </c>
      <c r="K944" s="364">
        <f t="shared" si="332"/>
        <v>4490271.7695000013</v>
      </c>
      <c r="L944" s="364">
        <f t="shared" si="332"/>
        <v>3930658.9120399999</v>
      </c>
      <c r="M944" s="364">
        <f t="shared" si="332"/>
        <v>3882730.2537999996</v>
      </c>
      <c r="N944" s="364">
        <f t="shared" si="332"/>
        <v>4160738.5934000006</v>
      </c>
      <c r="O944" s="364">
        <f t="shared" si="332"/>
        <v>5666000.9603399998</v>
      </c>
      <c r="P944" s="364">
        <f t="shared" si="332"/>
        <v>8484285.1110100001</v>
      </c>
      <c r="Q944" s="364">
        <f t="shared" si="332"/>
        <v>10341619.59846</v>
      </c>
      <c r="R944" s="364">
        <f t="shared" si="329"/>
        <v>76863618.083650008</v>
      </c>
    </row>
    <row r="945" spans="2:18" x14ac:dyDescent="0.2">
      <c r="B945" s="343" t="s">
        <v>832</v>
      </c>
      <c r="F945" s="364">
        <f t="shared" ref="F945:Q945" si="333">F127+F132+F135+F138+F455+F460+F463+F466</f>
        <v>1680131.5211800004</v>
      </c>
      <c r="G945" s="364">
        <f t="shared" si="333"/>
        <v>1558180.2887100002</v>
      </c>
      <c r="H945" s="364">
        <f t="shared" si="333"/>
        <v>1617065.0618700003</v>
      </c>
      <c r="I945" s="364">
        <f t="shared" si="333"/>
        <v>1539407.6026199998</v>
      </c>
      <c r="J945" s="364">
        <f t="shared" si="333"/>
        <v>1454959.8833099999</v>
      </c>
      <c r="K945" s="364">
        <f t="shared" si="333"/>
        <v>1341821.6704100003</v>
      </c>
      <c r="L945" s="364">
        <f t="shared" si="333"/>
        <v>1283604.6373900003</v>
      </c>
      <c r="M945" s="364">
        <f t="shared" si="333"/>
        <v>1275186.70621</v>
      </c>
      <c r="N945" s="364">
        <f t="shared" si="333"/>
        <v>1291848.4729299999</v>
      </c>
      <c r="O945" s="364">
        <f t="shared" si="333"/>
        <v>1426707.7521799998</v>
      </c>
      <c r="P945" s="364">
        <f t="shared" si="333"/>
        <v>1631840.7671999999</v>
      </c>
      <c r="Q945" s="364">
        <f t="shared" si="333"/>
        <v>1742265.0231800003</v>
      </c>
      <c r="R945" s="364">
        <f t="shared" si="329"/>
        <v>17843019.387190003</v>
      </c>
    </row>
    <row r="946" spans="2:18" x14ac:dyDescent="0.2">
      <c r="B946" s="343" t="s">
        <v>836</v>
      </c>
      <c r="F946" s="364">
        <f t="shared" ref="F946:Q946" si="334">F81+F267+F627</f>
        <v>9391.0000000000018</v>
      </c>
      <c r="G946" s="364">
        <f t="shared" si="334"/>
        <v>9391.0000000000018</v>
      </c>
      <c r="H946" s="364">
        <f t="shared" si="334"/>
        <v>9416.5000000000018</v>
      </c>
      <c r="I946" s="364">
        <f t="shared" si="334"/>
        <v>9391.0000000000018</v>
      </c>
      <c r="J946" s="364">
        <f t="shared" si="334"/>
        <v>9628.3000000000011</v>
      </c>
      <c r="K946" s="364">
        <f t="shared" si="334"/>
        <v>9509.0000000000018</v>
      </c>
      <c r="L946" s="364">
        <f t="shared" si="334"/>
        <v>9708.5000000000018</v>
      </c>
      <c r="M946" s="364">
        <f t="shared" si="334"/>
        <v>9824.3000000000011</v>
      </c>
      <c r="N946" s="364">
        <f t="shared" si="334"/>
        <v>9763.0000000000018</v>
      </c>
      <c r="O946" s="364">
        <f t="shared" si="334"/>
        <v>9763.0000000000018</v>
      </c>
      <c r="P946" s="364">
        <f t="shared" si="334"/>
        <v>9763.0000000000018</v>
      </c>
      <c r="Q946" s="364">
        <f t="shared" si="334"/>
        <v>9763.0000000000018</v>
      </c>
      <c r="R946" s="364">
        <f t="shared" si="329"/>
        <v>115311.60000000002</v>
      </c>
    </row>
    <row r="947" spans="2:18" x14ac:dyDescent="0.2">
      <c r="B947" s="343" t="s">
        <v>837</v>
      </c>
      <c r="F947" s="364">
        <f t="shared" ref="F947:Q947" si="335">F297+F302+F304+F306+F309+F656+F661+F663+F665+F668</f>
        <v>171582.59073</v>
      </c>
      <c r="G947" s="364">
        <f t="shared" si="335"/>
        <v>173332.07829999996</v>
      </c>
      <c r="H947" s="364">
        <f t="shared" si="335"/>
        <v>172403.17954999997</v>
      </c>
      <c r="I947" s="364">
        <f t="shared" si="335"/>
        <v>162559.74512000001</v>
      </c>
      <c r="J947" s="364">
        <f t="shared" si="335"/>
        <v>147685.96347000002</v>
      </c>
      <c r="K947" s="364">
        <f t="shared" si="335"/>
        <v>129520.49414</v>
      </c>
      <c r="L947" s="364">
        <f t="shared" si="335"/>
        <v>116917.28934999999</v>
      </c>
      <c r="M947" s="364">
        <f t="shared" si="335"/>
        <v>121970.06484000001</v>
      </c>
      <c r="N947" s="364">
        <f t="shared" si="335"/>
        <v>125237.52565999998</v>
      </c>
      <c r="O947" s="364">
        <f t="shared" si="335"/>
        <v>144642.79638000001</v>
      </c>
      <c r="P947" s="364">
        <f t="shared" si="335"/>
        <v>168904.61695000003</v>
      </c>
      <c r="Q947" s="364">
        <f t="shared" si="335"/>
        <v>187119.67055000004</v>
      </c>
      <c r="R947" s="364">
        <f t="shared" si="329"/>
        <v>1821876.01504</v>
      </c>
    </row>
    <row r="948" spans="2:18" x14ac:dyDescent="0.2">
      <c r="B948" s="343" t="s">
        <v>839</v>
      </c>
      <c r="F948" s="364">
        <f t="shared" ref="F948:Q948" si="336">F340+F344+F346+F348+F351+F699+F703+F705+F707+F710</f>
        <v>345022.12106000003</v>
      </c>
      <c r="G948" s="364">
        <f t="shared" si="336"/>
        <v>305553.83127999998</v>
      </c>
      <c r="H948" s="364">
        <f t="shared" si="336"/>
        <v>299064.61624000006</v>
      </c>
      <c r="I948" s="364">
        <f t="shared" si="336"/>
        <v>262451.99778999999</v>
      </c>
      <c r="J948" s="364">
        <f t="shared" si="336"/>
        <v>229718.50003999998</v>
      </c>
      <c r="K948" s="364">
        <f t="shared" si="336"/>
        <v>176529.59962999998</v>
      </c>
      <c r="L948" s="364">
        <f t="shared" si="336"/>
        <v>127615.40203</v>
      </c>
      <c r="M948" s="364">
        <f t="shared" si="336"/>
        <v>121343.01208</v>
      </c>
      <c r="N948" s="364">
        <f t="shared" si="336"/>
        <v>169194.66611000002</v>
      </c>
      <c r="O948" s="364">
        <f t="shared" si="336"/>
        <v>213478.05364999999</v>
      </c>
      <c r="P948" s="364">
        <f t="shared" si="336"/>
        <v>303548.61559</v>
      </c>
      <c r="Q948" s="364">
        <f t="shared" si="336"/>
        <v>335526.35847000009</v>
      </c>
      <c r="R948" s="364">
        <f t="shared" si="329"/>
        <v>2889046.7739700004</v>
      </c>
    </row>
    <row r="949" spans="2:18" x14ac:dyDescent="0.2">
      <c r="B949" s="343" t="s">
        <v>841</v>
      </c>
      <c r="F949" s="364">
        <f t="shared" ref="F949:Q949" si="337">F390+F398+F400+F402+F405+F749+F757+F759+F761+F764</f>
        <v>149852.96825000001</v>
      </c>
      <c r="G949" s="364">
        <f t="shared" si="337"/>
        <v>210011.36023999998</v>
      </c>
      <c r="H949" s="364">
        <f t="shared" si="337"/>
        <v>145010.73710000003</v>
      </c>
      <c r="I949" s="364">
        <f t="shared" si="337"/>
        <v>137997.40837000002</v>
      </c>
      <c r="J949" s="364">
        <f t="shared" si="337"/>
        <v>131631.41183999999</v>
      </c>
      <c r="K949" s="364">
        <f t="shared" si="337"/>
        <v>117501.02071000001</v>
      </c>
      <c r="L949" s="364">
        <f t="shared" si="337"/>
        <v>105381.71857</v>
      </c>
      <c r="M949" s="364">
        <f t="shared" si="337"/>
        <v>101967.43441999999</v>
      </c>
      <c r="N949" s="364">
        <f t="shared" si="337"/>
        <v>109193.05089000003</v>
      </c>
      <c r="O949" s="364">
        <f t="shared" si="337"/>
        <v>143305.98182000002</v>
      </c>
      <c r="P949" s="364">
        <f t="shared" si="337"/>
        <v>150910.86645999999</v>
      </c>
      <c r="Q949" s="364">
        <f t="shared" si="337"/>
        <v>161432.40916000001</v>
      </c>
      <c r="R949" s="364">
        <f t="shared" ref="R949:R953" si="338">SUM(F949:Q949)</f>
        <v>1664196.3678300004</v>
      </c>
    </row>
    <row r="950" spans="2:18" s="336" customFormat="1" x14ac:dyDescent="0.2">
      <c r="B950" s="336" t="s">
        <v>1184</v>
      </c>
      <c r="F950" s="418">
        <f t="shared" ref="F950:Q950" si="339">+F166+F171+F173+F174+F175+F494+F499+F501+F502+F503</f>
        <v>81459.121350000001</v>
      </c>
      <c r="G950" s="418">
        <f t="shared" si="339"/>
        <v>78831.933279999997</v>
      </c>
      <c r="H950" s="418">
        <f t="shared" si="339"/>
        <v>82123.957870000013</v>
      </c>
      <c r="I950" s="418">
        <f t="shared" si="339"/>
        <v>81611.318300000014</v>
      </c>
      <c r="J950" s="418">
        <f t="shared" si="339"/>
        <v>77835.30558</v>
      </c>
      <c r="K950" s="418">
        <f t="shared" si="339"/>
        <v>78677.991039999994</v>
      </c>
      <c r="L950" s="418">
        <f t="shared" si="339"/>
        <v>93472.062419999987</v>
      </c>
      <c r="M950" s="418">
        <f t="shared" si="339"/>
        <v>94451.759020000012</v>
      </c>
      <c r="N950" s="418">
        <f t="shared" si="339"/>
        <v>97094.829790000003</v>
      </c>
      <c r="O950" s="418">
        <f t="shared" si="339"/>
        <v>104935.89132000001</v>
      </c>
      <c r="P950" s="418">
        <f t="shared" si="339"/>
        <v>126639.13298000002</v>
      </c>
      <c r="Q950" s="418">
        <f t="shared" si="339"/>
        <v>147938.86316000001</v>
      </c>
      <c r="R950" s="418">
        <f t="shared" si="338"/>
        <v>1145072.1661100001</v>
      </c>
    </row>
    <row r="951" spans="2:18" s="336" customFormat="1" x14ac:dyDescent="0.2">
      <c r="B951" s="336" t="s">
        <v>1185</v>
      </c>
      <c r="F951" s="418">
        <f>+F202+F207+F209+F210+F530+F535+F537+F538</f>
        <v>530506.07154000003</v>
      </c>
      <c r="G951" s="418">
        <f t="shared" ref="G951:Q951" si="340">+G202+G207+G209+G210+G530+G535+G537+G538</f>
        <v>523121.08110000007</v>
      </c>
      <c r="H951" s="418">
        <f t="shared" si="340"/>
        <v>576760.4763000001</v>
      </c>
      <c r="I951" s="418">
        <f t="shared" si="340"/>
        <v>759603.82199000008</v>
      </c>
      <c r="J951" s="418">
        <f t="shared" si="340"/>
        <v>685032.00726999994</v>
      </c>
      <c r="K951" s="418">
        <f t="shared" si="340"/>
        <v>586024.16680000001</v>
      </c>
      <c r="L951" s="418">
        <f t="shared" si="340"/>
        <v>544371.32823999994</v>
      </c>
      <c r="M951" s="418">
        <f t="shared" si="340"/>
        <v>543003.44635999994</v>
      </c>
      <c r="N951" s="418">
        <f t="shared" si="340"/>
        <v>547806.69383000012</v>
      </c>
      <c r="O951" s="418">
        <f t="shared" si="340"/>
        <v>550895.26800000004</v>
      </c>
      <c r="P951" s="418">
        <f t="shared" si="340"/>
        <v>558665.20673000009</v>
      </c>
      <c r="Q951" s="418">
        <f t="shared" si="340"/>
        <v>532826.20322000002</v>
      </c>
      <c r="R951" s="418">
        <f t="shared" si="338"/>
        <v>6938615.7713799998</v>
      </c>
    </row>
    <row r="952" spans="2:18" s="336" customFormat="1" x14ac:dyDescent="0.2">
      <c r="B952" s="338" t="s">
        <v>1186</v>
      </c>
      <c r="F952" s="418">
        <f>F563+F567+F569+F570</f>
        <v>0</v>
      </c>
      <c r="G952" s="418">
        <f t="shared" ref="G952:Q952" si="341">G563+G567+G569+G570</f>
        <v>0</v>
      </c>
      <c r="H952" s="418">
        <f t="shared" si="341"/>
        <v>0</v>
      </c>
      <c r="I952" s="418">
        <f t="shared" si="341"/>
        <v>0</v>
      </c>
      <c r="J952" s="418">
        <f t="shared" si="341"/>
        <v>0</v>
      </c>
      <c r="K952" s="418">
        <f t="shared" si="341"/>
        <v>443.45</v>
      </c>
      <c r="L952" s="418">
        <f t="shared" si="341"/>
        <v>443.45</v>
      </c>
      <c r="M952" s="418">
        <f t="shared" si="341"/>
        <v>806.20180000000005</v>
      </c>
      <c r="N952" s="418">
        <f t="shared" si="341"/>
        <v>1855.8923000000002</v>
      </c>
      <c r="O952" s="418">
        <f t="shared" si="341"/>
        <v>1650.2758000000001</v>
      </c>
      <c r="P952" s="418">
        <f t="shared" si="341"/>
        <v>634.31659999999999</v>
      </c>
      <c r="Q952" s="418">
        <f t="shared" si="341"/>
        <v>482.49540000000002</v>
      </c>
      <c r="R952" s="418">
        <f t="shared" si="338"/>
        <v>6316.0819000000001</v>
      </c>
    </row>
    <row r="953" spans="2:18" s="336" customFormat="1" x14ac:dyDescent="0.2">
      <c r="B953" s="336" t="s">
        <v>1187</v>
      </c>
      <c r="F953" s="418">
        <f t="shared" ref="F953:Q953" si="342">+F243+F251+F253+F254+F603+F611+F613+F614</f>
        <v>340078.83377000003</v>
      </c>
      <c r="G953" s="418">
        <f t="shared" si="342"/>
        <v>304163.27339000005</v>
      </c>
      <c r="H953" s="418">
        <f t="shared" si="342"/>
        <v>331835.65872000001</v>
      </c>
      <c r="I953" s="418">
        <f t="shared" si="342"/>
        <v>333637.50192999997</v>
      </c>
      <c r="J953" s="418">
        <f t="shared" si="342"/>
        <v>378264.31228999997</v>
      </c>
      <c r="K953" s="418">
        <f t="shared" si="342"/>
        <v>322247.89125999995</v>
      </c>
      <c r="L953" s="418">
        <f t="shared" si="342"/>
        <v>365595.68059999996</v>
      </c>
      <c r="M953" s="418">
        <f t="shared" si="342"/>
        <v>344046.91795999999</v>
      </c>
      <c r="N953" s="418">
        <f t="shared" si="342"/>
        <v>326006.32080999995</v>
      </c>
      <c r="O953" s="418">
        <f t="shared" si="342"/>
        <v>329317.91716999997</v>
      </c>
      <c r="P953" s="418">
        <f t="shared" si="342"/>
        <v>310514.3199</v>
      </c>
      <c r="Q953" s="418">
        <f t="shared" si="342"/>
        <v>310570.63694</v>
      </c>
      <c r="R953" s="418">
        <f t="shared" si="338"/>
        <v>3996279.2647399995</v>
      </c>
    </row>
    <row r="954" spans="2:18" s="336" customFormat="1" x14ac:dyDescent="0.2">
      <c r="B954" s="338" t="s">
        <v>844</v>
      </c>
      <c r="F954" s="418">
        <f t="shared" ref="F954:N954" si="343">F795+F803+F804</f>
        <v>138038.71372</v>
      </c>
      <c r="G954" s="418">
        <f t="shared" si="343"/>
        <v>135104.57798</v>
      </c>
      <c r="H954" s="418">
        <f t="shared" si="343"/>
        <v>138658.10126999998</v>
      </c>
      <c r="I954" s="418">
        <f t="shared" si="343"/>
        <v>132772.01869</v>
      </c>
      <c r="J954" s="418">
        <f t="shared" si="343"/>
        <v>126532.70519000001</v>
      </c>
      <c r="K954" s="418">
        <f t="shared" si="343"/>
        <v>123236.08813</v>
      </c>
      <c r="L954" s="418">
        <f t="shared" si="343"/>
        <v>120042.19259999999</v>
      </c>
      <c r="M954" s="418">
        <f t="shared" si="343"/>
        <v>118730.64383</v>
      </c>
      <c r="N954" s="418">
        <f t="shared" si="343"/>
        <v>120351.65416999999</v>
      </c>
      <c r="O954" s="418">
        <f>O795+O803+O804</f>
        <v>135276.70224000001</v>
      </c>
      <c r="P954" s="418">
        <f>P795+P803+P804</f>
        <v>151959.92145000002</v>
      </c>
      <c r="Q954" s="418">
        <f>Q795+Q803+Q804</f>
        <v>153029.35573000001</v>
      </c>
      <c r="R954" s="418">
        <f>R795+R803+R804</f>
        <v>1593732.6750000003</v>
      </c>
    </row>
    <row r="955" spans="2:18" s="336" customFormat="1" x14ac:dyDescent="0.2">
      <c r="B955" s="338" t="s">
        <v>1188</v>
      </c>
      <c r="F955" s="339">
        <f t="shared" ref="F955:N955" si="344">SUM(F941:F954)</f>
        <v>43162194.233019993</v>
      </c>
      <c r="G955" s="339">
        <f t="shared" si="344"/>
        <v>37407438.021539994</v>
      </c>
      <c r="H955" s="339">
        <f t="shared" si="344"/>
        <v>37861159.07406</v>
      </c>
      <c r="I955" s="339">
        <f t="shared" si="344"/>
        <v>33275085.803679999</v>
      </c>
      <c r="J955" s="339">
        <f t="shared" si="344"/>
        <v>27389701.031800006</v>
      </c>
      <c r="K955" s="339">
        <f t="shared" si="344"/>
        <v>22082422.781409997</v>
      </c>
      <c r="L955" s="339">
        <f t="shared" si="344"/>
        <v>19008581.081569996</v>
      </c>
      <c r="M955" s="339">
        <f t="shared" si="344"/>
        <v>18605909.601739999</v>
      </c>
      <c r="N955" s="339">
        <f t="shared" si="344"/>
        <v>20335226.863369998</v>
      </c>
      <c r="O955" s="339">
        <f>SUM(O941:O954)</f>
        <v>28513792.2841</v>
      </c>
      <c r="P955" s="339">
        <f>SUM(P941:P954)</f>
        <v>42490864.196209997</v>
      </c>
      <c r="Q955" s="339">
        <f>SUM(Q941:Q954)</f>
        <v>50543309.175870009</v>
      </c>
      <c r="R955" s="339">
        <f>SUM(R941:R954)</f>
        <v>380675684.14836997</v>
      </c>
    </row>
    <row r="956" spans="2:18" x14ac:dyDescent="0.2">
      <c r="F956" s="364"/>
      <c r="G956" s="364"/>
      <c r="H956" s="364"/>
      <c r="I956" s="364"/>
      <c r="J956" s="364"/>
      <c r="K956" s="364"/>
      <c r="L956" s="364"/>
      <c r="M956" s="364"/>
      <c r="N956" s="364"/>
      <c r="O956" s="364"/>
      <c r="P956" s="364"/>
      <c r="Q956" s="364"/>
      <c r="R956" s="364"/>
    </row>
    <row r="957" spans="2:18" x14ac:dyDescent="0.2">
      <c r="B957" s="488" t="s">
        <v>186</v>
      </c>
    </row>
    <row r="958" spans="2:18" x14ac:dyDescent="0.2">
      <c r="B958" s="343" t="s">
        <v>827</v>
      </c>
      <c r="F958" s="364">
        <f t="shared" ref="F958:N958" si="345">F31</f>
        <v>772.2</v>
      </c>
      <c r="G958" s="364">
        <f t="shared" si="345"/>
        <v>772.2</v>
      </c>
      <c r="H958" s="364">
        <f t="shared" si="345"/>
        <v>772.2</v>
      </c>
      <c r="I958" s="364">
        <f t="shared" si="345"/>
        <v>772.2</v>
      </c>
      <c r="J958" s="364">
        <f t="shared" si="345"/>
        <v>772.19999999999993</v>
      </c>
      <c r="K958" s="364">
        <f t="shared" si="345"/>
        <v>772.2</v>
      </c>
      <c r="L958" s="364">
        <f t="shared" si="345"/>
        <v>757.90000000000009</v>
      </c>
      <c r="M958" s="364">
        <f t="shared" si="345"/>
        <v>757.90000000000009</v>
      </c>
      <c r="N958" s="364">
        <f t="shared" si="345"/>
        <v>757.90000000000009</v>
      </c>
      <c r="O958" s="364">
        <f>O31</f>
        <v>757.90000000000009</v>
      </c>
      <c r="P958" s="364">
        <f>P31</f>
        <v>724.51</v>
      </c>
      <c r="Q958" s="364">
        <f>Q31</f>
        <v>724.51</v>
      </c>
      <c r="R958" s="364">
        <f t="shared" ref="R958:R965" si="346">SUM(F958:Q958)</f>
        <v>9113.82</v>
      </c>
    </row>
    <row r="959" spans="2:18" x14ac:dyDescent="0.2">
      <c r="B959" s="343" t="s">
        <v>828</v>
      </c>
      <c r="F959" s="418">
        <f t="shared" ref="F959:N959" si="347">F50</f>
        <v>53592942</v>
      </c>
      <c r="G959" s="418">
        <f t="shared" si="347"/>
        <v>43934180</v>
      </c>
      <c r="H959" s="418">
        <f t="shared" si="347"/>
        <v>44579572</v>
      </c>
      <c r="I959" s="418">
        <f t="shared" si="347"/>
        <v>35013458</v>
      </c>
      <c r="J959" s="418">
        <f t="shared" si="347"/>
        <v>25131404</v>
      </c>
      <c r="K959" s="418">
        <f t="shared" si="347"/>
        <v>16530212</v>
      </c>
      <c r="L959" s="418">
        <f t="shared" si="347"/>
        <v>11353110</v>
      </c>
      <c r="M959" s="418">
        <f t="shared" si="347"/>
        <v>10682224</v>
      </c>
      <c r="N959" s="418">
        <f t="shared" si="347"/>
        <v>13642948</v>
      </c>
      <c r="O959" s="418">
        <f>O50</f>
        <v>27496859</v>
      </c>
      <c r="P959" s="418">
        <f>P50</f>
        <v>48562048</v>
      </c>
      <c r="Q959" s="418">
        <f>Q50</f>
        <v>60985836</v>
      </c>
      <c r="R959" s="364">
        <f t="shared" si="346"/>
        <v>391504793</v>
      </c>
    </row>
    <row r="960" spans="2:18" x14ac:dyDescent="0.2">
      <c r="B960" s="343" t="s">
        <v>829</v>
      </c>
      <c r="F960" s="418">
        <f t="shared" ref="F960:N960" si="348">+F68</f>
        <v>686.93655000000001</v>
      </c>
      <c r="G960" s="418">
        <f t="shared" si="348"/>
        <v>823.45247999999992</v>
      </c>
      <c r="H960" s="418">
        <f t="shared" si="348"/>
        <v>1147.4962800000001</v>
      </c>
      <c r="I960" s="418">
        <f t="shared" si="348"/>
        <v>834.88932</v>
      </c>
      <c r="J960" s="418">
        <f t="shared" si="348"/>
        <v>580.92944999999997</v>
      </c>
      <c r="K960" s="418">
        <f t="shared" si="348"/>
        <v>428.68586999999997</v>
      </c>
      <c r="L960" s="418">
        <f t="shared" si="348"/>
        <v>356.57049000000001</v>
      </c>
      <c r="M960" s="418">
        <f t="shared" si="348"/>
        <v>344.55125999999996</v>
      </c>
      <c r="N960" s="418">
        <f t="shared" si="348"/>
        <v>336.53843999999998</v>
      </c>
      <c r="O960" s="418">
        <f>+O68</f>
        <v>641.02559999999994</v>
      </c>
      <c r="P960" s="418">
        <f>+P68</f>
        <v>889.42301999999995</v>
      </c>
      <c r="Q960" s="418">
        <f>+Q68</f>
        <v>1121.7947999999999</v>
      </c>
      <c r="R960" s="364">
        <f t="shared" si="346"/>
        <v>8192.2935600000001</v>
      </c>
    </row>
    <row r="961" spans="2:18" x14ac:dyDescent="0.2">
      <c r="B961" s="346" t="s">
        <v>830</v>
      </c>
      <c r="F961" s="364">
        <f t="shared" ref="F961:Q961" si="349">F97+F425</f>
        <v>18236399.892519999</v>
      </c>
      <c r="G961" s="364">
        <f t="shared" si="349"/>
        <v>14900805.550549999</v>
      </c>
      <c r="H961" s="364">
        <f t="shared" si="349"/>
        <v>15110347.924180001</v>
      </c>
      <c r="I961" s="364">
        <f t="shared" si="349"/>
        <v>12207912.087719999</v>
      </c>
      <c r="J961" s="364">
        <f t="shared" si="349"/>
        <v>9398001.9600799996</v>
      </c>
      <c r="K961" s="364">
        <f t="shared" si="349"/>
        <v>6976584.3784999996</v>
      </c>
      <c r="L961" s="364">
        <f t="shared" si="349"/>
        <v>5588483.4345199997</v>
      </c>
      <c r="M961" s="364">
        <f t="shared" si="349"/>
        <v>5472908.9094000002</v>
      </c>
      <c r="N961" s="364">
        <f t="shared" si="349"/>
        <v>6165704.1442000009</v>
      </c>
      <c r="O961" s="364">
        <f t="shared" si="349"/>
        <v>9902110.8974200003</v>
      </c>
      <c r="P961" s="364">
        <f t="shared" si="349"/>
        <v>16154581.72419</v>
      </c>
      <c r="Q961" s="364">
        <f t="shared" si="349"/>
        <v>20559055.060739998</v>
      </c>
      <c r="R961" s="364">
        <f t="shared" si="346"/>
        <v>140672895.96402001</v>
      </c>
    </row>
    <row r="962" spans="2:18" x14ac:dyDescent="0.2">
      <c r="B962" s="343" t="s">
        <v>832</v>
      </c>
      <c r="F962" s="364">
        <f t="shared" ref="F962:Q962" si="350">F133+F136+F461+F464</f>
        <v>5792321.6270999992</v>
      </c>
      <c r="G962" s="364">
        <f t="shared" si="350"/>
        <v>5106898.3513799999</v>
      </c>
      <c r="H962" s="364">
        <f t="shared" si="350"/>
        <v>5451804.1667400002</v>
      </c>
      <c r="I962" s="364">
        <f t="shared" si="350"/>
        <v>4847771.2381799994</v>
      </c>
      <c r="J962" s="364">
        <f t="shared" si="350"/>
        <v>4378462.1641199999</v>
      </c>
      <c r="K962" s="364">
        <f t="shared" si="350"/>
        <v>3625923.3536999999</v>
      </c>
      <c r="L962" s="364">
        <f t="shared" si="350"/>
        <v>3173669.0861999998</v>
      </c>
      <c r="M962" s="364">
        <f t="shared" si="350"/>
        <v>3159622.5353999995</v>
      </c>
      <c r="N962" s="364">
        <f t="shared" si="350"/>
        <v>3338713.3005599999</v>
      </c>
      <c r="O962" s="364">
        <f t="shared" si="350"/>
        <v>4272185.7434399994</v>
      </c>
      <c r="P962" s="364">
        <f t="shared" si="350"/>
        <v>5114764.8950200006</v>
      </c>
      <c r="Q962" s="364">
        <f t="shared" si="350"/>
        <v>5684252.2627800005</v>
      </c>
      <c r="R962" s="364">
        <f t="shared" si="346"/>
        <v>53946388.72462</v>
      </c>
    </row>
    <row r="963" spans="2:18" x14ac:dyDescent="0.2">
      <c r="B963" s="343" t="s">
        <v>836</v>
      </c>
      <c r="R963" s="364">
        <f t="shared" si="346"/>
        <v>0</v>
      </c>
    </row>
    <row r="964" spans="2:18" x14ac:dyDescent="0.2">
      <c r="B964" s="343" t="s">
        <v>837</v>
      </c>
      <c r="F964" s="364">
        <f t="shared" ref="F964:Q964" si="351">F303+F307+F662+F666</f>
        <v>1260010.4284799998</v>
      </c>
      <c r="G964" s="364">
        <f t="shared" si="351"/>
        <v>1128236.11552</v>
      </c>
      <c r="H964" s="364">
        <f t="shared" si="351"/>
        <v>1266171.1363199998</v>
      </c>
      <c r="I964" s="364">
        <f t="shared" si="351"/>
        <v>1123832.1091199999</v>
      </c>
      <c r="J964" s="364">
        <f t="shared" si="351"/>
        <v>972974.93536000012</v>
      </c>
      <c r="K964" s="364">
        <f t="shared" si="351"/>
        <v>770039.16064000002</v>
      </c>
      <c r="L964" s="364">
        <f t="shared" si="351"/>
        <v>661906.45024000003</v>
      </c>
      <c r="M964" s="364">
        <f t="shared" si="351"/>
        <v>666783.74847999995</v>
      </c>
      <c r="N964" s="364">
        <f t="shared" si="351"/>
        <v>704889.97280000011</v>
      </c>
      <c r="O964" s="364">
        <f t="shared" si="351"/>
        <v>938324.01696000004</v>
      </c>
      <c r="P964" s="364">
        <f t="shared" si="351"/>
        <v>1139981.2337499999</v>
      </c>
      <c r="Q964" s="364">
        <f t="shared" si="351"/>
        <v>1211965.5699999998</v>
      </c>
      <c r="R964" s="364">
        <f t="shared" si="346"/>
        <v>11845114.877670001</v>
      </c>
    </row>
    <row r="965" spans="2:18" x14ac:dyDescent="0.2">
      <c r="B965" s="343" t="s">
        <v>839</v>
      </c>
      <c r="F965" s="364">
        <f t="shared" ref="F965:Q965" si="352">F345+F349+F704+F708</f>
        <v>1302268.9030400002</v>
      </c>
      <c r="G965" s="364">
        <f t="shared" si="352"/>
        <v>1105457.4591200002</v>
      </c>
      <c r="H965" s="364">
        <f t="shared" si="352"/>
        <v>1086315.1395600003</v>
      </c>
      <c r="I965" s="364">
        <f t="shared" si="352"/>
        <v>897303.61826000002</v>
      </c>
      <c r="J965" s="364">
        <f t="shared" si="352"/>
        <v>745552.19955999998</v>
      </c>
      <c r="K965" s="364">
        <f t="shared" si="352"/>
        <v>510134.26142</v>
      </c>
      <c r="L965" s="364">
        <f t="shared" si="352"/>
        <v>304286.87001999997</v>
      </c>
      <c r="M965" s="418">
        <f t="shared" si="352"/>
        <v>269938.47691999999</v>
      </c>
      <c r="N965" s="364">
        <f t="shared" si="352"/>
        <v>375486.97633999999</v>
      </c>
      <c r="O965" s="364">
        <f t="shared" si="352"/>
        <v>683293.19169999997</v>
      </c>
      <c r="P965" s="364">
        <f t="shared" si="352"/>
        <v>1038838.36957</v>
      </c>
      <c r="Q965" s="364">
        <f t="shared" si="352"/>
        <v>1186636.0586100002</v>
      </c>
      <c r="R965" s="364">
        <f t="shared" si="346"/>
        <v>9505511.5241200011</v>
      </c>
    </row>
    <row r="966" spans="2:18" x14ac:dyDescent="0.2">
      <c r="B966" s="343" t="s">
        <v>841</v>
      </c>
      <c r="F966" s="364">
        <f t="shared" ref="F966:Q966" si="353">F399+F403+F758+F762</f>
        <v>2149361.3612600002</v>
      </c>
      <c r="G966" s="364">
        <f t="shared" si="353"/>
        <v>1923025.1871600002</v>
      </c>
      <c r="H966" s="364">
        <f t="shared" si="353"/>
        <v>2018063.4665300001</v>
      </c>
      <c r="I966" s="364">
        <f t="shared" si="353"/>
        <v>1836077.2785800004</v>
      </c>
      <c r="J966" s="364">
        <f t="shared" si="353"/>
        <v>1697517.5408000003</v>
      </c>
      <c r="K966" s="364">
        <f t="shared" si="353"/>
        <v>1400217.1973200003</v>
      </c>
      <c r="L966" s="364">
        <f t="shared" si="353"/>
        <v>1167641.2173400002</v>
      </c>
      <c r="M966" s="364">
        <f t="shared" si="353"/>
        <v>1102466.2632899999</v>
      </c>
      <c r="N966" s="364">
        <f t="shared" si="353"/>
        <v>1208957.9257100001</v>
      </c>
      <c r="O966" s="364">
        <f t="shared" si="353"/>
        <v>1652780.5357900001</v>
      </c>
      <c r="P966" s="364">
        <f t="shared" si="353"/>
        <v>1985369.7732400002</v>
      </c>
      <c r="Q966" s="364">
        <f t="shared" si="353"/>
        <v>2237817.0110400002</v>
      </c>
      <c r="R966" s="364">
        <f t="shared" ref="R966:R971" si="354">SUM(F966:Q966)</f>
        <v>20379294.758060001</v>
      </c>
    </row>
    <row r="967" spans="2:18" x14ac:dyDescent="0.2">
      <c r="B967" s="32" t="s">
        <v>1184</v>
      </c>
      <c r="F967" s="364">
        <f t="shared" ref="F967:Q967" si="355">F172+F500</f>
        <v>286.80399999999997</v>
      </c>
      <c r="G967" s="364">
        <f t="shared" si="355"/>
        <v>269.68270000000001</v>
      </c>
      <c r="H967" s="364">
        <f t="shared" si="355"/>
        <v>312.03409999999997</v>
      </c>
      <c r="I967" s="364">
        <f t="shared" si="355"/>
        <v>298.20769999999999</v>
      </c>
      <c r="J967" s="364">
        <f t="shared" si="355"/>
        <v>273.65449999999998</v>
      </c>
      <c r="K967" s="364">
        <f t="shared" si="355"/>
        <v>279.66399999999999</v>
      </c>
      <c r="L967" s="364">
        <f t="shared" si="355"/>
        <v>351.47490000000005</v>
      </c>
      <c r="M967" s="364">
        <f t="shared" si="355"/>
        <v>353.78980000000001</v>
      </c>
      <c r="N967" s="364">
        <f t="shared" si="355"/>
        <v>367.34530000000001</v>
      </c>
      <c r="O967" s="364">
        <f t="shared" si="355"/>
        <v>396.58219999999994</v>
      </c>
      <c r="P967" s="364">
        <f t="shared" si="355"/>
        <v>495.28710000000001</v>
      </c>
      <c r="Q967" s="364">
        <f t="shared" si="355"/>
        <v>569.26940000000002</v>
      </c>
      <c r="R967" s="364">
        <f t="shared" si="354"/>
        <v>4253.7956999999997</v>
      </c>
    </row>
    <row r="968" spans="2:18" x14ac:dyDescent="0.2">
      <c r="B968" s="32" t="s">
        <v>1185</v>
      </c>
      <c r="F968" s="364">
        <f t="shared" ref="F968:Q968" si="356">F208+F536</f>
        <v>3723.9342000000001</v>
      </c>
      <c r="G968" s="364">
        <f t="shared" si="356"/>
        <v>3544.1875</v>
      </c>
      <c r="H968" s="364">
        <f t="shared" si="356"/>
        <v>4044.5383999999995</v>
      </c>
      <c r="I968" s="364">
        <f t="shared" si="356"/>
        <v>3846.3018999999999</v>
      </c>
      <c r="J968" s="364">
        <f t="shared" si="356"/>
        <v>3822.9169999999999</v>
      </c>
      <c r="K968" s="364">
        <f t="shared" si="356"/>
        <v>4028.395</v>
      </c>
      <c r="L968" s="364">
        <f t="shared" si="356"/>
        <v>3660.6954999999998</v>
      </c>
      <c r="M968" s="364">
        <f t="shared" si="356"/>
        <v>3777.5598</v>
      </c>
      <c r="N968" s="364">
        <f t="shared" si="356"/>
        <v>3590.7269999999999</v>
      </c>
      <c r="O968" s="364">
        <f t="shared" si="356"/>
        <v>3908.1637000000001</v>
      </c>
      <c r="P968" s="364">
        <f t="shared" si="356"/>
        <v>3915.8714</v>
      </c>
      <c r="Q968" s="364">
        <f t="shared" si="356"/>
        <v>3807.2195000000002</v>
      </c>
      <c r="R968" s="364">
        <f t="shared" si="354"/>
        <v>45670.510900000001</v>
      </c>
    </row>
    <row r="969" spans="2:18" x14ac:dyDescent="0.2">
      <c r="B969" s="338" t="s">
        <v>1186</v>
      </c>
      <c r="F969" s="364">
        <f>F568</f>
        <v>0</v>
      </c>
      <c r="G969" s="364">
        <f t="shared" ref="G969:Q969" si="357">G568</f>
        <v>0</v>
      </c>
      <c r="H969" s="364">
        <f t="shared" si="357"/>
        <v>0</v>
      </c>
      <c r="I969" s="364">
        <f t="shared" si="357"/>
        <v>0</v>
      </c>
      <c r="J969" s="364">
        <f t="shared" si="357"/>
        <v>0</v>
      </c>
      <c r="K969" s="364">
        <f t="shared" si="357"/>
        <v>0</v>
      </c>
      <c r="L969" s="364">
        <f t="shared" si="357"/>
        <v>0</v>
      </c>
      <c r="M969" s="364">
        <f t="shared" si="357"/>
        <v>1.5105999999999999</v>
      </c>
      <c r="N969" s="364">
        <f t="shared" si="357"/>
        <v>6.3441000000000001</v>
      </c>
      <c r="O969" s="364">
        <f t="shared" si="357"/>
        <v>5.6685999999999996</v>
      </c>
      <c r="P969" s="364">
        <f t="shared" si="357"/>
        <v>0.67410000000000003</v>
      </c>
      <c r="Q969" s="364">
        <f t="shared" si="357"/>
        <v>0.13789999999999999</v>
      </c>
      <c r="R969" s="364">
        <f t="shared" si="354"/>
        <v>14.335299999999998</v>
      </c>
    </row>
    <row r="970" spans="2:18" x14ac:dyDescent="0.2">
      <c r="B970" s="32" t="s">
        <v>1187</v>
      </c>
      <c r="F970" s="364">
        <f t="shared" ref="F970:Q970" si="358">F252+F612</f>
        <v>6451.6479999999992</v>
      </c>
      <c r="G970" s="364">
        <f t="shared" si="358"/>
        <v>5226.2154</v>
      </c>
      <c r="H970" s="364">
        <f t="shared" si="358"/>
        <v>6116.6651000000002</v>
      </c>
      <c r="I970" s="364">
        <f t="shared" si="358"/>
        <v>5975.9755999999998</v>
      </c>
      <c r="J970" s="364">
        <f t="shared" si="358"/>
        <v>6659.9875999999995</v>
      </c>
      <c r="K970" s="364">
        <f t="shared" si="358"/>
        <v>5603.8289999999997</v>
      </c>
      <c r="L970" s="364">
        <f t="shared" si="358"/>
        <v>5947.7403999999997</v>
      </c>
      <c r="M970" s="364">
        <f t="shared" si="358"/>
        <v>6029.3373000000001</v>
      </c>
      <c r="N970" s="364">
        <f t="shared" si="358"/>
        <v>5279.5568000000003</v>
      </c>
      <c r="O970" s="364">
        <f t="shared" si="358"/>
        <v>5567.7152999999998</v>
      </c>
      <c r="P970" s="364">
        <f t="shared" si="358"/>
        <v>5093.8768999999993</v>
      </c>
      <c r="Q970" s="364">
        <f t="shared" si="358"/>
        <v>5364.8202999999994</v>
      </c>
      <c r="R970" s="364">
        <f t="shared" si="354"/>
        <v>69317.367700000003</v>
      </c>
    </row>
    <row r="971" spans="2:18" x14ac:dyDescent="0.2">
      <c r="B971" s="343" t="s">
        <v>844</v>
      </c>
      <c r="R971" s="364">
        <f t="shared" si="354"/>
        <v>0</v>
      </c>
    </row>
    <row r="972" spans="2:18" x14ac:dyDescent="0.2">
      <c r="B972" s="343" t="s">
        <v>1189</v>
      </c>
      <c r="F972" s="365">
        <f t="shared" ref="F972:N972" si="359">SUM(F958:F971)</f>
        <v>82345225.735150024</v>
      </c>
      <c r="G972" s="365">
        <f t="shared" si="359"/>
        <v>68109238.40180999</v>
      </c>
      <c r="H972" s="365">
        <f t="shared" si="359"/>
        <v>69524666.767209992</v>
      </c>
      <c r="I972" s="365">
        <f t="shared" si="359"/>
        <v>55938081.906379998</v>
      </c>
      <c r="J972" s="365">
        <f t="shared" si="359"/>
        <v>42336022.488469996</v>
      </c>
      <c r="K972" s="365">
        <f t="shared" si="359"/>
        <v>29824223.12545</v>
      </c>
      <c r="L972" s="365">
        <f t="shared" si="359"/>
        <v>22260171.439610001</v>
      </c>
      <c r="M972" s="365">
        <f t="shared" si="359"/>
        <v>21365208.582249999</v>
      </c>
      <c r="N972" s="365">
        <f t="shared" si="359"/>
        <v>25447038.731250003</v>
      </c>
      <c r="O972" s="365">
        <f>SUM(O958:O971)</f>
        <v>44956830.440710001</v>
      </c>
      <c r="P972" s="365">
        <f>SUM(P958:P971)</f>
        <v>74006703.638290003</v>
      </c>
      <c r="Q972" s="365">
        <f>SUM(Q958:Q971)</f>
        <v>91877149.715069994</v>
      </c>
      <c r="R972" s="365">
        <f>SUM(R958:R971)</f>
        <v>627990560.97165</v>
      </c>
    </row>
    <row r="973" spans="2:18" s="336" customFormat="1" x14ac:dyDescent="0.2">
      <c r="B973" s="336" t="s">
        <v>131</v>
      </c>
      <c r="F973" s="418">
        <f>F972-F933-F934</f>
        <v>6.2703975345357321E-9</v>
      </c>
      <c r="G973" s="418">
        <f t="shared" ref="G973:P973" si="360">G972-G933-G934</f>
        <v>-1.1663360055536032E-8</v>
      </c>
      <c r="H973" s="418">
        <f t="shared" si="360"/>
        <v>-1.5287469068425708E-8</v>
      </c>
      <c r="I973" s="418">
        <f t="shared" si="360"/>
        <v>-1.3895032680011354E-8</v>
      </c>
      <c r="J973" s="418">
        <f t="shared" si="360"/>
        <v>1.2743498700729106E-8</v>
      </c>
      <c r="K973" s="418">
        <f t="shared" si="360"/>
        <v>2.9552325031545479E-9</v>
      </c>
      <c r="L973" s="418">
        <f t="shared" si="360"/>
        <v>-1.0931557881121989E-9</v>
      </c>
      <c r="M973" s="418">
        <f t="shared" si="360"/>
        <v>-5.4931206250330433E-9</v>
      </c>
      <c r="N973" s="418">
        <f t="shared" si="360"/>
        <v>3.9911469684739131E-9</v>
      </c>
      <c r="O973" s="418">
        <f t="shared" si="360"/>
        <v>-6.2345861806534231E-9</v>
      </c>
      <c r="P973" s="418">
        <f t="shared" si="360"/>
        <v>2.0127345123910345E-8</v>
      </c>
      <c r="Q973" s="418">
        <f>Q972-Q933-Q934</f>
        <v>-1.5973000699887052E-9</v>
      </c>
      <c r="R973" s="418">
        <f>R972-R933-R934</f>
        <v>2.8076101443730295E-8</v>
      </c>
    </row>
    <row r="975" spans="2:18" x14ac:dyDescent="0.2">
      <c r="B975" s="488" t="s">
        <v>1190</v>
      </c>
    </row>
    <row r="976" spans="2:18" x14ac:dyDescent="0.2">
      <c r="B976" s="343" t="s">
        <v>827</v>
      </c>
      <c r="F976" s="364">
        <f t="shared" ref="F976:Q987" si="361">F941+F958</f>
        <v>1543.1200000000001</v>
      </c>
      <c r="G976" s="364">
        <f t="shared" si="361"/>
        <v>1543.1200000000001</v>
      </c>
      <c r="H976" s="364">
        <f t="shared" si="361"/>
        <v>1543.1200000000001</v>
      </c>
      <c r="I976" s="364">
        <f t="shared" si="361"/>
        <v>1556.4</v>
      </c>
      <c r="J976" s="364">
        <f t="shared" si="361"/>
        <v>1556.3999999999999</v>
      </c>
      <c r="K976" s="364">
        <f t="shared" si="361"/>
        <v>1282.5</v>
      </c>
      <c r="L976" s="364">
        <f t="shared" si="361"/>
        <v>1258.75</v>
      </c>
      <c r="M976" s="364">
        <f t="shared" si="361"/>
        <v>1258.75</v>
      </c>
      <c r="N976" s="364">
        <f t="shared" si="361"/>
        <v>1258.75</v>
      </c>
      <c r="O976" s="364">
        <f t="shared" si="361"/>
        <v>1258.75</v>
      </c>
      <c r="P976" s="364">
        <f t="shared" si="361"/>
        <v>1225.3599999999999</v>
      </c>
      <c r="Q976" s="364">
        <f t="shared" si="361"/>
        <v>1225.3599999999999</v>
      </c>
      <c r="R976" s="364">
        <f>SUM(F976:Q976)</f>
        <v>16510.38</v>
      </c>
    </row>
    <row r="977" spans="2:18" x14ac:dyDescent="0.2">
      <c r="B977" s="343" t="s">
        <v>828</v>
      </c>
      <c r="F977" s="364">
        <f t="shared" si="361"/>
        <v>84515928</v>
      </c>
      <c r="G977" s="364">
        <f t="shared" si="361"/>
        <v>70558094</v>
      </c>
      <c r="H977" s="364">
        <f t="shared" si="361"/>
        <v>71502002</v>
      </c>
      <c r="I977" s="364">
        <f t="shared" si="361"/>
        <v>58269259</v>
      </c>
      <c r="J977" s="364">
        <f t="shared" si="361"/>
        <v>43813226</v>
      </c>
      <c r="K977" s="364">
        <f t="shared" si="361"/>
        <v>31236254</v>
      </c>
      <c r="L977" s="364">
        <f t="shared" si="361"/>
        <v>23663288</v>
      </c>
      <c r="M977" s="364">
        <f t="shared" si="361"/>
        <v>22673482</v>
      </c>
      <c r="N977" s="364">
        <f t="shared" si="361"/>
        <v>27018504</v>
      </c>
      <c r="O977" s="364">
        <f t="shared" si="361"/>
        <v>47284070</v>
      </c>
      <c r="P977" s="364">
        <f t="shared" si="361"/>
        <v>79154618</v>
      </c>
      <c r="Q977" s="364">
        <f t="shared" si="361"/>
        <v>97605933</v>
      </c>
      <c r="R977" s="364">
        <f t="shared" ref="R977:R989" si="362">SUM(F977:Q977)</f>
        <v>657294658</v>
      </c>
    </row>
    <row r="978" spans="2:18" x14ac:dyDescent="0.2">
      <c r="B978" s="343" t="s">
        <v>829</v>
      </c>
      <c r="F978" s="364">
        <f t="shared" si="361"/>
        <v>805.82884999999999</v>
      </c>
      <c r="G978" s="364">
        <f t="shared" si="361"/>
        <v>946.04143999999997</v>
      </c>
      <c r="H978" s="364">
        <f t="shared" si="361"/>
        <v>1298.6503400000001</v>
      </c>
      <c r="I978" s="364">
        <f t="shared" si="361"/>
        <v>961.31375000000003</v>
      </c>
      <c r="J978" s="364">
        <f t="shared" si="361"/>
        <v>681.53009999999995</v>
      </c>
      <c r="K978" s="364">
        <f t="shared" si="361"/>
        <v>516.02566000000002</v>
      </c>
      <c r="L978" s="364">
        <f t="shared" si="361"/>
        <v>447.62882000000002</v>
      </c>
      <c r="M978" s="364">
        <f t="shared" si="361"/>
        <v>434.56267999999994</v>
      </c>
      <c r="N978" s="364">
        <f t="shared" si="361"/>
        <v>415.85191999999995</v>
      </c>
      <c r="O978" s="364">
        <f t="shared" si="361"/>
        <v>746.86079999999993</v>
      </c>
      <c r="P978" s="364">
        <f t="shared" si="361"/>
        <v>1016.89436</v>
      </c>
      <c r="Q978" s="364">
        <f t="shared" si="361"/>
        <v>1259.5064</v>
      </c>
      <c r="R978" s="364">
        <f t="shared" si="362"/>
        <v>9530.6951200000003</v>
      </c>
    </row>
    <row r="979" spans="2:18" x14ac:dyDescent="0.2">
      <c r="B979" s="346" t="s">
        <v>830</v>
      </c>
      <c r="F979" s="364">
        <f t="shared" si="361"/>
        <v>27028655.371639997</v>
      </c>
      <c r="G979" s="364">
        <f t="shared" si="361"/>
        <v>22385746.63885</v>
      </c>
      <c r="H979" s="364">
        <f t="shared" si="361"/>
        <v>22675816.635260001</v>
      </c>
      <c r="I979" s="364">
        <f t="shared" si="361"/>
        <v>18806853.852159999</v>
      </c>
      <c r="J979" s="364">
        <f t="shared" si="361"/>
        <v>14863707.802239999</v>
      </c>
      <c r="K979" s="364">
        <f t="shared" si="361"/>
        <v>11466856.148000002</v>
      </c>
      <c r="L979" s="364">
        <f t="shared" si="361"/>
        <v>9519142.3465599995</v>
      </c>
      <c r="M979" s="364">
        <f t="shared" si="361"/>
        <v>9355639.1632000003</v>
      </c>
      <c r="N979" s="364">
        <f t="shared" si="361"/>
        <v>10326442.737600002</v>
      </c>
      <c r="O979" s="364">
        <f t="shared" si="361"/>
        <v>15568111.857760001</v>
      </c>
      <c r="P979" s="364">
        <f t="shared" si="361"/>
        <v>24638866.835200001</v>
      </c>
      <c r="Q979" s="364">
        <f t="shared" si="361"/>
        <v>30900674.659199998</v>
      </c>
      <c r="R979" s="364">
        <f t="shared" si="362"/>
        <v>217536514.04767001</v>
      </c>
    </row>
    <row r="980" spans="2:18" x14ac:dyDescent="0.2">
      <c r="B980" s="343" t="s">
        <v>832</v>
      </c>
      <c r="F980" s="364">
        <f t="shared" si="361"/>
        <v>7472453.1482799994</v>
      </c>
      <c r="G980" s="364">
        <f t="shared" si="361"/>
        <v>6665078.6400899999</v>
      </c>
      <c r="H980" s="364">
        <f t="shared" si="361"/>
        <v>7068869.2286100006</v>
      </c>
      <c r="I980" s="364">
        <f t="shared" si="361"/>
        <v>6387178.8407999994</v>
      </c>
      <c r="J980" s="364">
        <f t="shared" si="361"/>
        <v>5833422.0474299993</v>
      </c>
      <c r="K980" s="364">
        <f t="shared" si="361"/>
        <v>4967745.0241100006</v>
      </c>
      <c r="L980" s="364">
        <f t="shared" si="361"/>
        <v>4457273.7235899996</v>
      </c>
      <c r="M980" s="364">
        <f t="shared" si="361"/>
        <v>4434809.2416099999</v>
      </c>
      <c r="N980" s="364">
        <f t="shared" si="361"/>
        <v>4630561.7734899996</v>
      </c>
      <c r="O980" s="364">
        <f t="shared" si="361"/>
        <v>5698893.4956199992</v>
      </c>
      <c r="P980" s="364">
        <f t="shared" si="361"/>
        <v>6746605.6622200003</v>
      </c>
      <c r="Q980" s="364">
        <f t="shared" si="361"/>
        <v>7426517.2859600009</v>
      </c>
      <c r="R980" s="364">
        <f t="shared" si="362"/>
        <v>71789408.111809984</v>
      </c>
    </row>
    <row r="981" spans="2:18" x14ac:dyDescent="0.2">
      <c r="B981" s="343" t="s">
        <v>836</v>
      </c>
      <c r="F981" s="364">
        <f t="shared" si="361"/>
        <v>9391.0000000000018</v>
      </c>
      <c r="G981" s="364">
        <f t="shared" si="361"/>
        <v>9391.0000000000018</v>
      </c>
      <c r="H981" s="364">
        <f t="shared" si="361"/>
        <v>9416.5000000000018</v>
      </c>
      <c r="I981" s="364">
        <f t="shared" si="361"/>
        <v>9391.0000000000018</v>
      </c>
      <c r="J981" s="364">
        <f t="shared" si="361"/>
        <v>9628.3000000000011</v>
      </c>
      <c r="K981" s="364">
        <f t="shared" si="361"/>
        <v>9509.0000000000018</v>
      </c>
      <c r="L981" s="364">
        <f t="shared" si="361"/>
        <v>9708.5000000000018</v>
      </c>
      <c r="M981" s="364">
        <f t="shared" si="361"/>
        <v>9824.3000000000011</v>
      </c>
      <c r="N981" s="364">
        <f t="shared" si="361"/>
        <v>9763.0000000000018</v>
      </c>
      <c r="O981" s="364">
        <f t="shared" si="361"/>
        <v>9763.0000000000018</v>
      </c>
      <c r="P981" s="364">
        <f t="shared" si="361"/>
        <v>9763.0000000000018</v>
      </c>
      <c r="Q981" s="364">
        <f t="shared" si="361"/>
        <v>9763.0000000000018</v>
      </c>
      <c r="R981" s="364">
        <f t="shared" si="362"/>
        <v>115311.60000000002</v>
      </c>
    </row>
    <row r="982" spans="2:18" x14ac:dyDescent="0.2">
      <c r="B982" s="343" t="s">
        <v>837</v>
      </c>
      <c r="F982" s="364">
        <f t="shared" si="361"/>
        <v>1431593.0192099998</v>
      </c>
      <c r="G982" s="364">
        <f t="shared" si="361"/>
        <v>1301568.1938199999</v>
      </c>
      <c r="H982" s="364">
        <f t="shared" si="361"/>
        <v>1438574.3158699998</v>
      </c>
      <c r="I982" s="364">
        <f t="shared" si="361"/>
        <v>1286391.85424</v>
      </c>
      <c r="J982" s="364">
        <f t="shared" si="361"/>
        <v>1120660.8988300001</v>
      </c>
      <c r="K982" s="364">
        <f t="shared" si="361"/>
        <v>899559.65477999998</v>
      </c>
      <c r="L982" s="364">
        <f t="shared" si="361"/>
        <v>778823.73959000001</v>
      </c>
      <c r="M982" s="364">
        <f t="shared" si="361"/>
        <v>788753.81331999996</v>
      </c>
      <c r="N982" s="364">
        <f t="shared" si="361"/>
        <v>830127.49846000015</v>
      </c>
      <c r="O982" s="364">
        <f t="shared" si="361"/>
        <v>1082966.8133400001</v>
      </c>
      <c r="P982" s="364">
        <f t="shared" si="361"/>
        <v>1308885.8506999998</v>
      </c>
      <c r="Q982" s="364">
        <f t="shared" si="361"/>
        <v>1399085.2405499998</v>
      </c>
      <c r="R982" s="364">
        <f t="shared" si="362"/>
        <v>13666990.892710002</v>
      </c>
    </row>
    <row r="983" spans="2:18" x14ac:dyDescent="0.2">
      <c r="B983" s="343" t="s">
        <v>839</v>
      </c>
      <c r="F983" s="364">
        <f t="shared" si="361"/>
        <v>1647291.0241000003</v>
      </c>
      <c r="G983" s="364">
        <f t="shared" si="361"/>
        <v>1411011.2904000003</v>
      </c>
      <c r="H983" s="364">
        <f t="shared" si="361"/>
        <v>1385379.7558000004</v>
      </c>
      <c r="I983" s="364">
        <f t="shared" si="361"/>
        <v>1159755.6160500001</v>
      </c>
      <c r="J983" s="364">
        <f t="shared" si="361"/>
        <v>975270.69959999993</v>
      </c>
      <c r="K983" s="364">
        <f t="shared" si="361"/>
        <v>686663.86104999995</v>
      </c>
      <c r="L983" s="364">
        <f t="shared" si="361"/>
        <v>431902.27204999997</v>
      </c>
      <c r="M983" s="364">
        <f t="shared" si="361"/>
        <v>391281.489</v>
      </c>
      <c r="N983" s="364">
        <f t="shared" si="361"/>
        <v>544681.64245000004</v>
      </c>
      <c r="O983" s="364">
        <f t="shared" si="361"/>
        <v>896771.24534999998</v>
      </c>
      <c r="P983" s="364">
        <f t="shared" si="361"/>
        <v>1342386.9851599999</v>
      </c>
      <c r="Q983" s="364">
        <f t="shared" si="361"/>
        <v>1522162.4170800003</v>
      </c>
      <c r="R983" s="364">
        <f t="shared" si="362"/>
        <v>12394558.298090002</v>
      </c>
    </row>
    <row r="984" spans="2:18" x14ac:dyDescent="0.2">
      <c r="B984" s="343" t="s">
        <v>841</v>
      </c>
      <c r="F984" s="364">
        <f t="shared" si="361"/>
        <v>2299214.3295100001</v>
      </c>
      <c r="G984" s="364">
        <f t="shared" si="361"/>
        <v>2133036.5474</v>
      </c>
      <c r="H984" s="364">
        <f t="shared" si="361"/>
        <v>2163074.2036300004</v>
      </c>
      <c r="I984" s="364">
        <f t="shared" si="361"/>
        <v>1974074.6869500005</v>
      </c>
      <c r="J984" s="364">
        <f t="shared" si="361"/>
        <v>1829148.9526400003</v>
      </c>
      <c r="K984" s="364">
        <f t="shared" si="361"/>
        <v>1517718.2180300003</v>
      </c>
      <c r="L984" s="364">
        <f t="shared" si="361"/>
        <v>1273022.9359100002</v>
      </c>
      <c r="M984" s="364">
        <f t="shared" si="361"/>
        <v>1204433.69771</v>
      </c>
      <c r="N984" s="364">
        <f t="shared" si="361"/>
        <v>1318150.9766000002</v>
      </c>
      <c r="O984" s="364">
        <f t="shared" si="361"/>
        <v>1796086.5176100002</v>
      </c>
      <c r="P984" s="364">
        <f t="shared" si="361"/>
        <v>2136280.6397000002</v>
      </c>
      <c r="Q984" s="364">
        <f t="shared" si="361"/>
        <v>2399249.4202000001</v>
      </c>
      <c r="R984" s="364">
        <f t="shared" si="362"/>
        <v>22043491.125890002</v>
      </c>
    </row>
    <row r="985" spans="2:18" x14ac:dyDescent="0.2">
      <c r="B985" s="32" t="s">
        <v>1184</v>
      </c>
      <c r="F985" s="364">
        <f t="shared" si="361"/>
        <v>81745.925350000005</v>
      </c>
      <c r="G985" s="364">
        <f t="shared" si="361"/>
        <v>79101.615980000002</v>
      </c>
      <c r="H985" s="364">
        <f t="shared" si="361"/>
        <v>82435.991970000017</v>
      </c>
      <c r="I985" s="364">
        <f t="shared" si="361"/>
        <v>81909.526000000013</v>
      </c>
      <c r="J985" s="364">
        <f t="shared" si="361"/>
        <v>78108.960080000004</v>
      </c>
      <c r="K985" s="364">
        <f t="shared" si="361"/>
        <v>78957.655039999998</v>
      </c>
      <c r="L985" s="364">
        <f t="shared" si="361"/>
        <v>93823.537319999989</v>
      </c>
      <c r="M985" s="364">
        <f t="shared" si="361"/>
        <v>94805.548820000011</v>
      </c>
      <c r="N985" s="364">
        <f t="shared" si="361"/>
        <v>97462.175090000004</v>
      </c>
      <c r="O985" s="364">
        <f t="shared" si="361"/>
        <v>105332.47352000001</v>
      </c>
      <c r="P985" s="364">
        <f t="shared" si="361"/>
        <v>127134.42008000003</v>
      </c>
      <c r="Q985" s="364">
        <f t="shared" si="361"/>
        <v>148508.13256</v>
      </c>
      <c r="R985" s="364">
        <f t="shared" si="362"/>
        <v>1149325.96181</v>
      </c>
    </row>
    <row r="986" spans="2:18" x14ac:dyDescent="0.2">
      <c r="B986" s="32" t="s">
        <v>1185</v>
      </c>
      <c r="F986" s="364">
        <f>F951+F968</f>
        <v>534230.00574000005</v>
      </c>
      <c r="G986" s="364">
        <f t="shared" si="361"/>
        <v>526665.26860000007</v>
      </c>
      <c r="H986" s="364">
        <f t="shared" si="361"/>
        <v>580805.01470000006</v>
      </c>
      <c r="I986" s="364">
        <f t="shared" si="361"/>
        <v>763450.12389000005</v>
      </c>
      <c r="J986" s="364">
        <f t="shared" si="361"/>
        <v>688854.92426999996</v>
      </c>
      <c r="K986" s="364">
        <f t="shared" si="361"/>
        <v>590052.56180000002</v>
      </c>
      <c r="L986" s="364">
        <f t="shared" si="361"/>
        <v>548032.02373999998</v>
      </c>
      <c r="M986" s="364">
        <f t="shared" si="361"/>
        <v>546781.00615999999</v>
      </c>
      <c r="N986" s="364">
        <f t="shared" si="361"/>
        <v>551397.42083000008</v>
      </c>
      <c r="O986" s="364">
        <f t="shared" si="361"/>
        <v>554803.43170000007</v>
      </c>
      <c r="P986" s="364">
        <f t="shared" si="361"/>
        <v>562581.07813000004</v>
      </c>
      <c r="Q986" s="364">
        <f t="shared" si="361"/>
        <v>536633.42272000003</v>
      </c>
      <c r="R986" s="364">
        <f t="shared" si="362"/>
        <v>6984286.2822800009</v>
      </c>
    </row>
    <row r="987" spans="2:18" x14ac:dyDescent="0.2">
      <c r="B987" s="338" t="s">
        <v>1186</v>
      </c>
      <c r="F987" s="364">
        <f>F952+F969</f>
        <v>0</v>
      </c>
      <c r="G987" s="364">
        <f t="shared" si="361"/>
        <v>0</v>
      </c>
      <c r="H987" s="364">
        <f t="shared" si="361"/>
        <v>0</v>
      </c>
      <c r="I987" s="364">
        <f t="shared" si="361"/>
        <v>0</v>
      </c>
      <c r="J987" s="364">
        <f t="shared" si="361"/>
        <v>0</v>
      </c>
      <c r="K987" s="364">
        <f t="shared" si="361"/>
        <v>443.45</v>
      </c>
      <c r="L987" s="364">
        <f t="shared" si="361"/>
        <v>443.45</v>
      </c>
      <c r="M987" s="364">
        <f t="shared" si="361"/>
        <v>807.7124</v>
      </c>
      <c r="N987" s="364">
        <f t="shared" si="361"/>
        <v>1862.2364000000002</v>
      </c>
      <c r="O987" s="364">
        <f t="shared" si="361"/>
        <v>1655.9444000000001</v>
      </c>
      <c r="P987" s="364">
        <f t="shared" si="361"/>
        <v>634.99069999999995</v>
      </c>
      <c r="Q987" s="364">
        <f t="shared" si="361"/>
        <v>482.63330000000002</v>
      </c>
      <c r="R987" s="364">
        <f t="shared" si="362"/>
        <v>6330.4172000000008</v>
      </c>
    </row>
    <row r="988" spans="2:18" x14ac:dyDescent="0.2">
      <c r="B988" s="32" t="s">
        <v>1187</v>
      </c>
      <c r="F988" s="364">
        <f t="shared" ref="F988:Q989" si="363">F953+F970</f>
        <v>346530.48177000001</v>
      </c>
      <c r="G988" s="364">
        <f t="shared" si="363"/>
        <v>309389.48879000003</v>
      </c>
      <c r="H988" s="364">
        <f t="shared" si="363"/>
        <v>337952.32381999999</v>
      </c>
      <c r="I988" s="364">
        <f t="shared" si="363"/>
        <v>339613.47752999997</v>
      </c>
      <c r="J988" s="364">
        <f t="shared" si="363"/>
        <v>384924.29988999997</v>
      </c>
      <c r="K988" s="364">
        <f t="shared" si="363"/>
        <v>327851.72025999997</v>
      </c>
      <c r="L988" s="364">
        <f t="shared" si="363"/>
        <v>371543.42099999997</v>
      </c>
      <c r="M988" s="364">
        <f t="shared" si="363"/>
        <v>350076.25526000001</v>
      </c>
      <c r="N988" s="364">
        <f t="shared" si="363"/>
        <v>331285.87760999997</v>
      </c>
      <c r="O988" s="364">
        <f t="shared" si="363"/>
        <v>334885.63246999995</v>
      </c>
      <c r="P988" s="364">
        <f t="shared" si="363"/>
        <v>315608.19679999998</v>
      </c>
      <c r="Q988" s="364">
        <f t="shared" si="363"/>
        <v>315935.45724000002</v>
      </c>
      <c r="R988" s="364">
        <f t="shared" si="362"/>
        <v>4065596.6324399998</v>
      </c>
    </row>
    <row r="989" spans="2:18" x14ac:dyDescent="0.2">
      <c r="B989" s="343" t="s">
        <v>844</v>
      </c>
      <c r="F989" s="364">
        <f t="shared" si="363"/>
        <v>138038.71372</v>
      </c>
      <c r="G989" s="364">
        <f t="shared" si="363"/>
        <v>135104.57798</v>
      </c>
      <c r="H989" s="364">
        <f t="shared" si="363"/>
        <v>138658.10126999998</v>
      </c>
      <c r="I989" s="364">
        <f t="shared" si="363"/>
        <v>132772.01869</v>
      </c>
      <c r="J989" s="364">
        <f t="shared" si="363"/>
        <v>126532.70519000001</v>
      </c>
      <c r="K989" s="364">
        <f t="shared" si="363"/>
        <v>123236.08813</v>
      </c>
      <c r="L989" s="364">
        <f t="shared" si="363"/>
        <v>120042.19259999999</v>
      </c>
      <c r="M989" s="364">
        <f t="shared" si="363"/>
        <v>118730.64383</v>
      </c>
      <c r="N989" s="364">
        <f t="shared" si="363"/>
        <v>120351.65416999999</v>
      </c>
      <c r="O989" s="364">
        <f t="shared" si="363"/>
        <v>135276.70224000001</v>
      </c>
      <c r="P989" s="364">
        <f t="shared" si="363"/>
        <v>151959.92145000002</v>
      </c>
      <c r="Q989" s="364">
        <f t="shared" si="363"/>
        <v>153029.35573000001</v>
      </c>
      <c r="R989" s="364">
        <f t="shared" si="362"/>
        <v>1593732.675</v>
      </c>
    </row>
    <row r="990" spans="2:18" x14ac:dyDescent="0.2">
      <c r="B990" s="343" t="s">
        <v>1191</v>
      </c>
      <c r="F990" s="365">
        <f t="shared" ref="F990:N990" si="364">SUM(F976:F989)</f>
        <v>125507419.96816999</v>
      </c>
      <c r="G990" s="365">
        <f t="shared" si="364"/>
        <v>105516676.42335001</v>
      </c>
      <c r="H990" s="365">
        <f t="shared" si="364"/>
        <v>107385825.84127</v>
      </c>
      <c r="I990" s="365">
        <f t="shared" si="364"/>
        <v>89213167.71006</v>
      </c>
      <c r="J990" s="365">
        <f t="shared" si="364"/>
        <v>69725723.52026999</v>
      </c>
      <c r="K990" s="365">
        <f t="shared" si="364"/>
        <v>51906645.906860009</v>
      </c>
      <c r="L990" s="365">
        <f t="shared" si="364"/>
        <v>41268752.521179996</v>
      </c>
      <c r="M990" s="365">
        <f t="shared" si="364"/>
        <v>39971118.183989987</v>
      </c>
      <c r="N990" s="365">
        <f t="shared" si="364"/>
        <v>45782265.594619997</v>
      </c>
      <c r="O990" s="365">
        <f>SUM(O976:O989)</f>
        <v>73470622.724809989</v>
      </c>
      <c r="P990" s="365">
        <f>SUM(P976:P989)</f>
        <v>116497567.83450001</v>
      </c>
      <c r="Q990" s="365">
        <f>SUM(Q976:Q989)</f>
        <v>142420458.89094001</v>
      </c>
      <c r="R990" s="365">
        <f>SUM(R976:R989)</f>
        <v>1008666245.1200198</v>
      </c>
    </row>
    <row r="991" spans="2:18" s="336" customFormat="1" x14ac:dyDescent="0.2">
      <c r="B991" s="336" t="s">
        <v>131</v>
      </c>
      <c r="F991" s="418">
        <f t="shared" ref="F991:R991" si="365">F990-F955-F972</f>
        <v>0</v>
      </c>
      <c r="G991" s="418">
        <f t="shared" si="365"/>
        <v>0</v>
      </c>
      <c r="H991" s="418">
        <f t="shared" si="365"/>
        <v>0</v>
      </c>
      <c r="I991" s="418">
        <f t="shared" si="365"/>
        <v>0</v>
      </c>
      <c r="J991" s="418">
        <f t="shared" si="365"/>
        <v>0</v>
      </c>
      <c r="K991" s="418">
        <f t="shared" si="365"/>
        <v>0</v>
      </c>
      <c r="L991" s="418">
        <f t="shared" si="365"/>
        <v>0</v>
      </c>
      <c r="M991" s="418">
        <f t="shared" si="365"/>
        <v>0</v>
      </c>
      <c r="N991" s="418">
        <f t="shared" si="365"/>
        <v>0</v>
      </c>
      <c r="O991" s="418">
        <f t="shared" si="365"/>
        <v>0</v>
      </c>
      <c r="P991" s="418">
        <f t="shared" si="365"/>
        <v>0</v>
      </c>
      <c r="Q991" s="418">
        <f t="shared" si="365"/>
        <v>0</v>
      </c>
      <c r="R991" s="418">
        <f t="shared" si="365"/>
        <v>0</v>
      </c>
    </row>
    <row r="992" spans="2:18" x14ac:dyDescent="0.2">
      <c r="B992" s="32" t="s">
        <v>131</v>
      </c>
      <c r="F992" s="364">
        <f>F990-SUM(F933:F935)</f>
        <v>0</v>
      </c>
      <c r="G992" s="364">
        <f t="shared" ref="G992:R992" si="366">G990-SUM(G933:G935)</f>
        <v>0</v>
      </c>
      <c r="H992" s="364">
        <f t="shared" si="366"/>
        <v>0</v>
      </c>
      <c r="I992" s="364">
        <f t="shared" si="366"/>
        <v>0</v>
      </c>
      <c r="J992" s="364">
        <f t="shared" si="366"/>
        <v>0</v>
      </c>
      <c r="K992" s="364">
        <f t="shared" si="366"/>
        <v>0</v>
      </c>
      <c r="L992" s="364">
        <f t="shared" si="366"/>
        <v>0</v>
      </c>
      <c r="M992" s="364">
        <f t="shared" si="366"/>
        <v>0</v>
      </c>
      <c r="N992" s="364">
        <f t="shared" si="366"/>
        <v>0</v>
      </c>
      <c r="O992" s="364">
        <f t="shared" si="366"/>
        <v>0</v>
      </c>
      <c r="P992" s="364">
        <f t="shared" si="366"/>
        <v>0</v>
      </c>
      <c r="Q992" s="364">
        <f t="shared" si="366"/>
        <v>0</v>
      </c>
      <c r="R992" s="364">
        <f t="shared" si="366"/>
        <v>0</v>
      </c>
    </row>
    <row r="993" spans="2:18" ht="13.5" thickBot="1" x14ac:dyDescent="0.25"/>
    <row r="994" spans="2:18" x14ac:dyDescent="0.2">
      <c r="B994" s="401" t="s">
        <v>1192</v>
      </c>
      <c r="C994" s="402"/>
      <c r="D994" s="402"/>
      <c r="E994" s="402"/>
      <c r="F994" s="489">
        <f>'JKP-3.1c - Therms Data'!E103</f>
        <v>128745037</v>
      </c>
      <c r="G994" s="489">
        <f>'JKP-3.1c - Therms Data'!F103</f>
        <v>107438064</v>
      </c>
      <c r="H994" s="489">
        <f>'JKP-3.1c - Therms Data'!G103</f>
        <v>111751312</v>
      </c>
      <c r="I994" s="489">
        <f>'JKP-3.1c - Therms Data'!H103</f>
        <v>92608599</v>
      </c>
      <c r="J994" s="489">
        <f>'JKP-3.1c - Therms Data'!I103</f>
        <v>74871801</v>
      </c>
      <c r="K994" s="489">
        <f>'JKP-3.1c - Therms Data'!J103</f>
        <v>56233148</v>
      </c>
      <c r="L994" s="489">
        <f>'JKP-3.1c - Therms Data'!K103</f>
        <v>45903282</v>
      </c>
      <c r="M994" s="489">
        <f>'JKP-3.1c - Therms Data'!L103</f>
        <v>44931622</v>
      </c>
      <c r="N994" s="489">
        <f>'JKP-3.1c - Therms Data'!M103</f>
        <v>49140650</v>
      </c>
      <c r="O994" s="489">
        <f>'JKP-3.1c - Therms Data'!N103</f>
        <v>77063218</v>
      </c>
      <c r="P994" s="489">
        <f>'JKP-3.1c - Therms Data'!O103</f>
        <v>121261601</v>
      </c>
      <c r="Q994" s="489">
        <f>'JKP-3.1c - Therms Data'!P103</f>
        <v>146682209</v>
      </c>
      <c r="R994" s="490">
        <f>SUM(F994:Q994)</f>
        <v>1056630543</v>
      </c>
    </row>
    <row r="995" spans="2:18" x14ac:dyDescent="0.2">
      <c r="B995" s="405" t="s">
        <v>131</v>
      </c>
      <c r="C995" s="390"/>
      <c r="D995" s="390"/>
      <c r="E995" s="390"/>
      <c r="F995" s="412">
        <f t="shared" ref="F995:N995" si="367">F877-F994</f>
        <v>0</v>
      </c>
      <c r="G995" s="412">
        <f t="shared" si="367"/>
        <v>0</v>
      </c>
      <c r="H995" s="412">
        <f t="shared" si="367"/>
        <v>0</v>
      </c>
      <c r="I995" s="412">
        <f t="shared" si="367"/>
        <v>0</v>
      </c>
      <c r="J995" s="412">
        <f t="shared" si="367"/>
        <v>0</v>
      </c>
      <c r="K995" s="412">
        <f t="shared" si="367"/>
        <v>0</v>
      </c>
      <c r="L995" s="412">
        <f t="shared" si="367"/>
        <v>0</v>
      </c>
      <c r="M995" s="412">
        <f t="shared" si="367"/>
        <v>0</v>
      </c>
      <c r="N995" s="412">
        <f t="shared" si="367"/>
        <v>0</v>
      </c>
      <c r="O995" s="412">
        <f>O877-O994</f>
        <v>0</v>
      </c>
      <c r="P995" s="412">
        <f>P877-P994</f>
        <v>0</v>
      </c>
      <c r="Q995" s="412">
        <f>Q877-Q994</f>
        <v>0</v>
      </c>
      <c r="R995" s="491">
        <f>R877-R994</f>
        <v>0</v>
      </c>
    </row>
    <row r="996" spans="2:18" x14ac:dyDescent="0.2">
      <c r="B996" s="405"/>
      <c r="C996" s="390"/>
      <c r="D996" s="390"/>
      <c r="E996" s="390"/>
      <c r="F996" s="412"/>
      <c r="G996" s="412"/>
      <c r="H996" s="412"/>
      <c r="I996" s="412"/>
      <c r="J996" s="412"/>
      <c r="K996" s="412"/>
      <c r="L996" s="412"/>
      <c r="M996" s="412"/>
      <c r="N996" s="412"/>
      <c r="O996" s="412"/>
      <c r="P996" s="412"/>
      <c r="Q996" s="412"/>
      <c r="R996" s="491"/>
    </row>
    <row r="997" spans="2:18" x14ac:dyDescent="0.2">
      <c r="B997" s="492" t="s">
        <v>1193</v>
      </c>
      <c r="C997" s="390"/>
      <c r="D997" s="390"/>
      <c r="E997" s="390"/>
      <c r="F997" s="406">
        <f>'JKP-3.1c - Data'!C158</f>
        <v>757684</v>
      </c>
      <c r="G997" s="406">
        <f>'JKP-3.1c - Data'!D158</f>
        <v>758885</v>
      </c>
      <c r="H997" s="406">
        <f>'JKP-3.1c - Data'!E158</f>
        <v>759873</v>
      </c>
      <c r="I997" s="406">
        <f>'JKP-3.1c - Data'!F158</f>
        <v>760124.03</v>
      </c>
      <c r="J997" s="406">
        <f>'JKP-3.1c - Data'!G158</f>
        <v>760670</v>
      </c>
      <c r="K997" s="406">
        <f>'JKP-3.1c - Data'!H158</f>
        <v>761724</v>
      </c>
      <c r="L997" s="406">
        <f>'JKP-3.1c - Data'!I158</f>
        <v>762056</v>
      </c>
      <c r="M997" s="406">
        <f>'JKP-3.1c - Data'!J158</f>
        <v>761195</v>
      </c>
      <c r="N997" s="406">
        <f>'JKP-3.1c - Data'!K158</f>
        <v>762357</v>
      </c>
      <c r="O997" s="406">
        <f>'JKP-3.1c - Data'!L158</f>
        <v>761431</v>
      </c>
      <c r="P997" s="406">
        <f>'JKP-3.1c - Data'!M158</f>
        <v>761918</v>
      </c>
      <c r="Q997" s="406">
        <f>'JKP-3.1c - Data'!N158</f>
        <v>762413</v>
      </c>
      <c r="R997" s="491">
        <f>SUM(F997:Q997)</f>
        <v>9130330.0300000012</v>
      </c>
    </row>
    <row r="998" spans="2:18" x14ac:dyDescent="0.2">
      <c r="B998" s="492" t="s">
        <v>131</v>
      </c>
      <c r="C998" s="390"/>
      <c r="D998" s="390"/>
      <c r="E998" s="390"/>
      <c r="F998" s="412">
        <f t="shared" ref="F998:N998" si="368">F832-F997</f>
        <v>0</v>
      </c>
      <c r="G998" s="412">
        <f t="shared" si="368"/>
        <v>0</v>
      </c>
      <c r="H998" s="412">
        <f t="shared" si="368"/>
        <v>0</v>
      </c>
      <c r="I998" s="412">
        <f t="shared" si="368"/>
        <v>0</v>
      </c>
      <c r="J998" s="412">
        <f t="shared" si="368"/>
        <v>0</v>
      </c>
      <c r="K998" s="412">
        <f t="shared" si="368"/>
        <v>0</v>
      </c>
      <c r="L998" s="412">
        <f t="shared" si="368"/>
        <v>0</v>
      </c>
      <c r="M998" s="412">
        <f t="shared" si="368"/>
        <v>0</v>
      </c>
      <c r="N998" s="412">
        <f t="shared" si="368"/>
        <v>0</v>
      </c>
      <c r="O998" s="412">
        <f>O832-O997</f>
        <v>0</v>
      </c>
      <c r="P998" s="412">
        <f>P832-P997</f>
        <v>0</v>
      </c>
      <c r="Q998" s="412">
        <f>Q832-Q997</f>
        <v>0</v>
      </c>
      <c r="R998" s="491">
        <f>R832-R997</f>
        <v>0</v>
      </c>
    </row>
    <row r="999" spans="2:18" x14ac:dyDescent="0.2">
      <c r="B999" s="492"/>
      <c r="C999" s="390"/>
      <c r="D999" s="390"/>
      <c r="E999" s="390"/>
      <c r="F999" s="412"/>
      <c r="G999" s="412"/>
      <c r="H999" s="412"/>
      <c r="I999" s="412"/>
      <c r="J999" s="412"/>
      <c r="K999" s="412"/>
      <c r="L999" s="412"/>
      <c r="M999" s="412"/>
      <c r="N999" s="412"/>
      <c r="O999" s="412"/>
      <c r="P999" s="412"/>
      <c r="Q999" s="412"/>
      <c r="R999" s="491"/>
    </row>
    <row r="1000" spans="2:18" x14ac:dyDescent="0.2">
      <c r="B1000" s="492" t="s">
        <v>1194</v>
      </c>
      <c r="C1000" s="390"/>
      <c r="D1000" s="390"/>
      <c r="E1000" s="390"/>
      <c r="F1000" s="406">
        <f>'JKP-3.1c - Data'!C178</f>
        <v>585396.33000000007</v>
      </c>
      <c r="G1000" s="406">
        <f>'JKP-3.1c - Data'!D178</f>
        <v>585521.33000000007</v>
      </c>
      <c r="H1000" s="406">
        <f>'JKP-3.1c - Data'!E178</f>
        <v>580796.33000000007</v>
      </c>
      <c r="I1000" s="406">
        <f>'JKP-3.1c - Data'!F178</f>
        <v>581357.35</v>
      </c>
      <c r="J1000" s="406">
        <f>'JKP-3.1c - Data'!G178</f>
        <v>578333.31999999995</v>
      </c>
      <c r="K1000" s="406">
        <f>'JKP-3.1c - Data'!H178</f>
        <v>582867.33000000007</v>
      </c>
      <c r="L1000" s="406">
        <f>'JKP-3.1c - Data'!I178</f>
        <v>587397.64</v>
      </c>
      <c r="M1000" s="406">
        <f>'JKP-3.1c - Data'!J178</f>
        <v>583485</v>
      </c>
      <c r="N1000" s="406">
        <f>'JKP-3.1c - Data'!K178</f>
        <v>583414</v>
      </c>
      <c r="O1000" s="406">
        <f>'JKP-3.1c - Data'!L178</f>
        <v>575686</v>
      </c>
      <c r="P1000" s="406">
        <f>'JKP-3.1c - Data'!M178</f>
        <v>574594</v>
      </c>
      <c r="Q1000" s="406">
        <f>'JKP-3.1c - Data'!N178</f>
        <v>576081</v>
      </c>
      <c r="R1000" s="491">
        <f>SUM(F1000:Q1000)</f>
        <v>6974929.6300000008</v>
      </c>
    </row>
    <row r="1001" spans="2:18" x14ac:dyDescent="0.2">
      <c r="B1001" s="492" t="s">
        <v>131</v>
      </c>
      <c r="C1001" s="390"/>
      <c r="D1001" s="390"/>
      <c r="E1001" s="390"/>
      <c r="F1001" s="412">
        <f>F916-F1000-SUM(F897:F899)</f>
        <v>-1.1641532182693481E-10</v>
      </c>
      <c r="G1001" s="412">
        <f t="shared" ref="G1001:R1001" si="369">G916-G1000-SUM(G897:G899)</f>
        <v>-1.1641532182693481E-10</v>
      </c>
      <c r="H1001" s="412">
        <f t="shared" si="369"/>
        <v>-1.1641532182693481E-10</v>
      </c>
      <c r="I1001" s="412">
        <f t="shared" si="369"/>
        <v>0</v>
      </c>
      <c r="J1001" s="412">
        <f t="shared" si="369"/>
        <v>0</v>
      </c>
      <c r="K1001" s="412">
        <f t="shared" si="369"/>
        <v>0</v>
      </c>
      <c r="L1001" s="412">
        <f t="shared" si="369"/>
        <v>0</v>
      </c>
      <c r="M1001" s="412">
        <f t="shared" si="369"/>
        <v>0</v>
      </c>
      <c r="N1001" s="412">
        <f t="shared" si="369"/>
        <v>0</v>
      </c>
      <c r="O1001" s="412">
        <f t="shared" si="369"/>
        <v>0</v>
      </c>
      <c r="P1001" s="412">
        <f t="shared" si="369"/>
        <v>0</v>
      </c>
      <c r="Q1001" s="412">
        <f t="shared" si="369"/>
        <v>0</v>
      </c>
      <c r="R1001" s="491">
        <f t="shared" si="369"/>
        <v>0</v>
      </c>
    </row>
    <row r="1002" spans="2:18" ht="13.5" thickBot="1" x14ac:dyDescent="0.25">
      <c r="B1002" s="493"/>
      <c r="C1002" s="409"/>
      <c r="D1002" s="409"/>
      <c r="E1002" s="409"/>
      <c r="F1002" s="410"/>
      <c r="G1002" s="410"/>
      <c r="H1002" s="410"/>
      <c r="I1002" s="410"/>
      <c r="J1002" s="410"/>
      <c r="K1002" s="410"/>
      <c r="L1002" s="410"/>
      <c r="M1002" s="410"/>
      <c r="N1002" s="410"/>
      <c r="O1002" s="410"/>
      <c r="P1002" s="410"/>
      <c r="Q1002" s="410"/>
      <c r="R1002" s="411"/>
    </row>
    <row r="1003" spans="2:18" x14ac:dyDescent="0.2">
      <c r="B1003" s="415"/>
      <c r="C1003" s="390"/>
      <c r="D1003" s="390"/>
      <c r="E1003" s="390"/>
      <c r="F1003" s="412"/>
      <c r="G1003" s="412"/>
      <c r="H1003" s="412"/>
      <c r="I1003" s="412"/>
      <c r="J1003" s="412"/>
      <c r="K1003" s="412"/>
      <c r="L1003" s="412"/>
      <c r="M1003" s="412"/>
      <c r="N1003" s="412"/>
      <c r="O1003" s="412"/>
      <c r="P1003" s="412"/>
      <c r="Q1003" s="412"/>
    </row>
    <row r="1005" spans="2:18" s="336" customFormat="1" ht="25.5" customHeight="1" x14ac:dyDescent="0.2">
      <c r="B1005" s="1868"/>
      <c r="C1005" s="1868"/>
      <c r="D1005" s="1868"/>
      <c r="E1005" s="1868"/>
      <c r="F1005" s="1868"/>
      <c r="G1005" s="1868"/>
      <c r="H1005" s="1868"/>
      <c r="I1005" s="1868"/>
      <c r="J1005" s="1868"/>
      <c r="K1005" s="1868"/>
      <c r="L1005" s="1868"/>
      <c r="M1005" s="1868"/>
      <c r="N1005" s="1868"/>
      <c r="O1005" s="1868"/>
      <c r="P1005" s="1868"/>
      <c r="Q1005" s="1868"/>
    </row>
  </sheetData>
  <mergeCells count="1">
    <mergeCell ref="B1005:Q1005"/>
  </mergeCells>
  <pageMargins left="0.7" right="0.7" top="0.75" bottom="0.75" header="0.3" footer="0.3"/>
  <pageSetup orientation="portrait" r:id="rId1"/>
  <rowBreaks count="19" manualBreakCount="19">
    <brk id="54" max="16383" man="1"/>
    <brk id="82" max="16383" man="1"/>
    <brk id="143" min="1" max="17" man="1"/>
    <brk id="179" min="1" max="17" man="1"/>
    <brk id="214" min="1" max="17" man="1"/>
    <brk id="258" min="1" max="17" man="1"/>
    <brk id="314" max="16383" man="1"/>
    <brk id="356" max="16383" man="1"/>
    <brk id="410" max="16383" man="1"/>
    <brk id="471" min="1" max="17" man="1"/>
    <brk id="507" min="1" max="17" man="1"/>
    <brk id="574" min="1" max="17" man="1"/>
    <brk id="618" max="16383" man="1"/>
    <brk id="673" max="16383" man="1"/>
    <brk id="715" max="16383" man="1"/>
    <brk id="769" max="16383" man="1"/>
    <brk id="806" max="16383" man="1"/>
    <brk id="865" max="16383" man="1"/>
    <brk id="931" min="1" max="17"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994"/>
  <sheetViews>
    <sheetView topLeftCell="A53" workbookViewId="0">
      <selection activeCell="C35" sqref="C35"/>
    </sheetView>
  </sheetViews>
  <sheetFormatPr defaultRowHeight="12.75" x14ac:dyDescent="0.2"/>
  <cols>
    <col min="1" max="1" width="7.5703125" style="32" bestFit="1" customWidth="1"/>
    <col min="2" max="2" width="1.42578125" style="32" customWidth="1"/>
    <col min="3" max="3" width="24" style="32" customWidth="1"/>
    <col min="4" max="4" width="7.85546875" style="32" customWidth="1"/>
    <col min="5" max="5" width="10" style="32" customWidth="1"/>
    <col min="6" max="6" width="13.42578125" style="32" bestFit="1" customWidth="1"/>
    <col min="7" max="7" width="14.28515625" style="32" bestFit="1" customWidth="1"/>
    <col min="8" max="8" width="14" style="32" bestFit="1" customWidth="1"/>
    <col min="9" max="9" width="13.42578125" style="32" bestFit="1" customWidth="1"/>
    <col min="10" max="10" width="14.140625" style="32" bestFit="1" customWidth="1"/>
    <col min="11" max="11" width="14.85546875" style="32" bestFit="1" customWidth="1"/>
    <col min="12" max="12" width="13.5703125" style="32" bestFit="1" customWidth="1"/>
    <col min="13" max="13" width="13.42578125" style="32" customWidth="1"/>
    <col min="14" max="16" width="13.5703125" style="32" bestFit="1" customWidth="1"/>
    <col min="17" max="17" width="13.7109375" style="32" bestFit="1" customWidth="1"/>
    <col min="18" max="19" width="15" style="32" bestFit="1" customWidth="1"/>
    <col min="20" max="16384" width="9.140625" style="32"/>
  </cols>
  <sheetData>
    <row r="1" spans="1:18" x14ac:dyDescent="0.2">
      <c r="B1" s="385" t="str">
        <f>'JKP-3.1c - Revenue'!$B$1</f>
        <v>Puget Sound Energy</v>
      </c>
      <c r="C1" s="386"/>
      <c r="D1" s="387"/>
      <c r="E1" s="387"/>
      <c r="F1" s="387"/>
      <c r="G1" s="386"/>
      <c r="H1" s="386"/>
      <c r="I1" s="386"/>
      <c r="J1" s="386"/>
      <c r="K1" s="386"/>
      <c r="L1" s="386"/>
      <c r="M1" s="386"/>
      <c r="N1" s="386"/>
      <c r="O1" s="386"/>
      <c r="P1" s="386"/>
      <c r="Q1" s="386"/>
      <c r="R1" s="386"/>
    </row>
    <row r="2" spans="1:18" x14ac:dyDescent="0.2">
      <c r="B2" s="385" t="str">
        <f>'JKP-3.1c - Revenue'!$B$2</f>
        <v>2011 General Rate Case - Gas</v>
      </c>
      <c r="C2" s="386"/>
      <c r="D2" s="386"/>
      <c r="E2" s="386"/>
      <c r="F2" s="388"/>
      <c r="G2" s="386"/>
      <c r="H2" s="386"/>
      <c r="I2" s="386"/>
      <c r="J2" s="386"/>
      <c r="K2" s="386"/>
      <c r="L2" s="386"/>
      <c r="M2" s="386"/>
      <c r="N2" s="386"/>
      <c r="O2" s="386"/>
      <c r="P2" s="386"/>
      <c r="Q2" s="386"/>
      <c r="R2" s="386"/>
    </row>
    <row r="3" spans="1:18" x14ac:dyDescent="0.2">
      <c r="B3" s="386" t="s">
        <v>1195</v>
      </c>
      <c r="C3" s="386"/>
      <c r="D3" s="386"/>
      <c r="E3" s="386"/>
      <c r="F3" s="389"/>
      <c r="G3" s="389"/>
      <c r="H3" s="388"/>
      <c r="I3" s="389"/>
      <c r="J3" s="389"/>
      <c r="K3" s="389"/>
      <c r="L3" s="389"/>
      <c r="M3" s="389"/>
      <c r="N3" s="389"/>
      <c r="O3" s="389"/>
      <c r="P3" s="389"/>
      <c r="Q3" s="389"/>
      <c r="R3" s="386"/>
    </row>
    <row r="4" spans="1:18"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1:18" s="336" customFormat="1" x14ac:dyDescent="0.2">
      <c r="B5" s="431"/>
      <c r="C5" s="387"/>
      <c r="D5" s="387"/>
      <c r="E5" s="387"/>
      <c r="F5" s="32"/>
      <c r="G5" s="32"/>
      <c r="H5" s="32"/>
      <c r="I5" s="32"/>
      <c r="J5" s="32"/>
      <c r="K5" s="32"/>
      <c r="L5" s="32"/>
      <c r="M5" s="32"/>
      <c r="N5" s="32"/>
      <c r="O5" s="32"/>
      <c r="P5" s="32"/>
      <c r="Q5" s="32"/>
      <c r="R5" s="276"/>
    </row>
    <row r="6" spans="1:18" x14ac:dyDescent="0.2">
      <c r="A6" s="432" t="s">
        <v>445</v>
      </c>
      <c r="B6" s="433" t="s">
        <v>3</v>
      </c>
      <c r="C6" s="433"/>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row>
    <row r="7" spans="1:18" x14ac:dyDescent="0.2">
      <c r="B7" s="276" t="s">
        <v>1046</v>
      </c>
      <c r="C7" s="276"/>
    </row>
    <row r="8" spans="1:18" s="336" customFormat="1" x14ac:dyDescent="0.2">
      <c r="B8" s="182" t="s">
        <v>5</v>
      </c>
      <c r="C8" s="182"/>
    </row>
    <row r="9" spans="1:18" s="415" customFormat="1" x14ac:dyDescent="0.2">
      <c r="B9" s="415" t="s">
        <v>1047</v>
      </c>
      <c r="D9" s="415">
        <v>16</v>
      </c>
      <c r="E9" s="32" t="s">
        <v>1048</v>
      </c>
      <c r="F9" s="434">
        <v>9.4499999999999993</v>
      </c>
      <c r="G9" s="434">
        <v>9.4499999999999993</v>
      </c>
      <c r="H9" s="434">
        <v>9.4499999999999993</v>
      </c>
      <c r="I9" s="434">
        <v>9.4499999999999993</v>
      </c>
      <c r="J9" s="434">
        <v>9.4499999999999993</v>
      </c>
      <c r="K9" s="434">
        <v>9.4499999999999993</v>
      </c>
      <c r="L9" s="434">
        <v>9.4499999999999993</v>
      </c>
      <c r="M9" s="434">
        <v>9.4499999999999993</v>
      </c>
      <c r="N9" s="434">
        <v>9.4499999999999993</v>
      </c>
      <c r="O9" s="434">
        <v>9.4499999999999993</v>
      </c>
      <c r="P9" s="434">
        <v>9.4499999999999993</v>
      </c>
      <c r="Q9" s="434">
        <v>9.4499999999999993</v>
      </c>
      <c r="R9" s="435"/>
    </row>
    <row r="10" spans="1:18" s="415" customFormat="1" x14ac:dyDescent="0.2">
      <c r="B10" s="415" t="s">
        <v>1049</v>
      </c>
      <c r="D10" s="32">
        <v>101</v>
      </c>
      <c r="E10" s="32" t="s">
        <v>1048</v>
      </c>
      <c r="F10" s="494">
        <f>'JKP-3.1c - Rev Actual Rates'!F13</f>
        <v>14.3</v>
      </c>
      <c r="G10" s="494">
        <f>'JKP-3.1c - Rev Actual Rates'!G13</f>
        <v>14.3</v>
      </c>
      <c r="H10" s="494">
        <f>'JKP-3.1c - Rev Actual Rates'!H13</f>
        <v>14.3</v>
      </c>
      <c r="I10" s="494">
        <f>'JKP-3.1c - Rev Actual Rates'!I13</f>
        <v>14.3</v>
      </c>
      <c r="J10" s="494">
        <f>'JKP-3.1c - Rev Actual Rates'!J13</f>
        <v>14.3</v>
      </c>
      <c r="K10" s="494">
        <f>'JKP-3.1c - Rev Actual Rates'!K13</f>
        <v>14.3</v>
      </c>
      <c r="L10" s="494">
        <f>'JKP-3.1c - Rev Actual Rates'!L13</f>
        <v>14.3</v>
      </c>
      <c r="M10" s="494">
        <f>'JKP-3.1c - Rev Actual Rates'!M13</f>
        <v>14.3</v>
      </c>
      <c r="N10" s="494">
        <f>'JKP-3.1c - Rev Actual Rates'!N13</f>
        <v>14.3</v>
      </c>
      <c r="O10" s="494">
        <f>'JKP-3.1c - Rev Actual Rates'!O13</f>
        <v>14.3</v>
      </c>
      <c r="P10" s="494">
        <f>'JKP-3.1c - Rev Actual Rates'!P13</f>
        <v>13.67</v>
      </c>
      <c r="Q10" s="494">
        <f>'JKP-3.1c - Rev Actual Rates'!Q13</f>
        <v>13.67</v>
      </c>
      <c r="R10" s="435"/>
    </row>
    <row r="11" spans="1:18" s="415" customFormat="1" x14ac:dyDescent="0.2">
      <c r="B11" s="415" t="s">
        <v>1050</v>
      </c>
      <c r="D11" s="32"/>
      <c r="E11" s="32"/>
      <c r="F11" s="494">
        <f>'JKP-3.1c - Rev Actual Rates'!F14</f>
        <v>13.68</v>
      </c>
      <c r="G11" s="494">
        <f>'JKP-3.1c - Rev Actual Rates'!G14</f>
        <v>13.68</v>
      </c>
      <c r="H11" s="494">
        <f>'JKP-3.1c - Rev Actual Rates'!H14</f>
        <v>13.68</v>
      </c>
      <c r="I11" s="494">
        <f>'JKP-3.1c - Rev Actual Rates'!I14</f>
        <v>13.68</v>
      </c>
      <c r="J11" s="494">
        <f>'JKP-3.1c - Rev Actual Rates'!J14</f>
        <v>13.68</v>
      </c>
      <c r="K11" s="494">
        <f>'JKP-3.1c - Rev Actual Rates'!K14</f>
        <v>13.68</v>
      </c>
      <c r="L11" s="494">
        <f>'JKP-3.1c - Rev Actual Rates'!L14</f>
        <v>13.68</v>
      </c>
      <c r="M11" s="494">
        <f>'JKP-3.1c - Rev Actual Rates'!M14</f>
        <v>13.68</v>
      </c>
      <c r="N11" s="494">
        <f>'JKP-3.1c - Rev Actual Rates'!N14</f>
        <v>13.68</v>
      </c>
      <c r="O11" s="494">
        <f>'JKP-3.1c - Rev Actual Rates'!O14</f>
        <v>13.68</v>
      </c>
      <c r="P11" s="494">
        <f>'JKP-3.1c - Rev Actual Rates'!P14</f>
        <v>13.08</v>
      </c>
      <c r="Q11" s="494">
        <f>'JKP-3.1c - Rev Actual Rates'!Q14</f>
        <v>13.08</v>
      </c>
      <c r="R11" s="435"/>
    </row>
    <row r="12" spans="1:18" s="336" customFormat="1" x14ac:dyDescent="0.2"/>
    <row r="13" spans="1:18" s="336" customFormat="1" x14ac:dyDescent="0.2">
      <c r="B13" s="182" t="s">
        <v>982</v>
      </c>
    </row>
    <row r="14" spans="1:18" s="336" customFormat="1" x14ac:dyDescent="0.2">
      <c r="B14" s="336" t="s">
        <v>9</v>
      </c>
      <c r="C14" s="415"/>
      <c r="D14" s="415"/>
      <c r="F14" s="421">
        <f>'JKP-3.1c - Data'!C122</f>
        <v>54</v>
      </c>
      <c r="G14" s="421">
        <f>'JKP-3.1c - Data'!D122</f>
        <v>54</v>
      </c>
      <c r="H14" s="421">
        <f>'JKP-3.1c - Data'!E122</f>
        <v>54</v>
      </c>
      <c r="I14" s="421">
        <f>'JKP-3.1c - Data'!F122</f>
        <v>54</v>
      </c>
      <c r="J14" s="421">
        <f>'JKP-3.1c - Data'!G122</f>
        <v>53.999999999999993</v>
      </c>
      <c r="K14" s="421">
        <f>'JKP-3.1c - Data'!H122</f>
        <v>54</v>
      </c>
      <c r="L14" s="421">
        <f>'JKP-3.1c - Data'!I122</f>
        <v>53</v>
      </c>
      <c r="M14" s="421">
        <f>'JKP-3.1c - Data'!J122</f>
        <v>53</v>
      </c>
      <c r="N14" s="421">
        <f>'JKP-3.1c - Data'!K122</f>
        <v>53</v>
      </c>
      <c r="O14" s="421">
        <f>'JKP-3.1c - Data'!L122</f>
        <v>53</v>
      </c>
      <c r="P14" s="421">
        <f>'JKP-3.1c - Data'!M122</f>
        <v>53</v>
      </c>
      <c r="Q14" s="421">
        <f>'JKP-3.1c - Data'!N122</f>
        <v>53</v>
      </c>
      <c r="R14" s="378">
        <f>SUM(F14:Q14)</f>
        <v>642</v>
      </c>
    </row>
    <row r="15" spans="1:18" s="336" customFormat="1" x14ac:dyDescent="0.2">
      <c r="B15" s="415" t="s">
        <v>1052</v>
      </c>
      <c r="E15" s="416">
        <v>19</v>
      </c>
      <c r="F15" s="380"/>
      <c r="G15" s="380"/>
      <c r="H15" s="380"/>
      <c r="I15" s="380"/>
      <c r="J15" s="380"/>
      <c r="K15" s="380"/>
      <c r="L15" s="380"/>
      <c r="M15" s="380"/>
      <c r="N15" s="380"/>
      <c r="O15" s="380"/>
      <c r="P15" s="380"/>
      <c r="Q15" s="380"/>
      <c r="R15" s="378"/>
    </row>
    <row r="16" spans="1:18" s="336" customFormat="1" x14ac:dyDescent="0.2">
      <c r="B16" s="415" t="s">
        <v>1053</v>
      </c>
      <c r="E16" s="416"/>
      <c r="F16" s="378">
        <f>F14*$E$15</f>
        <v>1026</v>
      </c>
      <c r="G16" s="378">
        <f t="shared" ref="G16:Q16" si="0">G14*$E$15</f>
        <v>1026</v>
      </c>
      <c r="H16" s="378">
        <f t="shared" si="0"/>
        <v>1026</v>
      </c>
      <c r="I16" s="378">
        <f t="shared" si="0"/>
        <v>1026</v>
      </c>
      <c r="J16" s="378">
        <f t="shared" si="0"/>
        <v>1025.9999999999998</v>
      </c>
      <c r="K16" s="378">
        <f t="shared" si="0"/>
        <v>1026</v>
      </c>
      <c r="L16" s="378">
        <f t="shared" si="0"/>
        <v>1007</v>
      </c>
      <c r="M16" s="378">
        <f t="shared" si="0"/>
        <v>1007</v>
      </c>
      <c r="N16" s="378">
        <f t="shared" si="0"/>
        <v>1007</v>
      </c>
      <c r="O16" s="378">
        <f t="shared" si="0"/>
        <v>1007</v>
      </c>
      <c r="P16" s="378">
        <f t="shared" si="0"/>
        <v>1007</v>
      </c>
      <c r="Q16" s="378">
        <f t="shared" si="0"/>
        <v>1007</v>
      </c>
      <c r="R16" s="378">
        <f>SUM(F16:Q16)</f>
        <v>12198</v>
      </c>
    </row>
    <row r="17" spans="1:19" s="336" customFormat="1" x14ac:dyDescent="0.2">
      <c r="R17" s="179"/>
    </row>
    <row r="18" spans="1:19" s="336" customFormat="1" x14ac:dyDescent="0.2">
      <c r="B18" s="182" t="s">
        <v>985</v>
      </c>
      <c r="R18" s="179"/>
    </row>
    <row r="19" spans="1:19" s="336" customFormat="1" x14ac:dyDescent="0.2">
      <c r="A19" s="336" t="s">
        <v>1054</v>
      </c>
      <c r="B19" s="415" t="s">
        <v>1047</v>
      </c>
      <c r="C19" s="415"/>
      <c r="D19" s="415">
        <v>16</v>
      </c>
      <c r="F19" s="418">
        <f t="shared" ref="F19:Q19" si="1">F9*F14</f>
        <v>510.29999999999995</v>
      </c>
      <c r="G19" s="418">
        <f t="shared" si="1"/>
        <v>510.29999999999995</v>
      </c>
      <c r="H19" s="418">
        <f t="shared" si="1"/>
        <v>510.29999999999995</v>
      </c>
      <c r="I19" s="418">
        <f t="shared" si="1"/>
        <v>510.29999999999995</v>
      </c>
      <c r="J19" s="418">
        <f t="shared" si="1"/>
        <v>510.2999999999999</v>
      </c>
      <c r="K19" s="418">
        <f t="shared" si="1"/>
        <v>510.29999999999995</v>
      </c>
      <c r="L19" s="418">
        <f t="shared" si="1"/>
        <v>500.84999999999997</v>
      </c>
      <c r="M19" s="418">
        <f t="shared" si="1"/>
        <v>500.84999999999997</v>
      </c>
      <c r="N19" s="418">
        <f t="shared" si="1"/>
        <v>500.84999999999997</v>
      </c>
      <c r="O19" s="418">
        <f t="shared" si="1"/>
        <v>500.84999999999997</v>
      </c>
      <c r="P19" s="418">
        <f t="shared" si="1"/>
        <v>500.84999999999997</v>
      </c>
      <c r="Q19" s="418">
        <f t="shared" si="1"/>
        <v>500.84999999999997</v>
      </c>
      <c r="R19" s="437">
        <f>SUM(F19:Q19)</f>
        <v>6066.9000000000005</v>
      </c>
    </row>
    <row r="20" spans="1:19" s="336" customFormat="1" x14ac:dyDescent="0.2">
      <c r="A20" s="336" t="s">
        <v>1056</v>
      </c>
      <c r="B20" s="415" t="s">
        <v>1057</v>
      </c>
      <c r="D20" s="32">
        <v>101</v>
      </c>
      <c r="F20" s="340">
        <f>F10*F14</f>
        <v>772.2</v>
      </c>
      <c r="G20" s="340">
        <f t="shared" ref="G20:Q20" si="2">G10*G14</f>
        <v>772.2</v>
      </c>
      <c r="H20" s="340">
        <f t="shared" si="2"/>
        <v>772.2</v>
      </c>
      <c r="I20" s="340">
        <f t="shared" si="2"/>
        <v>772.2</v>
      </c>
      <c r="J20" s="340">
        <f t="shared" si="2"/>
        <v>772.19999999999993</v>
      </c>
      <c r="K20" s="340">
        <f t="shared" si="2"/>
        <v>772.2</v>
      </c>
      <c r="L20" s="340">
        <f t="shared" si="2"/>
        <v>757.90000000000009</v>
      </c>
      <c r="M20" s="340">
        <f t="shared" si="2"/>
        <v>757.90000000000009</v>
      </c>
      <c r="N20" s="340">
        <f t="shared" si="2"/>
        <v>757.90000000000009</v>
      </c>
      <c r="O20" s="340">
        <f t="shared" si="2"/>
        <v>757.90000000000009</v>
      </c>
      <c r="P20" s="340">
        <f t="shared" si="2"/>
        <v>724.51</v>
      </c>
      <c r="Q20" s="340">
        <f t="shared" si="2"/>
        <v>724.51</v>
      </c>
      <c r="R20" s="437">
        <f>SUM(F20:Q20)</f>
        <v>9113.82</v>
      </c>
      <c r="S20" s="415"/>
    </row>
    <row r="21" spans="1:19" s="336" customFormat="1" x14ac:dyDescent="0.2">
      <c r="B21" s="32" t="s">
        <v>986</v>
      </c>
      <c r="F21" s="339">
        <f>F19+F20</f>
        <v>1282.5</v>
      </c>
      <c r="G21" s="339">
        <f t="shared" ref="G21:R21" si="3">G19+G20</f>
        <v>1282.5</v>
      </c>
      <c r="H21" s="339">
        <f t="shared" si="3"/>
        <v>1282.5</v>
      </c>
      <c r="I21" s="339">
        <f t="shared" si="3"/>
        <v>1282.5</v>
      </c>
      <c r="J21" s="339">
        <f t="shared" si="3"/>
        <v>1282.4999999999998</v>
      </c>
      <c r="K21" s="339">
        <f t="shared" si="3"/>
        <v>1282.5</v>
      </c>
      <c r="L21" s="339">
        <f t="shared" si="3"/>
        <v>1258.75</v>
      </c>
      <c r="M21" s="339">
        <f t="shared" si="3"/>
        <v>1258.75</v>
      </c>
      <c r="N21" s="339">
        <f t="shared" si="3"/>
        <v>1258.75</v>
      </c>
      <c r="O21" s="339">
        <f t="shared" si="3"/>
        <v>1258.75</v>
      </c>
      <c r="P21" s="339">
        <f t="shared" si="3"/>
        <v>1225.3599999999999</v>
      </c>
      <c r="Q21" s="339">
        <f t="shared" si="3"/>
        <v>1225.3599999999999</v>
      </c>
      <c r="R21" s="339">
        <f t="shared" si="3"/>
        <v>15180.720000000001</v>
      </c>
    </row>
    <row r="22" spans="1:19" x14ac:dyDescent="0.2">
      <c r="D22" s="391"/>
      <c r="E22" s="391"/>
      <c r="F22" s="392"/>
      <c r="G22" s="392"/>
      <c r="H22" s="392"/>
      <c r="I22" s="392"/>
      <c r="J22" s="392"/>
      <c r="K22" s="392"/>
      <c r="L22" s="392"/>
      <c r="M22" s="392"/>
      <c r="N22" s="392"/>
      <c r="O22" s="392"/>
      <c r="P22" s="392"/>
      <c r="Q22" s="392"/>
      <c r="R22" s="391"/>
    </row>
    <row r="23" spans="1:19" x14ac:dyDescent="0.2">
      <c r="A23" s="32" t="s">
        <v>1058</v>
      </c>
      <c r="B23" s="32" t="s">
        <v>1050</v>
      </c>
      <c r="D23" s="391"/>
      <c r="E23" s="391"/>
      <c r="F23" s="340">
        <f>F14*F11</f>
        <v>738.72</v>
      </c>
      <c r="G23" s="340">
        <f t="shared" ref="G23:Q23" si="4">G14*G11</f>
        <v>738.72</v>
      </c>
      <c r="H23" s="340">
        <f t="shared" si="4"/>
        <v>738.72</v>
      </c>
      <c r="I23" s="340">
        <f t="shared" si="4"/>
        <v>738.72</v>
      </c>
      <c r="J23" s="340">
        <f t="shared" si="4"/>
        <v>738.71999999999991</v>
      </c>
      <c r="K23" s="340">
        <f t="shared" si="4"/>
        <v>738.72</v>
      </c>
      <c r="L23" s="340">
        <f t="shared" si="4"/>
        <v>725.04</v>
      </c>
      <c r="M23" s="340">
        <f t="shared" si="4"/>
        <v>725.04</v>
      </c>
      <c r="N23" s="340">
        <f t="shared" si="4"/>
        <v>725.04</v>
      </c>
      <c r="O23" s="340">
        <f t="shared" si="4"/>
        <v>725.04</v>
      </c>
      <c r="P23" s="340">
        <f t="shared" si="4"/>
        <v>693.24</v>
      </c>
      <c r="Q23" s="340">
        <f t="shared" si="4"/>
        <v>693.24</v>
      </c>
      <c r="R23" s="438">
        <f>SUM(F23:Q23)</f>
        <v>8718.9599999999991</v>
      </c>
    </row>
    <row r="24" spans="1:19" x14ac:dyDescent="0.2">
      <c r="D24" s="391"/>
      <c r="E24" s="391"/>
      <c r="F24" s="392"/>
      <c r="G24" s="392"/>
      <c r="H24" s="392"/>
      <c r="I24" s="392"/>
      <c r="J24" s="392"/>
      <c r="K24" s="392"/>
      <c r="L24" s="392"/>
      <c r="M24" s="392"/>
      <c r="N24" s="392"/>
      <c r="O24" s="392"/>
      <c r="P24" s="392"/>
      <c r="Q24" s="392"/>
      <c r="R24" s="391"/>
    </row>
    <row r="25" spans="1:19" x14ac:dyDescent="0.2">
      <c r="B25" s="276" t="s">
        <v>953</v>
      </c>
      <c r="C25" s="276"/>
    </row>
    <row r="26" spans="1:19" x14ac:dyDescent="0.2">
      <c r="B26" s="276" t="s">
        <v>5</v>
      </c>
      <c r="C26" s="276"/>
    </row>
    <row r="27" spans="1:19" x14ac:dyDescent="0.2">
      <c r="B27" s="32" t="s">
        <v>1059</v>
      </c>
      <c r="D27" s="32">
        <v>23</v>
      </c>
      <c r="E27" s="32" t="s">
        <v>976</v>
      </c>
      <c r="F27" s="414">
        <v>10</v>
      </c>
      <c r="G27" s="414">
        <v>10</v>
      </c>
      <c r="H27" s="414">
        <v>10</v>
      </c>
      <c r="I27" s="414">
        <v>10</v>
      </c>
      <c r="J27" s="414">
        <v>10</v>
      </c>
      <c r="K27" s="414">
        <v>10</v>
      </c>
      <c r="L27" s="414">
        <v>10</v>
      </c>
      <c r="M27" s="414">
        <v>10</v>
      </c>
      <c r="N27" s="414">
        <v>10</v>
      </c>
      <c r="O27" s="414">
        <v>10</v>
      </c>
      <c r="P27" s="414">
        <v>10</v>
      </c>
      <c r="Q27" s="414">
        <v>10</v>
      </c>
      <c r="R27" s="439"/>
    </row>
    <row r="28" spans="1:19" x14ac:dyDescent="0.2">
      <c r="B28" s="32" t="s">
        <v>1047</v>
      </c>
      <c r="D28" s="32">
        <v>23</v>
      </c>
      <c r="E28" s="32" t="s">
        <v>957</v>
      </c>
      <c r="F28" s="395">
        <v>0.34897</v>
      </c>
      <c r="G28" s="395">
        <v>0.34897</v>
      </c>
      <c r="H28" s="395">
        <v>0.34897</v>
      </c>
      <c r="I28" s="395">
        <v>0.34897</v>
      </c>
      <c r="J28" s="395">
        <v>0.34897</v>
      </c>
      <c r="K28" s="395">
        <v>0.34897</v>
      </c>
      <c r="L28" s="395">
        <v>0.34897</v>
      </c>
      <c r="M28" s="395">
        <v>0.34897</v>
      </c>
      <c r="N28" s="395">
        <v>0.34897</v>
      </c>
      <c r="O28" s="395">
        <v>0.34897</v>
      </c>
      <c r="P28" s="395">
        <v>0.34897</v>
      </c>
      <c r="Q28" s="395">
        <v>0.34897</v>
      </c>
      <c r="R28" s="394"/>
    </row>
    <row r="29" spans="1:19" x14ac:dyDescent="0.2">
      <c r="B29" s="32" t="s">
        <v>1049</v>
      </c>
      <c r="D29" s="32">
        <v>101</v>
      </c>
      <c r="E29" s="32" t="s">
        <v>957</v>
      </c>
      <c r="F29" s="495">
        <f>'JKP-3.1c - Rev Actual Rates'!F40</f>
        <v>0.75283999999999995</v>
      </c>
      <c r="G29" s="495">
        <f>'JKP-3.1c - Rev Actual Rates'!G40</f>
        <v>0.75283999999999995</v>
      </c>
      <c r="H29" s="495">
        <f>'JKP-3.1c - Rev Actual Rates'!H40</f>
        <v>0.75283999999999995</v>
      </c>
      <c r="I29" s="495">
        <f>'JKP-3.1c - Rev Actual Rates'!I40</f>
        <v>0.75283999999999995</v>
      </c>
      <c r="J29" s="495">
        <f>'JKP-3.1c - Rev Actual Rates'!J40</f>
        <v>0.75283999999999995</v>
      </c>
      <c r="K29" s="495">
        <f>'JKP-3.1c - Rev Actual Rates'!K40</f>
        <v>0.75283999999999995</v>
      </c>
      <c r="L29" s="495">
        <f>'JKP-3.1c - Rev Actual Rates'!L40</f>
        <v>0.75283999999999995</v>
      </c>
      <c r="M29" s="495">
        <f>'JKP-3.1c - Rev Actual Rates'!M40</f>
        <v>0.75283999999999995</v>
      </c>
      <c r="N29" s="495">
        <f>'JKP-3.1c - Rev Actual Rates'!N40</f>
        <v>0.75283999999999995</v>
      </c>
      <c r="O29" s="495">
        <f>'JKP-3.1c - Rev Actual Rates'!O40</f>
        <v>0.75283999999999995</v>
      </c>
      <c r="P29" s="495">
        <f>'JKP-3.1c - Rev Actual Rates'!P40</f>
        <v>0.71972999999999998</v>
      </c>
      <c r="Q29" s="495">
        <f>'JKP-3.1c - Rev Actual Rates'!Q40</f>
        <v>0.71972999999999998</v>
      </c>
      <c r="R29" s="394"/>
    </row>
    <row r="30" spans="1:19" x14ac:dyDescent="0.2">
      <c r="B30" s="32" t="s">
        <v>1050</v>
      </c>
      <c r="F30" s="495">
        <f>'JKP-3.1c - Rev Actual Rates'!F41</f>
        <v>0.72031999999999996</v>
      </c>
      <c r="G30" s="495">
        <f>'JKP-3.1c - Rev Actual Rates'!G41</f>
        <v>0.72031999999999996</v>
      </c>
      <c r="H30" s="495">
        <f>'JKP-3.1c - Rev Actual Rates'!H41</f>
        <v>0.72031999999999996</v>
      </c>
      <c r="I30" s="495">
        <f>'JKP-3.1c - Rev Actual Rates'!I41</f>
        <v>0.72031999999999996</v>
      </c>
      <c r="J30" s="495">
        <f>'JKP-3.1c - Rev Actual Rates'!J41</f>
        <v>0.72031999999999996</v>
      </c>
      <c r="K30" s="495">
        <f>'JKP-3.1c - Rev Actual Rates'!K41</f>
        <v>0.72031999999999996</v>
      </c>
      <c r="L30" s="495">
        <f>'JKP-3.1c - Rev Actual Rates'!L41</f>
        <v>0.72031999999999996</v>
      </c>
      <c r="M30" s="495">
        <f>'JKP-3.1c - Rev Actual Rates'!M41</f>
        <v>0.72031999999999996</v>
      </c>
      <c r="N30" s="495">
        <f>'JKP-3.1c - Rev Actual Rates'!N41</f>
        <v>0.72031999999999996</v>
      </c>
      <c r="O30" s="495">
        <f>'JKP-3.1c - Rev Actual Rates'!O41</f>
        <v>0.72031999999999996</v>
      </c>
      <c r="P30" s="495">
        <f>'JKP-3.1c - Rev Actual Rates'!P41</f>
        <v>0.68861000000000006</v>
      </c>
      <c r="Q30" s="495">
        <f>'JKP-3.1c - Rev Actual Rates'!Q41</f>
        <v>0.68861000000000006</v>
      </c>
    </row>
    <row r="32" spans="1:19" x14ac:dyDescent="0.2">
      <c r="B32" s="276" t="s">
        <v>982</v>
      </c>
    </row>
    <row r="33" spans="1:18" x14ac:dyDescent="0.2">
      <c r="B33" s="32" t="s">
        <v>67</v>
      </c>
      <c r="E33" s="32" t="s">
        <v>67</v>
      </c>
      <c r="F33" s="397">
        <f>'JKP-3.1c - Data'!C138</f>
        <v>699965</v>
      </c>
      <c r="G33" s="397">
        <f>'JKP-3.1c - Data'!D138</f>
        <v>701215</v>
      </c>
      <c r="H33" s="397">
        <f>'JKP-3.1c - Data'!E138</f>
        <v>702257</v>
      </c>
      <c r="I33" s="397">
        <f>'JKP-3.1c - Data'!F138</f>
        <v>702573</v>
      </c>
      <c r="J33" s="397">
        <f>'JKP-3.1c - Data'!G138</f>
        <v>703246</v>
      </c>
      <c r="K33" s="397">
        <f>'JKP-3.1c - Data'!H138</f>
        <v>704366</v>
      </c>
      <c r="L33" s="397">
        <f>'JKP-3.1c - Data'!I138</f>
        <v>704758</v>
      </c>
      <c r="M33" s="397">
        <f>'JKP-3.1c - Data'!J138</f>
        <v>703964</v>
      </c>
      <c r="N33" s="397">
        <f>'JKP-3.1c - Data'!K138</f>
        <v>705153</v>
      </c>
      <c r="O33" s="397">
        <f>'JKP-3.1c - Data'!L138</f>
        <v>704137</v>
      </c>
      <c r="P33" s="397">
        <f>'JKP-3.1c - Data'!M138</f>
        <v>704666</v>
      </c>
      <c r="Q33" s="397">
        <f>'JKP-3.1c - Data'!N138</f>
        <v>705036</v>
      </c>
      <c r="R33" s="398">
        <f>SUM(F33:Q33)</f>
        <v>8441336</v>
      </c>
    </row>
    <row r="34" spans="1:18" x14ac:dyDescent="0.2">
      <c r="B34" s="32" t="s">
        <v>76</v>
      </c>
      <c r="E34" s="32" t="s">
        <v>10</v>
      </c>
      <c r="F34" s="397">
        <f>'JKP-3.1c - Therms Data'!E62</f>
        <v>71187692</v>
      </c>
      <c r="G34" s="397">
        <f>'JKP-3.1c - Therms Data'!F62</f>
        <v>58357925</v>
      </c>
      <c r="H34" s="397">
        <f>'JKP-3.1c - Therms Data'!G62</f>
        <v>59215201</v>
      </c>
      <c r="I34" s="397">
        <f>'JKP-3.1c - Therms Data'!H62</f>
        <v>46508498</v>
      </c>
      <c r="J34" s="397">
        <f>'JKP-3.1c - Therms Data'!I62</f>
        <v>33382131</v>
      </c>
      <c r="K34" s="397">
        <f>'JKP-3.1c - Therms Data'!J62</f>
        <v>21957138</v>
      </c>
      <c r="L34" s="397">
        <f>'JKP-3.1c - Therms Data'!K62</f>
        <v>15080375</v>
      </c>
      <c r="M34" s="397">
        <f>'JKP-3.1c - Therms Data'!L62</f>
        <v>14189236</v>
      </c>
      <c r="N34" s="397">
        <f>'JKP-3.1c - Therms Data'!M62</f>
        <v>18121975</v>
      </c>
      <c r="O34" s="397">
        <f>'JKP-3.1c - Therms Data'!N62</f>
        <v>36524174</v>
      </c>
      <c r="P34" s="397">
        <f>'JKP-3.1c - Therms Data'!O62</f>
        <v>67472591</v>
      </c>
      <c r="Q34" s="397">
        <f>'JKP-3.1c - Therms Data'!P62</f>
        <v>84734325</v>
      </c>
      <c r="R34" s="398">
        <f>SUM(F34:Q34)</f>
        <v>526731261</v>
      </c>
    </row>
    <row r="35" spans="1:18" x14ac:dyDescent="0.2">
      <c r="R35" s="277"/>
    </row>
    <row r="36" spans="1:18" x14ac:dyDescent="0.2">
      <c r="B36" s="276" t="s">
        <v>985</v>
      </c>
      <c r="R36" s="277"/>
    </row>
    <row r="37" spans="1:18" x14ac:dyDescent="0.2">
      <c r="A37" s="32" t="s">
        <v>1054</v>
      </c>
      <c r="B37" s="32" t="s">
        <v>1059</v>
      </c>
      <c r="D37" s="32">
        <v>23</v>
      </c>
      <c r="F37" s="364">
        <f t="shared" ref="F37:Q38" si="5">ROUND(F27*F33,0)</f>
        <v>6999650</v>
      </c>
      <c r="G37" s="364">
        <f t="shared" si="5"/>
        <v>7012150</v>
      </c>
      <c r="H37" s="364">
        <f t="shared" si="5"/>
        <v>7022570</v>
      </c>
      <c r="I37" s="364">
        <f t="shared" si="5"/>
        <v>7025730</v>
      </c>
      <c r="J37" s="364">
        <f t="shared" si="5"/>
        <v>7032460</v>
      </c>
      <c r="K37" s="364">
        <f t="shared" si="5"/>
        <v>7043660</v>
      </c>
      <c r="L37" s="364">
        <f t="shared" si="5"/>
        <v>7047580</v>
      </c>
      <c r="M37" s="364">
        <f t="shared" si="5"/>
        <v>7039640</v>
      </c>
      <c r="N37" s="364">
        <f t="shared" si="5"/>
        <v>7051530</v>
      </c>
      <c r="O37" s="364">
        <f t="shared" si="5"/>
        <v>7041370</v>
      </c>
      <c r="P37" s="364">
        <f t="shared" si="5"/>
        <v>7046660</v>
      </c>
      <c r="Q37" s="364">
        <f t="shared" si="5"/>
        <v>7050360</v>
      </c>
      <c r="R37" s="341">
        <f>SUM(F37:Q37)</f>
        <v>84413360</v>
      </c>
    </row>
    <row r="38" spans="1:18" x14ac:dyDescent="0.2">
      <c r="A38" s="32" t="s">
        <v>1054</v>
      </c>
      <c r="B38" s="32" t="s">
        <v>1047</v>
      </c>
      <c r="D38" s="32">
        <v>23</v>
      </c>
      <c r="F38" s="364">
        <f t="shared" si="5"/>
        <v>24842369</v>
      </c>
      <c r="G38" s="364">
        <f t="shared" si="5"/>
        <v>20365165</v>
      </c>
      <c r="H38" s="364">
        <f t="shared" si="5"/>
        <v>20664329</v>
      </c>
      <c r="I38" s="364">
        <f t="shared" si="5"/>
        <v>16230071</v>
      </c>
      <c r="J38" s="364">
        <f t="shared" si="5"/>
        <v>11649362</v>
      </c>
      <c r="K38" s="364">
        <f t="shared" si="5"/>
        <v>7662382</v>
      </c>
      <c r="L38" s="364">
        <f t="shared" si="5"/>
        <v>5262598</v>
      </c>
      <c r="M38" s="364">
        <f t="shared" si="5"/>
        <v>4951618</v>
      </c>
      <c r="N38" s="364">
        <f t="shared" si="5"/>
        <v>6324026</v>
      </c>
      <c r="O38" s="364">
        <f t="shared" si="5"/>
        <v>12745841</v>
      </c>
      <c r="P38" s="364">
        <f t="shared" si="5"/>
        <v>23545910</v>
      </c>
      <c r="Q38" s="364">
        <f t="shared" si="5"/>
        <v>29569737</v>
      </c>
      <c r="R38" s="341">
        <f>SUM(F38:Q38)</f>
        <v>183813408</v>
      </c>
    </row>
    <row r="39" spans="1:18" x14ac:dyDescent="0.2">
      <c r="A39" s="336" t="s">
        <v>1056</v>
      </c>
      <c r="B39" s="32" t="s">
        <v>1057</v>
      </c>
      <c r="D39" s="32">
        <v>101</v>
      </c>
      <c r="F39" s="364">
        <f t="shared" ref="F39:N39" si="6">ROUND(F29*F34,0)</f>
        <v>53592942</v>
      </c>
      <c r="G39" s="364">
        <f t="shared" si="6"/>
        <v>43934180</v>
      </c>
      <c r="H39" s="364">
        <f t="shared" si="6"/>
        <v>44579572</v>
      </c>
      <c r="I39" s="364">
        <f t="shared" si="6"/>
        <v>35013458</v>
      </c>
      <c r="J39" s="364">
        <f t="shared" si="6"/>
        <v>25131404</v>
      </c>
      <c r="K39" s="364">
        <f t="shared" si="6"/>
        <v>16530212</v>
      </c>
      <c r="L39" s="364">
        <f t="shared" si="6"/>
        <v>11353110</v>
      </c>
      <c r="M39" s="418">
        <f t="shared" si="6"/>
        <v>10682224</v>
      </c>
      <c r="N39" s="364">
        <f t="shared" si="6"/>
        <v>13642948</v>
      </c>
      <c r="O39" s="364">
        <f>ROUND(O29*O34,0)</f>
        <v>27496859</v>
      </c>
      <c r="P39" s="364">
        <f>ROUND(P29*P34,0)</f>
        <v>48562048</v>
      </c>
      <c r="Q39" s="364">
        <f>ROUND(Q29*Q34,0)</f>
        <v>60985836</v>
      </c>
      <c r="R39" s="341">
        <f>SUM(F39:Q39)</f>
        <v>391504793</v>
      </c>
    </row>
    <row r="40" spans="1:18" x14ac:dyDescent="0.2">
      <c r="B40" s="32" t="s">
        <v>986</v>
      </c>
      <c r="F40" s="365">
        <f t="shared" ref="F40:N40" si="7">SUM(F37:F39)</f>
        <v>85434961</v>
      </c>
      <c r="G40" s="365">
        <f t="shared" si="7"/>
        <v>71311495</v>
      </c>
      <c r="H40" s="365">
        <f t="shared" si="7"/>
        <v>72266471</v>
      </c>
      <c r="I40" s="365">
        <f t="shared" si="7"/>
        <v>58269259</v>
      </c>
      <c r="J40" s="365">
        <f t="shared" si="7"/>
        <v>43813226</v>
      </c>
      <c r="K40" s="365">
        <f t="shared" si="7"/>
        <v>31236254</v>
      </c>
      <c r="L40" s="365">
        <f t="shared" si="7"/>
        <v>23663288</v>
      </c>
      <c r="M40" s="365">
        <f t="shared" si="7"/>
        <v>22673482</v>
      </c>
      <c r="N40" s="365">
        <f t="shared" si="7"/>
        <v>27018504</v>
      </c>
      <c r="O40" s="365">
        <f>SUM(O37:O39)</f>
        <v>47284070</v>
      </c>
      <c r="P40" s="365">
        <f>SUM(P37:P39)</f>
        <v>79154618</v>
      </c>
      <c r="Q40" s="365">
        <f>SUM(Q37:Q39)</f>
        <v>97605933</v>
      </c>
      <c r="R40" s="365">
        <f>SUM(R37:R39)</f>
        <v>659731561</v>
      </c>
    </row>
    <row r="42" spans="1:18" x14ac:dyDescent="0.2">
      <c r="A42" s="32" t="s">
        <v>1058</v>
      </c>
      <c r="B42" s="32" t="s">
        <v>1050</v>
      </c>
      <c r="F42" s="364">
        <f>F34*F30</f>
        <v>51277918.301440001</v>
      </c>
      <c r="G42" s="364">
        <f t="shared" ref="G42:Q42" si="8">G34*G30</f>
        <v>42036380.535999998</v>
      </c>
      <c r="H42" s="364">
        <f t="shared" si="8"/>
        <v>42653893.584320001</v>
      </c>
      <c r="I42" s="364">
        <f t="shared" si="8"/>
        <v>33501001.279359996</v>
      </c>
      <c r="J42" s="364">
        <f t="shared" si="8"/>
        <v>24045816.601919997</v>
      </c>
      <c r="K42" s="364">
        <f t="shared" si="8"/>
        <v>15816165.644159999</v>
      </c>
      <c r="L42" s="364">
        <f t="shared" si="8"/>
        <v>10862695.719999999</v>
      </c>
      <c r="M42" s="364">
        <f t="shared" si="8"/>
        <v>10220790.47552</v>
      </c>
      <c r="N42" s="364">
        <f t="shared" si="8"/>
        <v>13053621.032</v>
      </c>
      <c r="O42" s="364">
        <f t="shared" si="8"/>
        <v>26309093.01568</v>
      </c>
      <c r="P42" s="364">
        <f t="shared" si="8"/>
        <v>46462300.888510004</v>
      </c>
      <c r="Q42" s="364">
        <f t="shared" si="8"/>
        <v>58348903.538250007</v>
      </c>
      <c r="R42" s="364">
        <f>SUM(F42:Q42)</f>
        <v>374588580.61716002</v>
      </c>
    </row>
    <row r="44" spans="1:18" x14ac:dyDescent="0.2">
      <c r="B44" s="276" t="s">
        <v>1060</v>
      </c>
      <c r="C44" s="276"/>
    </row>
    <row r="45" spans="1:18" x14ac:dyDescent="0.2">
      <c r="B45" s="276" t="s">
        <v>5</v>
      </c>
      <c r="C45" s="276"/>
    </row>
    <row r="46" spans="1:18" x14ac:dyDescent="0.2">
      <c r="B46" s="32" t="s">
        <v>1059</v>
      </c>
      <c r="D46" s="32">
        <v>53</v>
      </c>
      <c r="E46" s="32" t="s">
        <v>976</v>
      </c>
      <c r="F46" s="414">
        <v>10</v>
      </c>
      <c r="G46" s="414">
        <v>10</v>
      </c>
      <c r="H46" s="414">
        <v>10</v>
      </c>
      <c r="I46" s="414">
        <v>10</v>
      </c>
      <c r="J46" s="414">
        <v>10</v>
      </c>
      <c r="K46" s="414">
        <v>10</v>
      </c>
      <c r="L46" s="414">
        <v>10</v>
      </c>
      <c r="M46" s="414">
        <v>10</v>
      </c>
      <c r="N46" s="414">
        <v>10</v>
      </c>
      <c r="O46" s="414">
        <v>10</v>
      </c>
      <c r="P46" s="414">
        <v>10</v>
      </c>
      <c r="Q46" s="414">
        <v>10</v>
      </c>
      <c r="R46" s="439"/>
    </row>
    <row r="47" spans="1:18" x14ac:dyDescent="0.2">
      <c r="B47" s="32" t="s">
        <v>1047</v>
      </c>
      <c r="D47" s="32">
        <v>53</v>
      </c>
      <c r="E47" s="32" t="s">
        <v>957</v>
      </c>
      <c r="F47" s="395">
        <v>0.34897</v>
      </c>
      <c r="G47" s="395">
        <v>0.34897</v>
      </c>
      <c r="H47" s="395">
        <v>0.34897</v>
      </c>
      <c r="I47" s="395">
        <v>0.34897</v>
      </c>
      <c r="J47" s="395">
        <v>0.34897</v>
      </c>
      <c r="K47" s="395">
        <v>0.34897</v>
      </c>
      <c r="L47" s="395">
        <v>0.34897</v>
      </c>
      <c r="M47" s="395">
        <v>0.34897</v>
      </c>
      <c r="N47" s="395">
        <v>0.34897</v>
      </c>
      <c r="O47" s="395">
        <v>0.34897</v>
      </c>
      <c r="P47" s="395">
        <v>0.34897</v>
      </c>
      <c r="Q47" s="395">
        <v>0.34897</v>
      </c>
      <c r="R47" s="394"/>
    </row>
    <row r="48" spans="1:18" s="336" customFormat="1" x14ac:dyDescent="0.2">
      <c r="B48" s="336" t="s">
        <v>1061</v>
      </c>
      <c r="D48" s="336">
        <v>101</v>
      </c>
      <c r="E48" s="336" t="s">
        <v>957</v>
      </c>
      <c r="F48" s="496">
        <f>'JKP-3.1c - Rev Actual Rates'!F59</f>
        <v>3.3509099999999998</v>
      </c>
      <c r="G48" s="496">
        <f>'JKP-3.1c - Rev Actual Rates'!G59</f>
        <v>3.8122799999999999</v>
      </c>
      <c r="H48" s="496">
        <f>'JKP-3.1c - Rev Actual Rates'!H59</f>
        <v>3.8122799999999999</v>
      </c>
      <c r="I48" s="496">
        <f>'JKP-3.1c - Rev Actual Rates'!I59</f>
        <v>3.8122799999999999</v>
      </c>
      <c r="J48" s="496">
        <f>'JKP-3.1c - Rev Actual Rates'!J59</f>
        <v>4.0064099999999998</v>
      </c>
      <c r="K48" s="496">
        <f>'JKP-3.1c - Rev Actual Rates'!K59</f>
        <v>4.0064099999999998</v>
      </c>
      <c r="L48" s="496">
        <f>'JKP-3.1c - Rev Actual Rates'!L59</f>
        <v>4.0064099999999998</v>
      </c>
      <c r="M48" s="496">
        <f>'JKP-3.1c - Rev Actual Rates'!M59</f>
        <v>4.0064099999999998</v>
      </c>
      <c r="N48" s="496">
        <f>'JKP-3.1c - Rev Actual Rates'!N59</f>
        <v>4.0064099999999998</v>
      </c>
      <c r="O48" s="496">
        <f>'JKP-3.1c - Rev Actual Rates'!O59</f>
        <v>4.0064099999999998</v>
      </c>
      <c r="P48" s="496">
        <f>'JKP-3.1c - Rev Actual Rates'!P59</f>
        <v>4.0064099999999998</v>
      </c>
      <c r="Q48" s="496">
        <f>'JKP-3.1c - Rev Actual Rates'!Q59</f>
        <v>4.0064099999999998</v>
      </c>
      <c r="R48" s="441"/>
    </row>
    <row r="50" spans="1:18" x14ac:dyDescent="0.2">
      <c r="B50" s="276" t="s">
        <v>982</v>
      </c>
    </row>
    <row r="51" spans="1:18" x14ac:dyDescent="0.2">
      <c r="B51" s="32" t="s">
        <v>67</v>
      </c>
      <c r="E51" s="32" t="s">
        <v>67</v>
      </c>
      <c r="F51" s="397">
        <f>'JKP-3.1c - Data'!C145</f>
        <v>5</v>
      </c>
      <c r="G51" s="397">
        <f>'JKP-3.1c - Data'!D145</f>
        <v>5</v>
      </c>
      <c r="H51" s="397">
        <f>'JKP-3.1c - Data'!E145</f>
        <v>5</v>
      </c>
      <c r="I51" s="397">
        <f>'JKP-3.1c - Data'!F145</f>
        <v>5</v>
      </c>
      <c r="J51" s="397">
        <f>'JKP-3.1c - Data'!G145</f>
        <v>5</v>
      </c>
      <c r="K51" s="397">
        <f>'JKP-3.1c - Data'!H145</f>
        <v>5</v>
      </c>
      <c r="L51" s="397">
        <f>'JKP-3.1c - Data'!I145</f>
        <v>6</v>
      </c>
      <c r="M51" s="397">
        <f>'JKP-3.1c - Data'!J145</f>
        <v>6</v>
      </c>
      <c r="N51" s="397">
        <f>'JKP-3.1c - Data'!K145</f>
        <v>5</v>
      </c>
      <c r="O51" s="397">
        <f>'JKP-3.1c - Data'!L145</f>
        <v>5</v>
      </c>
      <c r="P51" s="397">
        <f>'JKP-3.1c - Data'!M145</f>
        <v>5</v>
      </c>
      <c r="Q51" s="397">
        <f>'JKP-3.1c - Data'!N145</f>
        <v>4</v>
      </c>
      <c r="R51" s="378">
        <f>SUM(F51:Q51)</f>
        <v>61</v>
      </c>
    </row>
    <row r="52" spans="1:18" x14ac:dyDescent="0.2">
      <c r="B52" s="32" t="s">
        <v>76</v>
      </c>
      <c r="E52" s="32" t="s">
        <v>10</v>
      </c>
      <c r="F52" s="397">
        <f>'JKP-3.1c - Therms Data'!E59</f>
        <v>205</v>
      </c>
      <c r="G52" s="397">
        <f>'JKP-3.1c - Therms Data'!F59</f>
        <v>216</v>
      </c>
      <c r="H52" s="397">
        <f>'JKP-3.1c - Therms Data'!G59</f>
        <v>301</v>
      </c>
      <c r="I52" s="397">
        <f>'JKP-3.1c - Therms Data'!H59</f>
        <v>219</v>
      </c>
      <c r="J52" s="397">
        <f>'JKP-3.1c - Therms Data'!I59</f>
        <v>145</v>
      </c>
      <c r="K52" s="397">
        <f>'JKP-3.1c - Therms Data'!J59</f>
        <v>107</v>
      </c>
      <c r="L52" s="397">
        <f>'JKP-3.1c - Therms Data'!K59</f>
        <v>89</v>
      </c>
      <c r="M52" s="397">
        <f>'JKP-3.1c - Therms Data'!L59</f>
        <v>86</v>
      </c>
      <c r="N52" s="397">
        <f>'JKP-3.1c - Therms Data'!M59</f>
        <v>84</v>
      </c>
      <c r="O52" s="397">
        <f>'JKP-3.1c - Therms Data'!N59</f>
        <v>160</v>
      </c>
      <c r="P52" s="397">
        <f>'JKP-3.1c - Therms Data'!O59</f>
        <v>222</v>
      </c>
      <c r="Q52" s="397">
        <f>'JKP-3.1c - Therms Data'!P59</f>
        <v>280</v>
      </c>
      <c r="R52" s="378">
        <f>SUM(F52:Q52)</f>
        <v>2114</v>
      </c>
    </row>
    <row r="53" spans="1:18" x14ac:dyDescent="0.2">
      <c r="R53" s="277"/>
    </row>
    <row r="54" spans="1:18" x14ac:dyDescent="0.2">
      <c r="B54" s="276" t="s">
        <v>985</v>
      </c>
      <c r="R54" s="277"/>
    </row>
    <row r="55" spans="1:18" x14ac:dyDescent="0.2">
      <c r="A55" s="32" t="s">
        <v>1054</v>
      </c>
      <c r="B55" s="32" t="s">
        <v>1059</v>
      </c>
      <c r="D55" s="32">
        <v>53</v>
      </c>
      <c r="F55" s="364">
        <f t="shared" ref="F55:Q56" si="9">F46*F51</f>
        <v>50</v>
      </c>
      <c r="G55" s="364">
        <f t="shared" si="9"/>
        <v>50</v>
      </c>
      <c r="H55" s="364">
        <f t="shared" si="9"/>
        <v>50</v>
      </c>
      <c r="I55" s="364">
        <f t="shared" si="9"/>
        <v>50</v>
      </c>
      <c r="J55" s="364">
        <f t="shared" si="9"/>
        <v>50</v>
      </c>
      <c r="K55" s="364">
        <f t="shared" si="9"/>
        <v>50</v>
      </c>
      <c r="L55" s="364">
        <f t="shared" si="9"/>
        <v>60</v>
      </c>
      <c r="M55" s="364">
        <f t="shared" si="9"/>
        <v>60</v>
      </c>
      <c r="N55" s="364">
        <f t="shared" si="9"/>
        <v>50</v>
      </c>
      <c r="O55" s="364">
        <f t="shared" si="9"/>
        <v>50</v>
      </c>
      <c r="P55" s="364">
        <f t="shared" si="9"/>
        <v>50</v>
      </c>
      <c r="Q55" s="364">
        <f t="shared" si="9"/>
        <v>40</v>
      </c>
      <c r="R55" s="341">
        <f>SUM(F55:Q55)</f>
        <v>610</v>
      </c>
    </row>
    <row r="56" spans="1:18" x14ac:dyDescent="0.2">
      <c r="A56" s="32" t="s">
        <v>1054</v>
      </c>
      <c r="B56" s="32" t="s">
        <v>1047</v>
      </c>
      <c r="D56" s="32">
        <v>53</v>
      </c>
      <c r="F56" s="364">
        <f t="shared" si="9"/>
        <v>71.538849999999996</v>
      </c>
      <c r="G56" s="364">
        <f t="shared" si="9"/>
        <v>75.377520000000004</v>
      </c>
      <c r="H56" s="364">
        <f t="shared" si="9"/>
        <v>105.03997</v>
      </c>
      <c r="I56" s="364">
        <f t="shared" si="9"/>
        <v>76.424430000000001</v>
      </c>
      <c r="J56" s="364">
        <f t="shared" si="9"/>
        <v>50.600650000000002</v>
      </c>
      <c r="K56" s="364">
        <f t="shared" si="9"/>
        <v>37.339790000000001</v>
      </c>
      <c r="L56" s="364">
        <f t="shared" si="9"/>
        <v>31.058330000000002</v>
      </c>
      <c r="M56" s="364">
        <f t="shared" si="9"/>
        <v>30.011420000000001</v>
      </c>
      <c r="N56" s="364">
        <f t="shared" si="9"/>
        <v>29.313479999999998</v>
      </c>
      <c r="O56" s="364">
        <f t="shared" si="9"/>
        <v>55.8352</v>
      </c>
      <c r="P56" s="364">
        <f t="shared" si="9"/>
        <v>77.471339999999998</v>
      </c>
      <c r="Q56" s="364">
        <f t="shared" si="9"/>
        <v>97.711600000000004</v>
      </c>
      <c r="R56" s="341">
        <f>SUM(F56:Q56)</f>
        <v>737.72257999999999</v>
      </c>
    </row>
    <row r="57" spans="1:18" x14ac:dyDescent="0.2">
      <c r="A57" s="32" t="s">
        <v>1056</v>
      </c>
      <c r="B57" s="32" t="s">
        <v>1061</v>
      </c>
      <c r="D57" s="32">
        <v>101</v>
      </c>
      <c r="F57" s="364">
        <f t="shared" ref="F57:N57" si="10">F48*F52</f>
        <v>686.93655000000001</v>
      </c>
      <c r="G57" s="364">
        <f t="shared" si="10"/>
        <v>823.45247999999992</v>
      </c>
      <c r="H57" s="364">
        <f t="shared" si="10"/>
        <v>1147.4962800000001</v>
      </c>
      <c r="I57" s="364">
        <f>I48*I52</f>
        <v>834.88932</v>
      </c>
      <c r="J57" s="364">
        <f>J48*J52</f>
        <v>580.92944999999997</v>
      </c>
      <c r="K57" s="364">
        <f t="shared" si="10"/>
        <v>428.68586999999997</v>
      </c>
      <c r="L57" s="364">
        <f t="shared" si="10"/>
        <v>356.57049000000001</v>
      </c>
      <c r="M57" s="418">
        <f t="shared" si="10"/>
        <v>344.55125999999996</v>
      </c>
      <c r="N57" s="364">
        <f t="shared" si="10"/>
        <v>336.53843999999998</v>
      </c>
      <c r="O57" s="364">
        <f>O48*O52</f>
        <v>641.02559999999994</v>
      </c>
      <c r="P57" s="364">
        <f>P48*P52</f>
        <v>889.42301999999995</v>
      </c>
      <c r="Q57" s="364">
        <f>Q48*Q52</f>
        <v>1121.7947999999999</v>
      </c>
      <c r="R57" s="341">
        <f>SUM(F57:Q57)</f>
        <v>8192.2935600000001</v>
      </c>
    </row>
    <row r="58" spans="1:18" x14ac:dyDescent="0.2">
      <c r="B58" s="32" t="s">
        <v>986</v>
      </c>
      <c r="F58" s="365">
        <f t="shared" ref="F58:N58" si="11">SUM(F55:F57)</f>
        <v>808.47540000000004</v>
      </c>
      <c r="G58" s="365">
        <f t="shared" si="11"/>
        <v>948.82999999999993</v>
      </c>
      <c r="H58" s="365">
        <f t="shared" si="11"/>
        <v>1302.5362500000001</v>
      </c>
      <c r="I58" s="365">
        <f t="shared" si="11"/>
        <v>961.31375000000003</v>
      </c>
      <c r="J58" s="365">
        <f t="shared" si="11"/>
        <v>681.53009999999995</v>
      </c>
      <c r="K58" s="365">
        <f t="shared" si="11"/>
        <v>516.02566000000002</v>
      </c>
      <c r="L58" s="365">
        <f t="shared" si="11"/>
        <v>447.62882000000002</v>
      </c>
      <c r="M58" s="365">
        <f t="shared" si="11"/>
        <v>434.56267999999994</v>
      </c>
      <c r="N58" s="365">
        <f t="shared" si="11"/>
        <v>415.85191999999995</v>
      </c>
      <c r="O58" s="365">
        <f>SUM(O55:O57)</f>
        <v>746.86079999999993</v>
      </c>
      <c r="P58" s="365">
        <f>SUM(P55:P57)</f>
        <v>1016.89436</v>
      </c>
      <c r="Q58" s="365">
        <f>SUM(Q55:Q57)</f>
        <v>1259.5064</v>
      </c>
      <c r="R58" s="365">
        <f>SUM(R55:R57)</f>
        <v>9540.0161399999997</v>
      </c>
    </row>
    <row r="59" spans="1:18" x14ac:dyDescent="0.2">
      <c r="F59" s="417"/>
      <c r="G59" s="417"/>
      <c r="H59" s="417"/>
      <c r="I59" s="417"/>
      <c r="J59" s="417"/>
      <c r="K59" s="417"/>
      <c r="L59" s="417"/>
      <c r="M59" s="417"/>
      <c r="N59" s="417"/>
      <c r="O59" s="417"/>
      <c r="P59" s="417"/>
      <c r="Q59" s="417"/>
      <c r="R59" s="417"/>
    </row>
    <row r="60" spans="1:18" x14ac:dyDescent="0.2">
      <c r="A60" s="32" t="s">
        <v>1058</v>
      </c>
      <c r="B60" s="32" t="s">
        <v>1050</v>
      </c>
      <c r="F60" s="417">
        <f>F48*F52</f>
        <v>686.93655000000001</v>
      </c>
      <c r="G60" s="417">
        <f t="shared" ref="G60:Q60" si="12">G48*G52</f>
        <v>823.45247999999992</v>
      </c>
      <c r="H60" s="417">
        <f t="shared" si="12"/>
        <v>1147.4962800000001</v>
      </c>
      <c r="I60" s="417">
        <f t="shared" si="12"/>
        <v>834.88932</v>
      </c>
      <c r="J60" s="417">
        <f t="shared" si="12"/>
        <v>580.92944999999997</v>
      </c>
      <c r="K60" s="417">
        <f t="shared" si="12"/>
        <v>428.68586999999997</v>
      </c>
      <c r="L60" s="417">
        <f t="shared" si="12"/>
        <v>356.57049000000001</v>
      </c>
      <c r="M60" s="417">
        <f t="shared" si="12"/>
        <v>344.55125999999996</v>
      </c>
      <c r="N60" s="417">
        <f t="shared" si="12"/>
        <v>336.53843999999998</v>
      </c>
      <c r="O60" s="417">
        <f t="shared" si="12"/>
        <v>641.02559999999994</v>
      </c>
      <c r="P60" s="417">
        <f t="shared" si="12"/>
        <v>889.42301999999995</v>
      </c>
      <c r="Q60" s="417">
        <f t="shared" si="12"/>
        <v>1121.7947999999999</v>
      </c>
      <c r="R60" s="417">
        <f>SUM(F60:Q60)</f>
        <v>8192.2935600000001</v>
      </c>
    </row>
    <row r="61" spans="1:18" x14ac:dyDescent="0.2">
      <c r="F61" s="364"/>
      <c r="G61" s="364"/>
      <c r="H61" s="364"/>
      <c r="I61" s="364"/>
      <c r="J61" s="364"/>
      <c r="K61" s="364"/>
      <c r="L61" s="364"/>
      <c r="M61" s="364"/>
      <c r="N61" s="364"/>
      <c r="O61" s="364"/>
      <c r="P61" s="364"/>
      <c r="Q61" s="364"/>
      <c r="R61" s="341"/>
    </row>
    <row r="62" spans="1:18" s="336" customFormat="1" x14ac:dyDescent="0.2">
      <c r="B62" s="182" t="s">
        <v>1062</v>
      </c>
    </row>
    <row r="63" spans="1:18" s="336" customFormat="1" x14ac:dyDescent="0.2">
      <c r="B63" s="182" t="s">
        <v>5</v>
      </c>
    </row>
    <row r="64" spans="1:18" s="336" customFormat="1" x14ac:dyDescent="0.2">
      <c r="B64" s="336" t="s">
        <v>1063</v>
      </c>
      <c r="D64" s="336">
        <v>61</v>
      </c>
      <c r="E64" s="336" t="s">
        <v>1064</v>
      </c>
      <c r="F64" s="442">
        <v>0.1</v>
      </c>
      <c r="G64" s="442">
        <v>0.1</v>
      </c>
      <c r="H64" s="442">
        <v>0.1</v>
      </c>
      <c r="I64" s="442">
        <v>0.1</v>
      </c>
      <c r="J64" s="442">
        <v>0.1</v>
      </c>
      <c r="K64" s="442">
        <v>0.1</v>
      </c>
      <c r="L64" s="442">
        <v>0.1</v>
      </c>
      <c r="M64" s="442">
        <v>0.1</v>
      </c>
      <c r="N64" s="442">
        <v>0.1</v>
      </c>
      <c r="O64" s="442">
        <v>0.1</v>
      </c>
      <c r="P64" s="442">
        <v>0.1</v>
      </c>
      <c r="Q64" s="442">
        <v>0.1</v>
      </c>
    </row>
    <row r="65" spans="1:18" s="336" customFormat="1" x14ac:dyDescent="0.2"/>
    <row r="66" spans="1:18" s="336" customFormat="1" x14ac:dyDescent="0.2">
      <c r="B66" s="182" t="s">
        <v>982</v>
      </c>
    </row>
    <row r="67" spans="1:18" s="336" customFormat="1" x14ac:dyDescent="0.2">
      <c r="B67" s="336" t="s">
        <v>74</v>
      </c>
      <c r="F67" s="421">
        <f>'JKP-3.1c - Data'!C131</f>
        <v>4027</v>
      </c>
      <c r="G67" s="421">
        <f>'JKP-3.1c - Data'!D131</f>
        <v>4027</v>
      </c>
      <c r="H67" s="421">
        <f>'JKP-3.1c - Data'!E131</f>
        <v>4027</v>
      </c>
      <c r="I67" s="421">
        <f>'JKP-3.1c - Data'!F131</f>
        <v>4027</v>
      </c>
      <c r="J67" s="421">
        <f>'JKP-3.1c - Data'!G131</f>
        <v>4027</v>
      </c>
      <c r="K67" s="421">
        <f>'JKP-3.1c - Data'!H131</f>
        <v>4027</v>
      </c>
      <c r="L67" s="421">
        <f>'JKP-3.1c - Data'!I131</f>
        <v>4027</v>
      </c>
      <c r="M67" s="421">
        <f>'JKP-3.1c - Data'!J131</f>
        <v>4027</v>
      </c>
      <c r="N67" s="421">
        <f>'JKP-3.1c - Data'!K131</f>
        <v>4027</v>
      </c>
      <c r="O67" s="421">
        <f>'JKP-3.1c - Data'!L131</f>
        <v>4027</v>
      </c>
      <c r="P67" s="421">
        <f>'JKP-3.1c - Data'!M131</f>
        <v>4027</v>
      </c>
      <c r="Q67" s="421">
        <f>'JKP-3.1c - Data'!N131</f>
        <v>4027</v>
      </c>
      <c r="R67" s="362">
        <f>SUM(F67:Q67)</f>
        <v>48324</v>
      </c>
    </row>
    <row r="68" spans="1:18" s="336" customFormat="1" x14ac:dyDescent="0.2"/>
    <row r="69" spans="1:18" s="336" customFormat="1" x14ac:dyDescent="0.2">
      <c r="B69" s="182" t="s">
        <v>985</v>
      </c>
    </row>
    <row r="70" spans="1:18" s="336" customFormat="1" x14ac:dyDescent="0.2">
      <c r="A70" s="336" t="s">
        <v>1054</v>
      </c>
      <c r="B70" s="336" t="s">
        <v>1063</v>
      </c>
      <c r="F70" s="418">
        <f t="shared" ref="F70:N70" si="13">F64*F67</f>
        <v>402.70000000000005</v>
      </c>
      <c r="G70" s="418">
        <f t="shared" si="13"/>
        <v>402.70000000000005</v>
      </c>
      <c r="H70" s="418">
        <f t="shared" si="13"/>
        <v>402.70000000000005</v>
      </c>
      <c r="I70" s="418">
        <f t="shared" si="13"/>
        <v>402.70000000000005</v>
      </c>
      <c r="J70" s="418">
        <f t="shared" si="13"/>
        <v>402.70000000000005</v>
      </c>
      <c r="K70" s="418">
        <f t="shared" si="13"/>
        <v>402.70000000000005</v>
      </c>
      <c r="L70" s="418">
        <f t="shared" si="13"/>
        <v>402.70000000000005</v>
      </c>
      <c r="M70" s="418">
        <f t="shared" si="13"/>
        <v>402.70000000000005</v>
      </c>
      <c r="N70" s="418">
        <f t="shared" si="13"/>
        <v>402.70000000000005</v>
      </c>
      <c r="O70" s="418">
        <f>O64*O67</f>
        <v>402.70000000000005</v>
      </c>
      <c r="P70" s="418">
        <f>P64*P67</f>
        <v>402.70000000000005</v>
      </c>
      <c r="Q70" s="418">
        <f>Q64*Q67</f>
        <v>402.70000000000005</v>
      </c>
      <c r="R70" s="418">
        <f>SUM(F70:Q70)</f>
        <v>4832.3999999999996</v>
      </c>
    </row>
    <row r="71" spans="1:18" x14ac:dyDescent="0.2">
      <c r="C71" s="336"/>
      <c r="D71" s="336"/>
      <c r="E71" s="336"/>
      <c r="F71" s="340"/>
      <c r="G71" s="340"/>
      <c r="H71" s="340"/>
      <c r="I71" s="340"/>
      <c r="J71" s="340"/>
      <c r="K71" s="340"/>
      <c r="L71" s="340"/>
      <c r="M71" s="340"/>
      <c r="N71" s="340"/>
      <c r="O71" s="340"/>
      <c r="P71" s="340"/>
      <c r="Q71" s="340"/>
      <c r="R71" s="340"/>
    </row>
    <row r="72" spans="1:18" x14ac:dyDescent="0.2">
      <c r="B72" s="276" t="s">
        <v>967</v>
      </c>
      <c r="C72" s="276"/>
    </row>
    <row r="73" spans="1:18" x14ac:dyDescent="0.2">
      <c r="B73" s="276" t="s">
        <v>5</v>
      </c>
      <c r="C73" s="276"/>
    </row>
    <row r="74" spans="1:18" x14ac:dyDescent="0.2">
      <c r="B74" s="32" t="s">
        <v>1059</v>
      </c>
      <c r="D74" s="32">
        <v>31</v>
      </c>
      <c r="E74" s="32" t="s">
        <v>976</v>
      </c>
      <c r="F74" s="414">
        <v>30.8</v>
      </c>
      <c r="G74" s="414">
        <v>30.8</v>
      </c>
      <c r="H74" s="414">
        <v>30.8</v>
      </c>
      <c r="I74" s="414">
        <v>30.8</v>
      </c>
      <c r="J74" s="414">
        <v>30.8</v>
      </c>
      <c r="K74" s="414">
        <v>30.8</v>
      </c>
      <c r="L74" s="414">
        <v>30.8</v>
      </c>
      <c r="M74" s="414">
        <v>30.8</v>
      </c>
      <c r="N74" s="414">
        <v>30.8</v>
      </c>
      <c r="O74" s="414">
        <v>30.8</v>
      </c>
      <c r="P74" s="414">
        <v>30.8</v>
      </c>
      <c r="Q74" s="414">
        <v>30.8</v>
      </c>
      <c r="R74" s="439"/>
    </row>
    <row r="75" spans="1:18" x14ac:dyDescent="0.2">
      <c r="B75" s="32" t="s">
        <v>1047</v>
      </c>
      <c r="D75" s="32">
        <v>31</v>
      </c>
      <c r="E75" s="32" t="s">
        <v>957</v>
      </c>
      <c r="F75" s="395">
        <v>0.30047000000000001</v>
      </c>
      <c r="G75" s="395">
        <v>0.30047000000000001</v>
      </c>
      <c r="H75" s="395">
        <v>0.30047000000000001</v>
      </c>
      <c r="I75" s="395">
        <v>0.30047000000000001</v>
      </c>
      <c r="J75" s="395">
        <v>0.30047000000000001</v>
      </c>
      <c r="K75" s="395">
        <v>0.30047000000000001</v>
      </c>
      <c r="L75" s="395">
        <v>0.30047000000000001</v>
      </c>
      <c r="M75" s="395">
        <v>0.30047000000000001</v>
      </c>
      <c r="N75" s="395">
        <v>0.30047000000000001</v>
      </c>
      <c r="O75" s="395">
        <v>0.30047000000000001</v>
      </c>
      <c r="P75" s="395">
        <v>0.30047000000000001</v>
      </c>
      <c r="Q75" s="395">
        <v>0.30047000000000001</v>
      </c>
      <c r="R75" s="394"/>
    </row>
    <row r="76" spans="1:18" x14ac:dyDescent="0.2">
      <c r="A76" s="336"/>
      <c r="B76" s="32" t="s">
        <v>1049</v>
      </c>
      <c r="D76" s="32">
        <v>101</v>
      </c>
      <c r="E76" s="32" t="s">
        <v>957</v>
      </c>
      <c r="F76" s="495">
        <f>'JKP-3.1c - Rev Actual Rates'!F87</f>
        <v>0.74761</v>
      </c>
      <c r="G76" s="495">
        <f>'JKP-3.1c - Rev Actual Rates'!G87</f>
        <v>0.74761</v>
      </c>
      <c r="H76" s="495">
        <f>'JKP-3.1c - Rev Actual Rates'!H87</f>
        <v>0.74761</v>
      </c>
      <c r="I76" s="495">
        <f>'JKP-3.1c - Rev Actual Rates'!I87</f>
        <v>0.74761</v>
      </c>
      <c r="J76" s="495">
        <f>'JKP-3.1c - Rev Actual Rates'!J87</f>
        <v>0.74761</v>
      </c>
      <c r="K76" s="495">
        <f>'JKP-3.1c - Rev Actual Rates'!K87</f>
        <v>0.74761</v>
      </c>
      <c r="L76" s="495">
        <f>'JKP-3.1c - Rev Actual Rates'!L87</f>
        <v>0.74761</v>
      </c>
      <c r="M76" s="495">
        <f>'JKP-3.1c - Rev Actual Rates'!M87</f>
        <v>0.74761</v>
      </c>
      <c r="N76" s="495">
        <f>'JKP-3.1c - Rev Actual Rates'!N87</f>
        <v>0.74761</v>
      </c>
      <c r="O76" s="495">
        <f>'JKP-3.1c - Rev Actual Rates'!O87</f>
        <v>0.74761</v>
      </c>
      <c r="P76" s="495">
        <f>'JKP-3.1c - Rev Actual Rates'!P87</f>
        <v>0.71392999999999995</v>
      </c>
      <c r="Q76" s="495">
        <f>'JKP-3.1c - Rev Actual Rates'!Q87</f>
        <v>0.71392999999999995</v>
      </c>
      <c r="R76" s="394"/>
    </row>
    <row r="77" spans="1:18" x14ac:dyDescent="0.2">
      <c r="A77" s="336"/>
      <c r="B77" s="32" t="s">
        <v>1050</v>
      </c>
      <c r="F77" s="495">
        <f>'JKP-3.1c - Rev Actual Rates'!F88</f>
        <v>0.71531999999999996</v>
      </c>
      <c r="G77" s="495">
        <f>'JKP-3.1c - Rev Actual Rates'!G88</f>
        <v>0.71531999999999996</v>
      </c>
      <c r="H77" s="495">
        <f>'JKP-3.1c - Rev Actual Rates'!H88</f>
        <v>0.71531999999999996</v>
      </c>
      <c r="I77" s="495">
        <f>'JKP-3.1c - Rev Actual Rates'!I88</f>
        <v>0.71531999999999996</v>
      </c>
      <c r="J77" s="495">
        <f>'JKP-3.1c - Rev Actual Rates'!J88</f>
        <v>0.71531999999999996</v>
      </c>
      <c r="K77" s="495">
        <f>'JKP-3.1c - Rev Actual Rates'!K88</f>
        <v>0.71531999999999996</v>
      </c>
      <c r="L77" s="495">
        <f>'JKP-3.1c - Rev Actual Rates'!L88</f>
        <v>0.71531999999999996</v>
      </c>
      <c r="M77" s="495">
        <f>'JKP-3.1c - Rev Actual Rates'!M88</f>
        <v>0.71531999999999996</v>
      </c>
      <c r="N77" s="495">
        <f>'JKP-3.1c - Rev Actual Rates'!N88</f>
        <v>0.71531999999999996</v>
      </c>
      <c r="O77" s="495">
        <f>'JKP-3.1c - Rev Actual Rates'!O88</f>
        <v>0.71531999999999996</v>
      </c>
      <c r="P77" s="495">
        <f>'JKP-3.1c - Rev Actual Rates'!P88</f>
        <v>0.68306</v>
      </c>
      <c r="Q77" s="495">
        <f>'JKP-3.1c - Rev Actual Rates'!Q88</f>
        <v>0.68306</v>
      </c>
      <c r="R77" s="394"/>
    </row>
    <row r="78" spans="1:18" s="336" customFormat="1" x14ac:dyDescent="0.2"/>
    <row r="79" spans="1:18" s="336" customFormat="1" x14ac:dyDescent="0.2">
      <c r="B79" s="182" t="s">
        <v>982</v>
      </c>
    </row>
    <row r="80" spans="1:18" s="336" customFormat="1" x14ac:dyDescent="0.2">
      <c r="B80" s="336" t="s">
        <v>67</v>
      </c>
      <c r="E80" s="336" t="s">
        <v>67</v>
      </c>
      <c r="F80" s="421">
        <f>'JKP-3.1c - Data'!C139</f>
        <v>52658</v>
      </c>
      <c r="G80" s="421">
        <f>'JKP-3.1c - Data'!D139</f>
        <v>52610</v>
      </c>
      <c r="H80" s="421">
        <f>'JKP-3.1c - Data'!E139</f>
        <v>52574</v>
      </c>
      <c r="I80" s="421">
        <f>'JKP-3.1c - Data'!F139</f>
        <v>52525</v>
      </c>
      <c r="J80" s="421">
        <f>'JKP-3.1c - Data'!G139</f>
        <v>52396</v>
      </c>
      <c r="K80" s="421">
        <f>'JKP-3.1c - Data'!H139</f>
        <v>52307</v>
      </c>
      <c r="L80" s="421">
        <f>'JKP-3.1c - Data'!I139</f>
        <v>52272</v>
      </c>
      <c r="M80" s="421">
        <f>'JKP-3.1c - Data'!J139</f>
        <v>52234</v>
      </c>
      <c r="N80" s="421">
        <f>'JKP-3.1c - Data'!K139</f>
        <v>52221</v>
      </c>
      <c r="O80" s="421">
        <f>'JKP-3.1c - Data'!L139</f>
        <v>52328</v>
      </c>
      <c r="P80" s="421">
        <f>'JKP-3.1c - Data'!M139</f>
        <v>52300</v>
      </c>
      <c r="Q80" s="421">
        <f>'JKP-3.1c - Data'!N139</f>
        <v>52414</v>
      </c>
      <c r="R80" s="378">
        <f>SUM(F80:Q80)</f>
        <v>628839</v>
      </c>
    </row>
    <row r="81" spans="1:18" x14ac:dyDescent="0.2">
      <c r="B81" s="32" t="s">
        <v>76</v>
      </c>
      <c r="E81" s="32" t="s">
        <v>10</v>
      </c>
      <c r="F81" s="397">
        <f>'JKP-3.1c - Therms Data'!E69</f>
        <v>22530052</v>
      </c>
      <c r="G81" s="397">
        <f>'JKP-3.1c - Therms Data'!F69</f>
        <v>18400356</v>
      </c>
      <c r="H81" s="397">
        <f>'JKP-3.1c - Therms Data'!G69</f>
        <v>18722609</v>
      </c>
      <c r="I81" s="397">
        <f>'JKP-3.1c - Therms Data'!H69</f>
        <v>15159542</v>
      </c>
      <c r="J81" s="397">
        <f>'JKP-3.1c - Therms Data'!I69</f>
        <v>11739148</v>
      </c>
      <c r="K81" s="397">
        <f>'JKP-3.1c - Therms Data'!J69</f>
        <v>8759117</v>
      </c>
      <c r="L81" s="397">
        <f>'JKP-3.1c - Therms Data'!K69</f>
        <v>7017499</v>
      </c>
      <c r="M81" s="397">
        <f>'JKP-3.1c - Therms Data'!L69</f>
        <v>6870079</v>
      </c>
      <c r="N81" s="397">
        <f>'JKP-3.1c - Therms Data'!M69</f>
        <v>7730919</v>
      </c>
      <c r="O81" s="397">
        <f>'JKP-3.1c - Therms Data'!N69</f>
        <v>12369351</v>
      </c>
      <c r="P81" s="397">
        <f>'JKP-3.1c - Therms Data'!O69</f>
        <v>21057029</v>
      </c>
      <c r="Q81" s="397">
        <f>'JKP-3.1c - Therms Data'!P69</f>
        <v>26731097</v>
      </c>
      <c r="R81" s="378">
        <f>SUM(F81:Q81)</f>
        <v>177086798</v>
      </c>
    </row>
    <row r="82" spans="1:18" x14ac:dyDescent="0.2">
      <c r="R82" s="277"/>
    </row>
    <row r="83" spans="1:18" x14ac:dyDescent="0.2">
      <c r="B83" s="276" t="s">
        <v>985</v>
      </c>
      <c r="R83" s="277"/>
    </row>
    <row r="84" spans="1:18" x14ac:dyDescent="0.2">
      <c r="A84" s="32" t="s">
        <v>1054</v>
      </c>
      <c r="B84" s="32" t="s">
        <v>1059</v>
      </c>
      <c r="D84" s="32">
        <v>31</v>
      </c>
      <c r="F84" s="364">
        <f t="shared" ref="F84:Q85" si="14">F74*F80</f>
        <v>1621866.4000000001</v>
      </c>
      <c r="G84" s="364">
        <f t="shared" si="14"/>
        <v>1620388</v>
      </c>
      <c r="H84" s="364">
        <f t="shared" si="14"/>
        <v>1619279.2</v>
      </c>
      <c r="I84" s="364">
        <f t="shared" si="14"/>
        <v>1617770</v>
      </c>
      <c r="J84" s="364">
        <f t="shared" si="14"/>
        <v>1613796.8</v>
      </c>
      <c r="K84" s="364">
        <f t="shared" si="14"/>
        <v>1611055.6</v>
      </c>
      <c r="L84" s="364">
        <f t="shared" si="14"/>
        <v>1609977.6</v>
      </c>
      <c r="M84" s="364">
        <f t="shared" si="14"/>
        <v>1608807.2</v>
      </c>
      <c r="N84" s="364">
        <f t="shared" si="14"/>
        <v>1608406.8</v>
      </c>
      <c r="O84" s="364">
        <f t="shared" si="14"/>
        <v>1611702.4000000001</v>
      </c>
      <c r="P84" s="364">
        <f t="shared" si="14"/>
        <v>1610840</v>
      </c>
      <c r="Q84" s="364">
        <f t="shared" si="14"/>
        <v>1614351.2</v>
      </c>
      <c r="R84" s="341">
        <f>SUM(F84:Q84)</f>
        <v>19368241.199999999</v>
      </c>
    </row>
    <row r="85" spans="1:18" x14ac:dyDescent="0.2">
      <c r="A85" s="32" t="s">
        <v>1054</v>
      </c>
      <c r="B85" s="32" t="s">
        <v>1047</v>
      </c>
      <c r="D85" s="32">
        <v>31</v>
      </c>
      <c r="F85" s="364">
        <f t="shared" si="14"/>
        <v>6769604.72444</v>
      </c>
      <c r="G85" s="364">
        <f t="shared" si="14"/>
        <v>5528754.9673199998</v>
      </c>
      <c r="H85" s="364">
        <f t="shared" si="14"/>
        <v>5625582.3262300007</v>
      </c>
      <c r="I85" s="364">
        <f t="shared" si="14"/>
        <v>4554987.5847399998</v>
      </c>
      <c r="J85" s="364">
        <f t="shared" si="14"/>
        <v>3527261.7995600002</v>
      </c>
      <c r="K85" s="364">
        <f t="shared" si="14"/>
        <v>2631851.8849900002</v>
      </c>
      <c r="L85" s="364">
        <f t="shared" si="14"/>
        <v>2108547.92453</v>
      </c>
      <c r="M85" s="364">
        <f t="shared" si="14"/>
        <v>2064252.6371300002</v>
      </c>
      <c r="N85" s="364">
        <f t="shared" si="14"/>
        <v>2322909.2319300002</v>
      </c>
      <c r="O85" s="364">
        <f t="shared" si="14"/>
        <v>3716618.8949700003</v>
      </c>
      <c r="P85" s="364">
        <f t="shared" si="14"/>
        <v>6327005.5036300002</v>
      </c>
      <c r="Q85" s="364">
        <f t="shared" si="14"/>
        <v>8031892.7155900002</v>
      </c>
      <c r="R85" s="341">
        <f>SUM(F85:Q85)</f>
        <v>53209270.195059992</v>
      </c>
    </row>
    <row r="86" spans="1:18" x14ac:dyDescent="0.2">
      <c r="A86" s="336" t="s">
        <v>1056</v>
      </c>
      <c r="B86" s="32" t="s">
        <v>1057</v>
      </c>
      <c r="D86" s="32">
        <v>101</v>
      </c>
      <c r="F86" s="364">
        <f t="shared" ref="F86:N86" si="15">F76*F81</f>
        <v>16843692.175719999</v>
      </c>
      <c r="G86" s="364">
        <f t="shared" si="15"/>
        <v>13756290.14916</v>
      </c>
      <c r="H86" s="364">
        <f t="shared" si="15"/>
        <v>13997209.71449</v>
      </c>
      <c r="I86" s="364">
        <f t="shared" si="15"/>
        <v>11333425.19462</v>
      </c>
      <c r="J86" s="364">
        <f t="shared" si="15"/>
        <v>8776304.4362799991</v>
      </c>
      <c r="K86" s="364">
        <f t="shared" si="15"/>
        <v>6548403.4603699995</v>
      </c>
      <c r="L86" s="364">
        <f t="shared" si="15"/>
        <v>5246352.4273899999</v>
      </c>
      <c r="M86" s="418">
        <f t="shared" si="15"/>
        <v>5136139.76119</v>
      </c>
      <c r="N86" s="364">
        <f t="shared" si="15"/>
        <v>5779712.3535900004</v>
      </c>
      <c r="O86" s="364">
        <f>O76*O81</f>
        <v>9247450.5011100005</v>
      </c>
      <c r="P86" s="364">
        <f>P76*P81</f>
        <v>15033244.71397</v>
      </c>
      <c r="Q86" s="364">
        <f>Q76*Q81</f>
        <v>19084132.081209999</v>
      </c>
      <c r="R86" s="364">
        <f>SUM(F86:Q86)</f>
        <v>130782356.9691</v>
      </c>
    </row>
    <row r="87" spans="1:18" x14ac:dyDescent="0.2">
      <c r="B87" s="32" t="s">
        <v>986</v>
      </c>
      <c r="F87" s="365">
        <f t="shared" ref="F87:N87" si="16">SUM(F84:F86)</f>
        <v>25235163.300159998</v>
      </c>
      <c r="G87" s="365">
        <f t="shared" si="16"/>
        <v>20905433.11648</v>
      </c>
      <c r="H87" s="365">
        <f t="shared" si="16"/>
        <v>21242071.24072</v>
      </c>
      <c r="I87" s="365">
        <f t="shared" si="16"/>
        <v>17506182.77936</v>
      </c>
      <c r="J87" s="365">
        <f t="shared" si="16"/>
        <v>13917363.035839999</v>
      </c>
      <c r="K87" s="365">
        <f t="shared" si="16"/>
        <v>10791310.945360001</v>
      </c>
      <c r="L87" s="365">
        <f t="shared" si="16"/>
        <v>8964877.951919999</v>
      </c>
      <c r="M87" s="365">
        <f t="shared" si="16"/>
        <v>8809199.5983199999</v>
      </c>
      <c r="N87" s="365">
        <f t="shared" si="16"/>
        <v>9711028.38552</v>
      </c>
      <c r="O87" s="365">
        <f>SUM(O84:O86)</f>
        <v>14575771.796080001</v>
      </c>
      <c r="P87" s="365">
        <f>SUM(P84:P86)</f>
        <v>22971090.217599999</v>
      </c>
      <c r="Q87" s="365">
        <f>SUM(Q84:Q86)</f>
        <v>28730375.996799998</v>
      </c>
      <c r="R87" s="365">
        <f>SUM(R84:R86)</f>
        <v>203359868.36416</v>
      </c>
    </row>
    <row r="88" spans="1:18" x14ac:dyDescent="0.2">
      <c r="F88" s="364"/>
      <c r="G88" s="364"/>
      <c r="H88" s="364"/>
      <c r="I88" s="364"/>
      <c r="J88" s="364"/>
      <c r="K88" s="364"/>
      <c r="L88" s="364"/>
      <c r="M88" s="364"/>
      <c r="N88" s="364"/>
      <c r="O88" s="364"/>
      <c r="P88" s="364"/>
      <c r="Q88" s="364"/>
      <c r="R88" s="341"/>
    </row>
    <row r="89" spans="1:18" x14ac:dyDescent="0.2">
      <c r="A89" s="32" t="s">
        <v>1058</v>
      </c>
      <c r="B89" s="32" t="s">
        <v>1050</v>
      </c>
      <c r="F89" s="364">
        <f>F81*F77</f>
        <v>16116196.796639999</v>
      </c>
      <c r="G89" s="364">
        <f t="shared" ref="G89:Q89" si="17">G81*G77</f>
        <v>13162142.653919999</v>
      </c>
      <c r="H89" s="364">
        <f t="shared" si="17"/>
        <v>13392656.669879999</v>
      </c>
      <c r="I89" s="364">
        <f t="shared" si="17"/>
        <v>10843923.58344</v>
      </c>
      <c r="J89" s="364">
        <f t="shared" si="17"/>
        <v>8397247.34736</v>
      </c>
      <c r="K89" s="364">
        <f t="shared" si="17"/>
        <v>6265571.5724399993</v>
      </c>
      <c r="L89" s="364">
        <f t="shared" si="17"/>
        <v>5019757.3846800001</v>
      </c>
      <c r="M89" s="364">
        <f t="shared" si="17"/>
        <v>4914304.9102799995</v>
      </c>
      <c r="N89" s="364">
        <f t="shared" si="17"/>
        <v>5530080.97908</v>
      </c>
      <c r="O89" s="364">
        <f t="shared" si="17"/>
        <v>8848044.1573200002</v>
      </c>
      <c r="P89" s="364">
        <f t="shared" si="17"/>
        <v>14383214.228739999</v>
      </c>
      <c r="Q89" s="364">
        <f t="shared" si="17"/>
        <v>18258943.11682</v>
      </c>
      <c r="R89" s="341">
        <f>SUM(F89:Q89)</f>
        <v>125132083.40060002</v>
      </c>
    </row>
    <row r="90" spans="1:18" x14ac:dyDescent="0.2">
      <c r="F90" s="364"/>
      <c r="G90" s="364"/>
      <c r="H90" s="364"/>
      <c r="I90" s="364"/>
      <c r="J90" s="364"/>
      <c r="K90" s="364"/>
      <c r="L90" s="364"/>
      <c r="M90" s="364"/>
      <c r="N90" s="364"/>
      <c r="O90" s="364"/>
      <c r="P90" s="364"/>
      <c r="Q90" s="364"/>
      <c r="R90" s="341"/>
    </row>
    <row r="91" spans="1:18" x14ac:dyDescent="0.2">
      <c r="B91" s="276" t="s">
        <v>968</v>
      </c>
      <c r="C91" s="276"/>
    </row>
    <row r="92" spans="1:18" x14ac:dyDescent="0.2">
      <c r="B92" s="276" t="s">
        <v>5</v>
      </c>
      <c r="C92" s="276"/>
    </row>
    <row r="93" spans="1:18" x14ac:dyDescent="0.2">
      <c r="B93" s="32" t="s">
        <v>1059</v>
      </c>
      <c r="D93" s="32">
        <v>41</v>
      </c>
      <c r="E93" s="32" t="s">
        <v>976</v>
      </c>
      <c r="F93" s="414">
        <v>107.51</v>
      </c>
      <c r="G93" s="414">
        <v>107.51</v>
      </c>
      <c r="H93" s="414">
        <v>107.51</v>
      </c>
      <c r="I93" s="414">
        <v>107.51</v>
      </c>
      <c r="J93" s="414">
        <v>107.51</v>
      </c>
      <c r="K93" s="414">
        <v>107.51</v>
      </c>
      <c r="L93" s="414">
        <v>107.51</v>
      </c>
      <c r="M93" s="414">
        <v>107.51</v>
      </c>
      <c r="N93" s="414">
        <v>107.51</v>
      </c>
      <c r="O93" s="414">
        <v>107.51</v>
      </c>
      <c r="P93" s="414">
        <v>107.51</v>
      </c>
      <c r="Q93" s="414">
        <v>107.51</v>
      </c>
      <c r="R93" s="439"/>
    </row>
    <row r="94" spans="1:18" x14ac:dyDescent="0.2">
      <c r="B94" s="32" t="s">
        <v>1047</v>
      </c>
      <c r="F94" s="393"/>
      <c r="G94" s="393"/>
      <c r="H94" s="393"/>
      <c r="I94" s="393"/>
      <c r="J94" s="393"/>
      <c r="K94" s="393"/>
      <c r="L94" s="393"/>
      <c r="M94" s="393"/>
      <c r="N94" s="393"/>
      <c r="O94" s="393"/>
      <c r="P94" s="393"/>
      <c r="Q94" s="393"/>
      <c r="R94" s="394"/>
    </row>
    <row r="95" spans="1:18" x14ac:dyDescent="0.2">
      <c r="C95" s="32" t="s">
        <v>1065</v>
      </c>
      <c r="D95" s="32">
        <v>41</v>
      </c>
      <c r="E95" s="32" t="s">
        <v>957</v>
      </c>
      <c r="F95" s="395">
        <v>0.13789000000000001</v>
      </c>
      <c r="G95" s="395">
        <v>0.13789000000000001</v>
      </c>
      <c r="H95" s="395">
        <v>0.13789000000000001</v>
      </c>
      <c r="I95" s="395">
        <v>0.13789000000000001</v>
      </c>
      <c r="J95" s="395">
        <v>0.13789000000000001</v>
      </c>
      <c r="K95" s="395">
        <v>0.13789000000000001</v>
      </c>
      <c r="L95" s="395">
        <v>0.13789000000000001</v>
      </c>
      <c r="M95" s="395">
        <v>0.13789000000000001</v>
      </c>
      <c r="N95" s="395">
        <v>0.13789000000000001</v>
      </c>
      <c r="O95" s="395">
        <v>0.13789000000000001</v>
      </c>
      <c r="P95" s="395">
        <v>0.13789000000000001</v>
      </c>
      <c r="Q95" s="395">
        <v>0.13789000000000001</v>
      </c>
      <c r="R95" s="394"/>
    </row>
    <row r="96" spans="1:18" x14ac:dyDescent="0.2">
      <c r="C96" s="32" t="s">
        <v>1066</v>
      </c>
      <c r="D96" s="32">
        <v>41</v>
      </c>
      <c r="E96" s="32" t="s">
        <v>957</v>
      </c>
      <c r="F96" s="395">
        <v>0.11253000000000001</v>
      </c>
      <c r="G96" s="395">
        <v>0.11253000000000001</v>
      </c>
      <c r="H96" s="395">
        <v>0.11253000000000001</v>
      </c>
      <c r="I96" s="395">
        <v>0.11253000000000001</v>
      </c>
      <c r="J96" s="395">
        <v>0.11253000000000001</v>
      </c>
      <c r="K96" s="395">
        <v>0.11253000000000001</v>
      </c>
      <c r="L96" s="395">
        <v>0.11253000000000001</v>
      </c>
      <c r="M96" s="395">
        <v>0.11253000000000001</v>
      </c>
      <c r="N96" s="395">
        <v>0.11253000000000001</v>
      </c>
      <c r="O96" s="395">
        <v>0.11253000000000001</v>
      </c>
      <c r="P96" s="395">
        <v>0.11253000000000001</v>
      </c>
      <c r="Q96" s="395">
        <v>0.11253000000000001</v>
      </c>
      <c r="R96" s="394"/>
    </row>
    <row r="97" spans="1:18" x14ac:dyDescent="0.2">
      <c r="A97" s="336"/>
      <c r="B97" s="32" t="s">
        <v>1067</v>
      </c>
      <c r="D97" s="32">
        <v>101</v>
      </c>
      <c r="E97" s="32" t="s">
        <v>957</v>
      </c>
      <c r="F97" s="495">
        <f>'JKP-3.1c - Rev Actual Rates'!F108</f>
        <v>0.67091999999999996</v>
      </c>
      <c r="G97" s="495">
        <f>'JKP-3.1c - Rev Actual Rates'!G108</f>
        <v>0.67091999999999996</v>
      </c>
      <c r="H97" s="495">
        <f>'JKP-3.1c - Rev Actual Rates'!H108</f>
        <v>0.67091999999999996</v>
      </c>
      <c r="I97" s="495">
        <f>'JKP-3.1c - Rev Actual Rates'!I108</f>
        <v>0.67091999999999996</v>
      </c>
      <c r="J97" s="495">
        <f>'JKP-3.1c - Rev Actual Rates'!J108</f>
        <v>0.67091999999999996</v>
      </c>
      <c r="K97" s="495">
        <f>'JKP-3.1c - Rev Actual Rates'!K108</f>
        <v>0.67091999999999996</v>
      </c>
      <c r="L97" s="495">
        <f>'JKP-3.1c - Rev Actual Rates'!L108</f>
        <v>0.67091999999999996</v>
      </c>
      <c r="M97" s="495">
        <f>'JKP-3.1c - Rev Actual Rates'!M108</f>
        <v>0.67091999999999996</v>
      </c>
      <c r="N97" s="495">
        <f>'JKP-3.1c - Rev Actual Rates'!N108</f>
        <v>0.67091999999999996</v>
      </c>
      <c r="O97" s="495">
        <f>'JKP-3.1c - Rev Actual Rates'!O108</f>
        <v>0.67091999999999996</v>
      </c>
      <c r="P97" s="495">
        <f>'JKP-3.1c - Rev Actual Rates'!P108</f>
        <v>0.62878000000000001</v>
      </c>
      <c r="Q97" s="495">
        <f>'JKP-3.1c - Rev Actual Rates'!Q108</f>
        <v>0.62878000000000001</v>
      </c>
      <c r="R97" s="394"/>
    </row>
    <row r="98" spans="1:18" x14ac:dyDescent="0.2">
      <c r="B98" s="32" t="s">
        <v>1068</v>
      </c>
      <c r="F98" s="394"/>
      <c r="G98" s="394"/>
      <c r="H98" s="394"/>
      <c r="I98" s="394"/>
      <c r="J98" s="394"/>
      <c r="K98" s="394"/>
      <c r="L98" s="393"/>
      <c r="M98" s="393"/>
      <c r="N98" s="393"/>
      <c r="O98" s="393"/>
      <c r="P98" s="393"/>
      <c r="Q98" s="393"/>
      <c r="R98" s="394"/>
    </row>
    <row r="99" spans="1:18" x14ac:dyDescent="0.2">
      <c r="A99" s="336"/>
      <c r="C99" s="32" t="s">
        <v>1069</v>
      </c>
      <c r="D99" s="32">
        <v>41</v>
      </c>
      <c r="E99" s="32" t="s">
        <v>957</v>
      </c>
      <c r="F99" s="414">
        <v>1.1100000000000001</v>
      </c>
      <c r="G99" s="414">
        <v>1.1100000000000001</v>
      </c>
      <c r="H99" s="414">
        <v>1.1100000000000001</v>
      </c>
      <c r="I99" s="414">
        <v>1.1100000000000001</v>
      </c>
      <c r="J99" s="414">
        <v>1.1100000000000001</v>
      </c>
      <c r="K99" s="414">
        <v>1.1100000000000001</v>
      </c>
      <c r="L99" s="414">
        <v>1.1100000000000001</v>
      </c>
      <c r="M99" s="414">
        <v>1.1100000000000001</v>
      </c>
      <c r="N99" s="414">
        <v>1.1100000000000001</v>
      </c>
      <c r="O99" s="414">
        <v>1.1100000000000001</v>
      </c>
      <c r="P99" s="414">
        <v>1.1100000000000001</v>
      </c>
      <c r="Q99" s="414">
        <v>1.1100000000000001</v>
      </c>
      <c r="R99" s="394"/>
    </row>
    <row r="100" spans="1:18" x14ac:dyDescent="0.2">
      <c r="A100" s="336"/>
      <c r="C100" s="32" t="s">
        <v>1070</v>
      </c>
      <c r="D100" s="32">
        <v>101</v>
      </c>
      <c r="E100" s="32" t="s">
        <v>957</v>
      </c>
      <c r="F100" s="414">
        <v>1.05</v>
      </c>
      <c r="G100" s="414">
        <v>1.05</v>
      </c>
      <c r="H100" s="414">
        <v>1.05</v>
      </c>
      <c r="I100" s="414">
        <v>1.05</v>
      </c>
      <c r="J100" s="414">
        <v>1.05</v>
      </c>
      <c r="K100" s="414">
        <v>1.05</v>
      </c>
      <c r="L100" s="414">
        <v>1.05</v>
      </c>
      <c r="M100" s="414">
        <v>1.05</v>
      </c>
      <c r="N100" s="414">
        <v>1.05</v>
      </c>
      <c r="O100" s="414">
        <v>1.05</v>
      </c>
      <c r="P100" s="414">
        <v>1.05</v>
      </c>
      <c r="Q100" s="414">
        <v>1.05</v>
      </c>
      <c r="R100" s="394"/>
    </row>
    <row r="101" spans="1:18" x14ac:dyDescent="0.2">
      <c r="B101" s="32" t="s">
        <v>1071</v>
      </c>
      <c r="D101" s="32">
        <v>41</v>
      </c>
      <c r="E101" s="32" t="s">
        <v>67</v>
      </c>
      <c r="F101" s="414">
        <v>124.1</v>
      </c>
      <c r="G101" s="414">
        <v>124.1</v>
      </c>
      <c r="H101" s="414">
        <v>124.1</v>
      </c>
      <c r="I101" s="414">
        <v>124.1</v>
      </c>
      <c r="J101" s="414">
        <v>124.1</v>
      </c>
      <c r="K101" s="414">
        <v>124.1</v>
      </c>
      <c r="L101" s="414">
        <v>124.1</v>
      </c>
      <c r="M101" s="414">
        <v>124.1</v>
      </c>
      <c r="N101" s="414">
        <v>124.1</v>
      </c>
      <c r="O101" s="414">
        <v>124.1</v>
      </c>
      <c r="P101" s="414">
        <v>124.1</v>
      </c>
      <c r="Q101" s="414">
        <v>124.1</v>
      </c>
      <c r="R101" s="394"/>
    </row>
    <row r="102" spans="1:18" x14ac:dyDescent="0.2">
      <c r="B102" s="32" t="s">
        <v>1050</v>
      </c>
      <c r="E102" s="32" t="s">
        <v>957</v>
      </c>
      <c r="F102" s="495">
        <f>'JKP-3.1c - Rev Actual Rates'!F113</f>
        <v>0.64193999999999996</v>
      </c>
      <c r="G102" s="495">
        <f>'JKP-3.1c - Rev Actual Rates'!G113</f>
        <v>0.64193999999999996</v>
      </c>
      <c r="H102" s="495">
        <f>'JKP-3.1c - Rev Actual Rates'!H113</f>
        <v>0.64193999999999996</v>
      </c>
      <c r="I102" s="495">
        <f>'JKP-3.1c - Rev Actual Rates'!I113</f>
        <v>0.64193999999999996</v>
      </c>
      <c r="J102" s="495">
        <f>'JKP-3.1c - Rev Actual Rates'!J113</f>
        <v>0.64193999999999996</v>
      </c>
      <c r="K102" s="495">
        <f>'JKP-3.1c - Rev Actual Rates'!K113</f>
        <v>0.64193999999999996</v>
      </c>
      <c r="L102" s="495">
        <f>'JKP-3.1c - Rev Actual Rates'!L113</f>
        <v>0.64193999999999996</v>
      </c>
      <c r="M102" s="495">
        <f>'JKP-3.1c - Rev Actual Rates'!M113</f>
        <v>0.64193999999999996</v>
      </c>
      <c r="N102" s="495">
        <f>'JKP-3.1c - Rev Actual Rates'!N113</f>
        <v>0.64193999999999996</v>
      </c>
      <c r="O102" s="495">
        <f>'JKP-3.1c - Rev Actual Rates'!O113</f>
        <v>0.64193999999999996</v>
      </c>
      <c r="P102" s="495">
        <f>'JKP-3.1c - Rev Actual Rates'!P113</f>
        <v>0.60158999999999996</v>
      </c>
      <c r="Q102" s="495">
        <f>'JKP-3.1c - Rev Actual Rates'!Q113</f>
        <v>0.60158999999999996</v>
      </c>
      <c r="R102" s="394"/>
    </row>
    <row r="103" spans="1:18" x14ac:dyDescent="0.2">
      <c r="B103" s="32" t="s">
        <v>1072</v>
      </c>
      <c r="E103" s="32" t="s">
        <v>957</v>
      </c>
      <c r="F103" s="414">
        <v>1</v>
      </c>
      <c r="G103" s="414">
        <v>1</v>
      </c>
      <c r="H103" s="414">
        <v>1</v>
      </c>
      <c r="I103" s="414">
        <v>1</v>
      </c>
      <c r="J103" s="414">
        <v>1</v>
      </c>
      <c r="K103" s="414">
        <v>1</v>
      </c>
      <c r="L103" s="414">
        <v>1</v>
      </c>
      <c r="M103" s="414">
        <v>1</v>
      </c>
      <c r="N103" s="414">
        <v>1</v>
      </c>
      <c r="O103" s="414">
        <v>1</v>
      </c>
      <c r="P103" s="414">
        <v>1</v>
      </c>
      <c r="Q103" s="414">
        <v>1</v>
      </c>
      <c r="R103" s="394"/>
    </row>
    <row r="105" spans="1:18" x14ac:dyDescent="0.2">
      <c r="B105" s="276" t="s">
        <v>982</v>
      </c>
    </row>
    <row r="106" spans="1:18" x14ac:dyDescent="0.2">
      <c r="B106" s="32" t="s">
        <v>67</v>
      </c>
      <c r="E106" s="32" t="s">
        <v>67</v>
      </c>
      <c r="F106" s="397">
        <f>'JKP-3.1c - Data'!C141</f>
        <v>1953</v>
      </c>
      <c r="G106" s="397">
        <f>'JKP-3.1c - Data'!D141</f>
        <v>1949</v>
      </c>
      <c r="H106" s="397">
        <f>'JKP-3.1c - Data'!E141</f>
        <v>1949</v>
      </c>
      <c r="I106" s="397">
        <f>'JKP-3.1c - Data'!F141</f>
        <v>1951</v>
      </c>
      <c r="J106" s="397">
        <f>'JKP-3.1c - Data'!G141</f>
        <v>1946</v>
      </c>
      <c r="K106" s="397">
        <f>'JKP-3.1c - Data'!H141</f>
        <v>1952</v>
      </c>
      <c r="L106" s="397">
        <f>'JKP-3.1c - Data'!I141</f>
        <v>1951</v>
      </c>
      <c r="M106" s="397">
        <f>'JKP-3.1c - Data'!J141</f>
        <v>1936</v>
      </c>
      <c r="N106" s="397">
        <f>'JKP-3.1c - Data'!K141</f>
        <v>1923</v>
      </c>
      <c r="O106" s="397">
        <f>'JKP-3.1c - Data'!L141</f>
        <v>1902</v>
      </c>
      <c r="P106" s="397">
        <f>'JKP-3.1c - Data'!M141</f>
        <v>1884</v>
      </c>
      <c r="Q106" s="397">
        <f>'JKP-3.1c - Data'!N141</f>
        <v>1883</v>
      </c>
      <c r="R106" s="378">
        <f>SUM(F106:Q106)</f>
        <v>23179</v>
      </c>
    </row>
    <row r="107" spans="1:18" x14ac:dyDescent="0.2">
      <c r="B107" s="32" t="s">
        <v>76</v>
      </c>
      <c r="D107" s="336"/>
      <c r="E107" s="336"/>
      <c r="F107" s="381"/>
      <c r="G107" s="381"/>
      <c r="H107" s="381"/>
      <c r="I107" s="381"/>
      <c r="J107" s="381"/>
      <c r="K107" s="381"/>
      <c r="L107" s="381"/>
      <c r="M107" s="381"/>
      <c r="N107" s="381"/>
      <c r="O107" s="381"/>
      <c r="P107" s="381"/>
      <c r="Q107" s="381"/>
      <c r="R107" s="398"/>
    </row>
    <row r="108" spans="1:18" x14ac:dyDescent="0.2">
      <c r="C108" s="32" t="s">
        <v>1073</v>
      </c>
      <c r="D108" s="336"/>
      <c r="E108" s="336" t="s">
        <v>10</v>
      </c>
      <c r="F108" s="380">
        <v>1696262</v>
      </c>
      <c r="G108" s="380">
        <v>1676732</v>
      </c>
      <c r="H108" s="380">
        <v>1688404</v>
      </c>
      <c r="I108" s="380">
        <v>1670584</v>
      </c>
      <c r="J108" s="380">
        <v>1617103</v>
      </c>
      <c r="K108" s="380">
        <v>1436746</v>
      </c>
      <c r="L108" s="380">
        <v>1214265</v>
      </c>
      <c r="M108" s="380">
        <v>1189032</v>
      </c>
      <c r="N108" s="380">
        <v>1320118</v>
      </c>
      <c r="O108" s="380">
        <v>1555455</v>
      </c>
      <c r="P108" s="380">
        <v>1620879</v>
      </c>
      <c r="Q108" s="380">
        <v>1621716</v>
      </c>
      <c r="R108" s="378">
        <f>SUM(F108:Q108)</f>
        <v>18307296</v>
      </c>
    </row>
    <row r="109" spans="1:18" s="336" customFormat="1" x14ac:dyDescent="0.2">
      <c r="C109" s="32" t="s">
        <v>1074</v>
      </c>
      <c r="E109" s="336" t="s">
        <v>10</v>
      </c>
      <c r="F109" s="380">
        <v>3194830</v>
      </c>
      <c r="G109" s="380">
        <v>2729188</v>
      </c>
      <c r="H109" s="380">
        <v>2892127</v>
      </c>
      <c r="I109" s="380">
        <v>2441803</v>
      </c>
      <c r="J109" s="380">
        <v>2045385</v>
      </c>
      <c r="K109" s="380">
        <v>1542820</v>
      </c>
      <c r="L109" s="380">
        <v>1219078</v>
      </c>
      <c r="M109" s="380">
        <v>1163563</v>
      </c>
      <c r="N109" s="380">
        <v>1298603</v>
      </c>
      <c r="O109" s="380">
        <v>1938810</v>
      </c>
      <c r="P109" s="380">
        <v>2887105</v>
      </c>
      <c r="Q109" s="380">
        <v>3310445</v>
      </c>
      <c r="R109" s="378">
        <f>SUM(F109:Q109)</f>
        <v>26663757</v>
      </c>
    </row>
    <row r="110" spans="1:18" s="336" customFormat="1" x14ac:dyDescent="0.2">
      <c r="C110" s="32" t="s">
        <v>1066</v>
      </c>
      <c r="E110" s="336" t="s">
        <v>10</v>
      </c>
      <c r="F110" s="378">
        <f t="shared" ref="F110:Q110" si="18">F111-F108-F109</f>
        <v>1787862</v>
      </c>
      <c r="G110" s="378">
        <f t="shared" si="18"/>
        <v>1350276</v>
      </c>
      <c r="H110" s="378">
        <f t="shared" si="18"/>
        <v>1515815</v>
      </c>
      <c r="I110" s="378">
        <f t="shared" si="18"/>
        <v>1136357</v>
      </c>
      <c r="J110" s="378">
        <f t="shared" si="18"/>
        <v>894300</v>
      </c>
      <c r="K110" s="378">
        <f t="shared" si="18"/>
        <v>589925</v>
      </c>
      <c r="L110" s="378">
        <f t="shared" si="18"/>
        <v>491954</v>
      </c>
      <c r="M110" s="378">
        <f t="shared" si="18"/>
        <v>506826</v>
      </c>
      <c r="N110" s="378">
        <f t="shared" si="18"/>
        <v>527214</v>
      </c>
      <c r="O110" s="378">
        <f t="shared" si="18"/>
        <v>911563</v>
      </c>
      <c r="P110" s="378">
        <f t="shared" si="18"/>
        <v>1578849</v>
      </c>
      <c r="Q110" s="378">
        <f t="shared" si="18"/>
        <v>2066356</v>
      </c>
      <c r="R110" s="378">
        <f>SUM(F110:Q110)</f>
        <v>13357297</v>
      </c>
    </row>
    <row r="111" spans="1:18" x14ac:dyDescent="0.2">
      <c r="C111" s="32" t="s">
        <v>1075</v>
      </c>
      <c r="E111" s="32" t="s">
        <v>10</v>
      </c>
      <c r="F111" s="443">
        <f>'JKP-3.1c - Therms Data'!E70</f>
        <v>6678954</v>
      </c>
      <c r="G111" s="443">
        <f>'JKP-3.1c - Therms Data'!F70</f>
        <v>5756196</v>
      </c>
      <c r="H111" s="443">
        <f>'JKP-3.1c - Therms Data'!G70</f>
        <v>6096346</v>
      </c>
      <c r="I111" s="443">
        <f>'JKP-3.1c - Therms Data'!H70</f>
        <v>5248744</v>
      </c>
      <c r="J111" s="443">
        <f>'JKP-3.1c - Therms Data'!I70</f>
        <v>4556788</v>
      </c>
      <c r="K111" s="443">
        <f>'JKP-3.1c - Therms Data'!J70</f>
        <v>3569491</v>
      </c>
      <c r="L111" s="443">
        <f>'JKP-3.1c - Therms Data'!K70</f>
        <v>2925297</v>
      </c>
      <c r="M111" s="443">
        <f>'JKP-3.1c - Therms Data'!L70</f>
        <v>2859421</v>
      </c>
      <c r="N111" s="443">
        <f>'JKP-3.1c - Therms Data'!M70</f>
        <v>3145935</v>
      </c>
      <c r="O111" s="443">
        <f>'JKP-3.1c - Therms Data'!N70</f>
        <v>4405828</v>
      </c>
      <c r="P111" s="443">
        <f>'JKP-3.1c - Therms Data'!O70</f>
        <v>6086833</v>
      </c>
      <c r="Q111" s="443">
        <f>'JKP-3.1c - Therms Data'!P70</f>
        <v>6998517</v>
      </c>
      <c r="R111" s="430">
        <f>SUM(R108:R110)</f>
        <v>58328350</v>
      </c>
    </row>
    <row r="112" spans="1:18" s="336" customFormat="1" x14ac:dyDescent="0.2">
      <c r="B112" s="336" t="s">
        <v>74</v>
      </c>
      <c r="E112" s="336" t="s">
        <v>1076</v>
      </c>
      <c r="F112" s="421">
        <f>'JKP-3.1c - Data'!C162</f>
        <v>345023.82</v>
      </c>
      <c r="G112" s="421">
        <f>'JKP-3.1c - Data'!D162</f>
        <v>345483.82</v>
      </c>
      <c r="H112" s="421">
        <f>'JKP-3.1c - Data'!E162</f>
        <v>343434.82</v>
      </c>
      <c r="I112" s="421">
        <f>'JKP-3.1c - Data'!F162</f>
        <v>344454.82999999996</v>
      </c>
      <c r="J112" s="421">
        <f>'JKP-3.1c - Data'!G162</f>
        <v>343545.81999999995</v>
      </c>
      <c r="K112" s="421">
        <f>'JKP-3.1c - Data'!H162</f>
        <v>347633.82000000007</v>
      </c>
      <c r="L112" s="421">
        <f>'JKP-3.1c - Data'!I162</f>
        <v>349911.64</v>
      </c>
      <c r="M112" s="421">
        <f>'JKP-3.1c - Data'!J162</f>
        <v>346640</v>
      </c>
      <c r="N112" s="421">
        <f>'JKP-3.1c - Data'!K162</f>
        <v>346444</v>
      </c>
      <c r="O112" s="421">
        <f>'JKP-3.1c - Data'!L162</f>
        <v>339453</v>
      </c>
      <c r="P112" s="421">
        <f>'JKP-3.1c - Data'!M162</f>
        <v>337940</v>
      </c>
      <c r="Q112" s="421">
        <f>'JKP-3.1c - Data'!N162</f>
        <v>335944</v>
      </c>
      <c r="R112" s="378">
        <f>SUM(F112:Q112)</f>
        <v>4125909.57</v>
      </c>
    </row>
    <row r="113" spans="1:18" s="336" customFormat="1" x14ac:dyDescent="0.2">
      <c r="B113" s="336" t="s">
        <v>1071</v>
      </c>
      <c r="E113" s="336" t="s">
        <v>67</v>
      </c>
      <c r="F113" s="378">
        <f t="shared" ref="F113:N113" si="19">F106</f>
        <v>1953</v>
      </c>
      <c r="G113" s="378">
        <f t="shared" si="19"/>
        <v>1949</v>
      </c>
      <c r="H113" s="378">
        <f t="shared" si="19"/>
        <v>1949</v>
      </c>
      <c r="I113" s="378">
        <f t="shared" si="19"/>
        <v>1951</v>
      </c>
      <c r="J113" s="378">
        <f t="shared" si="19"/>
        <v>1946</v>
      </c>
      <c r="K113" s="378">
        <f t="shared" si="19"/>
        <v>1952</v>
      </c>
      <c r="L113" s="378">
        <f t="shared" si="19"/>
        <v>1951</v>
      </c>
      <c r="M113" s="378">
        <f t="shared" si="19"/>
        <v>1936</v>
      </c>
      <c r="N113" s="378">
        <f t="shared" si="19"/>
        <v>1923</v>
      </c>
      <c r="O113" s="378">
        <f>O106</f>
        <v>1902</v>
      </c>
      <c r="P113" s="378">
        <f>P106</f>
        <v>1884</v>
      </c>
      <c r="Q113" s="378">
        <f>Q106</f>
        <v>1883</v>
      </c>
      <c r="R113" s="378">
        <f>SUM(F113:Q113)</f>
        <v>23179</v>
      </c>
    </row>
    <row r="114" spans="1:18" x14ac:dyDescent="0.2">
      <c r="F114" s="279"/>
      <c r="G114" s="279"/>
      <c r="H114" s="279"/>
      <c r="I114" s="279"/>
      <c r="J114" s="279"/>
      <c r="K114" s="279"/>
      <c r="L114" s="279"/>
      <c r="M114" s="279"/>
      <c r="N114" s="279"/>
      <c r="O114" s="279"/>
      <c r="P114" s="279"/>
      <c r="Q114" s="279"/>
      <c r="R114" s="279"/>
    </row>
    <row r="115" spans="1:18" x14ac:dyDescent="0.2">
      <c r="B115" s="276" t="s">
        <v>985</v>
      </c>
      <c r="R115" s="277"/>
    </row>
    <row r="116" spans="1:18" x14ac:dyDescent="0.2">
      <c r="A116" s="32" t="s">
        <v>1054</v>
      </c>
      <c r="B116" s="32" t="s">
        <v>1059</v>
      </c>
      <c r="D116" s="32">
        <v>41</v>
      </c>
      <c r="F116" s="364">
        <f t="shared" ref="F116:N116" si="20">F93*F106</f>
        <v>209967.03</v>
      </c>
      <c r="G116" s="364">
        <f t="shared" si="20"/>
        <v>209536.99000000002</v>
      </c>
      <c r="H116" s="364">
        <f t="shared" si="20"/>
        <v>209536.99000000002</v>
      </c>
      <c r="I116" s="364">
        <f t="shared" si="20"/>
        <v>209752.01</v>
      </c>
      <c r="J116" s="364">
        <f t="shared" si="20"/>
        <v>209214.46000000002</v>
      </c>
      <c r="K116" s="364">
        <f t="shared" si="20"/>
        <v>209859.52000000002</v>
      </c>
      <c r="L116" s="364">
        <f t="shared" si="20"/>
        <v>209752.01</v>
      </c>
      <c r="M116" s="364">
        <f t="shared" si="20"/>
        <v>208139.36000000002</v>
      </c>
      <c r="N116" s="364">
        <f t="shared" si="20"/>
        <v>206741.73</v>
      </c>
      <c r="O116" s="364">
        <f>O93*O106</f>
        <v>204484.02000000002</v>
      </c>
      <c r="P116" s="364">
        <f>P93*P106</f>
        <v>202548.84</v>
      </c>
      <c r="Q116" s="364">
        <f>Q93*Q106</f>
        <v>202441.33000000002</v>
      </c>
      <c r="R116" s="341">
        <f>SUM(F116:Q116)</f>
        <v>2491974.29</v>
      </c>
    </row>
    <row r="117" spans="1:18" x14ac:dyDescent="0.2">
      <c r="B117" s="32" t="s">
        <v>1047</v>
      </c>
      <c r="F117" s="364"/>
      <c r="G117" s="364"/>
      <c r="H117" s="364"/>
      <c r="I117" s="364"/>
      <c r="J117" s="364"/>
      <c r="K117" s="364"/>
      <c r="L117" s="364"/>
      <c r="M117" s="364"/>
      <c r="N117" s="364"/>
      <c r="O117" s="364"/>
      <c r="P117" s="364"/>
      <c r="Q117" s="364"/>
      <c r="R117" s="341"/>
    </row>
    <row r="118" spans="1:18" x14ac:dyDescent="0.2">
      <c r="C118" s="32" t="s">
        <v>1073</v>
      </c>
      <c r="F118" s="350">
        <v>0</v>
      </c>
      <c r="G118" s="350">
        <v>0</v>
      </c>
      <c r="H118" s="350">
        <v>0</v>
      </c>
      <c r="I118" s="350">
        <v>0</v>
      </c>
      <c r="J118" s="350">
        <v>0</v>
      </c>
      <c r="K118" s="350">
        <v>0</v>
      </c>
      <c r="L118" s="350">
        <v>0</v>
      </c>
      <c r="M118" s="350">
        <v>0</v>
      </c>
      <c r="N118" s="350">
        <v>0</v>
      </c>
      <c r="O118" s="350">
        <v>0</v>
      </c>
      <c r="P118" s="350">
        <v>0</v>
      </c>
      <c r="Q118" s="350">
        <v>0</v>
      </c>
      <c r="R118" s="350">
        <v>0</v>
      </c>
    </row>
    <row r="119" spans="1:18" x14ac:dyDescent="0.2">
      <c r="C119" s="32" t="s">
        <v>1074</v>
      </c>
      <c r="D119" s="32">
        <v>41</v>
      </c>
      <c r="F119" s="364">
        <f t="shared" ref="F119:Q120" si="21">F95*F109</f>
        <v>440535.10870000004</v>
      </c>
      <c r="G119" s="364">
        <f t="shared" si="21"/>
        <v>376327.73332000006</v>
      </c>
      <c r="H119" s="364">
        <f t="shared" si="21"/>
        <v>398795.39203000005</v>
      </c>
      <c r="I119" s="364">
        <f t="shared" si="21"/>
        <v>336700.21567000001</v>
      </c>
      <c r="J119" s="364">
        <f t="shared" si="21"/>
        <v>282038.13765000005</v>
      </c>
      <c r="K119" s="364">
        <f t="shared" si="21"/>
        <v>212739.44980000003</v>
      </c>
      <c r="L119" s="364">
        <f t="shared" si="21"/>
        <v>168098.66542</v>
      </c>
      <c r="M119" s="364">
        <f t="shared" si="21"/>
        <v>160443.70207000003</v>
      </c>
      <c r="N119" s="364">
        <f t="shared" si="21"/>
        <v>179064.36767000001</v>
      </c>
      <c r="O119" s="364">
        <f t="shared" si="21"/>
        <v>267342.51090000005</v>
      </c>
      <c r="P119" s="364">
        <f t="shared" si="21"/>
        <v>398102.90845000005</v>
      </c>
      <c r="Q119" s="364">
        <f t="shared" si="21"/>
        <v>456477.26105000003</v>
      </c>
      <c r="R119" s="341">
        <f>SUM(F119:Q119)</f>
        <v>3676665.4527300005</v>
      </c>
    </row>
    <row r="120" spans="1:18" x14ac:dyDescent="0.2">
      <c r="C120" s="32" t="s">
        <v>1066</v>
      </c>
      <c r="D120" s="32">
        <v>41</v>
      </c>
      <c r="F120" s="364">
        <f t="shared" si="21"/>
        <v>201188.11086000002</v>
      </c>
      <c r="G120" s="364">
        <f t="shared" si="21"/>
        <v>151946.55828</v>
      </c>
      <c r="H120" s="364">
        <f t="shared" si="21"/>
        <v>170574.66195000001</v>
      </c>
      <c r="I120" s="364">
        <f t="shared" si="21"/>
        <v>127874.25321000001</v>
      </c>
      <c r="J120" s="364">
        <f t="shared" si="21"/>
        <v>100635.579</v>
      </c>
      <c r="K120" s="364">
        <f t="shared" si="21"/>
        <v>66384.260250000007</v>
      </c>
      <c r="L120" s="364">
        <f t="shared" si="21"/>
        <v>55359.583620000005</v>
      </c>
      <c r="M120" s="364">
        <f t="shared" si="21"/>
        <v>57033.129780000003</v>
      </c>
      <c r="N120" s="364">
        <f t="shared" si="21"/>
        <v>59327.39142</v>
      </c>
      <c r="O120" s="364">
        <f t="shared" si="21"/>
        <v>102578.18439000001</v>
      </c>
      <c r="P120" s="364">
        <f t="shared" si="21"/>
        <v>177667.87797</v>
      </c>
      <c r="Q120" s="364">
        <f t="shared" si="21"/>
        <v>232527.04068000001</v>
      </c>
      <c r="R120" s="341">
        <f>SUM(F120:Q120)</f>
        <v>1503096.6314100001</v>
      </c>
    </row>
    <row r="121" spans="1:18" x14ac:dyDescent="0.2">
      <c r="A121" s="32" t="s">
        <v>1054</v>
      </c>
      <c r="C121" s="32" t="s">
        <v>1077</v>
      </c>
      <c r="F121" s="365">
        <f t="shared" ref="F121:R121" si="22">SUM(F118:F120)</f>
        <v>641723.21956000011</v>
      </c>
      <c r="G121" s="365">
        <f t="shared" si="22"/>
        <v>528274.29160000011</v>
      </c>
      <c r="H121" s="365">
        <f t="shared" si="22"/>
        <v>569370.05398000008</v>
      </c>
      <c r="I121" s="365">
        <f t="shared" si="22"/>
        <v>464574.46888</v>
      </c>
      <c r="J121" s="365">
        <f t="shared" si="22"/>
        <v>382673.71665000007</v>
      </c>
      <c r="K121" s="365">
        <f t="shared" si="22"/>
        <v>279123.71005000005</v>
      </c>
      <c r="L121" s="365">
        <f t="shared" si="22"/>
        <v>223458.24904000002</v>
      </c>
      <c r="M121" s="365">
        <f t="shared" si="22"/>
        <v>217476.83185000002</v>
      </c>
      <c r="N121" s="365">
        <f t="shared" si="22"/>
        <v>238391.75909000001</v>
      </c>
      <c r="O121" s="365">
        <f t="shared" si="22"/>
        <v>369920.69529000006</v>
      </c>
      <c r="P121" s="365">
        <f t="shared" si="22"/>
        <v>575770.78642000002</v>
      </c>
      <c r="Q121" s="365">
        <f t="shared" si="22"/>
        <v>689004.30173000006</v>
      </c>
      <c r="R121" s="365">
        <f t="shared" si="22"/>
        <v>5179762.0841400009</v>
      </c>
    </row>
    <row r="122" spans="1:18" x14ac:dyDescent="0.2">
      <c r="A122" s="32" t="s">
        <v>1056</v>
      </c>
      <c r="B122" s="32" t="s">
        <v>1067</v>
      </c>
      <c r="D122" s="32">
        <v>101</v>
      </c>
      <c r="F122" s="364">
        <f t="shared" ref="F122:Q122" si="23">F97*F111</f>
        <v>4481043.8176799994</v>
      </c>
      <c r="G122" s="364">
        <f t="shared" si="23"/>
        <v>3861947.0203199997</v>
      </c>
      <c r="H122" s="364">
        <f t="shared" si="23"/>
        <v>4090160.4583199997</v>
      </c>
      <c r="I122" s="364">
        <f t="shared" si="23"/>
        <v>3521487.32448</v>
      </c>
      <c r="J122" s="364">
        <f t="shared" si="23"/>
        <v>3057240.2049599998</v>
      </c>
      <c r="K122" s="364">
        <f t="shared" si="23"/>
        <v>2394842.90172</v>
      </c>
      <c r="L122" s="364">
        <f t="shared" si="23"/>
        <v>1962640.26324</v>
      </c>
      <c r="M122" s="418">
        <f t="shared" si="23"/>
        <v>1918442.7373199998</v>
      </c>
      <c r="N122" s="364">
        <f t="shared" si="23"/>
        <v>2110670.7102000001</v>
      </c>
      <c r="O122" s="364">
        <f t="shared" si="23"/>
        <v>2955958.12176</v>
      </c>
      <c r="P122" s="364">
        <f t="shared" si="23"/>
        <v>3827278.8537400002</v>
      </c>
      <c r="Q122" s="364">
        <f t="shared" si="23"/>
        <v>4400527.5192600004</v>
      </c>
      <c r="R122" s="341">
        <f>SUM(F122:Q122)</f>
        <v>38582239.932999998</v>
      </c>
    </row>
    <row r="123" spans="1:18" x14ac:dyDescent="0.2">
      <c r="B123" s="32" t="s">
        <v>1068</v>
      </c>
      <c r="F123" s="364"/>
      <c r="G123" s="364"/>
      <c r="H123" s="364"/>
      <c r="I123" s="364"/>
      <c r="J123" s="364"/>
      <c r="K123" s="364"/>
      <c r="L123" s="364"/>
      <c r="M123" s="364"/>
      <c r="N123" s="364"/>
      <c r="O123" s="364"/>
      <c r="P123" s="364"/>
      <c r="Q123" s="364"/>
      <c r="R123" s="341"/>
    </row>
    <row r="124" spans="1:18" x14ac:dyDescent="0.2">
      <c r="A124" s="32" t="s">
        <v>1054</v>
      </c>
      <c r="C124" s="32" t="s">
        <v>1069</v>
      </c>
      <c r="D124" s="32">
        <v>41</v>
      </c>
      <c r="F124" s="364">
        <f t="shared" ref="F124:Q124" si="24">F99*F112</f>
        <v>382976.44020000007</v>
      </c>
      <c r="G124" s="364">
        <f t="shared" si="24"/>
        <v>383487.04020000005</v>
      </c>
      <c r="H124" s="364">
        <f t="shared" si="24"/>
        <v>381212.65020000003</v>
      </c>
      <c r="I124" s="364">
        <f t="shared" si="24"/>
        <v>382344.86129999999</v>
      </c>
      <c r="J124" s="364">
        <f t="shared" si="24"/>
        <v>381335.8602</v>
      </c>
      <c r="K124" s="364">
        <f t="shared" si="24"/>
        <v>385873.5402000001</v>
      </c>
      <c r="L124" s="364">
        <f t="shared" si="24"/>
        <v>388401.92040000006</v>
      </c>
      <c r="M124" s="364">
        <f t="shared" si="24"/>
        <v>384770.4</v>
      </c>
      <c r="N124" s="364">
        <f t="shared" si="24"/>
        <v>384552.84</v>
      </c>
      <c r="O124" s="364">
        <f t="shared" si="24"/>
        <v>376792.83</v>
      </c>
      <c r="P124" s="364">
        <f t="shared" si="24"/>
        <v>375113.4</v>
      </c>
      <c r="Q124" s="364">
        <f t="shared" si="24"/>
        <v>372897.84</v>
      </c>
      <c r="R124" s="341">
        <f>SUM(F124:Q124)</f>
        <v>4579759.6227000002</v>
      </c>
    </row>
    <row r="125" spans="1:18" x14ac:dyDescent="0.2">
      <c r="A125" s="32" t="s">
        <v>1056</v>
      </c>
      <c r="C125" s="32" t="s">
        <v>1070</v>
      </c>
      <c r="D125" s="32">
        <v>101</v>
      </c>
      <c r="F125" s="364">
        <f t="shared" ref="F125:Q125" si="25">F100*F112</f>
        <v>362275.011</v>
      </c>
      <c r="G125" s="364">
        <f t="shared" si="25"/>
        <v>362758.011</v>
      </c>
      <c r="H125" s="364">
        <f t="shared" si="25"/>
        <v>360606.56100000005</v>
      </c>
      <c r="I125" s="364">
        <f t="shared" si="25"/>
        <v>361677.57149999996</v>
      </c>
      <c r="J125" s="364">
        <f t="shared" si="25"/>
        <v>360723.11099999998</v>
      </c>
      <c r="K125" s="364">
        <f t="shared" si="25"/>
        <v>365015.51100000006</v>
      </c>
      <c r="L125" s="364">
        <f t="shared" si="25"/>
        <v>367407.22200000001</v>
      </c>
      <c r="M125" s="418">
        <f t="shared" si="25"/>
        <v>363972</v>
      </c>
      <c r="N125" s="364">
        <f t="shared" si="25"/>
        <v>363766.2</v>
      </c>
      <c r="O125" s="364">
        <f t="shared" si="25"/>
        <v>356425.65</v>
      </c>
      <c r="P125" s="364">
        <f t="shared" si="25"/>
        <v>354837</v>
      </c>
      <c r="Q125" s="364">
        <f t="shared" si="25"/>
        <v>352741.2</v>
      </c>
      <c r="R125" s="341">
        <f>SUM(F125:Q125)</f>
        <v>4332205.0485000005</v>
      </c>
    </row>
    <row r="126" spans="1:18" x14ac:dyDescent="0.2">
      <c r="C126" s="32" t="s">
        <v>1078</v>
      </c>
      <c r="F126" s="365">
        <f t="shared" ref="F126:N126" si="26">SUM(F124:F125)</f>
        <v>745251.45120000001</v>
      </c>
      <c r="G126" s="365">
        <f t="shared" si="26"/>
        <v>746245.0512000001</v>
      </c>
      <c r="H126" s="365">
        <f t="shared" si="26"/>
        <v>741819.21120000002</v>
      </c>
      <c r="I126" s="365">
        <f t="shared" si="26"/>
        <v>744022.43279999995</v>
      </c>
      <c r="J126" s="365">
        <f t="shared" si="26"/>
        <v>742058.97120000003</v>
      </c>
      <c r="K126" s="365">
        <f t="shared" si="26"/>
        <v>750889.0512000001</v>
      </c>
      <c r="L126" s="365">
        <f t="shared" si="26"/>
        <v>755809.14240000001</v>
      </c>
      <c r="M126" s="365">
        <f t="shared" si="26"/>
        <v>748742.4</v>
      </c>
      <c r="N126" s="365">
        <f t="shared" si="26"/>
        <v>748319.04</v>
      </c>
      <c r="O126" s="365">
        <f>SUM(O124:O125)</f>
        <v>733218.48</v>
      </c>
      <c r="P126" s="365">
        <f>SUM(P124:P125)</f>
        <v>729950.4</v>
      </c>
      <c r="Q126" s="365">
        <f>SUM(Q124:Q125)</f>
        <v>725639.04</v>
      </c>
      <c r="R126" s="365">
        <f>SUM(R124:R125)</f>
        <v>8911964.6711999997</v>
      </c>
    </row>
    <row r="127" spans="1:18" s="336" customFormat="1" x14ac:dyDescent="0.2">
      <c r="A127" s="336" t="s">
        <v>1054</v>
      </c>
      <c r="B127" s="336" t="s">
        <v>1071</v>
      </c>
      <c r="D127" s="336">
        <v>41</v>
      </c>
      <c r="F127" s="418">
        <f t="shared" ref="F127:Q127" si="27">F113*F101</f>
        <v>242367.3</v>
      </c>
      <c r="G127" s="418">
        <f t="shared" si="27"/>
        <v>241870.9</v>
      </c>
      <c r="H127" s="418">
        <f t="shared" si="27"/>
        <v>241870.9</v>
      </c>
      <c r="I127" s="418">
        <f t="shared" si="27"/>
        <v>242119.09999999998</v>
      </c>
      <c r="J127" s="418">
        <f t="shared" si="27"/>
        <v>241498.59999999998</v>
      </c>
      <c r="K127" s="418">
        <f t="shared" si="27"/>
        <v>242243.19999999998</v>
      </c>
      <c r="L127" s="418">
        <f t="shared" si="27"/>
        <v>242119.09999999998</v>
      </c>
      <c r="M127" s="418">
        <f t="shared" si="27"/>
        <v>240257.59999999998</v>
      </c>
      <c r="N127" s="418">
        <f t="shared" si="27"/>
        <v>238644.3</v>
      </c>
      <c r="O127" s="418">
        <f t="shared" si="27"/>
        <v>236038.19999999998</v>
      </c>
      <c r="P127" s="418">
        <f t="shared" si="27"/>
        <v>233804.4</v>
      </c>
      <c r="Q127" s="418">
        <f t="shared" si="27"/>
        <v>233680.3</v>
      </c>
      <c r="R127" s="437">
        <f>SUM(F127:Q127)</f>
        <v>2876513.8999999994</v>
      </c>
    </row>
    <row r="128" spans="1:18" s="390" customFormat="1" x14ac:dyDescent="0.2">
      <c r="B128" s="390" t="s">
        <v>1079</v>
      </c>
      <c r="F128" s="417">
        <f>F122+F125</f>
        <v>4843318.8286799993</v>
      </c>
      <c r="G128" s="417">
        <f t="shared" ref="G128:N128" si="28">G122+G125</f>
        <v>4224705.0313200001</v>
      </c>
      <c r="H128" s="417">
        <f t="shared" si="28"/>
        <v>4450767.01932</v>
      </c>
      <c r="I128" s="417">
        <f t="shared" si="28"/>
        <v>3883164.89598</v>
      </c>
      <c r="J128" s="417">
        <f t="shared" si="28"/>
        <v>3417963.3159599998</v>
      </c>
      <c r="K128" s="417">
        <f t="shared" si="28"/>
        <v>2759858.4127199999</v>
      </c>
      <c r="L128" s="417">
        <f t="shared" si="28"/>
        <v>2330047.4852399998</v>
      </c>
      <c r="M128" s="417">
        <f t="shared" si="28"/>
        <v>2282414.7373199998</v>
      </c>
      <c r="N128" s="417">
        <f t="shared" si="28"/>
        <v>2474436.9102000003</v>
      </c>
      <c r="O128" s="417">
        <f>O122+O125</f>
        <v>3312383.7717599999</v>
      </c>
      <c r="P128" s="417">
        <f>P122+P125</f>
        <v>4182115.8537400002</v>
      </c>
      <c r="Q128" s="417">
        <f>Q122+Q125</f>
        <v>4753268.7192600006</v>
      </c>
      <c r="R128" s="417">
        <f>R122+R125</f>
        <v>42914444.9815</v>
      </c>
    </row>
    <row r="129" spans="1:18" x14ac:dyDescent="0.2">
      <c r="B129" s="32" t="s">
        <v>986</v>
      </c>
      <c r="F129" s="365">
        <f>F116+F121+F122+F126+F127</f>
        <v>6320352.8184399996</v>
      </c>
      <c r="G129" s="365">
        <f t="shared" ref="G129:R129" si="29">G116+G121+G122+G126+G127</f>
        <v>5587874.2531199995</v>
      </c>
      <c r="H129" s="365">
        <f t="shared" si="29"/>
        <v>5852757.6135</v>
      </c>
      <c r="I129" s="365">
        <f t="shared" si="29"/>
        <v>5181955.3361599995</v>
      </c>
      <c r="J129" s="365">
        <f t="shared" si="29"/>
        <v>4632685.9528099988</v>
      </c>
      <c r="K129" s="365">
        <f t="shared" si="29"/>
        <v>3876958.3829700002</v>
      </c>
      <c r="L129" s="365">
        <f t="shared" si="29"/>
        <v>3393778.7646800005</v>
      </c>
      <c r="M129" s="365">
        <f t="shared" si="29"/>
        <v>3333058.9291699999</v>
      </c>
      <c r="N129" s="365">
        <f t="shared" si="29"/>
        <v>3542767.5392899998</v>
      </c>
      <c r="O129" s="365">
        <f t="shared" si="29"/>
        <v>4499619.5170500008</v>
      </c>
      <c r="P129" s="365">
        <f t="shared" si="29"/>
        <v>5569353.2801600005</v>
      </c>
      <c r="Q129" s="365">
        <f t="shared" si="29"/>
        <v>6251292.4909899998</v>
      </c>
      <c r="R129" s="365">
        <f t="shared" si="29"/>
        <v>58042454.878339998</v>
      </c>
    </row>
    <row r="130" spans="1:18" s="336" customFormat="1" x14ac:dyDescent="0.2">
      <c r="F130" s="418"/>
      <c r="G130" s="418"/>
      <c r="H130" s="418"/>
      <c r="I130" s="418"/>
      <c r="J130" s="418"/>
      <c r="K130" s="418"/>
      <c r="L130" s="418"/>
      <c r="M130" s="418"/>
      <c r="N130" s="418"/>
      <c r="O130" s="418"/>
      <c r="P130" s="418"/>
      <c r="Q130" s="418"/>
      <c r="R130" s="437"/>
    </row>
    <row r="131" spans="1:18" s="336" customFormat="1" x14ac:dyDescent="0.2">
      <c r="A131" s="336" t="s">
        <v>1058</v>
      </c>
      <c r="B131" s="336" t="s">
        <v>1050</v>
      </c>
      <c r="F131" s="418">
        <f>F102*F111+F112*F103</f>
        <v>4632511.55076</v>
      </c>
      <c r="G131" s="418">
        <f t="shared" ref="G131:Q131" si="30">G102*G111+G112*G103</f>
        <v>4040616.2802399998</v>
      </c>
      <c r="H131" s="418">
        <f t="shared" si="30"/>
        <v>4256923.1712400001</v>
      </c>
      <c r="I131" s="418">
        <f t="shared" si="30"/>
        <v>3713833.5533599998</v>
      </c>
      <c r="J131" s="418">
        <f t="shared" si="30"/>
        <v>3268730.3087199996</v>
      </c>
      <c r="K131" s="418">
        <f t="shared" si="30"/>
        <v>2639032.8725399999</v>
      </c>
      <c r="L131" s="418">
        <f t="shared" si="30"/>
        <v>2227776.7961800001</v>
      </c>
      <c r="M131" s="418">
        <f t="shared" si="30"/>
        <v>2182216.7167400001</v>
      </c>
      <c r="N131" s="418">
        <f t="shared" si="30"/>
        <v>2365945.5138999997</v>
      </c>
      <c r="O131" s="418">
        <f t="shared" si="30"/>
        <v>3167730.2263199999</v>
      </c>
      <c r="P131" s="418">
        <f t="shared" si="30"/>
        <v>3999717.8644699999</v>
      </c>
      <c r="Q131" s="418">
        <f t="shared" si="30"/>
        <v>4546181.8420299999</v>
      </c>
      <c r="R131" s="437">
        <f>SUM(F131:Q131)</f>
        <v>41041216.696500003</v>
      </c>
    </row>
    <row r="132" spans="1:18" s="336" customFormat="1" x14ac:dyDescent="0.2">
      <c r="F132" s="418"/>
      <c r="G132" s="418"/>
      <c r="H132" s="418"/>
      <c r="I132" s="418"/>
      <c r="J132" s="418"/>
      <c r="K132" s="418"/>
      <c r="L132" s="418"/>
      <c r="M132" s="418"/>
      <c r="N132" s="418"/>
      <c r="O132" s="418"/>
      <c r="P132" s="418"/>
      <c r="Q132" s="418"/>
      <c r="R132" s="437"/>
    </row>
    <row r="133" spans="1:18" x14ac:dyDescent="0.2">
      <c r="B133" s="276" t="s">
        <v>1080</v>
      </c>
      <c r="C133" s="276"/>
      <c r="F133" s="390"/>
      <c r="G133" s="390"/>
      <c r="H133" s="390"/>
      <c r="I133" s="390"/>
      <c r="J133" s="390"/>
    </row>
    <row r="134" spans="1:18" x14ac:dyDescent="0.2">
      <c r="B134" s="276" t="s">
        <v>5</v>
      </c>
      <c r="C134" s="276"/>
      <c r="F134" s="390"/>
      <c r="G134" s="390"/>
      <c r="H134" s="390"/>
      <c r="I134" s="390"/>
      <c r="J134" s="390"/>
    </row>
    <row r="135" spans="1:18" x14ac:dyDescent="0.2">
      <c r="B135" s="32" t="s">
        <v>1059</v>
      </c>
      <c r="D135" s="444" t="s">
        <v>808</v>
      </c>
      <c r="E135" s="32" t="s">
        <v>976</v>
      </c>
      <c r="F135" s="414">
        <v>414.68</v>
      </c>
      <c r="G135" s="414">
        <v>414.68</v>
      </c>
      <c r="H135" s="414">
        <v>414.68</v>
      </c>
      <c r="I135" s="414">
        <v>414.68</v>
      </c>
      <c r="J135" s="414">
        <v>414.68</v>
      </c>
      <c r="K135" s="414">
        <v>414.68</v>
      </c>
      <c r="L135" s="414">
        <v>414.68</v>
      </c>
      <c r="M135" s="414">
        <v>414.68</v>
      </c>
      <c r="N135" s="414">
        <v>414.68</v>
      </c>
      <c r="O135" s="414">
        <v>414.68</v>
      </c>
      <c r="P135" s="414">
        <v>414.68</v>
      </c>
      <c r="Q135" s="414">
        <v>414.68</v>
      </c>
    </row>
    <row r="136" spans="1:18" x14ac:dyDescent="0.2">
      <c r="B136" s="32" t="s">
        <v>1047</v>
      </c>
      <c r="D136" s="444"/>
      <c r="F136" s="393"/>
      <c r="G136" s="393"/>
      <c r="H136" s="393"/>
      <c r="I136" s="393"/>
      <c r="J136" s="393"/>
      <c r="K136" s="393"/>
      <c r="L136" s="393"/>
      <c r="M136" s="393"/>
      <c r="N136" s="393"/>
      <c r="O136" s="393"/>
      <c r="P136" s="393"/>
      <c r="Q136" s="393"/>
    </row>
    <row r="137" spans="1:18" x14ac:dyDescent="0.2">
      <c r="C137" s="32" t="s">
        <v>1065</v>
      </c>
      <c r="D137" s="444" t="s">
        <v>808</v>
      </c>
      <c r="E137" s="32" t="s">
        <v>957</v>
      </c>
      <c r="F137" s="395">
        <v>0.13789000000000001</v>
      </c>
      <c r="G137" s="395">
        <v>0.13789000000000001</v>
      </c>
      <c r="H137" s="395">
        <v>0.13789000000000001</v>
      </c>
      <c r="I137" s="395">
        <v>0.13789000000000001</v>
      </c>
      <c r="J137" s="395">
        <v>0.13789000000000001</v>
      </c>
      <c r="K137" s="395">
        <v>0.13789000000000001</v>
      </c>
      <c r="L137" s="395">
        <v>0.13789000000000001</v>
      </c>
      <c r="M137" s="395">
        <v>0.13789000000000001</v>
      </c>
      <c r="N137" s="395">
        <v>0.13789000000000001</v>
      </c>
      <c r="O137" s="395">
        <v>0.13789000000000001</v>
      </c>
      <c r="P137" s="395">
        <v>0.13789000000000001</v>
      </c>
      <c r="Q137" s="395">
        <v>0.13789000000000001</v>
      </c>
    </row>
    <row r="138" spans="1:18" x14ac:dyDescent="0.2">
      <c r="C138" s="32" t="s">
        <v>1066</v>
      </c>
      <c r="D138" s="444" t="s">
        <v>808</v>
      </c>
      <c r="E138" s="32" t="s">
        <v>957</v>
      </c>
      <c r="F138" s="395">
        <v>0.11253000000000001</v>
      </c>
      <c r="G138" s="395">
        <v>0.11253000000000001</v>
      </c>
      <c r="H138" s="395">
        <v>0.11253000000000001</v>
      </c>
      <c r="I138" s="395">
        <v>0.11253000000000001</v>
      </c>
      <c r="J138" s="395">
        <v>0.11253000000000001</v>
      </c>
      <c r="K138" s="395">
        <v>0.11253000000000001</v>
      </c>
      <c r="L138" s="395">
        <v>0.11253000000000001</v>
      </c>
      <c r="M138" s="395">
        <v>0.11253000000000001</v>
      </c>
      <c r="N138" s="395">
        <v>0.11253000000000001</v>
      </c>
      <c r="O138" s="395">
        <v>0.11253000000000001</v>
      </c>
      <c r="P138" s="395">
        <v>0.11253000000000001</v>
      </c>
      <c r="Q138" s="395">
        <v>0.11253000000000001</v>
      </c>
    </row>
    <row r="139" spans="1:18" x14ac:dyDescent="0.2">
      <c r="B139" s="336" t="s">
        <v>1081</v>
      </c>
      <c r="D139" s="444" t="s">
        <v>808</v>
      </c>
      <c r="E139" s="32" t="s">
        <v>957</v>
      </c>
      <c r="F139" s="395">
        <v>6.9999999999999999E-4</v>
      </c>
      <c r="G139" s="395">
        <v>6.9999999999999999E-4</v>
      </c>
      <c r="H139" s="395">
        <v>6.9999999999999999E-4</v>
      </c>
      <c r="I139" s="395">
        <v>6.9999999999999999E-4</v>
      </c>
      <c r="J139" s="395">
        <v>6.9999999999999999E-4</v>
      </c>
      <c r="K139" s="395">
        <v>6.9999999999999999E-4</v>
      </c>
      <c r="L139" s="395">
        <v>6.9999999999999999E-4</v>
      </c>
      <c r="M139" s="395">
        <v>6.9999999999999999E-4</v>
      </c>
      <c r="N139" s="395">
        <v>6.9999999999999999E-4</v>
      </c>
      <c r="O139" s="395">
        <v>6.9999999999999999E-4</v>
      </c>
      <c r="P139" s="395">
        <v>6.9999999999999999E-4</v>
      </c>
      <c r="Q139" s="395">
        <v>6.9999999999999999E-4</v>
      </c>
    </row>
    <row r="140" spans="1:18" x14ac:dyDescent="0.2">
      <c r="B140" s="32" t="s">
        <v>1082</v>
      </c>
      <c r="D140" s="444" t="s">
        <v>808</v>
      </c>
      <c r="E140" s="32" t="s">
        <v>957</v>
      </c>
      <c r="F140" s="395">
        <v>-5.0699999999999999E-3</v>
      </c>
      <c r="G140" s="395">
        <v>-5.0699999999999999E-3</v>
      </c>
      <c r="H140" s="395">
        <v>-5.0699999999999999E-3</v>
      </c>
      <c r="I140" s="395">
        <v>-5.0699999999999999E-3</v>
      </c>
      <c r="J140" s="395">
        <v>-5.0699999999999999E-3</v>
      </c>
      <c r="K140" s="395">
        <v>-5.0699999999999999E-3</v>
      </c>
      <c r="L140" s="395">
        <v>-5.0699999999999999E-3</v>
      </c>
      <c r="M140" s="395">
        <v>-5.0699999999999999E-3</v>
      </c>
      <c r="N140" s="395">
        <v>-5.0699999999999999E-3</v>
      </c>
      <c r="O140" s="395">
        <v>-5.0699999999999999E-3</v>
      </c>
      <c r="P140" s="395">
        <v>-5.0699999999999999E-3</v>
      </c>
      <c r="Q140" s="395">
        <v>-5.0699999999999999E-3</v>
      </c>
    </row>
    <row r="141" spans="1:18" x14ac:dyDescent="0.2">
      <c r="A141" s="336"/>
      <c r="B141" s="32" t="s">
        <v>1069</v>
      </c>
      <c r="D141" s="444" t="s">
        <v>808</v>
      </c>
      <c r="E141" s="32" t="s">
        <v>957</v>
      </c>
      <c r="F141" s="414">
        <v>1.1100000000000001</v>
      </c>
      <c r="G141" s="414">
        <v>1.1100000000000001</v>
      </c>
      <c r="H141" s="414">
        <v>1.1100000000000001</v>
      </c>
      <c r="I141" s="414">
        <v>1.1100000000000001</v>
      </c>
      <c r="J141" s="414">
        <v>1.1100000000000001</v>
      </c>
      <c r="K141" s="414">
        <v>1.1100000000000001</v>
      </c>
      <c r="L141" s="414">
        <v>1.1100000000000001</v>
      </c>
      <c r="M141" s="414">
        <v>1.1100000000000001</v>
      </c>
      <c r="N141" s="414">
        <v>1.1100000000000001</v>
      </c>
      <c r="O141" s="414">
        <v>1.1100000000000001</v>
      </c>
      <c r="P141" s="414">
        <v>1.1100000000000001</v>
      </c>
      <c r="Q141" s="414">
        <v>1.1100000000000001</v>
      </c>
    </row>
    <row r="142" spans="1:18" x14ac:dyDescent="0.2">
      <c r="B142" s="32" t="s">
        <v>1071</v>
      </c>
      <c r="D142" s="444" t="s">
        <v>808</v>
      </c>
      <c r="E142" s="32" t="s">
        <v>67</v>
      </c>
      <c r="F142" s="414">
        <v>124.1</v>
      </c>
      <c r="G142" s="414">
        <v>124.1</v>
      </c>
      <c r="H142" s="414">
        <v>124.1</v>
      </c>
      <c r="I142" s="414">
        <v>124.1</v>
      </c>
      <c r="J142" s="414">
        <v>124.1</v>
      </c>
      <c r="K142" s="414">
        <v>124.1</v>
      </c>
      <c r="L142" s="414">
        <v>124.1</v>
      </c>
      <c r="M142" s="414">
        <v>124.1</v>
      </c>
      <c r="N142" s="414">
        <v>124.1</v>
      </c>
      <c r="O142" s="414">
        <v>124.1</v>
      </c>
      <c r="P142" s="414">
        <v>124.1</v>
      </c>
      <c r="Q142" s="414">
        <v>124.1</v>
      </c>
    </row>
    <row r="144" spans="1:18" x14ac:dyDescent="0.2">
      <c r="B144" s="276" t="s">
        <v>1083</v>
      </c>
    </row>
    <row r="145" spans="1:18" x14ac:dyDescent="0.2">
      <c r="B145" s="32" t="s">
        <v>67</v>
      </c>
      <c r="E145" s="32" t="s">
        <v>67</v>
      </c>
      <c r="F145" s="397">
        <f>'JKP-3.1c - Data'!C143</f>
        <v>10</v>
      </c>
      <c r="G145" s="397">
        <f>'JKP-3.1c - Data'!D143</f>
        <v>10</v>
      </c>
      <c r="H145" s="397">
        <f>'JKP-3.1c - Data'!E143</f>
        <v>10</v>
      </c>
      <c r="I145" s="397">
        <f>'JKP-3.1c - Data'!F143</f>
        <v>10</v>
      </c>
      <c r="J145" s="397">
        <f>'JKP-3.1c - Data'!G143</f>
        <v>10</v>
      </c>
      <c r="K145" s="397">
        <f>'JKP-3.1c - Data'!H143</f>
        <v>10</v>
      </c>
      <c r="L145" s="397">
        <f>'JKP-3.1c - Data'!I143</f>
        <v>10</v>
      </c>
      <c r="M145" s="397">
        <f>'JKP-3.1c - Data'!J143</f>
        <v>10</v>
      </c>
      <c r="N145" s="397">
        <f>'JKP-3.1c - Data'!K143</f>
        <v>11</v>
      </c>
      <c r="O145" s="397">
        <f>'JKP-3.1c - Data'!L143</f>
        <v>12</v>
      </c>
      <c r="P145" s="397">
        <f>'JKP-3.1c - Data'!M143</f>
        <v>20</v>
      </c>
      <c r="Q145" s="397">
        <f>'JKP-3.1c - Data'!N143</f>
        <v>30</v>
      </c>
      <c r="R145" s="398">
        <f>SUM(F145:Q145)</f>
        <v>153</v>
      </c>
    </row>
    <row r="146" spans="1:18" x14ac:dyDescent="0.2">
      <c r="B146" s="32" t="s">
        <v>76</v>
      </c>
      <c r="D146" s="336"/>
      <c r="E146" s="336"/>
      <c r="F146" s="380"/>
      <c r="G146" s="380"/>
      <c r="H146" s="380"/>
      <c r="I146" s="380"/>
      <c r="J146" s="380"/>
      <c r="K146" s="380"/>
      <c r="L146" s="380"/>
      <c r="M146" s="380"/>
      <c r="N146" s="380"/>
      <c r="O146" s="380"/>
      <c r="P146" s="380"/>
      <c r="Q146" s="380"/>
      <c r="R146" s="378"/>
    </row>
    <row r="147" spans="1:18" x14ac:dyDescent="0.2">
      <c r="C147" s="32" t="s">
        <v>1073</v>
      </c>
      <c r="D147" s="444" t="s">
        <v>808</v>
      </c>
      <c r="E147" s="336" t="s">
        <v>10</v>
      </c>
      <c r="F147" s="380">
        <v>9000</v>
      </c>
      <c r="G147" s="380">
        <v>9000</v>
      </c>
      <c r="H147" s="380">
        <v>9000</v>
      </c>
      <c r="I147" s="380">
        <v>9000</v>
      </c>
      <c r="J147" s="380">
        <v>9000</v>
      </c>
      <c r="K147" s="380">
        <v>9000</v>
      </c>
      <c r="L147" s="380">
        <v>9000</v>
      </c>
      <c r="M147" s="380">
        <v>8730</v>
      </c>
      <c r="N147" s="380">
        <v>10283</v>
      </c>
      <c r="O147" s="380">
        <v>10800</v>
      </c>
      <c r="P147" s="380">
        <v>18000</v>
      </c>
      <c r="Q147" s="380">
        <v>27000</v>
      </c>
      <c r="R147" s="378">
        <f t="shared" ref="R147:R152" si="31">SUM(F147:Q147)</f>
        <v>137813</v>
      </c>
    </row>
    <row r="148" spans="1:18" s="336" customFormat="1" x14ac:dyDescent="0.2">
      <c r="C148" s="32" t="s">
        <v>1074</v>
      </c>
      <c r="D148" s="444" t="s">
        <v>808</v>
      </c>
      <c r="E148" s="336" t="s">
        <v>10</v>
      </c>
      <c r="F148" s="380">
        <v>33855</v>
      </c>
      <c r="G148" s="380">
        <v>32604</v>
      </c>
      <c r="H148" s="380">
        <v>33321</v>
      </c>
      <c r="I148" s="380">
        <v>31834</v>
      </c>
      <c r="J148" s="380">
        <v>31568</v>
      </c>
      <c r="K148" s="380">
        <v>28419</v>
      </c>
      <c r="L148" s="380">
        <v>27720</v>
      </c>
      <c r="M148" s="380">
        <v>24993</v>
      </c>
      <c r="N148" s="380">
        <v>32804</v>
      </c>
      <c r="O148" s="380">
        <v>35856</v>
      </c>
      <c r="P148" s="380">
        <v>71760</v>
      </c>
      <c r="Q148" s="380">
        <v>112844</v>
      </c>
      <c r="R148" s="378">
        <f t="shared" si="31"/>
        <v>497578</v>
      </c>
    </row>
    <row r="149" spans="1:18" s="336" customFormat="1" x14ac:dyDescent="0.2">
      <c r="C149" s="32" t="s">
        <v>1066</v>
      </c>
      <c r="D149" s="444" t="s">
        <v>808</v>
      </c>
      <c r="E149" s="336" t="s">
        <v>10</v>
      </c>
      <c r="F149" s="378">
        <f t="shared" ref="F149:Q149" si="32">F150-F147-F148</f>
        <v>57836</v>
      </c>
      <c r="G149" s="378">
        <f t="shared" si="32"/>
        <v>55602</v>
      </c>
      <c r="H149" s="378">
        <f t="shared" si="32"/>
        <v>75339</v>
      </c>
      <c r="I149" s="378">
        <f t="shared" si="32"/>
        <v>73828</v>
      </c>
      <c r="J149" s="378">
        <f t="shared" si="32"/>
        <v>62393</v>
      </c>
      <c r="K149" s="378">
        <f t="shared" si="32"/>
        <v>52202</v>
      </c>
      <c r="L149" s="378">
        <f t="shared" si="32"/>
        <v>59668</v>
      </c>
      <c r="M149" s="378">
        <f t="shared" si="32"/>
        <v>56940</v>
      </c>
      <c r="N149" s="378">
        <f t="shared" si="32"/>
        <v>88560</v>
      </c>
      <c r="O149" s="378">
        <f t="shared" si="32"/>
        <v>90619</v>
      </c>
      <c r="P149" s="378">
        <f t="shared" si="32"/>
        <v>138545</v>
      </c>
      <c r="Q149" s="378">
        <f t="shared" si="32"/>
        <v>178640</v>
      </c>
      <c r="R149" s="378">
        <f t="shared" si="31"/>
        <v>990172</v>
      </c>
    </row>
    <row r="150" spans="1:18" x14ac:dyDescent="0.2">
      <c r="C150" s="32" t="s">
        <v>1075</v>
      </c>
      <c r="D150" s="444" t="s">
        <v>808</v>
      </c>
      <c r="E150" s="32" t="s">
        <v>10</v>
      </c>
      <c r="F150" s="443">
        <f>'JKP-3.1c - Therms Data'!E71</f>
        <v>100691</v>
      </c>
      <c r="G150" s="443">
        <f>'JKP-3.1c - Therms Data'!F71</f>
        <v>97206</v>
      </c>
      <c r="H150" s="443">
        <f>'JKP-3.1c - Therms Data'!G71</f>
        <v>117660</v>
      </c>
      <c r="I150" s="443">
        <f>'JKP-3.1c - Therms Data'!H71</f>
        <v>114662</v>
      </c>
      <c r="J150" s="443">
        <f>'JKP-3.1c - Therms Data'!I71</f>
        <v>102961</v>
      </c>
      <c r="K150" s="443">
        <f>'JKP-3.1c - Therms Data'!J71</f>
        <v>89621</v>
      </c>
      <c r="L150" s="443">
        <f>'JKP-3.1c - Therms Data'!K71</f>
        <v>96388</v>
      </c>
      <c r="M150" s="443">
        <f>'JKP-3.1c - Therms Data'!L71</f>
        <v>90663</v>
      </c>
      <c r="N150" s="443">
        <f>'JKP-3.1c - Therms Data'!M71</f>
        <v>131647</v>
      </c>
      <c r="O150" s="443">
        <f>'JKP-3.1c - Therms Data'!N71</f>
        <v>137275</v>
      </c>
      <c r="P150" s="443">
        <f>'JKP-3.1c - Therms Data'!O71</f>
        <v>228305</v>
      </c>
      <c r="Q150" s="443">
        <f>'JKP-3.1c - Therms Data'!P71</f>
        <v>318484</v>
      </c>
      <c r="R150" s="430">
        <f t="shared" si="31"/>
        <v>1625563</v>
      </c>
    </row>
    <row r="151" spans="1:18" s="336" customFormat="1" x14ac:dyDescent="0.2">
      <c r="B151" s="336" t="s">
        <v>74</v>
      </c>
      <c r="D151" s="444" t="s">
        <v>808</v>
      </c>
      <c r="E151" s="336" t="s">
        <v>1076</v>
      </c>
      <c r="F151" s="421">
        <f>'JKP-3.1c - Data'!C164</f>
        <v>6680</v>
      </c>
      <c r="G151" s="421">
        <f>'JKP-3.1c - Data'!D164</f>
        <v>6680</v>
      </c>
      <c r="H151" s="421">
        <f>'JKP-3.1c - Data'!E164</f>
        <v>6680</v>
      </c>
      <c r="I151" s="421">
        <f>'JKP-3.1c - Data'!F164</f>
        <v>6680</v>
      </c>
      <c r="J151" s="421">
        <f>'JKP-3.1c - Data'!G164</f>
        <v>6679.9999999999991</v>
      </c>
      <c r="K151" s="421">
        <f>'JKP-3.1c - Data'!H164</f>
        <v>6680</v>
      </c>
      <c r="L151" s="421">
        <f>'JKP-3.1c - Data'!I164</f>
        <v>5996</v>
      </c>
      <c r="M151" s="421">
        <f>'JKP-3.1c - Data'!J164</f>
        <v>5996</v>
      </c>
      <c r="N151" s="421">
        <f>'JKP-3.1c - Data'!K164</f>
        <v>5996</v>
      </c>
      <c r="O151" s="421">
        <f>'JKP-3.1c - Data'!L164</f>
        <v>8026</v>
      </c>
      <c r="P151" s="421">
        <f>'JKP-3.1c - Data'!M164</f>
        <v>8026</v>
      </c>
      <c r="Q151" s="421">
        <f>'JKP-3.1c - Data'!N164</f>
        <v>12103</v>
      </c>
      <c r="R151" s="378">
        <f t="shared" si="31"/>
        <v>86223</v>
      </c>
    </row>
    <row r="152" spans="1:18" s="336" customFormat="1" x14ac:dyDescent="0.2">
      <c r="B152" s="336" t="s">
        <v>1071</v>
      </c>
      <c r="D152" s="444" t="s">
        <v>808</v>
      </c>
      <c r="E152" s="336" t="s">
        <v>67</v>
      </c>
      <c r="F152" s="398">
        <f t="shared" ref="F152:M152" si="33">F145</f>
        <v>10</v>
      </c>
      <c r="G152" s="398">
        <f t="shared" si="33"/>
        <v>10</v>
      </c>
      <c r="H152" s="398">
        <f t="shared" si="33"/>
        <v>10</v>
      </c>
      <c r="I152" s="398">
        <f t="shared" si="33"/>
        <v>10</v>
      </c>
      <c r="J152" s="398">
        <f t="shared" si="33"/>
        <v>10</v>
      </c>
      <c r="K152" s="398">
        <f t="shared" si="33"/>
        <v>10</v>
      </c>
      <c r="L152" s="398">
        <f t="shared" si="33"/>
        <v>10</v>
      </c>
      <c r="M152" s="398">
        <f t="shared" si="33"/>
        <v>10</v>
      </c>
      <c r="N152" s="398">
        <f>N145</f>
        <v>11</v>
      </c>
      <c r="O152" s="398">
        <f>O145</f>
        <v>12</v>
      </c>
      <c r="P152" s="398">
        <f>P145</f>
        <v>20</v>
      </c>
      <c r="Q152" s="398">
        <f>Q145</f>
        <v>30</v>
      </c>
      <c r="R152" s="398">
        <f t="shared" si="31"/>
        <v>153</v>
      </c>
    </row>
    <row r="153" spans="1:18" x14ac:dyDescent="0.2">
      <c r="F153" s="279"/>
      <c r="G153" s="279"/>
      <c r="H153" s="279"/>
      <c r="I153" s="279"/>
      <c r="J153" s="279"/>
      <c r="K153" s="279"/>
      <c r="L153" s="279"/>
      <c r="M153" s="279"/>
      <c r="N153" s="279"/>
      <c r="O153" s="279"/>
      <c r="P153" s="279"/>
      <c r="Q153" s="279"/>
      <c r="R153" s="279"/>
    </row>
    <row r="154" spans="1:18" x14ac:dyDescent="0.2">
      <c r="B154" s="276" t="s">
        <v>1084</v>
      </c>
    </row>
    <row r="155" spans="1:18" x14ac:dyDescent="0.2">
      <c r="A155" s="32" t="s">
        <v>1054</v>
      </c>
      <c r="B155" s="32" t="s">
        <v>1059</v>
      </c>
      <c r="D155" s="444" t="s">
        <v>808</v>
      </c>
      <c r="F155" s="364">
        <f t="shared" ref="F155:Q155" si="34">F135*F145</f>
        <v>4146.8</v>
      </c>
      <c r="G155" s="364">
        <f t="shared" si="34"/>
        <v>4146.8</v>
      </c>
      <c r="H155" s="364">
        <f t="shared" si="34"/>
        <v>4146.8</v>
      </c>
      <c r="I155" s="364">
        <f t="shared" si="34"/>
        <v>4146.8</v>
      </c>
      <c r="J155" s="364">
        <f t="shared" si="34"/>
        <v>4146.8</v>
      </c>
      <c r="K155" s="364">
        <f t="shared" si="34"/>
        <v>4146.8</v>
      </c>
      <c r="L155" s="364">
        <f t="shared" si="34"/>
        <v>4146.8</v>
      </c>
      <c r="M155" s="364">
        <f t="shared" si="34"/>
        <v>4146.8</v>
      </c>
      <c r="N155" s="364">
        <f t="shared" si="34"/>
        <v>4561.4800000000005</v>
      </c>
      <c r="O155" s="364">
        <f t="shared" si="34"/>
        <v>4976.16</v>
      </c>
      <c r="P155" s="364">
        <f t="shared" si="34"/>
        <v>8293.6</v>
      </c>
      <c r="Q155" s="364">
        <f t="shared" si="34"/>
        <v>12440.4</v>
      </c>
      <c r="R155" s="364">
        <f>SUM(F155:Q155)</f>
        <v>63446.040000000008</v>
      </c>
    </row>
    <row r="156" spans="1:18" x14ac:dyDescent="0.2">
      <c r="B156" s="32" t="s">
        <v>1047</v>
      </c>
      <c r="F156" s="364"/>
      <c r="G156" s="364"/>
      <c r="H156" s="364"/>
      <c r="I156" s="364"/>
      <c r="J156" s="364"/>
      <c r="K156" s="364"/>
      <c r="L156" s="364"/>
      <c r="M156" s="364"/>
      <c r="N156" s="364"/>
      <c r="O156" s="364"/>
      <c r="P156" s="364"/>
      <c r="Q156" s="364"/>
      <c r="R156" s="364"/>
    </row>
    <row r="157" spans="1:18" x14ac:dyDescent="0.2">
      <c r="C157" s="32" t="s">
        <v>1073</v>
      </c>
      <c r="F157" s="350">
        <v>0</v>
      </c>
      <c r="G157" s="350">
        <v>0</v>
      </c>
      <c r="H157" s="350">
        <v>0</v>
      </c>
      <c r="I157" s="350">
        <v>0</v>
      </c>
      <c r="J157" s="350">
        <v>0</v>
      </c>
      <c r="K157" s="350">
        <v>0</v>
      </c>
      <c r="L157" s="350">
        <v>0</v>
      </c>
      <c r="M157" s="350">
        <v>0</v>
      </c>
      <c r="N157" s="350">
        <v>0</v>
      </c>
      <c r="O157" s="350">
        <v>0</v>
      </c>
      <c r="P157" s="350">
        <v>0</v>
      </c>
      <c r="Q157" s="350">
        <v>0</v>
      </c>
      <c r="R157" s="350">
        <f t="shared" ref="R157:R164" si="35">SUM(F157:Q157)</f>
        <v>0</v>
      </c>
    </row>
    <row r="158" spans="1:18" x14ac:dyDescent="0.2">
      <c r="C158" s="32" t="s">
        <v>1074</v>
      </c>
      <c r="D158" s="444" t="s">
        <v>808</v>
      </c>
      <c r="F158" s="364">
        <f t="shared" ref="F158:Q159" si="36">F137*F148</f>
        <v>4668.26595</v>
      </c>
      <c r="G158" s="364">
        <f t="shared" si="36"/>
        <v>4495.7655600000007</v>
      </c>
      <c r="H158" s="364">
        <f t="shared" si="36"/>
        <v>4594.6326900000004</v>
      </c>
      <c r="I158" s="364">
        <f t="shared" si="36"/>
        <v>4389.5902600000009</v>
      </c>
      <c r="J158" s="364">
        <f t="shared" si="36"/>
        <v>4352.9115200000006</v>
      </c>
      <c r="K158" s="364">
        <f t="shared" si="36"/>
        <v>3918.6959100000004</v>
      </c>
      <c r="L158" s="364">
        <f t="shared" si="36"/>
        <v>3822.3108000000002</v>
      </c>
      <c r="M158" s="364">
        <f t="shared" si="36"/>
        <v>3446.2847700000002</v>
      </c>
      <c r="N158" s="364">
        <f t="shared" si="36"/>
        <v>4523.3435600000003</v>
      </c>
      <c r="O158" s="364">
        <f t="shared" si="36"/>
        <v>4944.1838400000006</v>
      </c>
      <c r="P158" s="364">
        <f t="shared" si="36"/>
        <v>9894.9864000000016</v>
      </c>
      <c r="Q158" s="364">
        <f t="shared" si="36"/>
        <v>15560.059160000001</v>
      </c>
      <c r="R158" s="364">
        <f t="shared" si="35"/>
        <v>68611.03042000001</v>
      </c>
    </row>
    <row r="159" spans="1:18" x14ac:dyDescent="0.2">
      <c r="C159" s="32" t="s">
        <v>1066</v>
      </c>
      <c r="D159" s="444" t="s">
        <v>808</v>
      </c>
      <c r="F159" s="364">
        <f t="shared" si="36"/>
        <v>6508.2850800000006</v>
      </c>
      <c r="G159" s="364">
        <f t="shared" si="36"/>
        <v>6256.8930600000003</v>
      </c>
      <c r="H159" s="364">
        <f t="shared" si="36"/>
        <v>8477.8976700000003</v>
      </c>
      <c r="I159" s="364">
        <f t="shared" si="36"/>
        <v>8307.8648400000002</v>
      </c>
      <c r="J159" s="364">
        <f t="shared" si="36"/>
        <v>7021.0842900000007</v>
      </c>
      <c r="K159" s="364">
        <f t="shared" si="36"/>
        <v>5874.2910600000005</v>
      </c>
      <c r="L159" s="364">
        <f t="shared" si="36"/>
        <v>6714.4400400000004</v>
      </c>
      <c r="M159" s="364">
        <f t="shared" si="36"/>
        <v>6407.4582</v>
      </c>
      <c r="N159" s="364">
        <f t="shared" si="36"/>
        <v>9965.6568000000007</v>
      </c>
      <c r="O159" s="364">
        <f t="shared" si="36"/>
        <v>10197.35607</v>
      </c>
      <c r="P159" s="364">
        <f t="shared" si="36"/>
        <v>15590.468850000001</v>
      </c>
      <c r="Q159" s="364">
        <f t="shared" si="36"/>
        <v>20102.359200000003</v>
      </c>
      <c r="R159" s="364">
        <f t="shared" si="35"/>
        <v>111424.05516000002</v>
      </c>
    </row>
    <row r="160" spans="1:18" x14ac:dyDescent="0.2">
      <c r="A160" s="32" t="s">
        <v>1054</v>
      </c>
      <c r="C160" s="32" t="s">
        <v>1077</v>
      </c>
      <c r="F160" s="365">
        <f t="shared" ref="F160:L160" si="37">SUM(F157:F159)</f>
        <v>11176.551030000001</v>
      </c>
      <c r="G160" s="365">
        <f t="shared" si="37"/>
        <v>10752.658620000002</v>
      </c>
      <c r="H160" s="365">
        <f t="shared" si="37"/>
        <v>13072.530360000001</v>
      </c>
      <c r="I160" s="365">
        <f t="shared" si="37"/>
        <v>12697.455100000001</v>
      </c>
      <c r="J160" s="365">
        <f t="shared" si="37"/>
        <v>11373.99581</v>
      </c>
      <c r="K160" s="365">
        <f t="shared" si="37"/>
        <v>9792.9869700000017</v>
      </c>
      <c r="L160" s="365">
        <f t="shared" si="37"/>
        <v>10536.750840000001</v>
      </c>
      <c r="M160" s="365">
        <f>SUM(M157:M159)</f>
        <v>9853.7429699999993</v>
      </c>
      <c r="N160" s="365">
        <f>SUM(N157:N159)</f>
        <v>14489.000360000002</v>
      </c>
      <c r="O160" s="365">
        <f>SUM(O157:O159)</f>
        <v>15141.53991</v>
      </c>
      <c r="P160" s="365">
        <f>SUM(P157:P159)</f>
        <v>25485.455250000003</v>
      </c>
      <c r="Q160" s="365">
        <f>SUM(Q157:Q159)</f>
        <v>35662.418360000003</v>
      </c>
      <c r="R160" s="365">
        <f t="shared" si="35"/>
        <v>180035.08558000001</v>
      </c>
    </row>
    <row r="161" spans="1:18" x14ac:dyDescent="0.2">
      <c r="A161" s="32" t="s">
        <v>1056</v>
      </c>
      <c r="B161" s="336" t="s">
        <v>1081</v>
      </c>
      <c r="D161" s="444" t="s">
        <v>808</v>
      </c>
      <c r="F161" s="418">
        <f t="shared" ref="F161:Q161" si="38">F139*F150</f>
        <v>70.483699999999999</v>
      </c>
      <c r="G161" s="418">
        <f t="shared" si="38"/>
        <v>68.044200000000004</v>
      </c>
      <c r="H161" s="418">
        <f t="shared" si="38"/>
        <v>82.361999999999995</v>
      </c>
      <c r="I161" s="418">
        <f t="shared" si="38"/>
        <v>80.263400000000004</v>
      </c>
      <c r="J161" s="418">
        <f t="shared" si="38"/>
        <v>72.072699999999998</v>
      </c>
      <c r="K161" s="418">
        <f t="shared" si="38"/>
        <v>62.734699999999997</v>
      </c>
      <c r="L161" s="418">
        <f t="shared" si="38"/>
        <v>67.471599999999995</v>
      </c>
      <c r="M161" s="418">
        <f t="shared" si="38"/>
        <v>63.464100000000002</v>
      </c>
      <c r="N161" s="418">
        <f t="shared" si="38"/>
        <v>92.152900000000002</v>
      </c>
      <c r="O161" s="418">
        <f t="shared" si="38"/>
        <v>96.092500000000001</v>
      </c>
      <c r="P161" s="418">
        <f t="shared" si="38"/>
        <v>159.8135</v>
      </c>
      <c r="Q161" s="418">
        <f t="shared" si="38"/>
        <v>222.93879999999999</v>
      </c>
      <c r="R161" s="418">
        <f t="shared" si="35"/>
        <v>1137.8941</v>
      </c>
    </row>
    <row r="162" spans="1:18" x14ac:dyDescent="0.2">
      <c r="A162" s="32" t="s">
        <v>1054</v>
      </c>
      <c r="B162" s="32" t="s">
        <v>1082</v>
      </c>
      <c r="F162" s="418">
        <f t="shared" ref="F162:Q164" si="39">F140*F150</f>
        <v>-510.50336999999996</v>
      </c>
      <c r="G162" s="418">
        <f t="shared" si="39"/>
        <v>-492.83441999999997</v>
      </c>
      <c r="H162" s="418">
        <f t="shared" si="39"/>
        <v>-596.53620000000001</v>
      </c>
      <c r="I162" s="418">
        <f t="shared" si="39"/>
        <v>-581.33633999999995</v>
      </c>
      <c r="J162" s="418">
        <f t="shared" si="39"/>
        <v>-522.01226999999994</v>
      </c>
      <c r="K162" s="418">
        <f t="shared" si="39"/>
        <v>-454.37846999999999</v>
      </c>
      <c r="L162" s="418">
        <f t="shared" si="39"/>
        <v>-488.68716000000001</v>
      </c>
      <c r="M162" s="418">
        <f t="shared" si="39"/>
        <v>-459.66140999999999</v>
      </c>
      <c r="N162" s="418">
        <f t="shared" si="39"/>
        <v>-667.45029</v>
      </c>
      <c r="O162" s="418">
        <f t="shared" si="39"/>
        <v>-695.98424999999997</v>
      </c>
      <c r="P162" s="418">
        <f t="shared" si="39"/>
        <v>-1157.5063499999999</v>
      </c>
      <c r="Q162" s="418">
        <f t="shared" si="39"/>
        <v>-1614.71388</v>
      </c>
      <c r="R162" s="418">
        <f t="shared" si="35"/>
        <v>-8241.6044099999981</v>
      </c>
    </row>
    <row r="163" spans="1:18" x14ac:dyDescent="0.2">
      <c r="A163" s="32" t="s">
        <v>1054</v>
      </c>
      <c r="B163" s="32" t="s">
        <v>1069</v>
      </c>
      <c r="D163" s="444" t="s">
        <v>808</v>
      </c>
      <c r="F163" s="364">
        <f t="shared" si="39"/>
        <v>7414.8000000000011</v>
      </c>
      <c r="G163" s="364">
        <f t="shared" si="39"/>
        <v>7414.8000000000011</v>
      </c>
      <c r="H163" s="364">
        <f t="shared" si="39"/>
        <v>7414.8000000000011</v>
      </c>
      <c r="I163" s="364">
        <f t="shared" si="39"/>
        <v>7414.8000000000011</v>
      </c>
      <c r="J163" s="364">
        <f t="shared" si="39"/>
        <v>7414.7999999999993</v>
      </c>
      <c r="K163" s="364">
        <f t="shared" si="39"/>
        <v>7414.8000000000011</v>
      </c>
      <c r="L163" s="364">
        <f t="shared" si="39"/>
        <v>6655.56</v>
      </c>
      <c r="M163" s="364">
        <f t="shared" si="39"/>
        <v>6655.56</v>
      </c>
      <c r="N163" s="364">
        <f t="shared" si="39"/>
        <v>6655.56</v>
      </c>
      <c r="O163" s="364">
        <f t="shared" si="39"/>
        <v>8908.86</v>
      </c>
      <c r="P163" s="364">
        <f t="shared" si="39"/>
        <v>8908.86</v>
      </c>
      <c r="Q163" s="364">
        <f t="shared" si="39"/>
        <v>13434.330000000002</v>
      </c>
      <c r="R163" s="364">
        <f t="shared" si="35"/>
        <v>95707.53</v>
      </c>
    </row>
    <row r="164" spans="1:18" s="336" customFormat="1" x14ac:dyDescent="0.2">
      <c r="A164" s="336" t="s">
        <v>1054</v>
      </c>
      <c r="B164" s="336" t="s">
        <v>1071</v>
      </c>
      <c r="D164" s="444" t="s">
        <v>808</v>
      </c>
      <c r="F164" s="418">
        <f t="shared" si="39"/>
        <v>1241</v>
      </c>
      <c r="G164" s="418">
        <f t="shared" si="39"/>
        <v>1241</v>
      </c>
      <c r="H164" s="418">
        <f t="shared" si="39"/>
        <v>1241</v>
      </c>
      <c r="I164" s="418">
        <f t="shared" si="39"/>
        <v>1241</v>
      </c>
      <c r="J164" s="418">
        <f t="shared" si="39"/>
        <v>1241</v>
      </c>
      <c r="K164" s="418">
        <f t="shared" si="39"/>
        <v>1241</v>
      </c>
      <c r="L164" s="418">
        <f t="shared" si="39"/>
        <v>1241</v>
      </c>
      <c r="M164" s="418">
        <f>M142*M152</f>
        <v>1241</v>
      </c>
      <c r="N164" s="418">
        <f>N142*N152</f>
        <v>1365.1</v>
      </c>
      <c r="O164" s="418">
        <f>O142*O152</f>
        <v>1489.1999999999998</v>
      </c>
      <c r="P164" s="418">
        <f>P142*P152</f>
        <v>2482</v>
      </c>
      <c r="Q164" s="418">
        <f>Q142*Q152</f>
        <v>3723</v>
      </c>
      <c r="R164" s="418">
        <f t="shared" si="35"/>
        <v>18987.3</v>
      </c>
    </row>
    <row r="165" spans="1:18" x14ac:dyDescent="0.2">
      <c r="B165" s="32" t="s">
        <v>986</v>
      </c>
      <c r="F165" s="365">
        <f t="shared" ref="F165:R165" si="40">F155+F160+F163+F164+F161+F162</f>
        <v>23539.131360000003</v>
      </c>
      <c r="G165" s="365">
        <f t="shared" si="40"/>
        <v>23130.468400000002</v>
      </c>
      <c r="H165" s="365">
        <f t="shared" si="40"/>
        <v>25360.956160000005</v>
      </c>
      <c r="I165" s="365">
        <f t="shared" si="40"/>
        <v>24998.982160000003</v>
      </c>
      <c r="J165" s="365">
        <f t="shared" si="40"/>
        <v>23726.65624</v>
      </c>
      <c r="K165" s="365">
        <f t="shared" si="40"/>
        <v>22203.943200000005</v>
      </c>
      <c r="L165" s="365">
        <f t="shared" si="40"/>
        <v>22158.895280000001</v>
      </c>
      <c r="M165" s="365">
        <f t="shared" si="40"/>
        <v>21500.90566</v>
      </c>
      <c r="N165" s="365">
        <f t="shared" si="40"/>
        <v>26495.842970000002</v>
      </c>
      <c r="O165" s="365">
        <f t="shared" si="40"/>
        <v>29915.868159999998</v>
      </c>
      <c r="P165" s="365">
        <f t="shared" si="40"/>
        <v>44172.222399999999</v>
      </c>
      <c r="Q165" s="365">
        <f t="shared" si="40"/>
        <v>63868.373280000007</v>
      </c>
      <c r="R165" s="365">
        <f t="shared" si="40"/>
        <v>351072.24527000001</v>
      </c>
    </row>
    <row r="166" spans="1:18" x14ac:dyDescent="0.2">
      <c r="F166" s="364"/>
      <c r="G166" s="364"/>
      <c r="H166" s="364"/>
      <c r="I166" s="364"/>
      <c r="J166" s="364"/>
      <c r="K166" s="364"/>
      <c r="L166" s="364"/>
      <c r="M166" s="364"/>
      <c r="N166" s="364"/>
      <c r="O166" s="364"/>
      <c r="P166" s="364"/>
      <c r="Q166" s="364"/>
    </row>
    <row r="167" spans="1:18" x14ac:dyDescent="0.2">
      <c r="A167" s="32" t="s">
        <v>1058</v>
      </c>
      <c r="B167" s="32" t="s">
        <v>1050</v>
      </c>
      <c r="F167" s="364">
        <f>F161</f>
        <v>70.483699999999999</v>
      </c>
      <c r="G167" s="364">
        <f t="shared" ref="G167:Q167" si="41">G161</f>
        <v>68.044200000000004</v>
      </c>
      <c r="H167" s="364">
        <f t="shared" si="41"/>
        <v>82.361999999999995</v>
      </c>
      <c r="I167" s="364">
        <f t="shared" si="41"/>
        <v>80.263400000000004</v>
      </c>
      <c r="J167" s="364">
        <f t="shared" si="41"/>
        <v>72.072699999999998</v>
      </c>
      <c r="K167" s="364">
        <f t="shared" si="41"/>
        <v>62.734699999999997</v>
      </c>
      <c r="L167" s="364">
        <f t="shared" si="41"/>
        <v>67.471599999999995</v>
      </c>
      <c r="M167" s="364">
        <f t="shared" si="41"/>
        <v>63.464100000000002</v>
      </c>
      <c r="N167" s="364">
        <f t="shared" si="41"/>
        <v>92.152900000000002</v>
      </c>
      <c r="O167" s="364">
        <f t="shared" si="41"/>
        <v>96.092500000000001</v>
      </c>
      <c r="P167" s="364">
        <f t="shared" si="41"/>
        <v>159.8135</v>
      </c>
      <c r="Q167" s="364">
        <f t="shared" si="41"/>
        <v>222.93879999999999</v>
      </c>
      <c r="R167" s="364">
        <f>SUM(F167:Q167)</f>
        <v>1137.8941</v>
      </c>
    </row>
    <row r="168" spans="1:18" x14ac:dyDescent="0.2">
      <c r="F168" s="364"/>
      <c r="G168" s="364"/>
      <c r="H168" s="364"/>
      <c r="I168" s="364"/>
      <c r="J168" s="364"/>
      <c r="K168" s="364"/>
      <c r="L168" s="364"/>
      <c r="M168" s="364"/>
      <c r="N168" s="364"/>
      <c r="O168" s="364"/>
      <c r="P168" s="364"/>
      <c r="Q168" s="364"/>
    </row>
    <row r="169" spans="1:18" s="336" customFormat="1" x14ac:dyDescent="0.2">
      <c r="B169" s="182" t="s">
        <v>1085</v>
      </c>
      <c r="C169" s="182"/>
    </row>
    <row r="170" spans="1:18" x14ac:dyDescent="0.2">
      <c r="B170" s="276" t="s">
        <v>5</v>
      </c>
      <c r="C170" s="276"/>
      <c r="D170" s="444"/>
    </row>
    <row r="171" spans="1:18" x14ac:dyDescent="0.2">
      <c r="B171" s="32" t="s">
        <v>1059</v>
      </c>
      <c r="D171" s="444" t="s">
        <v>809</v>
      </c>
      <c r="E171" s="32" t="s">
        <v>976</v>
      </c>
      <c r="F171" s="414">
        <v>871.59</v>
      </c>
      <c r="G171" s="414">
        <v>871.59</v>
      </c>
      <c r="H171" s="414">
        <v>871.59</v>
      </c>
      <c r="I171" s="414">
        <v>871.59</v>
      </c>
      <c r="J171" s="414">
        <v>871.59</v>
      </c>
      <c r="K171" s="414">
        <v>871.59</v>
      </c>
      <c r="L171" s="414">
        <v>871.59</v>
      </c>
      <c r="M171" s="414">
        <v>871.59</v>
      </c>
      <c r="N171" s="414">
        <v>871.59</v>
      </c>
      <c r="O171" s="414">
        <v>871.59</v>
      </c>
      <c r="P171" s="414">
        <v>871.59</v>
      </c>
      <c r="Q171" s="414">
        <v>871.59</v>
      </c>
    </row>
    <row r="172" spans="1:18" x14ac:dyDescent="0.2">
      <c r="B172" s="32" t="s">
        <v>1047</v>
      </c>
      <c r="D172" s="444"/>
      <c r="F172" s="393"/>
      <c r="G172" s="393"/>
      <c r="H172" s="393"/>
      <c r="I172" s="393"/>
      <c r="J172" s="393"/>
      <c r="K172" s="393"/>
      <c r="L172" s="393"/>
      <c r="M172" s="393"/>
      <c r="N172" s="393"/>
      <c r="O172" s="393"/>
      <c r="P172" s="393"/>
      <c r="Q172" s="393"/>
    </row>
    <row r="173" spans="1:18" x14ac:dyDescent="0.2">
      <c r="C173" s="32" t="s">
        <v>1086</v>
      </c>
      <c r="D173" s="444" t="s">
        <v>809</v>
      </c>
      <c r="E173" s="32" t="s">
        <v>957</v>
      </c>
      <c r="F173" s="440">
        <v>0.10229000000000001</v>
      </c>
      <c r="G173" s="440">
        <v>0.10229000000000001</v>
      </c>
      <c r="H173" s="440">
        <v>0.10229000000000001</v>
      </c>
      <c r="I173" s="440">
        <v>0.10229000000000001</v>
      </c>
      <c r="J173" s="440">
        <v>0.10229000000000001</v>
      </c>
      <c r="K173" s="440">
        <v>0.10229000000000001</v>
      </c>
      <c r="L173" s="440">
        <v>0.10229000000000001</v>
      </c>
      <c r="M173" s="440">
        <v>0.10229000000000001</v>
      </c>
      <c r="N173" s="440">
        <v>0.10229000000000001</v>
      </c>
      <c r="O173" s="440">
        <v>0.10229000000000001</v>
      </c>
      <c r="P173" s="440">
        <v>0.10229000000000001</v>
      </c>
      <c r="Q173" s="440">
        <v>0.10229000000000001</v>
      </c>
    </row>
    <row r="174" spans="1:18" x14ac:dyDescent="0.2">
      <c r="C174" s="32" t="s">
        <v>1087</v>
      </c>
      <c r="D174" s="444" t="s">
        <v>809</v>
      </c>
      <c r="E174" s="32" t="s">
        <v>957</v>
      </c>
      <c r="F174" s="440">
        <v>5.2440000000000001E-2</v>
      </c>
      <c r="G174" s="440">
        <v>5.2440000000000001E-2</v>
      </c>
      <c r="H174" s="440">
        <v>5.2440000000000001E-2</v>
      </c>
      <c r="I174" s="440">
        <v>5.2440000000000001E-2</v>
      </c>
      <c r="J174" s="440">
        <v>5.2440000000000001E-2</v>
      </c>
      <c r="K174" s="440">
        <v>5.2440000000000001E-2</v>
      </c>
      <c r="L174" s="440">
        <v>5.2440000000000001E-2</v>
      </c>
      <c r="M174" s="440">
        <v>5.2440000000000001E-2</v>
      </c>
      <c r="N174" s="440">
        <v>5.2440000000000001E-2</v>
      </c>
      <c r="O174" s="440">
        <v>5.2440000000000001E-2</v>
      </c>
      <c r="P174" s="440">
        <v>5.2440000000000001E-2</v>
      </c>
      <c r="Q174" s="440">
        <v>5.2440000000000001E-2</v>
      </c>
    </row>
    <row r="175" spans="1:18" x14ac:dyDescent="0.2">
      <c r="C175" s="32" t="s">
        <v>1088</v>
      </c>
      <c r="D175" s="444" t="s">
        <v>809</v>
      </c>
      <c r="E175" s="32" t="s">
        <v>957</v>
      </c>
      <c r="F175" s="440">
        <v>5.033E-2</v>
      </c>
      <c r="G175" s="440">
        <v>5.033E-2</v>
      </c>
      <c r="H175" s="440">
        <v>5.033E-2</v>
      </c>
      <c r="I175" s="440">
        <v>5.033E-2</v>
      </c>
      <c r="J175" s="440">
        <v>5.033E-2</v>
      </c>
      <c r="K175" s="440">
        <v>5.033E-2</v>
      </c>
      <c r="L175" s="440">
        <v>5.033E-2</v>
      </c>
      <c r="M175" s="440">
        <v>5.033E-2</v>
      </c>
      <c r="N175" s="440">
        <v>5.033E-2</v>
      </c>
      <c r="O175" s="440">
        <v>5.033E-2</v>
      </c>
      <c r="P175" s="440">
        <v>5.033E-2</v>
      </c>
      <c r="Q175" s="440">
        <v>5.033E-2</v>
      </c>
    </row>
    <row r="176" spans="1:18" s="336" customFormat="1" x14ac:dyDescent="0.2">
      <c r="B176" s="336" t="s">
        <v>1081</v>
      </c>
      <c r="D176" s="382" t="s">
        <v>809</v>
      </c>
      <c r="E176" s="336" t="s">
        <v>957</v>
      </c>
      <c r="F176" s="440">
        <v>6.9999999999999999E-4</v>
      </c>
      <c r="G176" s="440">
        <v>6.9999999999999999E-4</v>
      </c>
      <c r="H176" s="440">
        <v>6.9999999999999999E-4</v>
      </c>
      <c r="I176" s="440">
        <v>6.9999999999999999E-4</v>
      </c>
      <c r="J176" s="440">
        <v>6.9999999999999999E-4</v>
      </c>
      <c r="K176" s="440">
        <v>6.9999999999999999E-4</v>
      </c>
      <c r="L176" s="440">
        <v>6.9999999999999999E-4</v>
      </c>
      <c r="M176" s="440">
        <v>6.9999999999999999E-4</v>
      </c>
      <c r="N176" s="440">
        <v>6.9999999999999999E-4</v>
      </c>
      <c r="O176" s="440">
        <v>6.9999999999999999E-4</v>
      </c>
      <c r="P176" s="440">
        <v>6.9999999999999999E-4</v>
      </c>
      <c r="Q176" s="440">
        <v>6.9999999999999999E-4</v>
      </c>
    </row>
    <row r="177" spans="1:18" s="336" customFormat="1" x14ac:dyDescent="0.2">
      <c r="B177" s="336" t="s">
        <v>1069</v>
      </c>
      <c r="D177" s="336">
        <v>101</v>
      </c>
      <c r="E177" s="336" t="s">
        <v>957</v>
      </c>
      <c r="F177" s="442">
        <v>1.1100000000000001</v>
      </c>
      <c r="G177" s="442">
        <v>1.1100000000000001</v>
      </c>
      <c r="H177" s="442">
        <v>1.1100000000000001</v>
      </c>
      <c r="I177" s="442">
        <v>1.1100000000000001</v>
      </c>
      <c r="J177" s="442">
        <v>1.1100000000000001</v>
      </c>
      <c r="K177" s="442">
        <v>1.1100000000000001</v>
      </c>
      <c r="L177" s="442">
        <v>1.1100000000000001</v>
      </c>
      <c r="M177" s="442">
        <v>1.1100000000000001</v>
      </c>
      <c r="N177" s="442">
        <v>1.1100000000000001</v>
      </c>
      <c r="O177" s="442">
        <v>1.1100000000000001</v>
      </c>
      <c r="P177" s="442">
        <v>1.1100000000000001</v>
      </c>
      <c r="Q177" s="442">
        <v>1.1100000000000001</v>
      </c>
    </row>
    <row r="178" spans="1:18" s="336" customFormat="1" x14ac:dyDescent="0.2">
      <c r="B178" s="336" t="s">
        <v>1071</v>
      </c>
      <c r="D178" s="382" t="s">
        <v>809</v>
      </c>
      <c r="E178" s="336" t="s">
        <v>67</v>
      </c>
      <c r="F178" s="442"/>
      <c r="G178" s="442"/>
      <c r="H178" s="442"/>
      <c r="I178" s="442"/>
      <c r="J178" s="442"/>
      <c r="K178" s="442"/>
      <c r="L178" s="442"/>
      <c r="M178" s="442"/>
      <c r="N178" s="442"/>
      <c r="O178" s="442"/>
      <c r="P178" s="442"/>
      <c r="Q178" s="442"/>
    </row>
    <row r="179" spans="1:18" s="336" customFormat="1" x14ac:dyDescent="0.2"/>
    <row r="180" spans="1:18" s="336" customFormat="1" x14ac:dyDescent="0.2">
      <c r="B180" s="182" t="s">
        <v>982</v>
      </c>
    </row>
    <row r="181" spans="1:18" s="336" customFormat="1" x14ac:dyDescent="0.2">
      <c r="B181" s="336" t="s">
        <v>67</v>
      </c>
      <c r="D181" s="444" t="s">
        <v>809</v>
      </c>
      <c r="E181" s="336" t="s">
        <v>67</v>
      </c>
      <c r="F181" s="421">
        <f>'JKP-3.1c - Data'!C148</f>
        <v>35</v>
      </c>
      <c r="G181" s="421">
        <f>'JKP-3.1c - Data'!D148</f>
        <v>37</v>
      </c>
      <c r="H181" s="421">
        <f>'JKP-3.1c - Data'!E148</f>
        <v>36</v>
      </c>
      <c r="I181" s="421">
        <f>'JKP-3.1c - Data'!F148</f>
        <v>36</v>
      </c>
      <c r="J181" s="421">
        <f>'JKP-3.1c - Data'!G148</f>
        <v>37</v>
      </c>
      <c r="K181" s="421">
        <f>'JKP-3.1c - Data'!H148</f>
        <v>37</v>
      </c>
      <c r="L181" s="421">
        <f>'JKP-3.1c - Data'!I148</f>
        <v>37</v>
      </c>
      <c r="M181" s="421">
        <f>'JKP-3.1c - Data'!J148</f>
        <v>37</v>
      </c>
      <c r="N181" s="421">
        <f>'JKP-3.1c - Data'!K148</f>
        <v>37</v>
      </c>
      <c r="O181" s="421">
        <f>'JKP-3.1c - Data'!L148</f>
        <v>36</v>
      </c>
      <c r="P181" s="421">
        <f>'JKP-3.1c - Data'!M148</f>
        <v>35</v>
      </c>
      <c r="Q181" s="421">
        <f>'JKP-3.1c - Data'!N148</f>
        <v>35</v>
      </c>
      <c r="R181" s="362">
        <f>SUM(F181:Q181)</f>
        <v>435</v>
      </c>
    </row>
    <row r="182" spans="1:18" s="336" customFormat="1" x14ac:dyDescent="0.2">
      <c r="B182" s="336" t="s">
        <v>76</v>
      </c>
      <c r="F182" s="380"/>
      <c r="G182" s="380"/>
      <c r="H182" s="380"/>
      <c r="I182" s="380"/>
      <c r="J182" s="380"/>
      <c r="K182" s="380"/>
      <c r="L182" s="380"/>
      <c r="M182" s="380"/>
      <c r="N182" s="380"/>
      <c r="O182" s="380"/>
      <c r="P182" s="380"/>
      <c r="Q182" s="380"/>
    </row>
    <row r="183" spans="1:18" s="336" customFormat="1" x14ac:dyDescent="0.2">
      <c r="C183" s="336" t="s">
        <v>1086</v>
      </c>
      <c r="D183" s="444" t="s">
        <v>809</v>
      </c>
      <c r="E183" s="336" t="s">
        <v>10</v>
      </c>
      <c r="F183" s="380">
        <v>835710</v>
      </c>
      <c r="G183" s="380">
        <v>829317</v>
      </c>
      <c r="H183" s="380">
        <v>856671</v>
      </c>
      <c r="I183" s="380">
        <v>854188</v>
      </c>
      <c r="J183" s="380">
        <v>842571</v>
      </c>
      <c r="K183" s="380">
        <v>839353</v>
      </c>
      <c r="L183" s="380">
        <v>831109</v>
      </c>
      <c r="M183" s="380">
        <v>840441</v>
      </c>
      <c r="N183" s="380">
        <v>825435</v>
      </c>
      <c r="O183" s="380">
        <v>826176</v>
      </c>
      <c r="P183" s="380">
        <v>832441</v>
      </c>
      <c r="Q183" s="380">
        <v>797486</v>
      </c>
      <c r="R183" s="362">
        <f>SUM(F183:Q183)</f>
        <v>10010898</v>
      </c>
    </row>
    <row r="184" spans="1:18" s="336" customFormat="1" x14ac:dyDescent="0.2">
      <c r="C184" s="336" t="s">
        <v>1087</v>
      </c>
      <c r="D184" s="444" t="s">
        <v>809</v>
      </c>
      <c r="E184" s="336" t="s">
        <v>10</v>
      </c>
      <c r="F184" s="380">
        <v>562708</v>
      </c>
      <c r="G184" s="380">
        <v>542564</v>
      </c>
      <c r="H184" s="380">
        <v>572338</v>
      </c>
      <c r="I184" s="380">
        <v>560929</v>
      </c>
      <c r="J184" s="380">
        <v>542145</v>
      </c>
      <c r="K184" s="380">
        <v>532842</v>
      </c>
      <c r="L184" s="380">
        <v>501530</v>
      </c>
      <c r="M184" s="380">
        <v>522712</v>
      </c>
      <c r="N184" s="380">
        <v>504320</v>
      </c>
      <c r="O184" s="380">
        <v>546949</v>
      </c>
      <c r="P184" s="380">
        <v>561163</v>
      </c>
      <c r="Q184" s="380">
        <v>573133</v>
      </c>
      <c r="R184" s="362">
        <f>SUM(F184:Q184)</f>
        <v>6523333</v>
      </c>
    </row>
    <row r="185" spans="1:18" s="336" customFormat="1" x14ac:dyDescent="0.2">
      <c r="C185" s="336" t="s">
        <v>1088</v>
      </c>
      <c r="D185" s="444" t="s">
        <v>809</v>
      </c>
      <c r="E185" s="336" t="s">
        <v>10</v>
      </c>
      <c r="F185" s="378">
        <f t="shared" ref="F185:Q185" si="42">F186-F183-F184</f>
        <v>724575</v>
      </c>
      <c r="G185" s="378">
        <f t="shared" si="42"/>
        <v>540280</v>
      </c>
      <c r="H185" s="378">
        <f t="shared" si="42"/>
        <v>722420</v>
      </c>
      <c r="I185" s="378">
        <f t="shared" si="42"/>
        <v>566337</v>
      </c>
      <c r="J185" s="378">
        <f t="shared" si="42"/>
        <v>501703</v>
      </c>
      <c r="K185" s="378">
        <f t="shared" si="42"/>
        <v>398410</v>
      </c>
      <c r="L185" s="378">
        <f t="shared" si="42"/>
        <v>331802</v>
      </c>
      <c r="M185" s="378">
        <f t="shared" si="42"/>
        <v>358067</v>
      </c>
      <c r="N185" s="378">
        <f t="shared" si="42"/>
        <v>372450</v>
      </c>
      <c r="O185" s="378">
        <f t="shared" si="42"/>
        <v>567828</v>
      </c>
      <c r="P185" s="378">
        <f t="shared" si="42"/>
        <v>696923</v>
      </c>
      <c r="Q185" s="378">
        <f t="shared" si="42"/>
        <v>826761</v>
      </c>
      <c r="R185" s="362">
        <f>SUM(F185:Q185)</f>
        <v>6607556</v>
      </c>
    </row>
    <row r="186" spans="1:18" s="336" customFormat="1" x14ac:dyDescent="0.2">
      <c r="C186" s="336" t="s">
        <v>1075</v>
      </c>
      <c r="D186" s="444" t="s">
        <v>809</v>
      </c>
      <c r="E186" s="336" t="s">
        <v>10</v>
      </c>
      <c r="F186" s="445">
        <f>'JKP-3.1c - Therms Data'!E75</f>
        <v>2122993</v>
      </c>
      <c r="G186" s="445">
        <f>'JKP-3.1c - Therms Data'!F75</f>
        <v>1912161</v>
      </c>
      <c r="H186" s="445">
        <f>'JKP-3.1c - Therms Data'!G75</f>
        <v>2151429</v>
      </c>
      <c r="I186" s="445">
        <f>'JKP-3.1c - Therms Data'!H75</f>
        <v>1981454</v>
      </c>
      <c r="J186" s="445">
        <f>'JKP-3.1c - Therms Data'!I75</f>
        <v>1886419</v>
      </c>
      <c r="K186" s="445">
        <f>'JKP-3.1c - Therms Data'!J75</f>
        <v>1770605</v>
      </c>
      <c r="L186" s="445">
        <f>'JKP-3.1c - Therms Data'!K75</f>
        <v>1664441</v>
      </c>
      <c r="M186" s="445">
        <f>'JKP-3.1c - Therms Data'!L75</f>
        <v>1721220</v>
      </c>
      <c r="N186" s="445">
        <f>'JKP-3.1c - Therms Data'!M75</f>
        <v>1702205</v>
      </c>
      <c r="O186" s="445">
        <f>'JKP-3.1c - Therms Data'!N75</f>
        <v>1940953</v>
      </c>
      <c r="P186" s="445">
        <f>'JKP-3.1c - Therms Data'!O75</f>
        <v>2090527</v>
      </c>
      <c r="Q186" s="445">
        <f>'JKP-3.1c - Therms Data'!P75</f>
        <v>2197380</v>
      </c>
      <c r="R186" s="436">
        <f>SUM(F186:Q186)</f>
        <v>23141787</v>
      </c>
    </row>
    <row r="187" spans="1:18" s="336" customFormat="1" x14ac:dyDescent="0.2">
      <c r="B187" s="336" t="s">
        <v>74</v>
      </c>
      <c r="D187" s="444" t="s">
        <v>809</v>
      </c>
      <c r="E187" s="336" t="s">
        <v>1076</v>
      </c>
      <c r="F187" s="421">
        <f>'JKP-3.1c - Data'!C168</f>
        <v>22456</v>
      </c>
      <c r="G187" s="421">
        <f>'JKP-3.1c - Data'!D168</f>
        <v>24856</v>
      </c>
      <c r="H187" s="421">
        <f>'JKP-3.1c - Data'!E168</f>
        <v>23656</v>
      </c>
      <c r="I187" s="421">
        <f>'JKP-3.1c - Data'!F168</f>
        <v>23656</v>
      </c>
      <c r="J187" s="421">
        <f>'JKP-3.1c - Data'!G168</f>
        <v>23656</v>
      </c>
      <c r="K187" s="421">
        <f>'JKP-3.1c - Data'!H168</f>
        <v>23656</v>
      </c>
      <c r="L187" s="421">
        <f>'JKP-3.1c - Data'!I168</f>
        <v>23656</v>
      </c>
      <c r="M187" s="421">
        <f>'JKP-3.1c - Data'!J168</f>
        <v>23656</v>
      </c>
      <c r="N187" s="421">
        <f>'JKP-3.1c - Data'!K168</f>
        <v>23656</v>
      </c>
      <c r="O187" s="421">
        <f>'JKP-3.1c - Data'!L168</f>
        <v>21156</v>
      </c>
      <c r="P187" s="421">
        <f>'JKP-3.1c - Data'!M168</f>
        <v>19656</v>
      </c>
      <c r="Q187" s="421">
        <f>'JKP-3.1c - Data'!N168</f>
        <v>19356</v>
      </c>
      <c r="R187" s="362">
        <f>SUM(F187:Q187)</f>
        <v>273072</v>
      </c>
    </row>
    <row r="188" spans="1:18" s="336" customFormat="1" x14ac:dyDescent="0.2">
      <c r="B188" s="336" t="s">
        <v>1071</v>
      </c>
      <c r="F188" s="380"/>
      <c r="G188" s="380"/>
      <c r="H188" s="380"/>
      <c r="I188" s="380"/>
      <c r="J188" s="380"/>
      <c r="K188" s="380"/>
      <c r="L188" s="380"/>
      <c r="M188" s="380"/>
      <c r="N188" s="380"/>
      <c r="O188" s="380"/>
      <c r="P188" s="380"/>
      <c r="Q188" s="380"/>
    </row>
    <row r="189" spans="1:18" s="336" customFormat="1" x14ac:dyDescent="0.2"/>
    <row r="190" spans="1:18" s="336" customFormat="1" x14ac:dyDescent="0.2">
      <c r="B190" s="182" t="s">
        <v>985</v>
      </c>
    </row>
    <row r="191" spans="1:18" s="336" customFormat="1" x14ac:dyDescent="0.2">
      <c r="A191" s="336" t="s">
        <v>1054</v>
      </c>
      <c r="B191" s="336" t="s">
        <v>1059</v>
      </c>
      <c r="D191" s="382" t="s">
        <v>809</v>
      </c>
      <c r="F191" s="418">
        <f t="shared" ref="F191:Q191" si="43">F171*F181</f>
        <v>30505.65</v>
      </c>
      <c r="G191" s="418">
        <f t="shared" si="43"/>
        <v>32248.83</v>
      </c>
      <c r="H191" s="418">
        <f t="shared" si="43"/>
        <v>31377.24</v>
      </c>
      <c r="I191" s="418">
        <f t="shared" si="43"/>
        <v>31377.24</v>
      </c>
      <c r="J191" s="418">
        <f t="shared" si="43"/>
        <v>32248.83</v>
      </c>
      <c r="K191" s="418">
        <f t="shared" si="43"/>
        <v>32248.83</v>
      </c>
      <c r="L191" s="418">
        <f t="shared" si="43"/>
        <v>32248.83</v>
      </c>
      <c r="M191" s="418">
        <f t="shared" si="43"/>
        <v>32248.83</v>
      </c>
      <c r="N191" s="418">
        <f t="shared" si="43"/>
        <v>32248.83</v>
      </c>
      <c r="O191" s="418">
        <f t="shared" si="43"/>
        <v>31377.24</v>
      </c>
      <c r="P191" s="418">
        <f t="shared" si="43"/>
        <v>30505.65</v>
      </c>
      <c r="Q191" s="418">
        <f t="shared" si="43"/>
        <v>30505.65</v>
      </c>
      <c r="R191" s="418">
        <f>SUM(F191:Q191)</f>
        <v>379141.65000000008</v>
      </c>
    </row>
    <row r="192" spans="1:18" s="336" customFormat="1" x14ac:dyDescent="0.2">
      <c r="B192" s="336" t="s">
        <v>1047</v>
      </c>
      <c r="F192" s="418"/>
      <c r="G192" s="418"/>
      <c r="H192" s="418"/>
      <c r="I192" s="418"/>
      <c r="J192" s="418"/>
      <c r="K192" s="418"/>
      <c r="L192" s="418"/>
      <c r="M192" s="418"/>
      <c r="N192" s="418"/>
      <c r="O192" s="418"/>
      <c r="P192" s="418"/>
      <c r="Q192" s="418"/>
      <c r="R192" s="418"/>
    </row>
    <row r="193" spans="1:18" s="336" customFormat="1" x14ac:dyDescent="0.2">
      <c r="C193" s="336" t="s">
        <v>1086</v>
      </c>
      <c r="D193" s="382" t="s">
        <v>809</v>
      </c>
      <c r="F193" s="418">
        <f t="shared" ref="F193:Q195" si="44">F173*F183</f>
        <v>85484.775900000008</v>
      </c>
      <c r="G193" s="418">
        <f t="shared" si="44"/>
        <v>84830.835930000001</v>
      </c>
      <c r="H193" s="418">
        <f t="shared" si="44"/>
        <v>87628.87659</v>
      </c>
      <c r="I193" s="418">
        <f t="shared" si="44"/>
        <v>87374.890520000001</v>
      </c>
      <c r="J193" s="418">
        <f t="shared" si="44"/>
        <v>86186.58759000001</v>
      </c>
      <c r="K193" s="418">
        <f t="shared" si="44"/>
        <v>85857.418369999999</v>
      </c>
      <c r="L193" s="418">
        <f t="shared" si="44"/>
        <v>85014.139609999998</v>
      </c>
      <c r="M193" s="418">
        <f t="shared" si="44"/>
        <v>85968.709889999998</v>
      </c>
      <c r="N193" s="418">
        <f t="shared" si="44"/>
        <v>84433.746150000006</v>
      </c>
      <c r="O193" s="418">
        <f t="shared" si="44"/>
        <v>84509.543040000004</v>
      </c>
      <c r="P193" s="418">
        <f t="shared" si="44"/>
        <v>85150.389890000006</v>
      </c>
      <c r="Q193" s="418">
        <f t="shared" si="44"/>
        <v>81574.842940000002</v>
      </c>
      <c r="R193" s="418">
        <f t="shared" ref="R193:R199" si="45">SUM(F193:Q193)</f>
        <v>1024014.75642</v>
      </c>
    </row>
    <row r="194" spans="1:18" s="336" customFormat="1" x14ac:dyDescent="0.2">
      <c r="C194" s="336" t="s">
        <v>1087</v>
      </c>
      <c r="D194" s="382" t="s">
        <v>809</v>
      </c>
      <c r="F194" s="418">
        <f t="shared" si="44"/>
        <v>29508.407520000001</v>
      </c>
      <c r="G194" s="418">
        <f t="shared" si="44"/>
        <v>28452.05616</v>
      </c>
      <c r="H194" s="418">
        <f t="shared" si="44"/>
        <v>30013.404719999999</v>
      </c>
      <c r="I194" s="418">
        <f t="shared" si="44"/>
        <v>29415.116760000001</v>
      </c>
      <c r="J194" s="418">
        <f t="shared" si="44"/>
        <v>28430.0838</v>
      </c>
      <c r="K194" s="418">
        <f t="shared" si="44"/>
        <v>27942.234479999999</v>
      </c>
      <c r="L194" s="418">
        <f t="shared" si="44"/>
        <v>26300.233199999999</v>
      </c>
      <c r="M194" s="418">
        <f t="shared" si="44"/>
        <v>27411.01728</v>
      </c>
      <c r="N194" s="418">
        <f t="shared" si="44"/>
        <v>26446.540799999999</v>
      </c>
      <c r="O194" s="418">
        <f t="shared" si="44"/>
        <v>28682.005560000001</v>
      </c>
      <c r="P194" s="418">
        <f t="shared" si="44"/>
        <v>29427.387719999999</v>
      </c>
      <c r="Q194" s="418">
        <f t="shared" si="44"/>
        <v>30055.094519999999</v>
      </c>
      <c r="R194" s="418">
        <f t="shared" si="45"/>
        <v>342083.58251999994</v>
      </c>
    </row>
    <row r="195" spans="1:18" x14ac:dyDescent="0.2">
      <c r="C195" s="32" t="s">
        <v>1088</v>
      </c>
      <c r="D195" s="382" t="s">
        <v>809</v>
      </c>
      <c r="F195" s="364">
        <f t="shared" si="44"/>
        <v>36467.859750000003</v>
      </c>
      <c r="G195" s="364">
        <f t="shared" si="44"/>
        <v>27192.292399999998</v>
      </c>
      <c r="H195" s="364">
        <f t="shared" si="44"/>
        <v>36359.3986</v>
      </c>
      <c r="I195" s="364">
        <f t="shared" si="44"/>
        <v>28503.74121</v>
      </c>
      <c r="J195" s="364">
        <f t="shared" si="44"/>
        <v>25250.71199</v>
      </c>
      <c r="K195" s="364">
        <f t="shared" si="44"/>
        <v>20051.975299999998</v>
      </c>
      <c r="L195" s="364">
        <f t="shared" si="44"/>
        <v>16699.594659999999</v>
      </c>
      <c r="M195" s="364">
        <f t="shared" si="44"/>
        <v>18021.51211</v>
      </c>
      <c r="N195" s="364">
        <f t="shared" si="44"/>
        <v>18745.408500000001</v>
      </c>
      <c r="O195" s="364">
        <f t="shared" si="44"/>
        <v>28578.783240000001</v>
      </c>
      <c r="P195" s="364">
        <f t="shared" si="44"/>
        <v>35076.134590000001</v>
      </c>
      <c r="Q195" s="364">
        <f t="shared" si="44"/>
        <v>41610.881130000002</v>
      </c>
      <c r="R195" s="364">
        <f t="shared" si="45"/>
        <v>332558.29347999999</v>
      </c>
    </row>
    <row r="196" spans="1:18" x14ac:dyDescent="0.2">
      <c r="A196" s="32" t="s">
        <v>1054</v>
      </c>
      <c r="C196" s="32" t="s">
        <v>1077</v>
      </c>
      <c r="F196" s="365">
        <f t="shared" ref="F196:L196" si="46">SUM(F193:F195)</f>
        <v>151461.04317000002</v>
      </c>
      <c r="G196" s="365">
        <f t="shared" si="46"/>
        <v>140475.18449000001</v>
      </c>
      <c r="H196" s="365">
        <f t="shared" si="46"/>
        <v>154001.67991000001</v>
      </c>
      <c r="I196" s="365">
        <f t="shared" si="46"/>
        <v>145293.74849</v>
      </c>
      <c r="J196" s="365">
        <f t="shared" si="46"/>
        <v>139867.38338000001</v>
      </c>
      <c r="K196" s="365">
        <f t="shared" si="46"/>
        <v>133851.62815</v>
      </c>
      <c r="L196" s="365">
        <f t="shared" si="46"/>
        <v>128013.96747</v>
      </c>
      <c r="M196" s="365">
        <f>SUM(M193:M195)</f>
        <v>131401.23928000001</v>
      </c>
      <c r="N196" s="365">
        <f>SUM(N193:N195)</f>
        <v>129625.69545000001</v>
      </c>
      <c r="O196" s="365">
        <f>SUM(O193:O195)</f>
        <v>141770.33184</v>
      </c>
      <c r="P196" s="365">
        <f>SUM(P193:P195)</f>
        <v>149653.91220000002</v>
      </c>
      <c r="Q196" s="365">
        <f>SUM(Q193:Q195)</f>
        <v>153240.81859000001</v>
      </c>
      <c r="R196" s="365">
        <f t="shared" si="45"/>
        <v>1698656.6324200004</v>
      </c>
    </row>
    <row r="197" spans="1:18" x14ac:dyDescent="0.2">
      <c r="A197" s="32" t="s">
        <v>1056</v>
      </c>
      <c r="B197" s="336" t="s">
        <v>1081</v>
      </c>
      <c r="D197" s="382" t="s">
        <v>809</v>
      </c>
      <c r="F197" s="446">
        <f t="shared" ref="F197:Q198" si="47">F176*F186</f>
        <v>1486.0951</v>
      </c>
      <c r="G197" s="446">
        <f t="shared" si="47"/>
        <v>1338.5127</v>
      </c>
      <c r="H197" s="446">
        <f t="shared" si="47"/>
        <v>1506.0002999999999</v>
      </c>
      <c r="I197" s="446">
        <f t="shared" si="47"/>
        <v>1387.0178000000001</v>
      </c>
      <c r="J197" s="446">
        <f t="shared" si="47"/>
        <v>1320.4933000000001</v>
      </c>
      <c r="K197" s="446">
        <f t="shared" si="47"/>
        <v>1239.4234999999999</v>
      </c>
      <c r="L197" s="446">
        <f t="shared" si="47"/>
        <v>1165.1087</v>
      </c>
      <c r="M197" s="446">
        <f t="shared" si="47"/>
        <v>1204.854</v>
      </c>
      <c r="N197" s="446">
        <f t="shared" si="47"/>
        <v>1191.5435</v>
      </c>
      <c r="O197" s="446">
        <f t="shared" si="47"/>
        <v>1358.6670999999999</v>
      </c>
      <c r="P197" s="446">
        <f t="shared" si="47"/>
        <v>1463.3688999999999</v>
      </c>
      <c r="Q197" s="446">
        <f t="shared" si="47"/>
        <v>1538.1659999999999</v>
      </c>
      <c r="R197" s="446">
        <f t="shared" si="45"/>
        <v>16199.250899999997</v>
      </c>
    </row>
    <row r="198" spans="1:18" x14ac:dyDescent="0.2">
      <c r="A198" s="32" t="s">
        <v>1054</v>
      </c>
      <c r="B198" s="32" t="s">
        <v>1069</v>
      </c>
      <c r="D198" s="382" t="s">
        <v>809</v>
      </c>
      <c r="F198" s="364">
        <f t="shared" si="47"/>
        <v>24926.160000000003</v>
      </c>
      <c r="G198" s="364">
        <f t="shared" si="47"/>
        <v>27590.160000000003</v>
      </c>
      <c r="H198" s="364">
        <f t="shared" si="47"/>
        <v>26258.160000000003</v>
      </c>
      <c r="I198" s="364">
        <f t="shared" si="47"/>
        <v>26258.160000000003</v>
      </c>
      <c r="J198" s="364">
        <f t="shared" si="47"/>
        <v>26258.160000000003</v>
      </c>
      <c r="K198" s="364">
        <f t="shared" si="47"/>
        <v>26258.160000000003</v>
      </c>
      <c r="L198" s="364">
        <f t="shared" si="47"/>
        <v>26258.160000000003</v>
      </c>
      <c r="M198" s="364">
        <f t="shared" si="47"/>
        <v>26258.160000000003</v>
      </c>
      <c r="N198" s="364">
        <f t="shared" si="47"/>
        <v>26258.160000000003</v>
      </c>
      <c r="O198" s="364">
        <f t="shared" si="47"/>
        <v>23483.160000000003</v>
      </c>
      <c r="P198" s="364">
        <f t="shared" si="47"/>
        <v>21818.160000000003</v>
      </c>
      <c r="Q198" s="364">
        <f t="shared" si="47"/>
        <v>21485.160000000003</v>
      </c>
      <c r="R198" s="364">
        <f t="shared" si="45"/>
        <v>303109.92000000004</v>
      </c>
    </row>
    <row r="199" spans="1:18" s="336" customFormat="1" x14ac:dyDescent="0.2">
      <c r="A199" s="336" t="s">
        <v>1054</v>
      </c>
      <c r="B199" s="336" t="s">
        <v>1071</v>
      </c>
      <c r="D199" s="382" t="s">
        <v>809</v>
      </c>
      <c r="F199" s="447">
        <f>'JKP-3.1c - Data'!C185</f>
        <v>0</v>
      </c>
      <c r="G199" s="447">
        <f>'JKP-3.1c - Data'!D185</f>
        <v>0</v>
      </c>
      <c r="H199" s="447">
        <f>'JKP-3.1c - Data'!E185</f>
        <v>9926.75</v>
      </c>
      <c r="I199" s="447">
        <f>'JKP-3.1c - Data'!F185</f>
        <v>0</v>
      </c>
      <c r="J199" s="447">
        <f>'JKP-3.1c - Data'!G185</f>
        <v>0</v>
      </c>
      <c r="K199" s="447">
        <f>'JKP-3.1c - Data'!H185</f>
        <v>19921.75</v>
      </c>
      <c r="L199" s="447">
        <f>'JKP-3.1c - Data'!I185</f>
        <v>0</v>
      </c>
      <c r="M199" s="447">
        <f>'JKP-3.1c - Data'!J185</f>
        <v>0</v>
      </c>
      <c r="N199" s="447">
        <f>'JKP-3.1c - Data'!K185</f>
        <v>0</v>
      </c>
      <c r="O199" s="447">
        <f>'JKP-3.1c - Data'!L185</f>
        <v>0</v>
      </c>
      <c r="P199" s="447">
        <f>'JKP-3.1c - Data'!M185</f>
        <v>442.69</v>
      </c>
      <c r="Q199" s="447">
        <f>'JKP-3.1c - Data'!N185</f>
        <v>0</v>
      </c>
      <c r="R199" s="437">
        <f t="shared" si="45"/>
        <v>30291.19</v>
      </c>
    </row>
    <row r="200" spans="1:18" x14ac:dyDescent="0.2">
      <c r="B200" s="32" t="s">
        <v>986</v>
      </c>
      <c r="F200" s="365">
        <f>F191+F196+F197+F198+F199</f>
        <v>208378.94827000002</v>
      </c>
      <c r="G200" s="365">
        <f t="shared" ref="G200:R200" si="48">G191+G196+G197+G198+G199</f>
        <v>201652.68719000003</v>
      </c>
      <c r="H200" s="365">
        <f t="shared" si="48"/>
        <v>223069.83021000001</v>
      </c>
      <c r="I200" s="365">
        <f t="shared" si="48"/>
        <v>204316.16628999999</v>
      </c>
      <c r="J200" s="365">
        <f t="shared" si="48"/>
        <v>199694.86668000004</v>
      </c>
      <c r="K200" s="365">
        <f t="shared" si="48"/>
        <v>213519.79165000003</v>
      </c>
      <c r="L200" s="365">
        <f t="shared" si="48"/>
        <v>187686.06617000001</v>
      </c>
      <c r="M200" s="365">
        <f t="shared" si="48"/>
        <v>191113.08327999999</v>
      </c>
      <c r="N200" s="365">
        <f t="shared" si="48"/>
        <v>189324.22895000002</v>
      </c>
      <c r="O200" s="365">
        <f t="shared" si="48"/>
        <v>197989.39893999998</v>
      </c>
      <c r="P200" s="365">
        <f t="shared" si="48"/>
        <v>203883.78110000002</v>
      </c>
      <c r="Q200" s="365">
        <f t="shared" si="48"/>
        <v>206769.79459</v>
      </c>
      <c r="R200" s="365">
        <f t="shared" si="48"/>
        <v>2427398.6433200007</v>
      </c>
    </row>
    <row r="201" spans="1:18" s="336" customFormat="1" x14ac:dyDescent="0.2">
      <c r="F201" s="418"/>
      <c r="G201" s="418"/>
      <c r="H201" s="418"/>
      <c r="I201" s="418"/>
      <c r="J201" s="418"/>
      <c r="K201" s="418"/>
      <c r="L201" s="418"/>
      <c r="M201" s="418"/>
      <c r="N201" s="418"/>
      <c r="O201" s="418"/>
      <c r="P201" s="418"/>
      <c r="Q201" s="418"/>
      <c r="R201" s="418"/>
    </row>
    <row r="202" spans="1:18" s="336" customFormat="1" x14ac:dyDescent="0.2">
      <c r="A202" s="336" t="s">
        <v>1058</v>
      </c>
      <c r="B202" s="336" t="s">
        <v>1050</v>
      </c>
      <c r="F202" s="418">
        <f>F197</f>
        <v>1486.0951</v>
      </c>
      <c r="G202" s="418">
        <f t="shared" ref="G202:Q202" si="49">G197</f>
        <v>1338.5127</v>
      </c>
      <c r="H202" s="418">
        <f t="shared" si="49"/>
        <v>1506.0002999999999</v>
      </c>
      <c r="I202" s="418">
        <f t="shared" si="49"/>
        <v>1387.0178000000001</v>
      </c>
      <c r="J202" s="418">
        <f t="shared" si="49"/>
        <v>1320.4933000000001</v>
      </c>
      <c r="K202" s="418">
        <f t="shared" si="49"/>
        <v>1239.4234999999999</v>
      </c>
      <c r="L202" s="418">
        <f t="shared" si="49"/>
        <v>1165.1087</v>
      </c>
      <c r="M202" s="418">
        <f t="shared" si="49"/>
        <v>1204.854</v>
      </c>
      <c r="N202" s="418">
        <f t="shared" si="49"/>
        <v>1191.5435</v>
      </c>
      <c r="O202" s="418">
        <f t="shared" si="49"/>
        <v>1358.6670999999999</v>
      </c>
      <c r="P202" s="418">
        <f t="shared" si="49"/>
        <v>1463.3688999999999</v>
      </c>
      <c r="Q202" s="418">
        <f t="shared" si="49"/>
        <v>1538.1659999999999</v>
      </c>
      <c r="R202" s="418">
        <f>SUM(F202:Q202)</f>
        <v>16199.250899999997</v>
      </c>
    </row>
    <row r="203" spans="1:18" s="336" customFormat="1" x14ac:dyDescent="0.2">
      <c r="F203" s="418"/>
      <c r="G203" s="418"/>
      <c r="H203" s="418"/>
      <c r="I203" s="418"/>
      <c r="J203" s="418"/>
      <c r="K203" s="418"/>
      <c r="L203" s="418"/>
      <c r="M203" s="418"/>
      <c r="N203" s="418"/>
      <c r="O203" s="418"/>
      <c r="P203" s="418"/>
      <c r="Q203" s="418"/>
      <c r="R203" s="418"/>
    </row>
    <row r="204" spans="1:18" s="336" customFormat="1" x14ac:dyDescent="0.2">
      <c r="B204" s="182" t="s">
        <v>1089</v>
      </c>
      <c r="C204" s="182"/>
    </row>
    <row r="205" spans="1:18" s="336" customFormat="1" x14ac:dyDescent="0.2">
      <c r="B205" s="182" t="s">
        <v>5</v>
      </c>
      <c r="C205" s="182"/>
    </row>
    <row r="206" spans="1:18" s="336" customFormat="1" x14ac:dyDescent="0.2">
      <c r="B206" s="336" t="s">
        <v>1059</v>
      </c>
      <c r="D206" s="382" t="s">
        <v>811</v>
      </c>
      <c r="E206" s="336" t="s">
        <v>976</v>
      </c>
      <c r="F206" s="442">
        <v>871.85</v>
      </c>
      <c r="G206" s="442">
        <v>871.85</v>
      </c>
      <c r="H206" s="442">
        <v>871.85</v>
      </c>
      <c r="I206" s="442">
        <v>871.85</v>
      </c>
      <c r="J206" s="442">
        <v>871.85</v>
      </c>
      <c r="K206" s="442">
        <v>871.85</v>
      </c>
      <c r="L206" s="442">
        <v>871.85</v>
      </c>
      <c r="M206" s="442">
        <v>871.85</v>
      </c>
      <c r="N206" s="442">
        <v>871.85</v>
      </c>
      <c r="O206" s="442">
        <v>871.85</v>
      </c>
      <c r="P206" s="442">
        <v>871.85</v>
      </c>
      <c r="Q206" s="442">
        <v>871.85</v>
      </c>
    </row>
    <row r="207" spans="1:18" s="336" customFormat="1" x14ac:dyDescent="0.2">
      <c r="B207" s="336" t="s">
        <v>1047</v>
      </c>
      <c r="F207" s="448"/>
      <c r="G207" s="448"/>
      <c r="H207" s="448"/>
      <c r="I207" s="448"/>
      <c r="J207" s="448"/>
      <c r="K207" s="448"/>
      <c r="L207" s="448"/>
      <c r="M207" s="448"/>
      <c r="N207" s="448"/>
      <c r="O207" s="448"/>
      <c r="P207" s="448"/>
      <c r="Q207" s="448"/>
    </row>
    <row r="208" spans="1:18" s="336" customFormat="1" x14ac:dyDescent="0.2">
      <c r="C208" s="336" t="s">
        <v>1086</v>
      </c>
      <c r="D208" s="382" t="s">
        <v>811</v>
      </c>
      <c r="E208" s="336" t="s">
        <v>957</v>
      </c>
      <c r="F208" s="440">
        <v>0.13815</v>
      </c>
      <c r="G208" s="440">
        <v>0.13815</v>
      </c>
      <c r="H208" s="440">
        <v>0.13815</v>
      </c>
      <c r="I208" s="440">
        <v>0.13815</v>
      </c>
      <c r="J208" s="440">
        <v>0.13815</v>
      </c>
      <c r="K208" s="440">
        <v>0.13815</v>
      </c>
      <c r="L208" s="440">
        <v>0.13815</v>
      </c>
      <c r="M208" s="440">
        <v>0.13815</v>
      </c>
      <c r="N208" s="440">
        <v>0.13815</v>
      </c>
      <c r="O208" s="440">
        <v>0.13815</v>
      </c>
      <c r="P208" s="440">
        <v>0.13815</v>
      </c>
      <c r="Q208" s="440">
        <v>0.13815</v>
      </c>
    </row>
    <row r="209" spans="2:18" s="336" customFormat="1" x14ac:dyDescent="0.2">
      <c r="C209" s="336" t="s">
        <v>1087</v>
      </c>
      <c r="D209" s="382" t="s">
        <v>811</v>
      </c>
      <c r="E209" s="336" t="s">
        <v>957</v>
      </c>
      <c r="F209" s="440">
        <v>8.4349999999999994E-2</v>
      </c>
      <c r="G209" s="440">
        <v>8.4349999999999994E-2</v>
      </c>
      <c r="H209" s="440">
        <v>8.4349999999999994E-2</v>
      </c>
      <c r="I209" s="440">
        <v>8.4349999999999994E-2</v>
      </c>
      <c r="J209" s="440">
        <v>8.4349999999999994E-2</v>
      </c>
      <c r="K209" s="440">
        <v>8.4349999999999994E-2</v>
      </c>
      <c r="L209" s="440">
        <v>8.4349999999999994E-2</v>
      </c>
      <c r="M209" s="440">
        <v>8.4349999999999994E-2</v>
      </c>
      <c r="N209" s="440">
        <v>8.4349999999999994E-2</v>
      </c>
      <c r="O209" s="440">
        <v>8.4349999999999994E-2</v>
      </c>
      <c r="P209" s="440">
        <v>8.4349999999999994E-2</v>
      </c>
      <c r="Q209" s="440">
        <v>8.4349999999999994E-2</v>
      </c>
    </row>
    <row r="210" spans="2:18" s="336" customFormat="1" x14ac:dyDescent="0.2">
      <c r="C210" s="336" t="s">
        <v>1090</v>
      </c>
      <c r="D210" s="382" t="s">
        <v>811</v>
      </c>
      <c r="E210" s="336" t="s">
        <v>957</v>
      </c>
      <c r="F210" s="440">
        <v>5.4460000000000001E-2</v>
      </c>
      <c r="G210" s="440">
        <v>5.4460000000000001E-2</v>
      </c>
      <c r="H210" s="440">
        <v>5.4460000000000001E-2</v>
      </c>
      <c r="I210" s="440">
        <v>5.4460000000000001E-2</v>
      </c>
      <c r="J210" s="440">
        <v>5.4460000000000001E-2</v>
      </c>
      <c r="K210" s="440">
        <v>5.4460000000000001E-2</v>
      </c>
      <c r="L210" s="440">
        <v>5.4460000000000001E-2</v>
      </c>
      <c r="M210" s="440">
        <v>5.4460000000000001E-2</v>
      </c>
      <c r="N210" s="440">
        <v>5.4460000000000001E-2</v>
      </c>
      <c r="O210" s="440">
        <v>5.4460000000000001E-2</v>
      </c>
      <c r="P210" s="440">
        <v>5.4460000000000001E-2</v>
      </c>
      <c r="Q210" s="440">
        <v>5.4460000000000001E-2</v>
      </c>
    </row>
    <row r="211" spans="2:18" s="336" customFormat="1" x14ac:dyDescent="0.2">
      <c r="C211" s="336" t="s">
        <v>1091</v>
      </c>
      <c r="D211" s="382" t="s">
        <v>811</v>
      </c>
      <c r="E211" s="336" t="s">
        <v>957</v>
      </c>
      <c r="F211" s="440">
        <v>3.5700000000000003E-2</v>
      </c>
      <c r="G211" s="440">
        <v>3.5700000000000003E-2</v>
      </c>
      <c r="H211" s="440">
        <v>3.5700000000000003E-2</v>
      </c>
      <c r="I211" s="440">
        <v>3.5700000000000003E-2</v>
      </c>
      <c r="J211" s="440">
        <v>3.5700000000000003E-2</v>
      </c>
      <c r="K211" s="440">
        <v>3.5700000000000003E-2</v>
      </c>
      <c r="L211" s="440">
        <v>3.5700000000000003E-2</v>
      </c>
      <c r="M211" s="440">
        <v>3.5700000000000003E-2</v>
      </c>
      <c r="N211" s="440">
        <v>3.5700000000000003E-2</v>
      </c>
      <c r="O211" s="440">
        <v>3.5700000000000003E-2</v>
      </c>
      <c r="P211" s="440">
        <v>3.5700000000000003E-2</v>
      </c>
      <c r="Q211" s="440">
        <v>3.5700000000000003E-2</v>
      </c>
    </row>
    <row r="212" spans="2:18" s="336" customFormat="1" x14ac:dyDescent="0.2">
      <c r="C212" s="336" t="s">
        <v>1092</v>
      </c>
      <c r="D212" s="382" t="s">
        <v>811</v>
      </c>
      <c r="E212" s="336" t="s">
        <v>957</v>
      </c>
      <c r="F212" s="440">
        <v>2.63E-2</v>
      </c>
      <c r="G212" s="440">
        <v>2.63E-2</v>
      </c>
      <c r="H212" s="440">
        <v>2.63E-2</v>
      </c>
      <c r="I212" s="440">
        <v>2.63E-2</v>
      </c>
      <c r="J212" s="440">
        <v>2.63E-2</v>
      </c>
      <c r="K212" s="440">
        <v>2.63E-2</v>
      </c>
      <c r="L212" s="440">
        <v>2.63E-2</v>
      </c>
      <c r="M212" s="440">
        <v>2.63E-2</v>
      </c>
      <c r="N212" s="440">
        <v>2.63E-2</v>
      </c>
      <c r="O212" s="440">
        <v>2.63E-2</v>
      </c>
      <c r="P212" s="440">
        <v>2.63E-2</v>
      </c>
      <c r="Q212" s="440">
        <v>2.63E-2</v>
      </c>
    </row>
    <row r="213" spans="2:18" s="336" customFormat="1" x14ac:dyDescent="0.2">
      <c r="C213" s="336" t="s">
        <v>1093</v>
      </c>
      <c r="D213" s="382" t="s">
        <v>811</v>
      </c>
      <c r="E213" s="336" t="s">
        <v>957</v>
      </c>
      <c r="F213" s="440">
        <v>2.077E-2</v>
      </c>
      <c r="G213" s="440">
        <v>2.077E-2</v>
      </c>
      <c r="H213" s="440">
        <v>2.077E-2</v>
      </c>
      <c r="I213" s="440">
        <v>2.077E-2</v>
      </c>
      <c r="J213" s="440">
        <v>2.077E-2</v>
      </c>
      <c r="K213" s="440">
        <v>2.077E-2</v>
      </c>
      <c r="L213" s="440">
        <v>2.077E-2</v>
      </c>
      <c r="M213" s="440">
        <v>2.077E-2</v>
      </c>
      <c r="N213" s="440">
        <v>2.077E-2</v>
      </c>
      <c r="O213" s="440">
        <v>2.077E-2</v>
      </c>
      <c r="P213" s="440">
        <v>2.077E-2</v>
      </c>
      <c r="Q213" s="440">
        <v>2.077E-2</v>
      </c>
    </row>
    <row r="214" spans="2:18" s="336" customFormat="1" x14ac:dyDescent="0.2">
      <c r="B214" s="336" t="s">
        <v>1081</v>
      </c>
      <c r="D214" s="382" t="s">
        <v>811</v>
      </c>
      <c r="E214" s="336" t="s">
        <v>957</v>
      </c>
      <c r="F214" s="440">
        <v>6.9999999999999999E-4</v>
      </c>
      <c r="G214" s="440">
        <v>6.9999999999999999E-4</v>
      </c>
      <c r="H214" s="440">
        <v>6.9999999999999999E-4</v>
      </c>
      <c r="I214" s="440">
        <v>6.9999999999999999E-4</v>
      </c>
      <c r="J214" s="440">
        <v>6.9999999999999999E-4</v>
      </c>
      <c r="K214" s="440">
        <v>6.9999999999999999E-4</v>
      </c>
      <c r="L214" s="440">
        <v>6.9999999999999999E-4</v>
      </c>
      <c r="M214" s="440">
        <v>6.9999999999999999E-4</v>
      </c>
      <c r="N214" s="440">
        <v>6.9999999999999999E-4</v>
      </c>
      <c r="O214" s="440">
        <v>6.9999999999999999E-4</v>
      </c>
      <c r="P214" s="440">
        <v>6.9999999999999999E-4</v>
      </c>
      <c r="Q214" s="440">
        <v>6.9999999999999999E-4</v>
      </c>
    </row>
    <row r="215" spans="2:18" s="336" customFormat="1" x14ac:dyDescent="0.2">
      <c r="B215" s="336" t="s">
        <v>1069</v>
      </c>
      <c r="D215" s="336">
        <v>101</v>
      </c>
      <c r="E215" s="336" t="s">
        <v>957</v>
      </c>
      <c r="F215" s="442">
        <v>1.1100000000000001</v>
      </c>
      <c r="G215" s="442">
        <v>1.1100000000000001</v>
      </c>
      <c r="H215" s="442">
        <v>1.1100000000000001</v>
      </c>
      <c r="I215" s="442">
        <v>1.1100000000000001</v>
      </c>
      <c r="J215" s="442">
        <v>1.1100000000000001</v>
      </c>
      <c r="K215" s="442">
        <v>1.1100000000000001</v>
      </c>
      <c r="L215" s="442">
        <v>1.1100000000000001</v>
      </c>
      <c r="M215" s="442">
        <v>1.1100000000000001</v>
      </c>
      <c r="N215" s="442">
        <v>1.1100000000000001</v>
      </c>
      <c r="O215" s="442">
        <v>1.1100000000000001</v>
      </c>
      <c r="P215" s="442">
        <v>1.1100000000000001</v>
      </c>
      <c r="Q215" s="442">
        <v>1.1100000000000001</v>
      </c>
    </row>
    <row r="216" spans="2:18" s="336" customFormat="1" x14ac:dyDescent="0.2">
      <c r="B216" s="336" t="s">
        <v>1071</v>
      </c>
      <c r="D216" s="382" t="s">
        <v>811</v>
      </c>
      <c r="E216" s="336" t="s">
        <v>67</v>
      </c>
      <c r="F216" s="442"/>
      <c r="G216" s="442"/>
      <c r="H216" s="442"/>
      <c r="I216" s="442"/>
      <c r="J216" s="442"/>
      <c r="K216" s="442"/>
      <c r="L216" s="442"/>
      <c r="M216" s="442"/>
      <c r="N216" s="442"/>
      <c r="O216" s="442"/>
      <c r="P216" s="442"/>
      <c r="Q216" s="442"/>
    </row>
    <row r="217" spans="2:18" s="336" customFormat="1" x14ac:dyDescent="0.2"/>
    <row r="218" spans="2:18" x14ac:dyDescent="0.2">
      <c r="B218" s="276" t="s">
        <v>982</v>
      </c>
    </row>
    <row r="219" spans="2:18" x14ac:dyDescent="0.2">
      <c r="B219" s="32" t="s">
        <v>67</v>
      </c>
      <c r="D219" s="382" t="s">
        <v>811</v>
      </c>
      <c r="E219" s="32" t="s">
        <v>67</v>
      </c>
      <c r="F219" s="397">
        <f>'JKP-3.1c - Data'!C155</f>
        <v>2</v>
      </c>
      <c r="G219" s="397">
        <f>'JKP-3.1c - Data'!D155</f>
        <v>2</v>
      </c>
      <c r="H219" s="397">
        <f>'JKP-3.1c - Data'!E155</f>
        <v>2</v>
      </c>
      <c r="I219" s="397">
        <f>'JKP-3.1c - Data'!F155</f>
        <v>2</v>
      </c>
      <c r="J219" s="397">
        <f>'JKP-3.1c - Data'!G155</f>
        <v>2</v>
      </c>
      <c r="K219" s="397">
        <f>'JKP-3.1c - Data'!H155</f>
        <v>2</v>
      </c>
      <c r="L219" s="397">
        <f>'JKP-3.1c - Data'!I155</f>
        <v>2</v>
      </c>
      <c r="M219" s="397">
        <f>'JKP-3.1c - Data'!J155</f>
        <v>2</v>
      </c>
      <c r="N219" s="397">
        <f>'JKP-3.1c - Data'!K155</f>
        <v>2</v>
      </c>
      <c r="O219" s="397">
        <f>'JKP-3.1c - Data'!L155</f>
        <v>2</v>
      </c>
      <c r="P219" s="397">
        <f>'JKP-3.1c - Data'!M155</f>
        <v>2</v>
      </c>
      <c r="Q219" s="397">
        <f>'JKP-3.1c - Data'!N155</f>
        <v>2</v>
      </c>
      <c r="R219" s="279">
        <f t="shared" ref="R219:R228" si="50">SUM(F219:Q219)</f>
        <v>24</v>
      </c>
    </row>
    <row r="220" spans="2:18" s="336" customFormat="1" x14ac:dyDescent="0.2">
      <c r="B220" s="336" t="s">
        <v>76</v>
      </c>
      <c r="F220" s="380"/>
      <c r="G220" s="380"/>
      <c r="H220" s="380"/>
      <c r="I220" s="380"/>
      <c r="J220" s="380"/>
      <c r="K220" s="380"/>
      <c r="L220" s="380"/>
      <c r="M220" s="380"/>
      <c r="N220" s="380"/>
      <c r="O220" s="380"/>
      <c r="P220" s="380"/>
      <c r="Q220" s="380"/>
      <c r="R220" s="279">
        <f t="shared" si="50"/>
        <v>0</v>
      </c>
    </row>
    <row r="221" spans="2:18" s="336" customFormat="1" x14ac:dyDescent="0.2">
      <c r="C221" s="336" t="s">
        <v>1086</v>
      </c>
      <c r="D221" s="382" t="s">
        <v>811</v>
      </c>
      <c r="E221" s="336" t="s">
        <v>10</v>
      </c>
      <c r="F221" s="380">
        <v>50000</v>
      </c>
      <c r="G221" s="380">
        <v>50000</v>
      </c>
      <c r="H221" s="380">
        <v>50000</v>
      </c>
      <c r="I221" s="380">
        <v>50000</v>
      </c>
      <c r="J221" s="380">
        <v>50000</v>
      </c>
      <c r="K221" s="380">
        <v>50000</v>
      </c>
      <c r="L221" s="380">
        <v>50000</v>
      </c>
      <c r="M221" s="380">
        <v>50000</v>
      </c>
      <c r="N221" s="380">
        <v>50000</v>
      </c>
      <c r="O221" s="380">
        <v>50000</v>
      </c>
      <c r="P221" s="380">
        <v>50000</v>
      </c>
      <c r="Q221" s="380">
        <v>50000</v>
      </c>
      <c r="R221" s="279">
        <f t="shared" si="50"/>
        <v>600000</v>
      </c>
    </row>
    <row r="222" spans="2:18" s="336" customFormat="1" x14ac:dyDescent="0.2">
      <c r="C222" s="336" t="s">
        <v>1087</v>
      </c>
      <c r="D222" s="382" t="s">
        <v>811</v>
      </c>
      <c r="E222" s="336" t="s">
        <v>10</v>
      </c>
      <c r="F222" s="380">
        <v>50000</v>
      </c>
      <c r="G222" s="380">
        <v>50000</v>
      </c>
      <c r="H222" s="380">
        <v>50000</v>
      </c>
      <c r="I222" s="380">
        <v>50000</v>
      </c>
      <c r="J222" s="380">
        <v>50000</v>
      </c>
      <c r="K222" s="380">
        <v>50000</v>
      </c>
      <c r="L222" s="380">
        <v>50000</v>
      </c>
      <c r="M222" s="380">
        <v>50000</v>
      </c>
      <c r="N222" s="380">
        <v>50000</v>
      </c>
      <c r="O222" s="380">
        <v>50000</v>
      </c>
      <c r="P222" s="380">
        <v>50000</v>
      </c>
      <c r="Q222" s="380">
        <v>50000</v>
      </c>
      <c r="R222" s="279">
        <f t="shared" si="50"/>
        <v>600000</v>
      </c>
    </row>
    <row r="223" spans="2:18" s="336" customFormat="1" x14ac:dyDescent="0.2">
      <c r="C223" s="336" t="s">
        <v>1090</v>
      </c>
      <c r="D223" s="382" t="s">
        <v>811</v>
      </c>
      <c r="E223" s="336" t="s">
        <v>10</v>
      </c>
      <c r="F223" s="380">
        <v>100000</v>
      </c>
      <c r="G223" s="380">
        <v>100000</v>
      </c>
      <c r="H223" s="380">
        <v>100000</v>
      </c>
      <c r="I223" s="380">
        <v>100000</v>
      </c>
      <c r="J223" s="380">
        <v>100000</v>
      </c>
      <c r="K223" s="380">
        <v>100000</v>
      </c>
      <c r="L223" s="380">
        <v>100000</v>
      </c>
      <c r="M223" s="380">
        <v>100000</v>
      </c>
      <c r="N223" s="380">
        <v>100000</v>
      </c>
      <c r="O223" s="380">
        <v>100000</v>
      </c>
      <c r="P223" s="380">
        <v>100000</v>
      </c>
      <c r="Q223" s="380">
        <v>100000</v>
      </c>
      <c r="R223" s="279">
        <f t="shared" si="50"/>
        <v>1200000</v>
      </c>
    </row>
    <row r="224" spans="2:18" s="336" customFormat="1" x14ac:dyDescent="0.2">
      <c r="C224" s="336" t="s">
        <v>1091</v>
      </c>
      <c r="D224" s="382" t="s">
        <v>811</v>
      </c>
      <c r="E224" s="336" t="s">
        <v>10</v>
      </c>
      <c r="F224" s="380">
        <v>200000</v>
      </c>
      <c r="G224" s="380">
        <v>200000</v>
      </c>
      <c r="H224" s="380">
        <v>200000</v>
      </c>
      <c r="I224" s="380">
        <v>200000</v>
      </c>
      <c r="J224" s="380">
        <v>200000</v>
      </c>
      <c r="K224" s="380">
        <v>200000</v>
      </c>
      <c r="L224" s="380">
        <v>200000</v>
      </c>
      <c r="M224" s="380">
        <v>200000</v>
      </c>
      <c r="N224" s="380">
        <v>200000</v>
      </c>
      <c r="O224" s="380">
        <v>200000</v>
      </c>
      <c r="P224" s="380">
        <v>200000</v>
      </c>
      <c r="Q224" s="380">
        <v>200000</v>
      </c>
      <c r="R224" s="279">
        <f t="shared" si="50"/>
        <v>2400000</v>
      </c>
    </row>
    <row r="225" spans="1:18" s="336" customFormat="1" x14ac:dyDescent="0.2">
      <c r="C225" s="336" t="s">
        <v>1092</v>
      </c>
      <c r="D225" s="382" t="s">
        <v>811</v>
      </c>
      <c r="E225" s="336" t="s">
        <v>10</v>
      </c>
      <c r="F225" s="380">
        <v>382651</v>
      </c>
      <c r="G225" s="380">
        <v>364894</v>
      </c>
      <c r="H225" s="380">
        <v>402729</v>
      </c>
      <c r="I225" s="380">
        <v>390552</v>
      </c>
      <c r="J225" s="380">
        <v>385110</v>
      </c>
      <c r="K225" s="380">
        <v>396126</v>
      </c>
      <c r="L225" s="380">
        <v>396365</v>
      </c>
      <c r="M225" s="380">
        <v>399724</v>
      </c>
      <c r="N225" s="380">
        <v>400295</v>
      </c>
      <c r="O225" s="380">
        <v>393470</v>
      </c>
      <c r="P225" s="380">
        <v>381020</v>
      </c>
      <c r="Q225" s="380">
        <v>394288</v>
      </c>
      <c r="R225" s="279">
        <f t="shared" si="50"/>
        <v>4687224</v>
      </c>
    </row>
    <row r="226" spans="1:18" s="336" customFormat="1" x14ac:dyDescent="0.2">
      <c r="C226" s="336" t="s">
        <v>1093</v>
      </c>
      <c r="D226" s="382" t="s">
        <v>811</v>
      </c>
      <c r="E226" s="336" t="s">
        <v>10</v>
      </c>
      <c r="F226" s="378">
        <f t="shared" ref="F226:Q226" si="51">F227-SUM(F221:F225)</f>
        <v>1155301</v>
      </c>
      <c r="G226" s="378">
        <f t="shared" si="51"/>
        <v>942918</v>
      </c>
      <c r="H226" s="378">
        <f t="shared" si="51"/>
        <v>1018640</v>
      </c>
      <c r="I226" s="378">
        <f t="shared" si="51"/>
        <v>888255</v>
      </c>
      <c r="J226" s="378">
        <f t="shared" si="51"/>
        <v>759568</v>
      </c>
      <c r="K226" s="378">
        <f t="shared" si="51"/>
        <v>498303</v>
      </c>
      <c r="L226" s="378">
        <f t="shared" si="51"/>
        <v>400327</v>
      </c>
      <c r="M226" s="378">
        <f t="shared" si="51"/>
        <v>365087</v>
      </c>
      <c r="N226" s="378">
        <f t="shared" si="51"/>
        <v>437462</v>
      </c>
      <c r="O226" s="378">
        <f t="shared" si="51"/>
        <v>693649</v>
      </c>
      <c r="P226" s="378">
        <f t="shared" si="51"/>
        <v>1200237</v>
      </c>
      <c r="Q226" s="378">
        <f t="shared" si="51"/>
        <v>1196610</v>
      </c>
      <c r="R226" s="279">
        <f t="shared" si="50"/>
        <v>9556357</v>
      </c>
    </row>
    <row r="227" spans="1:18" s="336" customFormat="1" x14ac:dyDescent="0.2">
      <c r="C227" s="336" t="s">
        <v>1075</v>
      </c>
      <c r="D227" s="382" t="s">
        <v>811</v>
      </c>
      <c r="E227" s="336" t="s">
        <v>10</v>
      </c>
      <c r="F227" s="445">
        <f>'JKP-3.1c - Therms Data'!E78</f>
        <v>1937952</v>
      </c>
      <c r="G227" s="445">
        <f>'JKP-3.1c - Therms Data'!F78</f>
        <v>1707812</v>
      </c>
      <c r="H227" s="445">
        <f>'JKP-3.1c - Therms Data'!G78</f>
        <v>1821369</v>
      </c>
      <c r="I227" s="445">
        <f>'JKP-3.1c - Therms Data'!H78</f>
        <v>1678807</v>
      </c>
      <c r="J227" s="445">
        <f>'JKP-3.1c - Therms Data'!I78</f>
        <v>1544678</v>
      </c>
      <c r="K227" s="445">
        <f>'JKP-3.1c - Therms Data'!J78</f>
        <v>1294429</v>
      </c>
      <c r="L227" s="445">
        <f>'JKP-3.1c - Therms Data'!K78</f>
        <v>1196692</v>
      </c>
      <c r="M227" s="445">
        <f>'JKP-3.1c - Therms Data'!L78</f>
        <v>1164811</v>
      </c>
      <c r="N227" s="445">
        <f>'JKP-3.1c - Therms Data'!M78</f>
        <v>1237757</v>
      </c>
      <c r="O227" s="445">
        <f>'JKP-3.1c - Therms Data'!N78</f>
        <v>1487119</v>
      </c>
      <c r="P227" s="445">
        <f>'JKP-3.1c - Therms Data'!O78</f>
        <v>1981257</v>
      </c>
      <c r="Q227" s="445">
        <f>'JKP-3.1c - Therms Data'!P78</f>
        <v>1990898</v>
      </c>
      <c r="R227" s="436">
        <f t="shared" si="50"/>
        <v>19043581</v>
      </c>
    </row>
    <row r="228" spans="1:18" s="336" customFormat="1" x14ac:dyDescent="0.2">
      <c r="B228" s="336" t="s">
        <v>74</v>
      </c>
      <c r="D228" s="382" t="s">
        <v>811</v>
      </c>
      <c r="E228" s="336" t="s">
        <v>1076</v>
      </c>
      <c r="F228" s="421">
        <f>'JKP-3.1c - Data'!C175</f>
        <v>2</v>
      </c>
      <c r="G228" s="421">
        <f>'JKP-3.1c - Data'!D175</f>
        <v>2</v>
      </c>
      <c r="H228" s="421">
        <f>'JKP-3.1c - Data'!E175</f>
        <v>2</v>
      </c>
      <c r="I228" s="421">
        <f>'JKP-3.1c - Data'!F175</f>
        <v>2</v>
      </c>
      <c r="J228" s="421">
        <f>'JKP-3.1c - Data'!G175</f>
        <v>2</v>
      </c>
      <c r="K228" s="421">
        <f>'JKP-3.1c - Data'!H175</f>
        <v>2</v>
      </c>
      <c r="L228" s="421">
        <f>'JKP-3.1c - Data'!I175</f>
        <v>2</v>
      </c>
      <c r="M228" s="421">
        <f>'JKP-3.1c - Data'!J175</f>
        <v>2</v>
      </c>
      <c r="N228" s="421">
        <f>'JKP-3.1c - Data'!K175</f>
        <v>2</v>
      </c>
      <c r="O228" s="421">
        <f>'JKP-3.1c - Data'!L175</f>
        <v>2</v>
      </c>
      <c r="P228" s="421">
        <f>'JKP-3.1c - Data'!M175</f>
        <v>2</v>
      </c>
      <c r="Q228" s="421">
        <f>'JKP-3.1c - Data'!N175</f>
        <v>2</v>
      </c>
      <c r="R228" s="279">
        <f t="shared" si="50"/>
        <v>24</v>
      </c>
    </row>
    <row r="229" spans="1:18" s="336" customFormat="1" x14ac:dyDescent="0.2">
      <c r="B229" s="336" t="s">
        <v>1071</v>
      </c>
      <c r="F229" s="380"/>
      <c r="G229" s="380"/>
      <c r="H229" s="380"/>
      <c r="I229" s="380"/>
      <c r="J229" s="380"/>
      <c r="K229" s="380"/>
      <c r="L229" s="380"/>
      <c r="M229" s="380"/>
      <c r="N229" s="380"/>
      <c r="O229" s="380"/>
      <c r="P229" s="380"/>
      <c r="Q229" s="380"/>
    </row>
    <row r="230" spans="1:18" s="336" customFormat="1" x14ac:dyDescent="0.2"/>
    <row r="231" spans="1:18" s="336" customFormat="1" x14ac:dyDescent="0.2">
      <c r="B231" s="182" t="s">
        <v>985</v>
      </c>
    </row>
    <row r="232" spans="1:18" s="336" customFormat="1" x14ac:dyDescent="0.2">
      <c r="A232" s="336" t="s">
        <v>1054</v>
      </c>
      <c r="B232" s="336" t="s">
        <v>1059</v>
      </c>
      <c r="D232" s="382" t="s">
        <v>811</v>
      </c>
      <c r="F232" s="418">
        <f t="shared" ref="F232:Q232" si="52">F206*F219</f>
        <v>1743.7</v>
      </c>
      <c r="G232" s="418">
        <f t="shared" si="52"/>
        <v>1743.7</v>
      </c>
      <c r="H232" s="418">
        <f t="shared" si="52"/>
        <v>1743.7</v>
      </c>
      <c r="I232" s="418">
        <f t="shared" si="52"/>
        <v>1743.7</v>
      </c>
      <c r="J232" s="418">
        <f t="shared" si="52"/>
        <v>1743.7</v>
      </c>
      <c r="K232" s="418">
        <f t="shared" si="52"/>
        <v>1743.7</v>
      </c>
      <c r="L232" s="418">
        <f t="shared" si="52"/>
        <v>1743.7</v>
      </c>
      <c r="M232" s="418">
        <f t="shared" si="52"/>
        <v>1743.7</v>
      </c>
      <c r="N232" s="418">
        <f t="shared" si="52"/>
        <v>1743.7</v>
      </c>
      <c r="O232" s="418">
        <f t="shared" si="52"/>
        <v>1743.7</v>
      </c>
      <c r="P232" s="418">
        <f t="shared" si="52"/>
        <v>1743.7</v>
      </c>
      <c r="Q232" s="418">
        <f t="shared" si="52"/>
        <v>1743.7</v>
      </c>
      <c r="R232" s="418">
        <f t="shared" ref="R232:R243" si="53">SUM(F232:Q232)</f>
        <v>20924.400000000005</v>
      </c>
    </row>
    <row r="233" spans="1:18" s="336" customFormat="1" x14ac:dyDescent="0.2">
      <c r="B233" s="336" t="s">
        <v>1047</v>
      </c>
      <c r="F233" s="418"/>
      <c r="G233" s="418"/>
      <c r="H233" s="418"/>
      <c r="I233" s="418"/>
      <c r="J233" s="418"/>
      <c r="K233" s="418"/>
      <c r="L233" s="418"/>
      <c r="M233" s="418"/>
      <c r="N233" s="418"/>
      <c r="O233" s="418"/>
      <c r="P233" s="418"/>
      <c r="Q233" s="418"/>
      <c r="R233" s="418">
        <f t="shared" si="53"/>
        <v>0</v>
      </c>
    </row>
    <row r="234" spans="1:18" s="336" customFormat="1" x14ac:dyDescent="0.2">
      <c r="C234" s="336" t="s">
        <v>1086</v>
      </c>
      <c r="D234" s="382" t="s">
        <v>811</v>
      </c>
      <c r="F234" s="418">
        <f t="shared" ref="F234:Q239" si="54">F208*F221</f>
        <v>6907.5</v>
      </c>
      <c r="G234" s="418">
        <f t="shared" si="54"/>
        <v>6907.5</v>
      </c>
      <c r="H234" s="418">
        <f t="shared" si="54"/>
        <v>6907.5</v>
      </c>
      <c r="I234" s="418">
        <f t="shared" si="54"/>
        <v>6907.5</v>
      </c>
      <c r="J234" s="418">
        <f t="shared" si="54"/>
        <v>6907.5</v>
      </c>
      <c r="K234" s="418">
        <f t="shared" si="54"/>
        <v>6907.5</v>
      </c>
      <c r="L234" s="418">
        <f t="shared" si="54"/>
        <v>6907.5</v>
      </c>
      <c r="M234" s="418">
        <f t="shared" si="54"/>
        <v>6907.5</v>
      </c>
      <c r="N234" s="418">
        <f t="shared" si="54"/>
        <v>6907.5</v>
      </c>
      <c r="O234" s="418">
        <f t="shared" si="54"/>
        <v>6907.5</v>
      </c>
      <c r="P234" s="418">
        <f t="shared" si="54"/>
        <v>6907.5</v>
      </c>
      <c r="Q234" s="418">
        <f t="shared" si="54"/>
        <v>6907.5</v>
      </c>
      <c r="R234" s="418">
        <f t="shared" si="53"/>
        <v>82890</v>
      </c>
    </row>
    <row r="235" spans="1:18" s="336" customFormat="1" x14ac:dyDescent="0.2">
      <c r="C235" s="336" t="s">
        <v>1087</v>
      </c>
      <c r="D235" s="382" t="s">
        <v>811</v>
      </c>
      <c r="F235" s="418">
        <f t="shared" si="54"/>
        <v>4217.5</v>
      </c>
      <c r="G235" s="418">
        <f t="shared" si="54"/>
        <v>4217.5</v>
      </c>
      <c r="H235" s="418">
        <f t="shared" si="54"/>
        <v>4217.5</v>
      </c>
      <c r="I235" s="418">
        <f t="shared" si="54"/>
        <v>4217.5</v>
      </c>
      <c r="J235" s="418">
        <f t="shared" si="54"/>
        <v>4217.5</v>
      </c>
      <c r="K235" s="418">
        <f t="shared" si="54"/>
        <v>4217.5</v>
      </c>
      <c r="L235" s="418">
        <f t="shared" si="54"/>
        <v>4217.5</v>
      </c>
      <c r="M235" s="418">
        <f t="shared" si="54"/>
        <v>4217.5</v>
      </c>
      <c r="N235" s="418">
        <f t="shared" si="54"/>
        <v>4217.5</v>
      </c>
      <c r="O235" s="418">
        <f t="shared" si="54"/>
        <v>4217.5</v>
      </c>
      <c r="P235" s="418">
        <f t="shared" si="54"/>
        <v>4217.5</v>
      </c>
      <c r="Q235" s="418">
        <f t="shared" si="54"/>
        <v>4217.5</v>
      </c>
      <c r="R235" s="418">
        <f t="shared" si="53"/>
        <v>50610</v>
      </c>
    </row>
    <row r="236" spans="1:18" s="336" customFormat="1" x14ac:dyDescent="0.2">
      <c r="C236" s="336" t="s">
        <v>1090</v>
      </c>
      <c r="D236" s="382" t="s">
        <v>811</v>
      </c>
      <c r="F236" s="418">
        <f t="shared" si="54"/>
        <v>5446</v>
      </c>
      <c r="G236" s="418">
        <f t="shared" si="54"/>
        <v>5446</v>
      </c>
      <c r="H236" s="418">
        <f t="shared" si="54"/>
        <v>5446</v>
      </c>
      <c r="I236" s="418">
        <f t="shared" si="54"/>
        <v>5446</v>
      </c>
      <c r="J236" s="418">
        <f t="shared" si="54"/>
        <v>5446</v>
      </c>
      <c r="K236" s="418">
        <f t="shared" si="54"/>
        <v>5446</v>
      </c>
      <c r="L236" s="418">
        <f t="shared" si="54"/>
        <v>5446</v>
      </c>
      <c r="M236" s="418">
        <f t="shared" si="54"/>
        <v>5446</v>
      </c>
      <c r="N236" s="418">
        <f t="shared" si="54"/>
        <v>5446</v>
      </c>
      <c r="O236" s="418">
        <f t="shared" si="54"/>
        <v>5446</v>
      </c>
      <c r="P236" s="418">
        <f t="shared" si="54"/>
        <v>5446</v>
      </c>
      <c r="Q236" s="418">
        <f t="shared" si="54"/>
        <v>5446</v>
      </c>
      <c r="R236" s="418">
        <f t="shared" si="53"/>
        <v>65352</v>
      </c>
    </row>
    <row r="237" spans="1:18" x14ac:dyDescent="0.2">
      <c r="C237" s="32" t="s">
        <v>1091</v>
      </c>
      <c r="D237" s="382" t="s">
        <v>811</v>
      </c>
      <c r="F237" s="364">
        <f t="shared" si="54"/>
        <v>7140.0000000000009</v>
      </c>
      <c r="G237" s="364">
        <f t="shared" si="54"/>
        <v>7140.0000000000009</v>
      </c>
      <c r="H237" s="364">
        <f t="shared" si="54"/>
        <v>7140.0000000000009</v>
      </c>
      <c r="I237" s="364">
        <f t="shared" si="54"/>
        <v>7140.0000000000009</v>
      </c>
      <c r="J237" s="364">
        <f t="shared" si="54"/>
        <v>7140.0000000000009</v>
      </c>
      <c r="K237" s="364">
        <f t="shared" si="54"/>
        <v>7140.0000000000009</v>
      </c>
      <c r="L237" s="364">
        <f t="shared" si="54"/>
        <v>7140.0000000000009</v>
      </c>
      <c r="M237" s="364">
        <f t="shared" si="54"/>
        <v>7140.0000000000009</v>
      </c>
      <c r="N237" s="364">
        <f t="shared" si="54"/>
        <v>7140.0000000000009</v>
      </c>
      <c r="O237" s="364">
        <f t="shared" si="54"/>
        <v>7140.0000000000009</v>
      </c>
      <c r="P237" s="364">
        <f t="shared" si="54"/>
        <v>7140.0000000000009</v>
      </c>
      <c r="Q237" s="364">
        <f t="shared" si="54"/>
        <v>7140.0000000000009</v>
      </c>
      <c r="R237" s="364">
        <f t="shared" si="53"/>
        <v>85680.000000000015</v>
      </c>
    </row>
    <row r="238" spans="1:18" x14ac:dyDescent="0.2">
      <c r="C238" s="32" t="s">
        <v>1092</v>
      </c>
      <c r="D238" s="382" t="s">
        <v>811</v>
      </c>
      <c r="F238" s="364">
        <f t="shared" si="54"/>
        <v>10063.721300000001</v>
      </c>
      <c r="G238" s="364">
        <f t="shared" si="54"/>
        <v>9596.7121999999999</v>
      </c>
      <c r="H238" s="364">
        <f t="shared" si="54"/>
        <v>10591.7727</v>
      </c>
      <c r="I238" s="364">
        <f t="shared" si="54"/>
        <v>10271.517600000001</v>
      </c>
      <c r="J238" s="364">
        <f t="shared" si="54"/>
        <v>10128.393</v>
      </c>
      <c r="K238" s="364">
        <f t="shared" si="54"/>
        <v>10418.113800000001</v>
      </c>
      <c r="L238" s="364">
        <f t="shared" si="54"/>
        <v>10424.3995</v>
      </c>
      <c r="M238" s="364">
        <f t="shared" si="54"/>
        <v>10512.7412</v>
      </c>
      <c r="N238" s="364">
        <f t="shared" si="54"/>
        <v>10527.7585</v>
      </c>
      <c r="O238" s="364">
        <f t="shared" si="54"/>
        <v>10348.261</v>
      </c>
      <c r="P238" s="364">
        <f t="shared" si="54"/>
        <v>10020.826000000001</v>
      </c>
      <c r="Q238" s="364">
        <f t="shared" si="54"/>
        <v>10369.7744</v>
      </c>
      <c r="R238" s="364">
        <f t="shared" si="53"/>
        <v>123273.9912</v>
      </c>
    </row>
    <row r="239" spans="1:18" x14ac:dyDescent="0.2">
      <c r="C239" s="32" t="s">
        <v>1093</v>
      </c>
      <c r="D239" s="382" t="s">
        <v>811</v>
      </c>
      <c r="F239" s="364">
        <f t="shared" si="54"/>
        <v>23995.601770000001</v>
      </c>
      <c r="G239" s="364">
        <f t="shared" si="54"/>
        <v>19584.406859999999</v>
      </c>
      <c r="H239" s="364">
        <f t="shared" si="54"/>
        <v>21157.1528</v>
      </c>
      <c r="I239" s="364">
        <f t="shared" si="54"/>
        <v>18449.056349999999</v>
      </c>
      <c r="J239" s="364">
        <f t="shared" si="54"/>
        <v>15776.227360000001</v>
      </c>
      <c r="K239" s="364">
        <f t="shared" si="54"/>
        <v>10349.75331</v>
      </c>
      <c r="L239" s="364">
        <f t="shared" si="54"/>
        <v>8314.7917899999993</v>
      </c>
      <c r="M239" s="364">
        <f t="shared" si="54"/>
        <v>7582.8569900000002</v>
      </c>
      <c r="N239" s="364">
        <f t="shared" si="54"/>
        <v>9086.0857400000004</v>
      </c>
      <c r="O239" s="364">
        <f t="shared" si="54"/>
        <v>14407.08973</v>
      </c>
      <c r="P239" s="364">
        <f t="shared" si="54"/>
        <v>24928.922490000001</v>
      </c>
      <c r="Q239" s="364">
        <f t="shared" si="54"/>
        <v>24853.5897</v>
      </c>
      <c r="R239" s="364">
        <f t="shared" si="53"/>
        <v>198485.53489000001</v>
      </c>
    </row>
    <row r="240" spans="1:18" x14ac:dyDescent="0.2">
      <c r="A240" s="32" t="s">
        <v>1054</v>
      </c>
      <c r="C240" s="32" t="s">
        <v>1077</v>
      </c>
      <c r="F240" s="365">
        <f t="shared" ref="F240:L240" si="55">SUM(F234:F239)</f>
        <v>57770.323070000006</v>
      </c>
      <c r="G240" s="365">
        <f t="shared" si="55"/>
        <v>52892.119059999997</v>
      </c>
      <c r="H240" s="365">
        <f t="shared" si="55"/>
        <v>55459.925499999998</v>
      </c>
      <c r="I240" s="365">
        <f t="shared" si="55"/>
        <v>52431.573949999998</v>
      </c>
      <c r="J240" s="365">
        <f t="shared" si="55"/>
        <v>49615.620360000001</v>
      </c>
      <c r="K240" s="365">
        <f t="shared" si="55"/>
        <v>44478.867109999999</v>
      </c>
      <c r="L240" s="365">
        <f t="shared" si="55"/>
        <v>42450.191290000002</v>
      </c>
      <c r="M240" s="365">
        <f>SUM(M234:M239)</f>
        <v>41806.598190000004</v>
      </c>
      <c r="N240" s="365">
        <f>SUM(N234:N239)</f>
        <v>43324.844239999999</v>
      </c>
      <c r="O240" s="365">
        <f>SUM(O234:O239)</f>
        <v>48466.350729999998</v>
      </c>
      <c r="P240" s="365">
        <f>SUM(P234:P239)</f>
        <v>58660.748489999998</v>
      </c>
      <c r="Q240" s="365">
        <f>SUM(Q234:Q239)</f>
        <v>58934.364100000006</v>
      </c>
      <c r="R240" s="365">
        <f t="shared" si="53"/>
        <v>606291.52608999994</v>
      </c>
    </row>
    <row r="241" spans="1:18" s="390" customFormat="1" x14ac:dyDescent="0.2">
      <c r="A241" s="390" t="s">
        <v>1056</v>
      </c>
      <c r="B241" s="336" t="s">
        <v>1081</v>
      </c>
      <c r="D241" s="449" t="s">
        <v>811</v>
      </c>
      <c r="F241" s="417">
        <f t="shared" ref="F241:Q242" si="56">F214*F227</f>
        <v>1356.5663999999999</v>
      </c>
      <c r="G241" s="417">
        <f t="shared" si="56"/>
        <v>1195.4684</v>
      </c>
      <c r="H241" s="417">
        <f t="shared" si="56"/>
        <v>1274.9583</v>
      </c>
      <c r="I241" s="417">
        <f t="shared" si="56"/>
        <v>1175.1649</v>
      </c>
      <c r="J241" s="417">
        <f t="shared" si="56"/>
        <v>1081.2746</v>
      </c>
      <c r="K241" s="417">
        <f t="shared" si="56"/>
        <v>906.10029999999995</v>
      </c>
      <c r="L241" s="417">
        <f t="shared" si="56"/>
        <v>837.68439999999998</v>
      </c>
      <c r="M241" s="417">
        <f t="shared" si="56"/>
        <v>815.36770000000001</v>
      </c>
      <c r="N241" s="417">
        <f t="shared" si="56"/>
        <v>866.42989999999998</v>
      </c>
      <c r="O241" s="417">
        <f t="shared" si="56"/>
        <v>1040.9833000000001</v>
      </c>
      <c r="P241" s="417">
        <f t="shared" si="56"/>
        <v>1386.8798999999999</v>
      </c>
      <c r="Q241" s="417">
        <f t="shared" si="56"/>
        <v>1393.6286</v>
      </c>
      <c r="R241" s="417">
        <f t="shared" si="53"/>
        <v>13330.506699999998</v>
      </c>
    </row>
    <row r="242" spans="1:18" x14ac:dyDescent="0.2">
      <c r="A242" s="32" t="s">
        <v>1054</v>
      </c>
      <c r="B242" s="32" t="s">
        <v>1069</v>
      </c>
      <c r="D242" s="382" t="s">
        <v>811</v>
      </c>
      <c r="F242" s="364">
        <f t="shared" si="56"/>
        <v>2.2200000000000002</v>
      </c>
      <c r="G242" s="364">
        <f t="shared" si="56"/>
        <v>2.2200000000000002</v>
      </c>
      <c r="H242" s="364">
        <f t="shared" si="56"/>
        <v>2.2200000000000002</v>
      </c>
      <c r="I242" s="364">
        <f t="shared" si="56"/>
        <v>2.2200000000000002</v>
      </c>
      <c r="J242" s="364">
        <f t="shared" si="56"/>
        <v>2.2200000000000002</v>
      </c>
      <c r="K242" s="364">
        <f t="shared" si="56"/>
        <v>2.2200000000000002</v>
      </c>
      <c r="L242" s="364">
        <f t="shared" si="56"/>
        <v>2.2200000000000002</v>
      </c>
      <c r="M242" s="364">
        <f t="shared" si="56"/>
        <v>2.2200000000000002</v>
      </c>
      <c r="N242" s="364">
        <f t="shared" si="56"/>
        <v>2.2200000000000002</v>
      </c>
      <c r="O242" s="364">
        <f t="shared" si="56"/>
        <v>2.2200000000000002</v>
      </c>
      <c r="P242" s="364">
        <f t="shared" si="56"/>
        <v>2.2200000000000002</v>
      </c>
      <c r="Q242" s="364">
        <f t="shared" si="56"/>
        <v>2.2200000000000002</v>
      </c>
      <c r="R242" s="364">
        <f t="shared" si="53"/>
        <v>26.639999999999997</v>
      </c>
    </row>
    <row r="243" spans="1:18" s="336" customFormat="1" x14ac:dyDescent="0.2">
      <c r="A243" s="336" t="s">
        <v>1054</v>
      </c>
      <c r="B243" s="336" t="s">
        <v>1071</v>
      </c>
      <c r="D243" s="382" t="s">
        <v>811</v>
      </c>
      <c r="F243" s="447">
        <f>'JKP-3.1c - Data'!C192</f>
        <v>0</v>
      </c>
      <c r="G243" s="447">
        <f>'JKP-3.1c - Data'!D192</f>
        <v>0</v>
      </c>
      <c r="H243" s="447">
        <f>'JKP-3.1c - Data'!E192</f>
        <v>0</v>
      </c>
      <c r="I243" s="447">
        <f>'JKP-3.1c - Data'!F192</f>
        <v>0</v>
      </c>
      <c r="J243" s="447">
        <f>'JKP-3.1c - Data'!G192</f>
        <v>0</v>
      </c>
      <c r="K243" s="447">
        <f>'JKP-3.1c - Data'!H192</f>
        <v>0</v>
      </c>
      <c r="L243" s="447">
        <f>'JKP-3.1c - Data'!I192</f>
        <v>0</v>
      </c>
      <c r="M243" s="447">
        <f>'JKP-3.1c - Data'!J192</f>
        <v>0</v>
      </c>
      <c r="N243" s="447">
        <f>'JKP-3.1c - Data'!K192</f>
        <v>0</v>
      </c>
      <c r="O243" s="447">
        <f>'JKP-3.1c - Data'!L192</f>
        <v>0</v>
      </c>
      <c r="P243" s="447">
        <f>'JKP-3.1c - Data'!M192</f>
        <v>0</v>
      </c>
      <c r="Q243" s="447">
        <f>'JKP-3.1c - Data'!N192</f>
        <v>0</v>
      </c>
      <c r="R243" s="437">
        <f t="shared" si="53"/>
        <v>0</v>
      </c>
    </row>
    <row r="244" spans="1:18" s="336" customFormat="1" x14ac:dyDescent="0.2">
      <c r="B244" s="336" t="s">
        <v>986</v>
      </c>
      <c r="F244" s="339">
        <f>F232+F240+F241+F242+F243</f>
        <v>60872.809470000007</v>
      </c>
      <c r="G244" s="339">
        <f t="shared" ref="G244:R244" si="57">G232+G240+G241+G242+G243</f>
        <v>55833.507459999993</v>
      </c>
      <c r="H244" s="339">
        <f t="shared" si="57"/>
        <v>58480.803799999994</v>
      </c>
      <c r="I244" s="339">
        <f t="shared" si="57"/>
        <v>55352.65885</v>
      </c>
      <c r="J244" s="339">
        <f t="shared" si="57"/>
        <v>52442.814959999996</v>
      </c>
      <c r="K244" s="339">
        <f t="shared" si="57"/>
        <v>47130.887409999996</v>
      </c>
      <c r="L244" s="339">
        <f t="shared" si="57"/>
        <v>45033.795689999999</v>
      </c>
      <c r="M244" s="339">
        <f t="shared" si="57"/>
        <v>44367.885890000005</v>
      </c>
      <c r="N244" s="339">
        <f t="shared" si="57"/>
        <v>45937.19414</v>
      </c>
      <c r="O244" s="339">
        <f t="shared" si="57"/>
        <v>51253.254029999996</v>
      </c>
      <c r="P244" s="339">
        <f t="shared" si="57"/>
        <v>61793.548389999996</v>
      </c>
      <c r="Q244" s="339">
        <f t="shared" si="57"/>
        <v>62073.912700000001</v>
      </c>
      <c r="R244" s="339">
        <f t="shared" si="57"/>
        <v>640573.07279000001</v>
      </c>
    </row>
    <row r="245" spans="1:18" x14ac:dyDescent="0.2">
      <c r="F245" s="390"/>
      <c r="G245" s="390"/>
      <c r="H245" s="390"/>
      <c r="I245" s="390"/>
      <c r="J245" s="390"/>
    </row>
    <row r="246" spans="1:18" x14ac:dyDescent="0.2">
      <c r="A246" s="32" t="s">
        <v>1058</v>
      </c>
      <c r="B246" s="32" t="s">
        <v>1050</v>
      </c>
      <c r="F246" s="417">
        <f>F241</f>
        <v>1356.5663999999999</v>
      </c>
      <c r="G246" s="417">
        <f t="shared" ref="G246:Q246" si="58">G241</f>
        <v>1195.4684</v>
      </c>
      <c r="H246" s="417">
        <f t="shared" si="58"/>
        <v>1274.9583</v>
      </c>
      <c r="I246" s="417">
        <f t="shared" si="58"/>
        <v>1175.1649</v>
      </c>
      <c r="J246" s="417">
        <f t="shared" si="58"/>
        <v>1081.2746</v>
      </c>
      <c r="K246" s="417">
        <f t="shared" si="58"/>
        <v>906.10029999999995</v>
      </c>
      <c r="L246" s="417">
        <f t="shared" si="58"/>
        <v>837.68439999999998</v>
      </c>
      <c r="M246" s="417">
        <f t="shared" si="58"/>
        <v>815.36770000000001</v>
      </c>
      <c r="N246" s="417">
        <f t="shared" si="58"/>
        <v>866.42989999999998</v>
      </c>
      <c r="O246" s="417">
        <f t="shared" si="58"/>
        <v>1040.9833000000001</v>
      </c>
      <c r="P246" s="417">
        <f t="shared" si="58"/>
        <v>1386.8798999999999</v>
      </c>
      <c r="Q246" s="417">
        <f t="shared" si="58"/>
        <v>1393.6286</v>
      </c>
      <c r="R246" s="364">
        <f>SUM(F246:Q246)</f>
        <v>13330.506699999998</v>
      </c>
    </row>
    <row r="247" spans="1:18" x14ac:dyDescent="0.2">
      <c r="F247" s="390"/>
      <c r="G247" s="390"/>
      <c r="H247" s="390"/>
      <c r="I247" s="390"/>
      <c r="J247" s="390"/>
    </row>
    <row r="248" spans="1:18" x14ac:dyDescent="0.2">
      <c r="B248" s="276" t="s">
        <v>1094</v>
      </c>
    </row>
    <row r="249" spans="1:18" x14ac:dyDescent="0.2">
      <c r="B249" s="276" t="s">
        <v>5</v>
      </c>
    </row>
    <row r="250" spans="1:18" x14ac:dyDescent="0.2">
      <c r="B250" s="32" t="s">
        <v>1063</v>
      </c>
      <c r="D250" s="32">
        <v>61</v>
      </c>
      <c r="E250" s="32" t="s">
        <v>1064</v>
      </c>
      <c r="F250" s="414">
        <v>0.1</v>
      </c>
      <c r="G250" s="414">
        <v>0.1</v>
      </c>
      <c r="H250" s="414">
        <v>0.1</v>
      </c>
      <c r="I250" s="414">
        <v>0.1</v>
      </c>
      <c r="J250" s="414">
        <v>0.1</v>
      </c>
      <c r="K250" s="414">
        <v>0.1</v>
      </c>
      <c r="L250" s="414">
        <v>0.1</v>
      </c>
      <c r="M250" s="414">
        <v>0.1</v>
      </c>
      <c r="N250" s="414">
        <v>0.1</v>
      </c>
      <c r="O250" s="414">
        <v>0.1</v>
      </c>
      <c r="P250" s="414">
        <v>0.1</v>
      </c>
      <c r="Q250" s="414">
        <v>0.1</v>
      </c>
    </row>
    <row r="252" spans="1:18" x14ac:dyDescent="0.2">
      <c r="B252" s="276" t="s">
        <v>982</v>
      </c>
    </row>
    <row r="253" spans="1:18" s="336" customFormat="1" x14ac:dyDescent="0.2">
      <c r="B253" s="336" t="s">
        <v>74</v>
      </c>
      <c r="F253" s="421">
        <f>'JKP-3.1c - Data'!C129</f>
        <v>88936</v>
      </c>
      <c r="G253" s="421">
        <f>'JKP-3.1c - Data'!D129</f>
        <v>88936</v>
      </c>
      <c r="H253" s="421">
        <f>'JKP-3.1c - Data'!E129</f>
        <v>89191</v>
      </c>
      <c r="I253" s="421">
        <f>'JKP-3.1c - Data'!F129</f>
        <v>88936</v>
      </c>
      <c r="J253" s="421">
        <f>'JKP-3.1c - Data'!G129</f>
        <v>91309</v>
      </c>
      <c r="K253" s="421">
        <f>'JKP-3.1c - Data'!H129</f>
        <v>90116</v>
      </c>
      <c r="L253" s="421">
        <f>'JKP-3.1c - Data'!I129</f>
        <v>92111</v>
      </c>
      <c r="M253" s="421">
        <f>'JKP-3.1c - Data'!J129</f>
        <v>93269</v>
      </c>
      <c r="N253" s="421">
        <f>'JKP-3.1c - Data'!K129</f>
        <v>92656</v>
      </c>
      <c r="O253" s="421">
        <f>'JKP-3.1c - Data'!L129</f>
        <v>92656</v>
      </c>
      <c r="P253" s="421">
        <f>'JKP-3.1c - Data'!M129</f>
        <v>92656</v>
      </c>
      <c r="Q253" s="421">
        <f>'JKP-3.1c - Data'!N129</f>
        <v>92656</v>
      </c>
      <c r="R253" s="378">
        <f>SUM(F253:Q253)</f>
        <v>1093428</v>
      </c>
    </row>
    <row r="255" spans="1:18" x14ac:dyDescent="0.2">
      <c r="B255" s="276" t="s">
        <v>985</v>
      </c>
    </row>
    <row r="256" spans="1:18" x14ac:dyDescent="0.2">
      <c r="A256" s="32" t="s">
        <v>1054</v>
      </c>
      <c r="B256" s="32" t="s">
        <v>1063</v>
      </c>
      <c r="F256" s="364">
        <f t="shared" ref="F256:N256" si="59">F250*F253</f>
        <v>8893.6</v>
      </c>
      <c r="G256" s="364">
        <f t="shared" si="59"/>
        <v>8893.6</v>
      </c>
      <c r="H256" s="364">
        <f t="shared" si="59"/>
        <v>8919.1</v>
      </c>
      <c r="I256" s="364">
        <f t="shared" si="59"/>
        <v>8893.6</v>
      </c>
      <c r="J256" s="364">
        <f t="shared" si="59"/>
        <v>9130.9</v>
      </c>
      <c r="K256" s="364">
        <f t="shared" si="59"/>
        <v>9011.6</v>
      </c>
      <c r="L256" s="364">
        <f t="shared" si="59"/>
        <v>9211.1</v>
      </c>
      <c r="M256" s="364">
        <f t="shared" si="59"/>
        <v>9326.9</v>
      </c>
      <c r="N256" s="364">
        <f t="shared" si="59"/>
        <v>9265.6</v>
      </c>
      <c r="O256" s="364">
        <f>O250*O253</f>
        <v>9265.6</v>
      </c>
      <c r="P256" s="364">
        <f>P250*P253</f>
        <v>9265.6</v>
      </c>
      <c r="Q256" s="364">
        <f>Q250*Q253</f>
        <v>9265.6</v>
      </c>
      <c r="R256" s="364">
        <f>SUM(F256:Q256)</f>
        <v>109342.80000000002</v>
      </c>
    </row>
    <row r="257" spans="2:18" x14ac:dyDescent="0.2">
      <c r="F257" s="364"/>
      <c r="G257" s="364"/>
      <c r="H257" s="364"/>
      <c r="I257" s="364"/>
      <c r="J257" s="364"/>
      <c r="K257" s="364"/>
      <c r="L257" s="364"/>
      <c r="M257" s="364"/>
      <c r="N257" s="364"/>
      <c r="O257" s="364"/>
      <c r="P257" s="364"/>
      <c r="Q257" s="364"/>
      <c r="R257" s="364"/>
    </row>
    <row r="259" spans="2:18" s="336" customFormat="1" x14ac:dyDescent="0.2">
      <c r="B259" s="182" t="s">
        <v>1095</v>
      </c>
      <c r="C259" s="182"/>
    </row>
    <row r="260" spans="2:18" x14ac:dyDescent="0.2">
      <c r="B260" s="276" t="s">
        <v>5</v>
      </c>
      <c r="C260" s="276"/>
    </row>
    <row r="261" spans="2:18" x14ac:dyDescent="0.2">
      <c r="B261" s="32" t="s">
        <v>1059</v>
      </c>
      <c r="D261" s="32">
        <v>85</v>
      </c>
      <c r="E261" s="32" t="s">
        <v>976</v>
      </c>
      <c r="F261" s="414">
        <v>544.75</v>
      </c>
      <c r="G261" s="414">
        <v>544.75</v>
      </c>
      <c r="H261" s="414">
        <v>544.75</v>
      </c>
      <c r="I261" s="414">
        <v>544.75</v>
      </c>
      <c r="J261" s="414">
        <v>544.75</v>
      </c>
      <c r="K261" s="414">
        <v>544.75</v>
      </c>
      <c r="L261" s="414">
        <v>544.75</v>
      </c>
      <c r="M261" s="414">
        <v>544.75</v>
      </c>
      <c r="N261" s="414">
        <v>544.75</v>
      </c>
      <c r="O261" s="414">
        <v>544.75</v>
      </c>
      <c r="P261" s="414">
        <v>544.75</v>
      </c>
      <c r="Q261" s="414">
        <v>544.75</v>
      </c>
      <c r="R261" s="439"/>
    </row>
    <row r="262" spans="2:18" x14ac:dyDescent="0.2">
      <c r="B262" s="32" t="s">
        <v>1047</v>
      </c>
      <c r="F262" s="395"/>
      <c r="G262" s="395"/>
      <c r="H262" s="395"/>
      <c r="I262" s="395"/>
      <c r="J262" s="395"/>
      <c r="K262" s="395"/>
      <c r="L262" s="395"/>
      <c r="M262" s="395"/>
      <c r="N262" s="395"/>
      <c r="O262" s="395"/>
      <c r="P262" s="395"/>
      <c r="Q262" s="395"/>
      <c r="R262" s="394"/>
    </row>
    <row r="263" spans="2:18" x14ac:dyDescent="0.2">
      <c r="C263" s="32" t="s">
        <v>1086</v>
      </c>
      <c r="D263" s="32">
        <v>85</v>
      </c>
      <c r="E263" s="32" t="s">
        <v>957</v>
      </c>
      <c r="F263" s="395">
        <v>0.10229000000000001</v>
      </c>
      <c r="G263" s="395">
        <v>0.10229000000000001</v>
      </c>
      <c r="H263" s="395">
        <v>0.10229000000000001</v>
      </c>
      <c r="I263" s="395">
        <v>0.10229000000000001</v>
      </c>
      <c r="J263" s="395">
        <v>0.10229000000000001</v>
      </c>
      <c r="K263" s="395">
        <v>0.10229000000000001</v>
      </c>
      <c r="L263" s="395">
        <v>0.10229000000000001</v>
      </c>
      <c r="M263" s="395">
        <v>0.10229000000000001</v>
      </c>
      <c r="N263" s="395">
        <v>0.10229000000000001</v>
      </c>
      <c r="O263" s="395">
        <v>0.10229000000000001</v>
      </c>
      <c r="P263" s="395">
        <v>0.10229000000000001</v>
      </c>
      <c r="Q263" s="395">
        <v>0.10229000000000001</v>
      </c>
      <c r="R263" s="394"/>
    </row>
    <row r="264" spans="2:18" x14ac:dyDescent="0.2">
      <c r="C264" s="32" t="s">
        <v>1087</v>
      </c>
      <c r="D264" s="32">
        <v>85</v>
      </c>
      <c r="E264" s="32" t="s">
        <v>957</v>
      </c>
      <c r="F264" s="395">
        <v>5.2440000000000001E-2</v>
      </c>
      <c r="G264" s="395">
        <v>5.2440000000000001E-2</v>
      </c>
      <c r="H264" s="395">
        <v>5.2440000000000001E-2</v>
      </c>
      <c r="I264" s="395">
        <v>5.2440000000000001E-2</v>
      </c>
      <c r="J264" s="395">
        <v>5.2440000000000001E-2</v>
      </c>
      <c r="K264" s="395">
        <v>5.2440000000000001E-2</v>
      </c>
      <c r="L264" s="395">
        <v>5.2440000000000001E-2</v>
      </c>
      <c r="M264" s="395">
        <v>5.2440000000000001E-2</v>
      </c>
      <c r="N264" s="395">
        <v>5.2440000000000001E-2</v>
      </c>
      <c r="O264" s="395">
        <v>5.2440000000000001E-2</v>
      </c>
      <c r="P264" s="395">
        <v>5.2440000000000001E-2</v>
      </c>
      <c r="Q264" s="395">
        <v>5.2440000000000001E-2</v>
      </c>
      <c r="R264" s="394"/>
    </row>
    <row r="265" spans="2:18" x14ac:dyDescent="0.2">
      <c r="C265" s="32" t="s">
        <v>1088</v>
      </c>
      <c r="D265" s="32">
        <v>85</v>
      </c>
      <c r="E265" s="32" t="s">
        <v>957</v>
      </c>
      <c r="F265" s="395">
        <v>5.033E-2</v>
      </c>
      <c r="G265" s="395">
        <v>5.033E-2</v>
      </c>
      <c r="H265" s="395">
        <v>5.033E-2</v>
      </c>
      <c r="I265" s="395">
        <v>5.033E-2</v>
      </c>
      <c r="J265" s="395">
        <v>5.033E-2</v>
      </c>
      <c r="K265" s="395">
        <v>5.033E-2</v>
      </c>
      <c r="L265" s="395">
        <v>5.033E-2</v>
      </c>
      <c r="M265" s="395">
        <v>5.033E-2</v>
      </c>
      <c r="N265" s="395">
        <v>5.033E-2</v>
      </c>
      <c r="O265" s="395">
        <v>5.033E-2</v>
      </c>
      <c r="P265" s="395">
        <v>5.033E-2</v>
      </c>
      <c r="Q265" s="395">
        <v>5.033E-2</v>
      </c>
      <c r="R265" s="394"/>
    </row>
    <row r="266" spans="2:18" x14ac:dyDescent="0.2">
      <c r="B266" s="32" t="s">
        <v>1067</v>
      </c>
      <c r="D266" s="32">
        <v>101</v>
      </c>
      <c r="E266" s="32" t="s">
        <v>957</v>
      </c>
      <c r="F266" s="495">
        <f>'JKP-3.1c - Rev Actual Rates'!F277</f>
        <v>0.70016</v>
      </c>
      <c r="G266" s="495">
        <f>'JKP-3.1c - Rev Actual Rates'!G277</f>
        <v>0.70016</v>
      </c>
      <c r="H266" s="495">
        <f>'JKP-3.1c - Rev Actual Rates'!H277</f>
        <v>0.70016</v>
      </c>
      <c r="I266" s="495">
        <f>'JKP-3.1c - Rev Actual Rates'!I277</f>
        <v>0.70016</v>
      </c>
      <c r="J266" s="495">
        <f>'JKP-3.1c - Rev Actual Rates'!J277</f>
        <v>0.70016</v>
      </c>
      <c r="K266" s="495">
        <f>'JKP-3.1c - Rev Actual Rates'!K277</f>
        <v>0.70016</v>
      </c>
      <c r="L266" s="495">
        <f>'JKP-3.1c - Rev Actual Rates'!L277</f>
        <v>0.70016</v>
      </c>
      <c r="M266" s="495">
        <f>'JKP-3.1c - Rev Actual Rates'!M277</f>
        <v>0.70016</v>
      </c>
      <c r="N266" s="495">
        <f>'JKP-3.1c - Rev Actual Rates'!N277</f>
        <v>0.70016</v>
      </c>
      <c r="O266" s="495">
        <f>'JKP-3.1c - Rev Actual Rates'!O277</f>
        <v>0.70016</v>
      </c>
      <c r="P266" s="495">
        <f>'JKP-3.1c - Rev Actual Rates'!P277</f>
        <v>0.66125</v>
      </c>
      <c r="Q266" s="495">
        <f>'JKP-3.1c - Rev Actual Rates'!Q277</f>
        <v>0.66125</v>
      </c>
      <c r="R266" s="394"/>
    </row>
    <row r="267" spans="2:18" s="336" customFormat="1" x14ac:dyDescent="0.2">
      <c r="B267" s="336" t="s">
        <v>1096</v>
      </c>
      <c r="D267" s="382">
        <v>85</v>
      </c>
      <c r="E267" s="336" t="s">
        <v>957</v>
      </c>
      <c r="F267" s="440">
        <v>6.5900000000000004E-3</v>
      </c>
      <c r="G267" s="440">
        <v>6.5900000000000004E-3</v>
      </c>
      <c r="H267" s="440">
        <v>6.5900000000000004E-3</v>
      </c>
      <c r="I267" s="440">
        <v>6.5900000000000004E-3</v>
      </c>
      <c r="J267" s="440">
        <v>6.5900000000000004E-3</v>
      </c>
      <c r="K267" s="440">
        <v>6.5900000000000004E-3</v>
      </c>
      <c r="L267" s="440">
        <v>6.5900000000000004E-3</v>
      </c>
      <c r="M267" s="440">
        <v>6.5900000000000004E-3</v>
      </c>
      <c r="N267" s="440">
        <v>6.5900000000000004E-3</v>
      </c>
      <c r="O267" s="440">
        <v>6.5900000000000004E-3</v>
      </c>
      <c r="P267" s="440">
        <v>6.5900000000000004E-3</v>
      </c>
      <c r="Q267" s="440">
        <v>6.5900000000000004E-3</v>
      </c>
      <c r="R267" s="441"/>
    </row>
    <row r="268" spans="2:18" s="336" customFormat="1" x14ac:dyDescent="0.2">
      <c r="B268" s="336" t="s">
        <v>1068</v>
      </c>
      <c r="F268" s="441"/>
      <c r="G268" s="441"/>
      <c r="H268" s="441"/>
      <c r="I268" s="441"/>
      <c r="J268" s="441"/>
      <c r="K268" s="441"/>
      <c r="L268" s="440"/>
      <c r="M268" s="440"/>
      <c r="N268" s="440"/>
      <c r="O268" s="440"/>
      <c r="P268" s="440"/>
      <c r="Q268" s="440"/>
      <c r="R268" s="441"/>
    </row>
    <row r="269" spans="2:18" s="336" customFormat="1" x14ac:dyDescent="0.2">
      <c r="C269" s="336" t="s">
        <v>1069</v>
      </c>
      <c r="D269" s="336">
        <v>101</v>
      </c>
      <c r="E269" s="336" t="s">
        <v>957</v>
      </c>
      <c r="F269" s="442">
        <v>1.1100000000000001</v>
      </c>
      <c r="G269" s="442">
        <v>1.1100000000000001</v>
      </c>
      <c r="H269" s="442">
        <v>1.1100000000000001</v>
      </c>
      <c r="I269" s="442">
        <v>1.1100000000000001</v>
      </c>
      <c r="J269" s="442">
        <v>1.1100000000000001</v>
      </c>
      <c r="K269" s="442">
        <v>1.1100000000000001</v>
      </c>
      <c r="L269" s="442">
        <v>1.1100000000000001</v>
      </c>
      <c r="M269" s="442">
        <v>1.1100000000000001</v>
      </c>
      <c r="N269" s="442">
        <v>1.1100000000000001</v>
      </c>
      <c r="O269" s="442">
        <v>1.1100000000000001</v>
      </c>
      <c r="P269" s="442">
        <v>1.1100000000000001</v>
      </c>
      <c r="Q269" s="442">
        <v>1.1100000000000001</v>
      </c>
      <c r="R269" s="441"/>
    </row>
    <row r="270" spans="2:18" s="336" customFormat="1" x14ac:dyDescent="0.2">
      <c r="C270" s="336" t="s">
        <v>1070</v>
      </c>
      <c r="D270" s="336">
        <v>101</v>
      </c>
      <c r="E270" s="336" t="s">
        <v>957</v>
      </c>
      <c r="F270" s="442">
        <v>1.05</v>
      </c>
      <c r="G270" s="442">
        <v>1.05</v>
      </c>
      <c r="H270" s="442">
        <v>1.05</v>
      </c>
      <c r="I270" s="442">
        <v>1.05</v>
      </c>
      <c r="J270" s="442">
        <v>1.05</v>
      </c>
      <c r="K270" s="442">
        <v>1.05</v>
      </c>
      <c r="L270" s="442">
        <v>1.05</v>
      </c>
      <c r="M270" s="442">
        <v>1.05</v>
      </c>
      <c r="N270" s="442">
        <v>1.05</v>
      </c>
      <c r="O270" s="442">
        <v>1.05</v>
      </c>
      <c r="P270" s="442">
        <v>1.05</v>
      </c>
      <c r="Q270" s="442">
        <v>1.05</v>
      </c>
      <c r="R270" s="441"/>
    </row>
    <row r="271" spans="2:18" s="336" customFormat="1" x14ac:dyDescent="0.2">
      <c r="B271" s="336" t="s">
        <v>1071</v>
      </c>
      <c r="D271" s="336">
        <v>85</v>
      </c>
      <c r="E271" s="336" t="s">
        <v>67</v>
      </c>
      <c r="F271" s="450"/>
      <c r="G271" s="450"/>
      <c r="H271" s="442"/>
      <c r="I271" s="450"/>
      <c r="J271" s="450"/>
      <c r="K271" s="450"/>
      <c r="L271" s="450"/>
      <c r="M271" s="450"/>
      <c r="N271" s="450"/>
      <c r="O271" s="450"/>
      <c r="P271" s="450"/>
      <c r="Q271" s="450"/>
      <c r="R271" s="441"/>
    </row>
    <row r="272" spans="2:18" s="336" customFormat="1" x14ac:dyDescent="0.2">
      <c r="B272" s="336" t="s">
        <v>1050</v>
      </c>
      <c r="F272" s="496">
        <f>'JKP-3.1c - Rev Actual Rates'!F283</f>
        <v>0.66991999999999996</v>
      </c>
      <c r="G272" s="496">
        <f>'JKP-3.1c - Rev Actual Rates'!G283</f>
        <v>0.66991999999999996</v>
      </c>
      <c r="H272" s="496">
        <f>'JKP-3.1c - Rev Actual Rates'!H283</f>
        <v>0.66991999999999996</v>
      </c>
      <c r="I272" s="496">
        <f>'JKP-3.1c - Rev Actual Rates'!I283</f>
        <v>0.66991999999999996</v>
      </c>
      <c r="J272" s="496">
        <f>'JKP-3.1c - Rev Actual Rates'!J283</f>
        <v>0.66991999999999996</v>
      </c>
      <c r="K272" s="496">
        <f>'JKP-3.1c - Rev Actual Rates'!K283</f>
        <v>0.66991999999999996</v>
      </c>
      <c r="L272" s="496">
        <f>'JKP-3.1c - Rev Actual Rates'!L283</f>
        <v>0.66991999999999996</v>
      </c>
      <c r="M272" s="496">
        <f>'JKP-3.1c - Rev Actual Rates'!M283</f>
        <v>0.66991999999999996</v>
      </c>
      <c r="N272" s="496">
        <f>'JKP-3.1c - Rev Actual Rates'!N283</f>
        <v>0.66991999999999996</v>
      </c>
      <c r="O272" s="496">
        <f>'JKP-3.1c - Rev Actual Rates'!O283</f>
        <v>0.66991999999999996</v>
      </c>
      <c r="P272" s="495">
        <f>'JKP-3.1c - Rev Actual Rates'!P283</f>
        <v>0.63265000000000005</v>
      </c>
      <c r="Q272" s="496">
        <f>'JKP-3.1c - Rev Actual Rates'!Q283</f>
        <v>0.63265000000000005</v>
      </c>
      <c r="R272" s="441"/>
    </row>
    <row r="273" spans="1:18" s="336" customFormat="1" x14ac:dyDescent="0.2">
      <c r="B273" s="336" t="s">
        <v>1072</v>
      </c>
      <c r="F273" s="442">
        <v>1</v>
      </c>
      <c r="G273" s="442">
        <v>1</v>
      </c>
      <c r="H273" s="442">
        <v>1</v>
      </c>
      <c r="I273" s="442">
        <v>1</v>
      </c>
      <c r="J273" s="442">
        <v>1</v>
      </c>
      <c r="K273" s="442">
        <v>1</v>
      </c>
      <c r="L273" s="442">
        <v>1</v>
      </c>
      <c r="M273" s="442">
        <v>1</v>
      </c>
      <c r="N273" s="442">
        <v>1</v>
      </c>
      <c r="O273" s="442">
        <v>1</v>
      </c>
      <c r="P273" s="442">
        <v>1</v>
      </c>
      <c r="Q273" s="442">
        <v>1</v>
      </c>
      <c r="R273" s="441"/>
    </row>
    <row r="274" spans="1:18" s="336" customFormat="1" x14ac:dyDescent="0.2"/>
    <row r="275" spans="1:18" s="336" customFormat="1" x14ac:dyDescent="0.2">
      <c r="B275" s="182" t="s">
        <v>982</v>
      </c>
    </row>
    <row r="276" spans="1:18" s="336" customFormat="1" x14ac:dyDescent="0.2">
      <c r="B276" s="336" t="s">
        <v>67</v>
      </c>
      <c r="E276" s="336" t="s">
        <v>67</v>
      </c>
      <c r="F276" s="421">
        <f>'JKP-3.1c - Data'!C146</f>
        <v>25</v>
      </c>
      <c r="G276" s="421">
        <f>'JKP-3.1c - Data'!D146</f>
        <v>25</v>
      </c>
      <c r="H276" s="421">
        <f>'JKP-3.1c - Data'!E146</f>
        <v>27</v>
      </c>
      <c r="I276" s="421">
        <f>'JKP-3.1c - Data'!F146</f>
        <v>27</v>
      </c>
      <c r="J276" s="421">
        <f>'JKP-3.1c - Data'!G146</f>
        <v>27</v>
      </c>
      <c r="K276" s="421">
        <f>'JKP-3.1c - Data'!H146</f>
        <v>27</v>
      </c>
      <c r="L276" s="421">
        <f>'JKP-3.1c - Data'!I146</f>
        <v>27</v>
      </c>
      <c r="M276" s="421">
        <f>'JKP-3.1c - Data'!J146</f>
        <v>28</v>
      </c>
      <c r="N276" s="421">
        <f>'JKP-3.1c - Data'!K146</f>
        <v>27</v>
      </c>
      <c r="O276" s="421">
        <f>'JKP-3.1c - Data'!L146</f>
        <v>27</v>
      </c>
      <c r="P276" s="421">
        <f>'JKP-3.1c - Data'!M146</f>
        <v>27</v>
      </c>
      <c r="Q276" s="421">
        <f>'JKP-3.1c - Data'!N146</f>
        <v>27</v>
      </c>
      <c r="R276" s="378">
        <f>SUM(F276:Q276)</f>
        <v>321</v>
      </c>
    </row>
    <row r="277" spans="1:18" s="336" customFormat="1" x14ac:dyDescent="0.2">
      <c r="B277" s="336" t="s">
        <v>76</v>
      </c>
      <c r="F277" s="380"/>
      <c r="G277" s="380"/>
      <c r="H277" s="380"/>
      <c r="I277" s="380"/>
      <c r="J277" s="380"/>
      <c r="K277" s="380"/>
      <c r="L277" s="380"/>
      <c r="M277" s="380"/>
      <c r="N277" s="380"/>
      <c r="O277" s="380"/>
      <c r="P277" s="380"/>
      <c r="Q277" s="380"/>
      <c r="R277" s="378"/>
    </row>
    <row r="278" spans="1:18" s="336" customFormat="1" x14ac:dyDescent="0.2">
      <c r="C278" s="336" t="s">
        <v>1086</v>
      </c>
      <c r="E278" s="336" t="s">
        <v>10</v>
      </c>
      <c r="F278" s="380">
        <v>579204</v>
      </c>
      <c r="G278" s="380">
        <v>571053</v>
      </c>
      <c r="H278" s="380">
        <v>627459</v>
      </c>
      <c r="I278" s="380">
        <v>616245</v>
      </c>
      <c r="J278" s="380">
        <v>589190</v>
      </c>
      <c r="K278" s="380">
        <v>532748</v>
      </c>
      <c r="L278" s="380">
        <v>489709</v>
      </c>
      <c r="M278" s="380">
        <v>482494</v>
      </c>
      <c r="N278" s="380">
        <v>496035</v>
      </c>
      <c r="O278" s="380">
        <v>576969</v>
      </c>
      <c r="P278" s="380">
        <v>621973</v>
      </c>
      <c r="Q278" s="380">
        <v>643793</v>
      </c>
      <c r="R278" s="378">
        <f>SUM(F278:Q278)</f>
        <v>6826872</v>
      </c>
    </row>
    <row r="279" spans="1:18" s="336" customFormat="1" x14ac:dyDescent="0.2">
      <c r="C279" s="336" t="s">
        <v>1087</v>
      </c>
      <c r="E279" s="336" t="s">
        <v>10</v>
      </c>
      <c r="F279" s="380">
        <v>316044</v>
      </c>
      <c r="G279" s="380">
        <v>266208</v>
      </c>
      <c r="H279" s="380">
        <v>328534</v>
      </c>
      <c r="I279" s="380">
        <v>286112</v>
      </c>
      <c r="J279" s="380">
        <v>232846</v>
      </c>
      <c r="K279" s="380">
        <v>196378</v>
      </c>
      <c r="L279" s="380">
        <v>177019</v>
      </c>
      <c r="M279" s="380">
        <v>177009</v>
      </c>
      <c r="N279" s="380">
        <v>183789</v>
      </c>
      <c r="O279" s="380">
        <v>253149</v>
      </c>
      <c r="P279" s="380">
        <v>336943</v>
      </c>
      <c r="Q279" s="380">
        <v>381036</v>
      </c>
      <c r="R279" s="378">
        <f>SUM(F279:Q279)</f>
        <v>3135067</v>
      </c>
    </row>
    <row r="280" spans="1:18" s="336" customFormat="1" x14ac:dyDescent="0.2">
      <c r="C280" s="336" t="s">
        <v>1088</v>
      </c>
      <c r="E280" s="336" t="s">
        <v>10</v>
      </c>
      <c r="F280" s="378">
        <f t="shared" ref="F280:Q280" si="60">F281-F278-F279</f>
        <v>645280</v>
      </c>
      <c r="G280" s="378">
        <f t="shared" si="60"/>
        <v>528649</v>
      </c>
      <c r="H280" s="378">
        <f t="shared" si="60"/>
        <v>587049</v>
      </c>
      <c r="I280" s="378">
        <f t="shared" si="60"/>
        <v>449290</v>
      </c>
      <c r="J280" s="378">
        <f t="shared" si="60"/>
        <v>320771</v>
      </c>
      <c r="K280" s="378">
        <f t="shared" si="60"/>
        <v>132163</v>
      </c>
      <c r="L280" s="378">
        <f t="shared" si="60"/>
        <v>52731</v>
      </c>
      <c r="M280" s="378">
        <f t="shared" si="60"/>
        <v>22848</v>
      </c>
      <c r="N280" s="378">
        <f t="shared" si="60"/>
        <v>58092</v>
      </c>
      <c r="O280" s="378">
        <f t="shared" si="60"/>
        <v>258373</v>
      </c>
      <c r="P280" s="378">
        <f t="shared" si="60"/>
        <v>511067</v>
      </c>
      <c r="Q280" s="378">
        <f t="shared" si="60"/>
        <v>542545</v>
      </c>
      <c r="R280" s="378">
        <f>SUM(F280:Q280)</f>
        <v>4108858</v>
      </c>
    </row>
    <row r="281" spans="1:18" s="336" customFormat="1" x14ac:dyDescent="0.2">
      <c r="C281" s="336" t="s">
        <v>1075</v>
      </c>
      <c r="E281" s="336" t="s">
        <v>10</v>
      </c>
      <c r="F281" s="445">
        <f>'JKP-3.1c - Therms Data'!E74</f>
        <v>1540528</v>
      </c>
      <c r="G281" s="445">
        <f>'JKP-3.1c - Therms Data'!F74</f>
        <v>1365910</v>
      </c>
      <c r="H281" s="445">
        <f>'JKP-3.1c - Therms Data'!G74</f>
        <v>1543042</v>
      </c>
      <c r="I281" s="445">
        <f>'JKP-3.1c - Therms Data'!H74</f>
        <v>1351647</v>
      </c>
      <c r="J281" s="445">
        <f>'JKP-3.1c - Therms Data'!I74</f>
        <v>1142807</v>
      </c>
      <c r="K281" s="445">
        <f>'JKP-3.1c - Therms Data'!J74</f>
        <v>861289</v>
      </c>
      <c r="L281" s="445">
        <f>'JKP-3.1c - Therms Data'!K74</f>
        <v>719459</v>
      </c>
      <c r="M281" s="445">
        <f>'JKP-3.1c - Therms Data'!L74</f>
        <v>682351</v>
      </c>
      <c r="N281" s="445">
        <f>'JKP-3.1c - Therms Data'!M74</f>
        <v>737916</v>
      </c>
      <c r="O281" s="445">
        <f>'JKP-3.1c - Therms Data'!N74</f>
        <v>1088491</v>
      </c>
      <c r="P281" s="445">
        <f>'JKP-3.1c - Therms Data'!O74</f>
        <v>1469983</v>
      </c>
      <c r="Q281" s="445">
        <f>'JKP-3.1c - Therms Data'!P74</f>
        <v>1567374</v>
      </c>
      <c r="R281" s="436">
        <f>SUM(R278:R280)</f>
        <v>14070797</v>
      </c>
    </row>
    <row r="282" spans="1:18" s="336" customFormat="1" x14ac:dyDescent="0.2">
      <c r="B282" s="336" t="s">
        <v>74</v>
      </c>
      <c r="E282" s="336" t="s">
        <v>1076</v>
      </c>
      <c r="F282" s="421">
        <f>'JKP-3.1c - Data'!C166</f>
        <v>7593</v>
      </c>
      <c r="G282" s="421">
        <f>'JKP-3.1c - Data'!D166</f>
        <v>7593</v>
      </c>
      <c r="H282" s="421">
        <f>'JKP-3.1c - Data'!E166</f>
        <v>7593</v>
      </c>
      <c r="I282" s="421">
        <f>'JKP-3.1c - Data'!F166</f>
        <v>7593</v>
      </c>
      <c r="J282" s="421">
        <f>'JKP-3.1c - Data'!G166</f>
        <v>7593</v>
      </c>
      <c r="K282" s="421">
        <f>'JKP-3.1c - Data'!H166</f>
        <v>7593</v>
      </c>
      <c r="L282" s="421">
        <f>'JKP-3.1c - Data'!I166</f>
        <v>7593</v>
      </c>
      <c r="M282" s="421">
        <f>'JKP-3.1c - Data'!J166</f>
        <v>7661</v>
      </c>
      <c r="N282" s="421">
        <f>'JKP-3.1c - Data'!K166</f>
        <v>7593</v>
      </c>
      <c r="O282" s="421">
        <f>'JKP-3.1c - Data'!L166</f>
        <v>7593</v>
      </c>
      <c r="P282" s="421">
        <f>'JKP-3.1c - Data'!M166</f>
        <v>7593</v>
      </c>
      <c r="Q282" s="421">
        <f>'JKP-3.1c - Data'!N166</f>
        <v>7593</v>
      </c>
      <c r="R282" s="378">
        <f>SUM(F282:Q282)</f>
        <v>91184</v>
      </c>
    </row>
    <row r="283" spans="1:18" s="336" customFormat="1" x14ac:dyDescent="0.2">
      <c r="B283" s="336" t="s">
        <v>1071</v>
      </c>
      <c r="F283" s="380"/>
      <c r="G283" s="380"/>
      <c r="H283" s="380"/>
      <c r="I283" s="380"/>
      <c r="J283" s="380"/>
      <c r="K283" s="380"/>
      <c r="L283" s="380"/>
      <c r="M283" s="380"/>
      <c r="N283" s="380"/>
      <c r="O283" s="380"/>
      <c r="P283" s="380"/>
      <c r="Q283" s="380"/>
      <c r="R283" s="378"/>
    </row>
    <row r="284" spans="1:18" s="336" customFormat="1" x14ac:dyDescent="0.2">
      <c r="R284" s="179"/>
    </row>
    <row r="285" spans="1:18" s="336" customFormat="1" x14ac:dyDescent="0.2">
      <c r="B285" s="182" t="s">
        <v>985</v>
      </c>
      <c r="R285" s="179"/>
    </row>
    <row r="286" spans="1:18" s="336" customFormat="1" x14ac:dyDescent="0.2">
      <c r="A286" s="336" t="s">
        <v>1054</v>
      </c>
      <c r="B286" s="336" t="s">
        <v>1059</v>
      </c>
      <c r="D286" s="336">
        <v>85</v>
      </c>
      <c r="F286" s="418">
        <f t="shared" ref="F286:N286" si="61">F261*F276</f>
        <v>13618.75</v>
      </c>
      <c r="G286" s="418">
        <f t="shared" si="61"/>
        <v>13618.75</v>
      </c>
      <c r="H286" s="418">
        <f t="shared" si="61"/>
        <v>14708.25</v>
      </c>
      <c r="I286" s="418">
        <f t="shared" si="61"/>
        <v>14708.25</v>
      </c>
      <c r="J286" s="418">
        <f t="shared" si="61"/>
        <v>14708.25</v>
      </c>
      <c r="K286" s="418">
        <f t="shared" si="61"/>
        <v>14708.25</v>
      </c>
      <c r="L286" s="418">
        <f t="shared" si="61"/>
        <v>14708.25</v>
      </c>
      <c r="M286" s="418">
        <f t="shared" si="61"/>
        <v>15253</v>
      </c>
      <c r="N286" s="418">
        <f t="shared" si="61"/>
        <v>14708.25</v>
      </c>
      <c r="O286" s="418">
        <f>O261*O276</f>
        <v>14708.25</v>
      </c>
      <c r="P286" s="418">
        <f>P261*P276</f>
        <v>14708.25</v>
      </c>
      <c r="Q286" s="418">
        <f>Q261*Q276</f>
        <v>14708.25</v>
      </c>
      <c r="R286" s="437">
        <f>SUM(F286:Q286)</f>
        <v>174864.75</v>
      </c>
    </row>
    <row r="287" spans="1:18" s="336" customFormat="1" x14ac:dyDescent="0.2">
      <c r="B287" s="336" t="s">
        <v>1047</v>
      </c>
      <c r="F287" s="418"/>
      <c r="G287" s="418"/>
      <c r="H287" s="418"/>
      <c r="I287" s="418"/>
      <c r="J287" s="418"/>
      <c r="K287" s="418"/>
      <c r="L287" s="418"/>
      <c r="M287" s="418"/>
      <c r="N287" s="418"/>
      <c r="O287" s="418"/>
      <c r="P287" s="418"/>
      <c r="Q287" s="418"/>
      <c r="R287" s="437"/>
    </row>
    <row r="288" spans="1:18" s="336" customFormat="1" x14ac:dyDescent="0.2">
      <c r="C288" s="336" t="s">
        <v>1086</v>
      </c>
      <c r="D288" s="336">
        <v>85</v>
      </c>
      <c r="F288" s="418">
        <f t="shared" ref="F288:Q290" si="62">F263*F278</f>
        <v>59246.777160000005</v>
      </c>
      <c r="G288" s="418">
        <f t="shared" si="62"/>
        <v>58413.01137</v>
      </c>
      <c r="H288" s="418">
        <f t="shared" si="62"/>
        <v>64182.781110000004</v>
      </c>
      <c r="I288" s="418">
        <f t="shared" si="62"/>
        <v>63035.701050000003</v>
      </c>
      <c r="J288" s="418">
        <f t="shared" si="62"/>
        <v>60268.2451</v>
      </c>
      <c r="K288" s="418">
        <f t="shared" si="62"/>
        <v>54494.79292</v>
      </c>
      <c r="L288" s="418">
        <f t="shared" si="62"/>
        <v>50092.333610000001</v>
      </c>
      <c r="M288" s="418">
        <f t="shared" si="62"/>
        <v>49354.311260000002</v>
      </c>
      <c r="N288" s="418">
        <f t="shared" si="62"/>
        <v>50739.420150000005</v>
      </c>
      <c r="O288" s="418">
        <f t="shared" si="62"/>
        <v>59018.159010000003</v>
      </c>
      <c r="P288" s="418">
        <f t="shared" si="62"/>
        <v>63621.618170000002</v>
      </c>
      <c r="Q288" s="418">
        <f t="shared" si="62"/>
        <v>65853.58597</v>
      </c>
      <c r="R288" s="437">
        <f>SUM(F288:Q288)</f>
        <v>698320.73687999998</v>
      </c>
    </row>
    <row r="289" spans="1:18" s="336" customFormat="1" x14ac:dyDescent="0.2">
      <c r="C289" s="336" t="s">
        <v>1087</v>
      </c>
      <c r="D289" s="336">
        <v>85</v>
      </c>
      <c r="F289" s="418">
        <f t="shared" si="62"/>
        <v>16573.34736</v>
      </c>
      <c r="G289" s="418">
        <f t="shared" si="62"/>
        <v>13959.94752</v>
      </c>
      <c r="H289" s="418">
        <f t="shared" si="62"/>
        <v>17228.322960000001</v>
      </c>
      <c r="I289" s="418">
        <f t="shared" si="62"/>
        <v>15003.71328</v>
      </c>
      <c r="J289" s="418">
        <f t="shared" si="62"/>
        <v>12210.444240000001</v>
      </c>
      <c r="K289" s="418">
        <f t="shared" si="62"/>
        <v>10298.062320000001</v>
      </c>
      <c r="L289" s="418">
        <f t="shared" si="62"/>
        <v>9282.8763600000002</v>
      </c>
      <c r="M289" s="418">
        <f t="shared" si="62"/>
        <v>9282.35196</v>
      </c>
      <c r="N289" s="418">
        <f t="shared" si="62"/>
        <v>9637.89516</v>
      </c>
      <c r="O289" s="418">
        <f t="shared" si="62"/>
        <v>13275.13356</v>
      </c>
      <c r="P289" s="418">
        <f t="shared" si="62"/>
        <v>17669.290919999999</v>
      </c>
      <c r="Q289" s="418">
        <f t="shared" si="62"/>
        <v>19981.527839999999</v>
      </c>
      <c r="R289" s="437">
        <f>SUM(F289:Q289)</f>
        <v>164402.91347999999</v>
      </c>
    </row>
    <row r="290" spans="1:18" x14ac:dyDescent="0.2">
      <c r="C290" s="32" t="s">
        <v>1088</v>
      </c>
      <c r="D290" s="32">
        <v>85</v>
      </c>
      <c r="F290" s="364">
        <f t="shared" si="62"/>
        <v>32476.9424</v>
      </c>
      <c r="G290" s="364">
        <f t="shared" si="62"/>
        <v>26606.904170000002</v>
      </c>
      <c r="H290" s="364">
        <f t="shared" si="62"/>
        <v>29546.176169999999</v>
      </c>
      <c r="I290" s="364">
        <f t="shared" si="62"/>
        <v>22612.7657</v>
      </c>
      <c r="J290" s="364">
        <f t="shared" si="62"/>
        <v>16144.404430000001</v>
      </c>
      <c r="K290" s="364">
        <f t="shared" si="62"/>
        <v>6651.76379</v>
      </c>
      <c r="L290" s="364">
        <f t="shared" si="62"/>
        <v>2653.9512300000001</v>
      </c>
      <c r="M290" s="364">
        <f t="shared" si="62"/>
        <v>1149.93984</v>
      </c>
      <c r="N290" s="364">
        <f t="shared" si="62"/>
        <v>2923.77036</v>
      </c>
      <c r="O290" s="364">
        <f t="shared" si="62"/>
        <v>13003.91309</v>
      </c>
      <c r="P290" s="364">
        <f t="shared" si="62"/>
        <v>25722.002110000001</v>
      </c>
      <c r="Q290" s="364">
        <f t="shared" si="62"/>
        <v>27306.289850000001</v>
      </c>
      <c r="R290" s="341">
        <f>SUM(F290:Q290)</f>
        <v>206798.82313999999</v>
      </c>
    </row>
    <row r="291" spans="1:18" x14ac:dyDescent="0.2">
      <c r="A291" s="32" t="s">
        <v>1054</v>
      </c>
      <c r="C291" s="32" t="s">
        <v>1077</v>
      </c>
      <c r="F291" s="365">
        <f t="shared" ref="F291:N291" si="63">SUM(F288:F290)</f>
        <v>108297.06692000001</v>
      </c>
      <c r="G291" s="365">
        <f t="shared" si="63"/>
        <v>98979.863060000003</v>
      </c>
      <c r="H291" s="365">
        <f t="shared" si="63"/>
        <v>110957.28023999999</v>
      </c>
      <c r="I291" s="365">
        <f t="shared" si="63"/>
        <v>100652.18003</v>
      </c>
      <c r="J291" s="365">
        <f t="shared" si="63"/>
        <v>88623.093769999992</v>
      </c>
      <c r="K291" s="365">
        <f t="shared" si="63"/>
        <v>71444.619030000002</v>
      </c>
      <c r="L291" s="365">
        <f t="shared" si="63"/>
        <v>62029.161200000002</v>
      </c>
      <c r="M291" s="365">
        <f t="shared" si="63"/>
        <v>59786.603060000001</v>
      </c>
      <c r="N291" s="365">
        <f t="shared" si="63"/>
        <v>63301.085670000008</v>
      </c>
      <c r="O291" s="365">
        <f>SUM(O288:O290)</f>
        <v>85297.205660000007</v>
      </c>
      <c r="P291" s="365">
        <f>SUM(P288:P290)</f>
        <v>107012.9112</v>
      </c>
      <c r="Q291" s="365">
        <f>SUM(Q288:Q290)</f>
        <v>113141.40366</v>
      </c>
      <c r="R291" s="365">
        <f>SUM(R288:R290)</f>
        <v>1069522.4734999998</v>
      </c>
    </row>
    <row r="292" spans="1:18" x14ac:dyDescent="0.2">
      <c r="A292" s="32" t="s">
        <v>1056</v>
      </c>
      <c r="B292" s="32" t="s">
        <v>1057</v>
      </c>
      <c r="D292" s="32">
        <v>101</v>
      </c>
      <c r="F292" s="364">
        <f t="shared" ref="F292:N292" si="64">F266*F281</f>
        <v>1078616.08448</v>
      </c>
      <c r="G292" s="364">
        <f t="shared" si="64"/>
        <v>956355.54559999995</v>
      </c>
      <c r="H292" s="364">
        <f t="shared" si="64"/>
        <v>1080376.28672</v>
      </c>
      <c r="I292" s="364">
        <f t="shared" si="64"/>
        <v>946369.16352000006</v>
      </c>
      <c r="J292" s="364">
        <f t="shared" si="64"/>
        <v>800147.74912000005</v>
      </c>
      <c r="K292" s="364">
        <f t="shared" si="64"/>
        <v>603040.10623999999</v>
      </c>
      <c r="L292" s="364">
        <f t="shared" si="64"/>
        <v>503736.41343999997</v>
      </c>
      <c r="M292" s="418">
        <f t="shared" si="64"/>
        <v>477754.87615999999</v>
      </c>
      <c r="N292" s="364">
        <f t="shared" si="64"/>
        <v>516659.26656000002</v>
      </c>
      <c r="O292" s="364">
        <f>O266*O281</f>
        <v>762117.85855999996</v>
      </c>
      <c r="P292" s="364">
        <f>P266*P281</f>
        <v>972026.25875000004</v>
      </c>
      <c r="Q292" s="364">
        <f>Q266*Q281</f>
        <v>1036426.0575</v>
      </c>
      <c r="R292" s="341">
        <f>SUM(F292:Q292)</f>
        <v>9733625.6666499991</v>
      </c>
    </row>
    <row r="293" spans="1:18" x14ac:dyDescent="0.2">
      <c r="A293" s="32" t="s">
        <v>1054</v>
      </c>
      <c r="B293" s="32" t="s">
        <v>1096</v>
      </c>
      <c r="D293" s="444">
        <v>85</v>
      </c>
      <c r="F293" s="446">
        <f t="shared" ref="F293:N293" si="65">F267*F281</f>
        <v>10152.079520000001</v>
      </c>
      <c r="G293" s="446">
        <f t="shared" si="65"/>
        <v>9001.3469000000005</v>
      </c>
      <c r="H293" s="446">
        <f t="shared" si="65"/>
        <v>10168.646780000001</v>
      </c>
      <c r="I293" s="446">
        <f t="shared" si="65"/>
        <v>8907.3537300000007</v>
      </c>
      <c r="J293" s="446">
        <f t="shared" si="65"/>
        <v>7531.0981300000003</v>
      </c>
      <c r="K293" s="446">
        <f t="shared" si="65"/>
        <v>5675.8945100000001</v>
      </c>
      <c r="L293" s="446">
        <f t="shared" si="65"/>
        <v>4741.2348099999999</v>
      </c>
      <c r="M293" s="446">
        <f t="shared" si="65"/>
        <v>4496.6930900000007</v>
      </c>
      <c r="N293" s="446">
        <f t="shared" si="65"/>
        <v>4862.8664400000007</v>
      </c>
      <c r="O293" s="446">
        <f>O267*O281</f>
        <v>7173.1556900000005</v>
      </c>
      <c r="P293" s="446">
        <f>P267*P281</f>
        <v>9687.1879700000009</v>
      </c>
      <c r="Q293" s="446">
        <f>Q267*Q281</f>
        <v>10328.99466</v>
      </c>
      <c r="R293" s="451">
        <f>SUM(F293:Q293)</f>
        <v>92726.552230000001</v>
      </c>
    </row>
    <row r="294" spans="1:18" x14ac:dyDescent="0.2">
      <c r="B294" s="32" t="s">
        <v>1068</v>
      </c>
      <c r="F294" s="364"/>
      <c r="G294" s="364"/>
      <c r="H294" s="364"/>
      <c r="I294" s="364"/>
      <c r="J294" s="364"/>
      <c r="K294" s="364"/>
      <c r="L294" s="364"/>
      <c r="M294" s="364"/>
      <c r="N294" s="364"/>
      <c r="O294" s="364"/>
      <c r="P294" s="364"/>
      <c r="Q294" s="364"/>
      <c r="R294" s="341"/>
    </row>
    <row r="295" spans="1:18" x14ac:dyDescent="0.2">
      <c r="A295" s="32" t="s">
        <v>1054</v>
      </c>
      <c r="C295" s="32" t="s">
        <v>1069</v>
      </c>
      <c r="D295" s="32">
        <v>85</v>
      </c>
      <c r="F295" s="364">
        <f t="shared" ref="F295:N295" si="66">F269*F282</f>
        <v>8428.2300000000014</v>
      </c>
      <c r="G295" s="364">
        <f t="shared" si="66"/>
        <v>8428.2300000000014</v>
      </c>
      <c r="H295" s="364">
        <f t="shared" si="66"/>
        <v>8428.2300000000014</v>
      </c>
      <c r="I295" s="364">
        <f t="shared" si="66"/>
        <v>8428.2300000000014</v>
      </c>
      <c r="J295" s="364">
        <f t="shared" si="66"/>
        <v>8428.2300000000014</v>
      </c>
      <c r="K295" s="364">
        <f t="shared" si="66"/>
        <v>8428.2300000000014</v>
      </c>
      <c r="L295" s="364">
        <f t="shared" si="66"/>
        <v>8428.2300000000014</v>
      </c>
      <c r="M295" s="364">
        <f t="shared" si="66"/>
        <v>8503.7100000000009</v>
      </c>
      <c r="N295" s="364">
        <f t="shared" si="66"/>
        <v>8428.2300000000014</v>
      </c>
      <c r="O295" s="364">
        <f>O269*O282</f>
        <v>8428.2300000000014</v>
      </c>
      <c r="P295" s="364">
        <f>P269*P282</f>
        <v>8428.2300000000014</v>
      </c>
      <c r="Q295" s="364">
        <f>Q269*Q282</f>
        <v>8428.2300000000014</v>
      </c>
      <c r="R295" s="341">
        <f>SUM(F295:Q295)</f>
        <v>101214.24</v>
      </c>
    </row>
    <row r="296" spans="1:18" x14ac:dyDescent="0.2">
      <c r="A296" s="32" t="s">
        <v>1056</v>
      </c>
      <c r="C296" s="32" t="s">
        <v>1070</v>
      </c>
      <c r="D296" s="32">
        <v>101</v>
      </c>
      <c r="F296" s="364">
        <f t="shared" ref="F296:N296" si="67">F270*F282</f>
        <v>7972.6500000000005</v>
      </c>
      <c r="G296" s="364">
        <f t="shared" si="67"/>
        <v>7972.6500000000005</v>
      </c>
      <c r="H296" s="364">
        <f t="shared" si="67"/>
        <v>7972.6500000000005</v>
      </c>
      <c r="I296" s="364">
        <f t="shared" si="67"/>
        <v>7972.6500000000005</v>
      </c>
      <c r="J296" s="364">
        <f t="shared" si="67"/>
        <v>7972.6500000000005</v>
      </c>
      <c r="K296" s="364">
        <f t="shared" si="67"/>
        <v>7972.6500000000005</v>
      </c>
      <c r="L296" s="364">
        <f t="shared" si="67"/>
        <v>7972.6500000000005</v>
      </c>
      <c r="M296" s="418">
        <f t="shared" si="67"/>
        <v>8044.05</v>
      </c>
      <c r="N296" s="364">
        <f t="shared" si="67"/>
        <v>7972.6500000000005</v>
      </c>
      <c r="O296" s="364">
        <f>O270*O282</f>
        <v>7972.6500000000005</v>
      </c>
      <c r="P296" s="364">
        <f>P270*P282</f>
        <v>7972.6500000000005</v>
      </c>
      <c r="Q296" s="364">
        <f>Q270*Q282</f>
        <v>7972.6500000000005</v>
      </c>
      <c r="R296" s="341">
        <f>SUM(F296:Q296)</f>
        <v>95743.199999999983</v>
      </c>
    </row>
    <row r="297" spans="1:18" x14ac:dyDescent="0.2">
      <c r="C297" s="32" t="s">
        <v>1078</v>
      </c>
      <c r="F297" s="365">
        <f t="shared" ref="F297:N297" si="68">SUM(F295:F296)</f>
        <v>16400.88</v>
      </c>
      <c r="G297" s="365">
        <f t="shared" si="68"/>
        <v>16400.88</v>
      </c>
      <c r="H297" s="365">
        <f t="shared" si="68"/>
        <v>16400.88</v>
      </c>
      <c r="I297" s="365">
        <f t="shared" si="68"/>
        <v>16400.88</v>
      </c>
      <c r="J297" s="365">
        <f t="shared" si="68"/>
        <v>16400.88</v>
      </c>
      <c r="K297" s="365">
        <f t="shared" si="68"/>
        <v>16400.88</v>
      </c>
      <c r="L297" s="365">
        <f t="shared" si="68"/>
        <v>16400.88</v>
      </c>
      <c r="M297" s="365">
        <f t="shared" si="68"/>
        <v>16547.760000000002</v>
      </c>
      <c r="N297" s="365">
        <f t="shared" si="68"/>
        <v>16400.88</v>
      </c>
      <c r="O297" s="365">
        <f>SUM(O295:O296)</f>
        <v>16400.88</v>
      </c>
      <c r="P297" s="365">
        <f>SUM(P295:P296)</f>
        <v>16400.88</v>
      </c>
      <c r="Q297" s="365">
        <f>SUM(Q295:Q296)</f>
        <v>16400.88</v>
      </c>
      <c r="R297" s="365">
        <f>SUM(R295:R296)</f>
        <v>196957.44</v>
      </c>
    </row>
    <row r="298" spans="1:18" s="336" customFormat="1" x14ac:dyDescent="0.2">
      <c r="A298" s="336" t="s">
        <v>1054</v>
      </c>
      <c r="B298" s="336" t="s">
        <v>1071</v>
      </c>
      <c r="D298" s="336">
        <v>85</v>
      </c>
      <c r="F298" s="447">
        <f>'JKP-3.1c - Data'!C183</f>
        <v>3471.6600000000035</v>
      </c>
      <c r="G298" s="447">
        <f>'JKP-3.1c - Data'!D183</f>
        <v>0</v>
      </c>
      <c r="H298" s="447">
        <f>'JKP-3.1c - Data'!E183</f>
        <v>0</v>
      </c>
      <c r="I298" s="447">
        <f>'JKP-3.1c - Data'!F183</f>
        <v>0</v>
      </c>
      <c r="J298" s="447">
        <f>'JKP-3.1c - Data'!G183</f>
        <v>0</v>
      </c>
      <c r="K298" s="447">
        <f>'JKP-3.1c - Data'!H183</f>
        <v>1102.1300000000001</v>
      </c>
      <c r="L298" s="447">
        <f>'JKP-3.1c - Data'!I183</f>
        <v>0</v>
      </c>
      <c r="M298" s="447">
        <f>'JKP-3.1c - Data'!J183</f>
        <v>2939.99</v>
      </c>
      <c r="N298" s="447">
        <f>'JKP-3.1c - Data'!K183</f>
        <v>2856.66</v>
      </c>
      <c r="O298" s="447">
        <f>'JKP-3.1c - Data'!L183</f>
        <v>0</v>
      </c>
      <c r="P298" s="447">
        <f>'JKP-3.1c - Data'!M183</f>
        <v>0</v>
      </c>
      <c r="Q298" s="447">
        <f>'JKP-3.1c - Data'!N183</f>
        <v>9865.4599999999991</v>
      </c>
      <c r="R298" s="437">
        <f>SUM(F298:Q298)</f>
        <v>20235.900000000001</v>
      </c>
    </row>
    <row r="299" spans="1:18" x14ac:dyDescent="0.2">
      <c r="B299" s="32" t="s">
        <v>1079</v>
      </c>
      <c r="F299" s="417">
        <f t="shared" ref="F299:N299" si="69">F292+F296</f>
        <v>1086588.7344799999</v>
      </c>
      <c r="G299" s="417">
        <f t="shared" si="69"/>
        <v>964328.19559999998</v>
      </c>
      <c r="H299" s="417">
        <f t="shared" si="69"/>
        <v>1088348.9367199999</v>
      </c>
      <c r="I299" s="417">
        <f t="shared" si="69"/>
        <v>954341.81352000008</v>
      </c>
      <c r="J299" s="417">
        <f t="shared" si="69"/>
        <v>808120.39912000007</v>
      </c>
      <c r="K299" s="417">
        <f t="shared" si="69"/>
        <v>611012.75624000002</v>
      </c>
      <c r="L299" s="417">
        <f t="shared" si="69"/>
        <v>511709.06344</v>
      </c>
      <c r="M299" s="417">
        <f t="shared" si="69"/>
        <v>485798.92615999997</v>
      </c>
      <c r="N299" s="417">
        <f t="shared" si="69"/>
        <v>524631.91656000004</v>
      </c>
      <c r="O299" s="417">
        <f>O292+O296</f>
        <v>770090.50855999999</v>
      </c>
      <c r="P299" s="417">
        <f>P292+P296</f>
        <v>979998.90875000006</v>
      </c>
      <c r="Q299" s="417">
        <f>Q292+Q296</f>
        <v>1044398.7075</v>
      </c>
      <c r="R299" s="417">
        <f>R292+R296</f>
        <v>9829368.8666499984</v>
      </c>
    </row>
    <row r="300" spans="1:18" x14ac:dyDescent="0.2">
      <c r="B300" s="32" t="s">
        <v>986</v>
      </c>
      <c r="F300" s="365">
        <f t="shared" ref="F300:N300" si="70">F286+F291+F292+F293+F297+F298</f>
        <v>1230556.5209199996</v>
      </c>
      <c r="G300" s="365">
        <f t="shared" si="70"/>
        <v>1094356.3855599998</v>
      </c>
      <c r="H300" s="365">
        <f t="shared" si="70"/>
        <v>1232611.3437399999</v>
      </c>
      <c r="I300" s="365">
        <f t="shared" si="70"/>
        <v>1087037.8272800001</v>
      </c>
      <c r="J300" s="365">
        <f t="shared" si="70"/>
        <v>927411.07102000015</v>
      </c>
      <c r="K300" s="365">
        <f t="shared" si="70"/>
        <v>712371.87978000008</v>
      </c>
      <c r="L300" s="365">
        <f t="shared" si="70"/>
        <v>601615.93945000006</v>
      </c>
      <c r="M300" s="365">
        <f t="shared" si="70"/>
        <v>576778.92230999994</v>
      </c>
      <c r="N300" s="365">
        <f t="shared" si="70"/>
        <v>618789.00867000013</v>
      </c>
      <c r="O300" s="365">
        <f>O286+O291+O292+O293+O297+O298</f>
        <v>885697.34990999999</v>
      </c>
      <c r="P300" s="365">
        <f>P286+P291+P292+P293+P297+P298</f>
        <v>1119835.48792</v>
      </c>
      <c r="Q300" s="365">
        <f>Q286+Q291+Q292+Q293+Q297+Q298</f>
        <v>1200871.0458199999</v>
      </c>
      <c r="R300" s="365">
        <f>R286+R291+R292+R293+R297+R298</f>
        <v>11287932.78238</v>
      </c>
    </row>
    <row r="301" spans="1:18" x14ac:dyDescent="0.2">
      <c r="F301" s="364"/>
      <c r="G301" s="364"/>
      <c r="H301" s="364"/>
      <c r="I301" s="364"/>
      <c r="J301" s="364"/>
      <c r="K301" s="364"/>
      <c r="L301" s="364"/>
      <c r="M301" s="364"/>
      <c r="N301" s="364"/>
      <c r="O301" s="364"/>
      <c r="P301" s="364"/>
      <c r="Q301" s="364"/>
      <c r="R301" s="341"/>
    </row>
    <row r="302" spans="1:18" x14ac:dyDescent="0.2">
      <c r="A302" s="32" t="s">
        <v>1058</v>
      </c>
      <c r="B302" s="32" t="s">
        <v>1050</v>
      </c>
      <c r="F302" s="364">
        <f>F272*F281+F282*F273</f>
        <v>1039623.51776</v>
      </c>
      <c r="G302" s="364">
        <f t="shared" ref="G302:Q302" si="71">G272*G281+G282*G273</f>
        <v>922643.42719999992</v>
      </c>
      <c r="H302" s="364">
        <f t="shared" si="71"/>
        <v>1041307.69664</v>
      </c>
      <c r="I302" s="364">
        <f t="shared" si="71"/>
        <v>913088.35823999997</v>
      </c>
      <c r="J302" s="364">
        <f t="shared" si="71"/>
        <v>773182.26543999999</v>
      </c>
      <c r="K302" s="364">
        <f t="shared" si="71"/>
        <v>584587.72687999997</v>
      </c>
      <c r="L302" s="364">
        <f t="shared" si="71"/>
        <v>489572.97327999998</v>
      </c>
      <c r="M302" s="364">
        <f t="shared" si="71"/>
        <v>464781.58191999997</v>
      </c>
      <c r="N302" s="364">
        <f t="shared" si="71"/>
        <v>501937.68672</v>
      </c>
      <c r="O302" s="364">
        <f t="shared" si="71"/>
        <v>736794.89071999991</v>
      </c>
      <c r="P302" s="364">
        <f t="shared" si="71"/>
        <v>937577.74495000008</v>
      </c>
      <c r="Q302" s="364">
        <f t="shared" si="71"/>
        <v>999192.16110000003</v>
      </c>
      <c r="R302" s="341">
        <f>SUM(F302:Q302)</f>
        <v>9404290.0308499988</v>
      </c>
    </row>
    <row r="303" spans="1:18" x14ac:dyDescent="0.2">
      <c r="F303" s="364"/>
      <c r="G303" s="364"/>
      <c r="H303" s="364"/>
      <c r="I303" s="364"/>
      <c r="J303" s="364"/>
      <c r="K303" s="364"/>
      <c r="L303" s="364"/>
      <c r="M303" s="364"/>
      <c r="N303" s="364"/>
      <c r="O303" s="364"/>
      <c r="P303" s="364"/>
      <c r="Q303" s="364"/>
      <c r="R303" s="341"/>
    </row>
    <row r="304" spans="1:18" s="336" customFormat="1" x14ac:dyDescent="0.2">
      <c r="B304" s="182" t="s">
        <v>1097</v>
      </c>
      <c r="C304" s="182"/>
    </row>
    <row r="305" spans="1:18" x14ac:dyDescent="0.2">
      <c r="B305" s="276" t="s">
        <v>5</v>
      </c>
      <c r="C305" s="276"/>
    </row>
    <row r="306" spans="1:18" x14ac:dyDescent="0.2">
      <c r="B306" s="32" t="s">
        <v>1059</v>
      </c>
      <c r="D306" s="444">
        <v>86</v>
      </c>
      <c r="E306" s="32" t="s">
        <v>976</v>
      </c>
      <c r="F306" s="414">
        <v>139.37</v>
      </c>
      <c r="G306" s="414">
        <v>139.37</v>
      </c>
      <c r="H306" s="414">
        <v>139.37</v>
      </c>
      <c r="I306" s="414">
        <v>139.37</v>
      </c>
      <c r="J306" s="414">
        <v>139.37</v>
      </c>
      <c r="K306" s="414">
        <v>139.37</v>
      </c>
      <c r="L306" s="414">
        <v>139.37</v>
      </c>
      <c r="M306" s="414">
        <v>139.37</v>
      </c>
      <c r="N306" s="414">
        <v>139.37</v>
      </c>
      <c r="O306" s="414">
        <v>139.37</v>
      </c>
      <c r="P306" s="414">
        <v>139.37</v>
      </c>
      <c r="Q306" s="414">
        <v>139.37</v>
      </c>
      <c r="R306" s="439"/>
    </row>
    <row r="307" spans="1:18" x14ac:dyDescent="0.2">
      <c r="B307" s="32" t="s">
        <v>1047</v>
      </c>
      <c r="F307" s="393"/>
      <c r="G307" s="393"/>
      <c r="H307" s="393"/>
      <c r="I307" s="393"/>
      <c r="J307" s="393"/>
      <c r="K307" s="393"/>
      <c r="L307" s="393"/>
      <c r="M307" s="393"/>
      <c r="N307" s="393"/>
      <c r="O307" s="393"/>
      <c r="P307" s="393"/>
      <c r="Q307" s="393"/>
      <c r="R307" s="394"/>
    </row>
    <row r="308" spans="1:18" x14ac:dyDescent="0.2">
      <c r="C308" s="32" t="s">
        <v>1098</v>
      </c>
      <c r="D308" s="444">
        <v>86</v>
      </c>
      <c r="E308" s="32" t="s">
        <v>957</v>
      </c>
      <c r="F308" s="395">
        <v>0.19819999999999999</v>
      </c>
      <c r="G308" s="395">
        <v>0.19819999999999999</v>
      </c>
      <c r="H308" s="395">
        <v>0.19819999999999999</v>
      </c>
      <c r="I308" s="395">
        <v>0.19819999999999999</v>
      </c>
      <c r="J308" s="395">
        <v>0.19819999999999999</v>
      </c>
      <c r="K308" s="395">
        <v>0.19819999999999999</v>
      </c>
      <c r="L308" s="395">
        <v>0.19819999999999999</v>
      </c>
      <c r="M308" s="395">
        <v>0.19819999999999999</v>
      </c>
      <c r="N308" s="395">
        <v>0.19819999999999999</v>
      </c>
      <c r="O308" s="395">
        <v>0.19819999999999999</v>
      </c>
      <c r="P308" s="395">
        <v>0.19819999999999999</v>
      </c>
      <c r="Q308" s="395">
        <v>0.19819999999999999</v>
      </c>
      <c r="R308" s="394"/>
    </row>
    <row r="309" spans="1:18" x14ac:dyDescent="0.2">
      <c r="C309" s="32" t="s">
        <v>1099</v>
      </c>
      <c r="D309" s="444">
        <v>86</v>
      </c>
      <c r="E309" s="32" t="s">
        <v>957</v>
      </c>
      <c r="F309" s="395">
        <v>0.1421</v>
      </c>
      <c r="G309" s="395">
        <v>0.1421</v>
      </c>
      <c r="H309" s="395">
        <v>0.1421</v>
      </c>
      <c r="I309" s="395">
        <v>0.1421</v>
      </c>
      <c r="J309" s="395">
        <v>0.1421</v>
      </c>
      <c r="K309" s="395">
        <v>0.1421</v>
      </c>
      <c r="L309" s="395">
        <v>0.1421</v>
      </c>
      <c r="M309" s="395">
        <v>0.1421</v>
      </c>
      <c r="N309" s="395">
        <v>0.1421</v>
      </c>
      <c r="O309" s="395">
        <v>0.1421</v>
      </c>
      <c r="P309" s="395">
        <v>0.1421</v>
      </c>
      <c r="Q309" s="395">
        <v>0.1421</v>
      </c>
      <c r="R309" s="394"/>
    </row>
    <row r="310" spans="1:18" x14ac:dyDescent="0.2">
      <c r="B310" s="32" t="s">
        <v>1067</v>
      </c>
      <c r="D310" s="32">
        <v>101</v>
      </c>
      <c r="E310" s="32" t="s">
        <v>957</v>
      </c>
      <c r="F310" s="495">
        <f>'JKP-3.1c - Rev Actual Rates'!F321</f>
        <v>0.70406000000000002</v>
      </c>
      <c r="G310" s="495">
        <f>'JKP-3.1c - Rev Actual Rates'!G321</f>
        <v>0.70406000000000002</v>
      </c>
      <c r="H310" s="495">
        <f>'JKP-3.1c - Rev Actual Rates'!H321</f>
        <v>0.70406000000000002</v>
      </c>
      <c r="I310" s="495">
        <f>'JKP-3.1c - Rev Actual Rates'!I321</f>
        <v>0.70406000000000002</v>
      </c>
      <c r="J310" s="495">
        <f>'JKP-3.1c - Rev Actual Rates'!J321</f>
        <v>0.70406000000000002</v>
      </c>
      <c r="K310" s="495">
        <f>'JKP-3.1c - Rev Actual Rates'!K321</f>
        <v>0.70406000000000002</v>
      </c>
      <c r="L310" s="495">
        <f>'JKP-3.1c - Rev Actual Rates'!L321</f>
        <v>0.70406000000000002</v>
      </c>
      <c r="M310" s="495">
        <f>'JKP-3.1c - Rev Actual Rates'!M321</f>
        <v>0.70406000000000002</v>
      </c>
      <c r="N310" s="495">
        <f>'JKP-3.1c - Rev Actual Rates'!N321</f>
        <v>0.70406000000000002</v>
      </c>
      <c r="O310" s="495">
        <f>'JKP-3.1c - Rev Actual Rates'!O321</f>
        <v>0.70406000000000002</v>
      </c>
      <c r="P310" s="495">
        <f>'JKP-3.1c - Rev Actual Rates'!P321</f>
        <v>0.66556999999999999</v>
      </c>
      <c r="Q310" s="495">
        <f>'JKP-3.1c - Rev Actual Rates'!Q321</f>
        <v>0.66556999999999999</v>
      </c>
      <c r="R310" s="394"/>
    </row>
    <row r="311" spans="1:18" s="336" customFormat="1" x14ac:dyDescent="0.2">
      <c r="B311" s="336" t="s">
        <v>1096</v>
      </c>
      <c r="D311" s="382">
        <v>86</v>
      </c>
      <c r="E311" s="336" t="s">
        <v>957</v>
      </c>
      <c r="F311" s="452">
        <v>6.5900000000000004E-3</v>
      </c>
      <c r="G311" s="452">
        <v>6.5900000000000004E-3</v>
      </c>
      <c r="H311" s="452">
        <v>6.5900000000000004E-3</v>
      </c>
      <c r="I311" s="452">
        <v>6.5900000000000004E-3</v>
      </c>
      <c r="J311" s="452">
        <v>6.5900000000000004E-3</v>
      </c>
      <c r="K311" s="452">
        <v>6.5900000000000004E-3</v>
      </c>
      <c r="L311" s="452">
        <v>6.5900000000000004E-3</v>
      </c>
      <c r="M311" s="452">
        <v>6.5900000000000004E-3</v>
      </c>
      <c r="N311" s="452">
        <v>6.5900000000000004E-3</v>
      </c>
      <c r="O311" s="452">
        <v>6.5900000000000004E-3</v>
      </c>
      <c r="P311" s="452">
        <v>6.5900000000000004E-3</v>
      </c>
      <c r="Q311" s="452">
        <v>6.5900000000000004E-3</v>
      </c>
      <c r="R311" s="441"/>
    </row>
    <row r="312" spans="1:18" s="336" customFormat="1" x14ac:dyDescent="0.2">
      <c r="B312" s="336" t="s">
        <v>1068</v>
      </c>
      <c r="F312" s="441"/>
      <c r="G312" s="441"/>
      <c r="H312" s="441"/>
      <c r="I312" s="441"/>
      <c r="J312" s="441"/>
      <c r="K312" s="441"/>
      <c r="L312" s="441"/>
      <c r="M312" s="441"/>
      <c r="N312" s="441"/>
      <c r="O312" s="441"/>
      <c r="P312" s="441"/>
      <c r="Q312" s="441"/>
      <c r="R312" s="441"/>
    </row>
    <row r="313" spans="1:18" s="336" customFormat="1" x14ac:dyDescent="0.2">
      <c r="C313" s="336" t="s">
        <v>1069</v>
      </c>
      <c r="D313" s="336">
        <v>86</v>
      </c>
      <c r="E313" s="336" t="s">
        <v>957</v>
      </c>
      <c r="F313" s="442">
        <v>1.1100000000000001</v>
      </c>
      <c r="G313" s="442">
        <v>1.1100000000000001</v>
      </c>
      <c r="H313" s="442">
        <v>1.1100000000000001</v>
      </c>
      <c r="I313" s="442">
        <v>1.1100000000000001</v>
      </c>
      <c r="J313" s="442">
        <v>1.1100000000000001</v>
      </c>
      <c r="K313" s="442">
        <v>1.1100000000000001</v>
      </c>
      <c r="L313" s="442">
        <v>1.1100000000000001</v>
      </c>
      <c r="M313" s="442">
        <v>1.1100000000000001</v>
      </c>
      <c r="N313" s="442">
        <v>1.1100000000000001</v>
      </c>
      <c r="O313" s="442">
        <v>1.1100000000000001</v>
      </c>
      <c r="P313" s="442">
        <v>1.1100000000000001</v>
      </c>
      <c r="Q313" s="442">
        <v>1.1100000000000001</v>
      </c>
      <c r="R313" s="441"/>
    </row>
    <row r="314" spans="1:18" s="336" customFormat="1" x14ac:dyDescent="0.2">
      <c r="A314" s="32"/>
      <c r="C314" s="336" t="s">
        <v>1070</v>
      </c>
      <c r="D314" s="336">
        <v>101</v>
      </c>
      <c r="E314" s="336" t="s">
        <v>957</v>
      </c>
      <c r="F314" s="442">
        <v>1.05</v>
      </c>
      <c r="G314" s="442">
        <v>1.05</v>
      </c>
      <c r="H314" s="442">
        <v>1.05</v>
      </c>
      <c r="I314" s="442">
        <v>1.05</v>
      </c>
      <c r="J314" s="442">
        <v>1.05</v>
      </c>
      <c r="K314" s="442">
        <v>1.05</v>
      </c>
      <c r="L314" s="442">
        <v>1.05</v>
      </c>
      <c r="M314" s="442">
        <v>1.05</v>
      </c>
      <c r="N314" s="442">
        <v>1.05</v>
      </c>
      <c r="O314" s="442">
        <v>1.05</v>
      </c>
      <c r="P314" s="442">
        <v>1.05</v>
      </c>
      <c r="Q314" s="442">
        <v>1.05</v>
      </c>
      <c r="R314" s="441"/>
    </row>
    <row r="315" spans="1:18" s="336" customFormat="1" x14ac:dyDescent="0.2">
      <c r="B315" s="336" t="s">
        <v>1071</v>
      </c>
      <c r="D315" s="382">
        <v>86</v>
      </c>
      <c r="E315" s="336" t="s">
        <v>67</v>
      </c>
      <c r="F315" s="450"/>
      <c r="G315" s="450"/>
      <c r="H315" s="442"/>
      <c r="I315" s="450"/>
      <c r="J315" s="450"/>
      <c r="K315" s="450"/>
      <c r="L315" s="450"/>
      <c r="M315" s="450"/>
      <c r="N315" s="450"/>
      <c r="O315" s="450"/>
      <c r="P315" s="450"/>
      <c r="Q315" s="450"/>
      <c r="R315" s="441"/>
    </row>
    <row r="316" spans="1:18" s="336" customFormat="1" x14ac:dyDescent="0.2">
      <c r="B316" s="336" t="s">
        <v>1050</v>
      </c>
      <c r="D316" s="382"/>
      <c r="F316" s="497">
        <f>'JKP-3.1c - Rev Actual Rates'!F327</f>
        <v>0.67364999999999997</v>
      </c>
      <c r="G316" s="497">
        <f>'JKP-3.1c - Rev Actual Rates'!G327</f>
        <v>0.67364999999999997</v>
      </c>
      <c r="H316" s="497">
        <f>'JKP-3.1c - Rev Actual Rates'!H327</f>
        <v>0.67364999999999997</v>
      </c>
      <c r="I316" s="497">
        <f>'JKP-3.1c - Rev Actual Rates'!I327</f>
        <v>0.67364999999999997</v>
      </c>
      <c r="J316" s="497">
        <f>'JKP-3.1c - Rev Actual Rates'!J327</f>
        <v>0.67364999999999997</v>
      </c>
      <c r="K316" s="497">
        <f>'JKP-3.1c - Rev Actual Rates'!K327</f>
        <v>0.67364999999999997</v>
      </c>
      <c r="L316" s="497">
        <f>'JKP-3.1c - Rev Actual Rates'!L327</f>
        <v>0.67364999999999997</v>
      </c>
      <c r="M316" s="497">
        <f>'JKP-3.1c - Rev Actual Rates'!M327</f>
        <v>0.67364999999999997</v>
      </c>
      <c r="N316" s="497">
        <f>'JKP-3.1c - Rev Actual Rates'!N327</f>
        <v>0.67364999999999997</v>
      </c>
      <c r="O316" s="497">
        <f>'JKP-3.1c - Rev Actual Rates'!O327</f>
        <v>0.67364999999999997</v>
      </c>
      <c r="P316" s="497">
        <f>'JKP-3.1c - Rev Actual Rates'!P327</f>
        <v>0.63678999999999997</v>
      </c>
      <c r="Q316" s="497">
        <f>'JKP-3.1c - Rev Actual Rates'!Q327</f>
        <v>0.63678999999999997</v>
      </c>
      <c r="R316" s="441"/>
    </row>
    <row r="317" spans="1:18" s="336" customFormat="1" x14ac:dyDescent="0.2">
      <c r="B317" s="336" t="s">
        <v>1072</v>
      </c>
      <c r="D317" s="382"/>
      <c r="F317" s="442">
        <v>1</v>
      </c>
      <c r="G317" s="442">
        <v>1</v>
      </c>
      <c r="H317" s="442">
        <v>1</v>
      </c>
      <c r="I317" s="442">
        <v>1</v>
      </c>
      <c r="J317" s="442">
        <v>1</v>
      </c>
      <c r="K317" s="442">
        <v>1</v>
      </c>
      <c r="L317" s="442">
        <v>1</v>
      </c>
      <c r="M317" s="442">
        <v>1</v>
      </c>
      <c r="N317" s="442">
        <v>1</v>
      </c>
      <c r="O317" s="442">
        <v>1</v>
      </c>
      <c r="P317" s="442">
        <v>1</v>
      </c>
      <c r="Q317" s="442">
        <v>1</v>
      </c>
      <c r="R317" s="441"/>
    </row>
    <row r="318" spans="1:18" s="336" customFormat="1" x14ac:dyDescent="0.2"/>
    <row r="319" spans="1:18" s="336" customFormat="1" x14ac:dyDescent="0.2">
      <c r="B319" s="182" t="s">
        <v>982</v>
      </c>
    </row>
    <row r="320" spans="1:18" s="336" customFormat="1" x14ac:dyDescent="0.2">
      <c r="B320" s="336" t="s">
        <v>67</v>
      </c>
      <c r="E320" s="336" t="s">
        <v>67</v>
      </c>
      <c r="F320" s="421">
        <f>'JKP-3.1c - Data'!C150</f>
        <v>334</v>
      </c>
      <c r="G320" s="421">
        <f>'JKP-3.1c - Data'!D150</f>
        <v>334</v>
      </c>
      <c r="H320" s="421">
        <f>'JKP-3.1c - Data'!E150</f>
        <v>330</v>
      </c>
      <c r="I320" s="421">
        <f>'JKP-3.1c - Data'!F150</f>
        <v>327</v>
      </c>
      <c r="J320" s="421">
        <f>'JKP-3.1c - Data'!G150</f>
        <v>329</v>
      </c>
      <c r="K320" s="421">
        <f>'JKP-3.1c - Data'!H150</f>
        <v>329</v>
      </c>
      <c r="L320" s="421">
        <f>'JKP-3.1c - Data'!I150</f>
        <v>326</v>
      </c>
      <c r="M320" s="421">
        <f>'JKP-3.1c - Data'!J150</f>
        <v>324</v>
      </c>
      <c r="N320" s="421">
        <f>'JKP-3.1c - Data'!K150</f>
        <v>320</v>
      </c>
      <c r="O320" s="421">
        <f>'JKP-3.1c - Data'!L150</f>
        <v>317</v>
      </c>
      <c r="P320" s="421">
        <f>'JKP-3.1c - Data'!M150</f>
        <v>318</v>
      </c>
      <c r="Q320" s="421">
        <f>'JKP-3.1c - Data'!N150</f>
        <v>317</v>
      </c>
      <c r="R320" s="378">
        <f>SUM(F320:Q320)</f>
        <v>3905</v>
      </c>
    </row>
    <row r="321" spans="1:18" s="336" customFormat="1" x14ac:dyDescent="0.2">
      <c r="B321" s="336" t="s">
        <v>76</v>
      </c>
      <c r="F321" s="380"/>
      <c r="G321" s="380"/>
      <c r="H321" s="380"/>
      <c r="I321" s="380"/>
      <c r="J321" s="380"/>
      <c r="K321" s="380"/>
      <c r="L321" s="380"/>
      <c r="M321" s="380"/>
      <c r="N321" s="380"/>
      <c r="O321" s="380"/>
      <c r="P321" s="380"/>
      <c r="Q321" s="380"/>
      <c r="R321" s="378"/>
    </row>
    <row r="322" spans="1:18" s="336" customFormat="1" x14ac:dyDescent="0.2">
      <c r="C322" s="336" t="s">
        <v>1098</v>
      </c>
      <c r="E322" s="336" t="s">
        <v>10</v>
      </c>
      <c r="F322" s="380">
        <v>317200</v>
      </c>
      <c r="G322" s="380">
        <v>312703</v>
      </c>
      <c r="H322" s="380">
        <v>312470</v>
      </c>
      <c r="I322" s="380">
        <v>309585</v>
      </c>
      <c r="J322" s="380">
        <v>289084</v>
      </c>
      <c r="K322" s="380">
        <v>229972</v>
      </c>
      <c r="L322" s="380">
        <v>138603</v>
      </c>
      <c r="M322" s="380">
        <v>134877</v>
      </c>
      <c r="N322" s="380">
        <v>195782</v>
      </c>
      <c r="O322" s="380">
        <v>278396</v>
      </c>
      <c r="P322" s="380">
        <v>315100</v>
      </c>
      <c r="Q322" s="380">
        <v>302539</v>
      </c>
      <c r="R322" s="378">
        <f>SUM(F322:Q322)</f>
        <v>3136311</v>
      </c>
    </row>
    <row r="323" spans="1:18" s="336" customFormat="1" x14ac:dyDescent="0.2">
      <c r="C323" s="336" t="s">
        <v>1099</v>
      </c>
      <c r="E323" s="336" t="s">
        <v>10</v>
      </c>
      <c r="F323" s="378">
        <f t="shared" ref="F323:N323" si="72">F324-F322</f>
        <v>1346579</v>
      </c>
      <c r="G323" s="378">
        <f t="shared" si="72"/>
        <v>1096766</v>
      </c>
      <c r="H323" s="378">
        <f t="shared" si="72"/>
        <v>1149541</v>
      </c>
      <c r="I323" s="378">
        <f t="shared" si="72"/>
        <v>910372</v>
      </c>
      <c r="J323" s="378">
        <f t="shared" si="72"/>
        <v>690814</v>
      </c>
      <c r="K323" s="378">
        <f t="shared" si="72"/>
        <v>396709</v>
      </c>
      <c r="L323" s="378">
        <f t="shared" si="72"/>
        <v>224236</v>
      </c>
      <c r="M323" s="378">
        <f t="shared" si="72"/>
        <v>203654</v>
      </c>
      <c r="N323" s="378">
        <f t="shared" si="72"/>
        <v>298614</v>
      </c>
      <c r="O323" s="378">
        <f>O324-O322</f>
        <v>649108</v>
      </c>
      <c r="P323" s="378">
        <f>P324-P322</f>
        <v>1179847</v>
      </c>
      <c r="Q323" s="378">
        <f>Q324-Q322</f>
        <v>1404490</v>
      </c>
      <c r="R323" s="378">
        <f>SUM(F323:Q323)</f>
        <v>9550730</v>
      </c>
    </row>
    <row r="324" spans="1:18" s="336" customFormat="1" x14ac:dyDescent="0.2">
      <c r="C324" s="336" t="s">
        <v>1075</v>
      </c>
      <c r="E324" s="336" t="s">
        <v>10</v>
      </c>
      <c r="F324" s="445">
        <f>'JKP-3.1c - Therms Data'!E76</f>
        <v>1663779</v>
      </c>
      <c r="G324" s="445">
        <f>'JKP-3.1c - Therms Data'!F76</f>
        <v>1409469</v>
      </c>
      <c r="H324" s="445">
        <f>'JKP-3.1c - Therms Data'!G76</f>
        <v>1462011</v>
      </c>
      <c r="I324" s="445">
        <f>'JKP-3.1c - Therms Data'!H76</f>
        <v>1219957</v>
      </c>
      <c r="J324" s="445">
        <f>'JKP-3.1c - Therms Data'!I76</f>
        <v>979898</v>
      </c>
      <c r="K324" s="445">
        <f>'JKP-3.1c - Therms Data'!J76</f>
        <v>626681</v>
      </c>
      <c r="L324" s="445">
        <f>'JKP-3.1c - Therms Data'!K76</f>
        <v>362839</v>
      </c>
      <c r="M324" s="445">
        <f>'JKP-3.1c - Therms Data'!L76</f>
        <v>338531</v>
      </c>
      <c r="N324" s="445">
        <f>'JKP-3.1c - Therms Data'!M76</f>
        <v>494396</v>
      </c>
      <c r="O324" s="445">
        <f>'JKP-3.1c - Therms Data'!N76</f>
        <v>927504</v>
      </c>
      <c r="P324" s="445">
        <f>'JKP-3.1c - Therms Data'!O76</f>
        <v>1494947</v>
      </c>
      <c r="Q324" s="445">
        <f>'JKP-3.1c - Therms Data'!P76</f>
        <v>1707029</v>
      </c>
      <c r="R324" s="436">
        <f>SUM(R322:R323)</f>
        <v>12687041</v>
      </c>
    </row>
    <row r="325" spans="1:18" s="336" customFormat="1" x14ac:dyDescent="0.2">
      <c r="B325" s="336" t="s">
        <v>74</v>
      </c>
      <c r="E325" s="336" t="s">
        <v>1076</v>
      </c>
      <c r="F325" s="421">
        <f>'JKP-3.1c - Data'!C170</f>
        <v>9510</v>
      </c>
      <c r="G325" s="421">
        <f>'JKP-3.1c - Data'!D170</f>
        <v>9429</v>
      </c>
      <c r="H325" s="421">
        <f>'JKP-3.1c - Data'!E170</f>
        <v>9258</v>
      </c>
      <c r="I325" s="421">
        <f>'JKP-3.1c - Data'!F170</f>
        <v>9188</v>
      </c>
      <c r="J325" s="421">
        <f>'JKP-3.1c - Data'!G170</f>
        <v>9260</v>
      </c>
      <c r="K325" s="421">
        <f>'JKP-3.1c - Data'!H170</f>
        <v>9258</v>
      </c>
      <c r="L325" s="421">
        <f>'JKP-3.1c - Data'!I170</f>
        <v>9136</v>
      </c>
      <c r="M325" s="421">
        <f>'JKP-3.1c - Data'!J170</f>
        <v>8867</v>
      </c>
      <c r="N325" s="421">
        <f>'JKP-3.1c - Data'!K170</f>
        <v>8570</v>
      </c>
      <c r="O325" s="421">
        <f>'JKP-3.1c - Data'!L170</f>
        <v>8457</v>
      </c>
      <c r="P325" s="421">
        <f>'JKP-3.1c - Data'!M170</f>
        <v>8504</v>
      </c>
      <c r="Q325" s="421">
        <f>'JKP-3.1c - Data'!N170</f>
        <v>8244</v>
      </c>
      <c r="R325" s="378">
        <f>SUM(F325:Q325)</f>
        <v>107681</v>
      </c>
    </row>
    <row r="326" spans="1:18" s="336" customFormat="1" x14ac:dyDescent="0.2">
      <c r="B326" s="336" t="s">
        <v>1071</v>
      </c>
      <c r="F326" s="380"/>
      <c r="G326" s="380"/>
      <c r="H326" s="380"/>
      <c r="I326" s="380"/>
      <c r="J326" s="380"/>
      <c r="K326" s="380"/>
      <c r="L326" s="380"/>
      <c r="M326" s="380"/>
      <c r="N326" s="380"/>
      <c r="O326" s="380"/>
      <c r="P326" s="380"/>
      <c r="Q326" s="380"/>
      <c r="R326" s="378"/>
    </row>
    <row r="327" spans="1:18" s="336" customFormat="1" x14ac:dyDescent="0.2">
      <c r="R327" s="179"/>
    </row>
    <row r="328" spans="1:18" s="336" customFormat="1" x14ac:dyDescent="0.2">
      <c r="B328" s="182" t="s">
        <v>985</v>
      </c>
      <c r="R328" s="179"/>
    </row>
    <row r="329" spans="1:18" s="336" customFormat="1" x14ac:dyDescent="0.2">
      <c r="A329" s="336" t="s">
        <v>1054</v>
      </c>
      <c r="B329" s="336" t="s">
        <v>1059</v>
      </c>
      <c r="D329" s="336">
        <v>86</v>
      </c>
      <c r="F329" s="418">
        <f t="shared" ref="F329:N329" si="73">F306*F320</f>
        <v>46549.58</v>
      </c>
      <c r="G329" s="418">
        <f t="shared" si="73"/>
        <v>46549.58</v>
      </c>
      <c r="H329" s="418">
        <f t="shared" si="73"/>
        <v>45992.1</v>
      </c>
      <c r="I329" s="418">
        <f t="shared" si="73"/>
        <v>45573.99</v>
      </c>
      <c r="J329" s="418">
        <f t="shared" si="73"/>
        <v>45852.73</v>
      </c>
      <c r="K329" s="418">
        <f t="shared" si="73"/>
        <v>45852.73</v>
      </c>
      <c r="L329" s="418">
        <f t="shared" si="73"/>
        <v>45434.62</v>
      </c>
      <c r="M329" s="418">
        <f t="shared" si="73"/>
        <v>45155.880000000005</v>
      </c>
      <c r="N329" s="418">
        <f t="shared" si="73"/>
        <v>44598.400000000001</v>
      </c>
      <c r="O329" s="418">
        <f>O306*O320</f>
        <v>44180.29</v>
      </c>
      <c r="P329" s="418">
        <f>P306*P320</f>
        <v>44319.66</v>
      </c>
      <c r="Q329" s="418">
        <f>Q306*Q320</f>
        <v>44180.29</v>
      </c>
      <c r="R329" s="437">
        <f>SUM(F329:Q329)</f>
        <v>544239.85000000009</v>
      </c>
    </row>
    <row r="330" spans="1:18" x14ac:dyDescent="0.2">
      <c r="B330" s="32" t="s">
        <v>1047</v>
      </c>
      <c r="F330" s="364"/>
      <c r="G330" s="364"/>
      <c r="H330" s="364"/>
      <c r="I330" s="364"/>
      <c r="J330" s="364"/>
      <c r="K330" s="364"/>
      <c r="L330" s="364"/>
      <c r="M330" s="364"/>
      <c r="N330" s="364"/>
      <c r="O330" s="364"/>
      <c r="P330" s="364"/>
      <c r="Q330" s="364"/>
      <c r="R330" s="341"/>
    </row>
    <row r="331" spans="1:18" x14ac:dyDescent="0.2">
      <c r="C331" s="32" t="s">
        <v>1098</v>
      </c>
      <c r="D331" s="32">
        <v>86</v>
      </c>
      <c r="F331" s="364">
        <f t="shared" ref="F331:Q332" si="74">F308*F322</f>
        <v>62869.039999999994</v>
      </c>
      <c r="G331" s="364">
        <f t="shared" si="74"/>
        <v>61977.734599999996</v>
      </c>
      <c r="H331" s="364">
        <f t="shared" si="74"/>
        <v>61931.553999999996</v>
      </c>
      <c r="I331" s="364">
        <f t="shared" si="74"/>
        <v>61359.746999999996</v>
      </c>
      <c r="J331" s="364">
        <f t="shared" si="74"/>
        <v>57296.448799999998</v>
      </c>
      <c r="K331" s="364">
        <f t="shared" si="74"/>
        <v>45580.450399999994</v>
      </c>
      <c r="L331" s="364">
        <f t="shared" si="74"/>
        <v>27471.114599999997</v>
      </c>
      <c r="M331" s="364">
        <f t="shared" si="74"/>
        <v>26732.6214</v>
      </c>
      <c r="N331" s="364">
        <f t="shared" si="74"/>
        <v>38803.992399999996</v>
      </c>
      <c r="O331" s="364">
        <f t="shared" si="74"/>
        <v>55178.087199999994</v>
      </c>
      <c r="P331" s="364">
        <f t="shared" si="74"/>
        <v>62452.819999999992</v>
      </c>
      <c r="Q331" s="364">
        <f t="shared" si="74"/>
        <v>59963.229799999994</v>
      </c>
      <c r="R331" s="341">
        <f>SUM(F331:Q331)</f>
        <v>621616.84019999986</v>
      </c>
    </row>
    <row r="332" spans="1:18" x14ac:dyDescent="0.2">
      <c r="C332" s="32" t="s">
        <v>1099</v>
      </c>
      <c r="D332" s="32">
        <v>86</v>
      </c>
      <c r="F332" s="364">
        <f t="shared" si="74"/>
        <v>191348.87590000001</v>
      </c>
      <c r="G332" s="364">
        <f t="shared" si="74"/>
        <v>155850.4486</v>
      </c>
      <c r="H332" s="364">
        <f t="shared" si="74"/>
        <v>163349.77610000002</v>
      </c>
      <c r="I332" s="364">
        <f t="shared" si="74"/>
        <v>129363.8612</v>
      </c>
      <c r="J332" s="364">
        <f t="shared" si="74"/>
        <v>98164.669399999999</v>
      </c>
      <c r="K332" s="364">
        <f t="shared" si="74"/>
        <v>56372.348900000005</v>
      </c>
      <c r="L332" s="364">
        <f t="shared" si="74"/>
        <v>31863.935600000001</v>
      </c>
      <c r="M332" s="364">
        <f t="shared" si="74"/>
        <v>28939.233400000001</v>
      </c>
      <c r="N332" s="364">
        <f t="shared" si="74"/>
        <v>42433.049400000004</v>
      </c>
      <c r="O332" s="364">
        <f t="shared" si="74"/>
        <v>92238.246800000008</v>
      </c>
      <c r="P332" s="364">
        <f t="shared" si="74"/>
        <v>167656.25870000001</v>
      </c>
      <c r="Q332" s="364">
        <f t="shared" si="74"/>
        <v>199578.02900000001</v>
      </c>
      <c r="R332" s="341">
        <f>SUM(F332:Q332)</f>
        <v>1357158.733</v>
      </c>
    </row>
    <row r="333" spans="1:18" x14ac:dyDescent="0.2">
      <c r="A333" s="32" t="s">
        <v>1054</v>
      </c>
      <c r="C333" s="32" t="s">
        <v>1077</v>
      </c>
      <c r="F333" s="365">
        <f t="shared" ref="F333:N333" si="75">SUM(F331:F332)</f>
        <v>254217.91590000002</v>
      </c>
      <c r="G333" s="365">
        <f t="shared" si="75"/>
        <v>217828.1832</v>
      </c>
      <c r="H333" s="365">
        <f t="shared" si="75"/>
        <v>225281.33010000002</v>
      </c>
      <c r="I333" s="365">
        <f t="shared" si="75"/>
        <v>190723.60819999999</v>
      </c>
      <c r="J333" s="365">
        <f t="shared" si="75"/>
        <v>155461.1182</v>
      </c>
      <c r="K333" s="365">
        <f t="shared" si="75"/>
        <v>101952.7993</v>
      </c>
      <c r="L333" s="365">
        <f t="shared" si="75"/>
        <v>59335.050199999998</v>
      </c>
      <c r="M333" s="365">
        <f t="shared" si="75"/>
        <v>55671.854800000001</v>
      </c>
      <c r="N333" s="365">
        <f t="shared" si="75"/>
        <v>81237.041800000006</v>
      </c>
      <c r="O333" s="365">
        <f>SUM(O331:O332)</f>
        <v>147416.334</v>
      </c>
      <c r="P333" s="365">
        <f>SUM(P331:P332)</f>
        <v>230109.07870000001</v>
      </c>
      <c r="Q333" s="365">
        <f>SUM(Q331:Q332)</f>
        <v>259541.25880000001</v>
      </c>
      <c r="R333" s="365">
        <f>SUM(R331:R332)</f>
        <v>1978775.5732</v>
      </c>
    </row>
    <row r="334" spans="1:18" x14ac:dyDescent="0.2">
      <c r="A334" s="336" t="s">
        <v>1056</v>
      </c>
      <c r="B334" s="32" t="s">
        <v>1057</v>
      </c>
      <c r="D334" s="32">
        <v>101</v>
      </c>
      <c r="F334" s="364">
        <f t="shared" ref="F334:N334" si="76">F310*F324</f>
        <v>1171400.2427400001</v>
      </c>
      <c r="G334" s="364">
        <f t="shared" si="76"/>
        <v>992350.74414000008</v>
      </c>
      <c r="H334" s="364">
        <f t="shared" si="76"/>
        <v>1029343.4646600001</v>
      </c>
      <c r="I334" s="364">
        <f t="shared" si="76"/>
        <v>858922.92541999999</v>
      </c>
      <c r="J334" s="364">
        <f t="shared" si="76"/>
        <v>689906.98588000005</v>
      </c>
      <c r="K334" s="364">
        <f t="shared" si="76"/>
        <v>441221.02486</v>
      </c>
      <c r="L334" s="364">
        <f t="shared" si="76"/>
        <v>255460.42634000001</v>
      </c>
      <c r="M334" s="418">
        <f t="shared" si="76"/>
        <v>238346.13586000001</v>
      </c>
      <c r="N334" s="364">
        <f t="shared" si="76"/>
        <v>348084.44776000001</v>
      </c>
      <c r="O334" s="364">
        <f>O310*O324</f>
        <v>653018.46623999998</v>
      </c>
      <c r="P334" s="364">
        <f>P310*P324</f>
        <v>994991.87479000003</v>
      </c>
      <c r="Q334" s="364">
        <f>Q310*Q324</f>
        <v>1136147.29153</v>
      </c>
      <c r="R334" s="341">
        <f>SUM(F334:Q334)</f>
        <v>8809194.0302200001</v>
      </c>
    </row>
    <row r="335" spans="1:18" x14ac:dyDescent="0.2">
      <c r="A335" s="32" t="s">
        <v>1054</v>
      </c>
      <c r="B335" s="32" t="s">
        <v>1096</v>
      </c>
      <c r="D335" s="444"/>
      <c r="F335" s="365">
        <f t="shared" ref="F335:N335" si="77">F311*F324</f>
        <v>10964.303610000001</v>
      </c>
      <c r="G335" s="365">
        <f t="shared" si="77"/>
        <v>9288.4007099999999</v>
      </c>
      <c r="H335" s="365">
        <f t="shared" si="77"/>
        <v>9634.6524900000004</v>
      </c>
      <c r="I335" s="365">
        <f t="shared" si="77"/>
        <v>8039.5166300000001</v>
      </c>
      <c r="J335" s="365">
        <f t="shared" si="77"/>
        <v>6457.5278200000002</v>
      </c>
      <c r="K335" s="365">
        <f t="shared" si="77"/>
        <v>4129.8277900000003</v>
      </c>
      <c r="L335" s="365">
        <f t="shared" si="77"/>
        <v>2391.1090100000001</v>
      </c>
      <c r="M335" s="365">
        <f t="shared" si="77"/>
        <v>2230.9192900000003</v>
      </c>
      <c r="N335" s="365">
        <f t="shared" si="77"/>
        <v>3258.0696400000002</v>
      </c>
      <c r="O335" s="365">
        <f>O311*O324</f>
        <v>6112.2513600000002</v>
      </c>
      <c r="P335" s="365">
        <f>P311*P324</f>
        <v>9851.7007300000005</v>
      </c>
      <c r="Q335" s="365">
        <f>Q311*Q324</f>
        <v>11249.321110000001</v>
      </c>
      <c r="R335" s="365">
        <f>SUM(F335:Q335)</f>
        <v>83607.600190000012</v>
      </c>
    </row>
    <row r="336" spans="1:18" x14ac:dyDescent="0.2">
      <c r="B336" s="32" t="s">
        <v>1068</v>
      </c>
      <c r="F336" s="364"/>
      <c r="G336" s="364"/>
      <c r="H336" s="364"/>
      <c r="I336" s="364"/>
      <c r="J336" s="364"/>
      <c r="K336" s="364"/>
      <c r="L336" s="364"/>
      <c r="M336" s="364"/>
      <c r="N336" s="364"/>
      <c r="O336" s="364"/>
      <c r="P336" s="364"/>
      <c r="Q336" s="364"/>
      <c r="R336" s="341"/>
    </row>
    <row r="337" spans="1:18" x14ac:dyDescent="0.2">
      <c r="A337" s="32" t="s">
        <v>1054</v>
      </c>
      <c r="C337" s="32" t="s">
        <v>1069</v>
      </c>
      <c r="D337" s="32">
        <v>86</v>
      </c>
      <c r="F337" s="364">
        <f t="shared" ref="F337:N337" si="78">F313*F325</f>
        <v>10556.1</v>
      </c>
      <c r="G337" s="364">
        <f t="shared" si="78"/>
        <v>10466.19</v>
      </c>
      <c r="H337" s="364">
        <f t="shared" si="78"/>
        <v>10276.380000000001</v>
      </c>
      <c r="I337" s="364">
        <f t="shared" si="78"/>
        <v>10198.68</v>
      </c>
      <c r="J337" s="364">
        <f t="shared" si="78"/>
        <v>10278.6</v>
      </c>
      <c r="K337" s="364">
        <f t="shared" si="78"/>
        <v>10276.380000000001</v>
      </c>
      <c r="L337" s="364">
        <f t="shared" si="78"/>
        <v>10140.960000000001</v>
      </c>
      <c r="M337" s="364">
        <f t="shared" si="78"/>
        <v>9842.3700000000008</v>
      </c>
      <c r="N337" s="364">
        <f t="shared" si="78"/>
        <v>9512.7000000000007</v>
      </c>
      <c r="O337" s="364">
        <f>O313*O325</f>
        <v>9387.27</v>
      </c>
      <c r="P337" s="364">
        <f>P313*P325</f>
        <v>9439.44</v>
      </c>
      <c r="Q337" s="364">
        <f>Q313*Q325</f>
        <v>9150.84</v>
      </c>
      <c r="R337" s="341">
        <f>SUM(F337:Q337)</f>
        <v>119525.91</v>
      </c>
    </row>
    <row r="338" spans="1:18" s="336" customFormat="1" x14ac:dyDescent="0.2">
      <c r="A338" s="336" t="s">
        <v>1056</v>
      </c>
      <c r="C338" s="336" t="s">
        <v>1070</v>
      </c>
      <c r="D338" s="336">
        <v>101</v>
      </c>
      <c r="F338" s="418">
        <f t="shared" ref="F338:N338" si="79">F314*F325</f>
        <v>9985.5</v>
      </c>
      <c r="G338" s="418">
        <f t="shared" si="79"/>
        <v>9900.4500000000007</v>
      </c>
      <c r="H338" s="418">
        <f t="shared" si="79"/>
        <v>9720.9</v>
      </c>
      <c r="I338" s="418">
        <f t="shared" si="79"/>
        <v>9647.4</v>
      </c>
      <c r="J338" s="418">
        <f t="shared" si="79"/>
        <v>9723</v>
      </c>
      <c r="K338" s="418">
        <f t="shared" si="79"/>
        <v>9720.9</v>
      </c>
      <c r="L338" s="418">
        <f t="shared" si="79"/>
        <v>9592.8000000000011</v>
      </c>
      <c r="M338" s="418">
        <f t="shared" si="79"/>
        <v>9310.35</v>
      </c>
      <c r="N338" s="418">
        <f t="shared" si="79"/>
        <v>8998.5</v>
      </c>
      <c r="O338" s="418">
        <f>O314*O325</f>
        <v>8879.85</v>
      </c>
      <c r="P338" s="418">
        <f>P314*P325</f>
        <v>8929.2000000000007</v>
      </c>
      <c r="Q338" s="418">
        <f>Q314*Q325</f>
        <v>8656.2000000000007</v>
      </c>
      <c r="R338" s="437">
        <f>SUM(F338:Q338)</f>
        <v>113065.05</v>
      </c>
    </row>
    <row r="339" spans="1:18" s="336" customFormat="1" x14ac:dyDescent="0.2">
      <c r="C339" s="336" t="s">
        <v>1078</v>
      </c>
      <c r="F339" s="339">
        <f t="shared" ref="F339:N339" si="80">SUM(F337:F338)</f>
        <v>20541.599999999999</v>
      </c>
      <c r="G339" s="339">
        <f t="shared" si="80"/>
        <v>20366.64</v>
      </c>
      <c r="H339" s="339">
        <f t="shared" si="80"/>
        <v>19997.28</v>
      </c>
      <c r="I339" s="339">
        <f t="shared" si="80"/>
        <v>19846.080000000002</v>
      </c>
      <c r="J339" s="339">
        <f t="shared" si="80"/>
        <v>20001.599999999999</v>
      </c>
      <c r="K339" s="339">
        <f t="shared" si="80"/>
        <v>19997.28</v>
      </c>
      <c r="L339" s="339">
        <f t="shared" si="80"/>
        <v>19733.760000000002</v>
      </c>
      <c r="M339" s="339">
        <f t="shared" si="80"/>
        <v>19152.72</v>
      </c>
      <c r="N339" s="339">
        <f t="shared" si="80"/>
        <v>18511.2</v>
      </c>
      <c r="O339" s="339">
        <f>SUM(O337:O338)</f>
        <v>18267.120000000003</v>
      </c>
      <c r="P339" s="339">
        <f>SUM(P337:P338)</f>
        <v>18368.64</v>
      </c>
      <c r="Q339" s="339">
        <f>SUM(Q337:Q338)</f>
        <v>17807.04</v>
      </c>
      <c r="R339" s="339">
        <f>SUM(R337:R338)</f>
        <v>232590.96000000002</v>
      </c>
    </row>
    <row r="340" spans="1:18" s="336" customFormat="1" x14ac:dyDescent="0.2">
      <c r="A340" s="336" t="s">
        <v>1054</v>
      </c>
      <c r="B340" s="336" t="s">
        <v>1071</v>
      </c>
      <c r="D340" s="336">
        <v>86</v>
      </c>
      <c r="F340" s="447">
        <f>'JKP-3.1c - Data'!C187</f>
        <v>0</v>
      </c>
      <c r="G340" s="447">
        <f>'JKP-3.1c - Data'!D187</f>
        <v>1587.1599999999999</v>
      </c>
      <c r="H340" s="447">
        <f>'JKP-3.1c - Data'!E187</f>
        <v>0</v>
      </c>
      <c r="I340" s="447">
        <f>'JKP-3.1c - Data'!F187</f>
        <v>0</v>
      </c>
      <c r="J340" s="447">
        <f>'JKP-3.1c - Data'!G187</f>
        <v>0</v>
      </c>
      <c r="K340" s="447">
        <f>'JKP-3.1c - Data'!H187</f>
        <v>0</v>
      </c>
      <c r="L340" s="447">
        <f>'JKP-3.1c - Data'!I187</f>
        <v>116.15</v>
      </c>
      <c r="M340" s="447">
        <f>'JKP-3.1c - Data'!J187</f>
        <v>1787.29</v>
      </c>
      <c r="N340" s="447">
        <f>'JKP-3.1c - Data'!K187</f>
        <v>23486.960000000003</v>
      </c>
      <c r="O340" s="447">
        <f>'JKP-3.1c - Data'!L187</f>
        <v>0</v>
      </c>
      <c r="P340" s="447">
        <f>'JKP-3.1c - Data'!M187</f>
        <v>0</v>
      </c>
      <c r="Q340" s="447">
        <f>'JKP-3.1c - Data'!N187</f>
        <v>0</v>
      </c>
      <c r="R340" s="437">
        <f>SUM(F340:Q340)</f>
        <v>26977.56</v>
      </c>
    </row>
    <row r="341" spans="1:18" s="336" customFormat="1" x14ac:dyDescent="0.2">
      <c r="B341" s="336" t="s">
        <v>1079</v>
      </c>
      <c r="F341" s="339">
        <f t="shared" ref="F341:N341" si="81">F334+F338</f>
        <v>1181385.7427400001</v>
      </c>
      <c r="G341" s="339">
        <f t="shared" si="81"/>
        <v>1002251.19414</v>
      </c>
      <c r="H341" s="339">
        <f t="shared" si="81"/>
        <v>1039064.3646600001</v>
      </c>
      <c r="I341" s="339">
        <f t="shared" si="81"/>
        <v>868570.32542000001</v>
      </c>
      <c r="J341" s="339">
        <f t="shared" si="81"/>
        <v>699629.98588000005</v>
      </c>
      <c r="K341" s="339">
        <f t="shared" si="81"/>
        <v>450941.92486000003</v>
      </c>
      <c r="L341" s="339">
        <f t="shared" si="81"/>
        <v>265053.22633999999</v>
      </c>
      <c r="M341" s="339">
        <f t="shared" si="81"/>
        <v>247656.48586000002</v>
      </c>
      <c r="N341" s="339">
        <f t="shared" si="81"/>
        <v>357082.94776000001</v>
      </c>
      <c r="O341" s="339">
        <f>O334+O338</f>
        <v>661898.31623999996</v>
      </c>
      <c r="P341" s="339">
        <f>P334+P338</f>
        <v>1003921.07479</v>
      </c>
      <c r="Q341" s="339">
        <f>Q334+Q338</f>
        <v>1144803.49153</v>
      </c>
      <c r="R341" s="339">
        <f>R334+R338</f>
        <v>8922259.0802200008</v>
      </c>
    </row>
    <row r="342" spans="1:18" s="336" customFormat="1" x14ac:dyDescent="0.2">
      <c r="B342" s="336" t="s">
        <v>986</v>
      </c>
      <c r="F342" s="339">
        <f t="shared" ref="F342:N342" si="82">F329+F333+F334+F335+F339+F340</f>
        <v>1503673.6422500003</v>
      </c>
      <c r="G342" s="339">
        <f t="shared" si="82"/>
        <v>1287970.7080499998</v>
      </c>
      <c r="H342" s="339">
        <f t="shared" si="82"/>
        <v>1330248.8272500001</v>
      </c>
      <c r="I342" s="339">
        <f t="shared" si="82"/>
        <v>1123106.1202499999</v>
      </c>
      <c r="J342" s="339">
        <f t="shared" si="82"/>
        <v>917679.96189999999</v>
      </c>
      <c r="K342" s="339">
        <f t="shared" si="82"/>
        <v>613153.6619500001</v>
      </c>
      <c r="L342" s="339">
        <f t="shared" si="82"/>
        <v>382471.11555000005</v>
      </c>
      <c r="M342" s="339">
        <f t="shared" si="82"/>
        <v>362344.79994999996</v>
      </c>
      <c r="N342" s="339">
        <f t="shared" si="82"/>
        <v>519176.11920000007</v>
      </c>
      <c r="O342" s="339">
        <f>O329+O333+O334+O335+O339+O340</f>
        <v>868994.46160000004</v>
      </c>
      <c r="P342" s="339">
        <f>P329+P333+P334+P335+P339+P340</f>
        <v>1297640.9542199997</v>
      </c>
      <c r="Q342" s="339">
        <f>Q329+Q333+Q334+Q335+Q339+Q340</f>
        <v>1468925.20144</v>
      </c>
      <c r="R342" s="339">
        <f>R329+R333+R334+R335+R339+R340</f>
        <v>11675385.573610002</v>
      </c>
    </row>
    <row r="343" spans="1:18" s="336" customFormat="1" x14ac:dyDescent="0.2">
      <c r="F343" s="418"/>
      <c r="G343" s="418"/>
      <c r="H343" s="418"/>
      <c r="I343" s="418"/>
      <c r="J343" s="418"/>
      <c r="K343" s="418"/>
      <c r="L343" s="418"/>
      <c r="M343" s="418"/>
      <c r="N343" s="418"/>
      <c r="O343" s="418"/>
      <c r="P343" s="418"/>
      <c r="Q343" s="418"/>
      <c r="R343" s="437"/>
    </row>
    <row r="344" spans="1:18" s="336" customFormat="1" x14ac:dyDescent="0.2">
      <c r="A344" s="336" t="s">
        <v>1058</v>
      </c>
      <c r="B344" s="336" t="s">
        <v>1050</v>
      </c>
      <c r="F344" s="418">
        <f>F316*F324+F325*F317</f>
        <v>1130314.7233499999</v>
      </c>
      <c r="G344" s="418">
        <f t="shared" ref="G344:Q344" si="83">G316*G324+G325*G317</f>
        <v>958917.79184999992</v>
      </c>
      <c r="H344" s="418">
        <f t="shared" si="83"/>
        <v>994141.71014999994</v>
      </c>
      <c r="I344" s="418">
        <f t="shared" si="83"/>
        <v>831012.03304999997</v>
      </c>
      <c r="J344" s="418">
        <f t="shared" si="83"/>
        <v>669368.28769999999</v>
      </c>
      <c r="K344" s="418">
        <f t="shared" si="83"/>
        <v>431421.65564999997</v>
      </c>
      <c r="L344" s="418">
        <f t="shared" si="83"/>
        <v>253562.49234999999</v>
      </c>
      <c r="M344" s="418">
        <f t="shared" si="83"/>
        <v>236918.40815</v>
      </c>
      <c r="N344" s="418">
        <f t="shared" si="83"/>
        <v>341619.86540000001</v>
      </c>
      <c r="O344" s="418">
        <f t="shared" si="83"/>
        <v>633270.06959999993</v>
      </c>
      <c r="P344" s="418">
        <f t="shared" si="83"/>
        <v>960471.30012999999</v>
      </c>
      <c r="Q344" s="418">
        <f t="shared" si="83"/>
        <v>1095262.99691</v>
      </c>
      <c r="R344" s="437">
        <f>SUM(F344:Q344)</f>
        <v>8536281.3342899997</v>
      </c>
    </row>
    <row r="345" spans="1:18" s="336" customFormat="1" x14ac:dyDescent="0.2">
      <c r="F345" s="418"/>
      <c r="G345" s="418"/>
      <c r="H345" s="418"/>
      <c r="I345" s="418"/>
      <c r="J345" s="418"/>
      <c r="K345" s="418"/>
      <c r="L345" s="418"/>
      <c r="M345" s="418"/>
      <c r="N345" s="418"/>
      <c r="O345" s="418"/>
      <c r="P345" s="418"/>
      <c r="Q345" s="418"/>
      <c r="R345" s="437"/>
    </row>
    <row r="346" spans="1:18" s="336" customFormat="1" x14ac:dyDescent="0.2">
      <c r="B346" s="182" t="s">
        <v>1100</v>
      </c>
      <c r="C346" s="182"/>
    </row>
    <row r="347" spans="1:18" s="336" customFormat="1" x14ac:dyDescent="0.2">
      <c r="B347" s="182" t="s">
        <v>5</v>
      </c>
      <c r="C347" s="182"/>
    </row>
    <row r="348" spans="1:18" s="336" customFormat="1" x14ac:dyDescent="0.2">
      <c r="B348" s="336" t="s">
        <v>1059</v>
      </c>
      <c r="D348" s="336">
        <v>87</v>
      </c>
      <c r="E348" s="336" t="s">
        <v>976</v>
      </c>
      <c r="F348" s="442">
        <v>544.91</v>
      </c>
      <c r="G348" s="442">
        <v>544.91</v>
      </c>
      <c r="H348" s="442">
        <v>544.91</v>
      </c>
      <c r="I348" s="442">
        <v>544.91</v>
      </c>
      <c r="J348" s="442">
        <v>544.91</v>
      </c>
      <c r="K348" s="442">
        <v>544.91</v>
      </c>
      <c r="L348" s="442">
        <v>544.91</v>
      </c>
      <c r="M348" s="442">
        <v>544.91</v>
      </c>
      <c r="N348" s="442">
        <v>544.91</v>
      </c>
      <c r="O348" s="442">
        <v>544.91</v>
      </c>
      <c r="P348" s="442">
        <v>544.91</v>
      </c>
      <c r="Q348" s="442">
        <v>544.91</v>
      </c>
      <c r="R348" s="435"/>
    </row>
    <row r="349" spans="1:18" s="336" customFormat="1" x14ac:dyDescent="0.2">
      <c r="B349" s="336" t="s">
        <v>1047</v>
      </c>
      <c r="F349" s="448"/>
      <c r="G349" s="448"/>
      <c r="H349" s="448"/>
      <c r="I349" s="448"/>
      <c r="J349" s="448"/>
      <c r="K349" s="448"/>
      <c r="L349" s="448"/>
      <c r="M349" s="448"/>
      <c r="N349" s="448"/>
      <c r="O349" s="448"/>
      <c r="P349" s="448"/>
      <c r="Q349" s="448"/>
      <c r="R349" s="441"/>
    </row>
    <row r="350" spans="1:18" s="336" customFormat="1" x14ac:dyDescent="0.2">
      <c r="C350" s="336" t="s">
        <v>1086</v>
      </c>
      <c r="D350" s="336">
        <v>87</v>
      </c>
      <c r="E350" s="336" t="s">
        <v>957</v>
      </c>
      <c r="F350" s="440">
        <v>0.13815</v>
      </c>
      <c r="G350" s="440">
        <v>0.13815</v>
      </c>
      <c r="H350" s="440">
        <v>0.13815</v>
      </c>
      <c r="I350" s="440">
        <v>0.13815</v>
      </c>
      <c r="J350" s="440">
        <v>0.13815</v>
      </c>
      <c r="K350" s="440">
        <v>0.13815</v>
      </c>
      <c r="L350" s="440">
        <v>0.13815</v>
      </c>
      <c r="M350" s="440">
        <v>0.13815</v>
      </c>
      <c r="N350" s="440">
        <v>0.13815</v>
      </c>
      <c r="O350" s="440">
        <v>0.13815</v>
      </c>
      <c r="P350" s="440">
        <v>0.13815</v>
      </c>
      <c r="Q350" s="440">
        <v>0.13815</v>
      </c>
      <c r="R350" s="441"/>
    </row>
    <row r="351" spans="1:18" s="336" customFormat="1" x14ac:dyDescent="0.2">
      <c r="C351" s="336" t="s">
        <v>1087</v>
      </c>
      <c r="D351" s="336">
        <v>87</v>
      </c>
      <c r="E351" s="336" t="s">
        <v>957</v>
      </c>
      <c r="F351" s="440">
        <v>8.4349999999999994E-2</v>
      </c>
      <c r="G351" s="440">
        <v>8.4349999999999994E-2</v>
      </c>
      <c r="H351" s="440">
        <v>8.4349999999999994E-2</v>
      </c>
      <c r="I351" s="440">
        <v>8.4349999999999994E-2</v>
      </c>
      <c r="J351" s="440">
        <v>8.4349999999999994E-2</v>
      </c>
      <c r="K351" s="440">
        <v>8.4349999999999994E-2</v>
      </c>
      <c r="L351" s="440">
        <v>8.4349999999999994E-2</v>
      </c>
      <c r="M351" s="440">
        <v>8.4349999999999994E-2</v>
      </c>
      <c r="N351" s="440">
        <v>8.4349999999999994E-2</v>
      </c>
      <c r="O351" s="440">
        <v>8.4349999999999994E-2</v>
      </c>
      <c r="P351" s="440">
        <v>8.4349999999999994E-2</v>
      </c>
      <c r="Q351" s="440">
        <v>8.4349999999999994E-2</v>
      </c>
      <c r="R351" s="441"/>
    </row>
    <row r="352" spans="1:18" s="336" customFormat="1" x14ac:dyDescent="0.2">
      <c r="C352" s="336" t="s">
        <v>1090</v>
      </c>
      <c r="D352" s="336">
        <v>87</v>
      </c>
      <c r="E352" s="336" t="s">
        <v>957</v>
      </c>
      <c r="F352" s="440">
        <v>5.4460000000000001E-2</v>
      </c>
      <c r="G352" s="440">
        <v>5.4460000000000001E-2</v>
      </c>
      <c r="H352" s="440">
        <v>5.4460000000000001E-2</v>
      </c>
      <c r="I352" s="440">
        <v>5.4460000000000001E-2</v>
      </c>
      <c r="J352" s="440">
        <v>5.4460000000000001E-2</v>
      </c>
      <c r="K352" s="440">
        <v>5.4460000000000001E-2</v>
      </c>
      <c r="L352" s="440">
        <v>5.4460000000000001E-2</v>
      </c>
      <c r="M352" s="440">
        <v>5.4460000000000001E-2</v>
      </c>
      <c r="N352" s="440">
        <v>5.4460000000000001E-2</v>
      </c>
      <c r="O352" s="440">
        <v>5.4460000000000001E-2</v>
      </c>
      <c r="P352" s="440">
        <v>5.4460000000000001E-2</v>
      </c>
      <c r="Q352" s="440">
        <v>5.4460000000000001E-2</v>
      </c>
      <c r="R352" s="441"/>
    </row>
    <row r="353" spans="2:18" s="336" customFormat="1" x14ac:dyDescent="0.2">
      <c r="C353" s="336" t="s">
        <v>1091</v>
      </c>
      <c r="D353" s="336">
        <v>87</v>
      </c>
      <c r="E353" s="336" t="s">
        <v>957</v>
      </c>
      <c r="F353" s="440">
        <v>3.5700000000000003E-2</v>
      </c>
      <c r="G353" s="440">
        <v>3.5700000000000003E-2</v>
      </c>
      <c r="H353" s="440">
        <v>3.5700000000000003E-2</v>
      </c>
      <c r="I353" s="440">
        <v>3.5700000000000003E-2</v>
      </c>
      <c r="J353" s="440">
        <v>3.5700000000000003E-2</v>
      </c>
      <c r="K353" s="440">
        <v>3.5700000000000003E-2</v>
      </c>
      <c r="L353" s="440">
        <v>3.5700000000000003E-2</v>
      </c>
      <c r="M353" s="440">
        <v>3.5700000000000003E-2</v>
      </c>
      <c r="N353" s="440">
        <v>3.5700000000000003E-2</v>
      </c>
      <c r="O353" s="440">
        <v>3.5700000000000003E-2</v>
      </c>
      <c r="P353" s="440">
        <v>3.5700000000000003E-2</v>
      </c>
      <c r="Q353" s="440">
        <v>3.5700000000000003E-2</v>
      </c>
      <c r="R353" s="441"/>
    </row>
    <row r="354" spans="2:18" s="336" customFormat="1" x14ac:dyDescent="0.2">
      <c r="C354" s="336" t="s">
        <v>1092</v>
      </c>
      <c r="D354" s="336">
        <v>87</v>
      </c>
      <c r="E354" s="336" t="s">
        <v>957</v>
      </c>
      <c r="F354" s="440">
        <v>2.63E-2</v>
      </c>
      <c r="G354" s="440">
        <v>2.63E-2</v>
      </c>
      <c r="H354" s="440">
        <v>2.63E-2</v>
      </c>
      <c r="I354" s="440">
        <v>2.63E-2</v>
      </c>
      <c r="J354" s="440">
        <v>2.63E-2</v>
      </c>
      <c r="K354" s="440">
        <v>2.63E-2</v>
      </c>
      <c r="L354" s="440">
        <v>2.63E-2</v>
      </c>
      <c r="M354" s="440">
        <v>2.63E-2</v>
      </c>
      <c r="N354" s="440">
        <v>2.63E-2</v>
      </c>
      <c r="O354" s="440">
        <v>2.63E-2</v>
      </c>
      <c r="P354" s="440">
        <v>2.63E-2</v>
      </c>
      <c r="Q354" s="440">
        <v>2.63E-2</v>
      </c>
      <c r="R354" s="441"/>
    </row>
    <row r="355" spans="2:18" s="336" customFormat="1" x14ac:dyDescent="0.2">
      <c r="C355" s="336" t="s">
        <v>1093</v>
      </c>
      <c r="D355" s="336">
        <v>87</v>
      </c>
      <c r="E355" s="336" t="s">
        <v>957</v>
      </c>
      <c r="F355" s="440">
        <v>2.077E-2</v>
      </c>
      <c r="G355" s="440">
        <v>2.077E-2</v>
      </c>
      <c r="H355" s="440">
        <v>2.077E-2</v>
      </c>
      <c r="I355" s="440">
        <v>2.077E-2</v>
      </c>
      <c r="J355" s="440">
        <v>2.077E-2</v>
      </c>
      <c r="K355" s="440">
        <v>2.077E-2</v>
      </c>
      <c r="L355" s="440">
        <v>2.077E-2</v>
      </c>
      <c r="M355" s="440">
        <v>2.077E-2</v>
      </c>
      <c r="N355" s="440">
        <v>2.077E-2</v>
      </c>
      <c r="O355" s="440">
        <v>2.077E-2</v>
      </c>
      <c r="P355" s="440">
        <v>2.077E-2</v>
      </c>
      <c r="Q355" s="440">
        <v>2.077E-2</v>
      </c>
      <c r="R355" s="441"/>
    </row>
    <row r="356" spans="2:18" s="336" customFormat="1" x14ac:dyDescent="0.2">
      <c r="B356" s="336" t="s">
        <v>1067</v>
      </c>
      <c r="D356" s="336">
        <v>101</v>
      </c>
      <c r="E356" s="336" t="s">
        <v>957</v>
      </c>
      <c r="F356" s="496">
        <f>'JKP-3.1c - Rev Actual Rates'!F367</f>
        <v>0.69859000000000004</v>
      </c>
      <c r="G356" s="496">
        <f>'JKP-3.1c - Rev Actual Rates'!G367</f>
        <v>0.69859000000000004</v>
      </c>
      <c r="H356" s="496">
        <f>'JKP-3.1c - Rev Actual Rates'!H367</f>
        <v>0.69859000000000004</v>
      </c>
      <c r="I356" s="496">
        <f>'JKP-3.1c - Rev Actual Rates'!I367</f>
        <v>0.69859000000000004</v>
      </c>
      <c r="J356" s="496">
        <f>'JKP-3.1c - Rev Actual Rates'!J367</f>
        <v>0.69859000000000004</v>
      </c>
      <c r="K356" s="496">
        <f>'JKP-3.1c - Rev Actual Rates'!K367</f>
        <v>0.69859000000000004</v>
      </c>
      <c r="L356" s="496">
        <f>'JKP-3.1c - Rev Actual Rates'!L367</f>
        <v>0.69859000000000004</v>
      </c>
      <c r="M356" s="496">
        <f>'JKP-3.1c - Rev Actual Rates'!M367</f>
        <v>0.69859000000000004</v>
      </c>
      <c r="N356" s="496">
        <f>'JKP-3.1c - Rev Actual Rates'!N367</f>
        <v>0.69859000000000004</v>
      </c>
      <c r="O356" s="496">
        <f>'JKP-3.1c - Rev Actual Rates'!O367</f>
        <v>0.69859000000000004</v>
      </c>
      <c r="P356" s="496">
        <f>'JKP-3.1c - Rev Actual Rates'!P367</f>
        <v>0.65951000000000004</v>
      </c>
      <c r="Q356" s="496">
        <f>'JKP-3.1c - Rev Actual Rates'!Q367</f>
        <v>0.65951000000000004</v>
      </c>
      <c r="R356" s="441"/>
    </row>
    <row r="357" spans="2:18" s="336" customFormat="1" x14ac:dyDescent="0.2">
      <c r="B357" s="336" t="s">
        <v>1096</v>
      </c>
      <c r="D357" s="382">
        <v>85</v>
      </c>
      <c r="E357" s="336" t="s">
        <v>957</v>
      </c>
      <c r="F357" s="440">
        <v>5.0699999999999999E-3</v>
      </c>
      <c r="G357" s="440">
        <v>5.0699999999999999E-3</v>
      </c>
      <c r="H357" s="440">
        <v>5.0699999999999999E-3</v>
      </c>
      <c r="I357" s="440">
        <v>5.0699999999999999E-3</v>
      </c>
      <c r="J357" s="440">
        <v>5.0699999999999999E-3</v>
      </c>
      <c r="K357" s="440">
        <v>5.0699999999999999E-3</v>
      </c>
      <c r="L357" s="440">
        <v>5.0699999999999999E-3</v>
      </c>
      <c r="M357" s="440">
        <v>5.0699999999999999E-3</v>
      </c>
      <c r="N357" s="440">
        <v>5.0699999999999999E-3</v>
      </c>
      <c r="O357" s="440">
        <v>5.0699999999999999E-3</v>
      </c>
      <c r="P357" s="440">
        <v>5.0699999999999999E-3</v>
      </c>
      <c r="Q357" s="440">
        <v>5.0699999999999999E-3</v>
      </c>
      <c r="R357" s="441"/>
    </row>
    <row r="358" spans="2:18" s="336" customFormat="1" x14ac:dyDescent="0.2">
      <c r="B358" s="336" t="s">
        <v>1068</v>
      </c>
      <c r="F358" s="441"/>
      <c r="G358" s="441"/>
      <c r="H358" s="441"/>
      <c r="I358" s="441"/>
      <c r="J358" s="441"/>
      <c r="K358" s="441"/>
      <c r="L358" s="441"/>
      <c r="M358" s="441"/>
      <c r="N358" s="441"/>
      <c r="O358" s="441"/>
      <c r="P358" s="441"/>
      <c r="Q358" s="441"/>
      <c r="R358" s="441"/>
    </row>
    <row r="359" spans="2:18" s="336" customFormat="1" x14ac:dyDescent="0.2">
      <c r="C359" s="336" t="s">
        <v>1069</v>
      </c>
      <c r="D359" s="336">
        <v>101</v>
      </c>
      <c r="E359" s="336" t="s">
        <v>957</v>
      </c>
      <c r="F359" s="442">
        <v>1.1100000000000001</v>
      </c>
      <c r="G359" s="442">
        <v>1.1100000000000001</v>
      </c>
      <c r="H359" s="442">
        <v>1.1100000000000001</v>
      </c>
      <c r="I359" s="442">
        <v>1.1100000000000001</v>
      </c>
      <c r="J359" s="442">
        <v>1.1100000000000001</v>
      </c>
      <c r="K359" s="442">
        <v>1.1100000000000001</v>
      </c>
      <c r="L359" s="442">
        <v>1.1100000000000001</v>
      </c>
      <c r="M359" s="442">
        <v>1.1100000000000001</v>
      </c>
      <c r="N359" s="442">
        <v>1.1100000000000001</v>
      </c>
      <c r="O359" s="442">
        <v>1.1100000000000001</v>
      </c>
      <c r="P359" s="442">
        <v>1.1100000000000001</v>
      </c>
      <c r="Q359" s="442">
        <v>1.1100000000000001</v>
      </c>
      <c r="R359" s="441"/>
    </row>
    <row r="360" spans="2:18" s="336" customFormat="1" x14ac:dyDescent="0.2">
      <c r="C360" s="336" t="s">
        <v>1070</v>
      </c>
      <c r="D360" s="336">
        <v>101</v>
      </c>
      <c r="E360" s="336" t="s">
        <v>957</v>
      </c>
      <c r="F360" s="442">
        <v>1.05</v>
      </c>
      <c r="G360" s="442">
        <v>1.05</v>
      </c>
      <c r="H360" s="442">
        <v>1.05</v>
      </c>
      <c r="I360" s="442">
        <v>1.05</v>
      </c>
      <c r="J360" s="442">
        <v>1.05</v>
      </c>
      <c r="K360" s="442">
        <v>1.05</v>
      </c>
      <c r="L360" s="442">
        <v>1.05</v>
      </c>
      <c r="M360" s="442">
        <v>1.05</v>
      </c>
      <c r="N360" s="442">
        <v>1.05</v>
      </c>
      <c r="O360" s="442">
        <v>1.05</v>
      </c>
      <c r="P360" s="442">
        <v>1.05</v>
      </c>
      <c r="Q360" s="442">
        <v>1.05</v>
      </c>
      <c r="R360" s="441"/>
    </row>
    <row r="361" spans="2:18" s="336" customFormat="1" x14ac:dyDescent="0.2">
      <c r="B361" s="336" t="s">
        <v>1071</v>
      </c>
      <c r="D361" s="336">
        <v>85</v>
      </c>
      <c r="E361" s="336" t="s">
        <v>67</v>
      </c>
      <c r="F361" s="450"/>
      <c r="G361" s="450"/>
      <c r="H361" s="442"/>
      <c r="I361" s="450"/>
      <c r="J361" s="450"/>
      <c r="K361" s="450"/>
      <c r="L361" s="450"/>
      <c r="M361" s="450"/>
      <c r="N361" s="450"/>
      <c r="O361" s="450"/>
      <c r="P361" s="450"/>
      <c r="Q361" s="450"/>
      <c r="R361" s="441"/>
    </row>
    <row r="362" spans="2:18" s="336" customFormat="1" x14ac:dyDescent="0.2">
      <c r="B362" s="336" t="s">
        <v>1050</v>
      </c>
      <c r="F362" s="496">
        <f>'JKP-3.1c - Rev Actual Rates'!F373</f>
        <v>0.66842000000000001</v>
      </c>
      <c r="G362" s="496">
        <f>'JKP-3.1c - Rev Actual Rates'!G373</f>
        <v>0.66842000000000001</v>
      </c>
      <c r="H362" s="496">
        <f>'JKP-3.1c - Rev Actual Rates'!H373</f>
        <v>0.66842000000000001</v>
      </c>
      <c r="I362" s="496">
        <f>'JKP-3.1c - Rev Actual Rates'!I373</f>
        <v>0.66842000000000001</v>
      </c>
      <c r="J362" s="496">
        <f>'JKP-3.1c - Rev Actual Rates'!J373</f>
        <v>0.66842000000000001</v>
      </c>
      <c r="K362" s="496">
        <f>'JKP-3.1c - Rev Actual Rates'!K373</f>
        <v>0.66842000000000001</v>
      </c>
      <c r="L362" s="496">
        <f>'JKP-3.1c - Rev Actual Rates'!L373</f>
        <v>0.66842000000000001</v>
      </c>
      <c r="M362" s="496">
        <f>'JKP-3.1c - Rev Actual Rates'!M373</f>
        <v>0.66842000000000001</v>
      </c>
      <c r="N362" s="496">
        <f>'JKP-3.1c - Rev Actual Rates'!N373</f>
        <v>0.66842000000000001</v>
      </c>
      <c r="O362" s="496">
        <f>'JKP-3.1c - Rev Actual Rates'!O373</f>
        <v>0.66842000000000001</v>
      </c>
      <c r="P362" s="496">
        <f>'JKP-3.1c - Rev Actual Rates'!P373</f>
        <v>0.63099000000000005</v>
      </c>
      <c r="Q362" s="496">
        <f>'JKP-3.1c - Rev Actual Rates'!Q373</f>
        <v>0.63099000000000005</v>
      </c>
      <c r="R362" s="441"/>
    </row>
    <row r="363" spans="2:18" s="336" customFormat="1" x14ac:dyDescent="0.2">
      <c r="B363" s="336" t="s">
        <v>1072</v>
      </c>
      <c r="F363" s="442">
        <v>1</v>
      </c>
      <c r="G363" s="442">
        <v>1</v>
      </c>
      <c r="H363" s="442">
        <v>1</v>
      </c>
      <c r="I363" s="442">
        <v>1</v>
      </c>
      <c r="J363" s="442">
        <v>1</v>
      </c>
      <c r="K363" s="442">
        <v>1</v>
      </c>
      <c r="L363" s="442">
        <v>1</v>
      </c>
      <c r="M363" s="442">
        <v>1</v>
      </c>
      <c r="N363" s="442">
        <v>1</v>
      </c>
      <c r="O363" s="442">
        <v>1</v>
      </c>
      <c r="P363" s="442">
        <v>1</v>
      </c>
      <c r="Q363" s="442">
        <v>1</v>
      </c>
      <c r="R363" s="441"/>
    </row>
    <row r="364" spans="2:18" s="336" customFormat="1" x14ac:dyDescent="0.2"/>
    <row r="365" spans="2:18" x14ac:dyDescent="0.2">
      <c r="B365" s="276" t="s">
        <v>982</v>
      </c>
    </row>
    <row r="366" spans="2:18" x14ac:dyDescent="0.2">
      <c r="B366" s="32" t="s">
        <v>67</v>
      </c>
      <c r="E366" s="32" t="s">
        <v>67</v>
      </c>
      <c r="F366" s="397">
        <f>'JKP-3.1c - Data'!C153</f>
        <v>8</v>
      </c>
      <c r="G366" s="397">
        <f>'JKP-3.1c - Data'!D153</f>
        <v>8</v>
      </c>
      <c r="H366" s="397">
        <f>'JKP-3.1c - Data'!E153</f>
        <v>8</v>
      </c>
      <c r="I366" s="397">
        <f>'JKP-3.1c - Data'!F153</f>
        <v>8</v>
      </c>
      <c r="J366" s="397">
        <f>'JKP-3.1c - Data'!G153</f>
        <v>8</v>
      </c>
      <c r="K366" s="397">
        <f>'JKP-3.1c - Data'!H153</f>
        <v>8</v>
      </c>
      <c r="L366" s="397">
        <f>'JKP-3.1c - Data'!I153</f>
        <v>8</v>
      </c>
      <c r="M366" s="397">
        <f>'JKP-3.1c - Data'!J153</f>
        <v>8</v>
      </c>
      <c r="N366" s="397">
        <f>'JKP-3.1c - Data'!K153</f>
        <v>8</v>
      </c>
      <c r="O366" s="397">
        <f>'JKP-3.1c - Data'!L153</f>
        <v>8</v>
      </c>
      <c r="P366" s="397">
        <f>'JKP-3.1c - Data'!M153</f>
        <v>8</v>
      </c>
      <c r="Q366" s="397">
        <f>'JKP-3.1c - Data'!N153</f>
        <v>8</v>
      </c>
      <c r="R366" s="378">
        <f>SUM(F366:Q366)</f>
        <v>96</v>
      </c>
    </row>
    <row r="367" spans="2:18" s="336" customFormat="1" x14ac:dyDescent="0.2">
      <c r="B367" s="336" t="s">
        <v>76</v>
      </c>
      <c r="F367" s="380"/>
      <c r="G367" s="380"/>
      <c r="H367" s="380"/>
      <c r="I367" s="380"/>
      <c r="J367" s="380"/>
      <c r="K367" s="380"/>
      <c r="L367" s="380"/>
      <c r="M367" s="380"/>
      <c r="N367" s="380"/>
      <c r="O367" s="380"/>
      <c r="P367" s="380"/>
      <c r="Q367" s="380"/>
      <c r="R367" s="378"/>
    </row>
    <row r="368" spans="2:18" s="336" customFormat="1" x14ac:dyDescent="0.2">
      <c r="C368" s="336" t="s">
        <v>1086</v>
      </c>
      <c r="E368" s="336" t="s">
        <v>10</v>
      </c>
      <c r="F368" s="380">
        <v>200000</v>
      </c>
      <c r="G368" s="380">
        <v>200000</v>
      </c>
      <c r="H368" s="380">
        <v>200000</v>
      </c>
      <c r="I368" s="380">
        <v>200000</v>
      </c>
      <c r="J368" s="380">
        <v>200000</v>
      </c>
      <c r="K368" s="380">
        <v>200000</v>
      </c>
      <c r="L368" s="380">
        <v>200000</v>
      </c>
      <c r="M368" s="380">
        <v>200000</v>
      </c>
      <c r="N368" s="380">
        <v>200000</v>
      </c>
      <c r="O368" s="380">
        <v>200000</v>
      </c>
      <c r="P368" s="380">
        <v>200000</v>
      </c>
      <c r="Q368" s="380">
        <v>200000</v>
      </c>
      <c r="R368" s="378">
        <f t="shared" ref="R368:R373" si="84">SUM(F368:Q368)</f>
        <v>2400000</v>
      </c>
    </row>
    <row r="369" spans="1:18" s="336" customFormat="1" x14ac:dyDescent="0.2">
      <c r="C369" s="336" t="s">
        <v>1087</v>
      </c>
      <c r="E369" s="336" t="s">
        <v>10</v>
      </c>
      <c r="F369" s="380">
        <v>200000</v>
      </c>
      <c r="G369" s="380">
        <v>200000</v>
      </c>
      <c r="H369" s="380">
        <v>200000</v>
      </c>
      <c r="I369" s="380">
        <v>200000</v>
      </c>
      <c r="J369" s="380">
        <v>200000</v>
      </c>
      <c r="K369" s="380">
        <v>195699</v>
      </c>
      <c r="L369" s="380">
        <v>186566</v>
      </c>
      <c r="M369" s="380">
        <v>184560</v>
      </c>
      <c r="N369" s="380">
        <v>191740</v>
      </c>
      <c r="O369" s="380">
        <v>200000</v>
      </c>
      <c r="P369" s="380">
        <v>200000</v>
      </c>
      <c r="Q369" s="380">
        <v>200000</v>
      </c>
      <c r="R369" s="378">
        <f t="shared" si="84"/>
        <v>2358565</v>
      </c>
    </row>
    <row r="370" spans="1:18" s="336" customFormat="1" x14ac:dyDescent="0.2">
      <c r="C370" s="336" t="s">
        <v>1090</v>
      </c>
      <c r="E370" s="336" t="s">
        <v>10</v>
      </c>
      <c r="F370" s="380">
        <v>400000</v>
      </c>
      <c r="G370" s="380">
        <v>374635</v>
      </c>
      <c r="H370" s="380">
        <v>392434</v>
      </c>
      <c r="I370" s="380">
        <v>373808</v>
      </c>
      <c r="J370" s="380">
        <v>339785</v>
      </c>
      <c r="K370" s="380">
        <v>310346</v>
      </c>
      <c r="L370" s="380">
        <v>286477</v>
      </c>
      <c r="M370" s="380">
        <v>268194</v>
      </c>
      <c r="N370" s="380">
        <v>291399</v>
      </c>
      <c r="O370" s="380">
        <v>340058</v>
      </c>
      <c r="P370" s="380">
        <v>390038</v>
      </c>
      <c r="Q370" s="380">
        <v>385191</v>
      </c>
      <c r="R370" s="378">
        <f t="shared" si="84"/>
        <v>4152365</v>
      </c>
    </row>
    <row r="371" spans="1:18" s="336" customFormat="1" x14ac:dyDescent="0.2">
      <c r="C371" s="336" t="s">
        <v>1091</v>
      </c>
      <c r="E371" s="336" t="s">
        <v>10</v>
      </c>
      <c r="F371" s="380">
        <v>602411</v>
      </c>
      <c r="G371" s="380">
        <v>518545</v>
      </c>
      <c r="H371" s="380">
        <v>546752</v>
      </c>
      <c r="I371" s="380">
        <v>493433</v>
      </c>
      <c r="J371" s="380">
        <v>443750</v>
      </c>
      <c r="K371" s="380">
        <v>333966</v>
      </c>
      <c r="L371" s="380">
        <v>253590</v>
      </c>
      <c r="M371" s="380">
        <v>224223</v>
      </c>
      <c r="N371" s="380">
        <v>241817</v>
      </c>
      <c r="O371" s="380">
        <v>455596</v>
      </c>
      <c r="P371" s="380">
        <v>566933</v>
      </c>
      <c r="Q371" s="380">
        <v>615230</v>
      </c>
      <c r="R371" s="378">
        <f t="shared" si="84"/>
        <v>5296246</v>
      </c>
    </row>
    <row r="372" spans="1:18" s="336" customFormat="1" x14ac:dyDescent="0.2">
      <c r="C372" s="336" t="s">
        <v>1092</v>
      </c>
      <c r="E372" s="336" t="s">
        <v>10</v>
      </c>
      <c r="F372" s="380">
        <v>492049</v>
      </c>
      <c r="G372" s="380">
        <v>410145</v>
      </c>
      <c r="H372" s="380">
        <v>431231</v>
      </c>
      <c r="I372" s="380">
        <v>374849</v>
      </c>
      <c r="J372" s="380">
        <v>327086</v>
      </c>
      <c r="K372" s="380">
        <v>300000</v>
      </c>
      <c r="L372" s="380">
        <v>300000</v>
      </c>
      <c r="M372" s="380">
        <v>300000</v>
      </c>
      <c r="N372" s="380">
        <v>300000</v>
      </c>
      <c r="O372" s="380">
        <v>310252</v>
      </c>
      <c r="P372" s="380">
        <v>485655</v>
      </c>
      <c r="Q372" s="380">
        <v>573924</v>
      </c>
      <c r="R372" s="378">
        <f t="shared" si="84"/>
        <v>4605191</v>
      </c>
    </row>
    <row r="373" spans="1:18" s="336" customFormat="1" x14ac:dyDescent="0.2">
      <c r="C373" s="336" t="s">
        <v>1093</v>
      </c>
      <c r="E373" s="336" t="s">
        <v>10</v>
      </c>
      <c r="F373" s="378">
        <f t="shared" ref="F373:N373" si="85">F374-SUM(F368:F372)</f>
        <v>1097684</v>
      </c>
      <c r="G373" s="378">
        <f t="shared" si="85"/>
        <v>933206</v>
      </c>
      <c r="H373" s="378">
        <f t="shared" si="85"/>
        <v>999161</v>
      </c>
      <c r="I373" s="378">
        <f t="shared" si="85"/>
        <v>837145</v>
      </c>
      <c r="J373" s="378">
        <f t="shared" si="85"/>
        <v>745732</v>
      </c>
      <c r="K373" s="378">
        <f t="shared" si="85"/>
        <v>532592</v>
      </c>
      <c r="L373" s="378">
        <f t="shared" si="85"/>
        <v>338959</v>
      </c>
      <c r="M373" s="378">
        <f t="shared" si="85"/>
        <v>246873</v>
      </c>
      <c r="N373" s="378">
        <f t="shared" si="85"/>
        <v>304576</v>
      </c>
      <c r="O373" s="378">
        <f>O374-SUM(O368:O372)</f>
        <v>636811</v>
      </c>
      <c r="P373" s="378">
        <f>P374-SUM(P368:P372)</f>
        <v>964890</v>
      </c>
      <c r="Q373" s="378">
        <f>Q374-SUM(Q368:Q372)</f>
        <v>1281536</v>
      </c>
      <c r="R373" s="378">
        <f t="shared" si="84"/>
        <v>8919165</v>
      </c>
    </row>
    <row r="374" spans="1:18" s="336" customFormat="1" x14ac:dyDescent="0.2">
      <c r="C374" s="336" t="s">
        <v>1075</v>
      </c>
      <c r="E374" s="336" t="s">
        <v>10</v>
      </c>
      <c r="F374" s="445">
        <f>'JKP-3.1c - Therms Data'!E77</f>
        <v>2992144</v>
      </c>
      <c r="G374" s="445">
        <f>'JKP-3.1c - Therms Data'!F77</f>
        <v>2636531</v>
      </c>
      <c r="H374" s="445">
        <f>'JKP-3.1c - Therms Data'!G77</f>
        <v>2769578</v>
      </c>
      <c r="I374" s="445">
        <f>'JKP-3.1c - Therms Data'!H77</f>
        <v>2479235</v>
      </c>
      <c r="J374" s="445">
        <f>'JKP-3.1c - Therms Data'!I77</f>
        <v>2256353</v>
      </c>
      <c r="K374" s="445">
        <f>'JKP-3.1c - Therms Data'!J77</f>
        <v>1872603</v>
      </c>
      <c r="L374" s="445">
        <f>'JKP-3.1c - Therms Data'!K77</f>
        <v>1565592</v>
      </c>
      <c r="M374" s="445">
        <f>'JKP-3.1c - Therms Data'!L77</f>
        <v>1423850</v>
      </c>
      <c r="N374" s="445">
        <f>'JKP-3.1c - Therms Data'!M77</f>
        <v>1529532</v>
      </c>
      <c r="O374" s="445">
        <f>'JKP-3.1c - Therms Data'!N77</f>
        <v>2142717</v>
      </c>
      <c r="P374" s="445">
        <f>'JKP-3.1c - Therms Data'!O77</f>
        <v>2807516</v>
      </c>
      <c r="Q374" s="445">
        <f>'JKP-3.1c - Therms Data'!P77</f>
        <v>3255881</v>
      </c>
      <c r="R374" s="436">
        <f>SUM(R368:R373)</f>
        <v>27731532</v>
      </c>
    </row>
    <row r="375" spans="1:18" s="336" customFormat="1" x14ac:dyDescent="0.2">
      <c r="B375" s="336" t="s">
        <v>74</v>
      </c>
      <c r="E375" s="336" t="s">
        <v>1076</v>
      </c>
      <c r="F375" s="421">
        <f>'JKP-3.1c - Data'!C173</f>
        <v>532</v>
      </c>
      <c r="G375" s="421">
        <f>'JKP-3.1c - Data'!D173</f>
        <v>532</v>
      </c>
      <c r="H375" s="421">
        <f>'JKP-3.1c - Data'!E173</f>
        <v>532</v>
      </c>
      <c r="I375" s="421">
        <f>'JKP-3.1c - Data'!F173</f>
        <v>532</v>
      </c>
      <c r="J375" s="421">
        <f>'JKP-3.1c - Data'!G173</f>
        <v>532</v>
      </c>
      <c r="K375" s="421">
        <f>'JKP-3.1c - Data'!H173</f>
        <v>532</v>
      </c>
      <c r="L375" s="421">
        <f>'JKP-3.1c - Data'!I173</f>
        <v>532</v>
      </c>
      <c r="M375" s="421">
        <f>'JKP-3.1c - Data'!J173</f>
        <v>532</v>
      </c>
      <c r="N375" s="421">
        <f>'JKP-3.1c - Data'!K173</f>
        <v>532</v>
      </c>
      <c r="O375" s="421">
        <f>'JKP-3.1c - Data'!L173</f>
        <v>532</v>
      </c>
      <c r="P375" s="421">
        <f>'JKP-3.1c - Data'!M173</f>
        <v>532</v>
      </c>
      <c r="Q375" s="421">
        <f>'JKP-3.1c - Data'!N173</f>
        <v>532</v>
      </c>
      <c r="R375" s="378">
        <f>SUM(F375:Q375)</f>
        <v>6384</v>
      </c>
    </row>
    <row r="376" spans="1:18" s="336" customFormat="1" x14ac:dyDescent="0.2">
      <c r="B376" s="336" t="s">
        <v>1071</v>
      </c>
      <c r="F376" s="380"/>
      <c r="G376" s="380"/>
      <c r="H376" s="380"/>
      <c r="I376" s="380"/>
      <c r="J376" s="380"/>
      <c r="K376" s="380"/>
      <c r="L376" s="380"/>
      <c r="M376" s="380"/>
      <c r="N376" s="380"/>
      <c r="O376" s="380"/>
      <c r="P376" s="380"/>
      <c r="Q376" s="380"/>
      <c r="R376" s="378"/>
    </row>
    <row r="377" spans="1:18" s="336" customFormat="1" x14ac:dyDescent="0.2">
      <c r="R377" s="179"/>
    </row>
    <row r="378" spans="1:18" s="336" customFormat="1" x14ac:dyDescent="0.2">
      <c r="B378" s="182" t="s">
        <v>985</v>
      </c>
      <c r="R378" s="179"/>
    </row>
    <row r="379" spans="1:18" s="336" customFormat="1" x14ac:dyDescent="0.2">
      <c r="A379" s="336" t="s">
        <v>1054</v>
      </c>
      <c r="B379" s="336" t="s">
        <v>1059</v>
      </c>
      <c r="D379" s="336">
        <v>85</v>
      </c>
      <c r="F379" s="418">
        <f t="shared" ref="F379:Q379" si="86">F348*F366</f>
        <v>4359.28</v>
      </c>
      <c r="G379" s="418">
        <f t="shared" si="86"/>
        <v>4359.28</v>
      </c>
      <c r="H379" s="418">
        <f t="shared" si="86"/>
        <v>4359.28</v>
      </c>
      <c r="I379" s="418">
        <f t="shared" si="86"/>
        <v>4359.28</v>
      </c>
      <c r="J379" s="418">
        <f t="shared" si="86"/>
        <v>4359.28</v>
      </c>
      <c r="K379" s="418">
        <f t="shared" si="86"/>
        <v>4359.28</v>
      </c>
      <c r="L379" s="418">
        <f t="shared" si="86"/>
        <v>4359.28</v>
      </c>
      <c r="M379" s="418">
        <f t="shared" si="86"/>
        <v>4359.28</v>
      </c>
      <c r="N379" s="418">
        <f t="shared" si="86"/>
        <v>4359.28</v>
      </c>
      <c r="O379" s="418">
        <f t="shared" si="86"/>
        <v>4359.28</v>
      </c>
      <c r="P379" s="418">
        <f t="shared" si="86"/>
        <v>4359.28</v>
      </c>
      <c r="Q379" s="418">
        <f t="shared" si="86"/>
        <v>4359.28</v>
      </c>
      <c r="R379" s="437">
        <f>SUM(F379:Q379)</f>
        <v>52311.359999999993</v>
      </c>
    </row>
    <row r="380" spans="1:18" s="336" customFormat="1" x14ac:dyDescent="0.2">
      <c r="B380" s="336" t="s">
        <v>1047</v>
      </c>
      <c r="F380" s="418"/>
      <c r="G380" s="418"/>
      <c r="H380" s="418"/>
      <c r="I380" s="418"/>
      <c r="J380" s="418"/>
      <c r="K380" s="418"/>
      <c r="L380" s="418"/>
      <c r="M380" s="418"/>
      <c r="N380" s="418"/>
      <c r="O380" s="418"/>
      <c r="P380" s="418"/>
      <c r="Q380" s="418"/>
      <c r="R380" s="437"/>
    </row>
    <row r="381" spans="1:18" s="336" customFormat="1" x14ac:dyDescent="0.2">
      <c r="C381" s="336" t="s">
        <v>1086</v>
      </c>
      <c r="D381" s="336">
        <v>87</v>
      </c>
      <c r="F381" s="418">
        <f t="shared" ref="F381:Q386" si="87">F350*F368</f>
        <v>27630</v>
      </c>
      <c r="G381" s="418">
        <f t="shared" si="87"/>
        <v>27630</v>
      </c>
      <c r="H381" s="418">
        <f t="shared" si="87"/>
        <v>27630</v>
      </c>
      <c r="I381" s="418">
        <f t="shared" si="87"/>
        <v>27630</v>
      </c>
      <c r="J381" s="418">
        <f t="shared" si="87"/>
        <v>27630</v>
      </c>
      <c r="K381" s="418">
        <f t="shared" si="87"/>
        <v>27630</v>
      </c>
      <c r="L381" s="418">
        <f t="shared" si="87"/>
        <v>27630</v>
      </c>
      <c r="M381" s="418">
        <f t="shared" si="87"/>
        <v>27630</v>
      </c>
      <c r="N381" s="418">
        <f t="shared" si="87"/>
        <v>27630</v>
      </c>
      <c r="O381" s="418">
        <f t="shared" si="87"/>
        <v>27630</v>
      </c>
      <c r="P381" s="418">
        <f t="shared" si="87"/>
        <v>27630</v>
      </c>
      <c r="Q381" s="418">
        <f t="shared" si="87"/>
        <v>27630</v>
      </c>
      <c r="R381" s="437">
        <f t="shared" ref="R381:R386" si="88">SUM(F381:Q381)</f>
        <v>331560</v>
      </c>
    </row>
    <row r="382" spans="1:18" s="336" customFormat="1" x14ac:dyDescent="0.2">
      <c r="C382" s="336" t="s">
        <v>1087</v>
      </c>
      <c r="D382" s="336">
        <v>87</v>
      </c>
      <c r="F382" s="418">
        <f t="shared" si="87"/>
        <v>16870</v>
      </c>
      <c r="G382" s="418">
        <f t="shared" si="87"/>
        <v>16870</v>
      </c>
      <c r="H382" s="418">
        <f t="shared" si="87"/>
        <v>16870</v>
      </c>
      <c r="I382" s="418">
        <f t="shared" si="87"/>
        <v>16870</v>
      </c>
      <c r="J382" s="418">
        <f t="shared" si="87"/>
        <v>16870</v>
      </c>
      <c r="K382" s="418">
        <f t="shared" si="87"/>
        <v>16507.210649999997</v>
      </c>
      <c r="L382" s="418">
        <f t="shared" si="87"/>
        <v>15736.8421</v>
      </c>
      <c r="M382" s="418">
        <f t="shared" si="87"/>
        <v>15567.635999999999</v>
      </c>
      <c r="N382" s="418">
        <f t="shared" si="87"/>
        <v>16173.268999999998</v>
      </c>
      <c r="O382" s="418">
        <f t="shared" si="87"/>
        <v>16870</v>
      </c>
      <c r="P382" s="418">
        <f t="shared" si="87"/>
        <v>16870</v>
      </c>
      <c r="Q382" s="418">
        <f t="shared" si="87"/>
        <v>16870</v>
      </c>
      <c r="R382" s="437">
        <f t="shared" si="88"/>
        <v>198944.95774999997</v>
      </c>
    </row>
    <row r="383" spans="1:18" s="336" customFormat="1" x14ac:dyDescent="0.2">
      <c r="C383" s="336" t="s">
        <v>1090</v>
      </c>
      <c r="D383" s="336">
        <v>87</v>
      </c>
      <c r="F383" s="418">
        <f t="shared" si="87"/>
        <v>21784</v>
      </c>
      <c r="G383" s="418">
        <f t="shared" si="87"/>
        <v>20402.622100000001</v>
      </c>
      <c r="H383" s="418">
        <f t="shared" si="87"/>
        <v>21371.95564</v>
      </c>
      <c r="I383" s="418">
        <f t="shared" si="87"/>
        <v>20357.58368</v>
      </c>
      <c r="J383" s="418">
        <f t="shared" si="87"/>
        <v>18504.6911</v>
      </c>
      <c r="K383" s="418">
        <f t="shared" si="87"/>
        <v>16901.443159999999</v>
      </c>
      <c r="L383" s="418">
        <f t="shared" si="87"/>
        <v>15601.537420000001</v>
      </c>
      <c r="M383" s="418">
        <f t="shared" si="87"/>
        <v>14605.845240000001</v>
      </c>
      <c r="N383" s="418">
        <f t="shared" si="87"/>
        <v>15869.589540000001</v>
      </c>
      <c r="O383" s="418">
        <f t="shared" si="87"/>
        <v>18519.558680000002</v>
      </c>
      <c r="P383" s="418">
        <f t="shared" si="87"/>
        <v>21241.46948</v>
      </c>
      <c r="Q383" s="418">
        <f t="shared" si="87"/>
        <v>20977.50186</v>
      </c>
      <c r="R383" s="437">
        <f t="shared" si="88"/>
        <v>226137.79790000001</v>
      </c>
    </row>
    <row r="384" spans="1:18" x14ac:dyDescent="0.2">
      <c r="C384" s="32" t="s">
        <v>1091</v>
      </c>
      <c r="D384" s="32">
        <v>87</v>
      </c>
      <c r="F384" s="364">
        <f t="shared" si="87"/>
        <v>21506.072700000001</v>
      </c>
      <c r="G384" s="364">
        <f t="shared" si="87"/>
        <v>18512.056500000002</v>
      </c>
      <c r="H384" s="364">
        <f t="shared" si="87"/>
        <v>19519.046400000003</v>
      </c>
      <c r="I384" s="364">
        <f t="shared" si="87"/>
        <v>17615.558100000002</v>
      </c>
      <c r="J384" s="364">
        <f t="shared" si="87"/>
        <v>15841.875000000002</v>
      </c>
      <c r="K384" s="364">
        <f t="shared" si="87"/>
        <v>11922.586200000002</v>
      </c>
      <c r="L384" s="364">
        <f t="shared" si="87"/>
        <v>9053.1630000000005</v>
      </c>
      <c r="M384" s="364">
        <f t="shared" si="87"/>
        <v>8004.7611000000006</v>
      </c>
      <c r="N384" s="364">
        <f t="shared" si="87"/>
        <v>8632.8669000000009</v>
      </c>
      <c r="O384" s="364">
        <f t="shared" si="87"/>
        <v>16264.7772</v>
      </c>
      <c r="P384" s="364">
        <f t="shared" si="87"/>
        <v>20239.508100000003</v>
      </c>
      <c r="Q384" s="364">
        <f t="shared" si="87"/>
        <v>21963.711000000003</v>
      </c>
      <c r="R384" s="341">
        <f t="shared" si="88"/>
        <v>189075.98220000006</v>
      </c>
    </row>
    <row r="385" spans="1:18" x14ac:dyDescent="0.2">
      <c r="C385" s="32" t="s">
        <v>1092</v>
      </c>
      <c r="D385" s="32">
        <v>87</v>
      </c>
      <c r="F385" s="364">
        <f t="shared" si="87"/>
        <v>12940.8887</v>
      </c>
      <c r="G385" s="364">
        <f t="shared" si="87"/>
        <v>10786.8135</v>
      </c>
      <c r="H385" s="364">
        <f t="shared" si="87"/>
        <v>11341.3753</v>
      </c>
      <c r="I385" s="364">
        <f t="shared" si="87"/>
        <v>9858.5287000000008</v>
      </c>
      <c r="J385" s="364">
        <f t="shared" si="87"/>
        <v>8602.3618000000006</v>
      </c>
      <c r="K385" s="364">
        <f t="shared" si="87"/>
        <v>7890</v>
      </c>
      <c r="L385" s="364">
        <f t="shared" si="87"/>
        <v>7890</v>
      </c>
      <c r="M385" s="364">
        <f t="shared" si="87"/>
        <v>7890</v>
      </c>
      <c r="N385" s="364">
        <f t="shared" si="87"/>
        <v>7890</v>
      </c>
      <c r="O385" s="364">
        <f t="shared" si="87"/>
        <v>8159.6275999999998</v>
      </c>
      <c r="P385" s="364">
        <f t="shared" si="87"/>
        <v>12772.726500000001</v>
      </c>
      <c r="Q385" s="364">
        <f t="shared" si="87"/>
        <v>15094.2012</v>
      </c>
      <c r="R385" s="341">
        <f t="shared" si="88"/>
        <v>121116.5233</v>
      </c>
    </row>
    <row r="386" spans="1:18" x14ac:dyDescent="0.2">
      <c r="C386" s="32" t="s">
        <v>1093</v>
      </c>
      <c r="D386" s="32">
        <v>87</v>
      </c>
      <c r="F386" s="364">
        <f t="shared" si="87"/>
        <v>22798.896680000002</v>
      </c>
      <c r="G386" s="364">
        <f t="shared" si="87"/>
        <v>19382.688620000001</v>
      </c>
      <c r="H386" s="364">
        <f t="shared" si="87"/>
        <v>20752.573970000001</v>
      </c>
      <c r="I386" s="364">
        <f t="shared" si="87"/>
        <v>17387.501650000002</v>
      </c>
      <c r="J386" s="364">
        <f t="shared" si="87"/>
        <v>15488.853639999999</v>
      </c>
      <c r="K386" s="364">
        <f t="shared" si="87"/>
        <v>11061.93584</v>
      </c>
      <c r="L386" s="364">
        <f t="shared" si="87"/>
        <v>7040.1784299999999</v>
      </c>
      <c r="M386" s="364">
        <f t="shared" si="87"/>
        <v>5127.5522099999998</v>
      </c>
      <c r="N386" s="364">
        <f t="shared" si="87"/>
        <v>6326.0435200000002</v>
      </c>
      <c r="O386" s="364">
        <f t="shared" si="87"/>
        <v>13226.564469999999</v>
      </c>
      <c r="P386" s="364">
        <f t="shared" si="87"/>
        <v>20040.765299999999</v>
      </c>
      <c r="Q386" s="364">
        <f t="shared" si="87"/>
        <v>26617.50272</v>
      </c>
      <c r="R386" s="341">
        <f t="shared" si="88"/>
        <v>185251.05705</v>
      </c>
    </row>
    <row r="387" spans="1:18" x14ac:dyDescent="0.2">
      <c r="A387" s="32" t="s">
        <v>1054</v>
      </c>
      <c r="C387" s="32" t="s">
        <v>1077</v>
      </c>
      <c r="F387" s="365">
        <f t="shared" ref="F387:N387" si="89">SUM(F381:F386)</f>
        <v>123529.85808000001</v>
      </c>
      <c r="G387" s="365">
        <f t="shared" si="89"/>
        <v>113584.18072</v>
      </c>
      <c r="H387" s="365">
        <f t="shared" si="89"/>
        <v>117484.95131</v>
      </c>
      <c r="I387" s="365">
        <f t="shared" si="89"/>
        <v>109719.17213000001</v>
      </c>
      <c r="J387" s="365">
        <f t="shared" si="89"/>
        <v>102937.78154</v>
      </c>
      <c r="K387" s="365">
        <f t="shared" si="89"/>
        <v>91913.17585</v>
      </c>
      <c r="L387" s="365">
        <f t="shared" si="89"/>
        <v>82951.720950000003</v>
      </c>
      <c r="M387" s="365">
        <f t="shared" si="89"/>
        <v>78825.794549999991</v>
      </c>
      <c r="N387" s="365">
        <f t="shared" si="89"/>
        <v>82521.768960000016</v>
      </c>
      <c r="O387" s="365">
        <f>SUM(O381:O386)</f>
        <v>100670.52795</v>
      </c>
      <c r="P387" s="365">
        <f>SUM(P381:P386)</f>
        <v>118794.46938000001</v>
      </c>
      <c r="Q387" s="365">
        <f>SUM(Q381:Q386)</f>
        <v>129152.91678</v>
      </c>
      <c r="R387" s="365">
        <f>SUM(R381:R386)</f>
        <v>1252086.3182000001</v>
      </c>
    </row>
    <row r="388" spans="1:18" x14ac:dyDescent="0.2">
      <c r="A388" s="336" t="s">
        <v>1056</v>
      </c>
      <c r="B388" s="32" t="s">
        <v>1057</v>
      </c>
      <c r="D388" s="32">
        <v>101</v>
      </c>
      <c r="F388" s="364">
        <f t="shared" ref="F388:N388" si="90">F356*F374</f>
        <v>2090281.87696</v>
      </c>
      <c r="G388" s="364">
        <f t="shared" si="90"/>
        <v>1841854.1912900002</v>
      </c>
      <c r="H388" s="364">
        <f t="shared" si="90"/>
        <v>1934799.49502</v>
      </c>
      <c r="I388" s="364">
        <f t="shared" si="90"/>
        <v>1731968.7786500002</v>
      </c>
      <c r="J388" s="364">
        <f t="shared" si="90"/>
        <v>1576265.6422700002</v>
      </c>
      <c r="K388" s="364">
        <f t="shared" si="90"/>
        <v>1308181.7297700001</v>
      </c>
      <c r="L388" s="364">
        <f t="shared" si="90"/>
        <v>1093706.9152800001</v>
      </c>
      <c r="M388" s="418">
        <f t="shared" si="90"/>
        <v>994687.37150000001</v>
      </c>
      <c r="N388" s="364">
        <f t="shared" si="90"/>
        <v>1068515.75988</v>
      </c>
      <c r="O388" s="364">
        <f>O356*O374</f>
        <v>1496880.66903</v>
      </c>
      <c r="P388" s="364">
        <f>P356*P374</f>
        <v>1851584.8771600001</v>
      </c>
      <c r="Q388" s="364">
        <f>Q356*Q374</f>
        <v>2147286.0783100002</v>
      </c>
      <c r="R388" s="341">
        <f>SUM(F388:Q388)</f>
        <v>19136013.385120004</v>
      </c>
    </row>
    <row r="389" spans="1:18" x14ac:dyDescent="0.2">
      <c r="A389" s="32" t="s">
        <v>1054</v>
      </c>
      <c r="B389" s="32" t="s">
        <v>1096</v>
      </c>
      <c r="D389" s="444">
        <v>87</v>
      </c>
      <c r="F389" s="365">
        <f t="shared" ref="F389:N389" si="91">F357*F374</f>
        <v>15170.17008</v>
      </c>
      <c r="G389" s="365">
        <f t="shared" si="91"/>
        <v>13367.212169999999</v>
      </c>
      <c r="H389" s="365">
        <f t="shared" si="91"/>
        <v>14041.76046</v>
      </c>
      <c r="I389" s="365">
        <f t="shared" si="91"/>
        <v>12569.721449999999</v>
      </c>
      <c r="J389" s="365">
        <f t="shared" si="91"/>
        <v>11439.709709999999</v>
      </c>
      <c r="K389" s="365">
        <f t="shared" si="91"/>
        <v>9494.0972099999999</v>
      </c>
      <c r="L389" s="365">
        <f t="shared" si="91"/>
        <v>7937.5514400000002</v>
      </c>
      <c r="M389" s="365">
        <f t="shared" si="91"/>
        <v>7218.9195</v>
      </c>
      <c r="N389" s="365">
        <f t="shared" si="91"/>
        <v>7754.7272400000002</v>
      </c>
      <c r="O389" s="365">
        <f>O357*O374</f>
        <v>10863.57519</v>
      </c>
      <c r="P389" s="365">
        <f>P357*P374</f>
        <v>14234.10612</v>
      </c>
      <c r="Q389" s="365">
        <f>Q357*Q374</f>
        <v>16507.31667</v>
      </c>
      <c r="R389" s="341">
        <f>SUM(F389:Q389)</f>
        <v>140598.86723999999</v>
      </c>
    </row>
    <row r="390" spans="1:18" x14ac:dyDescent="0.2">
      <c r="B390" s="32" t="s">
        <v>1068</v>
      </c>
      <c r="F390" s="364"/>
      <c r="G390" s="364"/>
      <c r="H390" s="364"/>
      <c r="I390" s="364"/>
      <c r="J390" s="364"/>
      <c r="K390" s="364"/>
      <c r="L390" s="364"/>
      <c r="M390" s="364"/>
      <c r="N390" s="364"/>
      <c r="O390" s="364"/>
      <c r="P390" s="364"/>
      <c r="Q390" s="364"/>
      <c r="R390" s="341"/>
    </row>
    <row r="391" spans="1:18" x14ac:dyDescent="0.2">
      <c r="A391" s="32" t="s">
        <v>1054</v>
      </c>
      <c r="C391" s="32" t="s">
        <v>1069</v>
      </c>
      <c r="D391" s="444">
        <v>87</v>
      </c>
      <c r="F391" s="364">
        <f t="shared" ref="F391:N391" si="92">F359*F375</f>
        <v>590.5200000000001</v>
      </c>
      <c r="G391" s="364">
        <f t="shared" si="92"/>
        <v>590.5200000000001</v>
      </c>
      <c r="H391" s="364">
        <f t="shared" si="92"/>
        <v>590.5200000000001</v>
      </c>
      <c r="I391" s="364">
        <f t="shared" si="92"/>
        <v>590.5200000000001</v>
      </c>
      <c r="J391" s="364">
        <f t="shared" si="92"/>
        <v>590.5200000000001</v>
      </c>
      <c r="K391" s="364">
        <f t="shared" si="92"/>
        <v>590.5200000000001</v>
      </c>
      <c r="L391" s="364">
        <f t="shared" si="92"/>
        <v>590.5200000000001</v>
      </c>
      <c r="M391" s="364">
        <f t="shared" si="92"/>
        <v>590.5200000000001</v>
      </c>
      <c r="N391" s="364">
        <f t="shared" si="92"/>
        <v>590.5200000000001</v>
      </c>
      <c r="O391" s="364">
        <f>O359*O375</f>
        <v>590.5200000000001</v>
      </c>
      <c r="P391" s="364">
        <f>P359*P375</f>
        <v>590.5200000000001</v>
      </c>
      <c r="Q391" s="364">
        <f>Q359*Q375</f>
        <v>590.5200000000001</v>
      </c>
      <c r="R391" s="341">
        <f>SUM(F391:Q391)</f>
        <v>7086.2400000000025</v>
      </c>
    </row>
    <row r="392" spans="1:18" x14ac:dyDescent="0.2">
      <c r="A392" s="336" t="s">
        <v>1056</v>
      </c>
      <c r="C392" s="32" t="s">
        <v>1070</v>
      </c>
      <c r="D392" s="32">
        <v>101</v>
      </c>
      <c r="F392" s="364">
        <f t="shared" ref="F392:N392" si="93">F360*F375</f>
        <v>558.6</v>
      </c>
      <c r="G392" s="364">
        <f t="shared" si="93"/>
        <v>558.6</v>
      </c>
      <c r="H392" s="364">
        <f t="shared" si="93"/>
        <v>558.6</v>
      </c>
      <c r="I392" s="364">
        <f t="shared" si="93"/>
        <v>558.6</v>
      </c>
      <c r="J392" s="364">
        <f t="shared" si="93"/>
        <v>558.6</v>
      </c>
      <c r="K392" s="364">
        <f t="shared" si="93"/>
        <v>558.6</v>
      </c>
      <c r="L392" s="364">
        <f t="shared" si="93"/>
        <v>558.6</v>
      </c>
      <c r="M392" s="418">
        <f t="shared" si="93"/>
        <v>558.6</v>
      </c>
      <c r="N392" s="364">
        <f t="shared" si="93"/>
        <v>558.6</v>
      </c>
      <c r="O392" s="364">
        <f>O360*O375</f>
        <v>558.6</v>
      </c>
      <c r="P392" s="364">
        <f>P360*P375</f>
        <v>558.6</v>
      </c>
      <c r="Q392" s="364">
        <f>Q360*Q375</f>
        <v>558.6</v>
      </c>
      <c r="R392" s="341">
        <f>SUM(F392:Q392)</f>
        <v>6703.2000000000016</v>
      </c>
    </row>
    <row r="393" spans="1:18" s="336" customFormat="1" x14ac:dyDescent="0.2">
      <c r="C393" s="336" t="s">
        <v>1078</v>
      </c>
      <c r="F393" s="339">
        <f t="shared" ref="F393:N393" si="94">SUM(F391:F392)</f>
        <v>1149.1200000000001</v>
      </c>
      <c r="G393" s="339">
        <f t="shared" si="94"/>
        <v>1149.1200000000001</v>
      </c>
      <c r="H393" s="339">
        <f t="shared" si="94"/>
        <v>1149.1200000000001</v>
      </c>
      <c r="I393" s="339">
        <f t="shared" si="94"/>
        <v>1149.1200000000001</v>
      </c>
      <c r="J393" s="339">
        <f t="shared" si="94"/>
        <v>1149.1200000000001</v>
      </c>
      <c r="K393" s="339">
        <f t="shared" si="94"/>
        <v>1149.1200000000001</v>
      </c>
      <c r="L393" s="339">
        <f t="shared" si="94"/>
        <v>1149.1200000000001</v>
      </c>
      <c r="M393" s="339">
        <f t="shared" si="94"/>
        <v>1149.1200000000001</v>
      </c>
      <c r="N393" s="339">
        <f t="shared" si="94"/>
        <v>1149.1200000000001</v>
      </c>
      <c r="O393" s="339">
        <f>SUM(O391:O392)</f>
        <v>1149.1200000000001</v>
      </c>
      <c r="P393" s="339">
        <f>SUM(P391:P392)</f>
        <v>1149.1200000000001</v>
      </c>
      <c r="Q393" s="339">
        <f>SUM(Q391:Q392)</f>
        <v>1149.1200000000001</v>
      </c>
      <c r="R393" s="339">
        <f>SUM(R391:R392)</f>
        <v>13789.440000000004</v>
      </c>
    </row>
    <row r="394" spans="1:18" s="336" customFormat="1" x14ac:dyDescent="0.2">
      <c r="A394" s="336" t="s">
        <v>1054</v>
      </c>
      <c r="B394" s="336" t="s">
        <v>1071</v>
      </c>
      <c r="D394" s="382">
        <v>87</v>
      </c>
      <c r="F394" s="447">
        <f>'JKP-3.1c - Data'!C190</f>
        <v>0</v>
      </c>
      <c r="G394" s="447">
        <f>'JKP-3.1c - Data'!D190</f>
        <v>0</v>
      </c>
      <c r="H394" s="447">
        <f>'JKP-3.1c - Data'!E190</f>
        <v>0</v>
      </c>
      <c r="I394" s="447">
        <f>'JKP-3.1c - Data'!F190</f>
        <v>0</v>
      </c>
      <c r="J394" s="447">
        <f>'JKP-3.1c - Data'!G190</f>
        <v>0</v>
      </c>
      <c r="K394" s="447">
        <f>'JKP-3.1c - Data'!H190</f>
        <v>0</v>
      </c>
      <c r="L394" s="447">
        <f>'JKP-3.1c - Data'!I190</f>
        <v>0</v>
      </c>
      <c r="M394" s="447">
        <f>'JKP-3.1c - Data'!J190</f>
        <v>0</v>
      </c>
      <c r="N394" s="447">
        <f>'JKP-3.1c - Data'!K190</f>
        <v>0</v>
      </c>
      <c r="O394" s="447">
        <f>'JKP-3.1c - Data'!L190</f>
        <v>12706.11</v>
      </c>
      <c r="P394" s="447">
        <f>'JKP-3.1c - Data'!M190</f>
        <v>0</v>
      </c>
      <c r="Q394" s="447">
        <f>'JKP-3.1c - Data'!N190</f>
        <v>0</v>
      </c>
      <c r="R394" s="437">
        <f>SUM(F394:Q394)</f>
        <v>12706.11</v>
      </c>
    </row>
    <row r="395" spans="1:18" s="336" customFormat="1" x14ac:dyDescent="0.2">
      <c r="B395" s="336" t="s">
        <v>1079</v>
      </c>
      <c r="F395" s="339">
        <f t="shared" ref="F395:N395" si="95">F388+F392</f>
        <v>2090840.4769600001</v>
      </c>
      <c r="G395" s="339">
        <f t="shared" si="95"/>
        <v>1842412.7912900003</v>
      </c>
      <c r="H395" s="339">
        <f t="shared" si="95"/>
        <v>1935358.0950200001</v>
      </c>
      <c r="I395" s="339">
        <f t="shared" si="95"/>
        <v>1732527.3786500003</v>
      </c>
      <c r="J395" s="339">
        <f t="shared" si="95"/>
        <v>1576824.2422700003</v>
      </c>
      <c r="K395" s="339">
        <f t="shared" si="95"/>
        <v>1308740.3297700002</v>
      </c>
      <c r="L395" s="339">
        <f t="shared" si="95"/>
        <v>1094265.5152800002</v>
      </c>
      <c r="M395" s="339">
        <f t="shared" si="95"/>
        <v>995245.97149999999</v>
      </c>
      <c r="N395" s="339">
        <f t="shared" si="95"/>
        <v>1069074.3598800001</v>
      </c>
      <c r="O395" s="339">
        <f>O388+O392</f>
        <v>1497439.2690300001</v>
      </c>
      <c r="P395" s="339">
        <f>P388+P392</f>
        <v>1852143.4771600002</v>
      </c>
      <c r="Q395" s="339">
        <f>Q388+Q392</f>
        <v>2147844.6783100003</v>
      </c>
      <c r="R395" s="339">
        <f>R388+R392</f>
        <v>19142716.585120004</v>
      </c>
    </row>
    <row r="396" spans="1:18" s="336" customFormat="1" x14ac:dyDescent="0.2">
      <c r="B396" s="336" t="s">
        <v>986</v>
      </c>
      <c r="F396" s="339">
        <f t="shared" ref="F396:N396" si="96">F379+F387+F388+F389+F393+F394</f>
        <v>2234490.3051200002</v>
      </c>
      <c r="G396" s="339">
        <f t="shared" si="96"/>
        <v>1974313.9841800004</v>
      </c>
      <c r="H396" s="339">
        <f t="shared" si="96"/>
        <v>2071834.6067900001</v>
      </c>
      <c r="I396" s="339">
        <f t="shared" si="96"/>
        <v>1859766.0722300005</v>
      </c>
      <c r="J396" s="339">
        <f t="shared" si="96"/>
        <v>1696151.5335200003</v>
      </c>
      <c r="K396" s="339">
        <f t="shared" si="96"/>
        <v>1415097.4028300003</v>
      </c>
      <c r="L396" s="339">
        <f t="shared" si="96"/>
        <v>1190104.5876700003</v>
      </c>
      <c r="M396" s="339">
        <f t="shared" si="96"/>
        <v>1086240.4855500001</v>
      </c>
      <c r="N396" s="339">
        <f t="shared" si="96"/>
        <v>1164300.6560800001</v>
      </c>
      <c r="O396" s="339">
        <f>O379+O387+O388+O389+O393+O394</f>
        <v>1626629.2821700003</v>
      </c>
      <c r="P396" s="339">
        <f>P379+P387+P388+P389+P393+P394</f>
        <v>1990121.8526600001</v>
      </c>
      <c r="Q396" s="339">
        <f>Q379+Q387+Q388+Q389+Q393+Q394</f>
        <v>2298454.7117600003</v>
      </c>
      <c r="R396" s="339">
        <f>R379+R387+R388+R389+R393+R394</f>
        <v>20607505.480560005</v>
      </c>
    </row>
    <row r="397" spans="1:18" s="336" customFormat="1" x14ac:dyDescent="0.2">
      <c r="F397" s="418"/>
      <c r="G397" s="418"/>
      <c r="H397" s="418"/>
      <c r="I397" s="418"/>
      <c r="J397" s="418"/>
      <c r="K397" s="418"/>
      <c r="L397" s="418"/>
      <c r="M397" s="418"/>
      <c r="N397" s="418"/>
      <c r="O397" s="418"/>
      <c r="P397" s="418"/>
      <c r="Q397" s="418"/>
      <c r="R397" s="418"/>
    </row>
    <row r="398" spans="1:18" s="336" customFormat="1" x14ac:dyDescent="0.2">
      <c r="A398" s="336" t="s">
        <v>1058</v>
      </c>
      <c r="B398" s="336" t="s">
        <v>1050</v>
      </c>
      <c r="F398" s="418">
        <f>F362*F374+F375*F363</f>
        <v>2000540.8924800002</v>
      </c>
      <c r="G398" s="418">
        <f t="shared" ref="G398:Q398" si="97">G362*G374+G375*G363</f>
        <v>1762842.0510200001</v>
      </c>
      <c r="H398" s="418">
        <f t="shared" si="97"/>
        <v>1851773.3267600001</v>
      </c>
      <c r="I398" s="418">
        <f t="shared" si="97"/>
        <v>1657702.2587000001</v>
      </c>
      <c r="J398" s="418">
        <f t="shared" si="97"/>
        <v>1508723.47226</v>
      </c>
      <c r="K398" s="418">
        <f t="shared" si="97"/>
        <v>1252217.2972600001</v>
      </c>
      <c r="L398" s="418">
        <f t="shared" si="97"/>
        <v>1047005.0046400001</v>
      </c>
      <c r="M398" s="418">
        <f t="shared" si="97"/>
        <v>952261.81700000004</v>
      </c>
      <c r="N398" s="418">
        <f t="shared" si="97"/>
        <v>1022901.7794400001</v>
      </c>
      <c r="O398" s="418">
        <f t="shared" si="97"/>
        <v>1432766.89714</v>
      </c>
      <c r="P398" s="418">
        <f t="shared" si="97"/>
        <v>1772046.5208400001</v>
      </c>
      <c r="Q398" s="418">
        <f t="shared" si="97"/>
        <v>2054960.3521900002</v>
      </c>
      <c r="R398" s="418">
        <f>SUM(F398:Q398)</f>
        <v>18315741.66973</v>
      </c>
    </row>
    <row r="399" spans="1:18" s="336" customFormat="1" x14ac:dyDescent="0.2">
      <c r="F399" s="418"/>
      <c r="G399" s="418"/>
      <c r="H399" s="418"/>
      <c r="I399" s="418"/>
      <c r="J399" s="418"/>
      <c r="K399" s="418"/>
      <c r="L399" s="418"/>
      <c r="M399" s="418"/>
      <c r="N399" s="418"/>
      <c r="O399" s="418"/>
      <c r="P399" s="418"/>
      <c r="Q399" s="418"/>
      <c r="R399" s="418"/>
    </row>
    <row r="400" spans="1:18" x14ac:dyDescent="0.2">
      <c r="B400" s="276" t="s">
        <v>970</v>
      </c>
      <c r="C400" s="276"/>
    </row>
    <row r="401" spans="1:18" x14ac:dyDescent="0.2">
      <c r="B401" s="276" t="s">
        <v>5</v>
      </c>
      <c r="C401" s="276"/>
    </row>
    <row r="402" spans="1:18" x14ac:dyDescent="0.2">
      <c r="B402" s="32" t="s">
        <v>1059</v>
      </c>
      <c r="D402" s="32">
        <v>31</v>
      </c>
      <c r="E402" s="32" t="s">
        <v>976</v>
      </c>
      <c r="F402" s="413">
        <f t="shared" ref="F402:Q405" si="98">F74</f>
        <v>30.8</v>
      </c>
      <c r="G402" s="413">
        <f t="shared" si="98"/>
        <v>30.8</v>
      </c>
      <c r="H402" s="413">
        <f t="shared" si="98"/>
        <v>30.8</v>
      </c>
      <c r="I402" s="413">
        <f t="shared" si="98"/>
        <v>30.8</v>
      </c>
      <c r="J402" s="413">
        <f t="shared" si="98"/>
        <v>30.8</v>
      </c>
      <c r="K402" s="413">
        <f t="shared" si="98"/>
        <v>30.8</v>
      </c>
      <c r="L402" s="413">
        <f t="shared" si="98"/>
        <v>30.8</v>
      </c>
      <c r="M402" s="413">
        <f t="shared" si="98"/>
        <v>30.8</v>
      </c>
      <c r="N402" s="413">
        <f t="shared" si="98"/>
        <v>30.8</v>
      </c>
      <c r="O402" s="413">
        <f t="shared" si="98"/>
        <v>30.8</v>
      </c>
      <c r="P402" s="413">
        <f t="shared" si="98"/>
        <v>30.8</v>
      </c>
      <c r="Q402" s="413">
        <f t="shared" si="98"/>
        <v>30.8</v>
      </c>
      <c r="R402" s="439"/>
    </row>
    <row r="403" spans="1:18" x14ac:dyDescent="0.2">
      <c r="B403" s="32" t="s">
        <v>1047</v>
      </c>
      <c r="D403" s="32">
        <v>31</v>
      </c>
      <c r="E403" s="32" t="s">
        <v>957</v>
      </c>
      <c r="F403" s="393">
        <f t="shared" si="98"/>
        <v>0.30047000000000001</v>
      </c>
      <c r="G403" s="393">
        <f t="shared" si="98"/>
        <v>0.30047000000000001</v>
      </c>
      <c r="H403" s="393">
        <f t="shared" si="98"/>
        <v>0.30047000000000001</v>
      </c>
      <c r="I403" s="393">
        <f t="shared" si="98"/>
        <v>0.30047000000000001</v>
      </c>
      <c r="J403" s="393">
        <f t="shared" si="98"/>
        <v>0.30047000000000001</v>
      </c>
      <c r="K403" s="393">
        <f t="shared" si="98"/>
        <v>0.30047000000000001</v>
      </c>
      <c r="L403" s="393">
        <f t="shared" si="98"/>
        <v>0.30047000000000001</v>
      </c>
      <c r="M403" s="393">
        <f t="shared" si="98"/>
        <v>0.30047000000000001</v>
      </c>
      <c r="N403" s="393">
        <f t="shared" si="98"/>
        <v>0.30047000000000001</v>
      </c>
      <c r="O403" s="393">
        <f t="shared" si="98"/>
        <v>0.30047000000000001</v>
      </c>
      <c r="P403" s="393">
        <f t="shared" si="98"/>
        <v>0.30047000000000001</v>
      </c>
      <c r="Q403" s="393">
        <f t="shared" si="98"/>
        <v>0.30047000000000001</v>
      </c>
      <c r="R403" s="394"/>
    </row>
    <row r="404" spans="1:18" x14ac:dyDescent="0.2">
      <c r="B404" s="32" t="s">
        <v>1067</v>
      </c>
      <c r="D404" s="32">
        <v>101</v>
      </c>
      <c r="E404" s="32" t="s">
        <v>957</v>
      </c>
      <c r="F404" s="453">
        <f t="shared" si="98"/>
        <v>0.74761</v>
      </c>
      <c r="G404" s="453">
        <f t="shared" si="98"/>
        <v>0.74761</v>
      </c>
      <c r="H404" s="453">
        <f t="shared" si="98"/>
        <v>0.74761</v>
      </c>
      <c r="I404" s="453">
        <f t="shared" si="98"/>
        <v>0.74761</v>
      </c>
      <c r="J404" s="453">
        <f t="shared" si="98"/>
        <v>0.74761</v>
      </c>
      <c r="K404" s="453">
        <f t="shared" si="98"/>
        <v>0.74761</v>
      </c>
      <c r="L404" s="453">
        <f t="shared" si="98"/>
        <v>0.74761</v>
      </c>
      <c r="M404" s="453">
        <f t="shared" si="98"/>
        <v>0.74761</v>
      </c>
      <c r="N404" s="453">
        <f t="shared" si="98"/>
        <v>0.74761</v>
      </c>
      <c r="O404" s="453">
        <f t="shared" si="98"/>
        <v>0.74761</v>
      </c>
      <c r="P404" s="453">
        <f t="shared" si="98"/>
        <v>0.71392999999999995</v>
      </c>
      <c r="Q404" s="453">
        <f t="shared" si="98"/>
        <v>0.71392999999999995</v>
      </c>
      <c r="R404" s="394"/>
    </row>
    <row r="405" spans="1:18" x14ac:dyDescent="0.2">
      <c r="B405" s="32" t="s">
        <v>1050</v>
      </c>
      <c r="F405" s="453">
        <f>F77</f>
        <v>0.71531999999999996</v>
      </c>
      <c r="G405" s="453">
        <f t="shared" si="98"/>
        <v>0.71531999999999996</v>
      </c>
      <c r="H405" s="453">
        <f t="shared" si="98"/>
        <v>0.71531999999999996</v>
      </c>
      <c r="I405" s="453">
        <f t="shared" si="98"/>
        <v>0.71531999999999996</v>
      </c>
      <c r="J405" s="453">
        <f t="shared" si="98"/>
        <v>0.71531999999999996</v>
      </c>
      <c r="K405" s="453">
        <f t="shared" si="98"/>
        <v>0.71531999999999996</v>
      </c>
      <c r="L405" s="453">
        <f t="shared" si="98"/>
        <v>0.71531999999999996</v>
      </c>
      <c r="M405" s="453">
        <f t="shared" si="98"/>
        <v>0.71531999999999996</v>
      </c>
      <c r="N405" s="453">
        <f t="shared" si="98"/>
        <v>0.71531999999999996</v>
      </c>
      <c r="O405" s="453">
        <f t="shared" si="98"/>
        <v>0.71531999999999996</v>
      </c>
      <c r="P405" s="453">
        <f t="shared" si="98"/>
        <v>0.68306</v>
      </c>
      <c r="Q405" s="453">
        <f t="shared" si="98"/>
        <v>0.68306</v>
      </c>
      <c r="R405" s="394"/>
    </row>
    <row r="407" spans="1:18" x14ac:dyDescent="0.2">
      <c r="B407" s="276" t="s">
        <v>982</v>
      </c>
    </row>
    <row r="408" spans="1:18" x14ac:dyDescent="0.2">
      <c r="B408" s="32" t="s">
        <v>67</v>
      </c>
      <c r="E408" s="32" t="s">
        <v>67</v>
      </c>
      <c r="F408" s="397">
        <f>'JKP-3.1c - Data'!C140</f>
        <v>2456</v>
      </c>
      <c r="G408" s="397">
        <f>'JKP-3.1c - Data'!D140</f>
        <v>2452</v>
      </c>
      <c r="H408" s="397">
        <f>'JKP-3.1c - Data'!E140</f>
        <v>2438</v>
      </c>
      <c r="I408" s="397">
        <f>'JKP-3.1c - Data'!F140</f>
        <v>2426.02</v>
      </c>
      <c r="J408" s="397">
        <f>'JKP-3.1c - Data'!G140</f>
        <v>2428</v>
      </c>
      <c r="K408" s="397">
        <f>'JKP-3.1c - Data'!H140</f>
        <v>2444</v>
      </c>
      <c r="L408" s="397">
        <f>'JKP-3.1c - Data'!I140</f>
        <v>2423</v>
      </c>
      <c r="M408" s="397">
        <f>'JKP-3.1c - Data'!J140</f>
        <v>2413</v>
      </c>
      <c r="N408" s="397">
        <f>'JKP-3.1c - Data'!K140</f>
        <v>2412</v>
      </c>
      <c r="O408" s="397">
        <f>'JKP-3.1c - Data'!L140</f>
        <v>2421</v>
      </c>
      <c r="P408" s="397">
        <f>'JKP-3.1c - Data'!M140</f>
        <v>2419</v>
      </c>
      <c r="Q408" s="397">
        <f>'JKP-3.1c - Data'!N140</f>
        <v>2423</v>
      </c>
      <c r="R408" s="378">
        <f>SUM(F408:Q408)</f>
        <v>29155.02</v>
      </c>
    </row>
    <row r="409" spans="1:18" x14ac:dyDescent="0.2">
      <c r="B409" s="32" t="s">
        <v>76</v>
      </c>
      <c r="E409" s="32" t="s">
        <v>10</v>
      </c>
      <c r="F409" s="397">
        <f>'JKP-3.1c - Therms Data'!E86</f>
        <v>1862880</v>
      </c>
      <c r="G409" s="397">
        <f>'JKP-3.1c - Therms Data'!F86</f>
        <v>1530899</v>
      </c>
      <c r="H409" s="397">
        <f>'JKP-3.1c - Therms Data'!G86</f>
        <v>1488929</v>
      </c>
      <c r="I409" s="397">
        <f>'JKP-3.1c - Therms Data'!H86</f>
        <v>1169710</v>
      </c>
      <c r="J409" s="397">
        <f>'JKP-3.1c - Therms Data'!I86</f>
        <v>831580</v>
      </c>
      <c r="K409" s="397">
        <f>'JKP-3.1c - Therms Data'!J86</f>
        <v>572733</v>
      </c>
      <c r="L409" s="397">
        <f>'JKP-3.1c - Therms Data'!K86</f>
        <v>457633</v>
      </c>
      <c r="M409" s="397">
        <f>'JKP-3.1c - Therms Data'!L86</f>
        <v>450461</v>
      </c>
      <c r="N409" s="397">
        <f>'JKP-3.1c - Therms Data'!M86</f>
        <v>516301</v>
      </c>
      <c r="O409" s="397">
        <f>'JKP-3.1c - Therms Data'!N86</f>
        <v>875671</v>
      </c>
      <c r="P409" s="397">
        <f>'JKP-3.1c - Therms Data'!O86</f>
        <v>1570654</v>
      </c>
      <c r="Q409" s="397">
        <f>'JKP-3.1c - Therms Data'!P86</f>
        <v>2065921</v>
      </c>
      <c r="R409" s="378">
        <f>SUM(F409:Q409)</f>
        <v>13393372</v>
      </c>
    </row>
    <row r="410" spans="1:18" x14ac:dyDescent="0.2">
      <c r="R410" s="277"/>
    </row>
    <row r="411" spans="1:18" x14ac:dyDescent="0.2">
      <c r="B411" s="276" t="s">
        <v>985</v>
      </c>
      <c r="R411" s="277"/>
    </row>
    <row r="412" spans="1:18" x14ac:dyDescent="0.2">
      <c r="A412" s="32" t="s">
        <v>1054</v>
      </c>
      <c r="B412" s="32" t="s">
        <v>1059</v>
      </c>
      <c r="D412" s="32">
        <v>31</v>
      </c>
      <c r="F412" s="364">
        <f t="shared" ref="F412:Q413" si="99">F402*F408</f>
        <v>75644.800000000003</v>
      </c>
      <c r="G412" s="364">
        <f t="shared" si="99"/>
        <v>75521.600000000006</v>
      </c>
      <c r="H412" s="364">
        <f t="shared" si="99"/>
        <v>75090.400000000009</v>
      </c>
      <c r="I412" s="364">
        <f t="shared" si="99"/>
        <v>74721.415999999997</v>
      </c>
      <c r="J412" s="364">
        <f t="shared" si="99"/>
        <v>74782.400000000009</v>
      </c>
      <c r="K412" s="364">
        <f t="shared" si="99"/>
        <v>75275.199999999997</v>
      </c>
      <c r="L412" s="364">
        <f t="shared" si="99"/>
        <v>74628.400000000009</v>
      </c>
      <c r="M412" s="364">
        <f t="shared" si="99"/>
        <v>74320.400000000009</v>
      </c>
      <c r="N412" s="364">
        <f t="shared" si="99"/>
        <v>74289.600000000006</v>
      </c>
      <c r="O412" s="364">
        <f t="shared" si="99"/>
        <v>74566.8</v>
      </c>
      <c r="P412" s="364">
        <f t="shared" si="99"/>
        <v>74505.2</v>
      </c>
      <c r="Q412" s="364">
        <f t="shared" si="99"/>
        <v>74628.400000000009</v>
      </c>
      <c r="R412" s="341">
        <f>SUM(F412:Q412)</f>
        <v>897974.61600000004</v>
      </c>
    </row>
    <row r="413" spans="1:18" x14ac:dyDescent="0.2">
      <c r="A413" s="32" t="s">
        <v>1054</v>
      </c>
      <c r="B413" s="32" t="s">
        <v>1047</v>
      </c>
      <c r="D413" s="32">
        <v>31</v>
      </c>
      <c r="F413" s="364">
        <f t="shared" si="99"/>
        <v>559739.55359999998</v>
      </c>
      <c r="G413" s="364">
        <f t="shared" si="99"/>
        <v>459989.22253000003</v>
      </c>
      <c r="H413" s="364">
        <f t="shared" si="99"/>
        <v>447378.49663000001</v>
      </c>
      <c r="I413" s="364">
        <f t="shared" si="99"/>
        <v>351462.76370000001</v>
      </c>
      <c r="J413" s="364">
        <f t="shared" si="99"/>
        <v>249864.8426</v>
      </c>
      <c r="K413" s="364">
        <f t="shared" si="99"/>
        <v>172089.08451000002</v>
      </c>
      <c r="L413" s="364">
        <f t="shared" si="99"/>
        <v>137504.98751000001</v>
      </c>
      <c r="M413" s="364">
        <f t="shared" si="99"/>
        <v>135350.01667000001</v>
      </c>
      <c r="N413" s="364">
        <f t="shared" si="99"/>
        <v>155132.96147000001</v>
      </c>
      <c r="O413" s="364">
        <f t="shared" si="99"/>
        <v>263112.86537000001</v>
      </c>
      <c r="P413" s="364">
        <f t="shared" si="99"/>
        <v>471934.40738000005</v>
      </c>
      <c r="Q413" s="364">
        <f t="shared" si="99"/>
        <v>620747.28287</v>
      </c>
      <c r="R413" s="341">
        <f>SUM(F413:Q413)</f>
        <v>4024306.48484</v>
      </c>
    </row>
    <row r="414" spans="1:18" x14ac:dyDescent="0.2">
      <c r="A414" s="336" t="s">
        <v>1056</v>
      </c>
      <c r="B414" s="32" t="s">
        <v>1057</v>
      </c>
      <c r="D414" s="32">
        <v>101</v>
      </c>
      <c r="F414" s="364">
        <f t="shared" ref="F414:N414" si="100">F404*F409</f>
        <v>1392707.7168000001</v>
      </c>
      <c r="G414" s="364">
        <f t="shared" si="100"/>
        <v>1144515.40139</v>
      </c>
      <c r="H414" s="364">
        <f t="shared" si="100"/>
        <v>1113138.2096899999</v>
      </c>
      <c r="I414" s="364">
        <f t="shared" si="100"/>
        <v>874486.89309999999</v>
      </c>
      <c r="J414" s="364">
        <f t="shared" si="100"/>
        <v>621697.52379999997</v>
      </c>
      <c r="K414" s="364">
        <f t="shared" si="100"/>
        <v>428180.91813000001</v>
      </c>
      <c r="L414" s="364">
        <f t="shared" si="100"/>
        <v>342131.00712999998</v>
      </c>
      <c r="M414" s="418">
        <f t="shared" si="100"/>
        <v>336769.14821000001</v>
      </c>
      <c r="N414" s="364">
        <f t="shared" si="100"/>
        <v>385991.79061000003</v>
      </c>
      <c r="O414" s="364">
        <f>O404*O409</f>
        <v>654660.39630999998</v>
      </c>
      <c r="P414" s="364">
        <f>P404*P409</f>
        <v>1121337.0102199998</v>
      </c>
      <c r="Q414" s="364">
        <f>Q404*Q409</f>
        <v>1474922.9795299999</v>
      </c>
      <c r="R414" s="341">
        <f>SUM(F414:Q414)</f>
        <v>9890538.9949199986</v>
      </c>
    </row>
    <row r="415" spans="1:18" x14ac:dyDescent="0.2">
      <c r="B415" s="32" t="s">
        <v>986</v>
      </c>
      <c r="F415" s="365">
        <f t="shared" ref="F415:N415" si="101">F412+F413+F414</f>
        <v>2028092.0704000001</v>
      </c>
      <c r="G415" s="365">
        <f t="shared" si="101"/>
        <v>1680026.22392</v>
      </c>
      <c r="H415" s="365">
        <f t="shared" si="101"/>
        <v>1635607.10632</v>
      </c>
      <c r="I415" s="365">
        <f t="shared" si="101"/>
        <v>1300671.0728</v>
      </c>
      <c r="J415" s="365">
        <f t="shared" si="101"/>
        <v>946344.76639999996</v>
      </c>
      <c r="K415" s="365">
        <f t="shared" si="101"/>
        <v>675545.20264000003</v>
      </c>
      <c r="L415" s="365">
        <f t="shared" si="101"/>
        <v>554264.39464000007</v>
      </c>
      <c r="M415" s="365">
        <f t="shared" si="101"/>
        <v>546439.56487999996</v>
      </c>
      <c r="N415" s="365">
        <f t="shared" si="101"/>
        <v>615414.3520800001</v>
      </c>
      <c r="O415" s="365">
        <f>O412+O413+O414</f>
        <v>992340.06168000004</v>
      </c>
      <c r="P415" s="365">
        <f>P412+P413+P414</f>
        <v>1667776.6176</v>
      </c>
      <c r="Q415" s="365">
        <f>Q412+Q413+Q414</f>
        <v>2170298.6623999998</v>
      </c>
      <c r="R415" s="365">
        <f>R412+R413+R414</f>
        <v>14812820.095759999</v>
      </c>
    </row>
    <row r="416" spans="1:18" x14ac:dyDescent="0.2">
      <c r="F416" s="364"/>
      <c r="G416" s="364"/>
      <c r="H416" s="364"/>
      <c r="I416" s="364"/>
      <c r="J416" s="364"/>
      <c r="K416" s="364"/>
      <c r="L416" s="364"/>
      <c r="M416" s="364"/>
      <c r="N416" s="364"/>
      <c r="O416" s="364"/>
      <c r="P416" s="364"/>
      <c r="Q416" s="364"/>
      <c r="R416" s="341"/>
    </row>
    <row r="417" spans="1:18" x14ac:dyDescent="0.2">
      <c r="A417" s="32" t="s">
        <v>1058</v>
      </c>
      <c r="B417" s="32" t="s">
        <v>1050</v>
      </c>
      <c r="F417" s="364">
        <f>F405*F409</f>
        <v>1332555.3215999999</v>
      </c>
      <c r="G417" s="364">
        <f t="shared" ref="G417:Q417" si="102">G405*G409</f>
        <v>1095082.6726799998</v>
      </c>
      <c r="H417" s="364">
        <f t="shared" si="102"/>
        <v>1065060.6922799998</v>
      </c>
      <c r="I417" s="364">
        <f t="shared" si="102"/>
        <v>836716.95719999995</v>
      </c>
      <c r="J417" s="364">
        <f t="shared" si="102"/>
        <v>594845.80559999996</v>
      </c>
      <c r="K417" s="364">
        <f t="shared" si="102"/>
        <v>409687.36955999996</v>
      </c>
      <c r="L417" s="364">
        <f t="shared" si="102"/>
        <v>327354.03755999997</v>
      </c>
      <c r="M417" s="364">
        <f t="shared" si="102"/>
        <v>322223.76251999999</v>
      </c>
      <c r="N417" s="364">
        <f t="shared" si="102"/>
        <v>369320.43131999997</v>
      </c>
      <c r="O417" s="364">
        <f t="shared" si="102"/>
        <v>626384.97971999994</v>
      </c>
      <c r="P417" s="364">
        <f t="shared" si="102"/>
        <v>1072850.9212400001</v>
      </c>
      <c r="Q417" s="364">
        <f t="shared" si="102"/>
        <v>1411147.99826</v>
      </c>
      <c r="R417" s="341">
        <f>SUM(F417:Q417)</f>
        <v>9463230.9495400004</v>
      </c>
    </row>
    <row r="418" spans="1:18" x14ac:dyDescent="0.2">
      <c r="F418" s="364"/>
      <c r="G418" s="364"/>
      <c r="H418" s="364"/>
      <c r="I418" s="364"/>
      <c r="J418" s="364"/>
      <c r="K418" s="364"/>
      <c r="L418" s="364"/>
      <c r="M418" s="364"/>
      <c r="N418" s="364"/>
      <c r="O418" s="364"/>
      <c r="P418" s="364"/>
      <c r="Q418" s="364"/>
      <c r="R418" s="341"/>
    </row>
    <row r="419" spans="1:18" x14ac:dyDescent="0.2">
      <c r="B419" s="276" t="s">
        <v>1101</v>
      </c>
      <c r="C419" s="276"/>
    </row>
    <row r="420" spans="1:18" x14ac:dyDescent="0.2">
      <c r="B420" s="276" t="s">
        <v>5</v>
      </c>
      <c r="C420" s="276"/>
    </row>
    <row r="421" spans="1:18" x14ac:dyDescent="0.2">
      <c r="B421" s="32" t="s">
        <v>1059</v>
      </c>
      <c r="D421" s="32">
        <v>41</v>
      </c>
      <c r="E421" s="32" t="s">
        <v>976</v>
      </c>
      <c r="F421" s="413">
        <f t="shared" ref="F421:N421" si="103">F93</f>
        <v>107.51</v>
      </c>
      <c r="G421" s="413">
        <f t="shared" si="103"/>
        <v>107.51</v>
      </c>
      <c r="H421" s="413">
        <f t="shared" si="103"/>
        <v>107.51</v>
      </c>
      <c r="I421" s="413">
        <f t="shared" si="103"/>
        <v>107.51</v>
      </c>
      <c r="J421" s="413">
        <f t="shared" si="103"/>
        <v>107.51</v>
      </c>
      <c r="K421" s="413">
        <f t="shared" si="103"/>
        <v>107.51</v>
      </c>
      <c r="L421" s="413">
        <f t="shared" si="103"/>
        <v>107.51</v>
      </c>
      <c r="M421" s="413">
        <f t="shared" si="103"/>
        <v>107.51</v>
      </c>
      <c r="N421" s="413">
        <f t="shared" si="103"/>
        <v>107.51</v>
      </c>
      <c r="O421" s="413">
        <f>O93</f>
        <v>107.51</v>
      </c>
      <c r="P421" s="413">
        <f>P93</f>
        <v>107.51</v>
      </c>
      <c r="Q421" s="413">
        <f>Q93</f>
        <v>107.51</v>
      </c>
      <c r="R421" s="439"/>
    </row>
    <row r="422" spans="1:18" x14ac:dyDescent="0.2">
      <c r="B422" s="32" t="s">
        <v>1047</v>
      </c>
      <c r="F422" s="393"/>
      <c r="G422" s="393"/>
      <c r="H422" s="393"/>
      <c r="I422" s="393"/>
      <c r="J422" s="393"/>
      <c r="K422" s="393"/>
      <c r="L422" s="393"/>
      <c r="M422" s="393"/>
      <c r="N422" s="393"/>
      <c r="O422" s="393"/>
      <c r="P422" s="393"/>
      <c r="Q422" s="393"/>
      <c r="R422" s="394"/>
    </row>
    <row r="423" spans="1:18" x14ac:dyDescent="0.2">
      <c r="C423" s="32" t="s">
        <v>1065</v>
      </c>
      <c r="D423" s="32">
        <v>41</v>
      </c>
      <c r="E423" s="32" t="s">
        <v>957</v>
      </c>
      <c r="F423" s="393">
        <f t="shared" ref="F423:Q425" si="104">F95</f>
        <v>0.13789000000000001</v>
      </c>
      <c r="G423" s="393">
        <f t="shared" si="104"/>
        <v>0.13789000000000001</v>
      </c>
      <c r="H423" s="393">
        <f t="shared" si="104"/>
        <v>0.13789000000000001</v>
      </c>
      <c r="I423" s="393">
        <f t="shared" si="104"/>
        <v>0.13789000000000001</v>
      </c>
      <c r="J423" s="393">
        <f t="shared" si="104"/>
        <v>0.13789000000000001</v>
      </c>
      <c r="K423" s="393">
        <f t="shared" si="104"/>
        <v>0.13789000000000001</v>
      </c>
      <c r="L423" s="393">
        <f t="shared" si="104"/>
        <v>0.13789000000000001</v>
      </c>
      <c r="M423" s="393">
        <f t="shared" si="104"/>
        <v>0.13789000000000001</v>
      </c>
      <c r="N423" s="393">
        <f t="shared" si="104"/>
        <v>0.13789000000000001</v>
      </c>
      <c r="O423" s="393">
        <f t="shared" si="104"/>
        <v>0.13789000000000001</v>
      </c>
      <c r="P423" s="393">
        <f t="shared" si="104"/>
        <v>0.13789000000000001</v>
      </c>
      <c r="Q423" s="393">
        <f t="shared" si="104"/>
        <v>0.13789000000000001</v>
      </c>
      <c r="R423" s="394"/>
    </row>
    <row r="424" spans="1:18" x14ac:dyDescent="0.2">
      <c r="C424" s="32" t="s">
        <v>1066</v>
      </c>
      <c r="D424" s="32">
        <v>41</v>
      </c>
      <c r="E424" s="32" t="s">
        <v>957</v>
      </c>
      <c r="F424" s="393">
        <f t="shared" si="104"/>
        <v>0.11253000000000001</v>
      </c>
      <c r="G424" s="393">
        <f t="shared" si="104"/>
        <v>0.11253000000000001</v>
      </c>
      <c r="H424" s="393">
        <f t="shared" si="104"/>
        <v>0.11253000000000001</v>
      </c>
      <c r="I424" s="393">
        <f t="shared" si="104"/>
        <v>0.11253000000000001</v>
      </c>
      <c r="J424" s="393">
        <f t="shared" si="104"/>
        <v>0.11253000000000001</v>
      </c>
      <c r="K424" s="393">
        <f t="shared" si="104"/>
        <v>0.11253000000000001</v>
      </c>
      <c r="L424" s="393">
        <f t="shared" si="104"/>
        <v>0.11253000000000001</v>
      </c>
      <c r="M424" s="393">
        <f t="shared" si="104"/>
        <v>0.11253000000000001</v>
      </c>
      <c r="N424" s="393">
        <f t="shared" si="104"/>
        <v>0.11253000000000001</v>
      </c>
      <c r="O424" s="393">
        <f t="shared" si="104"/>
        <v>0.11253000000000001</v>
      </c>
      <c r="P424" s="393">
        <f t="shared" si="104"/>
        <v>0.11253000000000001</v>
      </c>
      <c r="Q424" s="393">
        <f t="shared" si="104"/>
        <v>0.11253000000000001</v>
      </c>
      <c r="R424" s="394"/>
    </row>
    <row r="425" spans="1:18" x14ac:dyDescent="0.2">
      <c r="B425" s="32" t="s">
        <v>1067</v>
      </c>
      <c r="D425" s="32">
        <v>101</v>
      </c>
      <c r="E425" s="32" t="s">
        <v>957</v>
      </c>
      <c r="F425" s="453">
        <f t="shared" si="104"/>
        <v>0.67091999999999996</v>
      </c>
      <c r="G425" s="453">
        <f t="shared" si="104"/>
        <v>0.67091999999999996</v>
      </c>
      <c r="H425" s="453">
        <f t="shared" si="104"/>
        <v>0.67091999999999996</v>
      </c>
      <c r="I425" s="453">
        <f t="shared" si="104"/>
        <v>0.67091999999999996</v>
      </c>
      <c r="J425" s="453">
        <f t="shared" si="104"/>
        <v>0.67091999999999996</v>
      </c>
      <c r="K425" s="453">
        <f t="shared" si="104"/>
        <v>0.67091999999999996</v>
      </c>
      <c r="L425" s="453">
        <f t="shared" si="104"/>
        <v>0.67091999999999996</v>
      </c>
      <c r="M425" s="453">
        <f t="shared" si="104"/>
        <v>0.67091999999999996</v>
      </c>
      <c r="N425" s="453">
        <f t="shared" si="104"/>
        <v>0.67091999999999996</v>
      </c>
      <c r="O425" s="453">
        <f t="shared" si="104"/>
        <v>0.67091999999999996</v>
      </c>
      <c r="P425" s="453">
        <f t="shared" si="104"/>
        <v>0.62878000000000001</v>
      </c>
      <c r="Q425" s="453">
        <f t="shared" si="104"/>
        <v>0.62878000000000001</v>
      </c>
      <c r="R425" s="394"/>
    </row>
    <row r="426" spans="1:18" x14ac:dyDescent="0.2">
      <c r="B426" s="32" t="s">
        <v>1068</v>
      </c>
      <c r="F426" s="394"/>
      <c r="G426" s="394"/>
      <c r="H426" s="394"/>
      <c r="I426" s="394"/>
      <c r="J426" s="394"/>
      <c r="K426" s="394"/>
      <c r="L426" s="394"/>
      <c r="M426" s="394"/>
      <c r="N426" s="394"/>
      <c r="O426" s="394"/>
      <c r="P426" s="394"/>
      <c r="Q426" s="394"/>
      <c r="R426" s="394"/>
    </row>
    <row r="427" spans="1:18" x14ac:dyDescent="0.2">
      <c r="C427" s="32" t="s">
        <v>1069</v>
      </c>
      <c r="D427" s="32">
        <v>101</v>
      </c>
      <c r="E427" s="32" t="s">
        <v>957</v>
      </c>
      <c r="F427" s="454">
        <f t="shared" ref="F427:Q431" si="105">F99</f>
        <v>1.1100000000000001</v>
      </c>
      <c r="G427" s="454">
        <f t="shared" si="105"/>
        <v>1.1100000000000001</v>
      </c>
      <c r="H427" s="454">
        <f t="shared" si="105"/>
        <v>1.1100000000000001</v>
      </c>
      <c r="I427" s="454">
        <f t="shared" si="105"/>
        <v>1.1100000000000001</v>
      </c>
      <c r="J427" s="454">
        <f t="shared" si="105"/>
        <v>1.1100000000000001</v>
      </c>
      <c r="K427" s="454">
        <f t="shared" si="105"/>
        <v>1.1100000000000001</v>
      </c>
      <c r="L427" s="454">
        <f t="shared" si="105"/>
        <v>1.1100000000000001</v>
      </c>
      <c r="M427" s="454">
        <f t="shared" si="105"/>
        <v>1.1100000000000001</v>
      </c>
      <c r="N427" s="454">
        <f t="shared" si="105"/>
        <v>1.1100000000000001</v>
      </c>
      <c r="O427" s="454">
        <f t="shared" si="105"/>
        <v>1.1100000000000001</v>
      </c>
      <c r="P427" s="454">
        <f t="shared" si="105"/>
        <v>1.1100000000000001</v>
      </c>
      <c r="Q427" s="454">
        <f t="shared" si="105"/>
        <v>1.1100000000000001</v>
      </c>
      <c r="R427" s="394"/>
    </row>
    <row r="428" spans="1:18" x14ac:dyDescent="0.2">
      <c r="C428" s="32" t="s">
        <v>1070</v>
      </c>
      <c r="D428" s="32">
        <v>101</v>
      </c>
      <c r="E428" s="32" t="s">
        <v>957</v>
      </c>
      <c r="F428" s="454">
        <f t="shared" si="105"/>
        <v>1.05</v>
      </c>
      <c r="G428" s="454">
        <f t="shared" si="105"/>
        <v>1.05</v>
      </c>
      <c r="H428" s="454">
        <f t="shared" si="105"/>
        <v>1.05</v>
      </c>
      <c r="I428" s="454">
        <f t="shared" si="105"/>
        <v>1.05</v>
      </c>
      <c r="J428" s="454">
        <f t="shared" si="105"/>
        <v>1.05</v>
      </c>
      <c r="K428" s="454">
        <f t="shared" si="105"/>
        <v>1.05</v>
      </c>
      <c r="L428" s="454">
        <f t="shared" si="105"/>
        <v>1.05</v>
      </c>
      <c r="M428" s="454">
        <f t="shared" si="105"/>
        <v>1.05</v>
      </c>
      <c r="N428" s="454">
        <f t="shared" si="105"/>
        <v>1.05</v>
      </c>
      <c r="O428" s="454">
        <f t="shared" si="105"/>
        <v>1.05</v>
      </c>
      <c r="P428" s="454">
        <f t="shared" si="105"/>
        <v>1.05</v>
      </c>
      <c r="Q428" s="454">
        <f t="shared" si="105"/>
        <v>1.05</v>
      </c>
      <c r="R428" s="394"/>
    </row>
    <row r="429" spans="1:18" x14ac:dyDescent="0.2">
      <c r="B429" s="32" t="s">
        <v>1071</v>
      </c>
      <c r="D429" s="32">
        <v>41</v>
      </c>
      <c r="E429" s="32" t="s">
        <v>67</v>
      </c>
      <c r="F429" s="413">
        <f t="shared" si="105"/>
        <v>124.1</v>
      </c>
      <c r="G429" s="413">
        <f t="shared" si="105"/>
        <v>124.1</v>
      </c>
      <c r="H429" s="413">
        <f t="shared" si="105"/>
        <v>124.1</v>
      </c>
      <c r="I429" s="413">
        <f t="shared" si="105"/>
        <v>124.1</v>
      </c>
      <c r="J429" s="413">
        <f t="shared" si="105"/>
        <v>124.1</v>
      </c>
      <c r="K429" s="413">
        <f t="shared" si="105"/>
        <v>124.1</v>
      </c>
      <c r="L429" s="413">
        <f t="shared" si="105"/>
        <v>124.1</v>
      </c>
      <c r="M429" s="413">
        <f t="shared" si="105"/>
        <v>124.1</v>
      </c>
      <c r="N429" s="413">
        <f t="shared" si="105"/>
        <v>124.1</v>
      </c>
      <c r="O429" s="413">
        <f t="shared" si="105"/>
        <v>124.1</v>
      </c>
      <c r="P429" s="413">
        <f t="shared" si="105"/>
        <v>124.1</v>
      </c>
      <c r="Q429" s="413">
        <f t="shared" si="105"/>
        <v>124.1</v>
      </c>
      <c r="R429" s="394"/>
    </row>
    <row r="430" spans="1:18" x14ac:dyDescent="0.2">
      <c r="B430" s="32" t="s">
        <v>1050</v>
      </c>
      <c r="F430" s="453">
        <f>F102</f>
        <v>0.64193999999999996</v>
      </c>
      <c r="G430" s="453">
        <f t="shared" si="105"/>
        <v>0.64193999999999996</v>
      </c>
      <c r="H430" s="453">
        <f t="shared" si="105"/>
        <v>0.64193999999999996</v>
      </c>
      <c r="I430" s="453">
        <f t="shared" si="105"/>
        <v>0.64193999999999996</v>
      </c>
      <c r="J430" s="453">
        <f t="shared" si="105"/>
        <v>0.64193999999999996</v>
      </c>
      <c r="K430" s="453">
        <f t="shared" si="105"/>
        <v>0.64193999999999996</v>
      </c>
      <c r="L430" s="453">
        <f t="shared" si="105"/>
        <v>0.64193999999999996</v>
      </c>
      <c r="M430" s="453">
        <f t="shared" si="105"/>
        <v>0.64193999999999996</v>
      </c>
      <c r="N430" s="453">
        <f t="shared" si="105"/>
        <v>0.64193999999999996</v>
      </c>
      <c r="O430" s="453">
        <f t="shared" si="105"/>
        <v>0.64193999999999996</v>
      </c>
      <c r="P430" s="453">
        <f t="shared" si="105"/>
        <v>0.60158999999999996</v>
      </c>
      <c r="Q430" s="453">
        <f t="shared" si="105"/>
        <v>0.60158999999999996</v>
      </c>
      <c r="R430" s="394"/>
    </row>
    <row r="431" spans="1:18" x14ac:dyDescent="0.2">
      <c r="B431" s="32" t="s">
        <v>1072</v>
      </c>
      <c r="F431" s="454">
        <f>F103</f>
        <v>1</v>
      </c>
      <c r="G431" s="454">
        <f t="shared" si="105"/>
        <v>1</v>
      </c>
      <c r="H431" s="454">
        <f t="shared" si="105"/>
        <v>1</v>
      </c>
      <c r="I431" s="454">
        <f t="shared" si="105"/>
        <v>1</v>
      </c>
      <c r="J431" s="454">
        <f t="shared" si="105"/>
        <v>1</v>
      </c>
      <c r="K431" s="454">
        <f t="shared" si="105"/>
        <v>1</v>
      </c>
      <c r="L431" s="454">
        <f t="shared" si="105"/>
        <v>1</v>
      </c>
      <c r="M431" s="454">
        <f t="shared" si="105"/>
        <v>1</v>
      </c>
      <c r="N431" s="454">
        <f t="shared" si="105"/>
        <v>1</v>
      </c>
      <c r="O431" s="454">
        <f t="shared" si="105"/>
        <v>1</v>
      </c>
      <c r="P431" s="454">
        <f t="shared" si="105"/>
        <v>1</v>
      </c>
      <c r="Q431" s="454">
        <f t="shared" si="105"/>
        <v>1</v>
      </c>
      <c r="R431" s="394"/>
    </row>
    <row r="433" spans="1:18" x14ac:dyDescent="0.2">
      <c r="B433" s="276" t="s">
        <v>982</v>
      </c>
    </row>
    <row r="434" spans="1:18" x14ac:dyDescent="0.2">
      <c r="B434" s="32" t="s">
        <v>67</v>
      </c>
      <c r="E434" s="32" t="s">
        <v>67</v>
      </c>
      <c r="F434" s="397">
        <f>'JKP-3.1c - Data'!C142</f>
        <v>113</v>
      </c>
      <c r="G434" s="397">
        <f>'JKP-3.1c - Data'!D142</f>
        <v>114</v>
      </c>
      <c r="H434" s="397">
        <f>'JKP-3.1c - Data'!E142</f>
        <v>115</v>
      </c>
      <c r="I434" s="397">
        <f>'JKP-3.1c - Data'!F142</f>
        <v>115.00999999999999</v>
      </c>
      <c r="J434" s="397">
        <f>'JKP-3.1c - Data'!G142</f>
        <v>116</v>
      </c>
      <c r="K434" s="397">
        <f>'JKP-3.1c - Data'!H142</f>
        <v>117</v>
      </c>
      <c r="L434" s="397">
        <f>'JKP-3.1c - Data'!I142</f>
        <v>116</v>
      </c>
      <c r="M434" s="397">
        <f>'JKP-3.1c - Data'!J142</f>
        <v>114</v>
      </c>
      <c r="N434" s="397">
        <f>'JKP-3.1c - Data'!K142</f>
        <v>117</v>
      </c>
      <c r="O434" s="397">
        <f>'JKP-3.1c - Data'!L142</f>
        <v>115</v>
      </c>
      <c r="P434" s="397">
        <f>'JKP-3.1c - Data'!M142</f>
        <v>114</v>
      </c>
      <c r="Q434" s="397">
        <f>'JKP-3.1c - Data'!N142</f>
        <v>113</v>
      </c>
      <c r="R434" s="378">
        <f>SUM(F434:Q434)</f>
        <v>1379.01</v>
      </c>
    </row>
    <row r="435" spans="1:18" s="336" customFormat="1" x14ac:dyDescent="0.2">
      <c r="B435" s="336" t="s">
        <v>76</v>
      </c>
      <c r="F435" s="380"/>
      <c r="G435" s="380"/>
      <c r="H435" s="380"/>
      <c r="I435" s="380"/>
      <c r="J435" s="380"/>
      <c r="K435" s="380"/>
      <c r="L435" s="380"/>
      <c r="M435" s="380"/>
      <c r="N435" s="380"/>
      <c r="O435" s="380"/>
      <c r="P435" s="380"/>
      <c r="Q435" s="380"/>
      <c r="R435" s="378"/>
    </row>
    <row r="436" spans="1:18" s="336" customFormat="1" x14ac:dyDescent="0.2">
      <c r="C436" s="32" t="s">
        <v>1073</v>
      </c>
      <c r="E436" s="336" t="s">
        <v>10</v>
      </c>
      <c r="F436" s="380">
        <v>96708</v>
      </c>
      <c r="G436" s="380">
        <v>98814</v>
      </c>
      <c r="H436" s="380">
        <v>100546</v>
      </c>
      <c r="I436" s="380">
        <v>98365</v>
      </c>
      <c r="J436" s="380">
        <v>99273</v>
      </c>
      <c r="K436" s="380">
        <v>98975</v>
      </c>
      <c r="L436" s="380">
        <v>96263</v>
      </c>
      <c r="M436" s="380">
        <v>96802</v>
      </c>
      <c r="N436" s="380">
        <v>96749</v>
      </c>
      <c r="O436" s="380">
        <v>97341</v>
      </c>
      <c r="P436" s="380">
        <v>96782</v>
      </c>
      <c r="Q436" s="380">
        <v>94311</v>
      </c>
      <c r="R436" s="378">
        <f>SUM(F436:Q436)</f>
        <v>1170929</v>
      </c>
    </row>
    <row r="437" spans="1:18" s="336" customFormat="1" x14ac:dyDescent="0.2">
      <c r="C437" s="32" t="s">
        <v>1074</v>
      </c>
      <c r="E437" s="336" t="s">
        <v>10</v>
      </c>
      <c r="F437" s="380">
        <v>352054</v>
      </c>
      <c r="G437" s="380">
        <v>345475</v>
      </c>
      <c r="H437" s="380">
        <v>367064</v>
      </c>
      <c r="I437" s="380">
        <v>353189</v>
      </c>
      <c r="J437" s="380">
        <v>348836</v>
      </c>
      <c r="K437" s="380">
        <v>334634</v>
      </c>
      <c r="L437" s="380">
        <v>327120</v>
      </c>
      <c r="M437" s="380">
        <v>325670</v>
      </c>
      <c r="N437" s="380">
        <v>325112</v>
      </c>
      <c r="O437" s="380">
        <v>349000</v>
      </c>
      <c r="P437" s="380">
        <v>353036</v>
      </c>
      <c r="Q437" s="380">
        <v>349916</v>
      </c>
      <c r="R437" s="378">
        <f>SUM(F437:Q437)</f>
        <v>4131106</v>
      </c>
    </row>
    <row r="438" spans="1:18" s="336" customFormat="1" x14ac:dyDescent="0.2">
      <c r="C438" s="32" t="s">
        <v>1066</v>
      </c>
      <c r="E438" s="336" t="s">
        <v>10</v>
      </c>
      <c r="F438" s="378">
        <f t="shared" ref="F438:Q438" si="106">F439-SUM(F436:F437)</f>
        <v>876339</v>
      </c>
      <c r="G438" s="378">
        <f t="shared" si="106"/>
        <v>780629</v>
      </c>
      <c r="H438" s="378">
        <f t="shared" si="106"/>
        <v>932816</v>
      </c>
      <c r="I438" s="378">
        <f t="shared" si="106"/>
        <v>895181</v>
      </c>
      <c r="J438" s="378">
        <f t="shared" si="106"/>
        <v>892014</v>
      </c>
      <c r="K438" s="378">
        <f t="shared" si="106"/>
        <v>765060</v>
      </c>
      <c r="L438" s="378">
        <f t="shared" si="106"/>
        <v>743455</v>
      </c>
      <c r="M438" s="378">
        <f t="shared" si="106"/>
        <v>795102</v>
      </c>
      <c r="N438" s="378">
        <f t="shared" si="106"/>
        <v>775672</v>
      </c>
      <c r="O438" s="378">
        <f t="shared" si="106"/>
        <v>893813</v>
      </c>
      <c r="P438" s="378">
        <f t="shared" si="106"/>
        <v>937058</v>
      </c>
      <c r="Q438" s="378">
        <f t="shared" si="106"/>
        <v>940057</v>
      </c>
      <c r="R438" s="378">
        <f>SUM(F438:Q438)</f>
        <v>10227196</v>
      </c>
    </row>
    <row r="439" spans="1:18" s="336" customFormat="1" x14ac:dyDescent="0.2">
      <c r="C439" s="336" t="s">
        <v>1075</v>
      </c>
      <c r="E439" s="336" t="s">
        <v>10</v>
      </c>
      <c r="F439" s="445">
        <f>'JKP-3.1c - Therms Data'!E87</f>
        <v>1325101</v>
      </c>
      <c r="G439" s="445">
        <f>'JKP-3.1c - Therms Data'!F87</f>
        <v>1224918</v>
      </c>
      <c r="H439" s="445">
        <f>'JKP-3.1c - Therms Data'!G87</f>
        <v>1400426</v>
      </c>
      <c r="I439" s="445">
        <f>'JKP-3.1c - Therms Data'!H87</f>
        <v>1346735</v>
      </c>
      <c r="J439" s="445">
        <f>'JKP-3.1c - Therms Data'!I87</f>
        <v>1340123</v>
      </c>
      <c r="K439" s="445">
        <f>'JKP-3.1c - Therms Data'!J87</f>
        <v>1198669</v>
      </c>
      <c r="L439" s="445">
        <f>'JKP-3.1c - Therms Data'!K87</f>
        <v>1166838</v>
      </c>
      <c r="M439" s="445">
        <f>'JKP-3.1c - Therms Data'!L87</f>
        <v>1217574</v>
      </c>
      <c r="N439" s="445">
        <f>'JKP-3.1c - Therms Data'!M87</f>
        <v>1197533</v>
      </c>
      <c r="O439" s="445">
        <f>'JKP-3.1c - Therms Data'!N87</f>
        <v>1340154</v>
      </c>
      <c r="P439" s="445">
        <f>'JKP-3.1c - Therms Data'!O87</f>
        <v>1386876</v>
      </c>
      <c r="Q439" s="445">
        <f>'JKP-3.1c - Therms Data'!P87</f>
        <v>1384284</v>
      </c>
      <c r="R439" s="436">
        <f>SUM(R436:R438)</f>
        <v>15529231</v>
      </c>
    </row>
    <row r="440" spans="1:18" s="336" customFormat="1" x14ac:dyDescent="0.2">
      <c r="B440" s="336" t="s">
        <v>74</v>
      </c>
      <c r="E440" s="336" t="s">
        <v>1076</v>
      </c>
      <c r="F440" s="421">
        <f>'JKP-3.1c - Data'!C163</f>
        <v>57110.51</v>
      </c>
      <c r="G440" s="421">
        <f>'JKP-3.1c - Data'!D163</f>
        <v>57496.51</v>
      </c>
      <c r="H440" s="421">
        <f>'JKP-3.1c - Data'!E163</f>
        <v>58536.51</v>
      </c>
      <c r="I440" s="421">
        <f>'JKP-3.1c - Data'!F163</f>
        <v>58147.519999999997</v>
      </c>
      <c r="J440" s="421">
        <f>'JKP-3.1c - Data'!G163</f>
        <v>58460.499999999993</v>
      </c>
      <c r="K440" s="421">
        <f>'JKP-3.1c - Data'!H163</f>
        <v>58908.51</v>
      </c>
      <c r="L440" s="421">
        <f>'JKP-3.1c - Data'!I163</f>
        <v>57873</v>
      </c>
      <c r="M440" s="421">
        <f>'JKP-3.1c - Data'!J163</f>
        <v>57441</v>
      </c>
      <c r="N440" s="421">
        <f>'JKP-3.1c - Data'!K163</f>
        <v>57931</v>
      </c>
      <c r="O440" s="421">
        <f>'JKP-3.1c - Data'!L163</f>
        <v>57777</v>
      </c>
      <c r="P440" s="421">
        <f>'JKP-3.1c - Data'!M163</f>
        <v>57723</v>
      </c>
      <c r="Q440" s="421">
        <f>'JKP-3.1c - Data'!N163</f>
        <v>57689</v>
      </c>
      <c r="R440" s="378">
        <f>SUM(F440:Q440)</f>
        <v>695094.06</v>
      </c>
    </row>
    <row r="441" spans="1:18" s="336" customFormat="1" x14ac:dyDescent="0.2">
      <c r="B441" s="336" t="s">
        <v>1071</v>
      </c>
      <c r="E441" s="336" t="s">
        <v>67</v>
      </c>
      <c r="F441" s="380"/>
      <c r="G441" s="380"/>
      <c r="H441" s="380"/>
      <c r="I441" s="380"/>
      <c r="J441" s="380"/>
      <c r="K441" s="380"/>
      <c r="L441" s="380"/>
      <c r="M441" s="380"/>
      <c r="N441" s="380"/>
      <c r="O441" s="380"/>
      <c r="P441" s="380"/>
      <c r="Q441" s="380"/>
      <c r="R441" s="378"/>
    </row>
    <row r="442" spans="1:18" s="336" customFormat="1" x14ac:dyDescent="0.2">
      <c r="F442" s="362"/>
      <c r="G442" s="362"/>
      <c r="H442" s="362"/>
      <c r="I442" s="362"/>
      <c r="J442" s="362"/>
      <c r="K442" s="362"/>
      <c r="L442" s="362"/>
      <c r="M442" s="362"/>
      <c r="N442" s="362"/>
      <c r="O442" s="362"/>
      <c r="P442" s="362"/>
      <c r="Q442" s="362"/>
      <c r="R442" s="362"/>
    </row>
    <row r="443" spans="1:18" s="336" customFormat="1" x14ac:dyDescent="0.2">
      <c r="B443" s="182" t="s">
        <v>985</v>
      </c>
      <c r="R443" s="179"/>
    </row>
    <row r="444" spans="1:18" s="336" customFormat="1" x14ac:dyDescent="0.2">
      <c r="A444" s="336" t="s">
        <v>1054</v>
      </c>
      <c r="B444" s="336" t="s">
        <v>1059</v>
      </c>
      <c r="D444" s="336">
        <v>41</v>
      </c>
      <c r="F444" s="418">
        <f t="shared" ref="F444:N444" si="107">F421*F434</f>
        <v>12148.630000000001</v>
      </c>
      <c r="G444" s="418">
        <f t="shared" si="107"/>
        <v>12256.140000000001</v>
      </c>
      <c r="H444" s="418">
        <f t="shared" si="107"/>
        <v>12363.650000000001</v>
      </c>
      <c r="I444" s="418">
        <f t="shared" si="107"/>
        <v>12364.7251</v>
      </c>
      <c r="J444" s="418">
        <f t="shared" si="107"/>
        <v>12471.16</v>
      </c>
      <c r="K444" s="418">
        <f t="shared" si="107"/>
        <v>12578.67</v>
      </c>
      <c r="L444" s="418">
        <f t="shared" si="107"/>
        <v>12471.16</v>
      </c>
      <c r="M444" s="418">
        <f t="shared" si="107"/>
        <v>12256.140000000001</v>
      </c>
      <c r="N444" s="418">
        <f t="shared" si="107"/>
        <v>12578.67</v>
      </c>
      <c r="O444" s="418">
        <f>O421*O434</f>
        <v>12363.650000000001</v>
      </c>
      <c r="P444" s="418">
        <f>P421*P434</f>
        <v>12256.140000000001</v>
      </c>
      <c r="Q444" s="418">
        <f>Q421*Q434</f>
        <v>12148.630000000001</v>
      </c>
      <c r="R444" s="437">
        <f>SUM(F444:Q444)</f>
        <v>148257.36510000002</v>
      </c>
    </row>
    <row r="445" spans="1:18" s="336" customFormat="1" x14ac:dyDescent="0.2">
      <c r="B445" s="336" t="s">
        <v>1047</v>
      </c>
      <c r="F445" s="418"/>
      <c r="G445" s="418"/>
      <c r="H445" s="418"/>
      <c r="I445" s="418"/>
      <c r="J445" s="418"/>
      <c r="K445" s="418"/>
      <c r="L445" s="418"/>
      <c r="M445" s="418"/>
      <c r="N445" s="418"/>
      <c r="O445" s="418"/>
      <c r="P445" s="418"/>
      <c r="Q445" s="418"/>
      <c r="R445" s="437"/>
    </row>
    <row r="446" spans="1:18" s="336" customFormat="1" x14ac:dyDescent="0.2">
      <c r="C446" s="32" t="s">
        <v>1073</v>
      </c>
      <c r="F446" s="350">
        <v>0</v>
      </c>
      <c r="G446" s="350">
        <v>0</v>
      </c>
      <c r="H446" s="350">
        <v>0</v>
      </c>
      <c r="I446" s="350">
        <v>0</v>
      </c>
      <c r="J446" s="350">
        <v>0</v>
      </c>
      <c r="K446" s="350">
        <v>0</v>
      </c>
      <c r="L446" s="350">
        <v>0</v>
      </c>
      <c r="M446" s="350">
        <v>0</v>
      </c>
      <c r="N446" s="350">
        <v>0</v>
      </c>
      <c r="O446" s="350">
        <v>0</v>
      </c>
      <c r="P446" s="350">
        <v>0</v>
      </c>
      <c r="Q446" s="350">
        <v>0</v>
      </c>
      <c r="R446" s="437">
        <f>SUM(F446:Q446)</f>
        <v>0</v>
      </c>
    </row>
    <row r="447" spans="1:18" s="336" customFormat="1" x14ac:dyDescent="0.2">
      <c r="C447" s="32" t="s">
        <v>1074</v>
      </c>
      <c r="D447" s="336">
        <v>41</v>
      </c>
      <c r="F447" s="418">
        <f t="shared" ref="F447:Q448" si="108">F423*F437</f>
        <v>48544.726060000001</v>
      </c>
      <c r="G447" s="418">
        <f t="shared" si="108"/>
        <v>47637.547750000005</v>
      </c>
      <c r="H447" s="418">
        <f t="shared" si="108"/>
        <v>50614.454960000003</v>
      </c>
      <c r="I447" s="418">
        <f t="shared" si="108"/>
        <v>48701.231210000005</v>
      </c>
      <c r="J447" s="418">
        <f t="shared" si="108"/>
        <v>48100.996040000005</v>
      </c>
      <c r="K447" s="418">
        <f t="shared" si="108"/>
        <v>46142.682260000001</v>
      </c>
      <c r="L447" s="418">
        <f t="shared" si="108"/>
        <v>45106.576800000003</v>
      </c>
      <c r="M447" s="418">
        <f t="shared" si="108"/>
        <v>44906.636300000006</v>
      </c>
      <c r="N447" s="418">
        <f t="shared" si="108"/>
        <v>44829.693680000004</v>
      </c>
      <c r="O447" s="418">
        <f t="shared" si="108"/>
        <v>48123.610000000008</v>
      </c>
      <c r="P447" s="418">
        <f t="shared" si="108"/>
        <v>48680.134040000004</v>
      </c>
      <c r="Q447" s="418">
        <f t="shared" si="108"/>
        <v>48249.917240000002</v>
      </c>
      <c r="R447" s="437">
        <f>SUM(F447:Q447)</f>
        <v>569638.20634000003</v>
      </c>
    </row>
    <row r="448" spans="1:18" s="336" customFormat="1" x14ac:dyDescent="0.2">
      <c r="C448" s="32" t="s">
        <v>1066</v>
      </c>
      <c r="D448" s="336">
        <v>41</v>
      </c>
      <c r="F448" s="418">
        <f t="shared" si="108"/>
        <v>98614.427670000005</v>
      </c>
      <c r="G448" s="418">
        <f t="shared" si="108"/>
        <v>87844.181370000006</v>
      </c>
      <c r="H448" s="418">
        <f t="shared" si="108"/>
        <v>104969.78448</v>
      </c>
      <c r="I448" s="418">
        <f t="shared" si="108"/>
        <v>100734.71793</v>
      </c>
      <c r="J448" s="418">
        <f t="shared" si="108"/>
        <v>100378.33542</v>
      </c>
      <c r="K448" s="418">
        <f t="shared" si="108"/>
        <v>86092.20180000001</v>
      </c>
      <c r="L448" s="418">
        <f t="shared" si="108"/>
        <v>83660.991150000002</v>
      </c>
      <c r="M448" s="418">
        <f t="shared" si="108"/>
        <v>89472.82806</v>
      </c>
      <c r="N448" s="418">
        <f t="shared" si="108"/>
        <v>87286.370160000006</v>
      </c>
      <c r="O448" s="418">
        <f t="shared" si="108"/>
        <v>100580.77689000001</v>
      </c>
      <c r="P448" s="418">
        <f t="shared" si="108"/>
        <v>105447.13674</v>
      </c>
      <c r="Q448" s="418">
        <f t="shared" si="108"/>
        <v>105784.61421</v>
      </c>
      <c r="R448" s="437">
        <f>SUM(F448:Q448)</f>
        <v>1150866.3658799999</v>
      </c>
    </row>
    <row r="449" spans="1:18" s="336" customFormat="1" x14ac:dyDescent="0.2">
      <c r="A449" s="336" t="s">
        <v>1054</v>
      </c>
      <c r="C449" s="336" t="s">
        <v>1077</v>
      </c>
      <c r="F449" s="365">
        <f t="shared" ref="F449:R449" si="109">SUM(F446:F448)</f>
        <v>147159.15373000002</v>
      </c>
      <c r="G449" s="365">
        <f t="shared" si="109"/>
        <v>135481.72912</v>
      </c>
      <c r="H449" s="365">
        <f t="shared" si="109"/>
        <v>155584.23944</v>
      </c>
      <c r="I449" s="365">
        <f t="shared" si="109"/>
        <v>149435.94914000001</v>
      </c>
      <c r="J449" s="365">
        <f t="shared" si="109"/>
        <v>148479.33146000002</v>
      </c>
      <c r="K449" s="365">
        <f t="shared" si="109"/>
        <v>132234.88406000001</v>
      </c>
      <c r="L449" s="365">
        <f t="shared" si="109"/>
        <v>128767.56795</v>
      </c>
      <c r="M449" s="365">
        <f t="shared" si="109"/>
        <v>134379.46436000001</v>
      </c>
      <c r="N449" s="365">
        <f t="shared" si="109"/>
        <v>132116.06384000002</v>
      </c>
      <c r="O449" s="365">
        <f t="shared" si="109"/>
        <v>148704.38689000002</v>
      </c>
      <c r="P449" s="365">
        <f t="shared" si="109"/>
        <v>154127.27078000002</v>
      </c>
      <c r="Q449" s="365">
        <f t="shared" si="109"/>
        <v>154034.53145000001</v>
      </c>
      <c r="R449" s="365">
        <f t="shared" si="109"/>
        <v>1720504.57222</v>
      </c>
    </row>
    <row r="450" spans="1:18" s="336" customFormat="1" x14ac:dyDescent="0.2">
      <c r="A450" s="336" t="s">
        <v>1056</v>
      </c>
      <c r="B450" s="336" t="s">
        <v>1057</v>
      </c>
      <c r="D450" s="336">
        <v>101</v>
      </c>
      <c r="F450" s="418">
        <f t="shared" ref="F450:Q450" si="110">F425*F439</f>
        <v>889036.76291999989</v>
      </c>
      <c r="G450" s="418">
        <f t="shared" si="110"/>
        <v>821821.9845599999</v>
      </c>
      <c r="H450" s="418">
        <f t="shared" si="110"/>
        <v>939573.81191999989</v>
      </c>
      <c r="I450" s="418">
        <f t="shared" si="110"/>
        <v>903551.44619999989</v>
      </c>
      <c r="J450" s="418">
        <f t="shared" si="110"/>
        <v>899115.32315999991</v>
      </c>
      <c r="K450" s="418">
        <f t="shared" si="110"/>
        <v>804211.00547999993</v>
      </c>
      <c r="L450" s="418">
        <f t="shared" si="110"/>
        <v>782854.95095999993</v>
      </c>
      <c r="M450" s="418">
        <f t="shared" si="110"/>
        <v>816894.74807999993</v>
      </c>
      <c r="N450" s="418">
        <f t="shared" si="110"/>
        <v>803448.84035999991</v>
      </c>
      <c r="O450" s="418">
        <f t="shared" si="110"/>
        <v>899136.12167999998</v>
      </c>
      <c r="P450" s="418">
        <f t="shared" si="110"/>
        <v>872039.89127999998</v>
      </c>
      <c r="Q450" s="418">
        <f t="shared" si="110"/>
        <v>870410.09351999999</v>
      </c>
      <c r="R450" s="437">
        <f>SUM(F450:Q450)</f>
        <v>10302094.980119999</v>
      </c>
    </row>
    <row r="451" spans="1:18" s="336" customFormat="1" x14ac:dyDescent="0.2">
      <c r="B451" s="336" t="s">
        <v>1068</v>
      </c>
      <c r="F451" s="418"/>
      <c r="G451" s="418"/>
      <c r="H451" s="418"/>
      <c r="I451" s="418"/>
      <c r="J451" s="418"/>
      <c r="K451" s="418"/>
      <c r="L451" s="418"/>
      <c r="M451" s="418"/>
      <c r="N451" s="418"/>
      <c r="O451" s="418"/>
      <c r="P451" s="418"/>
      <c r="Q451" s="418"/>
      <c r="R451" s="437"/>
    </row>
    <row r="452" spans="1:18" s="336" customFormat="1" x14ac:dyDescent="0.2">
      <c r="A452" s="336" t="s">
        <v>1054</v>
      </c>
      <c r="C452" s="336" t="s">
        <v>1069</v>
      </c>
      <c r="D452" s="336">
        <v>41</v>
      </c>
      <c r="F452" s="418">
        <f t="shared" ref="F452:Q452" si="111">F427*F440</f>
        <v>63392.666100000009</v>
      </c>
      <c r="G452" s="418">
        <f t="shared" si="111"/>
        <v>63821.126100000009</v>
      </c>
      <c r="H452" s="418">
        <f t="shared" si="111"/>
        <v>64975.52610000001</v>
      </c>
      <c r="I452" s="418">
        <f t="shared" si="111"/>
        <v>64543.747200000005</v>
      </c>
      <c r="J452" s="418">
        <f t="shared" si="111"/>
        <v>64891.154999999999</v>
      </c>
      <c r="K452" s="418">
        <f t="shared" si="111"/>
        <v>65388.446100000008</v>
      </c>
      <c r="L452" s="418">
        <f t="shared" si="111"/>
        <v>64239.030000000006</v>
      </c>
      <c r="M452" s="418">
        <f t="shared" si="111"/>
        <v>63759.51</v>
      </c>
      <c r="N452" s="418">
        <f t="shared" si="111"/>
        <v>64303.41</v>
      </c>
      <c r="O452" s="418">
        <f t="shared" si="111"/>
        <v>64132.470000000008</v>
      </c>
      <c r="P452" s="418">
        <f t="shared" si="111"/>
        <v>64072.530000000006</v>
      </c>
      <c r="Q452" s="418">
        <f t="shared" si="111"/>
        <v>64034.790000000008</v>
      </c>
      <c r="R452" s="437">
        <f>SUM(F452:Q452)</f>
        <v>771554.4066000001</v>
      </c>
    </row>
    <row r="453" spans="1:18" s="336" customFormat="1" x14ac:dyDescent="0.2">
      <c r="A453" s="336" t="s">
        <v>1056</v>
      </c>
      <c r="C453" s="336" t="s">
        <v>1070</v>
      </c>
      <c r="D453" s="336">
        <v>101</v>
      </c>
      <c r="F453" s="418">
        <f t="shared" ref="F453:Q453" si="112">F428*F440</f>
        <v>59966.035500000005</v>
      </c>
      <c r="G453" s="418">
        <f t="shared" si="112"/>
        <v>60371.335500000008</v>
      </c>
      <c r="H453" s="418">
        <f t="shared" si="112"/>
        <v>61463.335500000008</v>
      </c>
      <c r="I453" s="418">
        <f t="shared" si="112"/>
        <v>61054.896000000001</v>
      </c>
      <c r="J453" s="418">
        <f t="shared" si="112"/>
        <v>61383.524999999994</v>
      </c>
      <c r="K453" s="418">
        <f t="shared" si="112"/>
        <v>61853.935500000007</v>
      </c>
      <c r="L453" s="418">
        <f t="shared" si="112"/>
        <v>60766.65</v>
      </c>
      <c r="M453" s="418">
        <f t="shared" si="112"/>
        <v>60313.05</v>
      </c>
      <c r="N453" s="418">
        <f t="shared" si="112"/>
        <v>60827.55</v>
      </c>
      <c r="O453" s="418">
        <f t="shared" si="112"/>
        <v>60665.850000000006</v>
      </c>
      <c r="P453" s="418">
        <f t="shared" si="112"/>
        <v>60609.15</v>
      </c>
      <c r="Q453" s="418">
        <f t="shared" si="112"/>
        <v>60573.450000000004</v>
      </c>
      <c r="R453" s="437">
        <f>SUM(F453:Q453)</f>
        <v>729848.76300000004</v>
      </c>
    </row>
    <row r="454" spans="1:18" s="336" customFormat="1" x14ac:dyDescent="0.2">
      <c r="C454" s="336" t="s">
        <v>1078</v>
      </c>
      <c r="F454" s="339">
        <f t="shared" ref="F454:N454" si="113">SUM(F452:F453)</f>
        <v>123358.70160000001</v>
      </c>
      <c r="G454" s="339">
        <f t="shared" si="113"/>
        <v>124192.46160000001</v>
      </c>
      <c r="H454" s="339">
        <f t="shared" si="113"/>
        <v>126438.86160000002</v>
      </c>
      <c r="I454" s="339">
        <f t="shared" si="113"/>
        <v>125598.64320000001</v>
      </c>
      <c r="J454" s="339">
        <f t="shared" si="113"/>
        <v>126274.68</v>
      </c>
      <c r="K454" s="339">
        <f t="shared" si="113"/>
        <v>127242.38160000002</v>
      </c>
      <c r="L454" s="339">
        <f t="shared" si="113"/>
        <v>125005.68000000001</v>
      </c>
      <c r="M454" s="339">
        <f t="shared" si="113"/>
        <v>124072.56</v>
      </c>
      <c r="N454" s="339">
        <f t="shared" si="113"/>
        <v>125130.96</v>
      </c>
      <c r="O454" s="339">
        <f>SUM(O452:O453)</f>
        <v>124798.32</v>
      </c>
      <c r="P454" s="339">
        <f>SUM(P452:P453)</f>
        <v>124681.68000000001</v>
      </c>
      <c r="Q454" s="339">
        <f>SUM(Q452:Q453)</f>
        <v>124608.24000000002</v>
      </c>
      <c r="R454" s="339">
        <f>SUM(R452:R453)</f>
        <v>1501403.1696000001</v>
      </c>
    </row>
    <row r="455" spans="1:18" s="336" customFormat="1" x14ac:dyDescent="0.2">
      <c r="A455" s="336" t="s">
        <v>1054</v>
      </c>
      <c r="B455" s="336" t="s">
        <v>1071</v>
      </c>
      <c r="D455" s="336">
        <v>41</v>
      </c>
      <c r="F455" s="418">
        <f t="shared" ref="F455:N455" si="114">F434*F429</f>
        <v>14023.3</v>
      </c>
      <c r="G455" s="418">
        <f t="shared" si="114"/>
        <v>14147.4</v>
      </c>
      <c r="H455" s="418">
        <f t="shared" si="114"/>
        <v>14271.5</v>
      </c>
      <c r="I455" s="418">
        <f t="shared" si="114"/>
        <v>14272.740999999998</v>
      </c>
      <c r="J455" s="418">
        <f t="shared" si="114"/>
        <v>14395.599999999999</v>
      </c>
      <c r="K455" s="418">
        <f t="shared" si="114"/>
        <v>14519.699999999999</v>
      </c>
      <c r="L455" s="418">
        <f t="shared" si="114"/>
        <v>14395.599999999999</v>
      </c>
      <c r="M455" s="418">
        <f t="shared" si="114"/>
        <v>14147.4</v>
      </c>
      <c r="N455" s="418">
        <f t="shared" si="114"/>
        <v>14519.699999999999</v>
      </c>
      <c r="O455" s="418">
        <f>O434*O429</f>
        <v>14271.5</v>
      </c>
      <c r="P455" s="418">
        <f>P434*P429</f>
        <v>14147.4</v>
      </c>
      <c r="Q455" s="418">
        <f>Q434*Q429</f>
        <v>14023.3</v>
      </c>
      <c r="R455" s="437">
        <f>SUM(F455:Q455)</f>
        <v>171135.14099999997</v>
      </c>
    </row>
    <row r="456" spans="1:18" s="336" customFormat="1" x14ac:dyDescent="0.2">
      <c r="B456" s="336" t="s">
        <v>1079</v>
      </c>
      <c r="F456" s="339">
        <f t="shared" ref="F456:N456" si="115">F450+F453</f>
        <v>949002.79841999989</v>
      </c>
      <c r="G456" s="339">
        <f t="shared" si="115"/>
        <v>882193.32005999994</v>
      </c>
      <c r="H456" s="339">
        <f t="shared" si="115"/>
        <v>1001037.1474199999</v>
      </c>
      <c r="I456" s="339">
        <f t="shared" si="115"/>
        <v>964606.34219999984</v>
      </c>
      <c r="J456" s="339">
        <f t="shared" si="115"/>
        <v>960498.84815999994</v>
      </c>
      <c r="K456" s="339">
        <f t="shared" si="115"/>
        <v>866064.94097999996</v>
      </c>
      <c r="L456" s="339">
        <f t="shared" si="115"/>
        <v>843621.60095999995</v>
      </c>
      <c r="M456" s="339">
        <f t="shared" si="115"/>
        <v>877207.79807999998</v>
      </c>
      <c r="N456" s="339">
        <f t="shared" si="115"/>
        <v>864276.39035999996</v>
      </c>
      <c r="O456" s="339">
        <f>O450+O453</f>
        <v>959801.97167999996</v>
      </c>
      <c r="P456" s="339">
        <f>P450+P453</f>
        <v>932649.04128</v>
      </c>
      <c r="Q456" s="339">
        <f>Q450+Q453</f>
        <v>930983.54351999995</v>
      </c>
      <c r="R456" s="339">
        <f>R450+R453</f>
        <v>11031943.74312</v>
      </c>
    </row>
    <row r="457" spans="1:18" s="336" customFormat="1" x14ac:dyDescent="0.2">
      <c r="B457" s="336" t="s">
        <v>986</v>
      </c>
      <c r="F457" s="339">
        <f t="shared" ref="F457:R457" si="116">F444+F449+F450+F454+F455</f>
        <v>1185726.54825</v>
      </c>
      <c r="G457" s="339">
        <f t="shared" si="116"/>
        <v>1107899.7152799999</v>
      </c>
      <c r="H457" s="339">
        <f t="shared" si="116"/>
        <v>1248232.0629599998</v>
      </c>
      <c r="I457" s="339">
        <f t="shared" si="116"/>
        <v>1205223.5046399999</v>
      </c>
      <c r="J457" s="339">
        <f t="shared" si="116"/>
        <v>1200736.0946199999</v>
      </c>
      <c r="K457" s="339">
        <f t="shared" si="116"/>
        <v>1090786.64114</v>
      </c>
      <c r="L457" s="339">
        <f t="shared" si="116"/>
        <v>1063494.95891</v>
      </c>
      <c r="M457" s="339">
        <f t="shared" si="116"/>
        <v>1101750.3124399998</v>
      </c>
      <c r="N457" s="339">
        <f t="shared" si="116"/>
        <v>1087794.2341999998</v>
      </c>
      <c r="O457" s="339">
        <f t="shared" si="116"/>
        <v>1199273.97857</v>
      </c>
      <c r="P457" s="339">
        <f t="shared" si="116"/>
        <v>1177252.38206</v>
      </c>
      <c r="Q457" s="339">
        <f t="shared" si="116"/>
        <v>1175224.7949700002</v>
      </c>
      <c r="R457" s="339">
        <f t="shared" si="116"/>
        <v>13843395.22804</v>
      </c>
    </row>
    <row r="458" spans="1:18" s="336" customFormat="1" x14ac:dyDescent="0.2">
      <c r="F458" s="418"/>
      <c r="G458" s="418"/>
      <c r="H458" s="418"/>
      <c r="I458" s="418"/>
      <c r="J458" s="418"/>
      <c r="K458" s="418"/>
      <c r="L458" s="418"/>
      <c r="M458" s="418"/>
      <c r="N458" s="418"/>
      <c r="O458" s="418"/>
      <c r="P458" s="418"/>
      <c r="Q458" s="418"/>
      <c r="R458" s="437"/>
    </row>
    <row r="459" spans="1:18" s="336" customFormat="1" x14ac:dyDescent="0.2">
      <c r="A459" s="336" t="s">
        <v>1058</v>
      </c>
      <c r="B459" s="336" t="s">
        <v>1050</v>
      </c>
      <c r="F459" s="418">
        <f>F430*F439+F440*F431</f>
        <v>907745.84593999991</v>
      </c>
      <c r="G459" s="418">
        <f t="shared" ref="G459:Q459" si="117">G430*G439+G440*G431</f>
        <v>843820.3709199999</v>
      </c>
      <c r="H459" s="418">
        <f t="shared" si="117"/>
        <v>957525.97644</v>
      </c>
      <c r="I459" s="418">
        <f t="shared" si="117"/>
        <v>922670.58589999995</v>
      </c>
      <c r="J459" s="418">
        <f t="shared" si="117"/>
        <v>918739.05861999991</v>
      </c>
      <c r="K459" s="418">
        <f t="shared" si="117"/>
        <v>828382.08785999997</v>
      </c>
      <c r="L459" s="418">
        <f t="shared" si="117"/>
        <v>806912.98572</v>
      </c>
      <c r="M459" s="418">
        <f t="shared" si="117"/>
        <v>839050.45355999994</v>
      </c>
      <c r="N459" s="418">
        <f t="shared" si="117"/>
        <v>826675.33401999995</v>
      </c>
      <c r="O459" s="418">
        <f t="shared" si="117"/>
        <v>918075.45875999995</v>
      </c>
      <c r="P459" s="418">
        <f t="shared" si="117"/>
        <v>892053.73283999995</v>
      </c>
      <c r="Q459" s="418">
        <f t="shared" si="117"/>
        <v>890460.41155999992</v>
      </c>
      <c r="R459" s="437">
        <f>SUM(F459:Q459)</f>
        <v>10552112.302140001</v>
      </c>
    </row>
    <row r="460" spans="1:18" s="336" customFormat="1" x14ac:dyDescent="0.2">
      <c r="F460" s="418"/>
      <c r="G460" s="418"/>
      <c r="H460" s="418"/>
      <c r="I460" s="418"/>
      <c r="J460" s="418"/>
      <c r="K460" s="418"/>
      <c r="L460" s="418"/>
      <c r="M460" s="418"/>
      <c r="N460" s="418"/>
      <c r="O460" s="418"/>
      <c r="P460" s="418"/>
      <c r="Q460" s="418"/>
      <c r="R460" s="437"/>
    </row>
    <row r="461" spans="1:18" s="336" customFormat="1" x14ac:dyDescent="0.2">
      <c r="B461" s="182" t="s">
        <v>1102</v>
      </c>
      <c r="C461" s="182"/>
      <c r="F461" s="415"/>
      <c r="G461" s="415"/>
      <c r="H461" s="415"/>
      <c r="I461" s="415"/>
      <c r="J461" s="415"/>
    </row>
    <row r="462" spans="1:18" s="336" customFormat="1" x14ac:dyDescent="0.2">
      <c r="B462" s="182" t="s">
        <v>5</v>
      </c>
      <c r="C462" s="182"/>
      <c r="F462" s="415"/>
      <c r="G462" s="415"/>
      <c r="H462" s="415"/>
      <c r="I462" s="415"/>
      <c r="J462" s="415"/>
    </row>
    <row r="463" spans="1:18" s="336" customFormat="1" x14ac:dyDescent="0.2">
      <c r="B463" s="336" t="s">
        <v>1059</v>
      </c>
      <c r="D463" s="444" t="s">
        <v>808</v>
      </c>
      <c r="E463" s="336" t="s">
        <v>976</v>
      </c>
      <c r="F463" s="455">
        <f>F135</f>
        <v>414.68</v>
      </c>
      <c r="G463" s="455">
        <f t="shared" ref="G463:L463" si="118">G135</f>
        <v>414.68</v>
      </c>
      <c r="H463" s="455">
        <f t="shared" si="118"/>
        <v>414.68</v>
      </c>
      <c r="I463" s="455">
        <f t="shared" si="118"/>
        <v>414.68</v>
      </c>
      <c r="J463" s="455">
        <f t="shared" si="118"/>
        <v>414.68</v>
      </c>
      <c r="K463" s="455">
        <f t="shared" si="118"/>
        <v>414.68</v>
      </c>
      <c r="L463" s="455">
        <f t="shared" si="118"/>
        <v>414.68</v>
      </c>
      <c r="M463" s="455">
        <f>M135</f>
        <v>414.68</v>
      </c>
      <c r="N463" s="455">
        <f>N135</f>
        <v>414.68</v>
      </c>
      <c r="O463" s="455">
        <f>O135</f>
        <v>414.68</v>
      </c>
      <c r="P463" s="455">
        <f>P135</f>
        <v>414.68</v>
      </c>
      <c r="Q463" s="455">
        <f>Q135</f>
        <v>414.68</v>
      </c>
    </row>
    <row r="464" spans="1:18" s="336" customFormat="1" x14ac:dyDescent="0.2">
      <c r="B464" s="336" t="s">
        <v>1047</v>
      </c>
      <c r="F464" s="456"/>
      <c r="G464" s="456"/>
      <c r="H464" s="456"/>
      <c r="I464" s="456"/>
      <c r="J464" s="456"/>
      <c r="K464" s="456"/>
      <c r="L464" s="456"/>
      <c r="M464" s="456"/>
      <c r="N464" s="456"/>
      <c r="O464" s="456"/>
      <c r="P464" s="456"/>
      <c r="Q464" s="456"/>
    </row>
    <row r="465" spans="2:18" s="336" customFormat="1" x14ac:dyDescent="0.2">
      <c r="C465" s="336" t="s">
        <v>1065</v>
      </c>
      <c r="D465" s="444" t="s">
        <v>808</v>
      </c>
      <c r="E465" s="336" t="s">
        <v>957</v>
      </c>
      <c r="F465" s="456">
        <f t="shared" ref="F465:Q470" si="119">F137</f>
        <v>0.13789000000000001</v>
      </c>
      <c r="G465" s="456">
        <f t="shared" si="119"/>
        <v>0.13789000000000001</v>
      </c>
      <c r="H465" s="456">
        <f t="shared" si="119"/>
        <v>0.13789000000000001</v>
      </c>
      <c r="I465" s="456">
        <f t="shared" si="119"/>
        <v>0.13789000000000001</v>
      </c>
      <c r="J465" s="456">
        <f t="shared" si="119"/>
        <v>0.13789000000000001</v>
      </c>
      <c r="K465" s="456">
        <f t="shared" si="119"/>
        <v>0.13789000000000001</v>
      </c>
      <c r="L465" s="456">
        <f t="shared" si="119"/>
        <v>0.13789000000000001</v>
      </c>
      <c r="M465" s="456">
        <f t="shared" si="119"/>
        <v>0.13789000000000001</v>
      </c>
      <c r="N465" s="456">
        <f t="shared" si="119"/>
        <v>0.13789000000000001</v>
      </c>
      <c r="O465" s="456">
        <f t="shared" si="119"/>
        <v>0.13789000000000001</v>
      </c>
      <c r="P465" s="456">
        <f t="shared" si="119"/>
        <v>0.13789000000000001</v>
      </c>
      <c r="Q465" s="456">
        <f t="shared" si="119"/>
        <v>0.13789000000000001</v>
      </c>
    </row>
    <row r="466" spans="2:18" s="336" customFormat="1" x14ac:dyDescent="0.2">
      <c r="C466" s="336" t="s">
        <v>1066</v>
      </c>
      <c r="D466" s="444" t="s">
        <v>808</v>
      </c>
      <c r="E466" s="336" t="s">
        <v>957</v>
      </c>
      <c r="F466" s="456">
        <f t="shared" si="119"/>
        <v>0.11253000000000001</v>
      </c>
      <c r="G466" s="456">
        <f t="shared" si="119"/>
        <v>0.11253000000000001</v>
      </c>
      <c r="H466" s="456">
        <f t="shared" si="119"/>
        <v>0.11253000000000001</v>
      </c>
      <c r="I466" s="456">
        <f t="shared" si="119"/>
        <v>0.11253000000000001</v>
      </c>
      <c r="J466" s="456">
        <f t="shared" si="119"/>
        <v>0.11253000000000001</v>
      </c>
      <c r="K466" s="456">
        <f t="shared" si="119"/>
        <v>0.11253000000000001</v>
      </c>
      <c r="L466" s="456">
        <f t="shared" si="119"/>
        <v>0.11253000000000001</v>
      </c>
      <c r="M466" s="456">
        <f t="shared" si="119"/>
        <v>0.11253000000000001</v>
      </c>
      <c r="N466" s="456">
        <f t="shared" si="119"/>
        <v>0.11253000000000001</v>
      </c>
      <c r="O466" s="456">
        <f t="shared" si="119"/>
        <v>0.11253000000000001</v>
      </c>
      <c r="P466" s="456">
        <f t="shared" si="119"/>
        <v>0.11253000000000001</v>
      </c>
      <c r="Q466" s="456">
        <f t="shared" si="119"/>
        <v>0.11253000000000001</v>
      </c>
    </row>
    <row r="467" spans="2:18" x14ac:dyDescent="0.2">
      <c r="B467" s="336" t="s">
        <v>1081</v>
      </c>
      <c r="D467" s="444" t="s">
        <v>808</v>
      </c>
      <c r="E467" s="32" t="s">
        <v>957</v>
      </c>
      <c r="F467" s="457">
        <f t="shared" si="119"/>
        <v>6.9999999999999999E-4</v>
      </c>
      <c r="G467" s="457">
        <f t="shared" si="119"/>
        <v>6.9999999999999999E-4</v>
      </c>
      <c r="H467" s="457">
        <f t="shared" si="119"/>
        <v>6.9999999999999999E-4</v>
      </c>
      <c r="I467" s="457">
        <f t="shared" si="119"/>
        <v>6.9999999999999999E-4</v>
      </c>
      <c r="J467" s="457">
        <f t="shared" si="119"/>
        <v>6.9999999999999999E-4</v>
      </c>
      <c r="K467" s="457">
        <f t="shared" si="119"/>
        <v>6.9999999999999999E-4</v>
      </c>
      <c r="L467" s="457">
        <f t="shared" si="119"/>
        <v>6.9999999999999999E-4</v>
      </c>
      <c r="M467" s="457">
        <f t="shared" si="119"/>
        <v>6.9999999999999999E-4</v>
      </c>
      <c r="N467" s="457">
        <f t="shared" si="119"/>
        <v>6.9999999999999999E-4</v>
      </c>
      <c r="O467" s="457">
        <f t="shared" si="119"/>
        <v>6.9999999999999999E-4</v>
      </c>
      <c r="P467" s="457">
        <f t="shared" si="119"/>
        <v>6.9999999999999999E-4</v>
      </c>
      <c r="Q467" s="457">
        <f t="shared" si="119"/>
        <v>6.9999999999999999E-4</v>
      </c>
    </row>
    <row r="468" spans="2:18" x14ac:dyDescent="0.2">
      <c r="B468" s="32" t="s">
        <v>1082</v>
      </c>
      <c r="F468" s="457">
        <f t="shared" si="119"/>
        <v>-5.0699999999999999E-3</v>
      </c>
      <c r="G468" s="457">
        <f t="shared" si="119"/>
        <v>-5.0699999999999999E-3</v>
      </c>
      <c r="H468" s="457">
        <f t="shared" si="119"/>
        <v>-5.0699999999999999E-3</v>
      </c>
      <c r="I468" s="457">
        <f t="shared" si="119"/>
        <v>-5.0699999999999999E-3</v>
      </c>
      <c r="J468" s="457">
        <f t="shared" si="119"/>
        <v>-5.0699999999999999E-3</v>
      </c>
      <c r="K468" s="457">
        <f t="shared" si="119"/>
        <v>-5.0699999999999999E-3</v>
      </c>
      <c r="L468" s="457">
        <f t="shared" si="119"/>
        <v>-5.0699999999999999E-3</v>
      </c>
      <c r="M468" s="457">
        <f t="shared" si="119"/>
        <v>-5.0699999999999999E-3</v>
      </c>
      <c r="N468" s="457">
        <f t="shared" si="119"/>
        <v>-5.0699999999999999E-3</v>
      </c>
      <c r="O468" s="457">
        <f t="shared" si="119"/>
        <v>-5.0699999999999999E-3</v>
      </c>
      <c r="P468" s="457">
        <f t="shared" si="119"/>
        <v>-5.0699999999999999E-3</v>
      </c>
      <c r="Q468" s="457">
        <f t="shared" si="119"/>
        <v>-5.0699999999999999E-3</v>
      </c>
    </row>
    <row r="469" spans="2:18" s="336" customFormat="1" x14ac:dyDescent="0.2">
      <c r="B469" s="336" t="s">
        <v>1069</v>
      </c>
      <c r="D469" s="336">
        <v>101</v>
      </c>
      <c r="E469" s="336" t="s">
        <v>957</v>
      </c>
      <c r="F469" s="458">
        <f t="shared" si="119"/>
        <v>1.1100000000000001</v>
      </c>
      <c r="G469" s="458">
        <f t="shared" si="119"/>
        <v>1.1100000000000001</v>
      </c>
      <c r="H469" s="458">
        <f t="shared" si="119"/>
        <v>1.1100000000000001</v>
      </c>
      <c r="I469" s="458">
        <f t="shared" si="119"/>
        <v>1.1100000000000001</v>
      </c>
      <c r="J469" s="458">
        <f t="shared" si="119"/>
        <v>1.1100000000000001</v>
      </c>
      <c r="K469" s="458">
        <f t="shared" si="119"/>
        <v>1.1100000000000001</v>
      </c>
      <c r="L469" s="458">
        <f t="shared" si="119"/>
        <v>1.1100000000000001</v>
      </c>
      <c r="M469" s="458">
        <f t="shared" si="119"/>
        <v>1.1100000000000001</v>
      </c>
      <c r="N469" s="458">
        <f t="shared" si="119"/>
        <v>1.1100000000000001</v>
      </c>
      <c r="O469" s="458">
        <f t="shared" si="119"/>
        <v>1.1100000000000001</v>
      </c>
      <c r="P469" s="458">
        <f t="shared" si="119"/>
        <v>1.1100000000000001</v>
      </c>
      <c r="Q469" s="458">
        <f t="shared" si="119"/>
        <v>1.1100000000000001</v>
      </c>
    </row>
    <row r="470" spans="2:18" s="336" customFormat="1" x14ac:dyDescent="0.2">
      <c r="B470" s="336" t="s">
        <v>1071</v>
      </c>
      <c r="D470" s="444" t="s">
        <v>808</v>
      </c>
      <c r="E470" s="336" t="s">
        <v>67</v>
      </c>
      <c r="F470" s="458">
        <f t="shared" si="119"/>
        <v>124.1</v>
      </c>
      <c r="G470" s="458">
        <f t="shared" si="119"/>
        <v>124.1</v>
      </c>
      <c r="H470" s="458">
        <f t="shared" si="119"/>
        <v>124.1</v>
      </c>
      <c r="I470" s="458">
        <f t="shared" si="119"/>
        <v>124.1</v>
      </c>
      <c r="J470" s="458">
        <f t="shared" si="119"/>
        <v>124.1</v>
      </c>
      <c r="K470" s="458">
        <f t="shared" si="119"/>
        <v>124.1</v>
      </c>
      <c r="L470" s="458">
        <f t="shared" si="119"/>
        <v>124.1</v>
      </c>
      <c r="M470" s="458">
        <f t="shared" si="119"/>
        <v>124.1</v>
      </c>
      <c r="N470" s="458">
        <f t="shared" si="119"/>
        <v>124.1</v>
      </c>
      <c r="O470" s="458">
        <f t="shared" si="119"/>
        <v>124.1</v>
      </c>
      <c r="P470" s="458">
        <f t="shared" si="119"/>
        <v>124.1</v>
      </c>
      <c r="Q470" s="458">
        <f t="shared" si="119"/>
        <v>124.1</v>
      </c>
    </row>
    <row r="471" spans="2:18" s="336" customFormat="1" x14ac:dyDescent="0.2">
      <c r="M471" s="32"/>
      <c r="N471" s="32"/>
      <c r="O471" s="32"/>
      <c r="P471" s="32"/>
      <c r="Q471" s="32"/>
    </row>
    <row r="472" spans="2:18" s="336" customFormat="1" x14ac:dyDescent="0.2">
      <c r="B472" s="182" t="s">
        <v>982</v>
      </c>
      <c r="M472" s="32"/>
      <c r="N472" s="32"/>
      <c r="O472" s="32"/>
      <c r="P472" s="32"/>
      <c r="Q472" s="32"/>
    </row>
    <row r="473" spans="2:18" s="336" customFormat="1" x14ac:dyDescent="0.2">
      <c r="B473" s="336" t="s">
        <v>67</v>
      </c>
      <c r="D473" s="444" t="s">
        <v>808</v>
      </c>
      <c r="E473" s="336" t="s">
        <v>67</v>
      </c>
      <c r="F473" s="397">
        <f>'JKP-3.1c - Data'!C144</f>
        <v>15</v>
      </c>
      <c r="G473" s="397">
        <f>'JKP-3.1c - Data'!D144</f>
        <v>15</v>
      </c>
      <c r="H473" s="397">
        <f>'JKP-3.1c - Data'!E144</f>
        <v>14</v>
      </c>
      <c r="I473" s="397">
        <f>'JKP-3.1c - Data'!F144</f>
        <v>14</v>
      </c>
      <c r="J473" s="397">
        <f>'JKP-3.1c - Data'!G144</f>
        <v>14</v>
      </c>
      <c r="K473" s="397">
        <f>'JKP-3.1c - Data'!H144</f>
        <v>14</v>
      </c>
      <c r="L473" s="397">
        <f>'JKP-3.1c - Data'!I144</f>
        <v>14</v>
      </c>
      <c r="M473" s="397">
        <f>'JKP-3.1c - Data'!J144</f>
        <v>15</v>
      </c>
      <c r="N473" s="397">
        <f>'JKP-3.1c - Data'!K144</f>
        <v>15</v>
      </c>
      <c r="O473" s="397">
        <f>'JKP-3.1c - Data'!L144</f>
        <v>16</v>
      </c>
      <c r="P473" s="397">
        <f>'JKP-3.1c - Data'!M144</f>
        <v>16</v>
      </c>
      <c r="Q473" s="397">
        <f>'JKP-3.1c - Data'!N144</f>
        <v>16</v>
      </c>
      <c r="R473" s="362">
        <f>SUM(F473:Q473)</f>
        <v>178</v>
      </c>
    </row>
    <row r="474" spans="2:18" s="336" customFormat="1" x14ac:dyDescent="0.2">
      <c r="B474" s="336" t="s">
        <v>76</v>
      </c>
      <c r="F474" s="380"/>
      <c r="G474" s="380"/>
      <c r="H474" s="380"/>
      <c r="I474" s="380"/>
      <c r="J474" s="380"/>
      <c r="K474" s="380"/>
      <c r="L474" s="380"/>
      <c r="M474" s="380"/>
      <c r="N474" s="380"/>
      <c r="O474" s="380"/>
      <c r="P474" s="380"/>
      <c r="Q474" s="380"/>
    </row>
    <row r="475" spans="2:18" s="336" customFormat="1" x14ac:dyDescent="0.2">
      <c r="C475" s="336" t="s">
        <v>1073</v>
      </c>
      <c r="D475" s="444" t="s">
        <v>808</v>
      </c>
      <c r="E475" s="336" t="s">
        <v>10</v>
      </c>
      <c r="F475" s="380">
        <v>13500</v>
      </c>
      <c r="G475" s="380">
        <v>12853</v>
      </c>
      <c r="H475" s="380">
        <v>12600</v>
      </c>
      <c r="I475" s="380">
        <v>12600</v>
      </c>
      <c r="J475" s="380">
        <v>12600</v>
      </c>
      <c r="K475" s="380">
        <v>12600</v>
      </c>
      <c r="L475" s="380">
        <v>13500</v>
      </c>
      <c r="M475" s="380">
        <v>13500</v>
      </c>
      <c r="N475" s="380">
        <v>13500</v>
      </c>
      <c r="O475" s="380">
        <v>14400</v>
      </c>
      <c r="P475" s="380">
        <v>14400</v>
      </c>
      <c r="Q475" s="380">
        <v>14400</v>
      </c>
      <c r="R475" s="362">
        <f t="shared" ref="R475:R480" si="120">SUM(F475:Q475)</f>
        <v>160453</v>
      </c>
    </row>
    <row r="476" spans="2:18" s="336" customFormat="1" x14ac:dyDescent="0.2">
      <c r="C476" s="336" t="s">
        <v>1074</v>
      </c>
      <c r="D476" s="444" t="s">
        <v>808</v>
      </c>
      <c r="E476" s="336" t="s">
        <v>10</v>
      </c>
      <c r="F476" s="380">
        <v>61500</v>
      </c>
      <c r="G476" s="380">
        <v>57400</v>
      </c>
      <c r="H476" s="380">
        <v>57400</v>
      </c>
      <c r="I476" s="380">
        <v>57400</v>
      </c>
      <c r="J476" s="380">
        <v>57400</v>
      </c>
      <c r="K476" s="380">
        <v>57400</v>
      </c>
      <c r="L476" s="380">
        <v>61500</v>
      </c>
      <c r="M476" s="380">
        <v>61500</v>
      </c>
      <c r="N476" s="380">
        <v>61500</v>
      </c>
      <c r="O476" s="380">
        <v>65600</v>
      </c>
      <c r="P476" s="380">
        <v>65600</v>
      </c>
      <c r="Q476" s="380">
        <v>65600</v>
      </c>
      <c r="R476" s="362">
        <f t="shared" si="120"/>
        <v>729800</v>
      </c>
    </row>
    <row r="477" spans="2:18" s="336" customFormat="1" x14ac:dyDescent="0.2">
      <c r="C477" s="336" t="s">
        <v>1066</v>
      </c>
      <c r="D477" s="444" t="s">
        <v>808</v>
      </c>
      <c r="E477" s="336" t="s">
        <v>10</v>
      </c>
      <c r="F477" s="378">
        <f t="shared" ref="F477:M477" si="121">F478-SUM(F475:F476)</f>
        <v>234029</v>
      </c>
      <c r="G477" s="378">
        <f t="shared" si="121"/>
        <v>217802</v>
      </c>
      <c r="H477" s="378">
        <f t="shared" si="121"/>
        <v>258103</v>
      </c>
      <c r="I477" s="378">
        <f t="shared" si="121"/>
        <v>241349</v>
      </c>
      <c r="J477" s="378">
        <f t="shared" si="121"/>
        <v>217974</v>
      </c>
      <c r="K477" s="378">
        <f t="shared" si="121"/>
        <v>239899</v>
      </c>
      <c r="L477" s="378">
        <f t="shared" si="121"/>
        <v>330719</v>
      </c>
      <c r="M477" s="378">
        <f t="shared" si="121"/>
        <v>339751</v>
      </c>
      <c r="N477" s="378">
        <f>N478-SUM(N475:N476)</f>
        <v>318132</v>
      </c>
      <c r="O477" s="378">
        <f>O478-SUM(O475:O476)</f>
        <v>349271</v>
      </c>
      <c r="P477" s="378">
        <f>P478-SUM(P475:P476)</f>
        <v>399248</v>
      </c>
      <c r="Q477" s="378">
        <f>Q478-SUM(Q475:Q476)</f>
        <v>414758</v>
      </c>
      <c r="R477" s="362">
        <f t="shared" si="120"/>
        <v>3561035</v>
      </c>
    </row>
    <row r="478" spans="2:18" s="336" customFormat="1" x14ac:dyDescent="0.2">
      <c r="C478" s="336" t="s">
        <v>1075</v>
      </c>
      <c r="D478" s="444" t="s">
        <v>808</v>
      </c>
      <c r="E478" s="336" t="s">
        <v>10</v>
      </c>
      <c r="F478" s="443">
        <f>'JKP-3.1c - Therms Data'!E88</f>
        <v>309029</v>
      </c>
      <c r="G478" s="443">
        <f>'JKP-3.1c - Therms Data'!F88</f>
        <v>288055</v>
      </c>
      <c r="H478" s="443">
        <f>'JKP-3.1c - Therms Data'!G88</f>
        <v>328103</v>
      </c>
      <c r="I478" s="443">
        <f>'JKP-3.1c - Therms Data'!H88</f>
        <v>311349</v>
      </c>
      <c r="J478" s="443">
        <f>'JKP-3.1c - Therms Data'!I88</f>
        <v>287974</v>
      </c>
      <c r="K478" s="443">
        <f>'JKP-3.1c - Therms Data'!J88</f>
        <v>309899</v>
      </c>
      <c r="L478" s="443">
        <f>'JKP-3.1c - Therms Data'!K88</f>
        <v>405719</v>
      </c>
      <c r="M478" s="443">
        <f>'JKP-3.1c - Therms Data'!L88</f>
        <v>414751</v>
      </c>
      <c r="N478" s="443">
        <f>'JKP-3.1c - Therms Data'!M88</f>
        <v>393132</v>
      </c>
      <c r="O478" s="443">
        <f>'JKP-3.1c - Therms Data'!N88</f>
        <v>429271</v>
      </c>
      <c r="P478" s="443">
        <f>'JKP-3.1c - Therms Data'!O88</f>
        <v>479248</v>
      </c>
      <c r="Q478" s="443">
        <f>'JKP-3.1c - Therms Data'!P88</f>
        <v>494758</v>
      </c>
      <c r="R478" s="430">
        <f t="shared" si="120"/>
        <v>4451288</v>
      </c>
    </row>
    <row r="479" spans="2:18" s="336" customFormat="1" x14ac:dyDescent="0.2">
      <c r="B479" s="336" t="s">
        <v>74</v>
      </c>
      <c r="D479" s="444" t="s">
        <v>808</v>
      </c>
      <c r="E479" s="336" t="s">
        <v>1076</v>
      </c>
      <c r="F479" s="421">
        <f>'JKP-3.1c - Data'!C165</f>
        <v>16443</v>
      </c>
      <c r="G479" s="421">
        <f>'JKP-3.1c - Data'!D165</f>
        <v>16443</v>
      </c>
      <c r="H479" s="421">
        <f>'JKP-3.1c - Data'!E165</f>
        <v>14103</v>
      </c>
      <c r="I479" s="421">
        <f>'JKP-3.1c - Data'!F165</f>
        <v>14103</v>
      </c>
      <c r="J479" s="421">
        <f>'JKP-3.1c - Data'!G165</f>
        <v>14103.000000000002</v>
      </c>
      <c r="K479" s="421">
        <f>'JKP-3.1c - Data'!H165</f>
        <v>14103</v>
      </c>
      <c r="L479" s="421">
        <f>'JKP-3.1c - Data'!I165</f>
        <v>18197</v>
      </c>
      <c r="M479" s="421">
        <f>'JKP-3.1c - Data'!J165</f>
        <v>18309</v>
      </c>
      <c r="N479" s="421">
        <f>'JKP-3.1c - Data'!K165</f>
        <v>18309</v>
      </c>
      <c r="O479" s="421">
        <f>'JKP-3.1c - Data'!L165</f>
        <v>18309</v>
      </c>
      <c r="P479" s="421">
        <f>'JKP-3.1c - Data'!M165</f>
        <v>20237</v>
      </c>
      <c r="Q479" s="421">
        <f>'JKP-3.1c - Data'!N165</f>
        <v>20237</v>
      </c>
      <c r="R479" s="362">
        <f t="shared" si="120"/>
        <v>202896</v>
      </c>
    </row>
    <row r="480" spans="2:18" s="336" customFormat="1" x14ac:dyDescent="0.2">
      <c r="B480" s="336" t="s">
        <v>1071</v>
      </c>
      <c r="D480" s="444" t="s">
        <v>808</v>
      </c>
      <c r="E480" s="336" t="s">
        <v>67</v>
      </c>
      <c r="F480" s="398">
        <f t="shared" ref="F480:L480" si="122">F473</f>
        <v>15</v>
      </c>
      <c r="G480" s="398">
        <f t="shared" si="122"/>
        <v>15</v>
      </c>
      <c r="H480" s="398">
        <f t="shared" si="122"/>
        <v>14</v>
      </c>
      <c r="I480" s="398">
        <f t="shared" si="122"/>
        <v>14</v>
      </c>
      <c r="J480" s="398">
        <f t="shared" si="122"/>
        <v>14</v>
      </c>
      <c r="K480" s="398">
        <f t="shared" si="122"/>
        <v>14</v>
      </c>
      <c r="L480" s="398">
        <f t="shared" si="122"/>
        <v>14</v>
      </c>
      <c r="M480" s="398">
        <f>M473</f>
        <v>15</v>
      </c>
      <c r="N480" s="398">
        <f>N473</f>
        <v>15</v>
      </c>
      <c r="O480" s="398">
        <f>O473</f>
        <v>16</v>
      </c>
      <c r="P480" s="398">
        <f>P473</f>
        <v>16</v>
      </c>
      <c r="Q480" s="398">
        <f>Q473</f>
        <v>16</v>
      </c>
      <c r="R480" s="362">
        <f t="shared" si="120"/>
        <v>178</v>
      </c>
    </row>
    <row r="481" spans="1:18" s="336" customFormat="1" x14ac:dyDescent="0.2">
      <c r="F481" s="362"/>
      <c r="G481" s="362"/>
      <c r="H481" s="362"/>
      <c r="I481" s="362"/>
      <c r="J481" s="362"/>
      <c r="K481" s="362"/>
      <c r="L481" s="362"/>
      <c r="M481" s="279"/>
      <c r="N481" s="279"/>
      <c r="O481" s="279"/>
      <c r="P481" s="279"/>
      <c r="Q481" s="279"/>
    </row>
    <row r="482" spans="1:18" s="336" customFormat="1" x14ac:dyDescent="0.2">
      <c r="B482" s="182" t="s">
        <v>985</v>
      </c>
      <c r="M482" s="32"/>
      <c r="N482" s="32"/>
      <c r="O482" s="32"/>
      <c r="P482" s="32"/>
      <c r="Q482" s="32"/>
    </row>
    <row r="483" spans="1:18" s="336" customFormat="1" x14ac:dyDescent="0.2">
      <c r="A483" s="336" t="s">
        <v>1054</v>
      </c>
      <c r="B483" s="336" t="s">
        <v>1059</v>
      </c>
      <c r="D483" s="444" t="s">
        <v>808</v>
      </c>
      <c r="F483" s="364">
        <f t="shared" ref="F483:Q483" si="123">F463*F473</f>
        <v>6220.2</v>
      </c>
      <c r="G483" s="364">
        <f t="shared" si="123"/>
        <v>6220.2</v>
      </c>
      <c r="H483" s="364">
        <f t="shared" si="123"/>
        <v>5805.52</v>
      </c>
      <c r="I483" s="364">
        <f t="shared" si="123"/>
        <v>5805.52</v>
      </c>
      <c r="J483" s="364">
        <f t="shared" si="123"/>
        <v>5805.52</v>
      </c>
      <c r="K483" s="364">
        <f t="shared" si="123"/>
        <v>5805.52</v>
      </c>
      <c r="L483" s="364">
        <f t="shared" si="123"/>
        <v>5805.52</v>
      </c>
      <c r="M483" s="364">
        <f t="shared" si="123"/>
        <v>6220.2</v>
      </c>
      <c r="N483" s="364">
        <f t="shared" si="123"/>
        <v>6220.2</v>
      </c>
      <c r="O483" s="364">
        <f t="shared" si="123"/>
        <v>6634.88</v>
      </c>
      <c r="P483" s="364">
        <f t="shared" si="123"/>
        <v>6634.88</v>
      </c>
      <c r="Q483" s="364">
        <f t="shared" si="123"/>
        <v>6634.88</v>
      </c>
      <c r="R483" s="364">
        <f>SUM(F483:Q483)</f>
        <v>73813.039999999994</v>
      </c>
    </row>
    <row r="484" spans="1:18" s="336" customFormat="1" x14ac:dyDescent="0.2">
      <c r="B484" s="336" t="s">
        <v>1047</v>
      </c>
      <c r="F484" s="364"/>
      <c r="G484" s="364"/>
      <c r="H484" s="364"/>
      <c r="I484" s="364"/>
      <c r="J484" s="364"/>
      <c r="K484" s="364"/>
      <c r="L484" s="364"/>
      <c r="M484" s="364"/>
      <c r="N484" s="364"/>
      <c r="O484" s="364"/>
      <c r="P484" s="364"/>
      <c r="Q484" s="364"/>
      <c r="R484" s="364"/>
    </row>
    <row r="485" spans="1:18" s="336" customFormat="1" x14ac:dyDescent="0.2">
      <c r="C485" s="336" t="s">
        <v>1073</v>
      </c>
      <c r="F485" s="350">
        <v>0</v>
      </c>
      <c r="G485" s="350">
        <v>0</v>
      </c>
      <c r="H485" s="350">
        <v>0</v>
      </c>
      <c r="I485" s="350">
        <v>0</v>
      </c>
      <c r="J485" s="350">
        <v>0</v>
      </c>
      <c r="K485" s="350">
        <v>0</v>
      </c>
      <c r="L485" s="350">
        <v>0</v>
      </c>
      <c r="M485" s="350">
        <v>0</v>
      </c>
      <c r="N485" s="350">
        <v>0</v>
      </c>
      <c r="O485" s="350">
        <v>0</v>
      </c>
      <c r="P485" s="350">
        <v>0</v>
      </c>
      <c r="Q485" s="350">
        <v>0</v>
      </c>
      <c r="R485" s="350">
        <f t="shared" ref="R485:R490" si="124">SUM(F485:Q485)</f>
        <v>0</v>
      </c>
    </row>
    <row r="486" spans="1:18" s="336" customFormat="1" x14ac:dyDescent="0.2">
      <c r="C486" s="336" t="s">
        <v>1074</v>
      </c>
      <c r="D486" s="444" t="s">
        <v>808</v>
      </c>
      <c r="F486" s="364">
        <f t="shared" ref="F486:Q487" si="125">F465*F476</f>
        <v>8480.2350000000006</v>
      </c>
      <c r="G486" s="364">
        <f t="shared" si="125"/>
        <v>7914.8860000000004</v>
      </c>
      <c r="H486" s="364">
        <f t="shared" si="125"/>
        <v>7914.8860000000004</v>
      </c>
      <c r="I486" s="364">
        <f t="shared" si="125"/>
        <v>7914.8860000000004</v>
      </c>
      <c r="J486" s="364">
        <f t="shared" si="125"/>
        <v>7914.8860000000004</v>
      </c>
      <c r="K486" s="364">
        <f t="shared" si="125"/>
        <v>7914.8860000000004</v>
      </c>
      <c r="L486" s="364">
        <f t="shared" si="125"/>
        <v>8480.2350000000006</v>
      </c>
      <c r="M486" s="364">
        <f t="shared" si="125"/>
        <v>8480.2350000000006</v>
      </c>
      <c r="N486" s="364">
        <f t="shared" si="125"/>
        <v>8480.2350000000006</v>
      </c>
      <c r="O486" s="364">
        <f t="shared" si="125"/>
        <v>9045.5840000000007</v>
      </c>
      <c r="P486" s="364">
        <f t="shared" si="125"/>
        <v>9045.5840000000007</v>
      </c>
      <c r="Q486" s="364">
        <f t="shared" si="125"/>
        <v>9045.5840000000007</v>
      </c>
      <c r="R486" s="364">
        <f t="shared" si="124"/>
        <v>100632.122</v>
      </c>
    </row>
    <row r="487" spans="1:18" s="336" customFormat="1" x14ac:dyDescent="0.2">
      <c r="C487" s="336" t="s">
        <v>1066</v>
      </c>
      <c r="D487" s="444" t="s">
        <v>808</v>
      </c>
      <c r="F487" s="364">
        <f t="shared" si="125"/>
        <v>26335.283370000001</v>
      </c>
      <c r="G487" s="364">
        <f t="shared" si="125"/>
        <v>24509.25906</v>
      </c>
      <c r="H487" s="364">
        <f t="shared" si="125"/>
        <v>29044.330590000001</v>
      </c>
      <c r="I487" s="364">
        <f t="shared" si="125"/>
        <v>27159.002970000001</v>
      </c>
      <c r="J487" s="364">
        <f t="shared" si="125"/>
        <v>24528.614219999999</v>
      </c>
      <c r="K487" s="364">
        <f t="shared" si="125"/>
        <v>26995.834470000002</v>
      </c>
      <c r="L487" s="364">
        <f t="shared" si="125"/>
        <v>37215.809070000003</v>
      </c>
      <c r="M487" s="364">
        <f t="shared" si="125"/>
        <v>38232.180030000003</v>
      </c>
      <c r="N487" s="364">
        <f t="shared" si="125"/>
        <v>35799.393960000001</v>
      </c>
      <c r="O487" s="364">
        <f t="shared" si="125"/>
        <v>39303.465629999999</v>
      </c>
      <c r="P487" s="364">
        <f t="shared" si="125"/>
        <v>44927.377440000004</v>
      </c>
      <c r="Q487" s="364">
        <f t="shared" si="125"/>
        <v>46672.71774</v>
      </c>
      <c r="R487" s="364">
        <f t="shared" si="124"/>
        <v>400723.26854999998</v>
      </c>
    </row>
    <row r="488" spans="1:18" s="336" customFormat="1" x14ac:dyDescent="0.2">
      <c r="A488" s="336" t="s">
        <v>1054</v>
      </c>
      <c r="C488" s="336" t="s">
        <v>1077</v>
      </c>
      <c r="F488" s="365">
        <f t="shared" ref="F488:L488" si="126">SUM(F485:F487)</f>
        <v>34815.518370000005</v>
      </c>
      <c r="G488" s="365">
        <f t="shared" si="126"/>
        <v>32424.145060000003</v>
      </c>
      <c r="H488" s="365">
        <f t="shared" si="126"/>
        <v>36959.216590000004</v>
      </c>
      <c r="I488" s="365">
        <f t="shared" si="126"/>
        <v>35073.88897</v>
      </c>
      <c r="J488" s="365">
        <f t="shared" si="126"/>
        <v>32443.500220000002</v>
      </c>
      <c r="K488" s="365">
        <f t="shared" si="126"/>
        <v>34910.72047</v>
      </c>
      <c r="L488" s="365">
        <f t="shared" si="126"/>
        <v>45696.044070000004</v>
      </c>
      <c r="M488" s="365">
        <f>SUM(M485:M487)</f>
        <v>46712.415030000004</v>
      </c>
      <c r="N488" s="365">
        <f>SUM(N485:N487)</f>
        <v>44279.628960000002</v>
      </c>
      <c r="O488" s="365">
        <f>SUM(O485:O487)</f>
        <v>48349.049630000001</v>
      </c>
      <c r="P488" s="365">
        <f>SUM(P485:P487)</f>
        <v>53972.961440000006</v>
      </c>
      <c r="Q488" s="365">
        <f>SUM(Q485:Q487)</f>
        <v>55718.301740000003</v>
      </c>
      <c r="R488" s="365">
        <f t="shared" si="124"/>
        <v>501355.39055000001</v>
      </c>
    </row>
    <row r="489" spans="1:18" x14ac:dyDescent="0.2">
      <c r="A489" s="32" t="s">
        <v>1056</v>
      </c>
      <c r="B489" s="336" t="s">
        <v>1081</v>
      </c>
      <c r="D489" s="444" t="s">
        <v>808</v>
      </c>
      <c r="F489" s="418">
        <f t="shared" ref="F489:Q489" si="127">F467*F478</f>
        <v>216.3203</v>
      </c>
      <c r="G489" s="418">
        <f t="shared" si="127"/>
        <v>201.63849999999999</v>
      </c>
      <c r="H489" s="418">
        <f t="shared" si="127"/>
        <v>229.6721</v>
      </c>
      <c r="I489" s="418">
        <f t="shared" si="127"/>
        <v>217.9443</v>
      </c>
      <c r="J489" s="418">
        <f t="shared" si="127"/>
        <v>201.58179999999999</v>
      </c>
      <c r="K489" s="418">
        <f t="shared" si="127"/>
        <v>216.92930000000001</v>
      </c>
      <c r="L489" s="418">
        <f t="shared" si="127"/>
        <v>284.00330000000002</v>
      </c>
      <c r="M489" s="418">
        <f t="shared" si="127"/>
        <v>290.32569999999998</v>
      </c>
      <c r="N489" s="418">
        <f t="shared" si="127"/>
        <v>275.19240000000002</v>
      </c>
      <c r="O489" s="418">
        <f t="shared" si="127"/>
        <v>300.48969999999997</v>
      </c>
      <c r="P489" s="418">
        <f t="shared" si="127"/>
        <v>335.47359999999998</v>
      </c>
      <c r="Q489" s="418">
        <f t="shared" si="127"/>
        <v>346.3306</v>
      </c>
      <c r="R489" s="418">
        <f t="shared" si="124"/>
        <v>3115.9016000000001</v>
      </c>
    </row>
    <row r="490" spans="1:18" x14ac:dyDescent="0.2">
      <c r="A490" s="32" t="s">
        <v>1054</v>
      </c>
      <c r="B490" s="32" t="s">
        <v>1082</v>
      </c>
      <c r="F490" s="418">
        <f t="shared" ref="F490:Q492" si="128">F468*F478</f>
        <v>-1566.77703</v>
      </c>
      <c r="G490" s="418">
        <f t="shared" si="128"/>
        <v>-1460.43885</v>
      </c>
      <c r="H490" s="418">
        <f t="shared" si="128"/>
        <v>-1663.4822099999999</v>
      </c>
      <c r="I490" s="418">
        <f t="shared" si="128"/>
        <v>-1578.53943</v>
      </c>
      <c r="J490" s="418">
        <f t="shared" si="128"/>
        <v>-1460.02818</v>
      </c>
      <c r="K490" s="418">
        <f t="shared" si="128"/>
        <v>-1571.1879300000001</v>
      </c>
      <c r="L490" s="418">
        <f t="shared" si="128"/>
        <v>-2056.9953299999997</v>
      </c>
      <c r="M490" s="418">
        <f t="shared" si="128"/>
        <v>-2102.78757</v>
      </c>
      <c r="N490" s="418">
        <f t="shared" si="128"/>
        <v>-1993.1792399999999</v>
      </c>
      <c r="O490" s="418">
        <f t="shared" si="128"/>
        <v>-2176.4039699999998</v>
      </c>
      <c r="P490" s="418">
        <f t="shared" si="128"/>
        <v>-2429.7873599999998</v>
      </c>
      <c r="Q490" s="418">
        <f t="shared" si="128"/>
        <v>-2508.4230600000001</v>
      </c>
      <c r="R490" s="418">
        <f t="shared" si="124"/>
        <v>-22568.030159999998</v>
      </c>
    </row>
    <row r="491" spans="1:18" s="336" customFormat="1" x14ac:dyDescent="0.2">
      <c r="A491" s="336" t="s">
        <v>1054</v>
      </c>
      <c r="B491" s="336" t="s">
        <v>1069</v>
      </c>
      <c r="D491" s="444" t="s">
        <v>808</v>
      </c>
      <c r="F491" s="364">
        <f t="shared" si="128"/>
        <v>18251.730000000003</v>
      </c>
      <c r="G491" s="364">
        <f t="shared" si="128"/>
        <v>18251.730000000003</v>
      </c>
      <c r="H491" s="364">
        <f t="shared" si="128"/>
        <v>15654.330000000002</v>
      </c>
      <c r="I491" s="364">
        <f t="shared" si="128"/>
        <v>15654.330000000002</v>
      </c>
      <c r="J491" s="364">
        <f t="shared" si="128"/>
        <v>15654.330000000004</v>
      </c>
      <c r="K491" s="364">
        <f t="shared" si="128"/>
        <v>15654.330000000002</v>
      </c>
      <c r="L491" s="364">
        <f t="shared" si="128"/>
        <v>20198.670000000002</v>
      </c>
      <c r="M491" s="364">
        <f t="shared" si="128"/>
        <v>20322.990000000002</v>
      </c>
      <c r="N491" s="364">
        <f t="shared" si="128"/>
        <v>20322.990000000002</v>
      </c>
      <c r="O491" s="364">
        <f t="shared" si="128"/>
        <v>20322.990000000002</v>
      </c>
      <c r="P491" s="364">
        <f t="shared" si="128"/>
        <v>22463.070000000003</v>
      </c>
      <c r="Q491" s="364">
        <f t="shared" si="128"/>
        <v>22463.070000000003</v>
      </c>
      <c r="R491" s="364">
        <f>SUM(F491:Q491)</f>
        <v>225214.56</v>
      </c>
    </row>
    <row r="492" spans="1:18" s="336" customFormat="1" x14ac:dyDescent="0.2">
      <c r="A492" s="336" t="s">
        <v>1054</v>
      </c>
      <c r="B492" s="336" t="s">
        <v>1071</v>
      </c>
      <c r="D492" s="444" t="s">
        <v>808</v>
      </c>
      <c r="F492" s="418">
        <f t="shared" si="128"/>
        <v>1861.5</v>
      </c>
      <c r="G492" s="418">
        <f t="shared" si="128"/>
        <v>1861.5</v>
      </c>
      <c r="H492" s="418">
        <f t="shared" si="128"/>
        <v>1737.3999999999999</v>
      </c>
      <c r="I492" s="418">
        <f t="shared" si="128"/>
        <v>1737.3999999999999</v>
      </c>
      <c r="J492" s="418">
        <f t="shared" si="128"/>
        <v>1737.3999999999999</v>
      </c>
      <c r="K492" s="418">
        <f t="shared" si="128"/>
        <v>1737.3999999999999</v>
      </c>
      <c r="L492" s="418">
        <f t="shared" si="128"/>
        <v>1737.3999999999999</v>
      </c>
      <c r="M492" s="418">
        <f>M470*M480</f>
        <v>1861.5</v>
      </c>
      <c r="N492" s="418">
        <f>N470*N480</f>
        <v>1861.5</v>
      </c>
      <c r="O492" s="418">
        <f>O470*O480</f>
        <v>1985.6</v>
      </c>
      <c r="P492" s="418">
        <f>P470*P480</f>
        <v>1985.6</v>
      </c>
      <c r="Q492" s="418">
        <f>Q470*Q480</f>
        <v>1985.6</v>
      </c>
      <c r="R492" s="418">
        <f>SUM(F492:Q492)</f>
        <v>22089.799999999996</v>
      </c>
    </row>
    <row r="493" spans="1:18" s="336" customFormat="1" x14ac:dyDescent="0.2">
      <c r="B493" s="336" t="s">
        <v>986</v>
      </c>
      <c r="F493" s="339">
        <f>F483+F488+F491+F492+F489+F490</f>
        <v>59798.491640000007</v>
      </c>
      <c r="G493" s="339">
        <f t="shared" ref="G493:R493" si="129">G483+G488+G491+G492+G489+G490</f>
        <v>57498.774710000005</v>
      </c>
      <c r="H493" s="339">
        <f t="shared" si="129"/>
        <v>58722.656480000005</v>
      </c>
      <c r="I493" s="339">
        <f t="shared" si="129"/>
        <v>56910.543840000013</v>
      </c>
      <c r="J493" s="339">
        <f t="shared" si="129"/>
        <v>54382.303840000008</v>
      </c>
      <c r="K493" s="339">
        <f t="shared" si="129"/>
        <v>56753.711840000011</v>
      </c>
      <c r="L493" s="339">
        <f t="shared" si="129"/>
        <v>71664.642039999992</v>
      </c>
      <c r="M493" s="339">
        <f t="shared" si="129"/>
        <v>73304.643160000007</v>
      </c>
      <c r="N493" s="339">
        <f t="shared" si="129"/>
        <v>70966.332120000006</v>
      </c>
      <c r="O493" s="339">
        <f t="shared" si="129"/>
        <v>75416.605360000016</v>
      </c>
      <c r="P493" s="339">
        <f t="shared" si="129"/>
        <v>82962.197680000012</v>
      </c>
      <c r="Q493" s="339">
        <f t="shared" si="129"/>
        <v>84639.759280000013</v>
      </c>
      <c r="R493" s="339">
        <f t="shared" si="129"/>
        <v>803020.66199000005</v>
      </c>
    </row>
    <row r="494" spans="1:18" s="336" customFormat="1" x14ac:dyDescent="0.2">
      <c r="F494" s="415"/>
      <c r="G494" s="415"/>
      <c r="H494" s="415"/>
      <c r="I494" s="415"/>
      <c r="J494" s="415"/>
    </row>
    <row r="495" spans="1:18" s="336" customFormat="1" x14ac:dyDescent="0.2">
      <c r="A495" s="336" t="s">
        <v>1058</v>
      </c>
      <c r="B495" s="336" t="s">
        <v>1050</v>
      </c>
      <c r="F495" s="340">
        <f>F489</f>
        <v>216.3203</v>
      </c>
      <c r="G495" s="340">
        <f t="shared" ref="G495:Q495" si="130">G489</f>
        <v>201.63849999999999</v>
      </c>
      <c r="H495" s="340">
        <f t="shared" si="130"/>
        <v>229.6721</v>
      </c>
      <c r="I495" s="340">
        <f t="shared" si="130"/>
        <v>217.9443</v>
      </c>
      <c r="J495" s="340">
        <f t="shared" si="130"/>
        <v>201.58179999999999</v>
      </c>
      <c r="K495" s="340">
        <f t="shared" si="130"/>
        <v>216.92930000000001</v>
      </c>
      <c r="L495" s="340">
        <f t="shared" si="130"/>
        <v>284.00330000000002</v>
      </c>
      <c r="M495" s="340">
        <f t="shared" si="130"/>
        <v>290.32569999999998</v>
      </c>
      <c r="N495" s="340">
        <f t="shared" si="130"/>
        <v>275.19240000000002</v>
      </c>
      <c r="O495" s="340">
        <f t="shared" si="130"/>
        <v>300.48969999999997</v>
      </c>
      <c r="P495" s="340">
        <f t="shared" si="130"/>
        <v>335.47359999999998</v>
      </c>
      <c r="Q495" s="340">
        <f t="shared" si="130"/>
        <v>346.3306</v>
      </c>
      <c r="R495" s="418">
        <f>SUM(F495:Q495)</f>
        <v>3115.9016000000001</v>
      </c>
    </row>
    <row r="496" spans="1:18" s="336" customFormat="1" x14ac:dyDescent="0.2">
      <c r="F496" s="415"/>
      <c r="G496" s="415"/>
      <c r="H496" s="415"/>
      <c r="I496" s="415"/>
      <c r="J496" s="415"/>
    </row>
    <row r="497" spans="2:18" x14ac:dyDescent="0.2">
      <c r="B497" s="276" t="s">
        <v>1103</v>
      </c>
      <c r="C497" s="276"/>
      <c r="F497" s="390"/>
      <c r="G497" s="390"/>
      <c r="H497" s="390"/>
      <c r="I497" s="390"/>
      <c r="J497" s="390"/>
    </row>
    <row r="498" spans="2:18" x14ac:dyDescent="0.2">
      <c r="B498" s="276" t="s">
        <v>5</v>
      </c>
      <c r="C498" s="276"/>
      <c r="F498" s="390"/>
      <c r="G498" s="390"/>
      <c r="H498" s="390"/>
      <c r="I498" s="390"/>
      <c r="J498" s="390"/>
    </row>
    <row r="499" spans="2:18" x14ac:dyDescent="0.2">
      <c r="B499" s="32" t="s">
        <v>1059</v>
      </c>
      <c r="D499" s="444" t="s">
        <v>809</v>
      </c>
      <c r="E499" s="32" t="s">
        <v>976</v>
      </c>
      <c r="F499" s="413">
        <f t="shared" ref="F499:N499" si="131">F171</f>
        <v>871.59</v>
      </c>
      <c r="G499" s="413">
        <f t="shared" si="131"/>
        <v>871.59</v>
      </c>
      <c r="H499" s="413">
        <f t="shared" si="131"/>
        <v>871.59</v>
      </c>
      <c r="I499" s="413">
        <f t="shared" si="131"/>
        <v>871.59</v>
      </c>
      <c r="J499" s="413">
        <f t="shared" si="131"/>
        <v>871.59</v>
      </c>
      <c r="K499" s="413">
        <f t="shared" si="131"/>
        <v>871.59</v>
      </c>
      <c r="L499" s="413">
        <f t="shared" si="131"/>
        <v>871.59</v>
      </c>
      <c r="M499" s="454">
        <f t="shared" si="131"/>
        <v>871.59</v>
      </c>
      <c r="N499" s="454">
        <f t="shared" si="131"/>
        <v>871.59</v>
      </c>
      <c r="O499" s="454">
        <f>O171</f>
        <v>871.59</v>
      </c>
      <c r="P499" s="454">
        <f>P171</f>
        <v>871.59</v>
      </c>
      <c r="Q499" s="454">
        <f>Q171</f>
        <v>871.59</v>
      </c>
    </row>
    <row r="500" spans="2:18" x14ac:dyDescent="0.2">
      <c r="B500" s="32" t="s">
        <v>1047</v>
      </c>
      <c r="F500" s="393"/>
      <c r="G500" s="393"/>
      <c r="H500" s="393"/>
      <c r="I500" s="393"/>
      <c r="J500" s="393"/>
      <c r="K500" s="393"/>
      <c r="L500" s="393"/>
      <c r="M500" s="453"/>
      <c r="N500" s="453"/>
      <c r="O500" s="453"/>
      <c r="P500" s="453"/>
      <c r="Q500" s="453"/>
    </row>
    <row r="501" spans="2:18" x14ac:dyDescent="0.2">
      <c r="C501" s="32" t="s">
        <v>1086</v>
      </c>
      <c r="D501" s="444" t="s">
        <v>809</v>
      </c>
      <c r="E501" s="32" t="s">
        <v>957</v>
      </c>
      <c r="F501" s="393">
        <f t="shared" ref="F501:Q505" si="132">F173</f>
        <v>0.10229000000000001</v>
      </c>
      <c r="G501" s="393">
        <f t="shared" si="132"/>
        <v>0.10229000000000001</v>
      </c>
      <c r="H501" s="393">
        <f t="shared" si="132"/>
        <v>0.10229000000000001</v>
      </c>
      <c r="I501" s="393">
        <f t="shared" si="132"/>
        <v>0.10229000000000001</v>
      </c>
      <c r="J501" s="393">
        <f t="shared" si="132"/>
        <v>0.10229000000000001</v>
      </c>
      <c r="K501" s="393">
        <f t="shared" si="132"/>
        <v>0.10229000000000001</v>
      </c>
      <c r="L501" s="393">
        <f t="shared" si="132"/>
        <v>0.10229000000000001</v>
      </c>
      <c r="M501" s="459">
        <f t="shared" si="132"/>
        <v>0.10229000000000001</v>
      </c>
      <c r="N501" s="459">
        <f t="shared" si="132"/>
        <v>0.10229000000000001</v>
      </c>
      <c r="O501" s="459">
        <f t="shared" si="132"/>
        <v>0.10229000000000001</v>
      </c>
      <c r="P501" s="459">
        <f t="shared" si="132"/>
        <v>0.10229000000000001</v>
      </c>
      <c r="Q501" s="459">
        <f t="shared" si="132"/>
        <v>0.10229000000000001</v>
      </c>
    </row>
    <row r="502" spans="2:18" x14ac:dyDescent="0.2">
      <c r="C502" s="32" t="s">
        <v>1087</v>
      </c>
      <c r="D502" s="444" t="s">
        <v>809</v>
      </c>
      <c r="E502" s="32" t="s">
        <v>957</v>
      </c>
      <c r="F502" s="393">
        <f t="shared" si="132"/>
        <v>5.2440000000000001E-2</v>
      </c>
      <c r="G502" s="393">
        <f t="shared" si="132"/>
        <v>5.2440000000000001E-2</v>
      </c>
      <c r="H502" s="393">
        <f t="shared" si="132"/>
        <v>5.2440000000000001E-2</v>
      </c>
      <c r="I502" s="393">
        <f t="shared" si="132"/>
        <v>5.2440000000000001E-2</v>
      </c>
      <c r="J502" s="393">
        <f t="shared" si="132"/>
        <v>5.2440000000000001E-2</v>
      </c>
      <c r="K502" s="393">
        <f t="shared" si="132"/>
        <v>5.2440000000000001E-2</v>
      </c>
      <c r="L502" s="393">
        <f t="shared" si="132"/>
        <v>5.2440000000000001E-2</v>
      </c>
      <c r="M502" s="459">
        <f t="shared" si="132"/>
        <v>5.2440000000000001E-2</v>
      </c>
      <c r="N502" s="459">
        <f t="shared" si="132"/>
        <v>5.2440000000000001E-2</v>
      </c>
      <c r="O502" s="459">
        <f t="shared" si="132"/>
        <v>5.2440000000000001E-2</v>
      </c>
      <c r="P502" s="459">
        <f t="shared" si="132"/>
        <v>5.2440000000000001E-2</v>
      </c>
      <c r="Q502" s="459">
        <f t="shared" si="132"/>
        <v>5.2440000000000001E-2</v>
      </c>
    </row>
    <row r="503" spans="2:18" x14ac:dyDescent="0.2">
      <c r="C503" s="32" t="s">
        <v>1088</v>
      </c>
      <c r="D503" s="444" t="s">
        <v>809</v>
      </c>
      <c r="E503" s="32" t="s">
        <v>957</v>
      </c>
      <c r="F503" s="393">
        <f t="shared" si="132"/>
        <v>5.033E-2</v>
      </c>
      <c r="G503" s="393">
        <f t="shared" si="132"/>
        <v>5.033E-2</v>
      </c>
      <c r="H503" s="393">
        <f t="shared" si="132"/>
        <v>5.033E-2</v>
      </c>
      <c r="I503" s="393">
        <f t="shared" si="132"/>
        <v>5.033E-2</v>
      </c>
      <c r="J503" s="393">
        <f t="shared" si="132"/>
        <v>5.033E-2</v>
      </c>
      <c r="K503" s="393">
        <f t="shared" si="132"/>
        <v>5.033E-2</v>
      </c>
      <c r="L503" s="393">
        <f t="shared" si="132"/>
        <v>5.033E-2</v>
      </c>
      <c r="M503" s="459">
        <f t="shared" si="132"/>
        <v>5.033E-2</v>
      </c>
      <c r="N503" s="459">
        <f t="shared" si="132"/>
        <v>5.033E-2</v>
      </c>
      <c r="O503" s="459">
        <f t="shared" si="132"/>
        <v>5.033E-2</v>
      </c>
      <c r="P503" s="459">
        <f t="shared" si="132"/>
        <v>5.033E-2</v>
      </c>
      <c r="Q503" s="459">
        <f t="shared" si="132"/>
        <v>5.033E-2</v>
      </c>
    </row>
    <row r="504" spans="2:18" x14ac:dyDescent="0.2">
      <c r="B504" s="336" t="s">
        <v>1081</v>
      </c>
      <c r="D504" s="382" t="s">
        <v>809</v>
      </c>
      <c r="E504" s="336" t="s">
        <v>957</v>
      </c>
      <c r="F504" s="393">
        <f t="shared" si="132"/>
        <v>6.9999999999999999E-4</v>
      </c>
      <c r="G504" s="393">
        <f t="shared" si="132"/>
        <v>6.9999999999999999E-4</v>
      </c>
      <c r="H504" s="393">
        <f t="shared" si="132"/>
        <v>6.9999999999999999E-4</v>
      </c>
      <c r="I504" s="393">
        <f t="shared" si="132"/>
        <v>6.9999999999999999E-4</v>
      </c>
      <c r="J504" s="393">
        <f t="shared" si="132"/>
        <v>6.9999999999999999E-4</v>
      </c>
      <c r="K504" s="393">
        <f t="shared" si="132"/>
        <v>6.9999999999999999E-4</v>
      </c>
      <c r="L504" s="393">
        <f t="shared" si="132"/>
        <v>6.9999999999999999E-4</v>
      </c>
      <c r="M504" s="459">
        <f t="shared" si="132"/>
        <v>6.9999999999999999E-4</v>
      </c>
      <c r="N504" s="459">
        <f t="shared" si="132"/>
        <v>6.9999999999999999E-4</v>
      </c>
      <c r="O504" s="459">
        <f t="shared" si="132"/>
        <v>6.9999999999999999E-4</v>
      </c>
      <c r="P504" s="459">
        <f t="shared" si="132"/>
        <v>6.9999999999999999E-4</v>
      </c>
      <c r="Q504" s="459">
        <f t="shared" si="132"/>
        <v>6.9999999999999999E-4</v>
      </c>
    </row>
    <row r="505" spans="2:18" x14ac:dyDescent="0.2">
      <c r="B505" s="32" t="s">
        <v>1069</v>
      </c>
      <c r="D505" s="32">
        <v>101</v>
      </c>
      <c r="E505" s="32" t="s">
        <v>957</v>
      </c>
      <c r="F505" s="413">
        <f t="shared" si="132"/>
        <v>1.1100000000000001</v>
      </c>
      <c r="G505" s="413">
        <f t="shared" si="132"/>
        <v>1.1100000000000001</v>
      </c>
      <c r="H505" s="413">
        <f t="shared" si="132"/>
        <v>1.1100000000000001</v>
      </c>
      <c r="I505" s="413">
        <f t="shared" si="132"/>
        <v>1.1100000000000001</v>
      </c>
      <c r="J505" s="413">
        <f t="shared" si="132"/>
        <v>1.1100000000000001</v>
      </c>
      <c r="K505" s="413">
        <f t="shared" si="132"/>
        <v>1.1100000000000001</v>
      </c>
      <c r="L505" s="413">
        <f t="shared" si="132"/>
        <v>1.1100000000000001</v>
      </c>
      <c r="M505" s="460">
        <f t="shared" si="132"/>
        <v>1.1100000000000001</v>
      </c>
      <c r="N505" s="460">
        <f t="shared" si="132"/>
        <v>1.1100000000000001</v>
      </c>
      <c r="O505" s="460">
        <f t="shared" si="132"/>
        <v>1.1100000000000001</v>
      </c>
      <c r="P505" s="460">
        <f t="shared" si="132"/>
        <v>1.1100000000000001</v>
      </c>
      <c r="Q505" s="460">
        <f t="shared" si="132"/>
        <v>1.1100000000000001</v>
      </c>
    </row>
    <row r="506" spans="2:18" s="336" customFormat="1" x14ac:dyDescent="0.2">
      <c r="B506" s="336" t="s">
        <v>1071</v>
      </c>
      <c r="D506" s="444" t="s">
        <v>809</v>
      </c>
      <c r="E506" s="336" t="s">
        <v>67</v>
      </c>
      <c r="F506" s="442"/>
      <c r="G506" s="442"/>
      <c r="H506" s="442"/>
      <c r="I506" s="442"/>
      <c r="J506" s="442"/>
      <c r="K506" s="442"/>
      <c r="L506" s="442"/>
      <c r="M506" s="442"/>
      <c r="N506" s="442"/>
      <c r="O506" s="442"/>
      <c r="P506" s="442"/>
      <c r="Q506" s="442"/>
    </row>
    <row r="507" spans="2:18" s="336" customFormat="1" x14ac:dyDescent="0.2">
      <c r="F507" s="415"/>
      <c r="G507" s="415"/>
      <c r="H507" s="415"/>
      <c r="I507" s="415"/>
      <c r="J507" s="415"/>
    </row>
    <row r="508" spans="2:18" s="336" customFormat="1" x14ac:dyDescent="0.2">
      <c r="B508" s="182" t="s">
        <v>1083</v>
      </c>
      <c r="F508" s="415"/>
      <c r="G508" s="415"/>
      <c r="H508" s="415"/>
      <c r="I508" s="415"/>
      <c r="J508" s="415"/>
    </row>
    <row r="509" spans="2:18" s="336" customFormat="1" x14ac:dyDescent="0.2">
      <c r="B509" s="336" t="s">
        <v>67</v>
      </c>
      <c r="D509" s="444" t="s">
        <v>809</v>
      </c>
      <c r="E509" s="336" t="s">
        <v>67</v>
      </c>
      <c r="F509" s="421">
        <f>'JKP-3.1c - Data'!C149</f>
        <v>63</v>
      </c>
      <c r="G509" s="421">
        <f>'JKP-3.1c - Data'!D149</f>
        <v>65</v>
      </c>
      <c r="H509" s="421">
        <f>'JKP-3.1c - Data'!E149</f>
        <v>64</v>
      </c>
      <c r="I509" s="421">
        <f>'JKP-3.1c - Data'!F149</f>
        <v>64</v>
      </c>
      <c r="J509" s="421">
        <f>'JKP-3.1c - Data'!G149</f>
        <v>63.999999999999993</v>
      </c>
      <c r="K509" s="421">
        <f>'JKP-3.1c - Data'!H149</f>
        <v>63</v>
      </c>
      <c r="L509" s="421">
        <f>'JKP-3.1c - Data'!I149</f>
        <v>63</v>
      </c>
      <c r="M509" s="421">
        <f>'JKP-3.1c - Data'!J149</f>
        <v>62</v>
      </c>
      <c r="N509" s="421">
        <f>'JKP-3.1c - Data'!K149</f>
        <v>62</v>
      </c>
      <c r="O509" s="421">
        <f>'JKP-3.1c - Data'!L149</f>
        <v>62</v>
      </c>
      <c r="P509" s="421">
        <f>'JKP-3.1c - Data'!M149</f>
        <v>62</v>
      </c>
      <c r="Q509" s="421">
        <f>'JKP-3.1c - Data'!N149</f>
        <v>63</v>
      </c>
      <c r="R509" s="378">
        <f>SUM(F509:Q509)</f>
        <v>757</v>
      </c>
    </row>
    <row r="510" spans="2:18" s="336" customFormat="1" x14ac:dyDescent="0.2">
      <c r="B510" s="336" t="s">
        <v>76</v>
      </c>
      <c r="F510" s="380"/>
      <c r="G510" s="380"/>
      <c r="H510" s="380"/>
      <c r="I510" s="380"/>
      <c r="J510" s="380"/>
      <c r="K510" s="380"/>
      <c r="L510" s="380"/>
      <c r="M510" s="380"/>
      <c r="N510" s="380"/>
      <c r="O510" s="380"/>
      <c r="P510" s="380"/>
      <c r="Q510" s="380"/>
      <c r="R510" s="378"/>
    </row>
    <row r="511" spans="2:18" s="336" customFormat="1" x14ac:dyDescent="0.2">
      <c r="C511" s="336" t="s">
        <v>1086</v>
      </c>
      <c r="D511" s="444" t="s">
        <v>809</v>
      </c>
      <c r="E511" s="336" t="s">
        <v>10</v>
      </c>
      <c r="F511" s="380">
        <v>1300086</v>
      </c>
      <c r="G511" s="380">
        <v>1359088</v>
      </c>
      <c r="H511" s="380">
        <v>1447827</v>
      </c>
      <c r="I511" s="380">
        <v>1448608</v>
      </c>
      <c r="J511" s="380">
        <v>1479655</v>
      </c>
      <c r="K511" s="380">
        <v>1475803</v>
      </c>
      <c r="L511" s="380">
        <v>1391248</v>
      </c>
      <c r="M511" s="380">
        <v>1400299</v>
      </c>
      <c r="N511" s="380">
        <v>1390439</v>
      </c>
      <c r="O511" s="380">
        <v>1452877</v>
      </c>
      <c r="P511" s="380">
        <v>1410443</v>
      </c>
      <c r="Q511" s="380">
        <v>1317754</v>
      </c>
      <c r="R511" s="378">
        <f>SUM(F511:Q511)</f>
        <v>16874127</v>
      </c>
    </row>
    <row r="512" spans="2:18" s="336" customFormat="1" x14ac:dyDescent="0.2">
      <c r="C512" s="336" t="s">
        <v>1087</v>
      </c>
      <c r="D512" s="444" t="s">
        <v>809</v>
      </c>
      <c r="E512" s="336" t="s">
        <v>10</v>
      </c>
      <c r="F512" s="380">
        <v>764738</v>
      </c>
      <c r="G512" s="380">
        <v>756676</v>
      </c>
      <c r="H512" s="380">
        <v>896677</v>
      </c>
      <c r="I512" s="380">
        <v>849173</v>
      </c>
      <c r="J512" s="380">
        <v>812946</v>
      </c>
      <c r="K512" s="380">
        <v>944272</v>
      </c>
      <c r="L512" s="380">
        <v>836907</v>
      </c>
      <c r="M512" s="380">
        <v>863182</v>
      </c>
      <c r="N512" s="380">
        <v>882239</v>
      </c>
      <c r="O512" s="380">
        <v>913470</v>
      </c>
      <c r="P512" s="380">
        <v>811150</v>
      </c>
      <c r="Q512" s="380">
        <v>735474</v>
      </c>
      <c r="R512" s="378">
        <f>SUM(F512:Q512)</f>
        <v>10066904</v>
      </c>
    </row>
    <row r="513" spans="1:18" s="336" customFormat="1" x14ac:dyDescent="0.2">
      <c r="C513" s="336" t="s">
        <v>1088</v>
      </c>
      <c r="D513" s="444" t="s">
        <v>809</v>
      </c>
      <c r="E513" s="336" t="s">
        <v>10</v>
      </c>
      <c r="F513" s="378">
        <f t="shared" ref="F513:M513" si="133">F514-SUM(F511:F512)</f>
        <v>1132089</v>
      </c>
      <c r="G513" s="378">
        <f t="shared" si="133"/>
        <v>1035200</v>
      </c>
      <c r="H513" s="378">
        <f t="shared" si="133"/>
        <v>1281979</v>
      </c>
      <c r="I513" s="378">
        <f t="shared" si="133"/>
        <v>1215482</v>
      </c>
      <c r="J513" s="378">
        <f t="shared" si="133"/>
        <v>1282290</v>
      </c>
      <c r="K513" s="378">
        <f t="shared" si="133"/>
        <v>1564170</v>
      </c>
      <c r="L513" s="378">
        <f t="shared" si="133"/>
        <v>1336969</v>
      </c>
      <c r="M513" s="378">
        <f t="shared" si="133"/>
        <v>1411813</v>
      </c>
      <c r="N513" s="378">
        <f>N514-SUM(N511:N512)</f>
        <v>1154727</v>
      </c>
      <c r="O513" s="378">
        <f>O514-SUM(O511:O512)</f>
        <v>1275791</v>
      </c>
      <c r="P513" s="378">
        <f>P514-SUM(P511:P512)</f>
        <v>1281982</v>
      </c>
      <c r="Q513" s="378">
        <f>Q514-SUM(Q511:Q512)</f>
        <v>1188277</v>
      </c>
      <c r="R513" s="378">
        <f>SUM(F513:Q513)</f>
        <v>15160769</v>
      </c>
    </row>
    <row r="514" spans="1:18" s="336" customFormat="1" x14ac:dyDescent="0.2">
      <c r="C514" s="336" t="s">
        <v>1075</v>
      </c>
      <c r="D514" s="444" t="s">
        <v>809</v>
      </c>
      <c r="E514" s="336" t="s">
        <v>10</v>
      </c>
      <c r="F514" s="445">
        <f>'JKP-3.1c - Therms Data'!E91</f>
        <v>3196913</v>
      </c>
      <c r="G514" s="445">
        <f>'JKP-3.1c - Therms Data'!F91</f>
        <v>3150964</v>
      </c>
      <c r="H514" s="445">
        <f>'JKP-3.1c - Therms Data'!G91</f>
        <v>3626483</v>
      </c>
      <c r="I514" s="445">
        <f>'JKP-3.1c - Therms Data'!H91</f>
        <v>3513263</v>
      </c>
      <c r="J514" s="445">
        <f>'JKP-3.1c - Therms Data'!I91</f>
        <v>3574891</v>
      </c>
      <c r="K514" s="445">
        <f>'JKP-3.1c - Therms Data'!J91</f>
        <v>3984245</v>
      </c>
      <c r="L514" s="445">
        <f>'JKP-3.1c - Therms Data'!K91</f>
        <v>3565124</v>
      </c>
      <c r="M514" s="445">
        <f>'JKP-3.1c - Therms Data'!L91</f>
        <v>3675294</v>
      </c>
      <c r="N514" s="445">
        <f>'JKP-3.1c - Therms Data'!M91</f>
        <v>3427405</v>
      </c>
      <c r="O514" s="445">
        <f>'JKP-3.1c - Therms Data'!N91</f>
        <v>3642138</v>
      </c>
      <c r="P514" s="445">
        <f>'JKP-3.1c - Therms Data'!O91</f>
        <v>3503575</v>
      </c>
      <c r="Q514" s="445">
        <f>'JKP-3.1c - Therms Data'!P91</f>
        <v>3241505</v>
      </c>
      <c r="R514" s="436">
        <f>SUM(F514:Q514)</f>
        <v>42101800</v>
      </c>
    </row>
    <row r="515" spans="1:18" s="336" customFormat="1" x14ac:dyDescent="0.2">
      <c r="B515" s="336" t="s">
        <v>74</v>
      </c>
      <c r="D515" s="444" t="s">
        <v>809</v>
      </c>
      <c r="E515" s="336" t="s">
        <v>1076</v>
      </c>
      <c r="F515" s="421">
        <f>'JKP-3.1c - Data'!C169</f>
        <v>41254</v>
      </c>
      <c r="G515" s="421">
        <f>'JKP-3.1c - Data'!D169</f>
        <v>38204</v>
      </c>
      <c r="H515" s="421">
        <f>'JKP-3.1c - Data'!E169</f>
        <v>38204</v>
      </c>
      <c r="I515" s="421">
        <f>'JKP-3.1c - Data'!F169</f>
        <v>38204</v>
      </c>
      <c r="J515" s="421">
        <f>'JKP-3.1c - Data'!G169</f>
        <v>35704</v>
      </c>
      <c r="K515" s="421">
        <f>'JKP-3.1c - Data'!H169</f>
        <v>35704</v>
      </c>
      <c r="L515" s="421">
        <f>'JKP-3.1c - Data'!I169</f>
        <v>35704</v>
      </c>
      <c r="M515" s="421">
        <f>'JKP-3.1c - Data'!J169</f>
        <v>35584</v>
      </c>
      <c r="N515" s="421">
        <f>'JKP-3.1c - Data'!K169</f>
        <v>35584</v>
      </c>
      <c r="O515" s="421">
        <f>'JKP-3.1c - Data'!L169</f>
        <v>35584</v>
      </c>
      <c r="P515" s="421">
        <f>'JKP-3.1c - Data'!M169</f>
        <v>35584</v>
      </c>
      <c r="Q515" s="421">
        <f>'JKP-3.1c - Data'!N169</f>
        <v>35601</v>
      </c>
      <c r="R515" s="378">
        <f>SUM(F515:Q515)</f>
        <v>440915</v>
      </c>
    </row>
    <row r="516" spans="1:18" s="336" customFormat="1" x14ac:dyDescent="0.2">
      <c r="B516" s="336" t="s">
        <v>1071</v>
      </c>
      <c r="D516" s="382"/>
      <c r="F516" s="380"/>
      <c r="G516" s="380"/>
      <c r="H516" s="380"/>
      <c r="I516" s="380"/>
      <c r="J516" s="380"/>
      <c r="K516" s="380"/>
      <c r="L516" s="380"/>
      <c r="M516" s="380"/>
      <c r="N516" s="380"/>
      <c r="O516" s="380"/>
      <c r="P516" s="380"/>
      <c r="Q516" s="380"/>
      <c r="R516" s="380"/>
    </row>
    <row r="517" spans="1:18" s="336" customFormat="1" x14ac:dyDescent="0.2"/>
    <row r="518" spans="1:18" s="336" customFormat="1" x14ac:dyDescent="0.2">
      <c r="B518" s="182" t="s">
        <v>985</v>
      </c>
    </row>
    <row r="519" spans="1:18" s="336" customFormat="1" x14ac:dyDescent="0.2">
      <c r="A519" s="336" t="s">
        <v>1054</v>
      </c>
      <c r="B519" s="336" t="s">
        <v>1059</v>
      </c>
      <c r="D519" s="382" t="s">
        <v>809</v>
      </c>
      <c r="F519" s="418">
        <f t="shared" ref="F519:Q519" si="134">F499*F509</f>
        <v>54910.170000000006</v>
      </c>
      <c r="G519" s="418">
        <f t="shared" si="134"/>
        <v>56653.35</v>
      </c>
      <c r="H519" s="418">
        <f t="shared" si="134"/>
        <v>55781.760000000002</v>
      </c>
      <c r="I519" s="418">
        <f t="shared" si="134"/>
        <v>55781.760000000002</v>
      </c>
      <c r="J519" s="418">
        <f t="shared" si="134"/>
        <v>55781.759999999995</v>
      </c>
      <c r="K519" s="418">
        <f t="shared" si="134"/>
        <v>54910.170000000006</v>
      </c>
      <c r="L519" s="418">
        <f t="shared" si="134"/>
        <v>54910.170000000006</v>
      </c>
      <c r="M519" s="418">
        <f t="shared" si="134"/>
        <v>54038.58</v>
      </c>
      <c r="N519" s="418">
        <f t="shared" si="134"/>
        <v>54038.58</v>
      </c>
      <c r="O519" s="418">
        <f t="shared" si="134"/>
        <v>54038.58</v>
      </c>
      <c r="P519" s="418">
        <f t="shared" si="134"/>
        <v>54038.58</v>
      </c>
      <c r="Q519" s="418">
        <f t="shared" si="134"/>
        <v>54910.170000000006</v>
      </c>
      <c r="R519" s="418">
        <f>SUM(F519:Q519)</f>
        <v>659793.63</v>
      </c>
    </row>
    <row r="520" spans="1:18" x14ac:dyDescent="0.2">
      <c r="B520" s="32" t="s">
        <v>1047</v>
      </c>
      <c r="D520" s="444"/>
      <c r="F520" s="418"/>
      <c r="G520" s="418"/>
      <c r="H520" s="418"/>
      <c r="I520" s="418"/>
      <c r="J520" s="418"/>
      <c r="K520" s="418"/>
      <c r="L520" s="418"/>
      <c r="M520" s="418"/>
      <c r="N520" s="418"/>
      <c r="O520" s="418"/>
      <c r="P520" s="418"/>
      <c r="Q520" s="418"/>
      <c r="R520" s="418"/>
    </row>
    <row r="521" spans="1:18" x14ac:dyDescent="0.2">
      <c r="C521" s="32" t="s">
        <v>1086</v>
      </c>
      <c r="D521" s="382" t="s">
        <v>809</v>
      </c>
      <c r="F521" s="418">
        <f t="shared" ref="F521:Q523" si="135">F501*F511</f>
        <v>132985.79694</v>
      </c>
      <c r="G521" s="418">
        <f t="shared" si="135"/>
        <v>139021.11152000001</v>
      </c>
      <c r="H521" s="418">
        <f t="shared" si="135"/>
        <v>148098.22383</v>
      </c>
      <c r="I521" s="418">
        <f t="shared" si="135"/>
        <v>148178.11232000001</v>
      </c>
      <c r="J521" s="418">
        <f t="shared" si="135"/>
        <v>151353.90995</v>
      </c>
      <c r="K521" s="418">
        <f t="shared" si="135"/>
        <v>150959.88887</v>
      </c>
      <c r="L521" s="418">
        <f t="shared" si="135"/>
        <v>142310.75792</v>
      </c>
      <c r="M521" s="418">
        <f t="shared" si="135"/>
        <v>143236.58471</v>
      </c>
      <c r="N521" s="418">
        <f t="shared" si="135"/>
        <v>142228.00531000001</v>
      </c>
      <c r="O521" s="418">
        <f t="shared" si="135"/>
        <v>148614.78833000001</v>
      </c>
      <c r="P521" s="418">
        <f t="shared" si="135"/>
        <v>144274.21447000001</v>
      </c>
      <c r="Q521" s="418">
        <f t="shared" si="135"/>
        <v>134793.05666</v>
      </c>
      <c r="R521" s="418">
        <f t="shared" ref="R521:R527" si="136">SUM(F521:Q521)</f>
        <v>1726054.4508299998</v>
      </c>
    </row>
    <row r="522" spans="1:18" x14ac:dyDescent="0.2">
      <c r="C522" s="32" t="s">
        <v>1087</v>
      </c>
      <c r="D522" s="382" t="s">
        <v>809</v>
      </c>
      <c r="F522" s="418">
        <f t="shared" si="135"/>
        <v>40102.860719999997</v>
      </c>
      <c r="G522" s="418">
        <f t="shared" si="135"/>
        <v>39680.089440000003</v>
      </c>
      <c r="H522" s="418">
        <f t="shared" si="135"/>
        <v>47021.741880000001</v>
      </c>
      <c r="I522" s="418">
        <f t="shared" si="135"/>
        <v>44530.632120000002</v>
      </c>
      <c r="J522" s="418">
        <f t="shared" si="135"/>
        <v>42630.88824</v>
      </c>
      <c r="K522" s="418">
        <f t="shared" si="135"/>
        <v>49517.623679999997</v>
      </c>
      <c r="L522" s="418">
        <f t="shared" si="135"/>
        <v>43887.403080000004</v>
      </c>
      <c r="M522" s="418">
        <f t="shared" si="135"/>
        <v>45265.264080000001</v>
      </c>
      <c r="N522" s="418">
        <f t="shared" si="135"/>
        <v>46264.613160000001</v>
      </c>
      <c r="O522" s="418">
        <f t="shared" si="135"/>
        <v>47902.366800000003</v>
      </c>
      <c r="P522" s="418">
        <f t="shared" si="135"/>
        <v>42536.705999999998</v>
      </c>
      <c r="Q522" s="418">
        <f t="shared" si="135"/>
        <v>38568.256560000002</v>
      </c>
      <c r="R522" s="418">
        <f t="shared" si="136"/>
        <v>527908.44576000003</v>
      </c>
    </row>
    <row r="523" spans="1:18" x14ac:dyDescent="0.2">
      <c r="C523" s="32" t="s">
        <v>1088</v>
      </c>
      <c r="D523" s="382" t="s">
        <v>809</v>
      </c>
      <c r="F523" s="364">
        <f t="shared" si="135"/>
        <v>56978.039369999999</v>
      </c>
      <c r="G523" s="364">
        <f t="shared" si="135"/>
        <v>52101.616000000002</v>
      </c>
      <c r="H523" s="364">
        <f t="shared" si="135"/>
        <v>64522.003069999999</v>
      </c>
      <c r="I523" s="364">
        <f t="shared" si="135"/>
        <v>61175.209060000001</v>
      </c>
      <c r="J523" s="364">
        <f t="shared" si="135"/>
        <v>64537.655700000003</v>
      </c>
      <c r="K523" s="364">
        <f t="shared" si="135"/>
        <v>78724.676099999997</v>
      </c>
      <c r="L523" s="364">
        <f t="shared" si="135"/>
        <v>67289.649770000004</v>
      </c>
      <c r="M523" s="364">
        <f t="shared" si="135"/>
        <v>71056.548290000006</v>
      </c>
      <c r="N523" s="364">
        <f t="shared" si="135"/>
        <v>58117.409910000002</v>
      </c>
      <c r="O523" s="364">
        <f t="shared" si="135"/>
        <v>64210.561029999997</v>
      </c>
      <c r="P523" s="364">
        <f t="shared" si="135"/>
        <v>64522.154060000001</v>
      </c>
      <c r="Q523" s="364">
        <f t="shared" si="135"/>
        <v>59805.98141</v>
      </c>
      <c r="R523" s="364">
        <f t="shared" si="136"/>
        <v>763041.50376999995</v>
      </c>
    </row>
    <row r="524" spans="1:18" x14ac:dyDescent="0.2">
      <c r="A524" s="32" t="s">
        <v>1054</v>
      </c>
      <c r="C524" s="32" t="s">
        <v>1077</v>
      </c>
      <c r="D524" s="444"/>
      <c r="F524" s="365">
        <f t="shared" ref="F524:M524" si="137">SUM(F521:F523)</f>
        <v>230066.69702999998</v>
      </c>
      <c r="G524" s="365">
        <f t="shared" si="137"/>
        <v>230802.81696000003</v>
      </c>
      <c r="H524" s="365">
        <f t="shared" si="137"/>
        <v>259641.96878000002</v>
      </c>
      <c r="I524" s="365">
        <f t="shared" si="137"/>
        <v>253883.9535</v>
      </c>
      <c r="J524" s="365">
        <f t="shared" si="137"/>
        <v>258522.45389</v>
      </c>
      <c r="K524" s="365">
        <f t="shared" si="137"/>
        <v>279202.18864999997</v>
      </c>
      <c r="L524" s="365">
        <f t="shared" si="137"/>
        <v>253487.81077000004</v>
      </c>
      <c r="M524" s="365">
        <f t="shared" si="137"/>
        <v>259558.39708</v>
      </c>
      <c r="N524" s="365">
        <f>SUM(N521:N523)</f>
        <v>246610.02838000003</v>
      </c>
      <c r="O524" s="365">
        <f>SUM(O521:O523)</f>
        <v>260727.71616000001</v>
      </c>
      <c r="P524" s="365">
        <f>SUM(P521:P523)</f>
        <v>251333.07453000001</v>
      </c>
      <c r="Q524" s="365">
        <f>SUM(Q521:Q523)</f>
        <v>233167.29463000002</v>
      </c>
      <c r="R524" s="365">
        <f t="shared" si="136"/>
        <v>3017004.4003599994</v>
      </c>
    </row>
    <row r="525" spans="1:18" x14ac:dyDescent="0.2">
      <c r="A525" s="390" t="s">
        <v>1056</v>
      </c>
      <c r="B525" s="336" t="s">
        <v>1081</v>
      </c>
      <c r="D525" s="382" t="s">
        <v>809</v>
      </c>
      <c r="E525" s="390"/>
      <c r="F525" s="446">
        <f t="shared" ref="F525:Q526" si="138">F504*F514</f>
        <v>2237.8391000000001</v>
      </c>
      <c r="G525" s="446">
        <f t="shared" si="138"/>
        <v>2205.6747999999998</v>
      </c>
      <c r="H525" s="446">
        <f t="shared" si="138"/>
        <v>2538.5380999999998</v>
      </c>
      <c r="I525" s="446">
        <f t="shared" si="138"/>
        <v>2459.2840999999999</v>
      </c>
      <c r="J525" s="446">
        <f t="shared" si="138"/>
        <v>2502.4236999999998</v>
      </c>
      <c r="K525" s="446">
        <f t="shared" si="138"/>
        <v>2788.9715000000001</v>
      </c>
      <c r="L525" s="446">
        <f t="shared" si="138"/>
        <v>2495.5868</v>
      </c>
      <c r="M525" s="446">
        <f t="shared" si="138"/>
        <v>2572.7058000000002</v>
      </c>
      <c r="N525" s="446">
        <f t="shared" si="138"/>
        <v>2399.1835000000001</v>
      </c>
      <c r="O525" s="446">
        <f t="shared" si="138"/>
        <v>2549.4965999999999</v>
      </c>
      <c r="P525" s="446">
        <f t="shared" si="138"/>
        <v>2452.5025000000001</v>
      </c>
      <c r="Q525" s="446">
        <f t="shared" si="138"/>
        <v>2269.0535</v>
      </c>
      <c r="R525" s="446">
        <f t="shared" si="136"/>
        <v>29471.259999999995</v>
      </c>
    </row>
    <row r="526" spans="1:18" x14ac:dyDescent="0.2">
      <c r="A526" s="32" t="s">
        <v>1054</v>
      </c>
      <c r="B526" s="32" t="s">
        <v>1069</v>
      </c>
      <c r="D526" s="382" t="s">
        <v>809</v>
      </c>
      <c r="F526" s="364">
        <f t="shared" si="138"/>
        <v>45791.94</v>
      </c>
      <c r="G526" s="364">
        <f t="shared" si="138"/>
        <v>42406.44</v>
      </c>
      <c r="H526" s="364">
        <f t="shared" si="138"/>
        <v>42406.44</v>
      </c>
      <c r="I526" s="364">
        <f t="shared" si="138"/>
        <v>42406.44</v>
      </c>
      <c r="J526" s="364">
        <f t="shared" si="138"/>
        <v>39631.440000000002</v>
      </c>
      <c r="K526" s="364">
        <f t="shared" si="138"/>
        <v>39631.440000000002</v>
      </c>
      <c r="L526" s="364">
        <f t="shared" si="138"/>
        <v>39631.440000000002</v>
      </c>
      <c r="M526" s="364">
        <f t="shared" si="138"/>
        <v>39498.240000000005</v>
      </c>
      <c r="N526" s="364">
        <f t="shared" si="138"/>
        <v>39498.240000000005</v>
      </c>
      <c r="O526" s="364">
        <f t="shared" si="138"/>
        <v>39498.240000000005</v>
      </c>
      <c r="P526" s="364">
        <f t="shared" si="138"/>
        <v>39498.240000000005</v>
      </c>
      <c r="Q526" s="364">
        <f t="shared" si="138"/>
        <v>39517.11</v>
      </c>
      <c r="R526" s="364">
        <f t="shared" si="136"/>
        <v>489415.64999999997</v>
      </c>
    </row>
    <row r="527" spans="1:18" s="336" customFormat="1" x14ac:dyDescent="0.2">
      <c r="A527" s="336" t="s">
        <v>1054</v>
      </c>
      <c r="B527" s="336" t="s">
        <v>1071</v>
      </c>
      <c r="D527" s="382" t="s">
        <v>809</v>
      </c>
      <c r="F527" s="447">
        <f>'JKP-3.1c - Data'!C186</f>
        <v>0</v>
      </c>
      <c r="G527" s="447">
        <f>'JKP-3.1c - Data'!D186</f>
        <v>0</v>
      </c>
      <c r="H527" s="447">
        <f>'JKP-3.1c - Data'!E186</f>
        <v>4975.97</v>
      </c>
      <c r="I527" s="447">
        <f>'JKP-3.1c - Data'!F186</f>
        <v>204602.52</v>
      </c>
      <c r="J527" s="447">
        <f>'JKP-3.1c - Data'!G186</f>
        <v>132721.98000000001</v>
      </c>
      <c r="K527" s="447">
        <f>'JKP-3.1c - Data'!H186</f>
        <v>0</v>
      </c>
      <c r="L527" s="447">
        <f>'JKP-3.1c - Data'!I186</f>
        <v>9820.9500000000007</v>
      </c>
      <c r="M527" s="447">
        <f>'JKP-3.1c - Data'!J186</f>
        <v>0</v>
      </c>
      <c r="N527" s="447">
        <f>'JKP-3.1c - Data'!K186</f>
        <v>19527.16</v>
      </c>
      <c r="O527" s="447">
        <f>'JKP-3.1c - Data'!L186</f>
        <v>0</v>
      </c>
      <c r="P527" s="447">
        <f>'JKP-3.1c - Data'!M186</f>
        <v>11374.9</v>
      </c>
      <c r="Q527" s="447">
        <f>'JKP-3.1c - Data'!N186</f>
        <v>0</v>
      </c>
      <c r="R527" s="365">
        <f t="shared" si="136"/>
        <v>383023.48</v>
      </c>
    </row>
    <row r="528" spans="1:18" x14ac:dyDescent="0.2">
      <c r="B528" s="32" t="s">
        <v>986</v>
      </c>
      <c r="F528" s="365">
        <f>F519+F524+F525+F526+F527</f>
        <v>333006.64612999995</v>
      </c>
      <c r="G528" s="365">
        <f t="shared" ref="G528:R528" si="139">G519+G524+G525+G526+G527</f>
        <v>332068.28175999998</v>
      </c>
      <c r="H528" s="365">
        <f t="shared" si="139"/>
        <v>365344.67687999998</v>
      </c>
      <c r="I528" s="365">
        <f t="shared" si="139"/>
        <v>559133.95759999997</v>
      </c>
      <c r="J528" s="365">
        <f t="shared" si="139"/>
        <v>489160.05758999998</v>
      </c>
      <c r="K528" s="365">
        <f t="shared" si="139"/>
        <v>376532.77014999994</v>
      </c>
      <c r="L528" s="365">
        <f t="shared" si="139"/>
        <v>360345.95757000003</v>
      </c>
      <c r="M528" s="365">
        <f t="shared" si="139"/>
        <v>355667.92287999997</v>
      </c>
      <c r="N528" s="365">
        <f t="shared" si="139"/>
        <v>362073.19188</v>
      </c>
      <c r="O528" s="365">
        <f t="shared" si="139"/>
        <v>356814.03276000003</v>
      </c>
      <c r="P528" s="365">
        <f t="shared" si="139"/>
        <v>358697.29703000002</v>
      </c>
      <c r="Q528" s="365">
        <f t="shared" si="139"/>
        <v>329863.62812999997</v>
      </c>
      <c r="R528" s="365">
        <f t="shared" si="139"/>
        <v>4578708.4203599989</v>
      </c>
    </row>
    <row r="529" spans="1:18" x14ac:dyDescent="0.2">
      <c r="F529" s="390"/>
      <c r="G529" s="390"/>
      <c r="H529" s="390"/>
      <c r="I529" s="390"/>
      <c r="J529" s="390"/>
    </row>
    <row r="530" spans="1:18" x14ac:dyDescent="0.2">
      <c r="A530" s="32" t="s">
        <v>1058</v>
      </c>
      <c r="B530" s="32" t="s">
        <v>1050</v>
      </c>
      <c r="F530" s="417">
        <f>F525</f>
        <v>2237.8391000000001</v>
      </c>
      <c r="G530" s="417">
        <f t="shared" ref="G530:Q530" si="140">G525</f>
        <v>2205.6747999999998</v>
      </c>
      <c r="H530" s="417">
        <f t="shared" si="140"/>
        <v>2538.5380999999998</v>
      </c>
      <c r="I530" s="417">
        <f t="shared" si="140"/>
        <v>2459.2840999999999</v>
      </c>
      <c r="J530" s="417">
        <f t="shared" si="140"/>
        <v>2502.4236999999998</v>
      </c>
      <c r="K530" s="417">
        <f t="shared" si="140"/>
        <v>2788.9715000000001</v>
      </c>
      <c r="L530" s="417">
        <f t="shared" si="140"/>
        <v>2495.5868</v>
      </c>
      <c r="M530" s="417">
        <f t="shared" si="140"/>
        <v>2572.7058000000002</v>
      </c>
      <c r="N530" s="417">
        <f t="shared" si="140"/>
        <v>2399.1835000000001</v>
      </c>
      <c r="O530" s="417">
        <f t="shared" si="140"/>
        <v>2549.4965999999999</v>
      </c>
      <c r="P530" s="417">
        <f t="shared" si="140"/>
        <v>2452.5025000000001</v>
      </c>
      <c r="Q530" s="417">
        <f t="shared" si="140"/>
        <v>2269.0535</v>
      </c>
      <c r="R530" s="364">
        <f>SUM(F530:Q530)</f>
        <v>29471.259999999995</v>
      </c>
    </row>
    <row r="531" spans="1:18" x14ac:dyDescent="0.2">
      <c r="F531" s="390"/>
      <c r="G531" s="390"/>
      <c r="H531" s="390"/>
      <c r="I531" s="390"/>
      <c r="J531" s="390"/>
    </row>
    <row r="532" spans="1:18" x14ac:dyDescent="0.2">
      <c r="B532" s="276" t="s">
        <v>1104</v>
      </c>
      <c r="C532" s="276"/>
    </row>
    <row r="533" spans="1:18" x14ac:dyDescent="0.2">
      <c r="B533" s="276" t="s">
        <v>5</v>
      </c>
      <c r="C533" s="276"/>
    </row>
    <row r="534" spans="1:18" x14ac:dyDescent="0.2">
      <c r="B534" s="32" t="s">
        <v>1059</v>
      </c>
      <c r="D534" s="444" t="s">
        <v>810</v>
      </c>
      <c r="E534" s="32" t="s">
        <v>976</v>
      </c>
      <c r="F534" s="414">
        <v>443.45</v>
      </c>
      <c r="G534" s="414">
        <v>443.45</v>
      </c>
      <c r="H534" s="414">
        <v>443.45</v>
      </c>
      <c r="I534" s="414">
        <v>443.45</v>
      </c>
      <c r="J534" s="414">
        <v>443.45</v>
      </c>
      <c r="K534" s="414">
        <v>443.45</v>
      </c>
      <c r="L534" s="414">
        <v>443.45</v>
      </c>
      <c r="M534" s="414">
        <v>443.45</v>
      </c>
      <c r="N534" s="414">
        <v>443.45</v>
      </c>
      <c r="O534" s="414">
        <v>443.45</v>
      </c>
      <c r="P534" s="414">
        <v>443.45</v>
      </c>
      <c r="Q534" s="414">
        <v>443.45</v>
      </c>
      <c r="R534" s="439"/>
    </row>
    <row r="535" spans="1:18" x14ac:dyDescent="0.2">
      <c r="B535" s="32" t="s">
        <v>1047</v>
      </c>
      <c r="F535" s="393"/>
      <c r="G535" s="393"/>
      <c r="H535" s="393"/>
      <c r="I535" s="393"/>
      <c r="J535" s="393"/>
      <c r="K535" s="393"/>
      <c r="L535" s="393"/>
      <c r="M535" s="393"/>
      <c r="N535" s="393"/>
      <c r="O535" s="393"/>
      <c r="P535" s="393"/>
      <c r="Q535" s="393"/>
      <c r="R535" s="394"/>
    </row>
    <row r="536" spans="1:18" x14ac:dyDescent="0.2">
      <c r="C536" s="32" t="s">
        <v>1098</v>
      </c>
      <c r="D536" s="444" t="s">
        <v>810</v>
      </c>
      <c r="E536" s="32" t="s">
        <v>957</v>
      </c>
      <c r="F536" s="395">
        <v>0.19819999999999999</v>
      </c>
      <c r="G536" s="395">
        <v>0.19819999999999999</v>
      </c>
      <c r="H536" s="395">
        <v>0.19819999999999999</v>
      </c>
      <c r="I536" s="395">
        <v>0.19819999999999999</v>
      </c>
      <c r="J536" s="395">
        <v>0.19819999999999999</v>
      </c>
      <c r="K536" s="395">
        <v>0.19819999999999999</v>
      </c>
      <c r="L536" s="395">
        <v>0.19819999999999999</v>
      </c>
      <c r="M536" s="395">
        <v>0.19819999999999999</v>
      </c>
      <c r="N536" s="395">
        <v>0.19819999999999999</v>
      </c>
      <c r="O536" s="395">
        <v>0.19819999999999999</v>
      </c>
      <c r="P536" s="395">
        <v>0.19819999999999999</v>
      </c>
      <c r="Q536" s="395">
        <v>0.19819999999999999</v>
      </c>
      <c r="R536" s="394"/>
    </row>
    <row r="537" spans="1:18" x14ac:dyDescent="0.2">
      <c r="C537" s="32" t="s">
        <v>1099</v>
      </c>
      <c r="D537" s="444" t="s">
        <v>810</v>
      </c>
      <c r="E537" s="32" t="s">
        <v>957</v>
      </c>
      <c r="F537" s="395">
        <v>0.1421</v>
      </c>
      <c r="G537" s="395">
        <v>0.1421</v>
      </c>
      <c r="H537" s="395">
        <v>0.1421</v>
      </c>
      <c r="I537" s="395">
        <v>0.1421</v>
      </c>
      <c r="J537" s="395">
        <v>0.1421</v>
      </c>
      <c r="K537" s="395">
        <v>0.1421</v>
      </c>
      <c r="L537" s="395">
        <v>0.1421</v>
      </c>
      <c r="M537" s="395">
        <v>0.1421</v>
      </c>
      <c r="N537" s="395">
        <v>0.1421</v>
      </c>
      <c r="O537" s="395">
        <v>0.1421</v>
      </c>
      <c r="P537" s="395">
        <v>0.1421</v>
      </c>
      <c r="Q537" s="395">
        <v>0.1421</v>
      </c>
      <c r="R537" s="394"/>
    </row>
    <row r="538" spans="1:18" x14ac:dyDescent="0.2">
      <c r="B538" s="32" t="s">
        <v>1081</v>
      </c>
      <c r="D538" s="444" t="s">
        <v>810</v>
      </c>
      <c r="E538" s="32" t="s">
        <v>957</v>
      </c>
      <c r="F538" s="461">
        <v>6.9999999999999999E-4</v>
      </c>
      <c r="G538" s="461">
        <v>6.9999999999999999E-4</v>
      </c>
      <c r="H538" s="461">
        <v>6.9999999999999999E-4</v>
      </c>
      <c r="I538" s="461">
        <v>6.9999999999999999E-4</v>
      </c>
      <c r="J538" s="461">
        <v>6.9999999999999999E-4</v>
      </c>
      <c r="K538" s="461">
        <v>6.9999999999999999E-4</v>
      </c>
      <c r="L538" s="461">
        <v>6.9999999999999999E-4</v>
      </c>
      <c r="M538" s="461">
        <v>6.9999999999999999E-4</v>
      </c>
      <c r="N538" s="461">
        <v>6.9999999999999999E-4</v>
      </c>
      <c r="O538" s="461">
        <v>6.9999999999999999E-4</v>
      </c>
      <c r="P538" s="461">
        <v>6.9999999999999999E-4</v>
      </c>
      <c r="Q538" s="461">
        <v>6.9999999999999999E-4</v>
      </c>
      <c r="R538" s="394"/>
    </row>
    <row r="539" spans="1:18" x14ac:dyDescent="0.2">
      <c r="B539" s="32" t="s">
        <v>1069</v>
      </c>
      <c r="D539" s="32">
        <v>101</v>
      </c>
      <c r="E539" s="32" t="s">
        <v>957</v>
      </c>
      <c r="F539" s="414">
        <v>1.1100000000000001</v>
      </c>
      <c r="G539" s="414">
        <v>1.1100000000000001</v>
      </c>
      <c r="H539" s="414">
        <v>1.1100000000000001</v>
      </c>
      <c r="I539" s="414">
        <v>1.1100000000000001</v>
      </c>
      <c r="J539" s="414">
        <v>1.1100000000000001</v>
      </c>
      <c r="K539" s="414">
        <v>1.1100000000000001</v>
      </c>
      <c r="L539" s="414">
        <v>1.1100000000000001</v>
      </c>
      <c r="M539" s="414">
        <v>1.1100000000000001</v>
      </c>
      <c r="N539" s="414">
        <v>1.1100000000000001</v>
      </c>
      <c r="O539" s="414">
        <v>1.1100000000000001</v>
      </c>
      <c r="P539" s="414">
        <v>1.1100000000000001</v>
      </c>
      <c r="Q539" s="414">
        <v>1.1100000000000001</v>
      </c>
      <c r="R539" s="394"/>
    </row>
    <row r="540" spans="1:18" s="336" customFormat="1" x14ac:dyDescent="0.2">
      <c r="B540" s="336" t="s">
        <v>1071</v>
      </c>
      <c r="D540" s="444" t="s">
        <v>810</v>
      </c>
      <c r="E540" s="336" t="s">
        <v>67</v>
      </c>
      <c r="F540" s="450"/>
      <c r="G540" s="450"/>
      <c r="H540" s="442"/>
      <c r="I540" s="450"/>
      <c r="J540" s="450"/>
      <c r="K540" s="450"/>
      <c r="L540" s="450"/>
      <c r="M540" s="450"/>
      <c r="N540" s="450"/>
      <c r="O540" s="450"/>
      <c r="P540" s="450"/>
      <c r="Q540" s="450"/>
      <c r="R540" s="441"/>
    </row>
    <row r="541" spans="1:18" s="336" customFormat="1" x14ac:dyDescent="0.2"/>
    <row r="542" spans="1:18" s="336" customFormat="1" x14ac:dyDescent="0.2">
      <c r="B542" s="182" t="s">
        <v>982</v>
      </c>
    </row>
    <row r="543" spans="1:18" s="336" customFormat="1" x14ac:dyDescent="0.2">
      <c r="B543" s="336" t="s">
        <v>67</v>
      </c>
      <c r="E543" s="336" t="s">
        <v>67</v>
      </c>
      <c r="F543" s="421">
        <f>'JKP-3.1c - Data'!C152</f>
        <v>0</v>
      </c>
      <c r="G543" s="421">
        <f>'JKP-3.1c - Data'!D152</f>
        <v>0</v>
      </c>
      <c r="H543" s="421">
        <f>'JKP-3.1c - Data'!E152</f>
        <v>0</v>
      </c>
      <c r="I543" s="421">
        <f>'JKP-3.1c - Data'!F152</f>
        <v>0</v>
      </c>
      <c r="J543" s="421">
        <f>'JKP-3.1c - Data'!G152</f>
        <v>0</v>
      </c>
      <c r="K543" s="421">
        <f>'JKP-3.1c - Data'!H152</f>
        <v>1</v>
      </c>
      <c r="L543" s="421">
        <f>'JKP-3.1c - Data'!I152</f>
        <v>1</v>
      </c>
      <c r="M543" s="421">
        <f>'JKP-3.1c - Data'!J152</f>
        <v>1</v>
      </c>
      <c r="N543" s="421">
        <f>'JKP-3.1c - Data'!K152</f>
        <v>1</v>
      </c>
      <c r="O543" s="421">
        <f>'JKP-3.1c - Data'!L152</f>
        <v>1</v>
      </c>
      <c r="P543" s="421">
        <f>'JKP-3.1c - Data'!M152</f>
        <v>1</v>
      </c>
      <c r="Q543" s="421">
        <f>'JKP-3.1c - Data'!N152</f>
        <v>1</v>
      </c>
      <c r="R543" s="378">
        <f>SUM(F543:Q543)</f>
        <v>7</v>
      </c>
    </row>
    <row r="544" spans="1:18" s="336" customFormat="1" x14ac:dyDescent="0.2">
      <c r="B544" s="336" t="s">
        <v>76</v>
      </c>
      <c r="F544" s="380"/>
      <c r="G544" s="380"/>
      <c r="H544" s="380"/>
      <c r="I544" s="380"/>
      <c r="J544" s="380"/>
      <c r="K544" s="380"/>
      <c r="L544" s="380"/>
      <c r="M544" s="380"/>
      <c r="N544" s="380"/>
      <c r="O544" s="380"/>
      <c r="P544" s="380"/>
      <c r="Q544" s="380"/>
      <c r="R544" s="378"/>
    </row>
    <row r="545" spans="1:18" s="336" customFormat="1" x14ac:dyDescent="0.2">
      <c r="C545" s="336" t="s">
        <v>1098</v>
      </c>
      <c r="E545" s="336" t="s">
        <v>10</v>
      </c>
      <c r="F545" s="380">
        <v>0</v>
      </c>
      <c r="G545" s="380">
        <v>0</v>
      </c>
      <c r="H545" s="380">
        <v>0</v>
      </c>
      <c r="I545" s="380">
        <v>0</v>
      </c>
      <c r="J545" s="380">
        <v>0</v>
      </c>
      <c r="K545" s="380">
        <v>0</v>
      </c>
      <c r="L545" s="380">
        <v>0</v>
      </c>
      <c r="M545" s="380">
        <v>1000</v>
      </c>
      <c r="N545" s="380">
        <v>1000</v>
      </c>
      <c r="O545" s="380">
        <v>1000</v>
      </c>
      <c r="P545" s="380">
        <v>963</v>
      </c>
      <c r="Q545" s="380">
        <v>197</v>
      </c>
      <c r="R545" s="378">
        <f>SUM(F545:Q545)</f>
        <v>4160</v>
      </c>
    </row>
    <row r="546" spans="1:18" s="336" customFormat="1" x14ac:dyDescent="0.2">
      <c r="C546" s="336" t="s">
        <v>1099</v>
      </c>
      <c r="E546" s="336" t="s">
        <v>10</v>
      </c>
      <c r="F546" s="378">
        <f t="shared" ref="F546:N546" si="141">F547-F545</f>
        <v>0</v>
      </c>
      <c r="G546" s="378">
        <f t="shared" si="141"/>
        <v>0</v>
      </c>
      <c r="H546" s="378">
        <f t="shared" si="141"/>
        <v>0</v>
      </c>
      <c r="I546" s="378">
        <f t="shared" si="141"/>
        <v>0</v>
      </c>
      <c r="J546" s="378">
        <f t="shared" si="141"/>
        <v>0</v>
      </c>
      <c r="K546" s="378">
        <f t="shared" si="141"/>
        <v>0</v>
      </c>
      <c r="L546" s="378">
        <f t="shared" si="141"/>
        <v>0</v>
      </c>
      <c r="M546" s="378">
        <f t="shared" si="141"/>
        <v>1158</v>
      </c>
      <c r="N546" s="378">
        <f t="shared" si="141"/>
        <v>8063</v>
      </c>
      <c r="O546" s="378">
        <f>O547-O545</f>
        <v>7098</v>
      </c>
      <c r="P546" s="378">
        <f>P547-P545</f>
        <v>0</v>
      </c>
      <c r="Q546" s="378">
        <f>Q547-Q545</f>
        <v>0</v>
      </c>
      <c r="R546" s="378">
        <f>SUM(F546:Q546)</f>
        <v>16319</v>
      </c>
    </row>
    <row r="547" spans="1:18" s="336" customFormat="1" x14ac:dyDescent="0.2">
      <c r="C547" s="336" t="s">
        <v>1075</v>
      </c>
      <c r="E547" s="336" t="s">
        <v>10</v>
      </c>
      <c r="F547" s="445">
        <f>'JKP-3.1c - Therms Data'!E93</f>
        <v>0</v>
      </c>
      <c r="G547" s="445">
        <f>'JKP-3.1c - Therms Data'!F93</f>
        <v>0</v>
      </c>
      <c r="H547" s="445">
        <f>'JKP-3.1c - Therms Data'!G93</f>
        <v>0</v>
      </c>
      <c r="I547" s="445">
        <f>'JKP-3.1c - Therms Data'!H93</f>
        <v>0</v>
      </c>
      <c r="J547" s="445">
        <f>'JKP-3.1c - Therms Data'!I93</f>
        <v>0</v>
      </c>
      <c r="K547" s="445">
        <f>'JKP-3.1c - Therms Data'!J93</f>
        <v>0</v>
      </c>
      <c r="L547" s="445">
        <f>'JKP-3.1c - Therms Data'!K93</f>
        <v>0</v>
      </c>
      <c r="M547" s="445">
        <f>'JKP-3.1c - Therms Data'!L93</f>
        <v>2158</v>
      </c>
      <c r="N547" s="445">
        <f>'JKP-3.1c - Therms Data'!M93</f>
        <v>9063</v>
      </c>
      <c r="O547" s="445">
        <f>'JKP-3.1c - Therms Data'!N93</f>
        <v>8098</v>
      </c>
      <c r="P547" s="445">
        <f>'JKP-3.1c - Therms Data'!O93</f>
        <v>963</v>
      </c>
      <c r="Q547" s="445">
        <f>'JKP-3.1c - Therms Data'!P93</f>
        <v>197</v>
      </c>
      <c r="R547" s="436">
        <f>SUM(R545:R546)</f>
        <v>20479</v>
      </c>
    </row>
    <row r="548" spans="1:18" s="336" customFormat="1" x14ac:dyDescent="0.2">
      <c r="B548" s="336" t="s">
        <v>74</v>
      </c>
      <c r="E548" s="336" t="s">
        <v>1076</v>
      </c>
      <c r="F548" s="421">
        <f>'JKP-3.1c - Data'!C172</f>
        <v>0</v>
      </c>
      <c r="G548" s="421">
        <f>'JKP-3.1c - Data'!D172</f>
        <v>0</v>
      </c>
      <c r="H548" s="421">
        <f>'JKP-3.1c - Data'!E172</f>
        <v>0</v>
      </c>
      <c r="I548" s="421">
        <f>'JKP-3.1c - Data'!F172</f>
        <v>0</v>
      </c>
      <c r="J548" s="421">
        <f>'JKP-3.1c - Data'!G172</f>
        <v>0</v>
      </c>
      <c r="K548" s="421">
        <f>'JKP-3.1c - Data'!H172</f>
        <v>0</v>
      </c>
      <c r="L548" s="421">
        <f>'JKP-3.1c - Data'!I172</f>
        <v>0</v>
      </c>
      <c r="M548" s="421">
        <f>'JKP-3.1c - Data'!J172</f>
        <v>0</v>
      </c>
      <c r="N548" s="421">
        <f>'JKP-3.1c - Data'!K172</f>
        <v>0</v>
      </c>
      <c r="O548" s="421">
        <f>'JKP-3.1c - Data'!L172</f>
        <v>0</v>
      </c>
      <c r="P548" s="421">
        <f>'JKP-3.1c - Data'!M172</f>
        <v>0</v>
      </c>
      <c r="Q548" s="421">
        <f>'JKP-3.1c - Data'!N172</f>
        <v>0</v>
      </c>
      <c r="R548" s="378">
        <f>SUM(F548:Q548)</f>
        <v>0</v>
      </c>
    </row>
    <row r="549" spans="1:18" s="336" customFormat="1" x14ac:dyDescent="0.2">
      <c r="B549" s="336" t="s">
        <v>1071</v>
      </c>
      <c r="F549" s="380"/>
      <c r="G549" s="380"/>
      <c r="H549" s="380"/>
      <c r="I549" s="380"/>
      <c r="J549" s="380"/>
      <c r="K549" s="380"/>
      <c r="L549" s="380"/>
      <c r="M549" s="380"/>
      <c r="N549" s="380"/>
      <c r="O549" s="380"/>
      <c r="P549" s="380"/>
      <c r="Q549" s="380"/>
      <c r="R549" s="378"/>
    </row>
    <row r="550" spans="1:18" s="336" customFormat="1" x14ac:dyDescent="0.2">
      <c r="R550" s="179"/>
    </row>
    <row r="551" spans="1:18" s="336" customFormat="1" x14ac:dyDescent="0.2">
      <c r="B551" s="182" t="s">
        <v>985</v>
      </c>
      <c r="R551" s="179"/>
    </row>
    <row r="552" spans="1:18" s="336" customFormat="1" x14ac:dyDescent="0.2">
      <c r="A552" s="336" t="s">
        <v>1054</v>
      </c>
      <c r="B552" s="336" t="s">
        <v>1059</v>
      </c>
      <c r="D552" s="444" t="s">
        <v>810</v>
      </c>
      <c r="F552" s="418">
        <f>F534*F543</f>
        <v>0</v>
      </c>
      <c r="G552" s="418">
        <f t="shared" ref="G552:Q552" si="142">G534*G543</f>
        <v>0</v>
      </c>
      <c r="H552" s="418">
        <f t="shared" si="142"/>
        <v>0</v>
      </c>
      <c r="I552" s="418">
        <f t="shared" si="142"/>
        <v>0</v>
      </c>
      <c r="J552" s="418">
        <f t="shared" si="142"/>
        <v>0</v>
      </c>
      <c r="K552" s="418">
        <f t="shared" si="142"/>
        <v>443.45</v>
      </c>
      <c r="L552" s="418">
        <f t="shared" si="142"/>
        <v>443.45</v>
      </c>
      <c r="M552" s="418">
        <f t="shared" si="142"/>
        <v>443.45</v>
      </c>
      <c r="N552" s="418">
        <f t="shared" si="142"/>
        <v>443.45</v>
      </c>
      <c r="O552" s="418">
        <f t="shared" si="142"/>
        <v>443.45</v>
      </c>
      <c r="P552" s="418">
        <f t="shared" si="142"/>
        <v>443.45</v>
      </c>
      <c r="Q552" s="418">
        <f t="shared" si="142"/>
        <v>443.45</v>
      </c>
      <c r="R552" s="378">
        <f>SUM(F552:Q552)</f>
        <v>3104.1499999999996</v>
      </c>
    </row>
    <row r="553" spans="1:18" s="336" customFormat="1" x14ac:dyDescent="0.2">
      <c r="B553" s="336" t="s">
        <v>1047</v>
      </c>
      <c r="F553" s="418"/>
      <c r="G553" s="418"/>
      <c r="H553" s="418"/>
      <c r="I553" s="418"/>
      <c r="J553" s="418"/>
      <c r="K553" s="418"/>
      <c r="L553" s="418"/>
      <c r="M553" s="418"/>
      <c r="N553" s="418"/>
      <c r="O553" s="418"/>
      <c r="P553" s="418"/>
      <c r="Q553" s="418"/>
      <c r="R553" s="418"/>
    </row>
    <row r="554" spans="1:18" s="336" customFormat="1" x14ac:dyDescent="0.2">
      <c r="C554" s="336" t="s">
        <v>1098</v>
      </c>
      <c r="D554" s="444" t="s">
        <v>810</v>
      </c>
      <c r="F554" s="418">
        <f>F536*F545</f>
        <v>0</v>
      </c>
      <c r="G554" s="418">
        <f t="shared" ref="G554:Q555" si="143">G536*G545</f>
        <v>0</v>
      </c>
      <c r="H554" s="418">
        <f t="shared" si="143"/>
        <v>0</v>
      </c>
      <c r="I554" s="418">
        <f t="shared" si="143"/>
        <v>0</v>
      </c>
      <c r="J554" s="418">
        <f t="shared" si="143"/>
        <v>0</v>
      </c>
      <c r="K554" s="418">
        <f t="shared" si="143"/>
        <v>0</v>
      </c>
      <c r="L554" s="418">
        <f t="shared" si="143"/>
        <v>0</v>
      </c>
      <c r="M554" s="418">
        <f t="shared" si="143"/>
        <v>198.2</v>
      </c>
      <c r="N554" s="418">
        <f t="shared" si="143"/>
        <v>198.2</v>
      </c>
      <c r="O554" s="418">
        <f t="shared" si="143"/>
        <v>198.2</v>
      </c>
      <c r="P554" s="418">
        <f t="shared" si="143"/>
        <v>190.86659999999998</v>
      </c>
      <c r="Q554" s="418">
        <f t="shared" si="143"/>
        <v>39.045400000000001</v>
      </c>
      <c r="R554" s="378">
        <f>SUM(F554:Q554)</f>
        <v>824.51199999999983</v>
      </c>
    </row>
    <row r="555" spans="1:18" s="336" customFormat="1" x14ac:dyDescent="0.2">
      <c r="C555" s="336" t="s">
        <v>1099</v>
      </c>
      <c r="D555" s="444" t="s">
        <v>810</v>
      </c>
      <c r="F555" s="418">
        <f>F537*F546</f>
        <v>0</v>
      </c>
      <c r="G555" s="418">
        <f t="shared" si="143"/>
        <v>0</v>
      </c>
      <c r="H555" s="418">
        <f t="shared" si="143"/>
        <v>0</v>
      </c>
      <c r="I555" s="418">
        <f t="shared" si="143"/>
        <v>0</v>
      </c>
      <c r="J555" s="418">
        <f t="shared" si="143"/>
        <v>0</v>
      </c>
      <c r="K555" s="418">
        <f t="shared" si="143"/>
        <v>0</v>
      </c>
      <c r="L555" s="418">
        <f t="shared" si="143"/>
        <v>0</v>
      </c>
      <c r="M555" s="418">
        <f t="shared" si="143"/>
        <v>164.55180000000001</v>
      </c>
      <c r="N555" s="418">
        <f t="shared" si="143"/>
        <v>1145.7523000000001</v>
      </c>
      <c r="O555" s="418">
        <f t="shared" si="143"/>
        <v>1008.6258</v>
      </c>
      <c r="P555" s="418">
        <f t="shared" si="143"/>
        <v>0</v>
      </c>
      <c r="Q555" s="418">
        <f t="shared" si="143"/>
        <v>0</v>
      </c>
      <c r="R555" s="378">
        <f>SUM(F555:Q555)</f>
        <v>2318.9299000000001</v>
      </c>
    </row>
    <row r="556" spans="1:18" x14ac:dyDescent="0.2">
      <c r="A556" s="32" t="s">
        <v>1054</v>
      </c>
      <c r="C556" s="32" t="s">
        <v>1077</v>
      </c>
      <c r="F556" s="365">
        <f t="shared" ref="F556:R556" si="144">SUM(F554:F555)</f>
        <v>0</v>
      </c>
      <c r="G556" s="365">
        <f t="shared" si="144"/>
        <v>0</v>
      </c>
      <c r="H556" s="365">
        <f t="shared" si="144"/>
        <v>0</v>
      </c>
      <c r="I556" s="365">
        <f t="shared" si="144"/>
        <v>0</v>
      </c>
      <c r="J556" s="365">
        <f t="shared" si="144"/>
        <v>0</v>
      </c>
      <c r="K556" s="365">
        <f t="shared" si="144"/>
        <v>0</v>
      </c>
      <c r="L556" s="365">
        <f t="shared" si="144"/>
        <v>0</v>
      </c>
      <c r="M556" s="365">
        <f t="shared" si="144"/>
        <v>362.7518</v>
      </c>
      <c r="N556" s="365">
        <f t="shared" si="144"/>
        <v>1343.9523000000002</v>
      </c>
      <c r="O556" s="365">
        <f t="shared" si="144"/>
        <v>1206.8258000000001</v>
      </c>
      <c r="P556" s="365">
        <f t="shared" si="144"/>
        <v>190.86659999999998</v>
      </c>
      <c r="Q556" s="365">
        <f t="shared" si="144"/>
        <v>39.045400000000001</v>
      </c>
      <c r="R556" s="365">
        <f t="shared" si="144"/>
        <v>3143.4418999999998</v>
      </c>
    </row>
    <row r="557" spans="1:18" x14ac:dyDescent="0.2">
      <c r="A557" s="32" t="s">
        <v>1056</v>
      </c>
      <c r="B557" s="32" t="s">
        <v>1105</v>
      </c>
      <c r="D557" s="444"/>
      <c r="F557" s="365">
        <f>F538*F547</f>
        <v>0</v>
      </c>
      <c r="G557" s="365">
        <f t="shared" ref="G557:Q558" si="145">G538*G547</f>
        <v>0</v>
      </c>
      <c r="H557" s="365">
        <f t="shared" si="145"/>
        <v>0</v>
      </c>
      <c r="I557" s="365">
        <f t="shared" si="145"/>
        <v>0</v>
      </c>
      <c r="J557" s="365">
        <f t="shared" si="145"/>
        <v>0</v>
      </c>
      <c r="K557" s="365">
        <f t="shared" si="145"/>
        <v>0</v>
      </c>
      <c r="L557" s="365">
        <f t="shared" si="145"/>
        <v>0</v>
      </c>
      <c r="M557" s="365">
        <f t="shared" si="145"/>
        <v>1.5105999999999999</v>
      </c>
      <c r="N557" s="365">
        <f t="shared" si="145"/>
        <v>6.3441000000000001</v>
      </c>
      <c r="O557" s="365">
        <f t="shared" si="145"/>
        <v>5.6685999999999996</v>
      </c>
      <c r="P557" s="365">
        <f t="shared" si="145"/>
        <v>0.67410000000000003</v>
      </c>
      <c r="Q557" s="365">
        <f t="shared" si="145"/>
        <v>0.13789999999999999</v>
      </c>
      <c r="R557" s="378">
        <f>SUM(F557:Q557)</f>
        <v>14.335299999999998</v>
      </c>
    </row>
    <row r="558" spans="1:18" x14ac:dyDescent="0.2">
      <c r="A558" s="32" t="s">
        <v>1054</v>
      </c>
      <c r="B558" s="32" t="s">
        <v>1069</v>
      </c>
      <c r="D558" s="444" t="s">
        <v>810</v>
      </c>
      <c r="F558" s="364">
        <f>F539*F548</f>
        <v>0</v>
      </c>
      <c r="G558" s="364">
        <f t="shared" si="145"/>
        <v>0</v>
      </c>
      <c r="H558" s="364">
        <f t="shared" si="145"/>
        <v>0</v>
      </c>
      <c r="I558" s="364">
        <f t="shared" si="145"/>
        <v>0</v>
      </c>
      <c r="J558" s="364">
        <f t="shared" si="145"/>
        <v>0</v>
      </c>
      <c r="K558" s="364">
        <f t="shared" si="145"/>
        <v>0</v>
      </c>
      <c r="L558" s="364">
        <f t="shared" si="145"/>
        <v>0</v>
      </c>
      <c r="M558" s="364">
        <f t="shared" si="145"/>
        <v>0</v>
      </c>
      <c r="N558" s="364">
        <f t="shared" si="145"/>
        <v>0</v>
      </c>
      <c r="O558" s="364">
        <f t="shared" si="145"/>
        <v>0</v>
      </c>
      <c r="P558" s="364">
        <f t="shared" si="145"/>
        <v>0</v>
      </c>
      <c r="Q558" s="364">
        <f t="shared" si="145"/>
        <v>0</v>
      </c>
      <c r="R558" s="378">
        <f>SUM(F558:Q558)</f>
        <v>0</v>
      </c>
    </row>
    <row r="559" spans="1:18" s="336" customFormat="1" x14ac:dyDescent="0.2">
      <c r="A559" s="336" t="s">
        <v>1054</v>
      </c>
      <c r="B559" s="336" t="s">
        <v>1071</v>
      </c>
      <c r="D559" s="444" t="s">
        <v>810</v>
      </c>
      <c r="F559" s="447">
        <f>'JKP-3.1c - Data'!C189</f>
        <v>0</v>
      </c>
      <c r="G559" s="447">
        <f>'JKP-3.1c - Data'!D189</f>
        <v>0</v>
      </c>
      <c r="H559" s="447">
        <f>'JKP-3.1c - Data'!E189</f>
        <v>0</v>
      </c>
      <c r="I559" s="447">
        <f>'JKP-3.1c - Data'!F189</f>
        <v>0</v>
      </c>
      <c r="J559" s="447">
        <f>'JKP-3.1c - Data'!G189</f>
        <v>0</v>
      </c>
      <c r="K559" s="447">
        <f>'JKP-3.1c - Data'!H189</f>
        <v>0</v>
      </c>
      <c r="L559" s="447">
        <f>'JKP-3.1c - Data'!I189</f>
        <v>0</v>
      </c>
      <c r="M559" s="447">
        <f>'JKP-3.1c - Data'!J189</f>
        <v>0</v>
      </c>
      <c r="N559" s="447">
        <f>'JKP-3.1c - Data'!K189</f>
        <v>68.489999999999995</v>
      </c>
      <c r="O559" s="447">
        <f>'JKP-3.1c - Data'!L189</f>
        <v>0</v>
      </c>
      <c r="P559" s="447">
        <f>'JKP-3.1c - Data'!M189</f>
        <v>0</v>
      </c>
      <c r="Q559" s="447">
        <f>'JKP-3.1c - Data'!N189</f>
        <v>0</v>
      </c>
      <c r="R559" s="378">
        <f>SUM(F559:Q559)</f>
        <v>68.489999999999995</v>
      </c>
    </row>
    <row r="560" spans="1:18" x14ac:dyDescent="0.2">
      <c r="B560" s="32" t="s">
        <v>986</v>
      </c>
      <c r="F560" s="365">
        <f>F552+F556+F557+F558+F559</f>
        <v>0</v>
      </c>
      <c r="G560" s="365">
        <f t="shared" ref="G560:R560" si="146">G552+G556+G557+G558+G559</f>
        <v>0</v>
      </c>
      <c r="H560" s="365">
        <f t="shared" si="146"/>
        <v>0</v>
      </c>
      <c r="I560" s="365">
        <f t="shared" si="146"/>
        <v>0</v>
      </c>
      <c r="J560" s="365">
        <f t="shared" si="146"/>
        <v>0</v>
      </c>
      <c r="K560" s="365">
        <f t="shared" si="146"/>
        <v>443.45</v>
      </c>
      <c r="L560" s="365">
        <f t="shared" si="146"/>
        <v>443.45</v>
      </c>
      <c r="M560" s="365">
        <f t="shared" si="146"/>
        <v>807.7124</v>
      </c>
      <c r="N560" s="365">
        <f t="shared" si="146"/>
        <v>1862.2364000000002</v>
      </c>
      <c r="O560" s="365">
        <f t="shared" si="146"/>
        <v>1655.9444000000001</v>
      </c>
      <c r="P560" s="365">
        <f t="shared" si="146"/>
        <v>634.99069999999995</v>
      </c>
      <c r="Q560" s="365">
        <f t="shared" si="146"/>
        <v>482.63330000000002</v>
      </c>
      <c r="R560" s="365">
        <f t="shared" si="146"/>
        <v>6330.417199999999</v>
      </c>
    </row>
    <row r="561" spans="1:18" x14ac:dyDescent="0.2">
      <c r="F561" s="364"/>
      <c r="G561" s="364"/>
      <c r="H561" s="364"/>
      <c r="I561" s="364"/>
      <c r="J561" s="364"/>
      <c r="K561" s="364"/>
      <c r="L561" s="364"/>
      <c r="M561" s="364"/>
      <c r="N561" s="364"/>
      <c r="O561" s="364"/>
      <c r="P561" s="364"/>
      <c r="Q561" s="364"/>
      <c r="R561" s="364"/>
    </row>
    <row r="562" spans="1:18" x14ac:dyDescent="0.2">
      <c r="A562" s="32" t="s">
        <v>1058</v>
      </c>
      <c r="B562" s="32" t="s">
        <v>1050</v>
      </c>
      <c r="F562" s="364">
        <f>F557</f>
        <v>0</v>
      </c>
      <c r="G562" s="364">
        <f t="shared" ref="G562:Q562" si="147">G557</f>
        <v>0</v>
      </c>
      <c r="H562" s="364">
        <f t="shared" si="147"/>
        <v>0</v>
      </c>
      <c r="I562" s="364">
        <f t="shared" si="147"/>
        <v>0</v>
      </c>
      <c r="J562" s="364">
        <f t="shared" si="147"/>
        <v>0</v>
      </c>
      <c r="K562" s="364">
        <f t="shared" si="147"/>
        <v>0</v>
      </c>
      <c r="L562" s="364">
        <f t="shared" si="147"/>
        <v>0</v>
      </c>
      <c r="M562" s="364">
        <f t="shared" si="147"/>
        <v>1.5105999999999999</v>
      </c>
      <c r="N562" s="364">
        <f t="shared" si="147"/>
        <v>6.3441000000000001</v>
      </c>
      <c r="O562" s="364">
        <f t="shared" si="147"/>
        <v>5.6685999999999996</v>
      </c>
      <c r="P562" s="364">
        <f t="shared" si="147"/>
        <v>0.67410000000000003</v>
      </c>
      <c r="Q562" s="364">
        <f t="shared" si="147"/>
        <v>0.13789999999999999</v>
      </c>
      <c r="R562" s="378">
        <f>SUM(F562:Q562)</f>
        <v>14.335299999999998</v>
      </c>
    </row>
    <row r="563" spans="1:18" x14ac:dyDescent="0.2">
      <c r="F563" s="364"/>
      <c r="G563" s="364"/>
      <c r="H563" s="364"/>
      <c r="I563" s="364"/>
      <c r="J563" s="364"/>
      <c r="K563" s="364"/>
      <c r="L563" s="364"/>
      <c r="M563" s="364"/>
      <c r="N563" s="364"/>
      <c r="O563" s="364"/>
      <c r="P563" s="364"/>
      <c r="Q563" s="364"/>
      <c r="R563" s="341"/>
    </row>
    <row r="564" spans="1:18" x14ac:dyDescent="0.2">
      <c r="B564" s="276" t="s">
        <v>1106</v>
      </c>
      <c r="C564" s="276"/>
      <c r="F564" s="390"/>
      <c r="G564" s="390"/>
      <c r="H564" s="390"/>
      <c r="I564" s="390"/>
      <c r="J564" s="390"/>
    </row>
    <row r="565" spans="1:18" x14ac:dyDescent="0.2">
      <c r="B565" s="276" t="s">
        <v>5</v>
      </c>
      <c r="C565" s="276"/>
      <c r="F565" s="390"/>
      <c r="G565" s="390"/>
      <c r="H565" s="390"/>
      <c r="I565" s="390"/>
      <c r="J565" s="390"/>
    </row>
    <row r="566" spans="1:18" x14ac:dyDescent="0.2">
      <c r="B566" s="32" t="s">
        <v>1059</v>
      </c>
      <c r="D566" s="444" t="s">
        <v>811</v>
      </c>
      <c r="E566" s="32" t="s">
        <v>976</v>
      </c>
      <c r="F566" s="413">
        <f t="shared" ref="F566:L566" si="148">F206</f>
        <v>871.85</v>
      </c>
      <c r="G566" s="413">
        <f t="shared" si="148"/>
        <v>871.85</v>
      </c>
      <c r="H566" s="413">
        <f t="shared" si="148"/>
        <v>871.85</v>
      </c>
      <c r="I566" s="413">
        <f t="shared" si="148"/>
        <v>871.85</v>
      </c>
      <c r="J566" s="413">
        <f t="shared" si="148"/>
        <v>871.85</v>
      </c>
      <c r="K566" s="413">
        <f t="shared" si="148"/>
        <v>871.85</v>
      </c>
      <c r="L566" s="413">
        <f t="shared" si="148"/>
        <v>871.85</v>
      </c>
      <c r="M566" s="460">
        <f>M206</f>
        <v>871.85</v>
      </c>
      <c r="N566" s="460">
        <f>N206</f>
        <v>871.85</v>
      </c>
      <c r="O566" s="460">
        <f>O206</f>
        <v>871.85</v>
      </c>
      <c r="P566" s="460">
        <f>P206</f>
        <v>871.85</v>
      </c>
      <c r="Q566" s="460">
        <f>Q206</f>
        <v>871.85</v>
      </c>
    </row>
    <row r="567" spans="1:18" x14ac:dyDescent="0.2">
      <c r="B567" s="32" t="s">
        <v>1047</v>
      </c>
      <c r="F567" s="393"/>
      <c r="G567" s="393"/>
      <c r="H567" s="393"/>
      <c r="I567" s="393"/>
      <c r="J567" s="393"/>
      <c r="K567" s="393"/>
      <c r="L567" s="393"/>
      <c r="M567" s="459"/>
      <c r="N567" s="459"/>
      <c r="O567" s="459"/>
      <c r="P567" s="459"/>
      <c r="Q567" s="459"/>
    </row>
    <row r="568" spans="1:18" x14ac:dyDescent="0.2">
      <c r="C568" s="32" t="s">
        <v>1086</v>
      </c>
      <c r="D568" s="444" t="s">
        <v>811</v>
      </c>
      <c r="E568" s="32" t="s">
        <v>957</v>
      </c>
      <c r="F568" s="393">
        <f t="shared" ref="F568:Q575" si="149">F208</f>
        <v>0.13815</v>
      </c>
      <c r="G568" s="393">
        <f t="shared" si="149"/>
        <v>0.13815</v>
      </c>
      <c r="H568" s="393">
        <f t="shared" si="149"/>
        <v>0.13815</v>
      </c>
      <c r="I568" s="393">
        <f t="shared" si="149"/>
        <v>0.13815</v>
      </c>
      <c r="J568" s="393">
        <f t="shared" si="149"/>
        <v>0.13815</v>
      </c>
      <c r="K568" s="393">
        <f t="shared" si="149"/>
        <v>0.13815</v>
      </c>
      <c r="L568" s="393">
        <f t="shared" si="149"/>
        <v>0.13815</v>
      </c>
      <c r="M568" s="459">
        <f t="shared" si="149"/>
        <v>0.13815</v>
      </c>
      <c r="N568" s="459">
        <f t="shared" si="149"/>
        <v>0.13815</v>
      </c>
      <c r="O568" s="459">
        <f t="shared" si="149"/>
        <v>0.13815</v>
      </c>
      <c r="P568" s="459">
        <f t="shared" si="149"/>
        <v>0.13815</v>
      </c>
      <c r="Q568" s="459">
        <f t="shared" si="149"/>
        <v>0.13815</v>
      </c>
    </row>
    <row r="569" spans="1:18" x14ac:dyDescent="0.2">
      <c r="C569" s="32" t="s">
        <v>1087</v>
      </c>
      <c r="D569" s="444" t="s">
        <v>811</v>
      </c>
      <c r="E569" s="32" t="s">
        <v>957</v>
      </c>
      <c r="F569" s="393">
        <f t="shared" si="149"/>
        <v>8.4349999999999994E-2</v>
      </c>
      <c r="G569" s="393">
        <f t="shared" si="149"/>
        <v>8.4349999999999994E-2</v>
      </c>
      <c r="H569" s="393">
        <f t="shared" si="149"/>
        <v>8.4349999999999994E-2</v>
      </c>
      <c r="I569" s="393">
        <f t="shared" si="149"/>
        <v>8.4349999999999994E-2</v>
      </c>
      <c r="J569" s="393">
        <f t="shared" si="149"/>
        <v>8.4349999999999994E-2</v>
      </c>
      <c r="K569" s="393">
        <f t="shared" si="149"/>
        <v>8.4349999999999994E-2</v>
      </c>
      <c r="L569" s="393">
        <f t="shared" si="149"/>
        <v>8.4349999999999994E-2</v>
      </c>
      <c r="M569" s="459">
        <f t="shared" si="149"/>
        <v>8.4349999999999994E-2</v>
      </c>
      <c r="N569" s="459">
        <f t="shared" si="149"/>
        <v>8.4349999999999994E-2</v>
      </c>
      <c r="O569" s="459">
        <f t="shared" si="149"/>
        <v>8.4349999999999994E-2</v>
      </c>
      <c r="P569" s="459">
        <f t="shared" si="149"/>
        <v>8.4349999999999994E-2</v>
      </c>
      <c r="Q569" s="459">
        <f t="shared" si="149"/>
        <v>8.4349999999999994E-2</v>
      </c>
    </row>
    <row r="570" spans="1:18" x14ac:dyDescent="0.2">
      <c r="C570" s="32" t="s">
        <v>1090</v>
      </c>
      <c r="D570" s="444" t="s">
        <v>811</v>
      </c>
      <c r="E570" s="32" t="s">
        <v>957</v>
      </c>
      <c r="F570" s="393">
        <f t="shared" si="149"/>
        <v>5.4460000000000001E-2</v>
      </c>
      <c r="G570" s="393">
        <f t="shared" si="149"/>
        <v>5.4460000000000001E-2</v>
      </c>
      <c r="H570" s="393">
        <f t="shared" si="149"/>
        <v>5.4460000000000001E-2</v>
      </c>
      <c r="I570" s="393">
        <f t="shared" si="149"/>
        <v>5.4460000000000001E-2</v>
      </c>
      <c r="J570" s="393">
        <f t="shared" si="149"/>
        <v>5.4460000000000001E-2</v>
      </c>
      <c r="K570" s="393">
        <f t="shared" si="149"/>
        <v>5.4460000000000001E-2</v>
      </c>
      <c r="L570" s="393">
        <f t="shared" si="149"/>
        <v>5.4460000000000001E-2</v>
      </c>
      <c r="M570" s="459">
        <f t="shared" si="149"/>
        <v>5.4460000000000001E-2</v>
      </c>
      <c r="N570" s="459">
        <f t="shared" si="149"/>
        <v>5.4460000000000001E-2</v>
      </c>
      <c r="O570" s="459">
        <f t="shared" si="149"/>
        <v>5.4460000000000001E-2</v>
      </c>
      <c r="P570" s="459">
        <f t="shared" si="149"/>
        <v>5.4460000000000001E-2</v>
      </c>
      <c r="Q570" s="459">
        <f t="shared" si="149"/>
        <v>5.4460000000000001E-2</v>
      </c>
    </row>
    <row r="571" spans="1:18" x14ac:dyDescent="0.2">
      <c r="C571" s="32" t="s">
        <v>1091</v>
      </c>
      <c r="D571" s="444" t="s">
        <v>811</v>
      </c>
      <c r="E571" s="32" t="s">
        <v>957</v>
      </c>
      <c r="F571" s="393">
        <f t="shared" si="149"/>
        <v>3.5700000000000003E-2</v>
      </c>
      <c r="G571" s="393">
        <f t="shared" si="149"/>
        <v>3.5700000000000003E-2</v>
      </c>
      <c r="H571" s="393">
        <f t="shared" si="149"/>
        <v>3.5700000000000003E-2</v>
      </c>
      <c r="I571" s="393">
        <f t="shared" si="149"/>
        <v>3.5700000000000003E-2</v>
      </c>
      <c r="J571" s="393">
        <f t="shared" si="149"/>
        <v>3.5700000000000003E-2</v>
      </c>
      <c r="K571" s="393">
        <f t="shared" si="149"/>
        <v>3.5700000000000003E-2</v>
      </c>
      <c r="L571" s="393">
        <f t="shared" si="149"/>
        <v>3.5700000000000003E-2</v>
      </c>
      <c r="M571" s="459">
        <f t="shared" si="149"/>
        <v>3.5700000000000003E-2</v>
      </c>
      <c r="N571" s="459">
        <f t="shared" si="149"/>
        <v>3.5700000000000003E-2</v>
      </c>
      <c r="O571" s="459">
        <f t="shared" si="149"/>
        <v>3.5700000000000003E-2</v>
      </c>
      <c r="P571" s="459">
        <f t="shared" si="149"/>
        <v>3.5700000000000003E-2</v>
      </c>
      <c r="Q571" s="459">
        <f t="shared" si="149"/>
        <v>3.5700000000000003E-2</v>
      </c>
    </row>
    <row r="572" spans="1:18" x14ac:dyDescent="0.2">
      <c r="C572" s="32" t="s">
        <v>1092</v>
      </c>
      <c r="D572" s="444" t="s">
        <v>811</v>
      </c>
      <c r="E572" s="32" t="s">
        <v>957</v>
      </c>
      <c r="F572" s="393">
        <f t="shared" si="149"/>
        <v>2.63E-2</v>
      </c>
      <c r="G572" s="393">
        <f t="shared" si="149"/>
        <v>2.63E-2</v>
      </c>
      <c r="H572" s="393">
        <f t="shared" si="149"/>
        <v>2.63E-2</v>
      </c>
      <c r="I572" s="393">
        <f t="shared" si="149"/>
        <v>2.63E-2</v>
      </c>
      <c r="J572" s="393">
        <f t="shared" si="149"/>
        <v>2.63E-2</v>
      </c>
      <c r="K572" s="393">
        <f t="shared" si="149"/>
        <v>2.63E-2</v>
      </c>
      <c r="L572" s="393">
        <f t="shared" si="149"/>
        <v>2.63E-2</v>
      </c>
      <c r="M572" s="459">
        <f t="shared" si="149"/>
        <v>2.63E-2</v>
      </c>
      <c r="N572" s="459">
        <f t="shared" si="149"/>
        <v>2.63E-2</v>
      </c>
      <c r="O572" s="459">
        <f t="shared" si="149"/>
        <v>2.63E-2</v>
      </c>
      <c r="P572" s="459">
        <f t="shared" si="149"/>
        <v>2.63E-2</v>
      </c>
      <c r="Q572" s="459">
        <f t="shared" si="149"/>
        <v>2.63E-2</v>
      </c>
    </row>
    <row r="573" spans="1:18" x14ac:dyDescent="0.2">
      <c r="C573" s="32" t="s">
        <v>1093</v>
      </c>
      <c r="D573" s="444" t="s">
        <v>811</v>
      </c>
      <c r="E573" s="32" t="s">
        <v>957</v>
      </c>
      <c r="F573" s="393">
        <f t="shared" si="149"/>
        <v>2.077E-2</v>
      </c>
      <c r="G573" s="393">
        <f t="shared" si="149"/>
        <v>2.077E-2</v>
      </c>
      <c r="H573" s="393">
        <f t="shared" si="149"/>
        <v>2.077E-2</v>
      </c>
      <c r="I573" s="393">
        <f t="shared" si="149"/>
        <v>2.077E-2</v>
      </c>
      <c r="J573" s="393">
        <f t="shared" si="149"/>
        <v>2.077E-2</v>
      </c>
      <c r="K573" s="393">
        <f t="shared" si="149"/>
        <v>2.077E-2</v>
      </c>
      <c r="L573" s="393">
        <f t="shared" si="149"/>
        <v>2.077E-2</v>
      </c>
      <c r="M573" s="459">
        <f t="shared" si="149"/>
        <v>2.077E-2</v>
      </c>
      <c r="N573" s="459">
        <f t="shared" si="149"/>
        <v>2.077E-2</v>
      </c>
      <c r="O573" s="459">
        <f t="shared" si="149"/>
        <v>2.077E-2</v>
      </c>
      <c r="P573" s="459">
        <f t="shared" si="149"/>
        <v>2.077E-2</v>
      </c>
      <c r="Q573" s="459">
        <f t="shared" si="149"/>
        <v>2.077E-2</v>
      </c>
    </row>
    <row r="574" spans="1:18" x14ac:dyDescent="0.2">
      <c r="B574" s="336" t="s">
        <v>1081</v>
      </c>
      <c r="D574" s="382" t="s">
        <v>811</v>
      </c>
      <c r="E574" s="336" t="s">
        <v>957</v>
      </c>
      <c r="F574" s="393">
        <f t="shared" si="149"/>
        <v>6.9999999999999999E-4</v>
      </c>
      <c r="G574" s="393">
        <f t="shared" si="149"/>
        <v>6.9999999999999999E-4</v>
      </c>
      <c r="H574" s="393">
        <f t="shared" si="149"/>
        <v>6.9999999999999999E-4</v>
      </c>
      <c r="I574" s="393">
        <f t="shared" si="149"/>
        <v>6.9999999999999999E-4</v>
      </c>
      <c r="J574" s="393">
        <f t="shared" si="149"/>
        <v>6.9999999999999999E-4</v>
      </c>
      <c r="K574" s="393">
        <f t="shared" si="149"/>
        <v>6.9999999999999999E-4</v>
      </c>
      <c r="L574" s="393">
        <f t="shared" si="149"/>
        <v>6.9999999999999999E-4</v>
      </c>
      <c r="M574" s="459">
        <f>M214</f>
        <v>6.9999999999999999E-4</v>
      </c>
      <c r="N574" s="459">
        <f>N214</f>
        <v>6.9999999999999999E-4</v>
      </c>
      <c r="O574" s="459">
        <f t="shared" si="149"/>
        <v>6.9999999999999999E-4</v>
      </c>
      <c r="P574" s="459">
        <f t="shared" si="149"/>
        <v>6.9999999999999999E-4</v>
      </c>
      <c r="Q574" s="459">
        <f t="shared" si="149"/>
        <v>6.9999999999999999E-4</v>
      </c>
    </row>
    <row r="575" spans="1:18" x14ac:dyDescent="0.2">
      <c r="B575" s="32" t="s">
        <v>1069</v>
      </c>
      <c r="D575" s="444" t="s">
        <v>811</v>
      </c>
      <c r="E575" s="32" t="s">
        <v>957</v>
      </c>
      <c r="F575" s="413">
        <f t="shared" si="149"/>
        <v>1.1100000000000001</v>
      </c>
      <c r="G575" s="413">
        <f t="shared" si="149"/>
        <v>1.1100000000000001</v>
      </c>
      <c r="H575" s="413">
        <f t="shared" si="149"/>
        <v>1.1100000000000001</v>
      </c>
      <c r="I575" s="413">
        <f t="shared" si="149"/>
        <v>1.1100000000000001</v>
      </c>
      <c r="J575" s="413">
        <f t="shared" si="149"/>
        <v>1.1100000000000001</v>
      </c>
      <c r="K575" s="413">
        <f t="shared" si="149"/>
        <v>1.1100000000000001</v>
      </c>
      <c r="L575" s="413">
        <f t="shared" si="149"/>
        <v>1.1100000000000001</v>
      </c>
      <c r="M575" s="460">
        <f>M215</f>
        <v>1.1100000000000001</v>
      </c>
      <c r="N575" s="460">
        <f>N215</f>
        <v>1.1100000000000001</v>
      </c>
      <c r="O575" s="460">
        <f t="shared" si="149"/>
        <v>1.1100000000000001</v>
      </c>
      <c r="P575" s="460">
        <f t="shared" si="149"/>
        <v>1.1100000000000001</v>
      </c>
      <c r="Q575" s="460">
        <f t="shared" si="149"/>
        <v>1.1100000000000001</v>
      </c>
    </row>
    <row r="576" spans="1:18" s="336" customFormat="1" x14ac:dyDescent="0.2">
      <c r="B576" s="336" t="s">
        <v>1071</v>
      </c>
      <c r="D576" s="444" t="s">
        <v>811</v>
      </c>
      <c r="E576" s="336" t="s">
        <v>67</v>
      </c>
      <c r="F576" s="442"/>
      <c r="G576" s="442"/>
      <c r="H576" s="442"/>
      <c r="I576" s="442"/>
      <c r="J576" s="442"/>
      <c r="K576" s="442"/>
      <c r="L576" s="442"/>
    </row>
    <row r="577" spans="1:18" s="336" customFormat="1" x14ac:dyDescent="0.2">
      <c r="F577" s="415"/>
      <c r="G577" s="415"/>
      <c r="H577" s="415"/>
      <c r="I577" s="415"/>
      <c r="J577" s="415"/>
    </row>
    <row r="578" spans="1:18" s="336" customFormat="1" x14ac:dyDescent="0.2">
      <c r="B578" s="182" t="s">
        <v>1083</v>
      </c>
      <c r="F578" s="415"/>
      <c r="G578" s="415"/>
      <c r="H578" s="415"/>
      <c r="I578" s="415"/>
      <c r="J578" s="415"/>
    </row>
    <row r="579" spans="1:18" s="336" customFormat="1" x14ac:dyDescent="0.2">
      <c r="B579" s="336" t="s">
        <v>67</v>
      </c>
      <c r="D579" s="444" t="s">
        <v>811</v>
      </c>
      <c r="E579" s="336" t="s">
        <v>67</v>
      </c>
      <c r="F579" s="421">
        <f>'JKP-3.1c - Data'!C156</f>
        <v>11</v>
      </c>
      <c r="G579" s="421">
        <f>'JKP-3.1c - Data'!D156</f>
        <v>11</v>
      </c>
      <c r="H579" s="421">
        <f>'JKP-3.1c - Data'!E156</f>
        <v>11</v>
      </c>
      <c r="I579" s="421">
        <f>'JKP-3.1c - Data'!F156</f>
        <v>11</v>
      </c>
      <c r="J579" s="421">
        <f>'JKP-3.1c - Data'!G156</f>
        <v>11</v>
      </c>
      <c r="K579" s="421">
        <f>'JKP-3.1c - Data'!H156</f>
        <v>11</v>
      </c>
      <c r="L579" s="421">
        <f>'JKP-3.1c - Data'!I156</f>
        <v>11</v>
      </c>
      <c r="M579" s="421">
        <f>'JKP-3.1c - Data'!J156</f>
        <v>11</v>
      </c>
      <c r="N579" s="421">
        <f>'JKP-3.1c - Data'!K156</f>
        <v>11</v>
      </c>
      <c r="O579" s="421">
        <f>'JKP-3.1c - Data'!L156</f>
        <v>11</v>
      </c>
      <c r="P579" s="421">
        <f>'JKP-3.1c - Data'!M156</f>
        <v>11</v>
      </c>
      <c r="Q579" s="421">
        <f>'JKP-3.1c - Data'!N156</f>
        <v>10</v>
      </c>
      <c r="R579" s="362">
        <f>SUM(F579:Q579)</f>
        <v>131</v>
      </c>
    </row>
    <row r="580" spans="1:18" s="336" customFormat="1" x14ac:dyDescent="0.2">
      <c r="B580" s="336" t="s">
        <v>76</v>
      </c>
      <c r="F580" s="380"/>
      <c r="G580" s="380"/>
      <c r="H580" s="380"/>
      <c r="I580" s="380"/>
      <c r="J580" s="380"/>
      <c r="K580" s="380"/>
      <c r="L580" s="380"/>
      <c r="M580" s="380"/>
      <c r="N580" s="380"/>
      <c r="O580" s="380"/>
      <c r="P580" s="380"/>
      <c r="Q580" s="380"/>
    </row>
    <row r="581" spans="1:18" s="336" customFormat="1" x14ac:dyDescent="0.2">
      <c r="C581" s="336" t="s">
        <v>1086</v>
      </c>
      <c r="D581" s="444" t="s">
        <v>811</v>
      </c>
      <c r="E581" s="336" t="s">
        <v>10</v>
      </c>
      <c r="F581" s="380">
        <v>233002</v>
      </c>
      <c r="G581" s="380">
        <v>237361</v>
      </c>
      <c r="H581" s="380">
        <v>250000</v>
      </c>
      <c r="I581" s="380">
        <v>250000</v>
      </c>
      <c r="J581" s="380">
        <v>250000</v>
      </c>
      <c r="K581" s="380">
        <v>250295</v>
      </c>
      <c r="L581" s="380">
        <v>275000</v>
      </c>
      <c r="M581" s="380">
        <v>275000</v>
      </c>
      <c r="N581" s="380">
        <v>275000</v>
      </c>
      <c r="O581" s="380">
        <v>275000</v>
      </c>
      <c r="P581" s="380">
        <v>239521</v>
      </c>
      <c r="Q581" s="380">
        <v>244957</v>
      </c>
      <c r="R581" s="362">
        <f t="shared" ref="R581:R588" si="150">SUM(F581:Q581)</f>
        <v>3055136</v>
      </c>
    </row>
    <row r="582" spans="1:18" s="336" customFormat="1" x14ac:dyDescent="0.2">
      <c r="C582" s="336" t="s">
        <v>1087</v>
      </c>
      <c r="D582" s="444" t="s">
        <v>811</v>
      </c>
      <c r="E582" s="336" t="s">
        <v>10</v>
      </c>
      <c r="F582" s="380">
        <v>225000</v>
      </c>
      <c r="G582" s="380">
        <v>225000</v>
      </c>
      <c r="H582" s="380">
        <v>243175</v>
      </c>
      <c r="I582" s="380">
        <v>250000</v>
      </c>
      <c r="J582" s="380">
        <v>239298</v>
      </c>
      <c r="K582" s="380">
        <v>241718</v>
      </c>
      <c r="L582" s="380">
        <v>241997</v>
      </c>
      <c r="M582" s="380">
        <v>275000</v>
      </c>
      <c r="N582" s="380">
        <v>275000</v>
      </c>
      <c r="O582" s="380">
        <v>275000</v>
      </c>
      <c r="P582" s="380">
        <v>225000</v>
      </c>
      <c r="Q582" s="380">
        <v>225000</v>
      </c>
      <c r="R582" s="362">
        <f t="shared" si="150"/>
        <v>2941188</v>
      </c>
    </row>
    <row r="583" spans="1:18" s="336" customFormat="1" x14ac:dyDescent="0.2">
      <c r="C583" s="336" t="s">
        <v>1090</v>
      </c>
      <c r="D583" s="444" t="s">
        <v>811</v>
      </c>
      <c r="E583" s="336" t="s">
        <v>10</v>
      </c>
      <c r="F583" s="380">
        <v>450000</v>
      </c>
      <c r="G583" s="380">
        <v>450000</v>
      </c>
      <c r="H583" s="380">
        <v>450000</v>
      </c>
      <c r="I583" s="380">
        <v>456951</v>
      </c>
      <c r="J583" s="380">
        <v>450000</v>
      </c>
      <c r="K583" s="380">
        <v>450000</v>
      </c>
      <c r="L583" s="380">
        <v>450000</v>
      </c>
      <c r="M583" s="380">
        <v>529945</v>
      </c>
      <c r="N583" s="380">
        <v>542077</v>
      </c>
      <c r="O583" s="380">
        <v>537115</v>
      </c>
      <c r="P583" s="380">
        <v>450000</v>
      </c>
      <c r="Q583" s="380">
        <v>450000</v>
      </c>
      <c r="R583" s="362">
        <f t="shared" si="150"/>
        <v>5666088</v>
      </c>
    </row>
    <row r="584" spans="1:18" s="336" customFormat="1" x14ac:dyDescent="0.2">
      <c r="C584" s="336" t="s">
        <v>1091</v>
      </c>
      <c r="D584" s="444" t="s">
        <v>811</v>
      </c>
      <c r="E584" s="336" t="s">
        <v>10</v>
      </c>
      <c r="F584" s="380">
        <v>900000</v>
      </c>
      <c r="G584" s="380">
        <v>890972</v>
      </c>
      <c r="H584" s="380">
        <v>819393</v>
      </c>
      <c r="I584" s="380">
        <v>871573</v>
      </c>
      <c r="J584" s="380">
        <v>900000</v>
      </c>
      <c r="K584" s="380">
        <v>900000</v>
      </c>
      <c r="L584" s="380">
        <v>900000</v>
      </c>
      <c r="M584" s="380">
        <v>955341</v>
      </c>
      <c r="N584" s="380">
        <v>924425</v>
      </c>
      <c r="O584" s="380">
        <v>900000</v>
      </c>
      <c r="P584" s="380">
        <v>900000</v>
      </c>
      <c r="Q584" s="380">
        <v>875878</v>
      </c>
      <c r="R584" s="362">
        <f t="shared" si="150"/>
        <v>10737582</v>
      </c>
    </row>
    <row r="585" spans="1:18" s="336" customFormat="1" x14ac:dyDescent="0.2">
      <c r="C585" s="336" t="s">
        <v>1092</v>
      </c>
      <c r="D585" s="444" t="s">
        <v>811</v>
      </c>
      <c r="E585" s="336" t="s">
        <v>10</v>
      </c>
      <c r="F585" s="380">
        <v>2239208</v>
      </c>
      <c r="G585" s="380">
        <v>2174048</v>
      </c>
      <c r="H585" s="380">
        <v>2151855</v>
      </c>
      <c r="I585" s="380">
        <v>2149221</v>
      </c>
      <c r="J585" s="380">
        <v>2222143</v>
      </c>
      <c r="K585" s="380">
        <v>2135368</v>
      </c>
      <c r="L585" s="380">
        <v>2097365</v>
      </c>
      <c r="M585" s="380">
        <v>2247151</v>
      </c>
      <c r="N585" s="380">
        <v>2086920</v>
      </c>
      <c r="O585" s="380">
        <v>2172513</v>
      </c>
      <c r="P585" s="380">
        <v>1981141</v>
      </c>
      <c r="Q585" s="380">
        <v>1839709</v>
      </c>
      <c r="R585" s="362">
        <f t="shared" si="150"/>
        <v>25496642</v>
      </c>
    </row>
    <row r="586" spans="1:18" s="336" customFormat="1" x14ac:dyDescent="0.2">
      <c r="C586" s="336" t="s">
        <v>1093</v>
      </c>
      <c r="D586" s="444" t="s">
        <v>811</v>
      </c>
      <c r="E586" s="336" t="s">
        <v>10</v>
      </c>
      <c r="F586" s="378">
        <f t="shared" ref="F586:M586" si="151">F587-SUM(F581:F585)</f>
        <v>3231478</v>
      </c>
      <c r="G586" s="378">
        <f t="shared" si="151"/>
        <v>1780829</v>
      </c>
      <c r="H586" s="378">
        <f t="shared" si="151"/>
        <v>3002301</v>
      </c>
      <c r="I586" s="378">
        <f t="shared" si="151"/>
        <v>2880556</v>
      </c>
      <c r="J586" s="378">
        <f t="shared" si="151"/>
        <v>3908149</v>
      </c>
      <c r="K586" s="378">
        <f t="shared" si="151"/>
        <v>2733660</v>
      </c>
      <c r="L586" s="378">
        <f t="shared" si="151"/>
        <v>3335718</v>
      </c>
      <c r="M586" s="378">
        <f t="shared" si="151"/>
        <v>3166091</v>
      </c>
      <c r="N586" s="378">
        <f>N587-SUM(N581:N585)</f>
        <v>2201045</v>
      </c>
      <c r="O586" s="378">
        <f>O587-SUM(O581:O585)</f>
        <v>2307132</v>
      </c>
      <c r="P586" s="378">
        <f>P587-SUM(P581:P585)</f>
        <v>1500048</v>
      </c>
      <c r="Q586" s="378">
        <f>Q587-SUM(Q581:Q585)</f>
        <v>2037587</v>
      </c>
      <c r="R586" s="362">
        <f t="shared" si="150"/>
        <v>32084594</v>
      </c>
    </row>
    <row r="587" spans="1:18" s="336" customFormat="1" x14ac:dyDescent="0.2">
      <c r="C587" s="336" t="s">
        <v>1075</v>
      </c>
      <c r="D587" s="444" t="s">
        <v>811</v>
      </c>
      <c r="E587" s="336" t="s">
        <v>10</v>
      </c>
      <c r="F587" s="445">
        <f>'JKP-3.1c - Therms Data'!E95</f>
        <v>7278688</v>
      </c>
      <c r="G587" s="445">
        <f>'JKP-3.1c - Therms Data'!F95</f>
        <v>5758210</v>
      </c>
      <c r="H587" s="445">
        <f>'JKP-3.1c - Therms Data'!G95</f>
        <v>6916724</v>
      </c>
      <c r="I587" s="445">
        <f>'JKP-3.1c - Therms Data'!H95</f>
        <v>6858301</v>
      </c>
      <c r="J587" s="445">
        <f>'JKP-3.1c - Therms Data'!I95</f>
        <v>7969590</v>
      </c>
      <c r="K587" s="445">
        <f>'JKP-3.1c - Therms Data'!J95</f>
        <v>6711041</v>
      </c>
      <c r="L587" s="445">
        <f>'JKP-3.1c - Therms Data'!K95</f>
        <v>7300080</v>
      </c>
      <c r="M587" s="445">
        <f>'JKP-3.1c - Therms Data'!L95</f>
        <v>7448528</v>
      </c>
      <c r="N587" s="445">
        <f>'JKP-3.1c - Therms Data'!M95</f>
        <v>6304467</v>
      </c>
      <c r="O587" s="445">
        <f>'JKP-3.1c - Therms Data'!N95</f>
        <v>6466760</v>
      </c>
      <c r="P587" s="445">
        <f>'JKP-3.1c - Therms Data'!O95</f>
        <v>5295710</v>
      </c>
      <c r="Q587" s="445">
        <f>'JKP-3.1c - Therms Data'!P95</f>
        <v>5673131</v>
      </c>
      <c r="R587" s="436">
        <f t="shared" si="150"/>
        <v>79981230</v>
      </c>
    </row>
    <row r="588" spans="1:18" s="336" customFormat="1" x14ac:dyDescent="0.2">
      <c r="B588" s="336" t="s">
        <v>74</v>
      </c>
      <c r="D588" s="444" t="s">
        <v>811</v>
      </c>
      <c r="E588" s="336" t="s">
        <v>1076</v>
      </c>
      <c r="F588" s="421">
        <f>'JKP-3.1c - Data'!C176</f>
        <v>37739</v>
      </c>
      <c r="G588" s="421">
        <f>'JKP-3.1c - Data'!D176</f>
        <v>37739</v>
      </c>
      <c r="H588" s="421">
        <f>'JKP-3.1c - Data'!E176</f>
        <v>37739</v>
      </c>
      <c r="I588" s="421">
        <f>'JKP-3.1c - Data'!F176</f>
        <v>37739</v>
      </c>
      <c r="J588" s="421">
        <f>'JKP-3.1c - Data'!G176</f>
        <v>37739</v>
      </c>
      <c r="K588" s="421">
        <f>'JKP-3.1c - Data'!H176</f>
        <v>37739</v>
      </c>
      <c r="L588" s="421">
        <f>'JKP-3.1c - Data'!I176</f>
        <v>37739</v>
      </c>
      <c r="M588" s="421">
        <f>'JKP-3.1c - Data'!J176</f>
        <v>37739</v>
      </c>
      <c r="N588" s="421">
        <f>'JKP-3.1c - Data'!K176</f>
        <v>37739</v>
      </c>
      <c r="O588" s="421">
        <f>'JKP-3.1c - Data'!L176</f>
        <v>37739</v>
      </c>
      <c r="P588" s="421">
        <f>'JKP-3.1c - Data'!M176</f>
        <v>37739</v>
      </c>
      <c r="Q588" s="421">
        <f>'JKP-3.1c - Data'!N176</f>
        <v>37722</v>
      </c>
      <c r="R588" s="362">
        <f t="shared" si="150"/>
        <v>452851</v>
      </c>
    </row>
    <row r="589" spans="1:18" s="336" customFormat="1" x14ac:dyDescent="0.2">
      <c r="B589" s="336" t="s">
        <v>1071</v>
      </c>
      <c r="F589" s="415"/>
      <c r="G589" s="415"/>
      <c r="H589" s="415"/>
      <c r="I589" s="415"/>
      <c r="J589" s="415"/>
    </row>
    <row r="590" spans="1:18" s="336" customFormat="1" x14ac:dyDescent="0.2">
      <c r="F590" s="415"/>
      <c r="G590" s="415"/>
      <c r="H590" s="415"/>
      <c r="I590" s="415"/>
      <c r="J590" s="415"/>
    </row>
    <row r="591" spans="1:18" s="336" customFormat="1" x14ac:dyDescent="0.2">
      <c r="B591" s="182" t="s">
        <v>985</v>
      </c>
      <c r="F591" s="415"/>
      <c r="G591" s="415"/>
      <c r="H591" s="415"/>
      <c r="I591" s="415"/>
      <c r="J591" s="415"/>
    </row>
    <row r="592" spans="1:18" s="336" customFormat="1" x14ac:dyDescent="0.2">
      <c r="A592" s="336" t="s">
        <v>1054</v>
      </c>
      <c r="B592" s="336" t="s">
        <v>1059</v>
      </c>
      <c r="D592" s="444" t="s">
        <v>811</v>
      </c>
      <c r="F592" s="418">
        <f t="shared" ref="F592:Q592" si="152">F566*F579</f>
        <v>9590.35</v>
      </c>
      <c r="G592" s="418">
        <f t="shared" si="152"/>
        <v>9590.35</v>
      </c>
      <c r="H592" s="418">
        <f t="shared" si="152"/>
        <v>9590.35</v>
      </c>
      <c r="I592" s="418">
        <f t="shared" si="152"/>
        <v>9590.35</v>
      </c>
      <c r="J592" s="418">
        <f t="shared" si="152"/>
        <v>9590.35</v>
      </c>
      <c r="K592" s="418">
        <f t="shared" si="152"/>
        <v>9590.35</v>
      </c>
      <c r="L592" s="418">
        <f t="shared" si="152"/>
        <v>9590.35</v>
      </c>
      <c r="M592" s="418">
        <f t="shared" si="152"/>
        <v>9590.35</v>
      </c>
      <c r="N592" s="418">
        <f t="shared" si="152"/>
        <v>9590.35</v>
      </c>
      <c r="O592" s="418">
        <f t="shared" si="152"/>
        <v>9590.35</v>
      </c>
      <c r="P592" s="418">
        <f t="shared" si="152"/>
        <v>9590.35</v>
      </c>
      <c r="Q592" s="418">
        <f t="shared" si="152"/>
        <v>8718.5</v>
      </c>
      <c r="R592" s="418">
        <f>SUM(F592:Q592)</f>
        <v>114212.35000000002</v>
      </c>
    </row>
    <row r="593" spans="1:19" s="336" customFormat="1" x14ac:dyDescent="0.2">
      <c r="B593" s="336" t="s">
        <v>1047</v>
      </c>
      <c r="F593" s="418"/>
      <c r="G593" s="418"/>
      <c r="H593" s="418"/>
      <c r="I593" s="418"/>
      <c r="J593" s="418"/>
      <c r="K593" s="418"/>
      <c r="L593" s="418"/>
      <c r="M593" s="418"/>
      <c r="N593" s="418"/>
      <c r="O593" s="418"/>
      <c r="P593" s="418"/>
      <c r="Q593" s="418"/>
      <c r="R593" s="418"/>
    </row>
    <row r="594" spans="1:19" x14ac:dyDescent="0.2">
      <c r="C594" s="32" t="s">
        <v>1086</v>
      </c>
      <c r="D594" s="444" t="s">
        <v>811</v>
      </c>
      <c r="F594" s="364">
        <f t="shared" ref="F594:Q599" si="153">F568*F581</f>
        <v>32189.226299999998</v>
      </c>
      <c r="G594" s="364">
        <f t="shared" si="153"/>
        <v>32791.422149999999</v>
      </c>
      <c r="H594" s="364">
        <f t="shared" si="153"/>
        <v>34537.5</v>
      </c>
      <c r="I594" s="364">
        <f t="shared" si="153"/>
        <v>34537.5</v>
      </c>
      <c r="J594" s="364">
        <f t="shared" si="153"/>
        <v>34537.5</v>
      </c>
      <c r="K594" s="364">
        <f t="shared" si="153"/>
        <v>34578.254249999998</v>
      </c>
      <c r="L594" s="364">
        <f t="shared" si="153"/>
        <v>37991.25</v>
      </c>
      <c r="M594" s="364">
        <f t="shared" si="153"/>
        <v>37991.25</v>
      </c>
      <c r="N594" s="364">
        <f t="shared" si="153"/>
        <v>37991.25</v>
      </c>
      <c r="O594" s="364">
        <f t="shared" si="153"/>
        <v>37991.25</v>
      </c>
      <c r="P594" s="364">
        <f t="shared" si="153"/>
        <v>33089.826150000001</v>
      </c>
      <c r="Q594" s="364">
        <f t="shared" si="153"/>
        <v>33840.809549999998</v>
      </c>
      <c r="R594" s="364">
        <f t="shared" ref="R594:R602" si="154">SUM(F594:Q594)</f>
        <v>422067.03839999996</v>
      </c>
    </row>
    <row r="595" spans="1:19" x14ac:dyDescent="0.2">
      <c r="C595" s="32" t="s">
        <v>1087</v>
      </c>
      <c r="D595" s="444" t="s">
        <v>811</v>
      </c>
      <c r="F595" s="364">
        <f t="shared" si="153"/>
        <v>18978.75</v>
      </c>
      <c r="G595" s="364">
        <f t="shared" si="153"/>
        <v>18978.75</v>
      </c>
      <c r="H595" s="364">
        <f t="shared" si="153"/>
        <v>20511.811249999999</v>
      </c>
      <c r="I595" s="364">
        <f t="shared" si="153"/>
        <v>21087.5</v>
      </c>
      <c r="J595" s="364">
        <f t="shared" si="153"/>
        <v>20184.7863</v>
      </c>
      <c r="K595" s="364">
        <f t="shared" si="153"/>
        <v>20388.9133</v>
      </c>
      <c r="L595" s="364">
        <f t="shared" si="153"/>
        <v>20412.446949999998</v>
      </c>
      <c r="M595" s="364">
        <f t="shared" si="153"/>
        <v>23196.25</v>
      </c>
      <c r="N595" s="364">
        <f t="shared" si="153"/>
        <v>23196.25</v>
      </c>
      <c r="O595" s="364">
        <f t="shared" si="153"/>
        <v>23196.25</v>
      </c>
      <c r="P595" s="364">
        <f t="shared" si="153"/>
        <v>18978.75</v>
      </c>
      <c r="Q595" s="364">
        <f t="shared" si="153"/>
        <v>18978.75</v>
      </c>
      <c r="R595" s="364">
        <f t="shared" si="154"/>
        <v>248089.2078</v>
      </c>
    </row>
    <row r="596" spans="1:19" x14ac:dyDescent="0.2">
      <c r="C596" s="32" t="s">
        <v>1090</v>
      </c>
      <c r="D596" s="444" t="s">
        <v>811</v>
      </c>
      <c r="F596" s="364">
        <f t="shared" si="153"/>
        <v>24507</v>
      </c>
      <c r="G596" s="364">
        <f t="shared" si="153"/>
        <v>24507</v>
      </c>
      <c r="H596" s="364">
        <f t="shared" si="153"/>
        <v>24507</v>
      </c>
      <c r="I596" s="364">
        <f t="shared" si="153"/>
        <v>24885.551460000002</v>
      </c>
      <c r="J596" s="364">
        <f t="shared" si="153"/>
        <v>24507</v>
      </c>
      <c r="K596" s="364">
        <f t="shared" si="153"/>
        <v>24507</v>
      </c>
      <c r="L596" s="364">
        <f t="shared" si="153"/>
        <v>24507</v>
      </c>
      <c r="M596" s="364">
        <f t="shared" si="153"/>
        <v>28860.804700000001</v>
      </c>
      <c r="N596" s="364">
        <f t="shared" si="153"/>
        <v>29521.513419999999</v>
      </c>
      <c r="O596" s="364">
        <f t="shared" si="153"/>
        <v>29251.282900000002</v>
      </c>
      <c r="P596" s="364">
        <f t="shared" si="153"/>
        <v>24507</v>
      </c>
      <c r="Q596" s="364">
        <f t="shared" si="153"/>
        <v>24507</v>
      </c>
      <c r="R596" s="364">
        <f t="shared" si="154"/>
        <v>308575.15247999999</v>
      </c>
    </row>
    <row r="597" spans="1:19" x14ac:dyDescent="0.2">
      <c r="C597" s="32" t="s">
        <v>1091</v>
      </c>
      <c r="D597" s="444" t="s">
        <v>811</v>
      </c>
      <c r="F597" s="364">
        <f t="shared" si="153"/>
        <v>32130.000000000004</v>
      </c>
      <c r="G597" s="364">
        <f t="shared" si="153"/>
        <v>31807.700400000002</v>
      </c>
      <c r="H597" s="364">
        <f t="shared" si="153"/>
        <v>29252.330100000003</v>
      </c>
      <c r="I597" s="364">
        <f t="shared" si="153"/>
        <v>31115.156100000004</v>
      </c>
      <c r="J597" s="364">
        <f t="shared" si="153"/>
        <v>32130.000000000004</v>
      </c>
      <c r="K597" s="364">
        <f t="shared" si="153"/>
        <v>32130.000000000004</v>
      </c>
      <c r="L597" s="364">
        <f t="shared" si="153"/>
        <v>32130.000000000004</v>
      </c>
      <c r="M597" s="364">
        <f t="shared" si="153"/>
        <v>34105.673699999999</v>
      </c>
      <c r="N597" s="364">
        <f t="shared" si="153"/>
        <v>33001.972500000003</v>
      </c>
      <c r="O597" s="364">
        <f t="shared" si="153"/>
        <v>32130.000000000004</v>
      </c>
      <c r="P597" s="364">
        <f t="shared" si="153"/>
        <v>32130.000000000004</v>
      </c>
      <c r="Q597" s="364">
        <f t="shared" si="153"/>
        <v>31268.844600000004</v>
      </c>
      <c r="R597" s="364">
        <f t="shared" si="154"/>
        <v>383331.67739999999</v>
      </c>
    </row>
    <row r="598" spans="1:19" x14ac:dyDescent="0.2">
      <c r="C598" s="32" t="s">
        <v>1092</v>
      </c>
      <c r="D598" s="444" t="s">
        <v>811</v>
      </c>
      <c r="F598" s="364">
        <f t="shared" si="153"/>
        <v>58891.170400000003</v>
      </c>
      <c r="G598" s="364">
        <f t="shared" si="153"/>
        <v>57177.462400000004</v>
      </c>
      <c r="H598" s="364">
        <f t="shared" si="153"/>
        <v>56593.786500000002</v>
      </c>
      <c r="I598" s="364">
        <f t="shared" si="153"/>
        <v>56524.512300000002</v>
      </c>
      <c r="J598" s="364">
        <f t="shared" si="153"/>
        <v>58442.3609</v>
      </c>
      <c r="K598" s="364">
        <f t="shared" si="153"/>
        <v>56160.178400000004</v>
      </c>
      <c r="L598" s="364">
        <f t="shared" si="153"/>
        <v>55160.699500000002</v>
      </c>
      <c r="M598" s="364">
        <f t="shared" si="153"/>
        <v>59100.071300000003</v>
      </c>
      <c r="N598" s="364">
        <f t="shared" si="153"/>
        <v>54885.995999999999</v>
      </c>
      <c r="O598" s="364">
        <f t="shared" si="153"/>
        <v>57137.091899999999</v>
      </c>
      <c r="P598" s="364">
        <f t="shared" si="153"/>
        <v>52104.008300000001</v>
      </c>
      <c r="Q598" s="364">
        <f t="shared" si="153"/>
        <v>48384.346700000002</v>
      </c>
      <c r="R598" s="364">
        <f t="shared" si="154"/>
        <v>670561.68459999992</v>
      </c>
    </row>
    <row r="599" spans="1:19" x14ac:dyDescent="0.2">
      <c r="C599" s="32" t="s">
        <v>1093</v>
      </c>
      <c r="D599" s="444" t="s">
        <v>811</v>
      </c>
      <c r="F599" s="364">
        <f t="shared" si="153"/>
        <v>67117.798060000001</v>
      </c>
      <c r="G599" s="364">
        <f t="shared" si="153"/>
        <v>36987.818330000002</v>
      </c>
      <c r="H599" s="364">
        <f t="shared" si="153"/>
        <v>62357.791770000003</v>
      </c>
      <c r="I599" s="364">
        <f t="shared" si="153"/>
        <v>59829.148119999998</v>
      </c>
      <c r="J599" s="364">
        <f t="shared" si="153"/>
        <v>81172.254730000001</v>
      </c>
      <c r="K599" s="364">
        <f t="shared" si="153"/>
        <v>56778.118199999997</v>
      </c>
      <c r="L599" s="364">
        <f t="shared" si="153"/>
        <v>69282.862859999994</v>
      </c>
      <c r="M599" s="364">
        <f t="shared" si="153"/>
        <v>65759.710070000001</v>
      </c>
      <c r="N599" s="364">
        <f t="shared" si="153"/>
        <v>45715.70465</v>
      </c>
      <c r="O599" s="364">
        <f t="shared" si="153"/>
        <v>47919.13164</v>
      </c>
      <c r="P599" s="364">
        <f t="shared" si="153"/>
        <v>31155.99696</v>
      </c>
      <c r="Q599" s="364">
        <f t="shared" si="153"/>
        <v>42320.681989999997</v>
      </c>
      <c r="R599" s="364">
        <f t="shared" si="154"/>
        <v>666397.01737999998</v>
      </c>
    </row>
    <row r="600" spans="1:19" x14ac:dyDescent="0.2">
      <c r="A600" s="32" t="s">
        <v>1054</v>
      </c>
      <c r="C600" s="32" t="s">
        <v>1077</v>
      </c>
      <c r="F600" s="365">
        <f t="shared" ref="F600:M600" si="155">SUM(F594:F599)</f>
        <v>233813.94475999998</v>
      </c>
      <c r="G600" s="365">
        <f t="shared" si="155"/>
        <v>202250.15328</v>
      </c>
      <c r="H600" s="365">
        <f t="shared" si="155"/>
        <v>227760.21962000002</v>
      </c>
      <c r="I600" s="365">
        <f t="shared" si="155"/>
        <v>227979.36798000001</v>
      </c>
      <c r="J600" s="365">
        <f t="shared" si="155"/>
        <v>250973.90192999999</v>
      </c>
      <c r="K600" s="365">
        <f t="shared" si="155"/>
        <v>224542.46414999999</v>
      </c>
      <c r="L600" s="365">
        <f t="shared" si="155"/>
        <v>239484.25930999999</v>
      </c>
      <c r="M600" s="365">
        <f t="shared" si="155"/>
        <v>249013.75977</v>
      </c>
      <c r="N600" s="365">
        <f>SUM(N594:N599)</f>
        <v>224312.68656999999</v>
      </c>
      <c r="O600" s="365">
        <f>SUM(O594:O599)</f>
        <v>227625.00644</v>
      </c>
      <c r="P600" s="365">
        <f>SUM(P594:P599)</f>
        <v>191965.58141000001</v>
      </c>
      <c r="Q600" s="365">
        <f>SUM(Q594:Q599)</f>
        <v>199300.43284000002</v>
      </c>
      <c r="R600" s="365">
        <f t="shared" si="154"/>
        <v>2699021.7780599999</v>
      </c>
    </row>
    <row r="601" spans="1:19" x14ac:dyDescent="0.2">
      <c r="A601" s="32" t="s">
        <v>1056</v>
      </c>
      <c r="B601" s="336" t="s">
        <v>1081</v>
      </c>
      <c r="D601" s="444" t="s">
        <v>811</v>
      </c>
      <c r="F601" s="365">
        <f t="shared" ref="F601:Q602" si="156">F574*F587</f>
        <v>5095.0815999999995</v>
      </c>
      <c r="G601" s="365">
        <f t="shared" si="156"/>
        <v>4030.7469999999998</v>
      </c>
      <c r="H601" s="365">
        <f t="shared" si="156"/>
        <v>4841.7067999999999</v>
      </c>
      <c r="I601" s="365">
        <f t="shared" si="156"/>
        <v>4800.8107</v>
      </c>
      <c r="J601" s="365">
        <f t="shared" si="156"/>
        <v>5578.7129999999997</v>
      </c>
      <c r="K601" s="365">
        <f t="shared" si="156"/>
        <v>4697.7286999999997</v>
      </c>
      <c r="L601" s="365">
        <f t="shared" si="156"/>
        <v>5110.0559999999996</v>
      </c>
      <c r="M601" s="365">
        <f t="shared" si="156"/>
        <v>5213.9696000000004</v>
      </c>
      <c r="N601" s="365">
        <f t="shared" si="156"/>
        <v>4413.1269000000002</v>
      </c>
      <c r="O601" s="365">
        <f t="shared" si="156"/>
        <v>4526.732</v>
      </c>
      <c r="P601" s="365">
        <f t="shared" si="156"/>
        <v>3706.9969999999998</v>
      </c>
      <c r="Q601" s="365">
        <f t="shared" si="156"/>
        <v>3971.1916999999999</v>
      </c>
      <c r="R601" s="365">
        <f t="shared" si="154"/>
        <v>55986.861000000012</v>
      </c>
    </row>
    <row r="602" spans="1:19" x14ac:dyDescent="0.2">
      <c r="A602" s="32" t="s">
        <v>1054</v>
      </c>
      <c r="B602" s="32" t="s">
        <v>1069</v>
      </c>
      <c r="D602" s="444" t="s">
        <v>811</v>
      </c>
      <c r="F602" s="364">
        <f t="shared" si="156"/>
        <v>41890.29</v>
      </c>
      <c r="G602" s="364">
        <f t="shared" si="156"/>
        <v>41890.29</v>
      </c>
      <c r="H602" s="364">
        <f t="shared" si="156"/>
        <v>41890.29</v>
      </c>
      <c r="I602" s="364">
        <f t="shared" si="156"/>
        <v>41890.29</v>
      </c>
      <c r="J602" s="364">
        <f t="shared" si="156"/>
        <v>41890.29</v>
      </c>
      <c r="K602" s="364">
        <f t="shared" si="156"/>
        <v>41890.29</v>
      </c>
      <c r="L602" s="364">
        <f t="shared" si="156"/>
        <v>41890.29</v>
      </c>
      <c r="M602" s="364">
        <f t="shared" si="156"/>
        <v>41890.29</v>
      </c>
      <c r="N602" s="364">
        <f t="shared" si="156"/>
        <v>41890.29</v>
      </c>
      <c r="O602" s="364">
        <f t="shared" si="156"/>
        <v>41890.29</v>
      </c>
      <c r="P602" s="364">
        <f t="shared" si="156"/>
        <v>41890.29</v>
      </c>
      <c r="Q602" s="364">
        <f t="shared" si="156"/>
        <v>41871.420000000006</v>
      </c>
      <c r="R602" s="364">
        <f t="shared" si="154"/>
        <v>502664.60999999993</v>
      </c>
    </row>
    <row r="603" spans="1:19" s="336" customFormat="1" x14ac:dyDescent="0.2">
      <c r="A603" s="336" t="s">
        <v>1054</v>
      </c>
      <c r="B603" s="336" t="s">
        <v>1071</v>
      </c>
      <c r="D603" s="444" t="s">
        <v>811</v>
      </c>
      <c r="F603" s="447">
        <f>'JKP-3.1c - Data'!C193</f>
        <v>0</v>
      </c>
      <c r="G603" s="447">
        <f>'JKP-3.1c - Data'!D193</f>
        <v>0</v>
      </c>
      <c r="H603" s="447">
        <f>'JKP-3.1c - Data'!E193</f>
        <v>0</v>
      </c>
      <c r="I603" s="447">
        <f>'JKP-3.1c - Data'!F193</f>
        <v>0</v>
      </c>
      <c r="J603" s="447">
        <f>'JKP-3.1c - Data'!G193</f>
        <v>24448.23</v>
      </c>
      <c r="K603" s="447">
        <f>'JKP-3.1c - Data'!H193</f>
        <v>0</v>
      </c>
      <c r="L603" s="447">
        <f>'JKP-3.1c - Data'!I193</f>
        <v>30434.67</v>
      </c>
      <c r="M603" s="447">
        <f>'JKP-3.1c - Data'!J193</f>
        <v>0</v>
      </c>
      <c r="N603" s="447">
        <f>'JKP-3.1c - Data'!K193</f>
        <v>5142.2299999999996</v>
      </c>
      <c r="O603" s="447">
        <f>'JKP-3.1c - Data'!L193</f>
        <v>0</v>
      </c>
      <c r="P603" s="447">
        <f>'JKP-3.1c - Data'!M193</f>
        <v>6661.43</v>
      </c>
      <c r="Q603" s="447">
        <f>'JKP-3.1c - Data'!N193</f>
        <v>0</v>
      </c>
      <c r="R603" s="437">
        <f>SUM(F603:Q603)</f>
        <v>66686.559999999998</v>
      </c>
      <c r="S603" s="415"/>
    </row>
    <row r="604" spans="1:19" x14ac:dyDescent="0.2">
      <c r="B604" s="32" t="s">
        <v>986</v>
      </c>
      <c r="F604" s="365">
        <f>F592+F600+F601+F602+F603</f>
        <v>290389.66635999997</v>
      </c>
      <c r="G604" s="365">
        <f t="shared" ref="G604:R604" si="157">G592+G600+G601+G602+G603</f>
        <v>257761.54028000002</v>
      </c>
      <c r="H604" s="365">
        <f t="shared" si="157"/>
        <v>284082.56641999999</v>
      </c>
      <c r="I604" s="365">
        <f t="shared" si="157"/>
        <v>284260.81868000003</v>
      </c>
      <c r="J604" s="365">
        <f t="shared" si="157"/>
        <v>332481.48492999998</v>
      </c>
      <c r="K604" s="365">
        <f t="shared" si="157"/>
        <v>280720.83285000001</v>
      </c>
      <c r="L604" s="365">
        <f t="shared" si="157"/>
        <v>326509.62530999997</v>
      </c>
      <c r="M604" s="365">
        <f t="shared" si="157"/>
        <v>305708.36936999997</v>
      </c>
      <c r="N604" s="365">
        <f t="shared" si="157"/>
        <v>285348.68346999999</v>
      </c>
      <c r="O604" s="365">
        <f t="shared" si="157"/>
        <v>283632.37844</v>
      </c>
      <c r="P604" s="365">
        <f t="shared" si="157"/>
        <v>253814.64841000002</v>
      </c>
      <c r="Q604" s="365">
        <f t="shared" si="157"/>
        <v>253861.54454000003</v>
      </c>
      <c r="R604" s="365">
        <f t="shared" si="157"/>
        <v>3438572.15906</v>
      </c>
    </row>
    <row r="605" spans="1:19" x14ac:dyDescent="0.2">
      <c r="C605" s="386"/>
      <c r="F605" s="390"/>
      <c r="G605" s="390"/>
      <c r="H605" s="390"/>
      <c r="I605" s="390"/>
      <c r="J605" s="390"/>
    </row>
    <row r="606" spans="1:19" x14ac:dyDescent="0.2">
      <c r="A606" s="32" t="s">
        <v>1058</v>
      </c>
      <c r="B606" s="32" t="s">
        <v>1050</v>
      </c>
      <c r="C606" s="386"/>
      <c r="F606" s="417">
        <f>F601</f>
        <v>5095.0815999999995</v>
      </c>
      <c r="G606" s="417">
        <f t="shared" ref="G606:Q606" si="158">G601</f>
        <v>4030.7469999999998</v>
      </c>
      <c r="H606" s="417">
        <f t="shared" si="158"/>
        <v>4841.7067999999999</v>
      </c>
      <c r="I606" s="417">
        <f t="shared" si="158"/>
        <v>4800.8107</v>
      </c>
      <c r="J606" s="417">
        <f t="shared" si="158"/>
        <v>5578.7129999999997</v>
      </c>
      <c r="K606" s="417">
        <f t="shared" si="158"/>
        <v>4697.7286999999997</v>
      </c>
      <c r="L606" s="417">
        <f t="shared" si="158"/>
        <v>5110.0559999999996</v>
      </c>
      <c r="M606" s="417">
        <f t="shared" si="158"/>
        <v>5213.9696000000004</v>
      </c>
      <c r="N606" s="417">
        <f t="shared" si="158"/>
        <v>4413.1269000000002</v>
      </c>
      <c r="O606" s="417">
        <f t="shared" si="158"/>
        <v>4526.732</v>
      </c>
      <c r="P606" s="417">
        <f t="shared" si="158"/>
        <v>3706.9969999999998</v>
      </c>
      <c r="Q606" s="417">
        <f t="shared" si="158"/>
        <v>3971.1916999999999</v>
      </c>
      <c r="R606" s="364">
        <f>SUM(F606:Q606)</f>
        <v>55986.861000000012</v>
      </c>
    </row>
    <row r="607" spans="1:19" x14ac:dyDescent="0.2">
      <c r="C607" s="386"/>
      <c r="F607" s="390"/>
      <c r="G607" s="390"/>
      <c r="H607" s="390"/>
      <c r="I607" s="390"/>
      <c r="J607" s="390"/>
    </row>
    <row r="608" spans="1:19" x14ac:dyDescent="0.2">
      <c r="B608" s="276" t="s">
        <v>1107</v>
      </c>
    </row>
    <row r="609" spans="1:18" x14ac:dyDescent="0.2">
      <c r="B609" s="276" t="s">
        <v>5</v>
      </c>
    </row>
    <row r="610" spans="1:18" x14ac:dyDescent="0.2">
      <c r="B610" s="32" t="s">
        <v>1063</v>
      </c>
      <c r="D610" s="32">
        <v>61</v>
      </c>
      <c r="E610" s="32" t="s">
        <v>1108</v>
      </c>
      <c r="F610" s="414">
        <v>0.1</v>
      </c>
      <c r="G610" s="414">
        <f t="shared" ref="G610:N610" si="159">F610</f>
        <v>0.1</v>
      </c>
      <c r="H610" s="414">
        <f t="shared" si="159"/>
        <v>0.1</v>
      </c>
      <c r="I610" s="414">
        <f t="shared" si="159"/>
        <v>0.1</v>
      </c>
      <c r="J610" s="414">
        <f t="shared" si="159"/>
        <v>0.1</v>
      </c>
      <c r="K610" s="414">
        <f t="shared" si="159"/>
        <v>0.1</v>
      </c>
      <c r="L610" s="414">
        <f t="shared" si="159"/>
        <v>0.1</v>
      </c>
      <c r="M610" s="414">
        <f t="shared" si="159"/>
        <v>0.1</v>
      </c>
      <c r="N610" s="414">
        <f t="shared" si="159"/>
        <v>0.1</v>
      </c>
      <c r="O610" s="414">
        <f>N610</f>
        <v>0.1</v>
      </c>
      <c r="P610" s="414">
        <f>O610</f>
        <v>0.1</v>
      </c>
      <c r="Q610" s="414">
        <f>P610</f>
        <v>0.1</v>
      </c>
    </row>
    <row r="612" spans="1:18" x14ac:dyDescent="0.2">
      <c r="B612" s="276" t="s">
        <v>982</v>
      </c>
    </row>
    <row r="613" spans="1:18" s="336" customFormat="1" x14ac:dyDescent="0.2">
      <c r="B613" s="336" t="s">
        <v>74</v>
      </c>
      <c r="E613" s="336" t="s">
        <v>1064</v>
      </c>
      <c r="F613" s="421">
        <f>'JKP-3.1c - Data'!C130</f>
        <v>947</v>
      </c>
      <c r="G613" s="421">
        <f>'JKP-3.1c - Data'!D130</f>
        <v>947</v>
      </c>
      <c r="H613" s="421">
        <f>'JKP-3.1c - Data'!E130</f>
        <v>947</v>
      </c>
      <c r="I613" s="421">
        <f>'JKP-3.1c - Data'!F130</f>
        <v>947</v>
      </c>
      <c r="J613" s="421">
        <f>'JKP-3.1c - Data'!G130</f>
        <v>947</v>
      </c>
      <c r="K613" s="421">
        <f>'JKP-3.1c - Data'!H130</f>
        <v>947</v>
      </c>
      <c r="L613" s="421">
        <f>'JKP-3.1c - Data'!I130</f>
        <v>947</v>
      </c>
      <c r="M613" s="421">
        <f>'JKP-3.1c - Data'!J130</f>
        <v>947</v>
      </c>
      <c r="N613" s="421">
        <f>'JKP-3.1c - Data'!K130</f>
        <v>947</v>
      </c>
      <c r="O613" s="421">
        <f>'JKP-3.1c - Data'!L130</f>
        <v>947</v>
      </c>
      <c r="P613" s="421">
        <f>'JKP-3.1c - Data'!M130</f>
        <v>947</v>
      </c>
      <c r="Q613" s="421">
        <f>'JKP-3.1c - Data'!N130</f>
        <v>947</v>
      </c>
      <c r="R613" s="378">
        <f>SUM(F613:Q613)</f>
        <v>11364</v>
      </c>
    </row>
    <row r="615" spans="1:18" x14ac:dyDescent="0.2">
      <c r="B615" s="276" t="s">
        <v>985</v>
      </c>
    </row>
    <row r="616" spans="1:18" x14ac:dyDescent="0.2">
      <c r="A616" s="32" t="s">
        <v>1054</v>
      </c>
      <c r="B616" s="32" t="s">
        <v>1063</v>
      </c>
      <c r="F616" s="364">
        <f t="shared" ref="F616:N616" si="160">F610*F613</f>
        <v>94.7</v>
      </c>
      <c r="G616" s="364">
        <f t="shared" si="160"/>
        <v>94.7</v>
      </c>
      <c r="H616" s="364">
        <f t="shared" si="160"/>
        <v>94.7</v>
      </c>
      <c r="I616" s="364">
        <f t="shared" si="160"/>
        <v>94.7</v>
      </c>
      <c r="J616" s="364">
        <f t="shared" si="160"/>
        <v>94.7</v>
      </c>
      <c r="K616" s="364">
        <f t="shared" si="160"/>
        <v>94.7</v>
      </c>
      <c r="L616" s="364">
        <f t="shared" si="160"/>
        <v>94.7</v>
      </c>
      <c r="M616" s="364">
        <f t="shared" si="160"/>
        <v>94.7</v>
      </c>
      <c r="N616" s="364">
        <f t="shared" si="160"/>
        <v>94.7</v>
      </c>
      <c r="O616" s="364">
        <f>O610*O613</f>
        <v>94.7</v>
      </c>
      <c r="P616" s="364">
        <f>P610*P613</f>
        <v>94.7</v>
      </c>
      <c r="Q616" s="364">
        <f>Q610*Q613</f>
        <v>94.7</v>
      </c>
      <c r="R616" s="364">
        <f>SUM(F616:Q616)</f>
        <v>1136.4000000000003</v>
      </c>
    </row>
    <row r="617" spans="1:18" s="336" customFormat="1" x14ac:dyDescent="0.2"/>
    <row r="618" spans="1:18" x14ac:dyDescent="0.2">
      <c r="B618" s="276" t="s">
        <v>1109</v>
      </c>
      <c r="C618" s="276"/>
    </row>
    <row r="619" spans="1:18" x14ac:dyDescent="0.2">
      <c r="B619" s="276" t="s">
        <v>5</v>
      </c>
      <c r="C619" s="276"/>
    </row>
    <row r="620" spans="1:18" x14ac:dyDescent="0.2">
      <c r="B620" s="32" t="s">
        <v>1059</v>
      </c>
      <c r="D620" s="32">
        <v>85</v>
      </c>
      <c r="E620" s="32" t="s">
        <v>976</v>
      </c>
      <c r="F620" s="413">
        <f t="shared" ref="F620:N620" si="161">F261</f>
        <v>544.75</v>
      </c>
      <c r="G620" s="413">
        <f t="shared" si="161"/>
        <v>544.75</v>
      </c>
      <c r="H620" s="413">
        <f t="shared" si="161"/>
        <v>544.75</v>
      </c>
      <c r="I620" s="413">
        <f t="shared" si="161"/>
        <v>544.75</v>
      </c>
      <c r="J620" s="413">
        <f t="shared" si="161"/>
        <v>544.75</v>
      </c>
      <c r="K620" s="413">
        <f t="shared" si="161"/>
        <v>544.75</v>
      </c>
      <c r="L620" s="413">
        <f t="shared" si="161"/>
        <v>544.75</v>
      </c>
      <c r="M620" s="413">
        <f t="shared" si="161"/>
        <v>544.75</v>
      </c>
      <c r="N620" s="413">
        <f t="shared" si="161"/>
        <v>544.75</v>
      </c>
      <c r="O620" s="413">
        <f>O261</f>
        <v>544.75</v>
      </c>
      <c r="P620" s="413">
        <f>P261</f>
        <v>544.75</v>
      </c>
      <c r="Q620" s="413">
        <f>Q261</f>
        <v>544.75</v>
      </c>
      <c r="R620" s="439"/>
    </row>
    <row r="621" spans="1:18" x14ac:dyDescent="0.2">
      <c r="B621" s="32" t="s">
        <v>1047</v>
      </c>
      <c r="F621" s="393"/>
      <c r="G621" s="393"/>
      <c r="H621" s="393"/>
      <c r="I621" s="393"/>
      <c r="J621" s="393"/>
      <c r="K621" s="393"/>
      <c r="L621" s="393"/>
      <c r="M621" s="393"/>
      <c r="N621" s="393"/>
      <c r="O621" s="393"/>
      <c r="P621" s="393"/>
      <c r="Q621" s="393"/>
      <c r="R621" s="394"/>
    </row>
    <row r="622" spans="1:18" x14ac:dyDescent="0.2">
      <c r="C622" s="32" t="s">
        <v>1086</v>
      </c>
      <c r="D622" s="32">
        <v>85</v>
      </c>
      <c r="E622" s="32" t="s">
        <v>957</v>
      </c>
      <c r="F622" s="393">
        <f t="shared" ref="F622:Q626" si="162">F263</f>
        <v>0.10229000000000001</v>
      </c>
      <c r="G622" s="393">
        <f t="shared" si="162"/>
        <v>0.10229000000000001</v>
      </c>
      <c r="H622" s="393">
        <f t="shared" si="162"/>
        <v>0.10229000000000001</v>
      </c>
      <c r="I622" s="393">
        <f t="shared" si="162"/>
        <v>0.10229000000000001</v>
      </c>
      <c r="J622" s="393">
        <f t="shared" si="162"/>
        <v>0.10229000000000001</v>
      </c>
      <c r="K622" s="393">
        <f t="shared" si="162"/>
        <v>0.10229000000000001</v>
      </c>
      <c r="L622" s="393">
        <f t="shared" si="162"/>
        <v>0.10229000000000001</v>
      </c>
      <c r="M622" s="393">
        <f t="shared" si="162"/>
        <v>0.10229000000000001</v>
      </c>
      <c r="N622" s="393">
        <f t="shared" si="162"/>
        <v>0.10229000000000001</v>
      </c>
      <c r="O622" s="393">
        <f t="shared" si="162"/>
        <v>0.10229000000000001</v>
      </c>
      <c r="P622" s="393">
        <f t="shared" si="162"/>
        <v>0.10229000000000001</v>
      </c>
      <c r="Q622" s="393">
        <f t="shared" si="162"/>
        <v>0.10229000000000001</v>
      </c>
      <c r="R622" s="394"/>
    </row>
    <row r="623" spans="1:18" x14ac:dyDescent="0.2">
      <c r="C623" s="32" t="s">
        <v>1087</v>
      </c>
      <c r="D623" s="32">
        <v>85</v>
      </c>
      <c r="E623" s="32" t="s">
        <v>957</v>
      </c>
      <c r="F623" s="393">
        <f t="shared" si="162"/>
        <v>5.2440000000000001E-2</v>
      </c>
      <c r="G623" s="393">
        <f t="shared" si="162"/>
        <v>5.2440000000000001E-2</v>
      </c>
      <c r="H623" s="393">
        <f t="shared" si="162"/>
        <v>5.2440000000000001E-2</v>
      </c>
      <c r="I623" s="393">
        <f t="shared" si="162"/>
        <v>5.2440000000000001E-2</v>
      </c>
      <c r="J623" s="393">
        <f t="shared" si="162"/>
        <v>5.2440000000000001E-2</v>
      </c>
      <c r="K623" s="393">
        <f t="shared" si="162"/>
        <v>5.2440000000000001E-2</v>
      </c>
      <c r="L623" s="393">
        <f t="shared" si="162"/>
        <v>5.2440000000000001E-2</v>
      </c>
      <c r="M623" s="393">
        <f t="shared" si="162"/>
        <v>5.2440000000000001E-2</v>
      </c>
      <c r="N623" s="393">
        <f t="shared" si="162"/>
        <v>5.2440000000000001E-2</v>
      </c>
      <c r="O623" s="393">
        <f t="shared" si="162"/>
        <v>5.2440000000000001E-2</v>
      </c>
      <c r="P623" s="393">
        <f t="shared" si="162"/>
        <v>5.2440000000000001E-2</v>
      </c>
      <c r="Q623" s="393">
        <f t="shared" si="162"/>
        <v>5.2440000000000001E-2</v>
      </c>
      <c r="R623" s="394"/>
    </row>
    <row r="624" spans="1:18" x14ac:dyDescent="0.2">
      <c r="C624" s="32" t="s">
        <v>1088</v>
      </c>
      <c r="D624" s="32">
        <v>85</v>
      </c>
      <c r="E624" s="32" t="s">
        <v>957</v>
      </c>
      <c r="F624" s="393">
        <f t="shared" si="162"/>
        <v>5.033E-2</v>
      </c>
      <c r="G624" s="393">
        <f t="shared" si="162"/>
        <v>5.033E-2</v>
      </c>
      <c r="H624" s="393">
        <f t="shared" si="162"/>
        <v>5.033E-2</v>
      </c>
      <c r="I624" s="393">
        <f t="shared" si="162"/>
        <v>5.033E-2</v>
      </c>
      <c r="J624" s="393">
        <f t="shared" si="162"/>
        <v>5.033E-2</v>
      </c>
      <c r="K624" s="393">
        <f t="shared" si="162"/>
        <v>5.033E-2</v>
      </c>
      <c r="L624" s="393">
        <f t="shared" si="162"/>
        <v>5.033E-2</v>
      </c>
      <c r="M624" s="393">
        <f t="shared" si="162"/>
        <v>5.033E-2</v>
      </c>
      <c r="N624" s="393">
        <f t="shared" si="162"/>
        <v>5.033E-2</v>
      </c>
      <c r="O624" s="393">
        <f t="shared" si="162"/>
        <v>5.033E-2</v>
      </c>
      <c r="P624" s="393">
        <f t="shared" si="162"/>
        <v>5.033E-2</v>
      </c>
      <c r="Q624" s="393">
        <f t="shared" si="162"/>
        <v>5.033E-2</v>
      </c>
      <c r="R624" s="394"/>
    </row>
    <row r="625" spans="2:18" x14ac:dyDescent="0.2">
      <c r="B625" s="32" t="s">
        <v>1067</v>
      </c>
      <c r="D625" s="32">
        <v>101</v>
      </c>
      <c r="E625" s="32" t="s">
        <v>957</v>
      </c>
      <c r="F625" s="393">
        <f t="shared" si="162"/>
        <v>0.70016</v>
      </c>
      <c r="G625" s="393">
        <f t="shared" si="162"/>
        <v>0.70016</v>
      </c>
      <c r="H625" s="393">
        <f t="shared" si="162"/>
        <v>0.70016</v>
      </c>
      <c r="I625" s="393">
        <f t="shared" si="162"/>
        <v>0.70016</v>
      </c>
      <c r="J625" s="393">
        <f t="shared" si="162"/>
        <v>0.70016</v>
      </c>
      <c r="K625" s="393">
        <f t="shared" si="162"/>
        <v>0.70016</v>
      </c>
      <c r="L625" s="393">
        <f t="shared" si="162"/>
        <v>0.70016</v>
      </c>
      <c r="M625" s="393">
        <f t="shared" si="162"/>
        <v>0.70016</v>
      </c>
      <c r="N625" s="393">
        <f t="shared" si="162"/>
        <v>0.70016</v>
      </c>
      <c r="O625" s="393">
        <f t="shared" si="162"/>
        <v>0.70016</v>
      </c>
      <c r="P625" s="393">
        <f t="shared" si="162"/>
        <v>0.66125</v>
      </c>
      <c r="Q625" s="393">
        <f t="shared" si="162"/>
        <v>0.66125</v>
      </c>
      <c r="R625" s="394"/>
    </row>
    <row r="626" spans="2:18" x14ac:dyDescent="0.2">
      <c r="C626" s="32" t="s">
        <v>1096</v>
      </c>
      <c r="D626" s="444">
        <v>85</v>
      </c>
      <c r="E626" s="32" t="s">
        <v>957</v>
      </c>
      <c r="F626" s="393">
        <f t="shared" si="162"/>
        <v>6.5900000000000004E-3</v>
      </c>
      <c r="G626" s="393">
        <f t="shared" si="162"/>
        <v>6.5900000000000004E-3</v>
      </c>
      <c r="H626" s="393">
        <f t="shared" si="162"/>
        <v>6.5900000000000004E-3</v>
      </c>
      <c r="I626" s="393">
        <f t="shared" si="162"/>
        <v>6.5900000000000004E-3</v>
      </c>
      <c r="J626" s="393">
        <f t="shared" si="162"/>
        <v>6.5900000000000004E-3</v>
      </c>
      <c r="K626" s="393">
        <f t="shared" si="162"/>
        <v>6.5900000000000004E-3</v>
      </c>
      <c r="L626" s="393">
        <f t="shared" si="162"/>
        <v>6.5900000000000004E-3</v>
      </c>
      <c r="M626" s="393">
        <f t="shared" si="162"/>
        <v>6.5900000000000004E-3</v>
      </c>
      <c r="N626" s="393">
        <f t="shared" si="162"/>
        <v>6.5900000000000004E-3</v>
      </c>
      <c r="O626" s="393">
        <f t="shared" si="162"/>
        <v>6.5900000000000004E-3</v>
      </c>
      <c r="P626" s="393">
        <f t="shared" si="162"/>
        <v>6.5900000000000004E-3</v>
      </c>
      <c r="Q626" s="393">
        <f t="shared" si="162"/>
        <v>6.5900000000000004E-3</v>
      </c>
      <c r="R626" s="394"/>
    </row>
    <row r="627" spans="2:18" x14ac:dyDescent="0.2">
      <c r="B627" s="32" t="s">
        <v>1068</v>
      </c>
      <c r="F627" s="394"/>
      <c r="G627" s="394"/>
      <c r="H627" s="394"/>
      <c r="I627" s="394"/>
      <c r="J627" s="394"/>
      <c r="K627" s="394"/>
      <c r="L627" s="394"/>
      <c r="M627" s="394"/>
      <c r="N627" s="394"/>
      <c r="O627" s="394"/>
      <c r="P627" s="394"/>
      <c r="Q627" s="394"/>
      <c r="R627" s="394"/>
    </row>
    <row r="628" spans="2:18" x14ac:dyDescent="0.2">
      <c r="C628" s="32" t="s">
        <v>1069</v>
      </c>
      <c r="D628" s="32">
        <v>101</v>
      </c>
      <c r="E628" s="32" t="s">
        <v>957</v>
      </c>
      <c r="F628" s="454">
        <f t="shared" ref="F628:Q629" si="163">F269</f>
        <v>1.1100000000000001</v>
      </c>
      <c r="G628" s="454">
        <f t="shared" si="163"/>
        <v>1.1100000000000001</v>
      </c>
      <c r="H628" s="454">
        <f t="shared" si="163"/>
        <v>1.1100000000000001</v>
      </c>
      <c r="I628" s="454">
        <f t="shared" si="163"/>
        <v>1.1100000000000001</v>
      </c>
      <c r="J628" s="454">
        <f t="shared" si="163"/>
        <v>1.1100000000000001</v>
      </c>
      <c r="K628" s="454">
        <f t="shared" si="163"/>
        <v>1.1100000000000001</v>
      </c>
      <c r="L628" s="454">
        <f t="shared" si="163"/>
        <v>1.1100000000000001</v>
      </c>
      <c r="M628" s="454">
        <f t="shared" si="163"/>
        <v>1.1100000000000001</v>
      </c>
      <c r="N628" s="454">
        <f t="shared" si="163"/>
        <v>1.1100000000000001</v>
      </c>
      <c r="O628" s="454">
        <f t="shared" si="163"/>
        <v>1.1100000000000001</v>
      </c>
      <c r="P628" s="454">
        <f t="shared" si="163"/>
        <v>1.1100000000000001</v>
      </c>
      <c r="Q628" s="454">
        <f t="shared" si="163"/>
        <v>1.1100000000000001</v>
      </c>
      <c r="R628" s="394"/>
    </row>
    <row r="629" spans="2:18" s="336" customFormat="1" x14ac:dyDescent="0.2">
      <c r="C629" s="336" t="s">
        <v>1070</v>
      </c>
      <c r="D629" s="336">
        <v>101</v>
      </c>
      <c r="E629" s="336" t="s">
        <v>957</v>
      </c>
      <c r="F629" s="450">
        <f t="shared" si="163"/>
        <v>1.05</v>
      </c>
      <c r="G629" s="450">
        <f t="shared" si="163"/>
        <v>1.05</v>
      </c>
      <c r="H629" s="450">
        <f t="shared" si="163"/>
        <v>1.05</v>
      </c>
      <c r="I629" s="450">
        <f t="shared" si="163"/>
        <v>1.05</v>
      </c>
      <c r="J629" s="450">
        <f t="shared" si="163"/>
        <v>1.05</v>
      </c>
      <c r="K629" s="450">
        <f t="shared" si="163"/>
        <v>1.05</v>
      </c>
      <c r="L629" s="450">
        <f t="shared" si="163"/>
        <v>1.05</v>
      </c>
      <c r="M629" s="450">
        <f t="shared" si="163"/>
        <v>1.05</v>
      </c>
      <c r="N629" s="450">
        <f t="shared" si="163"/>
        <v>1.05</v>
      </c>
      <c r="O629" s="450">
        <f t="shared" si="163"/>
        <v>1.05</v>
      </c>
      <c r="P629" s="450">
        <f t="shared" si="163"/>
        <v>1.05</v>
      </c>
      <c r="Q629" s="450">
        <f t="shared" si="163"/>
        <v>1.05</v>
      </c>
      <c r="R629" s="441"/>
    </row>
    <row r="630" spans="2:18" s="336" customFormat="1" x14ac:dyDescent="0.2">
      <c r="B630" s="336" t="s">
        <v>1071</v>
      </c>
      <c r="D630" s="336">
        <v>85</v>
      </c>
      <c r="E630" s="336" t="s">
        <v>67</v>
      </c>
      <c r="F630" s="450"/>
      <c r="G630" s="450"/>
      <c r="H630" s="442"/>
      <c r="I630" s="450"/>
      <c r="J630" s="450"/>
      <c r="K630" s="450"/>
      <c r="L630" s="450"/>
      <c r="M630" s="450"/>
      <c r="N630" s="450"/>
      <c r="O630" s="450"/>
      <c r="P630" s="450"/>
      <c r="Q630" s="450"/>
      <c r="R630" s="441"/>
    </row>
    <row r="631" spans="2:18" s="336" customFormat="1" x14ac:dyDescent="0.2">
      <c r="B631" s="336" t="s">
        <v>1050</v>
      </c>
      <c r="F631" s="393">
        <f>F272</f>
        <v>0.66991999999999996</v>
      </c>
      <c r="G631" s="393">
        <f t="shared" ref="G631:Q632" si="164">G272</f>
        <v>0.66991999999999996</v>
      </c>
      <c r="H631" s="393">
        <f t="shared" si="164"/>
        <v>0.66991999999999996</v>
      </c>
      <c r="I631" s="393">
        <f t="shared" si="164"/>
        <v>0.66991999999999996</v>
      </c>
      <c r="J631" s="393">
        <f t="shared" si="164"/>
        <v>0.66991999999999996</v>
      </c>
      <c r="K631" s="393">
        <f t="shared" si="164"/>
        <v>0.66991999999999996</v>
      </c>
      <c r="L631" s="393">
        <f t="shared" si="164"/>
        <v>0.66991999999999996</v>
      </c>
      <c r="M631" s="393">
        <f t="shared" si="164"/>
        <v>0.66991999999999996</v>
      </c>
      <c r="N631" s="393">
        <f t="shared" si="164"/>
        <v>0.66991999999999996</v>
      </c>
      <c r="O631" s="393">
        <f t="shared" si="164"/>
        <v>0.66991999999999996</v>
      </c>
      <c r="P631" s="393">
        <f t="shared" si="164"/>
        <v>0.63265000000000005</v>
      </c>
      <c r="Q631" s="393">
        <f t="shared" si="164"/>
        <v>0.63265000000000005</v>
      </c>
      <c r="R631" s="441"/>
    </row>
    <row r="632" spans="2:18" s="336" customFormat="1" x14ac:dyDescent="0.2">
      <c r="B632" s="336" t="s">
        <v>1110</v>
      </c>
      <c r="F632" s="454">
        <f>F273</f>
        <v>1</v>
      </c>
      <c r="G632" s="454">
        <f t="shared" si="164"/>
        <v>1</v>
      </c>
      <c r="H632" s="454">
        <f t="shared" si="164"/>
        <v>1</v>
      </c>
      <c r="I632" s="454">
        <f t="shared" si="164"/>
        <v>1</v>
      </c>
      <c r="J632" s="454">
        <f t="shared" si="164"/>
        <v>1</v>
      </c>
      <c r="K632" s="454">
        <f t="shared" si="164"/>
        <v>1</v>
      </c>
      <c r="L632" s="454">
        <f t="shared" si="164"/>
        <v>1</v>
      </c>
      <c r="M632" s="454">
        <f t="shared" si="164"/>
        <v>1</v>
      </c>
      <c r="N632" s="454">
        <f t="shared" si="164"/>
        <v>1</v>
      </c>
      <c r="O632" s="454">
        <f t="shared" si="164"/>
        <v>1</v>
      </c>
      <c r="P632" s="454">
        <f t="shared" si="164"/>
        <v>1</v>
      </c>
      <c r="Q632" s="454">
        <f t="shared" si="164"/>
        <v>1</v>
      </c>
      <c r="R632" s="441"/>
    </row>
    <row r="633" spans="2:18" s="336" customFormat="1" x14ac:dyDescent="0.2"/>
    <row r="634" spans="2:18" s="336" customFormat="1" x14ac:dyDescent="0.2">
      <c r="B634" s="182" t="s">
        <v>982</v>
      </c>
    </row>
    <row r="635" spans="2:18" s="336" customFormat="1" x14ac:dyDescent="0.2">
      <c r="B635" s="336" t="s">
        <v>67</v>
      </c>
      <c r="E635" s="336" t="s">
        <v>67</v>
      </c>
      <c r="F635" s="421">
        <f>'JKP-3.1c - Data'!C147</f>
        <v>9</v>
      </c>
      <c r="G635" s="421">
        <f>'JKP-3.1c - Data'!D147</f>
        <v>9</v>
      </c>
      <c r="H635" s="421">
        <f>'JKP-3.1c - Data'!E147</f>
        <v>9</v>
      </c>
      <c r="I635" s="421">
        <f>'JKP-3.1c - Data'!F147</f>
        <v>9</v>
      </c>
      <c r="J635" s="421">
        <f>'JKP-3.1c - Data'!G147</f>
        <v>8</v>
      </c>
      <c r="K635" s="421">
        <f>'JKP-3.1c - Data'!H147</f>
        <v>8</v>
      </c>
      <c r="L635" s="421">
        <f>'JKP-3.1c - Data'!I147</f>
        <v>8</v>
      </c>
      <c r="M635" s="421">
        <f>'JKP-3.1c - Data'!J147</f>
        <v>8</v>
      </c>
      <c r="N635" s="421">
        <f>'JKP-3.1c - Data'!K147</f>
        <v>8</v>
      </c>
      <c r="O635" s="421">
        <f>'JKP-3.1c - Data'!L147</f>
        <v>8</v>
      </c>
      <c r="P635" s="421">
        <f>'JKP-3.1c - Data'!M147</f>
        <v>8</v>
      </c>
      <c r="Q635" s="421">
        <f>'JKP-3.1c - Data'!N147</f>
        <v>8</v>
      </c>
      <c r="R635" s="378">
        <f>SUM(F635:Q635)</f>
        <v>100</v>
      </c>
    </row>
    <row r="636" spans="2:18" s="336" customFormat="1" x14ac:dyDescent="0.2">
      <c r="B636" s="336" t="s">
        <v>76</v>
      </c>
      <c r="F636" s="380"/>
      <c r="G636" s="380"/>
      <c r="H636" s="380"/>
      <c r="I636" s="380"/>
      <c r="J636" s="380"/>
      <c r="K636" s="380"/>
      <c r="L636" s="380"/>
      <c r="M636" s="380"/>
      <c r="N636" s="380"/>
      <c r="O636" s="380"/>
      <c r="P636" s="380"/>
      <c r="Q636" s="380"/>
      <c r="R636" s="378"/>
    </row>
    <row r="637" spans="2:18" s="336" customFormat="1" x14ac:dyDescent="0.2">
      <c r="C637" s="336" t="s">
        <v>1086</v>
      </c>
      <c r="E637" s="336" t="s">
        <v>10</v>
      </c>
      <c r="F637" s="380">
        <v>159808</v>
      </c>
      <c r="G637" s="380">
        <v>159616</v>
      </c>
      <c r="H637" s="380">
        <v>164262</v>
      </c>
      <c r="I637" s="380">
        <v>164862</v>
      </c>
      <c r="J637" s="380">
        <v>154196</v>
      </c>
      <c r="K637" s="380">
        <v>159226</v>
      </c>
      <c r="L637" s="380">
        <v>151099</v>
      </c>
      <c r="M637" s="380">
        <v>178864</v>
      </c>
      <c r="N637" s="380">
        <v>181777</v>
      </c>
      <c r="O637" s="380">
        <v>161297</v>
      </c>
      <c r="P637" s="380">
        <v>160388</v>
      </c>
      <c r="Q637" s="380">
        <v>157636</v>
      </c>
      <c r="R637" s="378">
        <f>SUM(F637:Q637)</f>
        <v>1953031</v>
      </c>
    </row>
    <row r="638" spans="2:18" s="336" customFormat="1" x14ac:dyDescent="0.2">
      <c r="C638" s="336" t="s">
        <v>1087</v>
      </c>
      <c r="E638" s="336" t="s">
        <v>10</v>
      </c>
      <c r="F638" s="380">
        <v>60257</v>
      </c>
      <c r="G638" s="380">
        <v>48921</v>
      </c>
      <c r="H638" s="380">
        <v>59228</v>
      </c>
      <c r="I638" s="380">
        <v>53424</v>
      </c>
      <c r="J638" s="380">
        <v>56923</v>
      </c>
      <c r="K638" s="380">
        <v>46744</v>
      </c>
      <c r="L638" s="380">
        <v>41570</v>
      </c>
      <c r="M638" s="380">
        <v>57731</v>
      </c>
      <c r="N638" s="380">
        <v>56825</v>
      </c>
      <c r="O638" s="380">
        <v>55501</v>
      </c>
      <c r="P638" s="380">
        <v>54110</v>
      </c>
      <c r="Q638" s="380">
        <v>62037</v>
      </c>
      <c r="R638" s="378">
        <f>SUM(F638:Q638)</f>
        <v>653271</v>
      </c>
    </row>
    <row r="639" spans="2:18" s="336" customFormat="1" x14ac:dyDescent="0.2">
      <c r="C639" s="336" t="s">
        <v>1088</v>
      </c>
      <c r="E639" s="336" t="s">
        <v>10</v>
      </c>
      <c r="F639" s="378">
        <f t="shared" ref="F639:N639" si="165">F640-SUM(F637:F638)</f>
        <v>23960</v>
      </c>
      <c r="G639" s="378">
        <f t="shared" si="165"/>
        <v>21900</v>
      </c>
      <c r="H639" s="378">
        <f t="shared" si="165"/>
        <v>26820</v>
      </c>
      <c r="I639" s="378">
        <f t="shared" si="165"/>
        <v>20124</v>
      </c>
      <c r="J639" s="378">
        <f t="shared" si="165"/>
        <v>20670</v>
      </c>
      <c r="K639" s="378">
        <f t="shared" si="165"/>
        <v>17495</v>
      </c>
      <c r="L639" s="378">
        <f t="shared" si="165"/>
        <v>18186</v>
      </c>
      <c r="M639" s="378">
        <f t="shared" si="165"/>
        <v>18232</v>
      </c>
      <c r="N639" s="378">
        <f t="shared" si="165"/>
        <v>15187</v>
      </c>
      <c r="O639" s="378">
        <f>O640-SUM(O637:O638)</f>
        <v>19817</v>
      </c>
      <c r="P639" s="378">
        <f>P640-SUM(P637:P638)</f>
        <v>23562</v>
      </c>
      <c r="Q639" s="378">
        <f>Q640-SUM(Q637:Q638)</f>
        <v>29857</v>
      </c>
      <c r="R639" s="378">
        <f>SUM(F639:Q639)</f>
        <v>255810</v>
      </c>
    </row>
    <row r="640" spans="2:18" s="336" customFormat="1" x14ac:dyDescent="0.2">
      <c r="C640" s="336" t="s">
        <v>1075</v>
      </c>
      <c r="E640" s="336" t="s">
        <v>10</v>
      </c>
      <c r="F640" s="445">
        <f>'JKP-3.1c - Therms Data'!E90</f>
        <v>244025</v>
      </c>
      <c r="G640" s="445">
        <f>'JKP-3.1c - Therms Data'!F90</f>
        <v>230437</v>
      </c>
      <c r="H640" s="445">
        <f>'JKP-3.1c - Therms Data'!G90</f>
        <v>250310</v>
      </c>
      <c r="I640" s="445">
        <f>'JKP-3.1c - Therms Data'!H90</f>
        <v>238410</v>
      </c>
      <c r="J640" s="445">
        <f>'JKP-3.1c - Therms Data'!I90</f>
        <v>231789</v>
      </c>
      <c r="K640" s="445">
        <f>'JKP-3.1c - Therms Data'!J90</f>
        <v>223465</v>
      </c>
      <c r="L640" s="445">
        <f>'JKP-3.1c - Therms Data'!K90</f>
        <v>210855</v>
      </c>
      <c r="M640" s="445">
        <f>'JKP-3.1c - Therms Data'!L90</f>
        <v>254827</v>
      </c>
      <c r="N640" s="445">
        <f>'JKP-3.1c - Therms Data'!M90</f>
        <v>253789</v>
      </c>
      <c r="O640" s="445">
        <f>'JKP-3.1c - Therms Data'!N90</f>
        <v>236615</v>
      </c>
      <c r="P640" s="445">
        <f>'JKP-3.1c - Therms Data'!O90</f>
        <v>238060</v>
      </c>
      <c r="Q640" s="445">
        <f>'JKP-3.1c - Therms Data'!P90</f>
        <v>249530</v>
      </c>
      <c r="R640" s="436">
        <f>SUM(R637:R639)</f>
        <v>2862112</v>
      </c>
    </row>
    <row r="641" spans="1:18" s="336" customFormat="1" x14ac:dyDescent="0.2">
      <c r="B641" s="336" t="s">
        <v>74</v>
      </c>
      <c r="E641" s="336" t="s">
        <v>1076</v>
      </c>
      <c r="F641" s="421">
        <f>'JKP-3.1c - Data'!C167</f>
        <v>2443</v>
      </c>
      <c r="G641" s="421">
        <f>'JKP-3.1c - Data'!D167</f>
        <v>2443</v>
      </c>
      <c r="H641" s="421">
        <f>'JKP-3.1c - Data'!E167</f>
        <v>2443</v>
      </c>
      <c r="I641" s="421">
        <f>'JKP-3.1c - Data'!F167</f>
        <v>2443</v>
      </c>
      <c r="J641" s="421">
        <f>'JKP-3.1c - Data'!G167</f>
        <v>2443</v>
      </c>
      <c r="K641" s="421">
        <f>'JKP-3.1c - Data'!H167</f>
        <v>2443</v>
      </c>
      <c r="L641" s="421">
        <f>'JKP-3.1c - Data'!I167</f>
        <v>2443</v>
      </c>
      <c r="M641" s="421">
        <f>'JKP-3.1c - Data'!J167</f>
        <v>2443</v>
      </c>
      <c r="N641" s="421">
        <f>'JKP-3.1c - Data'!K167</f>
        <v>2443</v>
      </c>
      <c r="O641" s="421">
        <f>'JKP-3.1c - Data'!L167</f>
        <v>2443</v>
      </c>
      <c r="P641" s="421">
        <f>'JKP-3.1c - Data'!M167</f>
        <v>2443</v>
      </c>
      <c r="Q641" s="421">
        <f>'JKP-3.1c - Data'!N167</f>
        <v>2443</v>
      </c>
      <c r="R641" s="378">
        <f>SUM(F641:Q641)</f>
        <v>29316</v>
      </c>
    </row>
    <row r="642" spans="1:18" s="336" customFormat="1" x14ac:dyDescent="0.2">
      <c r="B642" s="336" t="s">
        <v>1071</v>
      </c>
      <c r="F642" s="380"/>
      <c r="G642" s="380"/>
      <c r="H642" s="380"/>
      <c r="I642" s="380"/>
      <c r="J642" s="380"/>
      <c r="K642" s="380"/>
      <c r="L642" s="380"/>
      <c r="M642" s="380"/>
      <c r="N642" s="380"/>
      <c r="O642" s="380"/>
      <c r="P642" s="380"/>
      <c r="Q642" s="380"/>
      <c r="R642" s="378"/>
    </row>
    <row r="643" spans="1:18" s="336" customFormat="1" x14ac:dyDescent="0.2">
      <c r="N643" s="362"/>
      <c r="O643" s="362"/>
      <c r="P643" s="362"/>
      <c r="Q643" s="362"/>
      <c r="R643" s="179"/>
    </row>
    <row r="644" spans="1:18" s="336" customFormat="1" x14ac:dyDescent="0.2">
      <c r="B644" s="182" t="s">
        <v>985</v>
      </c>
      <c r="R644" s="179"/>
    </row>
    <row r="645" spans="1:18" s="336" customFormat="1" x14ac:dyDescent="0.2">
      <c r="A645" s="336" t="s">
        <v>1054</v>
      </c>
      <c r="B645" s="336" t="s">
        <v>1059</v>
      </c>
      <c r="D645" s="336">
        <v>85</v>
      </c>
      <c r="F645" s="418">
        <f t="shared" ref="F645:N645" si="166">F620*F635</f>
        <v>4902.75</v>
      </c>
      <c r="G645" s="418">
        <f t="shared" si="166"/>
        <v>4902.75</v>
      </c>
      <c r="H645" s="418">
        <f t="shared" si="166"/>
        <v>4902.75</v>
      </c>
      <c r="I645" s="418">
        <f t="shared" si="166"/>
        <v>4902.75</v>
      </c>
      <c r="J645" s="418">
        <f t="shared" si="166"/>
        <v>4358</v>
      </c>
      <c r="K645" s="418">
        <f t="shared" si="166"/>
        <v>4358</v>
      </c>
      <c r="L645" s="418">
        <f t="shared" si="166"/>
        <v>4358</v>
      </c>
      <c r="M645" s="418">
        <f t="shared" si="166"/>
        <v>4358</v>
      </c>
      <c r="N645" s="418">
        <f t="shared" si="166"/>
        <v>4358</v>
      </c>
      <c r="O645" s="418">
        <f>O620*O635</f>
        <v>4358</v>
      </c>
      <c r="P645" s="418">
        <f>P620*P635</f>
        <v>4358</v>
      </c>
      <c r="Q645" s="418">
        <f>Q620*Q635</f>
        <v>4358</v>
      </c>
      <c r="R645" s="437">
        <f>SUM(F645:Q645)</f>
        <v>54475</v>
      </c>
    </row>
    <row r="646" spans="1:18" x14ac:dyDescent="0.2">
      <c r="C646" s="32" t="s">
        <v>1047</v>
      </c>
      <c r="F646" s="364"/>
      <c r="G646" s="364"/>
      <c r="H646" s="364"/>
      <c r="I646" s="364"/>
      <c r="J646" s="364"/>
      <c r="K646" s="364"/>
      <c r="L646" s="364"/>
      <c r="M646" s="364"/>
      <c r="N646" s="364"/>
      <c r="O646" s="364"/>
      <c r="P646" s="364"/>
      <c r="Q646" s="364"/>
      <c r="R646" s="341"/>
    </row>
    <row r="647" spans="1:18" x14ac:dyDescent="0.2">
      <c r="C647" s="32" t="s">
        <v>1086</v>
      </c>
      <c r="D647" s="32">
        <v>85</v>
      </c>
      <c r="F647" s="364">
        <f t="shared" ref="F647:Q649" si="167">F622*F637</f>
        <v>16346.760320000001</v>
      </c>
      <c r="G647" s="364">
        <f t="shared" si="167"/>
        <v>16327.120640000001</v>
      </c>
      <c r="H647" s="364">
        <f t="shared" si="167"/>
        <v>16802.359980000001</v>
      </c>
      <c r="I647" s="364">
        <f t="shared" si="167"/>
        <v>16863.733980000001</v>
      </c>
      <c r="J647" s="364">
        <f t="shared" si="167"/>
        <v>15772.708840000001</v>
      </c>
      <c r="K647" s="364">
        <f t="shared" si="167"/>
        <v>16287.227540000002</v>
      </c>
      <c r="L647" s="364">
        <f t="shared" si="167"/>
        <v>15455.916710000001</v>
      </c>
      <c r="M647" s="364">
        <f t="shared" si="167"/>
        <v>18295.99856</v>
      </c>
      <c r="N647" s="364">
        <f t="shared" si="167"/>
        <v>18593.96933</v>
      </c>
      <c r="O647" s="364">
        <f t="shared" si="167"/>
        <v>16499.07013</v>
      </c>
      <c r="P647" s="364">
        <f t="shared" si="167"/>
        <v>16406.088520000001</v>
      </c>
      <c r="Q647" s="364">
        <f t="shared" si="167"/>
        <v>16124.586440000001</v>
      </c>
      <c r="R647" s="341">
        <f t="shared" ref="R647:R655" si="168">SUM(F647:Q647)</f>
        <v>199775.54099000004</v>
      </c>
    </row>
    <row r="648" spans="1:18" x14ac:dyDescent="0.2">
      <c r="C648" s="32" t="s">
        <v>1087</v>
      </c>
      <c r="D648" s="32">
        <v>85</v>
      </c>
      <c r="F648" s="364">
        <f t="shared" si="167"/>
        <v>3159.8770800000002</v>
      </c>
      <c r="G648" s="364">
        <f t="shared" si="167"/>
        <v>2565.4172400000002</v>
      </c>
      <c r="H648" s="364">
        <f t="shared" si="167"/>
        <v>3105.9163199999998</v>
      </c>
      <c r="I648" s="364">
        <f t="shared" si="167"/>
        <v>2801.55456</v>
      </c>
      <c r="J648" s="364">
        <f t="shared" si="167"/>
        <v>2985.0421200000001</v>
      </c>
      <c r="K648" s="364">
        <f t="shared" si="167"/>
        <v>2451.2553600000001</v>
      </c>
      <c r="L648" s="364">
        <f t="shared" si="167"/>
        <v>2179.9308000000001</v>
      </c>
      <c r="M648" s="364">
        <f t="shared" si="167"/>
        <v>3027.4136400000002</v>
      </c>
      <c r="N648" s="364">
        <f t="shared" si="167"/>
        <v>2979.9030000000002</v>
      </c>
      <c r="O648" s="364">
        <f t="shared" si="167"/>
        <v>2910.47244</v>
      </c>
      <c r="P648" s="364">
        <f t="shared" si="167"/>
        <v>2837.5284000000001</v>
      </c>
      <c r="Q648" s="364">
        <f t="shared" si="167"/>
        <v>3253.22028</v>
      </c>
      <c r="R648" s="341">
        <f t="shared" si="168"/>
        <v>34257.531240000004</v>
      </c>
    </row>
    <row r="649" spans="1:18" x14ac:dyDescent="0.2">
      <c r="C649" s="32" t="s">
        <v>1088</v>
      </c>
      <c r="D649" s="32">
        <v>85</v>
      </c>
      <c r="F649" s="364">
        <f t="shared" si="167"/>
        <v>1205.9068</v>
      </c>
      <c r="G649" s="364">
        <f t="shared" si="167"/>
        <v>1102.2270000000001</v>
      </c>
      <c r="H649" s="364">
        <f t="shared" si="167"/>
        <v>1349.8506</v>
      </c>
      <c r="I649" s="364">
        <f t="shared" si="167"/>
        <v>1012.84092</v>
      </c>
      <c r="J649" s="364">
        <f t="shared" si="167"/>
        <v>1040.3210999999999</v>
      </c>
      <c r="K649" s="364">
        <f t="shared" si="167"/>
        <v>880.52335000000005</v>
      </c>
      <c r="L649" s="364">
        <f t="shared" si="167"/>
        <v>915.30137999999999</v>
      </c>
      <c r="M649" s="364">
        <f t="shared" si="167"/>
        <v>917.61656000000005</v>
      </c>
      <c r="N649" s="364">
        <f t="shared" si="167"/>
        <v>764.36171000000002</v>
      </c>
      <c r="O649" s="364">
        <f t="shared" si="167"/>
        <v>997.38960999999995</v>
      </c>
      <c r="P649" s="364">
        <f t="shared" si="167"/>
        <v>1185.87546</v>
      </c>
      <c r="Q649" s="364">
        <f t="shared" si="167"/>
        <v>1502.70281</v>
      </c>
      <c r="R649" s="341">
        <f t="shared" si="168"/>
        <v>12874.917299999999</v>
      </c>
    </row>
    <row r="650" spans="1:18" x14ac:dyDescent="0.2">
      <c r="A650" s="32" t="s">
        <v>1054</v>
      </c>
      <c r="C650" s="32" t="s">
        <v>1077</v>
      </c>
      <c r="F650" s="365">
        <f t="shared" ref="F650:N650" si="169">SUM(F647:F649)</f>
        <v>20712.5442</v>
      </c>
      <c r="G650" s="365">
        <f t="shared" si="169"/>
        <v>19994.764879999999</v>
      </c>
      <c r="H650" s="365">
        <f t="shared" si="169"/>
        <v>21258.126900000003</v>
      </c>
      <c r="I650" s="365">
        <f t="shared" si="169"/>
        <v>20678.12946</v>
      </c>
      <c r="J650" s="365">
        <f t="shared" si="169"/>
        <v>19798.072060000002</v>
      </c>
      <c r="K650" s="365">
        <f t="shared" si="169"/>
        <v>19619.006250000002</v>
      </c>
      <c r="L650" s="365">
        <f t="shared" si="169"/>
        <v>18551.14889</v>
      </c>
      <c r="M650" s="365">
        <f t="shared" si="169"/>
        <v>22241.028759999997</v>
      </c>
      <c r="N650" s="365">
        <f t="shared" si="169"/>
        <v>22338.234039999999</v>
      </c>
      <c r="O650" s="365">
        <f>SUM(O647:O649)</f>
        <v>20406.93218</v>
      </c>
      <c r="P650" s="365">
        <f>SUM(P647:P649)</f>
        <v>20429.49238</v>
      </c>
      <c r="Q650" s="365">
        <f>SUM(Q647:Q649)</f>
        <v>20880.509529999999</v>
      </c>
      <c r="R650" s="365">
        <f t="shared" si="168"/>
        <v>246907.98953000005</v>
      </c>
    </row>
    <row r="651" spans="1:18" x14ac:dyDescent="0.2">
      <c r="A651" s="336" t="s">
        <v>1056</v>
      </c>
      <c r="B651" s="32" t="s">
        <v>1067</v>
      </c>
      <c r="D651" s="32">
        <v>101</v>
      </c>
      <c r="F651" s="364">
        <f t="shared" ref="F651:N651" si="170">F625*F640</f>
        <v>170856.54399999999</v>
      </c>
      <c r="G651" s="364">
        <f t="shared" si="170"/>
        <v>161342.76991999999</v>
      </c>
      <c r="H651" s="364">
        <f t="shared" si="170"/>
        <v>175257.0496</v>
      </c>
      <c r="I651" s="364">
        <f t="shared" si="170"/>
        <v>166925.14559999999</v>
      </c>
      <c r="J651" s="364">
        <f t="shared" si="170"/>
        <v>162289.38623999999</v>
      </c>
      <c r="K651" s="364">
        <f t="shared" si="170"/>
        <v>156461.25440000001</v>
      </c>
      <c r="L651" s="364">
        <f t="shared" si="170"/>
        <v>147632.23680000001</v>
      </c>
      <c r="M651" s="418">
        <f t="shared" si="170"/>
        <v>178419.67232000001</v>
      </c>
      <c r="N651" s="364">
        <f t="shared" si="170"/>
        <v>177692.90624000001</v>
      </c>
      <c r="O651" s="364">
        <f>O625*O640</f>
        <v>165668.3584</v>
      </c>
      <c r="P651" s="364">
        <f>P625*P640</f>
        <v>157417.17499999999</v>
      </c>
      <c r="Q651" s="364">
        <f>Q625*Q640</f>
        <v>165001.71249999999</v>
      </c>
      <c r="R651" s="341">
        <f t="shared" si="168"/>
        <v>1984964.2110199998</v>
      </c>
    </row>
    <row r="652" spans="1:18" x14ac:dyDescent="0.2">
      <c r="A652" s="390" t="s">
        <v>1054</v>
      </c>
      <c r="B652" s="390" t="s">
        <v>1096</v>
      </c>
      <c r="D652" s="462">
        <v>85</v>
      </c>
      <c r="E652" s="390"/>
      <c r="F652" s="417">
        <f t="shared" ref="F652:N652" si="171">F626*F640</f>
        <v>1608.1247500000002</v>
      </c>
      <c r="G652" s="417">
        <f t="shared" si="171"/>
        <v>1518.5798300000001</v>
      </c>
      <c r="H652" s="417">
        <f t="shared" si="171"/>
        <v>1649.5429000000001</v>
      </c>
      <c r="I652" s="417">
        <f t="shared" si="171"/>
        <v>1571.1219000000001</v>
      </c>
      <c r="J652" s="417">
        <f t="shared" si="171"/>
        <v>1527.4895100000001</v>
      </c>
      <c r="K652" s="417">
        <f t="shared" si="171"/>
        <v>1472.63435</v>
      </c>
      <c r="L652" s="417">
        <f t="shared" si="171"/>
        <v>1389.5344500000001</v>
      </c>
      <c r="M652" s="417">
        <f t="shared" si="171"/>
        <v>1679.3099300000001</v>
      </c>
      <c r="N652" s="417">
        <f t="shared" si="171"/>
        <v>1672.4695100000001</v>
      </c>
      <c r="O652" s="417">
        <f>O626*O640</f>
        <v>1559.29285</v>
      </c>
      <c r="P652" s="417">
        <f>P626*P640</f>
        <v>1568.8154000000002</v>
      </c>
      <c r="Q652" s="417">
        <f>Q626*Q640</f>
        <v>1644.4027000000001</v>
      </c>
      <c r="R652" s="463">
        <f t="shared" si="168"/>
        <v>18861.318080000001</v>
      </c>
    </row>
    <row r="653" spans="1:18" x14ac:dyDescent="0.2">
      <c r="B653" s="32" t="s">
        <v>1068</v>
      </c>
      <c r="F653" s="364"/>
      <c r="G653" s="364"/>
      <c r="H653" s="364"/>
      <c r="I653" s="364"/>
      <c r="J653" s="364"/>
      <c r="K653" s="364"/>
      <c r="L653" s="364"/>
      <c r="M653" s="364"/>
      <c r="N653" s="364"/>
      <c r="O653" s="364"/>
      <c r="P653" s="364"/>
      <c r="Q653" s="364"/>
      <c r="R653" s="341">
        <f t="shared" si="168"/>
        <v>0</v>
      </c>
    </row>
    <row r="654" spans="1:18" x14ac:dyDescent="0.2">
      <c r="A654" s="32" t="s">
        <v>1054</v>
      </c>
      <c r="C654" s="32" t="s">
        <v>1069</v>
      </c>
      <c r="D654" s="32">
        <v>85</v>
      </c>
      <c r="F654" s="364">
        <f t="shared" ref="F654:N654" si="172">F628*F641</f>
        <v>2711.73</v>
      </c>
      <c r="G654" s="364">
        <f t="shared" si="172"/>
        <v>2711.73</v>
      </c>
      <c r="H654" s="364">
        <f t="shared" si="172"/>
        <v>2711.73</v>
      </c>
      <c r="I654" s="364">
        <f t="shared" si="172"/>
        <v>2711.73</v>
      </c>
      <c r="J654" s="364">
        <f t="shared" si="172"/>
        <v>2711.73</v>
      </c>
      <c r="K654" s="364">
        <f t="shared" si="172"/>
        <v>2711.73</v>
      </c>
      <c r="L654" s="364">
        <f t="shared" si="172"/>
        <v>2711.73</v>
      </c>
      <c r="M654" s="364">
        <f t="shared" si="172"/>
        <v>2711.73</v>
      </c>
      <c r="N654" s="364">
        <f t="shared" si="172"/>
        <v>2711.73</v>
      </c>
      <c r="O654" s="364">
        <f>O628*O641</f>
        <v>2711.73</v>
      </c>
      <c r="P654" s="364">
        <f>P628*P641</f>
        <v>2711.73</v>
      </c>
      <c r="Q654" s="364">
        <f>Q628*Q641</f>
        <v>2711.73</v>
      </c>
      <c r="R654" s="341">
        <f t="shared" si="168"/>
        <v>32540.76</v>
      </c>
    </row>
    <row r="655" spans="1:18" x14ac:dyDescent="0.2">
      <c r="A655" s="336" t="s">
        <v>1056</v>
      </c>
      <c r="C655" s="32" t="s">
        <v>1070</v>
      </c>
      <c r="D655" s="32">
        <v>101</v>
      </c>
      <c r="F655" s="364">
        <f t="shared" ref="F655:N655" si="173">F629*F641</f>
        <v>2565.15</v>
      </c>
      <c r="G655" s="364">
        <f t="shared" si="173"/>
        <v>2565.15</v>
      </c>
      <c r="H655" s="364">
        <f t="shared" si="173"/>
        <v>2565.15</v>
      </c>
      <c r="I655" s="364">
        <f t="shared" si="173"/>
        <v>2565.15</v>
      </c>
      <c r="J655" s="364">
        <f t="shared" si="173"/>
        <v>2565.15</v>
      </c>
      <c r="K655" s="364">
        <f t="shared" si="173"/>
        <v>2565.15</v>
      </c>
      <c r="L655" s="364">
        <f t="shared" si="173"/>
        <v>2565.15</v>
      </c>
      <c r="M655" s="418">
        <f t="shared" si="173"/>
        <v>2565.15</v>
      </c>
      <c r="N655" s="364">
        <f t="shared" si="173"/>
        <v>2565.15</v>
      </c>
      <c r="O655" s="364">
        <f>O629*O641</f>
        <v>2565.15</v>
      </c>
      <c r="P655" s="364">
        <f>P629*P641</f>
        <v>2565.15</v>
      </c>
      <c r="Q655" s="364">
        <f>Q629*Q641</f>
        <v>2565.15</v>
      </c>
      <c r="R655" s="341">
        <f t="shared" si="168"/>
        <v>30781.800000000007</v>
      </c>
    </row>
    <row r="656" spans="1:18" x14ac:dyDescent="0.2">
      <c r="C656" s="32" t="s">
        <v>1078</v>
      </c>
      <c r="F656" s="365">
        <f t="shared" ref="F656:N656" si="174">SUM(F654:F655)</f>
        <v>5276.88</v>
      </c>
      <c r="G656" s="365">
        <f t="shared" si="174"/>
        <v>5276.88</v>
      </c>
      <c r="H656" s="365">
        <f t="shared" si="174"/>
        <v>5276.88</v>
      </c>
      <c r="I656" s="365">
        <f t="shared" si="174"/>
        <v>5276.88</v>
      </c>
      <c r="J656" s="365">
        <f t="shared" si="174"/>
        <v>5276.88</v>
      </c>
      <c r="K656" s="365">
        <f t="shared" si="174"/>
        <v>5276.88</v>
      </c>
      <c r="L656" s="365">
        <f t="shared" si="174"/>
        <v>5276.88</v>
      </c>
      <c r="M656" s="365">
        <f t="shared" si="174"/>
        <v>5276.88</v>
      </c>
      <c r="N656" s="365">
        <f t="shared" si="174"/>
        <v>5276.88</v>
      </c>
      <c r="O656" s="365">
        <f>SUM(O654:O655)</f>
        <v>5276.88</v>
      </c>
      <c r="P656" s="365">
        <f>SUM(P654:P655)</f>
        <v>5276.88</v>
      </c>
      <c r="Q656" s="365">
        <f>SUM(Q654:Q655)</f>
        <v>5276.88</v>
      </c>
      <c r="R656" s="365">
        <f>SUM(R654:R655)</f>
        <v>63322.560000000005</v>
      </c>
    </row>
    <row r="657" spans="1:18" s="336" customFormat="1" x14ac:dyDescent="0.2">
      <c r="A657" s="336" t="s">
        <v>1054</v>
      </c>
      <c r="B657" s="336" t="s">
        <v>1071</v>
      </c>
      <c r="D657" s="336">
        <v>85</v>
      </c>
      <c r="F657" s="447">
        <f>'JKP-3.1c - Data'!C184</f>
        <v>0</v>
      </c>
      <c r="G657" s="447">
        <f>'JKP-3.1c - Data'!D184</f>
        <v>16339.8</v>
      </c>
      <c r="H657" s="447">
        <f>'JKP-3.1c - Data'!E184</f>
        <v>0</v>
      </c>
      <c r="I657" s="447">
        <f>'JKP-3.1c - Data'!F184</f>
        <v>0</v>
      </c>
      <c r="J657" s="447">
        <f>'JKP-3.1c - Data'!G184</f>
        <v>0</v>
      </c>
      <c r="K657" s="447">
        <f>'JKP-3.1c - Data'!H184</f>
        <v>0</v>
      </c>
      <c r="L657" s="447">
        <f>'JKP-3.1c - Data'!I184</f>
        <v>0</v>
      </c>
      <c r="M657" s="447">
        <f>'JKP-3.1c - Data'!J184</f>
        <v>0</v>
      </c>
      <c r="N657" s="447">
        <f>'JKP-3.1c - Data'!K184</f>
        <v>0</v>
      </c>
      <c r="O657" s="447">
        <f>'JKP-3.1c - Data'!L184</f>
        <v>0</v>
      </c>
      <c r="P657" s="447">
        <f>'JKP-3.1c - Data'!M184</f>
        <v>0</v>
      </c>
      <c r="Q657" s="447">
        <f>'JKP-3.1c - Data'!N184</f>
        <v>1052.69</v>
      </c>
      <c r="R657" s="437">
        <f>SUM(F657:Q657)</f>
        <v>17392.489999999998</v>
      </c>
    </row>
    <row r="658" spans="1:18" x14ac:dyDescent="0.2">
      <c r="B658" s="32" t="s">
        <v>1079</v>
      </c>
      <c r="F658" s="365">
        <f t="shared" ref="F658:N658" si="175">F651+F655</f>
        <v>173421.69399999999</v>
      </c>
      <c r="G658" s="365">
        <f t="shared" si="175"/>
        <v>163907.91991999999</v>
      </c>
      <c r="H658" s="365">
        <f t="shared" si="175"/>
        <v>177822.19959999999</v>
      </c>
      <c r="I658" s="365">
        <f t="shared" si="175"/>
        <v>169490.29559999998</v>
      </c>
      <c r="J658" s="365">
        <f t="shared" si="175"/>
        <v>164854.53623999999</v>
      </c>
      <c r="K658" s="365">
        <f t="shared" si="175"/>
        <v>159026.4044</v>
      </c>
      <c r="L658" s="365">
        <f t="shared" si="175"/>
        <v>150197.38680000001</v>
      </c>
      <c r="M658" s="365">
        <f t="shared" si="175"/>
        <v>180984.82232000001</v>
      </c>
      <c r="N658" s="365">
        <f t="shared" si="175"/>
        <v>180258.05624000001</v>
      </c>
      <c r="O658" s="365">
        <f>O651+O655</f>
        <v>168233.50839999999</v>
      </c>
      <c r="P658" s="365">
        <f>P651+P655</f>
        <v>159982.32499999998</v>
      </c>
      <c r="Q658" s="365">
        <f>Q651+Q655</f>
        <v>167566.86249999999</v>
      </c>
      <c r="R658" s="365">
        <f>R651+R655</f>
        <v>2015746.0110199999</v>
      </c>
    </row>
    <row r="659" spans="1:18" x14ac:dyDescent="0.2">
      <c r="B659" s="32" t="s">
        <v>986</v>
      </c>
      <c r="F659" s="365">
        <f t="shared" ref="F659:N659" si="176">F645+F650+F651+F652+F656+F657</f>
        <v>203356.84294999999</v>
      </c>
      <c r="G659" s="365">
        <f t="shared" si="176"/>
        <v>209375.54462999999</v>
      </c>
      <c r="H659" s="365">
        <f t="shared" si="176"/>
        <v>208344.34940000001</v>
      </c>
      <c r="I659" s="365">
        <f t="shared" si="176"/>
        <v>199354.02695999999</v>
      </c>
      <c r="J659" s="365">
        <f t="shared" si="176"/>
        <v>193249.82781000002</v>
      </c>
      <c r="K659" s="365">
        <f t="shared" si="176"/>
        <v>187187.77500000002</v>
      </c>
      <c r="L659" s="365">
        <f t="shared" si="176"/>
        <v>177207.80014000004</v>
      </c>
      <c r="M659" s="365">
        <f t="shared" si="176"/>
        <v>211974.89100999999</v>
      </c>
      <c r="N659" s="365">
        <f t="shared" si="176"/>
        <v>211338.48979000002</v>
      </c>
      <c r="O659" s="365">
        <f>O645+O650+O651+O652+O656+O657</f>
        <v>197269.46343</v>
      </c>
      <c r="P659" s="365">
        <f>P645+P650+P651+P652+P656+P657</f>
        <v>189050.36278</v>
      </c>
      <c r="Q659" s="365">
        <f>Q645+Q650+Q651+Q652+Q656+Q657</f>
        <v>198214.19473000002</v>
      </c>
      <c r="R659" s="365">
        <f>R645+R650+R651+R652+R656+R657</f>
        <v>2385923.5686300001</v>
      </c>
    </row>
    <row r="660" spans="1:18" x14ac:dyDescent="0.2">
      <c r="F660" s="364"/>
      <c r="G660" s="364"/>
      <c r="H660" s="364"/>
      <c r="I660" s="364"/>
      <c r="J660" s="364"/>
      <c r="K660" s="364"/>
      <c r="L660" s="364"/>
      <c r="M660" s="364"/>
      <c r="N660" s="364"/>
      <c r="O660" s="364"/>
      <c r="P660" s="364"/>
      <c r="Q660" s="364"/>
      <c r="R660" s="341"/>
    </row>
    <row r="661" spans="1:18" x14ac:dyDescent="0.2">
      <c r="A661" s="32" t="s">
        <v>1058</v>
      </c>
      <c r="B661" s="32" t="s">
        <v>1050</v>
      </c>
      <c r="F661" s="364">
        <f>F631*F640+F641*F632</f>
        <v>165920.228</v>
      </c>
      <c r="G661" s="364">
        <f t="shared" ref="G661:Q661" si="177">G631*G640+G641*G632</f>
        <v>156817.35503999999</v>
      </c>
      <c r="H661" s="364">
        <f t="shared" si="177"/>
        <v>170130.6752</v>
      </c>
      <c r="I661" s="364">
        <f t="shared" si="177"/>
        <v>162158.62719999999</v>
      </c>
      <c r="J661" s="364">
        <f t="shared" si="177"/>
        <v>157723.08687999999</v>
      </c>
      <c r="K661" s="364">
        <f t="shared" si="177"/>
        <v>152146.6728</v>
      </c>
      <c r="L661" s="364">
        <f t="shared" si="177"/>
        <v>143698.9816</v>
      </c>
      <c r="M661" s="364">
        <f t="shared" si="177"/>
        <v>173156.70384</v>
      </c>
      <c r="N661" s="364">
        <f t="shared" si="177"/>
        <v>172461.32687999998</v>
      </c>
      <c r="O661" s="364">
        <f t="shared" si="177"/>
        <v>160956.1208</v>
      </c>
      <c r="P661" s="364">
        <f t="shared" si="177"/>
        <v>153051.65900000001</v>
      </c>
      <c r="Q661" s="364">
        <f t="shared" si="177"/>
        <v>160308.1545</v>
      </c>
      <c r="R661" s="341">
        <f>SUM(F661:Q661)</f>
        <v>1928529.5917400001</v>
      </c>
    </row>
    <row r="662" spans="1:18" x14ac:dyDescent="0.2">
      <c r="F662" s="364"/>
      <c r="G662" s="364"/>
      <c r="H662" s="364"/>
      <c r="I662" s="364"/>
      <c r="J662" s="364"/>
      <c r="K662" s="364"/>
      <c r="L662" s="364"/>
      <c r="M662" s="364"/>
      <c r="N662" s="364"/>
      <c r="O662" s="364"/>
      <c r="P662" s="364"/>
      <c r="Q662" s="364"/>
      <c r="R662" s="341"/>
    </row>
    <row r="663" spans="1:18" x14ac:dyDescent="0.2">
      <c r="B663" s="276" t="s">
        <v>1111</v>
      </c>
      <c r="C663" s="276"/>
    </row>
    <row r="664" spans="1:18" x14ac:dyDescent="0.2">
      <c r="B664" s="276" t="s">
        <v>5</v>
      </c>
      <c r="C664" s="276"/>
    </row>
    <row r="665" spans="1:18" x14ac:dyDescent="0.2">
      <c r="B665" s="32" t="s">
        <v>1059</v>
      </c>
      <c r="D665" s="444">
        <v>86</v>
      </c>
      <c r="E665" s="32" t="s">
        <v>976</v>
      </c>
      <c r="F665" s="413">
        <f t="shared" ref="F665:N665" si="178">F306</f>
        <v>139.37</v>
      </c>
      <c r="G665" s="413">
        <f t="shared" si="178"/>
        <v>139.37</v>
      </c>
      <c r="H665" s="413">
        <f t="shared" si="178"/>
        <v>139.37</v>
      </c>
      <c r="I665" s="413">
        <f t="shared" si="178"/>
        <v>139.37</v>
      </c>
      <c r="J665" s="413">
        <f t="shared" si="178"/>
        <v>139.37</v>
      </c>
      <c r="K665" s="413">
        <f t="shared" si="178"/>
        <v>139.37</v>
      </c>
      <c r="L665" s="413">
        <f t="shared" si="178"/>
        <v>139.37</v>
      </c>
      <c r="M665" s="413">
        <f t="shared" si="178"/>
        <v>139.37</v>
      </c>
      <c r="N665" s="413">
        <f t="shared" si="178"/>
        <v>139.37</v>
      </c>
      <c r="O665" s="413">
        <f>O306</f>
        <v>139.37</v>
      </c>
      <c r="P665" s="413">
        <f>P306</f>
        <v>139.37</v>
      </c>
      <c r="Q665" s="413">
        <f>Q306</f>
        <v>139.37</v>
      </c>
      <c r="R665" s="439"/>
    </row>
    <row r="666" spans="1:18" x14ac:dyDescent="0.2">
      <c r="B666" s="32" t="s">
        <v>1047</v>
      </c>
      <c r="F666" s="393"/>
      <c r="G666" s="393"/>
      <c r="H666" s="393"/>
      <c r="I666" s="393"/>
      <c r="J666" s="393"/>
      <c r="K666" s="393"/>
      <c r="L666" s="393"/>
      <c r="M666" s="393"/>
      <c r="N666" s="393"/>
      <c r="O666" s="393"/>
      <c r="P666" s="393"/>
      <c r="Q666" s="393"/>
      <c r="R666" s="394"/>
    </row>
    <row r="667" spans="1:18" x14ac:dyDescent="0.2">
      <c r="C667" s="32" t="s">
        <v>1098</v>
      </c>
      <c r="D667" s="444">
        <v>86</v>
      </c>
      <c r="E667" s="32" t="s">
        <v>957</v>
      </c>
      <c r="F667" s="393">
        <f t="shared" ref="F667:Q670" si="179">F308</f>
        <v>0.19819999999999999</v>
      </c>
      <c r="G667" s="393">
        <f t="shared" si="179"/>
        <v>0.19819999999999999</v>
      </c>
      <c r="H667" s="393">
        <f t="shared" si="179"/>
        <v>0.19819999999999999</v>
      </c>
      <c r="I667" s="393">
        <f t="shared" si="179"/>
        <v>0.19819999999999999</v>
      </c>
      <c r="J667" s="393">
        <f t="shared" si="179"/>
        <v>0.19819999999999999</v>
      </c>
      <c r="K667" s="393">
        <f t="shared" si="179"/>
        <v>0.19819999999999999</v>
      </c>
      <c r="L667" s="393">
        <f t="shared" si="179"/>
        <v>0.19819999999999999</v>
      </c>
      <c r="M667" s="393">
        <f t="shared" si="179"/>
        <v>0.19819999999999999</v>
      </c>
      <c r="N667" s="393">
        <f t="shared" si="179"/>
        <v>0.19819999999999999</v>
      </c>
      <c r="O667" s="393">
        <f t="shared" si="179"/>
        <v>0.19819999999999999</v>
      </c>
      <c r="P667" s="393">
        <f t="shared" si="179"/>
        <v>0.19819999999999999</v>
      </c>
      <c r="Q667" s="393">
        <f t="shared" si="179"/>
        <v>0.19819999999999999</v>
      </c>
      <c r="R667" s="394"/>
    </row>
    <row r="668" spans="1:18" x14ac:dyDescent="0.2">
      <c r="C668" s="32" t="s">
        <v>1099</v>
      </c>
      <c r="D668" s="444">
        <v>86</v>
      </c>
      <c r="E668" s="32" t="s">
        <v>957</v>
      </c>
      <c r="F668" s="393">
        <f t="shared" si="179"/>
        <v>0.1421</v>
      </c>
      <c r="G668" s="393">
        <f t="shared" si="179"/>
        <v>0.1421</v>
      </c>
      <c r="H668" s="393">
        <f t="shared" si="179"/>
        <v>0.1421</v>
      </c>
      <c r="I668" s="393">
        <f t="shared" si="179"/>
        <v>0.1421</v>
      </c>
      <c r="J668" s="393">
        <f t="shared" si="179"/>
        <v>0.1421</v>
      </c>
      <c r="K668" s="393">
        <f t="shared" si="179"/>
        <v>0.1421</v>
      </c>
      <c r="L668" s="393">
        <f t="shared" si="179"/>
        <v>0.1421</v>
      </c>
      <c r="M668" s="393">
        <f t="shared" si="179"/>
        <v>0.1421</v>
      </c>
      <c r="N668" s="393">
        <f t="shared" si="179"/>
        <v>0.1421</v>
      </c>
      <c r="O668" s="393">
        <f t="shared" si="179"/>
        <v>0.1421</v>
      </c>
      <c r="P668" s="393">
        <f t="shared" si="179"/>
        <v>0.1421</v>
      </c>
      <c r="Q668" s="393">
        <f t="shared" si="179"/>
        <v>0.1421</v>
      </c>
      <c r="R668" s="394"/>
    </row>
    <row r="669" spans="1:18" x14ac:dyDescent="0.2">
      <c r="B669" s="32" t="s">
        <v>1067</v>
      </c>
      <c r="D669" s="32">
        <v>101</v>
      </c>
      <c r="E669" s="32" t="s">
        <v>957</v>
      </c>
      <c r="F669" s="393">
        <f t="shared" si="179"/>
        <v>0.70406000000000002</v>
      </c>
      <c r="G669" s="393">
        <f t="shared" si="179"/>
        <v>0.70406000000000002</v>
      </c>
      <c r="H669" s="393">
        <f t="shared" si="179"/>
        <v>0.70406000000000002</v>
      </c>
      <c r="I669" s="393">
        <f t="shared" si="179"/>
        <v>0.70406000000000002</v>
      </c>
      <c r="J669" s="393">
        <f t="shared" si="179"/>
        <v>0.70406000000000002</v>
      </c>
      <c r="K669" s="393">
        <f t="shared" si="179"/>
        <v>0.70406000000000002</v>
      </c>
      <c r="L669" s="393">
        <f t="shared" si="179"/>
        <v>0.70406000000000002</v>
      </c>
      <c r="M669" s="393">
        <f t="shared" si="179"/>
        <v>0.70406000000000002</v>
      </c>
      <c r="N669" s="393">
        <f t="shared" si="179"/>
        <v>0.70406000000000002</v>
      </c>
      <c r="O669" s="393">
        <f t="shared" si="179"/>
        <v>0.70406000000000002</v>
      </c>
      <c r="P669" s="393">
        <f t="shared" si="179"/>
        <v>0.66556999999999999</v>
      </c>
      <c r="Q669" s="393">
        <f t="shared" si="179"/>
        <v>0.66556999999999999</v>
      </c>
      <c r="R669" s="394"/>
    </row>
    <row r="670" spans="1:18" x14ac:dyDescent="0.2">
      <c r="B670" s="32" t="s">
        <v>1096</v>
      </c>
      <c r="D670" s="444">
        <v>86</v>
      </c>
      <c r="E670" s="32" t="s">
        <v>957</v>
      </c>
      <c r="F670" s="394">
        <f t="shared" si="179"/>
        <v>6.5900000000000004E-3</v>
      </c>
      <c r="G670" s="394">
        <f t="shared" si="179"/>
        <v>6.5900000000000004E-3</v>
      </c>
      <c r="H670" s="394">
        <f t="shared" si="179"/>
        <v>6.5900000000000004E-3</v>
      </c>
      <c r="I670" s="394">
        <f t="shared" si="179"/>
        <v>6.5900000000000004E-3</v>
      </c>
      <c r="J670" s="394">
        <f t="shared" si="179"/>
        <v>6.5900000000000004E-3</v>
      </c>
      <c r="K670" s="394">
        <f t="shared" si="179"/>
        <v>6.5900000000000004E-3</v>
      </c>
      <c r="L670" s="394">
        <f t="shared" si="179"/>
        <v>6.5900000000000004E-3</v>
      </c>
      <c r="M670" s="394">
        <f t="shared" si="179"/>
        <v>6.5900000000000004E-3</v>
      </c>
      <c r="N670" s="394">
        <f t="shared" si="179"/>
        <v>6.5900000000000004E-3</v>
      </c>
      <c r="O670" s="394">
        <f t="shared" si="179"/>
        <v>6.5900000000000004E-3</v>
      </c>
      <c r="P670" s="394">
        <f t="shared" si="179"/>
        <v>6.5900000000000004E-3</v>
      </c>
      <c r="Q670" s="394">
        <f t="shared" si="179"/>
        <v>6.5900000000000004E-3</v>
      </c>
      <c r="R670" s="394"/>
    </row>
    <row r="671" spans="1:18" x14ac:dyDescent="0.2">
      <c r="B671" s="32" t="s">
        <v>1068</v>
      </c>
      <c r="F671" s="394"/>
      <c r="G671" s="394"/>
      <c r="H671" s="394"/>
      <c r="I671" s="394"/>
      <c r="J671" s="394"/>
      <c r="K671" s="394"/>
      <c r="L671" s="394"/>
      <c r="M671" s="394"/>
      <c r="N671" s="394"/>
      <c r="O671" s="394"/>
      <c r="P671" s="394"/>
      <c r="Q671" s="394"/>
      <c r="R671" s="394"/>
    </row>
    <row r="672" spans="1:18" x14ac:dyDescent="0.2">
      <c r="C672" s="32" t="s">
        <v>1069</v>
      </c>
      <c r="D672" s="32">
        <v>101</v>
      </c>
      <c r="E672" s="32" t="s">
        <v>957</v>
      </c>
      <c r="F672" s="454">
        <f t="shared" ref="F672:Q673" si="180">F313</f>
        <v>1.1100000000000001</v>
      </c>
      <c r="G672" s="454">
        <f t="shared" si="180"/>
        <v>1.1100000000000001</v>
      </c>
      <c r="H672" s="454">
        <f t="shared" si="180"/>
        <v>1.1100000000000001</v>
      </c>
      <c r="I672" s="454">
        <f t="shared" si="180"/>
        <v>1.1100000000000001</v>
      </c>
      <c r="J672" s="454">
        <f t="shared" si="180"/>
        <v>1.1100000000000001</v>
      </c>
      <c r="K672" s="454">
        <f t="shared" si="180"/>
        <v>1.1100000000000001</v>
      </c>
      <c r="L672" s="454">
        <f t="shared" si="180"/>
        <v>1.1100000000000001</v>
      </c>
      <c r="M672" s="454">
        <f t="shared" si="180"/>
        <v>1.1100000000000001</v>
      </c>
      <c r="N672" s="454">
        <f t="shared" si="180"/>
        <v>1.1100000000000001</v>
      </c>
      <c r="O672" s="454">
        <f t="shared" si="180"/>
        <v>1.1100000000000001</v>
      </c>
      <c r="P672" s="454">
        <f t="shared" si="180"/>
        <v>1.1100000000000001</v>
      </c>
      <c r="Q672" s="454">
        <f t="shared" si="180"/>
        <v>1.1100000000000001</v>
      </c>
      <c r="R672" s="394"/>
    </row>
    <row r="673" spans="1:18" s="336" customFormat="1" x14ac:dyDescent="0.2">
      <c r="C673" s="336" t="s">
        <v>1070</v>
      </c>
      <c r="D673" s="336">
        <v>101</v>
      </c>
      <c r="E673" s="336" t="s">
        <v>957</v>
      </c>
      <c r="F673" s="460">
        <f t="shared" si="180"/>
        <v>1.05</v>
      </c>
      <c r="G673" s="460">
        <f t="shared" si="180"/>
        <v>1.05</v>
      </c>
      <c r="H673" s="460">
        <f t="shared" si="180"/>
        <v>1.05</v>
      </c>
      <c r="I673" s="460">
        <f t="shared" si="180"/>
        <v>1.05</v>
      </c>
      <c r="J673" s="460">
        <f t="shared" si="180"/>
        <v>1.05</v>
      </c>
      <c r="K673" s="460">
        <f t="shared" si="180"/>
        <v>1.05</v>
      </c>
      <c r="L673" s="460">
        <f t="shared" si="180"/>
        <v>1.05</v>
      </c>
      <c r="M673" s="460">
        <f t="shared" si="180"/>
        <v>1.05</v>
      </c>
      <c r="N673" s="460">
        <f t="shared" si="180"/>
        <v>1.05</v>
      </c>
      <c r="O673" s="460">
        <f t="shared" si="180"/>
        <v>1.05</v>
      </c>
      <c r="P673" s="460">
        <f t="shared" si="180"/>
        <v>1.05</v>
      </c>
      <c r="Q673" s="460">
        <f t="shared" si="180"/>
        <v>1.05</v>
      </c>
      <c r="R673" s="441"/>
    </row>
    <row r="674" spans="1:18" s="336" customFormat="1" x14ac:dyDescent="0.2">
      <c r="B674" s="336" t="s">
        <v>1071</v>
      </c>
      <c r="D674" s="382">
        <v>86</v>
      </c>
      <c r="E674" s="336" t="s">
        <v>67</v>
      </c>
      <c r="F674" s="450"/>
      <c r="G674" s="450"/>
      <c r="H674" s="442"/>
      <c r="I674" s="450"/>
      <c r="J674" s="450"/>
      <c r="K674" s="450"/>
      <c r="L674" s="450"/>
      <c r="M674" s="450"/>
      <c r="N674" s="450"/>
      <c r="O674" s="450"/>
      <c r="P674" s="450"/>
      <c r="Q674" s="450"/>
      <c r="R674" s="441"/>
    </row>
    <row r="675" spans="1:18" s="336" customFormat="1" x14ac:dyDescent="0.2">
      <c r="B675" s="336" t="s">
        <v>1050</v>
      </c>
      <c r="D675" s="382"/>
      <c r="F675" s="394">
        <f>F316</f>
        <v>0.67364999999999997</v>
      </c>
      <c r="G675" s="394">
        <f t="shared" ref="G675:Q676" si="181">G316</f>
        <v>0.67364999999999997</v>
      </c>
      <c r="H675" s="394">
        <f t="shared" si="181"/>
        <v>0.67364999999999997</v>
      </c>
      <c r="I675" s="394">
        <f t="shared" si="181"/>
        <v>0.67364999999999997</v>
      </c>
      <c r="J675" s="394">
        <f t="shared" si="181"/>
        <v>0.67364999999999997</v>
      </c>
      <c r="K675" s="394">
        <f t="shared" si="181"/>
        <v>0.67364999999999997</v>
      </c>
      <c r="L675" s="394">
        <f t="shared" si="181"/>
        <v>0.67364999999999997</v>
      </c>
      <c r="M675" s="394">
        <f t="shared" si="181"/>
        <v>0.67364999999999997</v>
      </c>
      <c r="N675" s="394">
        <f t="shared" si="181"/>
        <v>0.67364999999999997</v>
      </c>
      <c r="O675" s="394">
        <f t="shared" si="181"/>
        <v>0.67364999999999997</v>
      </c>
      <c r="P675" s="394">
        <f t="shared" si="181"/>
        <v>0.63678999999999997</v>
      </c>
      <c r="Q675" s="394">
        <f t="shared" si="181"/>
        <v>0.63678999999999997</v>
      </c>
      <c r="R675" s="441"/>
    </row>
    <row r="676" spans="1:18" s="336" customFormat="1" x14ac:dyDescent="0.2">
      <c r="B676" s="336" t="s">
        <v>1072</v>
      </c>
      <c r="D676" s="382"/>
      <c r="F676" s="454">
        <f>F317</f>
        <v>1</v>
      </c>
      <c r="G676" s="454">
        <f t="shared" si="181"/>
        <v>1</v>
      </c>
      <c r="H676" s="454">
        <f t="shared" si="181"/>
        <v>1</v>
      </c>
      <c r="I676" s="454">
        <f t="shared" si="181"/>
        <v>1</v>
      </c>
      <c r="J676" s="454">
        <f t="shared" si="181"/>
        <v>1</v>
      </c>
      <c r="K676" s="454">
        <f t="shared" si="181"/>
        <v>1</v>
      </c>
      <c r="L676" s="454">
        <f t="shared" si="181"/>
        <v>1</v>
      </c>
      <c r="M676" s="454">
        <f t="shared" si="181"/>
        <v>1</v>
      </c>
      <c r="N676" s="454">
        <f t="shared" si="181"/>
        <v>1</v>
      </c>
      <c r="O676" s="454">
        <f t="shared" si="181"/>
        <v>1</v>
      </c>
      <c r="P676" s="454">
        <f t="shared" si="181"/>
        <v>1</v>
      </c>
      <c r="Q676" s="454">
        <f t="shared" si="181"/>
        <v>1</v>
      </c>
      <c r="R676" s="441"/>
    </row>
    <row r="677" spans="1:18" s="336" customFormat="1" x14ac:dyDescent="0.2"/>
    <row r="678" spans="1:18" s="336" customFormat="1" x14ac:dyDescent="0.2">
      <c r="B678" s="182" t="s">
        <v>982</v>
      </c>
    </row>
    <row r="679" spans="1:18" s="336" customFormat="1" x14ac:dyDescent="0.2">
      <c r="B679" s="336" t="s">
        <v>67</v>
      </c>
      <c r="E679" s="336" t="s">
        <v>67</v>
      </c>
      <c r="F679" s="421">
        <f>'JKP-3.1c - Data'!C151</f>
        <v>9</v>
      </c>
      <c r="G679" s="421">
        <f>'JKP-3.1c - Data'!D151</f>
        <v>11</v>
      </c>
      <c r="H679" s="421">
        <f>'JKP-3.1c - Data'!E151</f>
        <v>10</v>
      </c>
      <c r="I679" s="421">
        <f>'JKP-3.1c - Data'!F151</f>
        <v>9</v>
      </c>
      <c r="J679" s="421">
        <f>'JKP-3.1c - Data'!G151</f>
        <v>10</v>
      </c>
      <c r="K679" s="421">
        <f>'JKP-3.1c - Data'!H151</f>
        <v>9</v>
      </c>
      <c r="L679" s="421">
        <f>'JKP-3.1c - Data'!I151</f>
        <v>10</v>
      </c>
      <c r="M679" s="421">
        <f>'JKP-3.1c - Data'!J151</f>
        <v>10</v>
      </c>
      <c r="N679" s="421">
        <f>'JKP-3.1c - Data'!K151</f>
        <v>10</v>
      </c>
      <c r="O679" s="421">
        <f>'JKP-3.1c - Data'!L151</f>
        <v>10</v>
      </c>
      <c r="P679" s="421">
        <f>'JKP-3.1c - Data'!M151</f>
        <v>10</v>
      </c>
      <c r="Q679" s="421">
        <f>'JKP-3.1c - Data'!N151</f>
        <v>10</v>
      </c>
      <c r="R679" s="378">
        <f>SUM(F679:Q679)</f>
        <v>118</v>
      </c>
    </row>
    <row r="680" spans="1:18" s="336" customFormat="1" x14ac:dyDescent="0.2">
      <c r="B680" s="336" t="s">
        <v>76</v>
      </c>
      <c r="F680" s="380"/>
      <c r="G680" s="380"/>
      <c r="H680" s="380"/>
      <c r="I680" s="380"/>
      <c r="J680" s="380"/>
      <c r="K680" s="380"/>
      <c r="L680" s="380"/>
      <c r="M680" s="380"/>
      <c r="N680" s="380"/>
      <c r="O680" s="380"/>
      <c r="P680" s="380"/>
      <c r="Q680" s="380"/>
      <c r="R680" s="378"/>
    </row>
    <row r="681" spans="1:18" s="336" customFormat="1" x14ac:dyDescent="0.2">
      <c r="C681" s="336" t="s">
        <v>1098</v>
      </c>
      <c r="E681" s="336" t="s">
        <v>10</v>
      </c>
      <c r="F681" s="380">
        <v>8746</v>
      </c>
      <c r="G681" s="380">
        <v>8501</v>
      </c>
      <c r="H681" s="380">
        <v>7448</v>
      </c>
      <c r="I681" s="380">
        <v>8493</v>
      </c>
      <c r="J681" s="380">
        <v>8187</v>
      </c>
      <c r="K681" s="380">
        <v>7941</v>
      </c>
      <c r="L681" s="380">
        <v>7145</v>
      </c>
      <c r="M681" s="380">
        <v>7808</v>
      </c>
      <c r="N681" s="380">
        <v>8000</v>
      </c>
      <c r="O681" s="380">
        <v>6285</v>
      </c>
      <c r="P681" s="380">
        <v>9249</v>
      </c>
      <c r="Q681" s="380">
        <v>9802</v>
      </c>
      <c r="R681" s="378">
        <f>SUM(F681:Q681)</f>
        <v>97605</v>
      </c>
    </row>
    <row r="682" spans="1:18" s="336" customFormat="1" x14ac:dyDescent="0.2">
      <c r="C682" s="336" t="s">
        <v>1099</v>
      </c>
      <c r="E682" s="336" t="s">
        <v>10</v>
      </c>
      <c r="F682" s="378">
        <f t="shared" ref="F682:N682" si="182">F683-F681</f>
        <v>162759</v>
      </c>
      <c r="G682" s="378">
        <f t="shared" si="182"/>
        <v>137882</v>
      </c>
      <c r="H682" s="378">
        <f t="shared" si="182"/>
        <v>59467</v>
      </c>
      <c r="I682" s="378">
        <f t="shared" si="182"/>
        <v>32121</v>
      </c>
      <c r="J682" s="378">
        <f t="shared" si="182"/>
        <v>56841</v>
      </c>
      <c r="K682" s="378">
        <f t="shared" si="182"/>
        <v>75935</v>
      </c>
      <c r="L682" s="378">
        <f t="shared" si="182"/>
        <v>48383</v>
      </c>
      <c r="M682" s="378">
        <f t="shared" si="182"/>
        <v>23643</v>
      </c>
      <c r="N682" s="378">
        <f t="shared" si="182"/>
        <v>17943</v>
      </c>
      <c r="O682" s="378">
        <f>O683-O681</f>
        <v>23906</v>
      </c>
      <c r="P682" s="378">
        <f>P683-P681</f>
        <v>43005</v>
      </c>
      <c r="Q682" s="378">
        <f>Q683-Q681</f>
        <v>52842</v>
      </c>
      <c r="R682" s="378">
        <f>SUM(F682:Q682)</f>
        <v>734727</v>
      </c>
    </row>
    <row r="683" spans="1:18" s="336" customFormat="1" x14ac:dyDescent="0.2">
      <c r="C683" s="336" t="s">
        <v>1075</v>
      </c>
      <c r="E683" s="336" t="s">
        <v>10</v>
      </c>
      <c r="F683" s="445">
        <f>'JKP-3.1c - Therms Data'!E92</f>
        <v>171505</v>
      </c>
      <c r="G683" s="445">
        <f>'JKP-3.1c - Therms Data'!F92</f>
        <v>146383</v>
      </c>
      <c r="H683" s="445">
        <f>'JKP-3.1c - Therms Data'!G92</f>
        <v>66915</v>
      </c>
      <c r="I683" s="445">
        <f>'JKP-3.1c - Therms Data'!H92</f>
        <v>40614</v>
      </c>
      <c r="J683" s="445">
        <f>'JKP-3.1c - Therms Data'!I92</f>
        <v>65028</v>
      </c>
      <c r="K683" s="445">
        <f>'JKP-3.1c - Therms Data'!J92</f>
        <v>83876</v>
      </c>
      <c r="L683" s="445">
        <f>'JKP-3.1c - Therms Data'!K92</f>
        <v>55528</v>
      </c>
      <c r="M683" s="445">
        <f>'JKP-3.1c - Therms Data'!L92</f>
        <v>31451</v>
      </c>
      <c r="N683" s="445">
        <f>'JKP-3.1c - Therms Data'!M92</f>
        <v>25943</v>
      </c>
      <c r="O683" s="445">
        <f>'JKP-3.1c - Therms Data'!N92</f>
        <v>30191</v>
      </c>
      <c r="P683" s="445">
        <f>'JKP-3.1c - Therms Data'!O92</f>
        <v>52254</v>
      </c>
      <c r="Q683" s="445">
        <f>'JKP-3.1c - Therms Data'!P92</f>
        <v>62644</v>
      </c>
      <c r="R683" s="436">
        <f>SUM(R681:R682)</f>
        <v>832332</v>
      </c>
    </row>
    <row r="684" spans="1:18" s="336" customFormat="1" x14ac:dyDescent="0.2">
      <c r="B684" s="336" t="s">
        <v>74</v>
      </c>
      <c r="E684" s="336" t="s">
        <v>1076</v>
      </c>
      <c r="F684" s="421">
        <f>'JKP-3.1c - Data'!C171</f>
        <v>127</v>
      </c>
      <c r="G684" s="421">
        <f>'JKP-3.1c - Data'!D171</f>
        <v>137</v>
      </c>
      <c r="H684" s="421">
        <f>'JKP-3.1c - Data'!E171</f>
        <v>132</v>
      </c>
      <c r="I684" s="421">
        <f>'JKP-3.1c - Data'!F171</f>
        <v>132</v>
      </c>
      <c r="J684" s="421">
        <f>'JKP-3.1c - Data'!G171</f>
        <v>132</v>
      </c>
      <c r="K684" s="421">
        <f>'JKP-3.1c - Data'!H171</f>
        <v>132</v>
      </c>
      <c r="L684" s="421">
        <f>'JKP-3.1c - Data'!I171</f>
        <v>132</v>
      </c>
      <c r="M684" s="421">
        <f>'JKP-3.1c - Data'!J171</f>
        <v>132</v>
      </c>
      <c r="N684" s="421">
        <f>'JKP-3.1c - Data'!K171</f>
        <v>132</v>
      </c>
      <c r="O684" s="421">
        <f>'JKP-3.1c - Data'!L171</f>
        <v>132</v>
      </c>
      <c r="P684" s="421">
        <f>'JKP-3.1c - Data'!M171</f>
        <v>132</v>
      </c>
      <c r="Q684" s="421">
        <f>'JKP-3.1c - Data'!N171</f>
        <v>132</v>
      </c>
      <c r="R684" s="378">
        <f>SUM(F684:Q684)</f>
        <v>1584</v>
      </c>
    </row>
    <row r="685" spans="1:18" s="336" customFormat="1" x14ac:dyDescent="0.2">
      <c r="B685" s="336" t="s">
        <v>1071</v>
      </c>
      <c r="F685" s="380"/>
      <c r="G685" s="380"/>
      <c r="H685" s="380"/>
      <c r="I685" s="380"/>
      <c r="J685" s="380"/>
      <c r="K685" s="380"/>
      <c r="L685" s="380"/>
      <c r="M685" s="380"/>
      <c r="N685" s="380"/>
      <c r="O685" s="380"/>
      <c r="P685" s="380"/>
      <c r="Q685" s="380"/>
      <c r="R685" s="378"/>
    </row>
    <row r="686" spans="1:18" s="336" customFormat="1" x14ac:dyDescent="0.2">
      <c r="R686" s="179"/>
    </row>
    <row r="687" spans="1:18" s="336" customFormat="1" x14ac:dyDescent="0.2">
      <c r="B687" s="182" t="s">
        <v>985</v>
      </c>
      <c r="R687" s="179"/>
    </row>
    <row r="688" spans="1:18" s="336" customFormat="1" x14ac:dyDescent="0.2">
      <c r="A688" s="336" t="s">
        <v>1054</v>
      </c>
      <c r="B688" s="336" t="s">
        <v>1059</v>
      </c>
      <c r="D688" s="336">
        <v>86</v>
      </c>
      <c r="F688" s="418">
        <f t="shared" ref="F688:N688" si="183">F665*F679</f>
        <v>1254.33</v>
      </c>
      <c r="G688" s="418">
        <f t="shared" si="183"/>
        <v>1533.0700000000002</v>
      </c>
      <c r="H688" s="418">
        <f t="shared" si="183"/>
        <v>1393.7</v>
      </c>
      <c r="I688" s="418">
        <f t="shared" si="183"/>
        <v>1254.33</v>
      </c>
      <c r="J688" s="418">
        <f t="shared" si="183"/>
        <v>1393.7</v>
      </c>
      <c r="K688" s="418">
        <f t="shared" si="183"/>
        <v>1254.33</v>
      </c>
      <c r="L688" s="418">
        <f t="shared" si="183"/>
        <v>1393.7</v>
      </c>
      <c r="M688" s="418">
        <f t="shared" si="183"/>
        <v>1393.7</v>
      </c>
      <c r="N688" s="418">
        <f t="shared" si="183"/>
        <v>1393.7</v>
      </c>
      <c r="O688" s="418">
        <f>O665*O679</f>
        <v>1393.7</v>
      </c>
      <c r="P688" s="418">
        <f>P665*P679</f>
        <v>1393.7</v>
      </c>
      <c r="Q688" s="418">
        <f>Q665*Q679</f>
        <v>1393.7</v>
      </c>
      <c r="R688" s="437">
        <f>SUM(F688:Q688)</f>
        <v>16445.660000000003</v>
      </c>
    </row>
    <row r="689" spans="1:18" s="336" customFormat="1" x14ac:dyDescent="0.2">
      <c r="B689" s="336" t="s">
        <v>1047</v>
      </c>
      <c r="F689" s="418"/>
      <c r="G689" s="418"/>
      <c r="H689" s="418"/>
      <c r="I689" s="418"/>
      <c r="J689" s="418"/>
      <c r="K689" s="418"/>
      <c r="L689" s="418"/>
      <c r="M689" s="418"/>
      <c r="N689" s="418"/>
      <c r="O689" s="418"/>
      <c r="P689" s="418"/>
      <c r="Q689" s="418"/>
      <c r="R689" s="437"/>
    </row>
    <row r="690" spans="1:18" s="336" customFormat="1" x14ac:dyDescent="0.2">
      <c r="C690" s="336" t="s">
        <v>1098</v>
      </c>
      <c r="D690" s="336">
        <v>86</v>
      </c>
      <c r="F690" s="418">
        <f t="shared" ref="F690:Q691" si="184">F667*F681</f>
        <v>1733.4571999999998</v>
      </c>
      <c r="G690" s="418">
        <f t="shared" si="184"/>
        <v>1684.8981999999999</v>
      </c>
      <c r="H690" s="418">
        <f t="shared" si="184"/>
        <v>1476.1935999999998</v>
      </c>
      <c r="I690" s="418">
        <f t="shared" si="184"/>
        <v>1683.3126</v>
      </c>
      <c r="J690" s="418">
        <f t="shared" si="184"/>
        <v>1622.6633999999999</v>
      </c>
      <c r="K690" s="418">
        <f t="shared" si="184"/>
        <v>1573.9061999999999</v>
      </c>
      <c r="L690" s="418">
        <f t="shared" si="184"/>
        <v>1416.1389999999999</v>
      </c>
      <c r="M690" s="418">
        <f t="shared" si="184"/>
        <v>1547.5455999999999</v>
      </c>
      <c r="N690" s="418">
        <f t="shared" si="184"/>
        <v>1585.6</v>
      </c>
      <c r="O690" s="418">
        <f t="shared" si="184"/>
        <v>1245.6869999999999</v>
      </c>
      <c r="P690" s="418">
        <f t="shared" si="184"/>
        <v>1833.1517999999999</v>
      </c>
      <c r="Q690" s="418">
        <f t="shared" si="184"/>
        <v>1942.7564</v>
      </c>
      <c r="R690" s="437">
        <f t="shared" ref="R690:R700" si="185">SUM(F690:Q690)</f>
        <v>19345.310999999998</v>
      </c>
    </row>
    <row r="691" spans="1:18" s="336" customFormat="1" x14ac:dyDescent="0.2">
      <c r="C691" s="336" t="s">
        <v>1099</v>
      </c>
      <c r="D691" s="336">
        <v>86</v>
      </c>
      <c r="F691" s="418">
        <f t="shared" si="184"/>
        <v>23128.053899999999</v>
      </c>
      <c r="G691" s="418">
        <f t="shared" si="184"/>
        <v>19593.032200000001</v>
      </c>
      <c r="H691" s="418">
        <f t="shared" si="184"/>
        <v>8450.2607000000007</v>
      </c>
      <c r="I691" s="418">
        <f t="shared" si="184"/>
        <v>4564.3941000000004</v>
      </c>
      <c r="J691" s="418">
        <f t="shared" si="184"/>
        <v>8077.1061</v>
      </c>
      <c r="K691" s="418">
        <f t="shared" si="184"/>
        <v>10790.363499999999</v>
      </c>
      <c r="L691" s="418">
        <f t="shared" si="184"/>
        <v>6875.2242999999999</v>
      </c>
      <c r="M691" s="418">
        <f t="shared" si="184"/>
        <v>3359.6703000000002</v>
      </c>
      <c r="N691" s="418">
        <f t="shared" si="184"/>
        <v>2549.7003</v>
      </c>
      <c r="O691" s="418">
        <f t="shared" si="184"/>
        <v>3397.0426000000002</v>
      </c>
      <c r="P691" s="418">
        <f t="shared" si="184"/>
        <v>6111.0105000000003</v>
      </c>
      <c r="Q691" s="418">
        <f t="shared" si="184"/>
        <v>7508.8482000000004</v>
      </c>
      <c r="R691" s="437">
        <f t="shared" si="185"/>
        <v>104404.70669999998</v>
      </c>
    </row>
    <row r="692" spans="1:18" x14ac:dyDescent="0.2">
      <c r="A692" s="32" t="s">
        <v>1054</v>
      </c>
      <c r="C692" s="32" t="s">
        <v>1077</v>
      </c>
      <c r="F692" s="365">
        <f t="shared" ref="F692:N692" si="186">SUM(F690:F691)</f>
        <v>24861.5111</v>
      </c>
      <c r="G692" s="365">
        <f t="shared" si="186"/>
        <v>21277.930400000001</v>
      </c>
      <c r="H692" s="365">
        <f t="shared" si="186"/>
        <v>9926.4543000000012</v>
      </c>
      <c r="I692" s="365">
        <f t="shared" si="186"/>
        <v>6247.7067000000006</v>
      </c>
      <c r="J692" s="365">
        <f t="shared" si="186"/>
        <v>9699.7695000000003</v>
      </c>
      <c r="K692" s="365">
        <f t="shared" si="186"/>
        <v>12364.269699999999</v>
      </c>
      <c r="L692" s="365">
        <f t="shared" si="186"/>
        <v>8291.3632999999991</v>
      </c>
      <c r="M692" s="365">
        <f t="shared" si="186"/>
        <v>4907.2159000000001</v>
      </c>
      <c r="N692" s="365">
        <f t="shared" si="186"/>
        <v>4135.3002999999999</v>
      </c>
      <c r="O692" s="365">
        <f>SUM(O690:O691)</f>
        <v>4642.7296000000006</v>
      </c>
      <c r="P692" s="365">
        <f>SUM(P690:P691)</f>
        <v>7944.1623</v>
      </c>
      <c r="Q692" s="365">
        <f>SUM(Q690:Q691)</f>
        <v>9451.6046000000006</v>
      </c>
      <c r="R692" s="365">
        <f t="shared" si="185"/>
        <v>123750.01770000001</v>
      </c>
    </row>
    <row r="693" spans="1:18" x14ac:dyDescent="0.2">
      <c r="A693" s="336" t="s">
        <v>1056</v>
      </c>
      <c r="B693" s="32" t="s">
        <v>1057</v>
      </c>
      <c r="D693" s="32">
        <v>101</v>
      </c>
      <c r="F693" s="364">
        <f t="shared" ref="F693:N693" si="187">F669*F683</f>
        <v>120749.8103</v>
      </c>
      <c r="G693" s="364">
        <f t="shared" si="187"/>
        <v>103062.41498</v>
      </c>
      <c r="H693" s="364">
        <f t="shared" si="187"/>
        <v>47112.174899999998</v>
      </c>
      <c r="I693" s="364">
        <f t="shared" si="187"/>
        <v>28594.69284</v>
      </c>
      <c r="J693" s="364">
        <f t="shared" si="187"/>
        <v>45783.613680000002</v>
      </c>
      <c r="K693" s="364">
        <f t="shared" si="187"/>
        <v>59053.736560000005</v>
      </c>
      <c r="L693" s="364">
        <f t="shared" si="187"/>
        <v>39095.043680000002</v>
      </c>
      <c r="M693" s="418">
        <f t="shared" si="187"/>
        <v>22143.391060000002</v>
      </c>
      <c r="N693" s="364">
        <f t="shared" si="187"/>
        <v>18265.42858</v>
      </c>
      <c r="O693" s="364">
        <f>O669*O683</f>
        <v>21256.275460000001</v>
      </c>
      <c r="P693" s="364">
        <f>P669*P683</f>
        <v>34778.694779999998</v>
      </c>
      <c r="Q693" s="364">
        <f>Q669*Q683</f>
        <v>41693.967080000002</v>
      </c>
      <c r="R693" s="341">
        <f t="shared" si="185"/>
        <v>581589.24389999988</v>
      </c>
    </row>
    <row r="694" spans="1:18" x14ac:dyDescent="0.2">
      <c r="A694" s="32" t="s">
        <v>1054</v>
      </c>
      <c r="B694" s="32" t="s">
        <v>1096</v>
      </c>
      <c r="D694" s="444"/>
      <c r="F694" s="365">
        <f t="shared" ref="F694:N694" si="188">F670*F683</f>
        <v>1130.21795</v>
      </c>
      <c r="G694" s="365">
        <f t="shared" si="188"/>
        <v>964.66397000000006</v>
      </c>
      <c r="H694" s="365">
        <f t="shared" si="188"/>
        <v>440.96985000000001</v>
      </c>
      <c r="I694" s="365">
        <f t="shared" si="188"/>
        <v>267.64626000000004</v>
      </c>
      <c r="J694" s="365">
        <f t="shared" si="188"/>
        <v>428.53452000000004</v>
      </c>
      <c r="K694" s="365">
        <f t="shared" si="188"/>
        <v>552.74284</v>
      </c>
      <c r="L694" s="365">
        <f t="shared" si="188"/>
        <v>365.92952000000002</v>
      </c>
      <c r="M694" s="365">
        <f t="shared" si="188"/>
        <v>207.26209</v>
      </c>
      <c r="N694" s="365">
        <f t="shared" si="188"/>
        <v>170.96437</v>
      </c>
      <c r="O694" s="365">
        <f>O670*O683</f>
        <v>198.95869000000002</v>
      </c>
      <c r="P694" s="365">
        <f>P670*P683</f>
        <v>344.35386</v>
      </c>
      <c r="Q694" s="365">
        <f>Q670*Q683</f>
        <v>412.82396</v>
      </c>
      <c r="R694" s="365">
        <f t="shared" si="185"/>
        <v>5485.0678799999996</v>
      </c>
    </row>
    <row r="695" spans="1:18" x14ac:dyDescent="0.2">
      <c r="B695" s="32" t="s">
        <v>1068</v>
      </c>
      <c r="F695" s="364"/>
      <c r="G695" s="364"/>
      <c r="H695" s="364"/>
      <c r="I695" s="364"/>
      <c r="J695" s="364"/>
      <c r="K695" s="364"/>
      <c r="L695" s="364"/>
      <c r="M695" s="364"/>
      <c r="N695" s="364"/>
      <c r="O695" s="364"/>
      <c r="P695" s="364"/>
      <c r="Q695" s="364"/>
      <c r="R695" s="341">
        <f t="shared" si="185"/>
        <v>0</v>
      </c>
    </row>
    <row r="696" spans="1:18" x14ac:dyDescent="0.2">
      <c r="A696" s="32" t="s">
        <v>1054</v>
      </c>
      <c r="C696" s="32" t="s">
        <v>1069</v>
      </c>
      <c r="D696" s="32">
        <v>86</v>
      </c>
      <c r="F696" s="364">
        <f t="shared" ref="F696:N696" si="189">F672*F684</f>
        <v>140.97</v>
      </c>
      <c r="G696" s="364">
        <f t="shared" si="189"/>
        <v>152.07000000000002</v>
      </c>
      <c r="H696" s="364">
        <f t="shared" si="189"/>
        <v>146.52000000000001</v>
      </c>
      <c r="I696" s="364">
        <f t="shared" si="189"/>
        <v>146.52000000000001</v>
      </c>
      <c r="J696" s="364">
        <f t="shared" si="189"/>
        <v>146.52000000000001</v>
      </c>
      <c r="K696" s="364">
        <f t="shared" si="189"/>
        <v>146.52000000000001</v>
      </c>
      <c r="L696" s="364">
        <f t="shared" si="189"/>
        <v>146.52000000000001</v>
      </c>
      <c r="M696" s="364">
        <f t="shared" si="189"/>
        <v>146.52000000000001</v>
      </c>
      <c r="N696" s="364">
        <f t="shared" si="189"/>
        <v>146.52000000000001</v>
      </c>
      <c r="O696" s="364">
        <f>O672*O684</f>
        <v>146.52000000000001</v>
      </c>
      <c r="P696" s="364">
        <f>P672*P684</f>
        <v>146.52000000000001</v>
      </c>
      <c r="Q696" s="364">
        <f>Q672*Q684</f>
        <v>146.52000000000001</v>
      </c>
      <c r="R696" s="341">
        <f t="shared" si="185"/>
        <v>1758.24</v>
      </c>
    </row>
    <row r="697" spans="1:18" x14ac:dyDescent="0.2">
      <c r="A697" s="336" t="s">
        <v>1056</v>
      </c>
      <c r="C697" s="32" t="s">
        <v>1070</v>
      </c>
      <c r="D697" s="32">
        <v>101</v>
      </c>
      <c r="F697" s="364">
        <f t="shared" ref="F697:N697" si="190">F673*F684</f>
        <v>133.35</v>
      </c>
      <c r="G697" s="364">
        <f t="shared" si="190"/>
        <v>143.85</v>
      </c>
      <c r="H697" s="364">
        <f t="shared" si="190"/>
        <v>138.6</v>
      </c>
      <c r="I697" s="364">
        <f t="shared" si="190"/>
        <v>138.6</v>
      </c>
      <c r="J697" s="364">
        <f t="shared" si="190"/>
        <v>138.6</v>
      </c>
      <c r="K697" s="364">
        <f t="shared" si="190"/>
        <v>138.6</v>
      </c>
      <c r="L697" s="364">
        <f t="shared" si="190"/>
        <v>138.6</v>
      </c>
      <c r="M697" s="418">
        <f t="shared" si="190"/>
        <v>138.6</v>
      </c>
      <c r="N697" s="364">
        <f t="shared" si="190"/>
        <v>138.6</v>
      </c>
      <c r="O697" s="364">
        <f>O673*O684</f>
        <v>138.6</v>
      </c>
      <c r="P697" s="364">
        <f>P673*P684</f>
        <v>138.6</v>
      </c>
      <c r="Q697" s="364">
        <f>Q673*Q684</f>
        <v>138.6</v>
      </c>
      <c r="R697" s="341">
        <f t="shared" si="185"/>
        <v>1663.1999999999996</v>
      </c>
    </row>
    <row r="698" spans="1:18" x14ac:dyDescent="0.2">
      <c r="C698" s="32" t="s">
        <v>1078</v>
      </c>
      <c r="F698" s="365">
        <f t="shared" ref="F698:N698" si="191">SUM(F696:F697)</f>
        <v>274.32</v>
      </c>
      <c r="G698" s="365">
        <f t="shared" si="191"/>
        <v>295.92</v>
      </c>
      <c r="H698" s="365">
        <f t="shared" si="191"/>
        <v>285.12</v>
      </c>
      <c r="I698" s="365">
        <f t="shared" si="191"/>
        <v>285.12</v>
      </c>
      <c r="J698" s="365">
        <f t="shared" si="191"/>
        <v>285.12</v>
      </c>
      <c r="K698" s="365">
        <f t="shared" si="191"/>
        <v>285.12</v>
      </c>
      <c r="L698" s="365">
        <f t="shared" si="191"/>
        <v>285.12</v>
      </c>
      <c r="M698" s="365">
        <f t="shared" si="191"/>
        <v>285.12</v>
      </c>
      <c r="N698" s="365">
        <f t="shared" si="191"/>
        <v>285.12</v>
      </c>
      <c r="O698" s="365">
        <f>SUM(O696:O697)</f>
        <v>285.12</v>
      </c>
      <c r="P698" s="365">
        <f>SUM(P696:P697)</f>
        <v>285.12</v>
      </c>
      <c r="Q698" s="365">
        <f>SUM(Q696:Q697)</f>
        <v>285.12</v>
      </c>
      <c r="R698" s="365">
        <f t="shared" si="185"/>
        <v>3421.4399999999991</v>
      </c>
    </row>
    <row r="699" spans="1:18" s="336" customFormat="1" x14ac:dyDescent="0.2">
      <c r="A699" s="336" t="s">
        <v>1054</v>
      </c>
      <c r="B699" s="336" t="s">
        <v>1071</v>
      </c>
      <c r="D699" s="336">
        <v>86</v>
      </c>
      <c r="F699" s="447">
        <f>'JKP-3.1c - Data'!C188</f>
        <v>0</v>
      </c>
      <c r="G699" s="447">
        <f>'JKP-3.1c - Data'!D188</f>
        <v>0</v>
      </c>
      <c r="H699" s="447">
        <f>'JKP-3.1c - Data'!E188</f>
        <v>0</v>
      </c>
      <c r="I699" s="447">
        <f>'JKP-3.1c - Data'!F188</f>
        <v>0</v>
      </c>
      <c r="J699" s="447">
        <f>'JKP-3.1c - Data'!G188</f>
        <v>0</v>
      </c>
      <c r="K699" s="447">
        <f>'JKP-3.1c - Data'!H188</f>
        <v>0</v>
      </c>
      <c r="L699" s="447">
        <f>'JKP-3.1c - Data'!I188</f>
        <v>0</v>
      </c>
      <c r="M699" s="447">
        <f>'JKP-3.1c - Data'!J188</f>
        <v>0</v>
      </c>
      <c r="N699" s="447">
        <f>'JKP-3.1c - Data'!K188</f>
        <v>1255.01</v>
      </c>
      <c r="O699" s="447">
        <f>'JKP-3.1c - Data'!L188</f>
        <v>0</v>
      </c>
      <c r="P699" s="447">
        <f>'JKP-3.1c - Data'!M188</f>
        <v>0</v>
      </c>
      <c r="Q699" s="447">
        <f>'JKP-3.1c - Data'!N188</f>
        <v>0</v>
      </c>
      <c r="R699" s="437">
        <f t="shared" si="185"/>
        <v>1255.01</v>
      </c>
    </row>
    <row r="700" spans="1:18" x14ac:dyDescent="0.2">
      <c r="B700" s="32" t="s">
        <v>1079</v>
      </c>
      <c r="F700" s="365">
        <f t="shared" ref="F700:N700" si="192">F693+F697</f>
        <v>120883.1603</v>
      </c>
      <c r="G700" s="365">
        <f t="shared" si="192"/>
        <v>103206.26498000001</v>
      </c>
      <c r="H700" s="365">
        <f t="shared" si="192"/>
        <v>47250.774899999997</v>
      </c>
      <c r="I700" s="365">
        <f t="shared" si="192"/>
        <v>28733.292839999998</v>
      </c>
      <c r="J700" s="365">
        <f t="shared" si="192"/>
        <v>45922.213680000001</v>
      </c>
      <c r="K700" s="365">
        <f t="shared" si="192"/>
        <v>59192.336560000003</v>
      </c>
      <c r="L700" s="365">
        <f t="shared" si="192"/>
        <v>39233.643680000001</v>
      </c>
      <c r="M700" s="365">
        <f t="shared" si="192"/>
        <v>22281.99106</v>
      </c>
      <c r="N700" s="365">
        <f t="shared" si="192"/>
        <v>18404.028579999998</v>
      </c>
      <c r="O700" s="365">
        <f>O693+O697</f>
        <v>21394.875459999999</v>
      </c>
      <c r="P700" s="365">
        <f>P693+P697</f>
        <v>34917.294779999997</v>
      </c>
      <c r="Q700" s="365">
        <f>Q693+Q697</f>
        <v>41832.567080000001</v>
      </c>
      <c r="R700" s="365">
        <f t="shared" si="185"/>
        <v>583252.44390000007</v>
      </c>
    </row>
    <row r="701" spans="1:18" x14ac:dyDescent="0.2">
      <c r="B701" s="32" t="s">
        <v>986</v>
      </c>
      <c r="F701" s="365">
        <f t="shared" ref="F701:N701" si="193">F688+F692+F693+F694+F698+F699</f>
        <v>148270.18935</v>
      </c>
      <c r="G701" s="365">
        <f t="shared" si="193"/>
        <v>127133.99935</v>
      </c>
      <c r="H701" s="365">
        <f t="shared" si="193"/>
        <v>59158.419050000004</v>
      </c>
      <c r="I701" s="365">
        <f t="shared" si="193"/>
        <v>36649.495800000004</v>
      </c>
      <c r="J701" s="365">
        <f t="shared" si="193"/>
        <v>57590.737700000005</v>
      </c>
      <c r="K701" s="365">
        <f t="shared" si="193"/>
        <v>73510.199100000013</v>
      </c>
      <c r="L701" s="365">
        <f t="shared" si="193"/>
        <v>49431.156500000005</v>
      </c>
      <c r="M701" s="365">
        <f t="shared" si="193"/>
        <v>28936.689050000001</v>
      </c>
      <c r="N701" s="365">
        <f t="shared" si="193"/>
        <v>25505.523249999998</v>
      </c>
      <c r="O701" s="365">
        <f>O688+O692+O693+O694+O698+O699</f>
        <v>27776.783749999999</v>
      </c>
      <c r="P701" s="365">
        <f>P688+P692+P693+P694+P698+P699</f>
        <v>44746.030940000004</v>
      </c>
      <c r="Q701" s="365">
        <f>Q688+Q692+Q693+Q694+Q698+Q699</f>
        <v>53237.215640000009</v>
      </c>
      <c r="R701" s="365">
        <f>R688+R692+R693+R694+R698+R699</f>
        <v>731946.43947999983</v>
      </c>
    </row>
    <row r="702" spans="1:18" x14ac:dyDescent="0.2">
      <c r="F702" s="364"/>
      <c r="G702" s="364"/>
      <c r="H702" s="364"/>
      <c r="I702" s="364"/>
      <c r="J702" s="364"/>
      <c r="K702" s="364"/>
      <c r="L702" s="364"/>
      <c r="M702" s="364"/>
      <c r="N702" s="364"/>
      <c r="O702" s="364"/>
      <c r="P702" s="364"/>
      <c r="Q702" s="364"/>
      <c r="R702" s="341"/>
    </row>
    <row r="703" spans="1:18" x14ac:dyDescent="0.2">
      <c r="A703" s="32" t="s">
        <v>1058</v>
      </c>
      <c r="B703" s="32" t="s">
        <v>1050</v>
      </c>
      <c r="F703" s="364">
        <f>F675*F683+F684*F676</f>
        <v>115661.34324999999</v>
      </c>
      <c r="G703" s="364">
        <f t="shared" ref="G703:Q703" si="194">G675*G683+G684*G676</f>
        <v>98747.907949999993</v>
      </c>
      <c r="H703" s="364">
        <f t="shared" si="194"/>
        <v>45209.289749999996</v>
      </c>
      <c r="I703" s="364">
        <f t="shared" si="194"/>
        <v>27491.6211</v>
      </c>
      <c r="J703" s="364">
        <f t="shared" si="194"/>
        <v>43938.112199999996</v>
      </c>
      <c r="K703" s="364">
        <f t="shared" si="194"/>
        <v>56635.0674</v>
      </c>
      <c r="L703" s="364">
        <f t="shared" si="194"/>
        <v>37538.4372</v>
      </c>
      <c r="M703" s="364">
        <f t="shared" si="194"/>
        <v>21318.96615</v>
      </c>
      <c r="N703" s="364">
        <f t="shared" si="194"/>
        <v>17608.501949999998</v>
      </c>
      <c r="O703" s="364">
        <f t="shared" si="194"/>
        <v>20470.167149999997</v>
      </c>
      <c r="P703" s="364">
        <f t="shared" si="194"/>
        <v>33406.824659999998</v>
      </c>
      <c r="Q703" s="364">
        <f t="shared" si="194"/>
        <v>40023.072759999995</v>
      </c>
      <c r="R703" s="341">
        <f>SUM(F703:Q703)</f>
        <v>558049.31151999987</v>
      </c>
    </row>
    <row r="704" spans="1:18" x14ac:dyDescent="0.2">
      <c r="F704" s="364"/>
      <c r="G704" s="364"/>
      <c r="H704" s="364"/>
      <c r="I704" s="364"/>
      <c r="J704" s="364"/>
      <c r="K704" s="364"/>
      <c r="L704" s="364"/>
      <c r="M704" s="364"/>
      <c r="N704" s="364"/>
      <c r="O704" s="364"/>
      <c r="P704" s="364"/>
      <c r="Q704" s="364"/>
      <c r="R704" s="341"/>
    </row>
    <row r="705" spans="1:18" x14ac:dyDescent="0.2">
      <c r="B705" s="276" t="s">
        <v>1112</v>
      </c>
      <c r="C705" s="276"/>
    </row>
    <row r="706" spans="1:18" x14ac:dyDescent="0.2">
      <c r="B706" s="276" t="s">
        <v>5</v>
      </c>
      <c r="C706" s="276"/>
    </row>
    <row r="707" spans="1:18" x14ac:dyDescent="0.2">
      <c r="B707" s="32" t="s">
        <v>1059</v>
      </c>
      <c r="D707" s="32">
        <v>87</v>
      </c>
      <c r="E707" s="32" t="s">
        <v>976</v>
      </c>
      <c r="F707" s="413">
        <f t="shared" ref="F707:N707" si="195">F348</f>
        <v>544.91</v>
      </c>
      <c r="G707" s="413">
        <f t="shared" si="195"/>
        <v>544.91</v>
      </c>
      <c r="H707" s="413">
        <f t="shared" si="195"/>
        <v>544.91</v>
      </c>
      <c r="I707" s="413">
        <f t="shared" si="195"/>
        <v>544.91</v>
      </c>
      <c r="J707" s="413">
        <f t="shared" si="195"/>
        <v>544.91</v>
      </c>
      <c r="K707" s="413">
        <f t="shared" si="195"/>
        <v>544.91</v>
      </c>
      <c r="L707" s="413">
        <f t="shared" si="195"/>
        <v>544.91</v>
      </c>
      <c r="M707" s="413">
        <f t="shared" si="195"/>
        <v>544.91</v>
      </c>
      <c r="N707" s="413">
        <f t="shared" si="195"/>
        <v>544.91</v>
      </c>
      <c r="O707" s="413">
        <f>O348</f>
        <v>544.91</v>
      </c>
      <c r="P707" s="413">
        <f>P348</f>
        <v>544.91</v>
      </c>
      <c r="Q707" s="413">
        <f>Q348</f>
        <v>544.91</v>
      </c>
      <c r="R707" s="439"/>
    </row>
    <row r="708" spans="1:18" x14ac:dyDescent="0.2">
      <c r="C708" s="32" t="s">
        <v>1047</v>
      </c>
      <c r="F708" s="393"/>
      <c r="G708" s="393"/>
      <c r="H708" s="393"/>
      <c r="I708" s="393"/>
      <c r="J708" s="393"/>
      <c r="K708" s="393"/>
      <c r="L708" s="393"/>
      <c r="M708" s="393"/>
      <c r="N708" s="393"/>
      <c r="O708" s="393"/>
      <c r="P708" s="393"/>
      <c r="Q708" s="393"/>
      <c r="R708" s="394"/>
    </row>
    <row r="709" spans="1:18" x14ac:dyDescent="0.2">
      <c r="C709" s="32" t="s">
        <v>1086</v>
      </c>
      <c r="D709" s="32">
        <v>87</v>
      </c>
      <c r="E709" s="32" t="s">
        <v>957</v>
      </c>
      <c r="F709" s="393">
        <f t="shared" ref="F709:Q716" si="196">F350</f>
        <v>0.13815</v>
      </c>
      <c r="G709" s="393">
        <f t="shared" si="196"/>
        <v>0.13815</v>
      </c>
      <c r="H709" s="393">
        <f t="shared" si="196"/>
        <v>0.13815</v>
      </c>
      <c r="I709" s="393">
        <f t="shared" si="196"/>
        <v>0.13815</v>
      </c>
      <c r="J709" s="393">
        <f t="shared" si="196"/>
        <v>0.13815</v>
      </c>
      <c r="K709" s="393">
        <f t="shared" si="196"/>
        <v>0.13815</v>
      </c>
      <c r="L709" s="393">
        <f t="shared" si="196"/>
        <v>0.13815</v>
      </c>
      <c r="M709" s="393">
        <f t="shared" si="196"/>
        <v>0.13815</v>
      </c>
      <c r="N709" s="393">
        <f t="shared" si="196"/>
        <v>0.13815</v>
      </c>
      <c r="O709" s="393">
        <f t="shared" si="196"/>
        <v>0.13815</v>
      </c>
      <c r="P709" s="393">
        <f t="shared" si="196"/>
        <v>0.13815</v>
      </c>
      <c r="Q709" s="393">
        <f t="shared" si="196"/>
        <v>0.13815</v>
      </c>
      <c r="R709" s="394"/>
    </row>
    <row r="710" spans="1:18" x14ac:dyDescent="0.2">
      <c r="C710" s="32" t="s">
        <v>1087</v>
      </c>
      <c r="D710" s="32">
        <v>87</v>
      </c>
      <c r="E710" s="32" t="s">
        <v>957</v>
      </c>
      <c r="F710" s="393">
        <f t="shared" si="196"/>
        <v>8.4349999999999994E-2</v>
      </c>
      <c r="G710" s="393">
        <f t="shared" si="196"/>
        <v>8.4349999999999994E-2</v>
      </c>
      <c r="H710" s="393">
        <f t="shared" si="196"/>
        <v>8.4349999999999994E-2</v>
      </c>
      <c r="I710" s="393">
        <f t="shared" si="196"/>
        <v>8.4349999999999994E-2</v>
      </c>
      <c r="J710" s="393">
        <f t="shared" si="196"/>
        <v>8.4349999999999994E-2</v>
      </c>
      <c r="K710" s="393">
        <f t="shared" si="196"/>
        <v>8.4349999999999994E-2</v>
      </c>
      <c r="L710" s="393">
        <f t="shared" si="196"/>
        <v>8.4349999999999994E-2</v>
      </c>
      <c r="M710" s="393">
        <f t="shared" si="196"/>
        <v>8.4349999999999994E-2</v>
      </c>
      <c r="N710" s="393">
        <f t="shared" si="196"/>
        <v>8.4349999999999994E-2</v>
      </c>
      <c r="O710" s="393">
        <f t="shared" si="196"/>
        <v>8.4349999999999994E-2</v>
      </c>
      <c r="P710" s="393">
        <f t="shared" si="196"/>
        <v>8.4349999999999994E-2</v>
      </c>
      <c r="Q710" s="393">
        <f t="shared" si="196"/>
        <v>8.4349999999999994E-2</v>
      </c>
      <c r="R710" s="394"/>
    </row>
    <row r="711" spans="1:18" x14ac:dyDescent="0.2">
      <c r="C711" s="32" t="s">
        <v>1090</v>
      </c>
      <c r="D711" s="32">
        <v>87</v>
      </c>
      <c r="E711" s="32" t="s">
        <v>957</v>
      </c>
      <c r="F711" s="393">
        <f t="shared" si="196"/>
        <v>5.4460000000000001E-2</v>
      </c>
      <c r="G711" s="393">
        <f t="shared" si="196"/>
        <v>5.4460000000000001E-2</v>
      </c>
      <c r="H711" s="393">
        <f t="shared" si="196"/>
        <v>5.4460000000000001E-2</v>
      </c>
      <c r="I711" s="393">
        <f t="shared" si="196"/>
        <v>5.4460000000000001E-2</v>
      </c>
      <c r="J711" s="393">
        <f t="shared" si="196"/>
        <v>5.4460000000000001E-2</v>
      </c>
      <c r="K711" s="393">
        <f t="shared" si="196"/>
        <v>5.4460000000000001E-2</v>
      </c>
      <c r="L711" s="393">
        <f t="shared" si="196"/>
        <v>5.4460000000000001E-2</v>
      </c>
      <c r="M711" s="393">
        <f t="shared" si="196"/>
        <v>5.4460000000000001E-2</v>
      </c>
      <c r="N711" s="393">
        <f t="shared" si="196"/>
        <v>5.4460000000000001E-2</v>
      </c>
      <c r="O711" s="393">
        <f t="shared" si="196"/>
        <v>5.4460000000000001E-2</v>
      </c>
      <c r="P711" s="393">
        <f t="shared" si="196"/>
        <v>5.4460000000000001E-2</v>
      </c>
      <c r="Q711" s="393">
        <f t="shared" si="196"/>
        <v>5.4460000000000001E-2</v>
      </c>
      <c r="R711" s="394"/>
    </row>
    <row r="712" spans="1:18" x14ac:dyDescent="0.2">
      <c r="C712" s="32" t="s">
        <v>1091</v>
      </c>
      <c r="D712" s="32">
        <v>87</v>
      </c>
      <c r="E712" s="32" t="s">
        <v>957</v>
      </c>
      <c r="F712" s="393">
        <f t="shared" si="196"/>
        <v>3.5700000000000003E-2</v>
      </c>
      <c r="G712" s="393">
        <f t="shared" si="196"/>
        <v>3.5700000000000003E-2</v>
      </c>
      <c r="H712" s="393">
        <f t="shared" si="196"/>
        <v>3.5700000000000003E-2</v>
      </c>
      <c r="I712" s="393">
        <f t="shared" si="196"/>
        <v>3.5700000000000003E-2</v>
      </c>
      <c r="J712" s="393">
        <f t="shared" si="196"/>
        <v>3.5700000000000003E-2</v>
      </c>
      <c r="K712" s="393">
        <f t="shared" si="196"/>
        <v>3.5700000000000003E-2</v>
      </c>
      <c r="L712" s="393">
        <f t="shared" si="196"/>
        <v>3.5700000000000003E-2</v>
      </c>
      <c r="M712" s="393">
        <f t="shared" si="196"/>
        <v>3.5700000000000003E-2</v>
      </c>
      <c r="N712" s="393">
        <f t="shared" si="196"/>
        <v>3.5700000000000003E-2</v>
      </c>
      <c r="O712" s="393">
        <f t="shared" si="196"/>
        <v>3.5700000000000003E-2</v>
      </c>
      <c r="P712" s="393">
        <f t="shared" si="196"/>
        <v>3.5700000000000003E-2</v>
      </c>
      <c r="Q712" s="393">
        <f t="shared" si="196"/>
        <v>3.5700000000000003E-2</v>
      </c>
      <c r="R712" s="394"/>
    </row>
    <row r="713" spans="1:18" x14ac:dyDescent="0.2">
      <c r="C713" s="32" t="s">
        <v>1092</v>
      </c>
      <c r="D713" s="32">
        <v>87</v>
      </c>
      <c r="E713" s="32" t="s">
        <v>957</v>
      </c>
      <c r="F713" s="393">
        <f t="shared" si="196"/>
        <v>2.63E-2</v>
      </c>
      <c r="G713" s="393">
        <f t="shared" si="196"/>
        <v>2.63E-2</v>
      </c>
      <c r="H713" s="393">
        <f t="shared" si="196"/>
        <v>2.63E-2</v>
      </c>
      <c r="I713" s="393">
        <f t="shared" si="196"/>
        <v>2.63E-2</v>
      </c>
      <c r="J713" s="393">
        <f t="shared" si="196"/>
        <v>2.63E-2</v>
      </c>
      <c r="K713" s="393">
        <f t="shared" si="196"/>
        <v>2.63E-2</v>
      </c>
      <c r="L713" s="393">
        <f t="shared" si="196"/>
        <v>2.63E-2</v>
      </c>
      <c r="M713" s="393">
        <f t="shared" si="196"/>
        <v>2.63E-2</v>
      </c>
      <c r="N713" s="393">
        <f t="shared" si="196"/>
        <v>2.63E-2</v>
      </c>
      <c r="O713" s="393">
        <f t="shared" si="196"/>
        <v>2.63E-2</v>
      </c>
      <c r="P713" s="393">
        <f t="shared" si="196"/>
        <v>2.63E-2</v>
      </c>
      <c r="Q713" s="393">
        <f t="shared" si="196"/>
        <v>2.63E-2</v>
      </c>
      <c r="R713" s="394"/>
    </row>
    <row r="714" spans="1:18" x14ac:dyDescent="0.2">
      <c r="C714" s="32" t="s">
        <v>1093</v>
      </c>
      <c r="D714" s="32">
        <v>87</v>
      </c>
      <c r="E714" s="32" t="s">
        <v>957</v>
      </c>
      <c r="F714" s="393">
        <f t="shared" si="196"/>
        <v>2.077E-2</v>
      </c>
      <c r="G714" s="393">
        <f t="shared" si="196"/>
        <v>2.077E-2</v>
      </c>
      <c r="H714" s="393">
        <f t="shared" si="196"/>
        <v>2.077E-2</v>
      </c>
      <c r="I714" s="393">
        <f t="shared" si="196"/>
        <v>2.077E-2</v>
      </c>
      <c r="J714" s="393">
        <f t="shared" si="196"/>
        <v>2.077E-2</v>
      </c>
      <c r="K714" s="393">
        <f t="shared" si="196"/>
        <v>2.077E-2</v>
      </c>
      <c r="L714" s="393">
        <f t="shared" si="196"/>
        <v>2.077E-2</v>
      </c>
      <c r="M714" s="393">
        <f t="shared" si="196"/>
        <v>2.077E-2</v>
      </c>
      <c r="N714" s="393">
        <f t="shared" si="196"/>
        <v>2.077E-2</v>
      </c>
      <c r="O714" s="393">
        <f t="shared" si="196"/>
        <v>2.077E-2</v>
      </c>
      <c r="P714" s="393">
        <f t="shared" si="196"/>
        <v>2.077E-2</v>
      </c>
      <c r="Q714" s="393">
        <f t="shared" si="196"/>
        <v>2.077E-2</v>
      </c>
      <c r="R714" s="394"/>
    </row>
    <row r="715" spans="1:18" x14ac:dyDescent="0.2">
      <c r="A715" s="336"/>
      <c r="B715" s="32" t="s">
        <v>1067</v>
      </c>
      <c r="D715" s="32">
        <v>101</v>
      </c>
      <c r="E715" s="32" t="s">
        <v>957</v>
      </c>
      <c r="F715" s="393">
        <f t="shared" si="196"/>
        <v>0.69859000000000004</v>
      </c>
      <c r="G715" s="393">
        <f t="shared" si="196"/>
        <v>0.69859000000000004</v>
      </c>
      <c r="H715" s="393">
        <f t="shared" si="196"/>
        <v>0.69859000000000004</v>
      </c>
      <c r="I715" s="393">
        <f t="shared" si="196"/>
        <v>0.69859000000000004</v>
      </c>
      <c r="J715" s="393">
        <f t="shared" si="196"/>
        <v>0.69859000000000004</v>
      </c>
      <c r="K715" s="393">
        <f t="shared" si="196"/>
        <v>0.69859000000000004</v>
      </c>
      <c r="L715" s="393">
        <f t="shared" si="196"/>
        <v>0.69859000000000004</v>
      </c>
      <c r="M715" s="393">
        <f t="shared" si="196"/>
        <v>0.69859000000000004</v>
      </c>
      <c r="N715" s="393">
        <f t="shared" si="196"/>
        <v>0.69859000000000004</v>
      </c>
      <c r="O715" s="393">
        <f t="shared" si="196"/>
        <v>0.69859000000000004</v>
      </c>
      <c r="P715" s="393">
        <f t="shared" si="196"/>
        <v>0.65951000000000004</v>
      </c>
      <c r="Q715" s="393">
        <f t="shared" si="196"/>
        <v>0.65951000000000004</v>
      </c>
      <c r="R715" s="394"/>
    </row>
    <row r="716" spans="1:18" x14ac:dyDescent="0.2">
      <c r="B716" s="32" t="s">
        <v>1096</v>
      </c>
      <c r="D716" s="444">
        <v>87</v>
      </c>
      <c r="E716" s="32" t="s">
        <v>957</v>
      </c>
      <c r="F716" s="393">
        <f t="shared" si="196"/>
        <v>5.0699999999999999E-3</v>
      </c>
      <c r="G716" s="393">
        <f t="shared" si="196"/>
        <v>5.0699999999999999E-3</v>
      </c>
      <c r="H716" s="393">
        <f t="shared" si="196"/>
        <v>5.0699999999999999E-3</v>
      </c>
      <c r="I716" s="393">
        <f t="shared" si="196"/>
        <v>5.0699999999999999E-3</v>
      </c>
      <c r="J716" s="393">
        <f t="shared" si="196"/>
        <v>5.0699999999999999E-3</v>
      </c>
      <c r="K716" s="393">
        <f t="shared" si="196"/>
        <v>5.0699999999999999E-3</v>
      </c>
      <c r="L716" s="393">
        <f t="shared" si="196"/>
        <v>5.0699999999999999E-3</v>
      </c>
      <c r="M716" s="393">
        <f t="shared" si="196"/>
        <v>5.0699999999999999E-3</v>
      </c>
      <c r="N716" s="393">
        <f t="shared" si="196"/>
        <v>5.0699999999999999E-3</v>
      </c>
      <c r="O716" s="393">
        <f t="shared" si="196"/>
        <v>5.0699999999999999E-3</v>
      </c>
      <c r="P716" s="393">
        <f t="shared" si="196"/>
        <v>5.0699999999999999E-3</v>
      </c>
      <c r="Q716" s="393">
        <f t="shared" si="196"/>
        <v>5.0699999999999999E-3</v>
      </c>
      <c r="R716" s="394"/>
    </row>
    <row r="717" spans="1:18" x14ac:dyDescent="0.2">
      <c r="B717" s="32" t="s">
        <v>1068</v>
      </c>
      <c r="F717" s="394"/>
      <c r="G717" s="394"/>
      <c r="H717" s="394"/>
      <c r="I717" s="394"/>
      <c r="J717" s="394"/>
      <c r="K717" s="394"/>
      <c r="L717" s="394"/>
      <c r="M717" s="394"/>
      <c r="N717" s="394"/>
      <c r="O717" s="394"/>
      <c r="P717" s="394"/>
      <c r="Q717" s="394"/>
      <c r="R717" s="394"/>
    </row>
    <row r="718" spans="1:18" x14ac:dyDescent="0.2">
      <c r="C718" s="32" t="s">
        <v>1069</v>
      </c>
      <c r="D718" s="32">
        <v>87</v>
      </c>
      <c r="E718" s="32" t="s">
        <v>957</v>
      </c>
      <c r="F718" s="454">
        <f t="shared" ref="F718:Q719" si="197">F359</f>
        <v>1.1100000000000001</v>
      </c>
      <c r="G718" s="454">
        <f t="shared" si="197"/>
        <v>1.1100000000000001</v>
      </c>
      <c r="H718" s="454">
        <f t="shared" si="197"/>
        <v>1.1100000000000001</v>
      </c>
      <c r="I718" s="454">
        <f t="shared" si="197"/>
        <v>1.1100000000000001</v>
      </c>
      <c r="J718" s="454">
        <f t="shared" si="197"/>
        <v>1.1100000000000001</v>
      </c>
      <c r="K718" s="454">
        <f t="shared" si="197"/>
        <v>1.1100000000000001</v>
      </c>
      <c r="L718" s="454">
        <f t="shared" si="197"/>
        <v>1.1100000000000001</v>
      </c>
      <c r="M718" s="454">
        <f t="shared" si="197"/>
        <v>1.1100000000000001</v>
      </c>
      <c r="N718" s="454">
        <f t="shared" si="197"/>
        <v>1.1100000000000001</v>
      </c>
      <c r="O718" s="454">
        <f t="shared" si="197"/>
        <v>1.1100000000000001</v>
      </c>
      <c r="P718" s="454">
        <f t="shared" si="197"/>
        <v>1.1100000000000001</v>
      </c>
      <c r="Q718" s="454">
        <f t="shared" si="197"/>
        <v>1.1100000000000001</v>
      </c>
      <c r="R718" s="394"/>
    </row>
    <row r="719" spans="1:18" x14ac:dyDescent="0.2">
      <c r="A719" s="336"/>
      <c r="C719" s="32" t="s">
        <v>1070</v>
      </c>
      <c r="D719" s="32">
        <v>101</v>
      </c>
      <c r="E719" s="32" t="s">
        <v>957</v>
      </c>
      <c r="F719" s="413">
        <f t="shared" si="197"/>
        <v>1.05</v>
      </c>
      <c r="G719" s="413">
        <f t="shared" si="197"/>
        <v>1.05</v>
      </c>
      <c r="H719" s="413">
        <f t="shared" si="197"/>
        <v>1.05</v>
      </c>
      <c r="I719" s="413">
        <f t="shared" si="197"/>
        <v>1.05</v>
      </c>
      <c r="J719" s="413">
        <f t="shared" si="197"/>
        <v>1.05</v>
      </c>
      <c r="K719" s="413">
        <f t="shared" si="197"/>
        <v>1.05</v>
      </c>
      <c r="L719" s="413">
        <f t="shared" si="197"/>
        <v>1.05</v>
      </c>
      <c r="M719" s="413">
        <f t="shared" si="197"/>
        <v>1.05</v>
      </c>
      <c r="N719" s="413">
        <f t="shared" si="197"/>
        <v>1.05</v>
      </c>
      <c r="O719" s="413">
        <f t="shared" si="197"/>
        <v>1.05</v>
      </c>
      <c r="P719" s="413">
        <f t="shared" si="197"/>
        <v>1.05</v>
      </c>
      <c r="Q719" s="413">
        <f t="shared" si="197"/>
        <v>1.05</v>
      </c>
      <c r="R719" s="394"/>
    </row>
    <row r="720" spans="1:18" s="336" customFormat="1" x14ac:dyDescent="0.2">
      <c r="B720" s="336" t="s">
        <v>1071</v>
      </c>
      <c r="D720" s="336">
        <v>87</v>
      </c>
      <c r="E720" s="336" t="s">
        <v>67</v>
      </c>
      <c r="F720" s="450"/>
      <c r="G720" s="450"/>
      <c r="H720" s="442"/>
      <c r="I720" s="450"/>
      <c r="J720" s="450"/>
      <c r="K720" s="450"/>
      <c r="L720" s="450"/>
      <c r="M720" s="450"/>
      <c r="N720" s="450"/>
      <c r="O720" s="450"/>
      <c r="P720" s="450"/>
      <c r="Q720" s="450"/>
      <c r="R720" s="441"/>
    </row>
    <row r="721" spans="2:18" s="336" customFormat="1" x14ac:dyDescent="0.2">
      <c r="B721" s="336" t="s">
        <v>1050</v>
      </c>
      <c r="F721" s="393">
        <f>F362</f>
        <v>0.66842000000000001</v>
      </c>
      <c r="G721" s="393">
        <f t="shared" ref="G721:Q722" si="198">G362</f>
        <v>0.66842000000000001</v>
      </c>
      <c r="H721" s="393">
        <f t="shared" si="198"/>
        <v>0.66842000000000001</v>
      </c>
      <c r="I721" s="393">
        <f t="shared" si="198"/>
        <v>0.66842000000000001</v>
      </c>
      <c r="J721" s="393">
        <f t="shared" si="198"/>
        <v>0.66842000000000001</v>
      </c>
      <c r="K721" s="393">
        <f t="shared" si="198"/>
        <v>0.66842000000000001</v>
      </c>
      <c r="L721" s="393">
        <f t="shared" si="198"/>
        <v>0.66842000000000001</v>
      </c>
      <c r="M721" s="393">
        <f t="shared" si="198"/>
        <v>0.66842000000000001</v>
      </c>
      <c r="N721" s="393">
        <f t="shared" si="198"/>
        <v>0.66842000000000001</v>
      </c>
      <c r="O721" s="393">
        <f t="shared" si="198"/>
        <v>0.66842000000000001</v>
      </c>
      <c r="P721" s="393">
        <f t="shared" si="198"/>
        <v>0.63099000000000005</v>
      </c>
      <c r="Q721" s="393">
        <f t="shared" si="198"/>
        <v>0.63099000000000005</v>
      </c>
      <c r="R721" s="441"/>
    </row>
    <row r="722" spans="2:18" s="336" customFormat="1" x14ac:dyDescent="0.2">
      <c r="B722" s="336" t="s">
        <v>1072</v>
      </c>
      <c r="F722" s="454">
        <f>F363</f>
        <v>1</v>
      </c>
      <c r="G722" s="454">
        <f t="shared" si="198"/>
        <v>1</v>
      </c>
      <c r="H722" s="454">
        <f t="shared" si="198"/>
        <v>1</v>
      </c>
      <c r="I722" s="454">
        <f t="shared" si="198"/>
        <v>1</v>
      </c>
      <c r="J722" s="454">
        <f t="shared" si="198"/>
        <v>1</v>
      </c>
      <c r="K722" s="454">
        <f t="shared" si="198"/>
        <v>1</v>
      </c>
      <c r="L722" s="454">
        <f t="shared" si="198"/>
        <v>1</v>
      </c>
      <c r="M722" s="454">
        <f t="shared" si="198"/>
        <v>1</v>
      </c>
      <c r="N722" s="454">
        <f t="shared" si="198"/>
        <v>1</v>
      </c>
      <c r="O722" s="454">
        <f t="shared" si="198"/>
        <v>1</v>
      </c>
      <c r="P722" s="454">
        <f t="shared" si="198"/>
        <v>1</v>
      </c>
      <c r="Q722" s="454">
        <f t="shared" si="198"/>
        <v>1</v>
      </c>
      <c r="R722" s="441"/>
    </row>
    <row r="723" spans="2:18" s="336" customFormat="1" x14ac:dyDescent="0.2"/>
    <row r="724" spans="2:18" s="336" customFormat="1" x14ac:dyDescent="0.2">
      <c r="B724" s="182" t="s">
        <v>982</v>
      </c>
    </row>
    <row r="725" spans="2:18" s="336" customFormat="1" x14ac:dyDescent="0.2">
      <c r="B725" s="336" t="s">
        <v>67</v>
      </c>
      <c r="E725" s="336" t="s">
        <v>67</v>
      </c>
      <c r="F725" s="421">
        <f>'JKP-3.1c - Data'!C154</f>
        <v>1</v>
      </c>
      <c r="G725" s="421">
        <f>'JKP-3.1c - Data'!D154</f>
        <v>1</v>
      </c>
      <c r="H725" s="421">
        <f>'JKP-3.1c - Data'!E154</f>
        <v>2</v>
      </c>
      <c r="I725" s="421">
        <f>'JKP-3.1c - Data'!F154</f>
        <v>0</v>
      </c>
      <c r="J725" s="421">
        <f>'JKP-3.1c - Data'!G154</f>
        <v>1</v>
      </c>
      <c r="K725" s="421">
        <f>'JKP-3.1c - Data'!H154</f>
        <v>2</v>
      </c>
      <c r="L725" s="421">
        <f>'JKP-3.1c - Data'!I154</f>
        <v>1</v>
      </c>
      <c r="M725" s="421">
        <f>'JKP-3.1c - Data'!J154</f>
        <v>0</v>
      </c>
      <c r="N725" s="421">
        <f>'JKP-3.1c - Data'!K154</f>
        <v>2</v>
      </c>
      <c r="O725" s="421">
        <f>'JKP-3.1c - Data'!L154</f>
        <v>1</v>
      </c>
      <c r="P725" s="421">
        <f>'JKP-3.1c - Data'!M154</f>
        <v>0</v>
      </c>
      <c r="Q725" s="421">
        <f>'JKP-3.1c - Data'!N154</f>
        <v>1</v>
      </c>
      <c r="R725" s="378">
        <f>SUM(F725:Q725)</f>
        <v>12</v>
      </c>
    </row>
    <row r="726" spans="2:18" s="336" customFormat="1" x14ac:dyDescent="0.2">
      <c r="B726" s="336" t="s">
        <v>76</v>
      </c>
      <c r="F726" s="380"/>
      <c r="G726" s="380"/>
      <c r="H726" s="380"/>
      <c r="I726" s="380"/>
      <c r="J726" s="380"/>
      <c r="K726" s="380"/>
      <c r="L726" s="380"/>
      <c r="M726" s="380"/>
      <c r="N726" s="380"/>
      <c r="O726" s="380"/>
      <c r="P726" s="380"/>
      <c r="Q726" s="380"/>
      <c r="R726" s="378"/>
    </row>
    <row r="727" spans="2:18" s="336" customFormat="1" x14ac:dyDescent="0.2">
      <c r="C727" s="336" t="s">
        <v>1086</v>
      </c>
      <c r="E727" s="336" t="s">
        <v>10</v>
      </c>
      <c r="F727" s="380">
        <v>25000</v>
      </c>
      <c r="G727" s="380">
        <v>25000</v>
      </c>
      <c r="H727" s="380">
        <v>25000</v>
      </c>
      <c r="I727" s="380">
        <v>25000</v>
      </c>
      <c r="J727" s="380">
        <v>25000</v>
      </c>
      <c r="K727" s="380">
        <v>25000</v>
      </c>
      <c r="L727" s="380">
        <v>25000</v>
      </c>
      <c r="M727" s="380">
        <v>25000</v>
      </c>
      <c r="N727" s="380">
        <v>25000</v>
      </c>
      <c r="O727" s="380">
        <v>25000</v>
      </c>
      <c r="P727" s="380">
        <v>25000</v>
      </c>
      <c r="Q727" s="380">
        <v>25000</v>
      </c>
      <c r="R727" s="378">
        <f t="shared" ref="R727:R732" si="199">SUM(F727:Q727)</f>
        <v>300000</v>
      </c>
    </row>
    <row r="728" spans="2:18" s="336" customFormat="1" x14ac:dyDescent="0.2">
      <c r="C728" s="336" t="s">
        <v>1087</v>
      </c>
      <c r="E728" s="336" t="s">
        <v>10</v>
      </c>
      <c r="F728" s="380">
        <v>25000</v>
      </c>
      <c r="G728" s="380">
        <v>25000</v>
      </c>
      <c r="H728" s="380">
        <v>25000</v>
      </c>
      <c r="I728" s="380">
        <v>25000</v>
      </c>
      <c r="J728" s="380">
        <v>25000</v>
      </c>
      <c r="K728" s="380">
        <v>25000</v>
      </c>
      <c r="L728" s="380">
        <v>25000</v>
      </c>
      <c r="M728" s="380">
        <v>25000</v>
      </c>
      <c r="N728" s="380">
        <v>25000</v>
      </c>
      <c r="O728" s="380">
        <v>25000</v>
      </c>
      <c r="P728" s="380">
        <v>25000</v>
      </c>
      <c r="Q728" s="380">
        <v>25000</v>
      </c>
      <c r="R728" s="378">
        <f t="shared" si="199"/>
        <v>300000</v>
      </c>
    </row>
    <row r="729" spans="2:18" s="336" customFormat="1" x14ac:dyDescent="0.2">
      <c r="C729" s="336" t="s">
        <v>1090</v>
      </c>
      <c r="E729" s="336" t="s">
        <v>10</v>
      </c>
      <c r="F729" s="380">
        <v>33770</v>
      </c>
      <c r="G729" s="380">
        <v>50000</v>
      </c>
      <c r="H729" s="380">
        <v>50000</v>
      </c>
      <c r="I729" s="380">
        <v>50000</v>
      </c>
      <c r="J729" s="380">
        <v>50000</v>
      </c>
      <c r="K729" s="380">
        <v>50000</v>
      </c>
      <c r="L729" s="380">
        <v>50000</v>
      </c>
      <c r="M729" s="380">
        <v>50000</v>
      </c>
      <c r="N729" s="380">
        <v>50000</v>
      </c>
      <c r="O729" s="380">
        <v>50000</v>
      </c>
      <c r="P729" s="380">
        <v>50000</v>
      </c>
      <c r="Q729" s="380">
        <v>50000</v>
      </c>
      <c r="R729" s="378">
        <f t="shared" si="199"/>
        <v>583770</v>
      </c>
    </row>
    <row r="730" spans="2:18" s="336" customFormat="1" x14ac:dyDescent="0.2">
      <c r="C730" s="336" t="s">
        <v>1091</v>
      </c>
      <c r="E730" s="336" t="s">
        <v>10</v>
      </c>
      <c r="F730" s="380">
        <v>0</v>
      </c>
      <c r="G730" s="380">
        <v>15393</v>
      </c>
      <c r="H730" s="380">
        <v>18389</v>
      </c>
      <c r="I730" s="380">
        <v>48227</v>
      </c>
      <c r="J730" s="380">
        <v>72767</v>
      </c>
      <c r="K730" s="380">
        <v>30945</v>
      </c>
      <c r="L730" s="380">
        <v>5034</v>
      </c>
      <c r="M730" s="380">
        <v>53481</v>
      </c>
      <c r="N730" s="380">
        <v>100000</v>
      </c>
      <c r="O730" s="380">
        <v>100000</v>
      </c>
      <c r="P730" s="380">
        <v>100000</v>
      </c>
      <c r="Q730" s="380">
        <v>36423</v>
      </c>
      <c r="R730" s="378">
        <f t="shared" si="199"/>
        <v>580659</v>
      </c>
    </row>
    <row r="731" spans="2:18" s="336" customFormat="1" x14ac:dyDescent="0.2">
      <c r="C731" s="336" t="s">
        <v>1092</v>
      </c>
      <c r="E731" s="336" t="s">
        <v>10</v>
      </c>
      <c r="F731" s="380">
        <v>0</v>
      </c>
      <c r="G731" s="380">
        <v>0</v>
      </c>
      <c r="H731" s="380">
        <v>0</v>
      </c>
      <c r="I731" s="380">
        <v>0</v>
      </c>
      <c r="J731" s="380">
        <v>0</v>
      </c>
      <c r="K731" s="380">
        <v>0</v>
      </c>
      <c r="L731" s="380">
        <v>0</v>
      </c>
      <c r="M731" s="380">
        <v>0</v>
      </c>
      <c r="N731" s="380">
        <v>237</v>
      </c>
      <c r="O731" s="380">
        <v>22364</v>
      </c>
      <c r="P731" s="380">
        <v>2008</v>
      </c>
      <c r="Q731" s="380">
        <v>0</v>
      </c>
      <c r="R731" s="378">
        <f t="shared" si="199"/>
        <v>24609</v>
      </c>
    </row>
    <row r="732" spans="2:18" s="336" customFormat="1" x14ac:dyDescent="0.2">
      <c r="C732" s="336" t="s">
        <v>1093</v>
      </c>
      <c r="E732" s="336" t="s">
        <v>10</v>
      </c>
      <c r="F732" s="378">
        <f t="shared" ref="F732:N732" si="200">F733-SUM(F727:F731)</f>
        <v>0</v>
      </c>
      <c r="G732" s="378">
        <f t="shared" si="200"/>
        <v>0</v>
      </c>
      <c r="H732" s="378">
        <f t="shared" si="200"/>
        <v>0</v>
      </c>
      <c r="I732" s="378">
        <f t="shared" si="200"/>
        <v>0</v>
      </c>
      <c r="J732" s="378">
        <f t="shared" si="200"/>
        <v>0</v>
      </c>
      <c r="K732" s="378">
        <f t="shared" si="200"/>
        <v>0</v>
      </c>
      <c r="L732" s="378">
        <f t="shared" si="200"/>
        <v>0</v>
      </c>
      <c r="M732" s="378">
        <f t="shared" si="200"/>
        <v>0</v>
      </c>
      <c r="N732" s="378">
        <f t="shared" si="200"/>
        <v>0</v>
      </c>
      <c r="O732" s="378">
        <f>O733-SUM(O727:O731)</f>
        <v>0</v>
      </c>
      <c r="P732" s="378">
        <f>P733-SUM(P727:P731)</f>
        <v>0</v>
      </c>
      <c r="Q732" s="378">
        <f>Q733-SUM(Q727:Q731)</f>
        <v>0</v>
      </c>
      <c r="R732" s="378">
        <f t="shared" si="199"/>
        <v>0</v>
      </c>
    </row>
    <row r="733" spans="2:18" s="336" customFormat="1" x14ac:dyDescent="0.2">
      <c r="C733" s="336" t="s">
        <v>1075</v>
      </c>
      <c r="E733" s="336" t="s">
        <v>10</v>
      </c>
      <c r="F733" s="445">
        <f>'JKP-3.1c - Therms Data'!E94</f>
        <v>83770</v>
      </c>
      <c r="G733" s="445">
        <f>'JKP-3.1c - Therms Data'!F94</f>
        <v>115393</v>
      </c>
      <c r="H733" s="445">
        <f>'JKP-3.1c - Therms Data'!G94</f>
        <v>118389</v>
      </c>
      <c r="I733" s="445">
        <f>'JKP-3.1c - Therms Data'!H94</f>
        <v>148227</v>
      </c>
      <c r="J733" s="445">
        <f>'JKP-3.1c - Therms Data'!I94</f>
        <v>172767</v>
      </c>
      <c r="K733" s="445">
        <f>'JKP-3.1c - Therms Data'!J94</f>
        <v>130945</v>
      </c>
      <c r="L733" s="445">
        <f>'JKP-3.1c - Therms Data'!K94</f>
        <v>105034</v>
      </c>
      <c r="M733" s="445">
        <f>'JKP-3.1c - Therms Data'!L94</f>
        <v>153481</v>
      </c>
      <c r="N733" s="445">
        <f>'JKP-3.1c - Therms Data'!M94</f>
        <v>200237</v>
      </c>
      <c r="O733" s="445">
        <f>'JKP-3.1c - Therms Data'!N94</f>
        <v>222364</v>
      </c>
      <c r="P733" s="445">
        <f>'JKP-3.1c - Therms Data'!O94</f>
        <v>202008</v>
      </c>
      <c r="Q733" s="445">
        <f>'JKP-3.1c - Therms Data'!P94</f>
        <v>136423</v>
      </c>
      <c r="R733" s="436">
        <f>SUM(R727:R732)</f>
        <v>1789038</v>
      </c>
    </row>
    <row r="734" spans="2:18" s="336" customFormat="1" x14ac:dyDescent="0.2">
      <c r="B734" s="336" t="s">
        <v>74</v>
      </c>
      <c r="E734" s="336" t="s">
        <v>1076</v>
      </c>
      <c r="F734" s="421"/>
      <c r="G734" s="421"/>
      <c r="H734" s="421"/>
      <c r="I734" s="421"/>
      <c r="J734" s="421"/>
      <c r="K734" s="421"/>
      <c r="L734" s="421"/>
      <c r="M734" s="421"/>
      <c r="N734" s="421"/>
      <c r="O734" s="421"/>
      <c r="P734" s="421"/>
      <c r="Q734" s="421"/>
      <c r="R734" s="378">
        <f>SUM(F734:Q734)</f>
        <v>0</v>
      </c>
    </row>
    <row r="735" spans="2:18" s="336" customFormat="1" x14ac:dyDescent="0.2">
      <c r="B735" s="336" t="s">
        <v>1071</v>
      </c>
      <c r="F735" s="380"/>
      <c r="G735" s="380"/>
      <c r="H735" s="380"/>
      <c r="I735" s="380"/>
      <c r="J735" s="380"/>
      <c r="K735" s="380"/>
      <c r="L735" s="380"/>
      <c r="M735" s="380"/>
      <c r="N735" s="380"/>
      <c r="O735" s="380"/>
      <c r="P735" s="380"/>
      <c r="Q735" s="380"/>
      <c r="R735" s="378"/>
    </row>
    <row r="736" spans="2:18" s="336" customFormat="1" x14ac:dyDescent="0.2">
      <c r="R736" s="179"/>
    </row>
    <row r="737" spans="1:18" s="336" customFormat="1" x14ac:dyDescent="0.2">
      <c r="B737" s="182" t="s">
        <v>985</v>
      </c>
      <c r="R737" s="179"/>
    </row>
    <row r="738" spans="1:18" s="336" customFormat="1" x14ac:dyDescent="0.2">
      <c r="A738" s="336" t="s">
        <v>1054</v>
      </c>
      <c r="B738" s="336" t="s">
        <v>1059</v>
      </c>
      <c r="D738" s="336">
        <v>87</v>
      </c>
      <c r="F738" s="418">
        <f t="shared" ref="F738:Q738" si="201">F707*F725</f>
        <v>544.91</v>
      </c>
      <c r="G738" s="418">
        <f t="shared" si="201"/>
        <v>544.91</v>
      </c>
      <c r="H738" s="418">
        <f t="shared" si="201"/>
        <v>1089.82</v>
      </c>
      <c r="I738" s="418">
        <f t="shared" si="201"/>
        <v>0</v>
      </c>
      <c r="J738" s="418">
        <f t="shared" si="201"/>
        <v>544.91</v>
      </c>
      <c r="K738" s="418">
        <f t="shared" si="201"/>
        <v>1089.82</v>
      </c>
      <c r="L738" s="418">
        <f t="shared" si="201"/>
        <v>544.91</v>
      </c>
      <c r="M738" s="418">
        <f t="shared" si="201"/>
        <v>0</v>
      </c>
      <c r="N738" s="418">
        <f t="shared" si="201"/>
        <v>1089.82</v>
      </c>
      <c r="O738" s="418">
        <f t="shared" si="201"/>
        <v>544.91</v>
      </c>
      <c r="P738" s="418">
        <f t="shared" si="201"/>
        <v>0</v>
      </c>
      <c r="Q738" s="418">
        <f t="shared" si="201"/>
        <v>544.91</v>
      </c>
      <c r="R738" s="437">
        <f>SUM(F738:Q738)</f>
        <v>6538.9199999999992</v>
      </c>
    </row>
    <row r="739" spans="1:18" s="336" customFormat="1" x14ac:dyDescent="0.2">
      <c r="B739" s="336" t="s">
        <v>1047</v>
      </c>
      <c r="F739" s="418"/>
      <c r="G739" s="418"/>
      <c r="H739" s="418"/>
      <c r="I739" s="418"/>
      <c r="J739" s="418"/>
      <c r="K739" s="418"/>
      <c r="L739" s="418"/>
      <c r="M739" s="418"/>
      <c r="N739" s="418"/>
      <c r="O739" s="418"/>
      <c r="P739" s="418"/>
      <c r="Q739" s="418"/>
      <c r="R739" s="437"/>
    </row>
    <row r="740" spans="1:18" x14ac:dyDescent="0.2">
      <c r="C740" s="32" t="s">
        <v>1086</v>
      </c>
      <c r="D740" s="32">
        <v>87</v>
      </c>
      <c r="F740" s="364">
        <f t="shared" ref="F740:Q745" si="202">F709*F727</f>
        <v>3453.75</v>
      </c>
      <c r="G740" s="364">
        <f t="shared" si="202"/>
        <v>3453.75</v>
      </c>
      <c r="H740" s="364">
        <f t="shared" si="202"/>
        <v>3453.75</v>
      </c>
      <c r="I740" s="364">
        <f t="shared" si="202"/>
        <v>3453.75</v>
      </c>
      <c r="J740" s="364">
        <f t="shared" si="202"/>
        <v>3453.75</v>
      </c>
      <c r="K740" s="364">
        <f t="shared" si="202"/>
        <v>3453.75</v>
      </c>
      <c r="L740" s="364">
        <f t="shared" si="202"/>
        <v>3453.75</v>
      </c>
      <c r="M740" s="364">
        <f t="shared" si="202"/>
        <v>3453.75</v>
      </c>
      <c r="N740" s="364">
        <f t="shared" si="202"/>
        <v>3453.75</v>
      </c>
      <c r="O740" s="364">
        <f t="shared" si="202"/>
        <v>3453.75</v>
      </c>
      <c r="P740" s="364">
        <f t="shared" si="202"/>
        <v>3453.75</v>
      </c>
      <c r="Q740" s="364">
        <f t="shared" si="202"/>
        <v>3453.75</v>
      </c>
      <c r="R740" s="341">
        <f t="shared" ref="R740:R753" si="203">SUM(F740:Q740)</f>
        <v>41445</v>
      </c>
    </row>
    <row r="741" spans="1:18" x14ac:dyDescent="0.2">
      <c r="C741" s="32" t="s">
        <v>1087</v>
      </c>
      <c r="D741" s="32">
        <v>87</v>
      </c>
      <c r="F741" s="364">
        <f t="shared" si="202"/>
        <v>2108.75</v>
      </c>
      <c r="G741" s="364">
        <f t="shared" si="202"/>
        <v>2108.75</v>
      </c>
      <c r="H741" s="364">
        <f t="shared" si="202"/>
        <v>2108.75</v>
      </c>
      <c r="I741" s="364">
        <f t="shared" si="202"/>
        <v>2108.75</v>
      </c>
      <c r="J741" s="364">
        <f t="shared" si="202"/>
        <v>2108.75</v>
      </c>
      <c r="K741" s="364">
        <f t="shared" si="202"/>
        <v>2108.75</v>
      </c>
      <c r="L741" s="364">
        <f t="shared" si="202"/>
        <v>2108.75</v>
      </c>
      <c r="M741" s="364">
        <f t="shared" si="202"/>
        <v>2108.75</v>
      </c>
      <c r="N741" s="364">
        <f t="shared" si="202"/>
        <v>2108.75</v>
      </c>
      <c r="O741" s="364">
        <f t="shared" si="202"/>
        <v>2108.75</v>
      </c>
      <c r="P741" s="364">
        <f t="shared" si="202"/>
        <v>2108.75</v>
      </c>
      <c r="Q741" s="364">
        <f t="shared" si="202"/>
        <v>2108.75</v>
      </c>
      <c r="R741" s="341">
        <f t="shared" si="203"/>
        <v>25305</v>
      </c>
    </row>
    <row r="742" spans="1:18" x14ac:dyDescent="0.2">
      <c r="C742" s="32" t="s">
        <v>1090</v>
      </c>
      <c r="D742" s="32">
        <v>87</v>
      </c>
      <c r="F742" s="364">
        <f t="shared" si="202"/>
        <v>1839.1142</v>
      </c>
      <c r="G742" s="364">
        <f t="shared" si="202"/>
        <v>2723</v>
      </c>
      <c r="H742" s="364">
        <f t="shared" si="202"/>
        <v>2723</v>
      </c>
      <c r="I742" s="364">
        <f t="shared" si="202"/>
        <v>2723</v>
      </c>
      <c r="J742" s="364">
        <f t="shared" si="202"/>
        <v>2723</v>
      </c>
      <c r="K742" s="364">
        <f t="shared" si="202"/>
        <v>2723</v>
      </c>
      <c r="L742" s="364">
        <f t="shared" si="202"/>
        <v>2723</v>
      </c>
      <c r="M742" s="364">
        <f t="shared" si="202"/>
        <v>2723</v>
      </c>
      <c r="N742" s="364">
        <f t="shared" si="202"/>
        <v>2723</v>
      </c>
      <c r="O742" s="364">
        <f t="shared" si="202"/>
        <v>2723</v>
      </c>
      <c r="P742" s="364">
        <f t="shared" si="202"/>
        <v>2723</v>
      </c>
      <c r="Q742" s="364">
        <f t="shared" si="202"/>
        <v>2723</v>
      </c>
      <c r="R742" s="341">
        <f t="shared" si="203"/>
        <v>31792.1142</v>
      </c>
    </row>
    <row r="743" spans="1:18" x14ac:dyDescent="0.2">
      <c r="C743" s="32" t="s">
        <v>1091</v>
      </c>
      <c r="D743" s="32">
        <v>87</v>
      </c>
      <c r="F743" s="364">
        <f t="shared" si="202"/>
        <v>0</v>
      </c>
      <c r="G743" s="364">
        <f t="shared" si="202"/>
        <v>549.53010000000006</v>
      </c>
      <c r="H743" s="364">
        <f t="shared" si="202"/>
        <v>656.4873</v>
      </c>
      <c r="I743" s="364">
        <f t="shared" si="202"/>
        <v>1721.7039000000002</v>
      </c>
      <c r="J743" s="364">
        <f t="shared" si="202"/>
        <v>2597.7819000000004</v>
      </c>
      <c r="K743" s="364">
        <f t="shared" si="202"/>
        <v>1104.7365</v>
      </c>
      <c r="L743" s="364">
        <f t="shared" si="202"/>
        <v>179.71380000000002</v>
      </c>
      <c r="M743" s="364">
        <f t="shared" si="202"/>
        <v>1909.2717000000002</v>
      </c>
      <c r="N743" s="364">
        <f t="shared" si="202"/>
        <v>3570.0000000000005</v>
      </c>
      <c r="O743" s="364">
        <f t="shared" si="202"/>
        <v>3570.0000000000005</v>
      </c>
      <c r="P743" s="364">
        <f t="shared" si="202"/>
        <v>3570.0000000000005</v>
      </c>
      <c r="Q743" s="364">
        <f t="shared" si="202"/>
        <v>1300.3011000000001</v>
      </c>
      <c r="R743" s="341">
        <f t="shared" si="203"/>
        <v>20729.526300000001</v>
      </c>
    </row>
    <row r="744" spans="1:18" x14ac:dyDescent="0.2">
      <c r="C744" s="32" t="s">
        <v>1092</v>
      </c>
      <c r="D744" s="32">
        <v>87</v>
      </c>
      <c r="F744" s="364">
        <f t="shared" si="202"/>
        <v>0</v>
      </c>
      <c r="G744" s="364">
        <f t="shared" si="202"/>
        <v>0</v>
      </c>
      <c r="H744" s="364">
        <f t="shared" si="202"/>
        <v>0</v>
      </c>
      <c r="I744" s="364">
        <f t="shared" si="202"/>
        <v>0</v>
      </c>
      <c r="J744" s="364">
        <f t="shared" si="202"/>
        <v>0</v>
      </c>
      <c r="K744" s="364">
        <f t="shared" si="202"/>
        <v>0</v>
      </c>
      <c r="L744" s="364">
        <f t="shared" si="202"/>
        <v>0</v>
      </c>
      <c r="M744" s="364">
        <f t="shared" si="202"/>
        <v>0</v>
      </c>
      <c r="N744" s="364">
        <f t="shared" si="202"/>
        <v>6.2331000000000003</v>
      </c>
      <c r="O744" s="364">
        <f t="shared" si="202"/>
        <v>588.17320000000007</v>
      </c>
      <c r="P744" s="364">
        <f t="shared" si="202"/>
        <v>52.810400000000001</v>
      </c>
      <c r="Q744" s="364">
        <f t="shared" si="202"/>
        <v>0</v>
      </c>
      <c r="R744" s="341">
        <f t="shared" si="203"/>
        <v>647.21670000000006</v>
      </c>
    </row>
    <row r="745" spans="1:18" x14ac:dyDescent="0.2">
      <c r="C745" s="32" t="s">
        <v>1093</v>
      </c>
      <c r="D745" s="32">
        <v>87</v>
      </c>
      <c r="F745" s="364">
        <f t="shared" si="202"/>
        <v>0</v>
      </c>
      <c r="G745" s="364">
        <f t="shared" si="202"/>
        <v>0</v>
      </c>
      <c r="H745" s="364">
        <f t="shared" si="202"/>
        <v>0</v>
      </c>
      <c r="I745" s="364">
        <f t="shared" si="202"/>
        <v>0</v>
      </c>
      <c r="J745" s="364">
        <f t="shared" si="202"/>
        <v>0</v>
      </c>
      <c r="K745" s="364">
        <f t="shared" si="202"/>
        <v>0</v>
      </c>
      <c r="L745" s="364">
        <f t="shared" si="202"/>
        <v>0</v>
      </c>
      <c r="M745" s="364">
        <f t="shared" si="202"/>
        <v>0</v>
      </c>
      <c r="N745" s="364">
        <f t="shared" si="202"/>
        <v>0</v>
      </c>
      <c r="O745" s="364">
        <f t="shared" si="202"/>
        <v>0</v>
      </c>
      <c r="P745" s="364">
        <f t="shared" si="202"/>
        <v>0</v>
      </c>
      <c r="Q745" s="364">
        <f t="shared" si="202"/>
        <v>0</v>
      </c>
      <c r="R745" s="341">
        <f t="shared" si="203"/>
        <v>0</v>
      </c>
    </row>
    <row r="746" spans="1:18" x14ac:dyDescent="0.2">
      <c r="A746" s="32" t="s">
        <v>1054</v>
      </c>
      <c r="C746" s="32" t="s">
        <v>1077</v>
      </c>
      <c r="F746" s="365">
        <f t="shared" ref="F746:N746" si="204">SUM(F740:F745)</f>
        <v>7401.6142</v>
      </c>
      <c r="G746" s="365">
        <f t="shared" si="204"/>
        <v>8835.0300999999999</v>
      </c>
      <c r="H746" s="365">
        <f t="shared" si="204"/>
        <v>8941.9873000000007</v>
      </c>
      <c r="I746" s="365">
        <f t="shared" si="204"/>
        <v>10007.2039</v>
      </c>
      <c r="J746" s="365">
        <f t="shared" si="204"/>
        <v>10883.2819</v>
      </c>
      <c r="K746" s="365">
        <f t="shared" si="204"/>
        <v>9390.2364999999991</v>
      </c>
      <c r="L746" s="365">
        <f t="shared" si="204"/>
        <v>8465.2137999999995</v>
      </c>
      <c r="M746" s="365">
        <f t="shared" si="204"/>
        <v>10194.771700000001</v>
      </c>
      <c r="N746" s="365">
        <f t="shared" si="204"/>
        <v>11861.733099999999</v>
      </c>
      <c r="O746" s="365">
        <f>SUM(O740:O745)</f>
        <v>12443.673199999999</v>
      </c>
      <c r="P746" s="365">
        <f>SUM(P740:P745)</f>
        <v>11908.3104</v>
      </c>
      <c r="Q746" s="365">
        <f>SUM(Q740:Q745)</f>
        <v>9585.8011000000006</v>
      </c>
      <c r="R746" s="365">
        <f t="shared" si="203"/>
        <v>119918.8572</v>
      </c>
    </row>
    <row r="747" spans="1:18" x14ac:dyDescent="0.2">
      <c r="A747" s="32" t="s">
        <v>1056</v>
      </c>
      <c r="B747" s="32" t="s">
        <v>1057</v>
      </c>
      <c r="D747" s="32">
        <v>101</v>
      </c>
      <c r="F747" s="364">
        <f t="shared" ref="F747:N747" si="205">F715*F733</f>
        <v>58520.884300000005</v>
      </c>
      <c r="G747" s="364">
        <f t="shared" si="205"/>
        <v>80612.395870000008</v>
      </c>
      <c r="H747" s="364">
        <f t="shared" si="205"/>
        <v>82705.371510000012</v>
      </c>
      <c r="I747" s="364">
        <f t="shared" si="205"/>
        <v>103549.89993</v>
      </c>
      <c r="J747" s="364">
        <f t="shared" si="205"/>
        <v>120693.29853000001</v>
      </c>
      <c r="K747" s="364">
        <f t="shared" si="205"/>
        <v>91476.86755000001</v>
      </c>
      <c r="L747" s="364">
        <f t="shared" si="205"/>
        <v>73375.702060000011</v>
      </c>
      <c r="M747" s="418">
        <f t="shared" si="205"/>
        <v>107220.29179</v>
      </c>
      <c r="N747" s="364">
        <f t="shared" si="205"/>
        <v>139883.56583000001</v>
      </c>
      <c r="O747" s="364">
        <f>O715*O733</f>
        <v>155341.26676</v>
      </c>
      <c r="P747" s="364">
        <f>P715*P733</f>
        <v>133226.29608</v>
      </c>
      <c r="Q747" s="364">
        <f>Q715*Q733</f>
        <v>89972.332730000009</v>
      </c>
      <c r="R747" s="341">
        <f t="shared" si="203"/>
        <v>1236578.17294</v>
      </c>
    </row>
    <row r="748" spans="1:18" x14ac:dyDescent="0.2">
      <c r="A748" s="32" t="s">
        <v>1054</v>
      </c>
      <c r="B748" s="32" t="s">
        <v>1096</v>
      </c>
      <c r="D748" s="444">
        <v>87</v>
      </c>
      <c r="F748" s="365">
        <f t="shared" ref="F748:N748" si="206">F716*F733</f>
        <v>424.71389999999997</v>
      </c>
      <c r="G748" s="365">
        <f t="shared" si="206"/>
        <v>585.04250999999999</v>
      </c>
      <c r="H748" s="365">
        <f t="shared" si="206"/>
        <v>600.23222999999996</v>
      </c>
      <c r="I748" s="365">
        <f t="shared" si="206"/>
        <v>751.51089000000002</v>
      </c>
      <c r="J748" s="365">
        <f t="shared" si="206"/>
        <v>875.92868999999996</v>
      </c>
      <c r="K748" s="365">
        <f t="shared" si="206"/>
        <v>663.89114999999993</v>
      </c>
      <c r="L748" s="365">
        <f t="shared" si="206"/>
        <v>532.52238</v>
      </c>
      <c r="M748" s="365">
        <f t="shared" si="206"/>
        <v>778.14866999999992</v>
      </c>
      <c r="N748" s="365">
        <f t="shared" si="206"/>
        <v>1015.20159</v>
      </c>
      <c r="O748" s="365">
        <f>O716*O733</f>
        <v>1127.3854799999999</v>
      </c>
      <c r="P748" s="365">
        <f>P716*P733</f>
        <v>1024.18056</v>
      </c>
      <c r="Q748" s="365">
        <f>Q716*Q733</f>
        <v>691.66460999999993</v>
      </c>
      <c r="R748" s="342">
        <f t="shared" si="203"/>
        <v>9070.4226599999984</v>
      </c>
    </row>
    <row r="749" spans="1:18" x14ac:dyDescent="0.2">
      <c r="B749" s="32" t="s">
        <v>1068</v>
      </c>
      <c r="F749" s="364"/>
      <c r="G749" s="364"/>
      <c r="H749" s="364"/>
      <c r="I749" s="364"/>
      <c r="J749" s="364"/>
      <c r="K749" s="364"/>
      <c r="L749" s="364"/>
      <c r="M749" s="364"/>
      <c r="N749" s="364"/>
      <c r="O749" s="364"/>
      <c r="P749" s="364"/>
      <c r="Q749" s="364"/>
      <c r="R749" s="341">
        <f t="shared" si="203"/>
        <v>0</v>
      </c>
    </row>
    <row r="750" spans="1:18" x14ac:dyDescent="0.2">
      <c r="A750" s="32" t="s">
        <v>1054</v>
      </c>
      <c r="C750" s="32" t="s">
        <v>1069</v>
      </c>
      <c r="D750" s="444">
        <v>87</v>
      </c>
      <c r="F750" s="364">
        <f t="shared" ref="F750:N750" si="207">F718*F734</f>
        <v>0</v>
      </c>
      <c r="G750" s="364">
        <f t="shared" si="207"/>
        <v>0</v>
      </c>
      <c r="H750" s="364">
        <f t="shared" si="207"/>
        <v>0</v>
      </c>
      <c r="I750" s="364">
        <f t="shared" si="207"/>
        <v>0</v>
      </c>
      <c r="J750" s="364">
        <f t="shared" si="207"/>
        <v>0</v>
      </c>
      <c r="K750" s="364">
        <f t="shared" si="207"/>
        <v>0</v>
      </c>
      <c r="L750" s="364">
        <f t="shared" si="207"/>
        <v>0</v>
      </c>
      <c r="M750" s="364">
        <f t="shared" si="207"/>
        <v>0</v>
      </c>
      <c r="N750" s="364">
        <f t="shared" si="207"/>
        <v>0</v>
      </c>
      <c r="O750" s="364">
        <f>O718*O734</f>
        <v>0</v>
      </c>
      <c r="P750" s="364">
        <f>P718*P734</f>
        <v>0</v>
      </c>
      <c r="Q750" s="364">
        <f>Q718*Q734</f>
        <v>0</v>
      </c>
      <c r="R750" s="341">
        <f t="shared" si="203"/>
        <v>0</v>
      </c>
    </row>
    <row r="751" spans="1:18" x14ac:dyDescent="0.2">
      <c r="A751" s="32" t="s">
        <v>1056</v>
      </c>
      <c r="C751" s="32" t="s">
        <v>1070</v>
      </c>
      <c r="D751" s="32">
        <v>101</v>
      </c>
      <c r="F751" s="364">
        <f t="shared" ref="F751:N751" si="208">F719*F734</f>
        <v>0</v>
      </c>
      <c r="G751" s="364">
        <f t="shared" si="208"/>
        <v>0</v>
      </c>
      <c r="H751" s="364">
        <f t="shared" si="208"/>
        <v>0</v>
      </c>
      <c r="I751" s="364">
        <f t="shared" si="208"/>
        <v>0</v>
      </c>
      <c r="J751" s="364">
        <f t="shared" si="208"/>
        <v>0</v>
      </c>
      <c r="K751" s="364">
        <f t="shared" si="208"/>
        <v>0</v>
      </c>
      <c r="L751" s="364">
        <f t="shared" si="208"/>
        <v>0</v>
      </c>
      <c r="M751" s="418">
        <f t="shared" si="208"/>
        <v>0</v>
      </c>
      <c r="N751" s="364">
        <f t="shared" si="208"/>
        <v>0</v>
      </c>
      <c r="O751" s="364">
        <f>O719*O734</f>
        <v>0</v>
      </c>
      <c r="P751" s="364">
        <f>P719*P734</f>
        <v>0</v>
      </c>
      <c r="Q751" s="364">
        <f>Q719*Q734</f>
        <v>0</v>
      </c>
      <c r="R751" s="341">
        <f t="shared" si="203"/>
        <v>0</v>
      </c>
    </row>
    <row r="752" spans="1:18" x14ac:dyDescent="0.2">
      <c r="C752" s="32" t="s">
        <v>1078</v>
      </c>
      <c r="F752" s="365">
        <f t="shared" ref="F752:N752" si="209">SUM(F750:F751)</f>
        <v>0</v>
      </c>
      <c r="G752" s="365">
        <f t="shared" si="209"/>
        <v>0</v>
      </c>
      <c r="H752" s="365">
        <f t="shared" si="209"/>
        <v>0</v>
      </c>
      <c r="I752" s="365">
        <f t="shared" si="209"/>
        <v>0</v>
      </c>
      <c r="J752" s="365">
        <f t="shared" si="209"/>
        <v>0</v>
      </c>
      <c r="K752" s="365">
        <f t="shared" si="209"/>
        <v>0</v>
      </c>
      <c r="L752" s="365">
        <f t="shared" si="209"/>
        <v>0</v>
      </c>
      <c r="M752" s="365">
        <f t="shared" si="209"/>
        <v>0</v>
      </c>
      <c r="N752" s="365">
        <f t="shared" si="209"/>
        <v>0</v>
      </c>
      <c r="O752" s="365">
        <f>SUM(O750:O751)</f>
        <v>0</v>
      </c>
      <c r="P752" s="365">
        <f>SUM(P750:P751)</f>
        <v>0</v>
      </c>
      <c r="Q752" s="365">
        <f>SUM(Q750:Q751)</f>
        <v>0</v>
      </c>
      <c r="R752" s="365">
        <f t="shared" si="203"/>
        <v>0</v>
      </c>
    </row>
    <row r="753" spans="1:18" s="336" customFormat="1" x14ac:dyDescent="0.2">
      <c r="A753" s="336" t="s">
        <v>1054</v>
      </c>
      <c r="B753" s="336" t="s">
        <v>1071</v>
      </c>
      <c r="D753" s="382">
        <v>87</v>
      </c>
      <c r="F753" s="447">
        <f>'JKP-3.1c - Data'!C191</f>
        <v>0</v>
      </c>
      <c r="G753" s="447">
        <f>'JKP-3.1c - Data'!D191</f>
        <v>70168.09</v>
      </c>
      <c r="H753" s="447">
        <f>'JKP-3.1c - Data'!E191</f>
        <v>0</v>
      </c>
      <c r="I753" s="447">
        <f>'JKP-3.1c - Data'!F191</f>
        <v>0</v>
      </c>
      <c r="J753" s="447">
        <f>'JKP-3.1c - Data'!G191</f>
        <v>0</v>
      </c>
      <c r="K753" s="447">
        <f>'JKP-3.1c - Data'!H191</f>
        <v>0</v>
      </c>
      <c r="L753" s="447">
        <f>'JKP-3.1c - Data'!I191</f>
        <v>0</v>
      </c>
      <c r="M753" s="447">
        <f>'JKP-3.1c - Data'!J191</f>
        <v>0</v>
      </c>
      <c r="N753" s="447">
        <f>'JKP-3.1c - Data'!K191</f>
        <v>0</v>
      </c>
      <c r="O753" s="447">
        <f>'JKP-3.1c - Data'!L191</f>
        <v>0</v>
      </c>
      <c r="P753" s="447">
        <f>'JKP-3.1c - Data'!M191</f>
        <v>0</v>
      </c>
      <c r="Q753" s="447">
        <f>'JKP-3.1c - Data'!N191</f>
        <v>0</v>
      </c>
      <c r="R753" s="437">
        <f t="shared" si="203"/>
        <v>70168.09</v>
      </c>
    </row>
    <row r="754" spans="1:18" x14ac:dyDescent="0.2">
      <c r="B754" s="32" t="s">
        <v>1079</v>
      </c>
      <c r="F754" s="365">
        <f t="shared" ref="F754:N754" si="210">F747+F751</f>
        <v>58520.884300000005</v>
      </c>
      <c r="G754" s="365">
        <f t="shared" si="210"/>
        <v>80612.395870000008</v>
      </c>
      <c r="H754" s="365">
        <f t="shared" si="210"/>
        <v>82705.371510000012</v>
      </c>
      <c r="I754" s="365">
        <f t="shared" si="210"/>
        <v>103549.89993</v>
      </c>
      <c r="J754" s="365">
        <f t="shared" si="210"/>
        <v>120693.29853000001</v>
      </c>
      <c r="K754" s="365">
        <f t="shared" si="210"/>
        <v>91476.86755000001</v>
      </c>
      <c r="L754" s="365">
        <f t="shared" si="210"/>
        <v>73375.702060000011</v>
      </c>
      <c r="M754" s="365">
        <f t="shared" si="210"/>
        <v>107220.29179</v>
      </c>
      <c r="N754" s="365">
        <f t="shared" si="210"/>
        <v>139883.56583000001</v>
      </c>
      <c r="O754" s="365">
        <f>O747+O751</f>
        <v>155341.26676</v>
      </c>
      <c r="P754" s="365">
        <f>P747+P751</f>
        <v>133226.29608</v>
      </c>
      <c r="Q754" s="365">
        <f>Q747+Q751</f>
        <v>89972.332730000009</v>
      </c>
      <c r="R754" s="365">
        <f>R747+R751</f>
        <v>1236578.17294</v>
      </c>
    </row>
    <row r="755" spans="1:18" x14ac:dyDescent="0.2">
      <c r="B755" s="32" t="s">
        <v>986</v>
      </c>
      <c r="F755" s="365">
        <f t="shared" ref="F755:N755" si="211">F738+F746+F748+F747+F752+F753</f>
        <v>66892.122400000007</v>
      </c>
      <c r="G755" s="365">
        <f t="shared" si="211"/>
        <v>160745.46848000001</v>
      </c>
      <c r="H755" s="365">
        <f t="shared" si="211"/>
        <v>93337.411040000006</v>
      </c>
      <c r="I755" s="365">
        <f t="shared" si="211"/>
        <v>114308.61472</v>
      </c>
      <c r="J755" s="365">
        <f t="shared" si="211"/>
        <v>132997.41912000001</v>
      </c>
      <c r="K755" s="365">
        <f t="shared" si="211"/>
        <v>102620.81520000001</v>
      </c>
      <c r="L755" s="365">
        <f t="shared" si="211"/>
        <v>82918.348240000007</v>
      </c>
      <c r="M755" s="365">
        <f t="shared" si="211"/>
        <v>118193.21216000001</v>
      </c>
      <c r="N755" s="365">
        <f t="shared" si="211"/>
        <v>153850.32052000001</v>
      </c>
      <c r="O755" s="365">
        <f>O738+O746+O748+O747+O752+O753</f>
        <v>169457.23543999999</v>
      </c>
      <c r="P755" s="365">
        <f>P738+P746+P748+P747+P752+P753</f>
        <v>146158.78704</v>
      </c>
      <c r="Q755" s="365">
        <f>Q738+Q746+Q748+Q747+Q752+Q753</f>
        <v>100794.70844000002</v>
      </c>
      <c r="R755" s="365">
        <f>R738+R746+R748+R747+R752+R753</f>
        <v>1442274.4628000001</v>
      </c>
    </row>
    <row r="756" spans="1:18" x14ac:dyDescent="0.2">
      <c r="C756" s="386"/>
      <c r="F756" s="364"/>
      <c r="G756" s="364"/>
      <c r="H756" s="364"/>
      <c r="I756" s="364"/>
      <c r="J756" s="364"/>
      <c r="K756" s="364"/>
      <c r="L756" s="364"/>
      <c r="N756" s="364"/>
      <c r="O756" s="364"/>
      <c r="P756" s="364"/>
      <c r="Q756" s="364"/>
      <c r="R756" s="341"/>
    </row>
    <row r="757" spans="1:18" x14ac:dyDescent="0.2">
      <c r="A757" s="32" t="s">
        <v>1058</v>
      </c>
      <c r="B757" s="32" t="s">
        <v>1050</v>
      </c>
      <c r="C757" s="386"/>
      <c r="F757" s="364">
        <f>F721*F733+F734*F722</f>
        <v>55993.543400000002</v>
      </c>
      <c r="G757" s="364">
        <f t="shared" ref="G757:Q757" si="212">G721*G733+G734*G722</f>
        <v>77130.989060000007</v>
      </c>
      <c r="H757" s="364">
        <f t="shared" si="212"/>
        <v>79133.575379999995</v>
      </c>
      <c r="I757" s="364">
        <f t="shared" si="212"/>
        <v>99077.891340000002</v>
      </c>
      <c r="J757" s="364">
        <f t="shared" si="212"/>
        <v>115480.91814000001</v>
      </c>
      <c r="K757" s="364">
        <f t="shared" si="212"/>
        <v>87526.256900000008</v>
      </c>
      <c r="L757" s="364">
        <f t="shared" si="212"/>
        <v>70206.826280000008</v>
      </c>
      <c r="M757" s="364">
        <f t="shared" si="212"/>
        <v>102589.77002</v>
      </c>
      <c r="N757" s="364">
        <f t="shared" si="212"/>
        <v>133842.41554000002</v>
      </c>
      <c r="O757" s="364">
        <f t="shared" si="212"/>
        <v>148632.54488</v>
      </c>
      <c r="P757" s="364">
        <f t="shared" si="212"/>
        <v>127465.02792000001</v>
      </c>
      <c r="Q757" s="364">
        <f t="shared" si="212"/>
        <v>86081.548770000009</v>
      </c>
      <c r="R757" s="341">
        <f>SUM(F757:Q757)</f>
        <v>1183161.3076299999</v>
      </c>
    </row>
    <row r="758" spans="1:18" x14ac:dyDescent="0.2">
      <c r="C758" s="386"/>
      <c r="F758" s="364"/>
      <c r="G758" s="364"/>
      <c r="H758" s="364"/>
      <c r="I758" s="364"/>
      <c r="J758" s="364"/>
      <c r="K758" s="364"/>
      <c r="L758" s="364"/>
      <c r="N758" s="364"/>
      <c r="O758" s="364"/>
      <c r="P758" s="364"/>
      <c r="Q758" s="364"/>
      <c r="R758" s="341"/>
    </row>
    <row r="759" spans="1:18" ht="13.5" thickBot="1" x14ac:dyDescent="0.25">
      <c r="B759" s="276" t="s">
        <v>1113</v>
      </c>
      <c r="M759" s="276" t="s">
        <v>304</v>
      </c>
    </row>
    <row r="760" spans="1:18" x14ac:dyDescent="0.2">
      <c r="B760" s="464" t="s">
        <v>5</v>
      </c>
      <c r="C760" s="465"/>
      <c r="D760" s="465"/>
      <c r="E760" s="465"/>
      <c r="F760" s="465"/>
      <c r="G760" s="465"/>
      <c r="H760" s="465"/>
      <c r="I760" s="465"/>
      <c r="J760" s="465"/>
      <c r="K760" s="465"/>
      <c r="L760" s="465"/>
      <c r="M760" s="465"/>
      <c r="N760" s="465"/>
      <c r="O760" s="465"/>
      <c r="P760" s="465"/>
      <c r="Q760" s="465"/>
      <c r="R760" s="466"/>
    </row>
    <row r="761" spans="1:18" x14ac:dyDescent="0.2">
      <c r="B761" s="281" t="s">
        <v>1059</v>
      </c>
      <c r="C761" s="390"/>
      <c r="D761" s="390">
        <v>99</v>
      </c>
      <c r="E761" s="390" t="s">
        <v>976</v>
      </c>
      <c r="F761" s="434">
        <v>871.85</v>
      </c>
      <c r="G761" s="434">
        <v>871.85</v>
      </c>
      <c r="H761" s="434">
        <v>871.85</v>
      </c>
      <c r="I761" s="434">
        <v>871.85</v>
      </c>
      <c r="J761" s="434">
        <v>871.85</v>
      </c>
      <c r="K761" s="434">
        <v>871.85</v>
      </c>
      <c r="L761" s="434">
        <v>871.85</v>
      </c>
      <c r="M761" s="434">
        <v>871.85</v>
      </c>
      <c r="N761" s="434">
        <v>871.85</v>
      </c>
      <c r="O761" s="434">
        <v>871.85</v>
      </c>
      <c r="P761" s="434">
        <v>871.85</v>
      </c>
      <c r="Q761" s="434">
        <v>871.85</v>
      </c>
      <c r="R761" s="467"/>
    </row>
    <row r="762" spans="1:18" x14ac:dyDescent="0.2">
      <c r="B762" s="281" t="s">
        <v>1114</v>
      </c>
      <c r="C762" s="390"/>
      <c r="D762" s="390"/>
      <c r="E762" s="390"/>
      <c r="F762" s="468"/>
      <c r="G762" s="468"/>
      <c r="H762" s="468"/>
      <c r="I762" s="468"/>
      <c r="J762" s="468"/>
      <c r="K762" s="468"/>
      <c r="L762" s="468"/>
      <c r="M762" s="468"/>
      <c r="N762" s="468"/>
      <c r="O762" s="468"/>
      <c r="P762" s="468"/>
      <c r="Q762" s="468"/>
      <c r="R762" s="469"/>
    </row>
    <row r="763" spans="1:18" x14ac:dyDescent="0.2">
      <c r="B763" s="281"/>
      <c r="C763" s="390" t="s">
        <v>1115</v>
      </c>
      <c r="D763" s="390">
        <v>99</v>
      </c>
      <c r="E763" s="390" t="s">
        <v>957</v>
      </c>
      <c r="F763" s="452">
        <v>0.10589</v>
      </c>
      <c r="G763" s="452">
        <v>0.10589</v>
      </c>
      <c r="H763" s="452">
        <v>0.10589</v>
      </c>
      <c r="I763" s="452">
        <v>0.10589</v>
      </c>
      <c r="J763" s="452">
        <v>0.10589</v>
      </c>
      <c r="K763" s="452">
        <v>0.10589</v>
      </c>
      <c r="L763" s="452">
        <v>0.10589</v>
      </c>
      <c r="M763" s="452">
        <v>0.10589</v>
      </c>
      <c r="N763" s="452">
        <v>0.10589</v>
      </c>
      <c r="O763" s="452">
        <v>0.10589</v>
      </c>
      <c r="P763" s="452">
        <v>0.10589</v>
      </c>
      <c r="Q763" s="452">
        <v>0.10589</v>
      </c>
      <c r="R763" s="470"/>
    </row>
    <row r="764" spans="1:18" x14ac:dyDescent="0.2">
      <c r="B764" s="281"/>
      <c r="C764" s="390" t="s">
        <v>1116</v>
      </c>
      <c r="D764" s="390">
        <v>99</v>
      </c>
      <c r="E764" s="390" t="s">
        <v>957</v>
      </c>
      <c r="F764" s="452">
        <v>5.7590000000000002E-2</v>
      </c>
      <c r="G764" s="452">
        <v>5.7590000000000002E-2</v>
      </c>
      <c r="H764" s="452">
        <v>5.7590000000000002E-2</v>
      </c>
      <c r="I764" s="452">
        <v>5.7590000000000002E-2</v>
      </c>
      <c r="J764" s="452">
        <v>5.7590000000000002E-2</v>
      </c>
      <c r="K764" s="452">
        <v>5.7590000000000002E-2</v>
      </c>
      <c r="L764" s="452">
        <v>5.7590000000000002E-2</v>
      </c>
      <c r="M764" s="452">
        <v>5.7590000000000002E-2</v>
      </c>
      <c r="N764" s="452">
        <v>5.7590000000000002E-2</v>
      </c>
      <c r="O764" s="452">
        <v>5.7590000000000002E-2</v>
      </c>
      <c r="P764" s="452">
        <v>5.7590000000000002E-2</v>
      </c>
      <c r="Q764" s="452">
        <v>5.7590000000000002E-2</v>
      </c>
      <c r="R764" s="470"/>
    </row>
    <row r="765" spans="1:18" x14ac:dyDescent="0.2">
      <c r="B765" s="281"/>
      <c r="C765" s="390" t="s">
        <v>1117</v>
      </c>
      <c r="D765" s="390">
        <v>99</v>
      </c>
      <c r="E765" s="390" t="s">
        <v>957</v>
      </c>
      <c r="F765" s="452">
        <v>3.4549999999999997E-2</v>
      </c>
      <c r="G765" s="452">
        <v>3.4549999999999997E-2</v>
      </c>
      <c r="H765" s="452">
        <v>3.4549999999999997E-2</v>
      </c>
      <c r="I765" s="452">
        <v>3.4549999999999997E-2</v>
      </c>
      <c r="J765" s="452">
        <v>3.4549999999999997E-2</v>
      </c>
      <c r="K765" s="452">
        <v>3.4549999999999997E-2</v>
      </c>
      <c r="L765" s="452">
        <v>3.4549999999999997E-2</v>
      </c>
      <c r="M765" s="452">
        <v>3.4549999999999997E-2</v>
      </c>
      <c r="N765" s="452">
        <v>3.4549999999999997E-2</v>
      </c>
      <c r="O765" s="452">
        <v>3.4549999999999997E-2</v>
      </c>
      <c r="P765" s="452">
        <v>3.4549999999999997E-2</v>
      </c>
      <c r="Q765" s="452">
        <v>3.4549999999999997E-2</v>
      </c>
      <c r="R765" s="470"/>
    </row>
    <row r="766" spans="1:18" x14ac:dyDescent="0.2">
      <c r="B766" s="281"/>
      <c r="C766" s="390" t="s">
        <v>19</v>
      </c>
      <c r="D766" s="390">
        <v>99</v>
      </c>
      <c r="E766" s="390" t="s">
        <v>957</v>
      </c>
      <c r="F766" s="452">
        <v>2.3040000000000001E-2</v>
      </c>
      <c r="G766" s="452">
        <v>2.3040000000000001E-2</v>
      </c>
      <c r="H766" s="452">
        <v>2.3040000000000001E-2</v>
      </c>
      <c r="I766" s="452">
        <v>2.3040000000000001E-2</v>
      </c>
      <c r="J766" s="452">
        <v>2.3040000000000001E-2</v>
      </c>
      <c r="K766" s="452">
        <v>2.3040000000000001E-2</v>
      </c>
      <c r="L766" s="452">
        <v>2.3040000000000001E-2</v>
      </c>
      <c r="M766" s="452">
        <v>2.3040000000000001E-2</v>
      </c>
      <c r="N766" s="452">
        <v>2.3040000000000001E-2</v>
      </c>
      <c r="O766" s="452">
        <v>2.3040000000000001E-2</v>
      </c>
      <c r="P766" s="452">
        <v>2.3040000000000001E-2</v>
      </c>
      <c r="Q766" s="452">
        <v>2.3040000000000001E-2</v>
      </c>
      <c r="R766" s="470"/>
    </row>
    <row r="767" spans="1:18" x14ac:dyDescent="0.2">
      <c r="B767" s="281"/>
      <c r="C767" s="390" t="s">
        <v>19</v>
      </c>
      <c r="D767" s="390">
        <v>99</v>
      </c>
      <c r="E767" s="390" t="s">
        <v>957</v>
      </c>
      <c r="F767" s="452">
        <v>1.728E-2</v>
      </c>
      <c r="G767" s="452">
        <v>1.728E-2</v>
      </c>
      <c r="H767" s="452">
        <v>1.728E-2</v>
      </c>
      <c r="I767" s="452">
        <v>1.728E-2</v>
      </c>
      <c r="J767" s="452">
        <v>1.728E-2</v>
      </c>
      <c r="K767" s="452">
        <v>1.728E-2</v>
      </c>
      <c r="L767" s="452">
        <v>1.728E-2</v>
      </c>
      <c r="M767" s="452">
        <v>1.728E-2</v>
      </c>
      <c r="N767" s="452">
        <v>1.728E-2</v>
      </c>
      <c r="O767" s="452">
        <v>1.728E-2</v>
      </c>
      <c r="P767" s="452">
        <v>1.728E-2</v>
      </c>
      <c r="Q767" s="452">
        <v>1.728E-2</v>
      </c>
      <c r="R767" s="470"/>
    </row>
    <row r="768" spans="1:18" x14ac:dyDescent="0.2">
      <c r="B768" s="281"/>
      <c r="C768" s="390" t="s">
        <v>1118</v>
      </c>
      <c r="D768" s="390">
        <v>99</v>
      </c>
      <c r="E768" s="390" t="s">
        <v>957</v>
      </c>
      <c r="F768" s="452">
        <v>1.1509999999999999E-2</v>
      </c>
      <c r="G768" s="452">
        <v>1.1509999999999999E-2</v>
      </c>
      <c r="H768" s="452">
        <v>1.1509999999999999E-2</v>
      </c>
      <c r="I768" s="452">
        <v>1.1509999999999999E-2</v>
      </c>
      <c r="J768" s="452">
        <v>1.1509999999999999E-2</v>
      </c>
      <c r="K768" s="452">
        <v>1.1509999999999999E-2</v>
      </c>
      <c r="L768" s="452">
        <v>1.1509999999999999E-2</v>
      </c>
      <c r="M768" s="452">
        <v>1.1509999999999999E-2</v>
      </c>
      <c r="N768" s="452">
        <v>1.1509999999999999E-2</v>
      </c>
      <c r="O768" s="452">
        <v>1.1509999999999999E-2</v>
      </c>
      <c r="P768" s="452">
        <v>1.1509999999999999E-2</v>
      </c>
      <c r="Q768" s="452">
        <v>1.1509999999999999E-2</v>
      </c>
      <c r="R768" s="470"/>
    </row>
    <row r="769" spans="1:18" x14ac:dyDescent="0.2">
      <c r="B769" s="281" t="s">
        <v>1069</v>
      </c>
      <c r="C769" s="390"/>
      <c r="D769" s="390">
        <v>99</v>
      </c>
      <c r="E769" s="390" t="s">
        <v>1119</v>
      </c>
      <c r="F769" s="434">
        <v>1.1100000000000001</v>
      </c>
      <c r="G769" s="434">
        <v>1.1100000000000001</v>
      </c>
      <c r="H769" s="434">
        <v>1.1100000000000001</v>
      </c>
      <c r="I769" s="434">
        <v>1.1100000000000001</v>
      </c>
      <c r="J769" s="434">
        <v>1.1100000000000001</v>
      </c>
      <c r="K769" s="434">
        <v>1.1100000000000001</v>
      </c>
      <c r="L769" s="434">
        <v>1.1100000000000001</v>
      </c>
      <c r="M769" s="434">
        <v>1.1100000000000001</v>
      </c>
      <c r="N769" s="434">
        <v>1.1100000000000001</v>
      </c>
      <c r="O769" s="434">
        <v>1.1100000000000001</v>
      </c>
      <c r="P769" s="434">
        <v>1.1100000000000001</v>
      </c>
      <c r="Q769" s="434">
        <v>1.1100000000000001</v>
      </c>
      <c r="R769" s="467"/>
    </row>
    <row r="770" spans="1:18" x14ac:dyDescent="0.2">
      <c r="B770" s="281"/>
      <c r="C770" s="390"/>
      <c r="D770" s="390"/>
      <c r="E770" s="390"/>
      <c r="F770" s="390"/>
      <c r="G770" s="390"/>
      <c r="H770" s="390"/>
      <c r="I770" s="390"/>
      <c r="J770" s="390"/>
      <c r="K770" s="390"/>
      <c r="L770" s="390"/>
      <c r="M770" s="390"/>
      <c r="N770" s="390"/>
      <c r="O770" s="390"/>
      <c r="P770" s="390"/>
      <c r="Q770" s="390"/>
      <c r="R770" s="469"/>
    </row>
    <row r="771" spans="1:18" x14ac:dyDescent="0.2">
      <c r="B771" s="471" t="s">
        <v>982</v>
      </c>
      <c r="C771" s="390"/>
      <c r="D771" s="390"/>
      <c r="E771" s="390"/>
      <c r="F771" s="390"/>
      <c r="G771" s="390"/>
      <c r="H771" s="390"/>
      <c r="I771" s="390"/>
      <c r="J771" s="390"/>
      <c r="K771" s="390"/>
      <c r="L771" s="390"/>
      <c r="M771" s="390"/>
      <c r="N771" s="390"/>
      <c r="O771" s="390"/>
      <c r="P771" s="390"/>
      <c r="Q771" s="390"/>
      <c r="R771" s="469"/>
    </row>
    <row r="772" spans="1:18" x14ac:dyDescent="0.2">
      <c r="B772" s="281" t="s">
        <v>67</v>
      </c>
      <c r="C772" s="390"/>
      <c r="D772" s="390"/>
      <c r="E772" s="390" t="s">
        <v>67</v>
      </c>
      <c r="F772" s="396">
        <f>'JKP-3.1c - Data'!C157</f>
        <v>12</v>
      </c>
      <c r="G772" s="396">
        <f>'JKP-3.1c - Data'!D157</f>
        <v>12</v>
      </c>
      <c r="H772" s="396">
        <f>'JKP-3.1c - Data'!E157</f>
        <v>12</v>
      </c>
      <c r="I772" s="396">
        <f>'JKP-3.1c - Data'!F157</f>
        <v>12</v>
      </c>
      <c r="J772" s="396">
        <f>'JKP-3.1c - Data'!G157</f>
        <v>12</v>
      </c>
      <c r="K772" s="396">
        <f>'JKP-3.1c - Data'!H157</f>
        <v>12</v>
      </c>
      <c r="L772" s="396">
        <f>'JKP-3.1c - Data'!I157</f>
        <v>12</v>
      </c>
      <c r="M772" s="396">
        <f>'JKP-3.1c - Data'!J157</f>
        <v>12</v>
      </c>
      <c r="N772" s="396">
        <f>'JKP-3.1c - Data'!K157</f>
        <v>12</v>
      </c>
      <c r="O772" s="396">
        <f>'JKP-3.1c - Data'!L157</f>
        <v>12</v>
      </c>
      <c r="P772" s="396">
        <f>'JKP-3.1c - Data'!M157</f>
        <v>12</v>
      </c>
      <c r="Q772" s="396">
        <f>'JKP-3.1c - Data'!N157</f>
        <v>12</v>
      </c>
      <c r="R772" s="472">
        <f>SUM(F772:Q772)</f>
        <v>144</v>
      </c>
    </row>
    <row r="773" spans="1:18" s="336" customFormat="1" x14ac:dyDescent="0.2">
      <c r="B773" s="473" t="s">
        <v>76</v>
      </c>
      <c r="C773" s="415"/>
      <c r="D773" s="415"/>
      <c r="E773" s="415"/>
      <c r="F773" s="474"/>
      <c r="G773" s="474"/>
      <c r="H773" s="474"/>
      <c r="I773" s="474"/>
      <c r="J773" s="474"/>
      <c r="K773" s="474"/>
      <c r="L773" s="474"/>
      <c r="M773" s="474"/>
      <c r="N773" s="474"/>
      <c r="O773" s="474"/>
      <c r="P773" s="474"/>
      <c r="Q773" s="474"/>
      <c r="R773" s="475"/>
    </row>
    <row r="774" spans="1:18" s="336" customFormat="1" x14ac:dyDescent="0.2">
      <c r="B774" s="473"/>
      <c r="C774" s="415" t="s">
        <v>1115</v>
      </c>
      <c r="D774" s="415"/>
      <c r="E774" s="415" t="s">
        <v>10</v>
      </c>
      <c r="F774" s="474">
        <v>253944</v>
      </c>
      <c r="G774" s="474">
        <v>249800</v>
      </c>
      <c r="H774" s="474">
        <v>250519</v>
      </c>
      <c r="I774" s="474">
        <v>234365</v>
      </c>
      <c r="J774" s="474">
        <v>226283</v>
      </c>
      <c r="K774" s="474">
        <v>218737</v>
      </c>
      <c r="L774" s="474">
        <v>213898</v>
      </c>
      <c r="M774" s="474">
        <v>209203</v>
      </c>
      <c r="N774" s="474">
        <v>218487</v>
      </c>
      <c r="O774" s="474">
        <v>246239</v>
      </c>
      <c r="P774" s="474">
        <v>273965</v>
      </c>
      <c r="Q774" s="474">
        <v>278558</v>
      </c>
      <c r="R774" s="475">
        <f t="shared" ref="R774:R779" si="213">SUM(F774:Q774)</f>
        <v>2873998</v>
      </c>
    </row>
    <row r="775" spans="1:18" s="336" customFormat="1" x14ac:dyDescent="0.2">
      <c r="B775" s="473"/>
      <c r="C775" s="415" t="s">
        <v>1116</v>
      </c>
      <c r="D775" s="415"/>
      <c r="E775" s="415" t="s">
        <v>10</v>
      </c>
      <c r="F775" s="474">
        <v>197864</v>
      </c>
      <c r="G775" s="474">
        <v>185146</v>
      </c>
      <c r="H775" s="474">
        <v>188435</v>
      </c>
      <c r="I775" s="474">
        <v>181809</v>
      </c>
      <c r="J775" s="474">
        <v>179508</v>
      </c>
      <c r="K775" s="474">
        <v>175904</v>
      </c>
      <c r="L775" s="474">
        <v>175227</v>
      </c>
      <c r="M775" s="474">
        <v>175000</v>
      </c>
      <c r="N775" s="474">
        <v>179824</v>
      </c>
      <c r="O775" s="474">
        <v>183783</v>
      </c>
      <c r="P775" s="474">
        <v>201836</v>
      </c>
      <c r="Q775" s="474">
        <v>206486</v>
      </c>
      <c r="R775" s="475">
        <f t="shared" si="213"/>
        <v>2230822</v>
      </c>
    </row>
    <row r="776" spans="1:18" s="336" customFormat="1" x14ac:dyDescent="0.2">
      <c r="B776" s="473"/>
      <c r="C776" s="415" t="s">
        <v>1117</v>
      </c>
      <c r="D776" s="415"/>
      <c r="E776" s="415" t="s">
        <v>10</v>
      </c>
      <c r="F776" s="474">
        <v>350000</v>
      </c>
      <c r="G776" s="474">
        <v>350000</v>
      </c>
      <c r="H776" s="474">
        <v>350000</v>
      </c>
      <c r="I776" s="474">
        <v>350000</v>
      </c>
      <c r="J776" s="474">
        <v>350000</v>
      </c>
      <c r="K776" s="474">
        <v>350000</v>
      </c>
      <c r="L776" s="474">
        <v>350000</v>
      </c>
      <c r="M776" s="474">
        <v>350000</v>
      </c>
      <c r="N776" s="474">
        <v>350000</v>
      </c>
      <c r="O776" s="474">
        <v>350000</v>
      </c>
      <c r="P776" s="474">
        <v>350000</v>
      </c>
      <c r="Q776" s="474">
        <v>350000</v>
      </c>
      <c r="R776" s="475">
        <f t="shared" si="213"/>
        <v>4200000</v>
      </c>
    </row>
    <row r="777" spans="1:18" s="336" customFormat="1" x14ac:dyDescent="0.2">
      <c r="B777" s="473"/>
      <c r="C777" s="415" t="s">
        <v>19</v>
      </c>
      <c r="D777" s="415"/>
      <c r="E777" s="415" t="s">
        <v>10</v>
      </c>
      <c r="F777" s="474">
        <v>700000</v>
      </c>
      <c r="G777" s="474">
        <v>700000</v>
      </c>
      <c r="H777" s="474">
        <v>700000</v>
      </c>
      <c r="I777" s="474">
        <v>696980</v>
      </c>
      <c r="J777" s="474">
        <v>666126</v>
      </c>
      <c r="K777" s="474">
        <v>557195</v>
      </c>
      <c r="L777" s="474">
        <v>534767</v>
      </c>
      <c r="M777" s="474">
        <v>530991</v>
      </c>
      <c r="N777" s="474">
        <v>528511</v>
      </c>
      <c r="O777" s="474">
        <v>665130</v>
      </c>
      <c r="P777" s="474">
        <v>700000</v>
      </c>
      <c r="Q777" s="474">
        <v>700000</v>
      </c>
      <c r="R777" s="475">
        <f t="shared" si="213"/>
        <v>7679700</v>
      </c>
    </row>
    <row r="778" spans="1:18" s="336" customFormat="1" x14ac:dyDescent="0.2">
      <c r="B778" s="473"/>
      <c r="C778" s="415" t="s">
        <v>19</v>
      </c>
      <c r="D778" s="415"/>
      <c r="E778" s="415" t="s">
        <v>10</v>
      </c>
      <c r="F778" s="474">
        <v>615370</v>
      </c>
      <c r="G778" s="474">
        <v>566730</v>
      </c>
      <c r="H778" s="474">
        <v>589922</v>
      </c>
      <c r="I778" s="474">
        <v>528306</v>
      </c>
      <c r="J778" s="474">
        <v>422363</v>
      </c>
      <c r="K778" s="474">
        <v>227236</v>
      </c>
      <c r="L778" s="474">
        <v>220738</v>
      </c>
      <c r="M778" s="474">
        <v>209152</v>
      </c>
      <c r="N778" s="474">
        <v>229727</v>
      </c>
      <c r="O778" s="474">
        <v>446093</v>
      </c>
      <c r="P778" s="474">
        <v>566263</v>
      </c>
      <c r="Q778" s="474">
        <v>580481</v>
      </c>
      <c r="R778" s="475">
        <f t="shared" si="213"/>
        <v>5202381</v>
      </c>
    </row>
    <row r="779" spans="1:18" s="336" customFormat="1" x14ac:dyDescent="0.2">
      <c r="B779" s="473"/>
      <c r="C779" s="415" t="s">
        <v>1118</v>
      </c>
      <c r="D779" s="415"/>
      <c r="E779" s="415" t="s">
        <v>10</v>
      </c>
      <c r="F779" s="476">
        <f t="shared" ref="F779:N779" si="214">F780-SUM(F774:F778)</f>
        <v>1399932</v>
      </c>
      <c r="G779" s="476">
        <f t="shared" si="214"/>
        <v>1296321</v>
      </c>
      <c r="H779" s="476">
        <f t="shared" si="214"/>
        <v>1575585</v>
      </c>
      <c r="I779" s="476">
        <f t="shared" si="214"/>
        <v>1246739</v>
      </c>
      <c r="J779" s="476">
        <f t="shared" si="214"/>
        <v>961425</v>
      </c>
      <c r="K779" s="476">
        <f t="shared" si="214"/>
        <v>687096</v>
      </c>
      <c r="L779" s="476">
        <f t="shared" si="214"/>
        <v>512163</v>
      </c>
      <c r="M779" s="476">
        <f t="shared" si="214"/>
        <v>467496</v>
      </c>
      <c r="N779" s="476">
        <f t="shared" si="214"/>
        <v>472858</v>
      </c>
      <c r="O779" s="476">
        <f>O780-SUM(O774:O778)</f>
        <v>896132</v>
      </c>
      <c r="P779" s="476">
        <f>P780-SUM(P774:P778)</f>
        <v>1749972</v>
      </c>
      <c r="Q779" s="476">
        <f>Q780-SUM(Q774:Q778)</f>
        <v>1756019</v>
      </c>
      <c r="R779" s="475">
        <f t="shared" si="213"/>
        <v>13021738</v>
      </c>
    </row>
    <row r="780" spans="1:18" s="336" customFormat="1" x14ac:dyDescent="0.2">
      <c r="B780" s="473"/>
      <c r="C780" s="415" t="s">
        <v>1075</v>
      </c>
      <c r="D780" s="415"/>
      <c r="E780" s="415" t="s">
        <v>10</v>
      </c>
      <c r="F780" s="445">
        <f>'JKP-3.1c - Therms Data'!E96</f>
        <v>3517110</v>
      </c>
      <c r="G780" s="445">
        <f>'JKP-3.1c - Therms Data'!F96</f>
        <v>3347997</v>
      </c>
      <c r="H780" s="445">
        <f>'JKP-3.1c - Therms Data'!G96</f>
        <v>3654461</v>
      </c>
      <c r="I780" s="445">
        <f>'JKP-3.1c - Therms Data'!H96</f>
        <v>3238199</v>
      </c>
      <c r="J780" s="445">
        <f>'JKP-3.1c - Therms Data'!I96</f>
        <v>2805705</v>
      </c>
      <c r="K780" s="445">
        <f>'JKP-3.1c - Therms Data'!J96</f>
        <v>2216168</v>
      </c>
      <c r="L780" s="445">
        <f>'JKP-3.1c - Therms Data'!K96</f>
        <v>2006793</v>
      </c>
      <c r="M780" s="445">
        <f>'JKP-3.1c - Therms Data'!L96</f>
        <v>1941842</v>
      </c>
      <c r="N780" s="445">
        <f>'JKP-3.1c - Therms Data'!M96</f>
        <v>1979407</v>
      </c>
      <c r="O780" s="445">
        <f>'JKP-3.1c - Therms Data'!N96</f>
        <v>2787377</v>
      </c>
      <c r="P780" s="445">
        <f>'JKP-3.1c - Therms Data'!O96</f>
        <v>3842036</v>
      </c>
      <c r="Q780" s="445">
        <f>'JKP-3.1c - Therms Data'!P96</f>
        <v>3871544</v>
      </c>
      <c r="R780" s="477">
        <f>SUM(R774:R779)</f>
        <v>35208639</v>
      </c>
    </row>
    <row r="781" spans="1:18" s="336" customFormat="1" x14ac:dyDescent="0.2">
      <c r="B781" s="473" t="s">
        <v>74</v>
      </c>
      <c r="C781" s="415"/>
      <c r="D781" s="415"/>
      <c r="E781" s="415" t="s">
        <v>1076</v>
      </c>
      <c r="F781" s="478">
        <f>'JKP-3.1c - Data'!C177</f>
        <v>38483</v>
      </c>
      <c r="G781" s="478">
        <f>'JKP-3.1c - Data'!D177</f>
        <v>38483</v>
      </c>
      <c r="H781" s="478">
        <f>'JKP-3.1c - Data'!E177</f>
        <v>38483</v>
      </c>
      <c r="I781" s="478">
        <f>'JKP-3.1c - Data'!F177</f>
        <v>38483</v>
      </c>
      <c r="J781" s="478">
        <f>'JKP-3.1c - Data'!G177</f>
        <v>38483</v>
      </c>
      <c r="K781" s="478">
        <f>'JKP-3.1c - Data'!H177</f>
        <v>38483</v>
      </c>
      <c r="L781" s="478">
        <f>'JKP-3.1c - Data'!I177</f>
        <v>38483</v>
      </c>
      <c r="M781" s="478">
        <f>'JKP-3.1c - Data'!J177</f>
        <v>38483</v>
      </c>
      <c r="N781" s="478">
        <f>'JKP-3.1c - Data'!K177</f>
        <v>38483</v>
      </c>
      <c r="O781" s="478">
        <f>'JKP-3.1c - Data'!L177</f>
        <v>38483</v>
      </c>
      <c r="P781" s="478">
        <f>'JKP-3.1c - Data'!M177</f>
        <v>38483</v>
      </c>
      <c r="Q781" s="478">
        <f>'JKP-3.1c - Data'!N177</f>
        <v>38483</v>
      </c>
      <c r="R781" s="472">
        <f>SUM(F781:Q781)</f>
        <v>461796</v>
      </c>
    </row>
    <row r="782" spans="1:18" x14ac:dyDescent="0.2">
      <c r="B782" s="281"/>
      <c r="C782" s="390"/>
      <c r="D782" s="390"/>
      <c r="E782" s="390"/>
      <c r="F782" s="390"/>
      <c r="G782" s="390"/>
      <c r="H782" s="390"/>
      <c r="I782" s="390"/>
      <c r="J782" s="390"/>
      <c r="K782" s="390"/>
      <c r="L782" s="390"/>
      <c r="M782" s="390"/>
      <c r="N782" s="390"/>
      <c r="O782" s="390"/>
      <c r="P782" s="390"/>
      <c r="Q782" s="390"/>
      <c r="R782" s="469"/>
    </row>
    <row r="783" spans="1:18" x14ac:dyDescent="0.2">
      <c r="B783" s="471" t="s">
        <v>985</v>
      </c>
      <c r="C783" s="390"/>
      <c r="D783" s="390"/>
      <c r="E783" s="390"/>
      <c r="F783" s="390"/>
      <c r="G783" s="390"/>
      <c r="H783" s="390"/>
      <c r="I783" s="390"/>
      <c r="J783" s="390"/>
      <c r="K783" s="390"/>
      <c r="L783" s="390"/>
      <c r="M783" s="390"/>
      <c r="N783" s="390"/>
      <c r="O783" s="390"/>
      <c r="P783" s="390"/>
      <c r="Q783" s="390"/>
      <c r="R783" s="469"/>
    </row>
    <row r="784" spans="1:18" x14ac:dyDescent="0.2">
      <c r="A784" s="32" t="s">
        <v>1054</v>
      </c>
      <c r="B784" s="281" t="s">
        <v>1059</v>
      </c>
      <c r="C784" s="390"/>
      <c r="D784" s="390">
        <v>99</v>
      </c>
      <c r="E784" s="390"/>
      <c r="F784" s="417">
        <f t="shared" ref="F784:N784" si="215">F761*F772</f>
        <v>10462.200000000001</v>
      </c>
      <c r="G784" s="417">
        <f t="shared" si="215"/>
        <v>10462.200000000001</v>
      </c>
      <c r="H784" s="417">
        <f t="shared" si="215"/>
        <v>10462.200000000001</v>
      </c>
      <c r="I784" s="417">
        <f t="shared" si="215"/>
        <v>10462.200000000001</v>
      </c>
      <c r="J784" s="417">
        <f t="shared" si="215"/>
        <v>10462.200000000001</v>
      </c>
      <c r="K784" s="417">
        <f t="shared" si="215"/>
        <v>10462.200000000001</v>
      </c>
      <c r="L784" s="417">
        <f t="shared" si="215"/>
        <v>10462.200000000001</v>
      </c>
      <c r="M784" s="417">
        <f t="shared" si="215"/>
        <v>10462.200000000001</v>
      </c>
      <c r="N784" s="417">
        <f t="shared" si="215"/>
        <v>10462.200000000001</v>
      </c>
      <c r="O784" s="417">
        <f>O761*O772</f>
        <v>10462.200000000001</v>
      </c>
      <c r="P784" s="417">
        <f>P761*P772</f>
        <v>10462.200000000001</v>
      </c>
      <c r="Q784" s="417">
        <f>Q761*Q772</f>
        <v>10462.200000000001</v>
      </c>
      <c r="R784" s="479">
        <f>SUM(F784:Q784)</f>
        <v>125546.39999999998</v>
      </c>
    </row>
    <row r="785" spans="1:18" x14ac:dyDescent="0.2">
      <c r="B785" s="281" t="s">
        <v>1114</v>
      </c>
      <c r="C785" s="390"/>
      <c r="D785" s="390"/>
      <c r="E785" s="390"/>
      <c r="F785" s="417"/>
      <c r="G785" s="417"/>
      <c r="H785" s="417"/>
      <c r="I785" s="417"/>
      <c r="J785" s="417"/>
      <c r="K785" s="417"/>
      <c r="L785" s="417"/>
      <c r="M785" s="417"/>
      <c r="N785" s="417"/>
      <c r="O785" s="417"/>
      <c r="P785" s="417"/>
      <c r="Q785" s="417"/>
      <c r="R785" s="479"/>
    </row>
    <row r="786" spans="1:18" x14ac:dyDescent="0.2">
      <c r="B786" s="281"/>
      <c r="C786" s="390" t="s">
        <v>1115</v>
      </c>
      <c r="D786" s="390">
        <v>99</v>
      </c>
      <c r="E786" s="390"/>
      <c r="F786" s="417">
        <f t="shared" ref="F786:Q791" si="216">F774*F763</f>
        <v>26890.130160000001</v>
      </c>
      <c r="G786" s="417">
        <f t="shared" si="216"/>
        <v>26451.322</v>
      </c>
      <c r="H786" s="417">
        <f t="shared" si="216"/>
        <v>26527.456910000001</v>
      </c>
      <c r="I786" s="417">
        <f t="shared" si="216"/>
        <v>24816.90985</v>
      </c>
      <c r="J786" s="417">
        <f t="shared" si="216"/>
        <v>23961.10687</v>
      </c>
      <c r="K786" s="417">
        <f t="shared" si="216"/>
        <v>23162.06093</v>
      </c>
      <c r="L786" s="417">
        <f t="shared" si="216"/>
        <v>22649.659220000001</v>
      </c>
      <c r="M786" s="417">
        <f t="shared" si="216"/>
        <v>22152.505669999999</v>
      </c>
      <c r="N786" s="417">
        <f t="shared" si="216"/>
        <v>23135.58843</v>
      </c>
      <c r="O786" s="417">
        <f t="shared" si="216"/>
        <v>26074.24771</v>
      </c>
      <c r="P786" s="417">
        <f t="shared" si="216"/>
        <v>29010.153849999999</v>
      </c>
      <c r="Q786" s="417">
        <f t="shared" si="216"/>
        <v>29496.50662</v>
      </c>
      <c r="R786" s="479">
        <f t="shared" ref="R786:R791" si="217">SUM(F786:Q786)</f>
        <v>304327.64821999997</v>
      </c>
    </row>
    <row r="787" spans="1:18" x14ac:dyDescent="0.2">
      <c r="B787" s="281"/>
      <c r="C787" s="390" t="s">
        <v>1116</v>
      </c>
      <c r="D787" s="390">
        <v>99</v>
      </c>
      <c r="E787" s="390"/>
      <c r="F787" s="417">
        <f t="shared" si="216"/>
        <v>11394.98776</v>
      </c>
      <c r="G787" s="417">
        <f t="shared" si="216"/>
        <v>10662.558140000001</v>
      </c>
      <c r="H787" s="417">
        <f t="shared" si="216"/>
        <v>10851.971650000001</v>
      </c>
      <c r="I787" s="417">
        <f t="shared" si="216"/>
        <v>10470.38031</v>
      </c>
      <c r="J787" s="417">
        <f t="shared" si="216"/>
        <v>10337.86572</v>
      </c>
      <c r="K787" s="417">
        <f t="shared" si="216"/>
        <v>10130.31136</v>
      </c>
      <c r="L787" s="417">
        <f t="shared" si="216"/>
        <v>10091.32293</v>
      </c>
      <c r="M787" s="417">
        <f t="shared" si="216"/>
        <v>10078.25</v>
      </c>
      <c r="N787" s="417">
        <f t="shared" si="216"/>
        <v>10356.06416</v>
      </c>
      <c r="O787" s="417">
        <f t="shared" si="216"/>
        <v>10584.062970000001</v>
      </c>
      <c r="P787" s="417">
        <f t="shared" si="216"/>
        <v>11623.73524</v>
      </c>
      <c r="Q787" s="417">
        <f t="shared" si="216"/>
        <v>11891.52874</v>
      </c>
      <c r="R787" s="479">
        <f t="shared" si="217"/>
        <v>128473.03897999998</v>
      </c>
    </row>
    <row r="788" spans="1:18" x14ac:dyDescent="0.2">
      <c r="B788" s="281"/>
      <c r="C788" s="390" t="s">
        <v>1117</v>
      </c>
      <c r="D788" s="390">
        <v>99</v>
      </c>
      <c r="E788" s="390"/>
      <c r="F788" s="417">
        <f t="shared" si="216"/>
        <v>12092.499999999998</v>
      </c>
      <c r="G788" s="417">
        <f t="shared" si="216"/>
        <v>12092.499999999998</v>
      </c>
      <c r="H788" s="417">
        <f t="shared" si="216"/>
        <v>12092.499999999998</v>
      </c>
      <c r="I788" s="417">
        <f t="shared" si="216"/>
        <v>12092.499999999998</v>
      </c>
      <c r="J788" s="417">
        <f t="shared" si="216"/>
        <v>12092.499999999998</v>
      </c>
      <c r="K788" s="417">
        <f t="shared" si="216"/>
        <v>12092.499999999998</v>
      </c>
      <c r="L788" s="417">
        <f t="shared" si="216"/>
        <v>12092.499999999998</v>
      </c>
      <c r="M788" s="417">
        <f t="shared" si="216"/>
        <v>12092.499999999998</v>
      </c>
      <c r="N788" s="417">
        <f t="shared" si="216"/>
        <v>12092.499999999998</v>
      </c>
      <c r="O788" s="417">
        <f t="shared" si="216"/>
        <v>12092.499999999998</v>
      </c>
      <c r="P788" s="417">
        <f t="shared" si="216"/>
        <v>12092.499999999998</v>
      </c>
      <c r="Q788" s="417">
        <f t="shared" si="216"/>
        <v>12092.499999999998</v>
      </c>
      <c r="R788" s="479">
        <f t="shared" si="217"/>
        <v>145109.99999999997</v>
      </c>
    </row>
    <row r="789" spans="1:18" x14ac:dyDescent="0.2">
      <c r="B789" s="281"/>
      <c r="C789" s="390" t="s">
        <v>19</v>
      </c>
      <c r="D789" s="390">
        <v>99</v>
      </c>
      <c r="E789" s="390"/>
      <c r="F789" s="417">
        <f t="shared" si="216"/>
        <v>16128.000000000002</v>
      </c>
      <c r="G789" s="417">
        <f t="shared" si="216"/>
        <v>16128.000000000002</v>
      </c>
      <c r="H789" s="417">
        <f t="shared" si="216"/>
        <v>16128.000000000002</v>
      </c>
      <c r="I789" s="417">
        <f t="shared" si="216"/>
        <v>16058.4192</v>
      </c>
      <c r="J789" s="417">
        <f t="shared" si="216"/>
        <v>15347.54304</v>
      </c>
      <c r="K789" s="417">
        <f t="shared" si="216"/>
        <v>12837.772800000001</v>
      </c>
      <c r="L789" s="417">
        <f t="shared" si="216"/>
        <v>12321.03168</v>
      </c>
      <c r="M789" s="417">
        <f t="shared" si="216"/>
        <v>12234.032640000001</v>
      </c>
      <c r="N789" s="417">
        <f t="shared" si="216"/>
        <v>12176.893440000002</v>
      </c>
      <c r="O789" s="417">
        <f t="shared" si="216"/>
        <v>15324.595200000002</v>
      </c>
      <c r="P789" s="417">
        <f t="shared" si="216"/>
        <v>16128.000000000002</v>
      </c>
      <c r="Q789" s="417">
        <f t="shared" si="216"/>
        <v>16128.000000000002</v>
      </c>
      <c r="R789" s="479">
        <f t="shared" si="217"/>
        <v>176940.28800000003</v>
      </c>
    </row>
    <row r="790" spans="1:18" x14ac:dyDescent="0.2">
      <c r="B790" s="281"/>
      <c r="C790" s="390" t="s">
        <v>19</v>
      </c>
      <c r="D790" s="390">
        <v>99</v>
      </c>
      <c r="E790" s="390"/>
      <c r="F790" s="417">
        <f t="shared" si="216"/>
        <v>10633.5936</v>
      </c>
      <c r="G790" s="417">
        <f t="shared" si="216"/>
        <v>9793.0944</v>
      </c>
      <c r="H790" s="417">
        <f t="shared" si="216"/>
        <v>10193.85216</v>
      </c>
      <c r="I790" s="417">
        <f t="shared" si="216"/>
        <v>9129.1276799999996</v>
      </c>
      <c r="J790" s="417">
        <f t="shared" si="216"/>
        <v>7298.43264</v>
      </c>
      <c r="K790" s="417">
        <f t="shared" si="216"/>
        <v>3926.6380800000002</v>
      </c>
      <c r="L790" s="417">
        <f t="shared" si="216"/>
        <v>3814.3526400000001</v>
      </c>
      <c r="M790" s="417">
        <f t="shared" si="216"/>
        <v>3614.1465600000001</v>
      </c>
      <c r="N790" s="417">
        <f t="shared" si="216"/>
        <v>3969.6825600000002</v>
      </c>
      <c r="O790" s="417">
        <f t="shared" si="216"/>
        <v>7708.48704</v>
      </c>
      <c r="P790" s="417">
        <f t="shared" si="216"/>
        <v>9785.0246399999996</v>
      </c>
      <c r="Q790" s="417">
        <f t="shared" si="216"/>
        <v>10030.71168</v>
      </c>
      <c r="R790" s="479">
        <f t="shared" si="217"/>
        <v>89897.143680000008</v>
      </c>
    </row>
    <row r="791" spans="1:18" x14ac:dyDescent="0.2">
      <c r="B791" s="281"/>
      <c r="C791" s="390" t="s">
        <v>1118</v>
      </c>
      <c r="D791" s="390">
        <v>99</v>
      </c>
      <c r="E791" s="390"/>
      <c r="F791" s="417">
        <f t="shared" si="216"/>
        <v>16113.21732</v>
      </c>
      <c r="G791" s="417">
        <f t="shared" si="216"/>
        <v>14920.654709999999</v>
      </c>
      <c r="H791" s="417">
        <f t="shared" si="216"/>
        <v>18134.983349999999</v>
      </c>
      <c r="I791" s="417">
        <f t="shared" si="216"/>
        <v>14349.965889999999</v>
      </c>
      <c r="J791" s="417">
        <f t="shared" si="216"/>
        <v>11066.001749999999</v>
      </c>
      <c r="K791" s="417">
        <f t="shared" si="216"/>
        <v>7908.4749599999996</v>
      </c>
      <c r="L791" s="417">
        <f t="shared" si="216"/>
        <v>5894.9961299999995</v>
      </c>
      <c r="M791" s="417">
        <f t="shared" si="216"/>
        <v>5380.87896</v>
      </c>
      <c r="N791" s="417">
        <f t="shared" si="216"/>
        <v>5442.5955800000002</v>
      </c>
      <c r="O791" s="417">
        <f t="shared" si="216"/>
        <v>10314.479319999999</v>
      </c>
      <c r="P791" s="417">
        <f t="shared" si="216"/>
        <v>20142.17772</v>
      </c>
      <c r="Q791" s="417">
        <f t="shared" si="216"/>
        <v>20211.778689999999</v>
      </c>
      <c r="R791" s="479">
        <f t="shared" si="217"/>
        <v>149880.20438000001</v>
      </c>
    </row>
    <row r="792" spans="1:18" x14ac:dyDescent="0.2">
      <c r="A792" s="32" t="s">
        <v>1054</v>
      </c>
      <c r="B792" s="281"/>
      <c r="C792" s="390" t="s">
        <v>1120</v>
      </c>
      <c r="D792" s="390">
        <v>99</v>
      </c>
      <c r="E792" s="390"/>
      <c r="F792" s="365">
        <f t="shared" ref="F792:N792" si="218">SUM(F786:F791)</f>
        <v>93252.428840000008</v>
      </c>
      <c r="G792" s="365">
        <f t="shared" si="218"/>
        <v>90048.129249999998</v>
      </c>
      <c r="H792" s="365">
        <f t="shared" si="218"/>
        <v>93928.76406999999</v>
      </c>
      <c r="I792" s="365">
        <f t="shared" si="218"/>
        <v>86917.302930000005</v>
      </c>
      <c r="J792" s="365">
        <f t="shared" si="218"/>
        <v>80103.450019999989</v>
      </c>
      <c r="K792" s="365">
        <f t="shared" si="218"/>
        <v>70057.758130000002</v>
      </c>
      <c r="L792" s="365">
        <f t="shared" si="218"/>
        <v>66863.862599999993</v>
      </c>
      <c r="M792" s="365">
        <f t="shared" si="218"/>
        <v>65552.313829999999</v>
      </c>
      <c r="N792" s="365">
        <f t="shared" si="218"/>
        <v>67173.324169999993</v>
      </c>
      <c r="O792" s="365">
        <f>SUM(O786:O791)</f>
        <v>82098.372240000012</v>
      </c>
      <c r="P792" s="365">
        <f>SUM(P786:P791)</f>
        <v>98781.591450000007</v>
      </c>
      <c r="Q792" s="365">
        <f>SUM(Q786:Q791)</f>
        <v>99851.025730000023</v>
      </c>
      <c r="R792" s="480">
        <f>SUM(R786:R791)</f>
        <v>994628.32325999998</v>
      </c>
    </row>
    <row r="793" spans="1:18" x14ac:dyDescent="0.2">
      <c r="A793" s="32" t="s">
        <v>1054</v>
      </c>
      <c r="B793" s="281" t="s">
        <v>1069</v>
      </c>
      <c r="C793" s="390"/>
      <c r="D793" s="390">
        <v>99</v>
      </c>
      <c r="E793" s="390"/>
      <c r="F793" s="417">
        <f t="shared" ref="F793:M793" si="219">F769*F781</f>
        <v>42716.130000000005</v>
      </c>
      <c r="G793" s="417">
        <f t="shared" si="219"/>
        <v>42716.130000000005</v>
      </c>
      <c r="H793" s="417">
        <f t="shared" si="219"/>
        <v>42716.130000000005</v>
      </c>
      <c r="I793" s="417">
        <f t="shared" si="219"/>
        <v>42716.130000000005</v>
      </c>
      <c r="J793" s="417">
        <f t="shared" si="219"/>
        <v>42716.130000000005</v>
      </c>
      <c r="K793" s="417">
        <f t="shared" si="219"/>
        <v>42716.130000000005</v>
      </c>
      <c r="L793" s="417">
        <f t="shared" si="219"/>
        <v>42716.130000000005</v>
      </c>
      <c r="M793" s="417">
        <f t="shared" si="219"/>
        <v>42716.130000000005</v>
      </c>
      <c r="N793" s="417">
        <f>N769*N781</f>
        <v>42716.130000000005</v>
      </c>
      <c r="O793" s="417">
        <f>O769*O781</f>
        <v>42716.130000000005</v>
      </c>
      <c r="P793" s="417">
        <f>P769*P781</f>
        <v>42716.130000000005</v>
      </c>
      <c r="Q793" s="417">
        <f>Q769*Q781</f>
        <v>42716.130000000005</v>
      </c>
      <c r="R793" s="479">
        <f>SUM(F793:Q793)</f>
        <v>512593.56000000006</v>
      </c>
    </row>
    <row r="794" spans="1:18" ht="13.5" thickBot="1" x14ac:dyDescent="0.25">
      <c r="B794" s="481" t="s">
        <v>986</v>
      </c>
      <c r="C794" s="482"/>
      <c r="D794" s="482"/>
      <c r="E794" s="482"/>
      <c r="F794" s="483">
        <f t="shared" ref="F794:N794" si="220">F784+F792+F793</f>
        <v>146430.75884000002</v>
      </c>
      <c r="G794" s="483">
        <f t="shared" si="220"/>
        <v>143226.45925000001</v>
      </c>
      <c r="H794" s="483">
        <f t="shared" si="220"/>
        <v>147107.09406999999</v>
      </c>
      <c r="I794" s="483">
        <f t="shared" si="220"/>
        <v>140095.63293000002</v>
      </c>
      <c r="J794" s="483">
        <f t="shared" si="220"/>
        <v>133281.78002000001</v>
      </c>
      <c r="K794" s="483">
        <f t="shared" si="220"/>
        <v>123236.08813</v>
      </c>
      <c r="L794" s="483">
        <f t="shared" si="220"/>
        <v>120042.19259999999</v>
      </c>
      <c r="M794" s="483">
        <f t="shared" si="220"/>
        <v>118730.64383</v>
      </c>
      <c r="N794" s="483">
        <f t="shared" si="220"/>
        <v>120351.65416999999</v>
      </c>
      <c r="O794" s="483">
        <f>O784+O792+O793</f>
        <v>135276.70224000001</v>
      </c>
      <c r="P794" s="483">
        <f>P784+P792+P793</f>
        <v>151959.92145000002</v>
      </c>
      <c r="Q794" s="483">
        <f>Q784+Q792+Q793</f>
        <v>153029.35573000001</v>
      </c>
      <c r="R794" s="484">
        <f>R784+R792+R793</f>
        <v>1632768.2832599999</v>
      </c>
    </row>
    <row r="795" spans="1:18" x14ac:dyDescent="0.2">
      <c r="F795" s="364"/>
      <c r="G795" s="364"/>
      <c r="H795" s="364"/>
      <c r="I795" s="364"/>
      <c r="J795" s="364"/>
      <c r="K795" s="364"/>
      <c r="L795" s="364"/>
      <c r="M795" s="364"/>
      <c r="N795" s="364"/>
      <c r="O795" s="364"/>
      <c r="P795" s="364"/>
      <c r="Q795" s="364"/>
      <c r="R795" s="364"/>
    </row>
    <row r="796" spans="1:18" x14ac:dyDescent="0.2">
      <c r="B796" s="276" t="s">
        <v>1001</v>
      </c>
    </row>
    <row r="797" spans="1:18" x14ac:dyDescent="0.2">
      <c r="B797" s="276" t="s">
        <v>1002</v>
      </c>
    </row>
    <row r="798" spans="1:18" x14ac:dyDescent="0.2">
      <c r="B798" s="277" t="s">
        <v>9</v>
      </c>
      <c r="D798" s="32">
        <v>16</v>
      </c>
      <c r="F798" s="279">
        <f>F14</f>
        <v>54</v>
      </c>
      <c r="G798" s="279">
        <f t="shared" ref="G798:Q798" si="221">G14</f>
        <v>54</v>
      </c>
      <c r="H798" s="279">
        <f t="shared" si="221"/>
        <v>54</v>
      </c>
      <c r="I798" s="279">
        <f t="shared" si="221"/>
        <v>54</v>
      </c>
      <c r="J798" s="279">
        <f t="shared" si="221"/>
        <v>53.999999999999993</v>
      </c>
      <c r="K798" s="279">
        <f t="shared" si="221"/>
        <v>54</v>
      </c>
      <c r="L798" s="279">
        <f t="shared" si="221"/>
        <v>53</v>
      </c>
      <c r="M798" s="279">
        <f t="shared" si="221"/>
        <v>53</v>
      </c>
      <c r="N798" s="279">
        <f t="shared" si="221"/>
        <v>53</v>
      </c>
      <c r="O798" s="279">
        <f t="shared" si="221"/>
        <v>53</v>
      </c>
      <c r="P798" s="279">
        <f t="shared" si="221"/>
        <v>53</v>
      </c>
      <c r="Q798" s="279">
        <f t="shared" si="221"/>
        <v>53</v>
      </c>
      <c r="R798" s="378">
        <f>SUM(F798:Q798)</f>
        <v>642</v>
      </c>
    </row>
    <row r="799" spans="1:18" x14ac:dyDescent="0.2">
      <c r="B799" s="277"/>
      <c r="F799" s="279"/>
      <c r="G799" s="279"/>
      <c r="H799" s="279"/>
      <c r="I799" s="279"/>
      <c r="J799" s="279"/>
      <c r="K799" s="279"/>
      <c r="L799" s="279"/>
      <c r="M799" s="279"/>
      <c r="N799" s="279"/>
      <c r="O799" s="279"/>
      <c r="P799" s="279"/>
      <c r="Q799" s="279"/>
      <c r="R799" s="279"/>
    </row>
    <row r="800" spans="1:18" x14ac:dyDescent="0.2">
      <c r="B800" s="32" t="s">
        <v>1121</v>
      </c>
    </row>
    <row r="801" spans="3:18" x14ac:dyDescent="0.2">
      <c r="C801" s="32" t="s">
        <v>374</v>
      </c>
      <c r="D801" s="32">
        <v>23</v>
      </c>
      <c r="F801" s="279">
        <f t="shared" ref="F801:N801" si="222">F33</f>
        <v>699965</v>
      </c>
      <c r="G801" s="279">
        <f t="shared" si="222"/>
        <v>701215</v>
      </c>
      <c r="H801" s="279">
        <f t="shared" si="222"/>
        <v>702257</v>
      </c>
      <c r="I801" s="279">
        <f t="shared" si="222"/>
        <v>702573</v>
      </c>
      <c r="J801" s="279">
        <f t="shared" si="222"/>
        <v>703246</v>
      </c>
      <c r="K801" s="279">
        <f t="shared" si="222"/>
        <v>704366</v>
      </c>
      <c r="L801" s="279">
        <f t="shared" si="222"/>
        <v>704758</v>
      </c>
      <c r="M801" s="279">
        <f t="shared" si="222"/>
        <v>703964</v>
      </c>
      <c r="N801" s="279">
        <f t="shared" si="222"/>
        <v>705153</v>
      </c>
      <c r="O801" s="279">
        <f>O33</f>
        <v>704137</v>
      </c>
      <c r="P801" s="279">
        <f>P33</f>
        <v>704666</v>
      </c>
      <c r="Q801" s="279">
        <f>Q33</f>
        <v>705036</v>
      </c>
      <c r="R801" s="378">
        <f t="shared" ref="R801:R820" si="223">SUM(F801:Q801)</f>
        <v>8441336</v>
      </c>
    </row>
    <row r="802" spans="3:18" x14ac:dyDescent="0.2">
      <c r="C802" s="32" t="s">
        <v>1122</v>
      </c>
      <c r="D802" s="32">
        <v>53</v>
      </c>
      <c r="F802" s="279">
        <f t="shared" ref="F802:N802" si="224">F51</f>
        <v>5</v>
      </c>
      <c r="G802" s="279">
        <f t="shared" si="224"/>
        <v>5</v>
      </c>
      <c r="H802" s="279">
        <f t="shared" si="224"/>
        <v>5</v>
      </c>
      <c r="I802" s="279">
        <f t="shared" si="224"/>
        <v>5</v>
      </c>
      <c r="J802" s="279">
        <f t="shared" si="224"/>
        <v>5</v>
      </c>
      <c r="K802" s="279">
        <f t="shared" si="224"/>
        <v>5</v>
      </c>
      <c r="L802" s="279">
        <f t="shared" si="224"/>
        <v>6</v>
      </c>
      <c r="M802" s="279">
        <f t="shared" si="224"/>
        <v>6</v>
      </c>
      <c r="N802" s="279">
        <f t="shared" si="224"/>
        <v>5</v>
      </c>
      <c r="O802" s="279">
        <f>O51</f>
        <v>5</v>
      </c>
      <c r="P802" s="279">
        <f>P51</f>
        <v>5</v>
      </c>
      <c r="Q802" s="279">
        <f>Q51</f>
        <v>4</v>
      </c>
      <c r="R802" s="378">
        <f t="shared" si="223"/>
        <v>61</v>
      </c>
    </row>
    <row r="803" spans="3:18" x14ac:dyDescent="0.2">
      <c r="C803" s="32" t="s">
        <v>1123</v>
      </c>
      <c r="D803" s="32">
        <v>31</v>
      </c>
      <c r="F803" s="279">
        <f t="shared" ref="F803:N803" si="225">F80</f>
        <v>52658</v>
      </c>
      <c r="G803" s="279">
        <f t="shared" si="225"/>
        <v>52610</v>
      </c>
      <c r="H803" s="279">
        <f t="shared" si="225"/>
        <v>52574</v>
      </c>
      <c r="I803" s="279">
        <f t="shared" si="225"/>
        <v>52525</v>
      </c>
      <c r="J803" s="279">
        <f t="shared" si="225"/>
        <v>52396</v>
      </c>
      <c r="K803" s="279">
        <f t="shared" si="225"/>
        <v>52307</v>
      </c>
      <c r="L803" s="279">
        <f t="shared" si="225"/>
        <v>52272</v>
      </c>
      <c r="M803" s="279">
        <f t="shared" si="225"/>
        <v>52234</v>
      </c>
      <c r="N803" s="279">
        <f t="shared" si="225"/>
        <v>52221</v>
      </c>
      <c r="O803" s="279">
        <f>O80</f>
        <v>52328</v>
      </c>
      <c r="P803" s="279">
        <f>P80</f>
        <v>52300</v>
      </c>
      <c r="Q803" s="279">
        <f>Q80</f>
        <v>52414</v>
      </c>
      <c r="R803" s="378">
        <f t="shared" si="223"/>
        <v>628839</v>
      </c>
    </row>
    <row r="804" spans="3:18" x14ac:dyDescent="0.2">
      <c r="C804" s="32" t="s">
        <v>1124</v>
      </c>
      <c r="D804" s="32">
        <v>41</v>
      </c>
      <c r="F804" s="279">
        <f t="shared" ref="F804:N804" si="226">F106</f>
        <v>1953</v>
      </c>
      <c r="G804" s="279">
        <f t="shared" si="226"/>
        <v>1949</v>
      </c>
      <c r="H804" s="279">
        <f t="shared" si="226"/>
        <v>1949</v>
      </c>
      <c r="I804" s="279">
        <f t="shared" si="226"/>
        <v>1951</v>
      </c>
      <c r="J804" s="279">
        <f t="shared" si="226"/>
        <v>1946</v>
      </c>
      <c r="K804" s="279">
        <f t="shared" si="226"/>
        <v>1952</v>
      </c>
      <c r="L804" s="279">
        <f t="shared" si="226"/>
        <v>1951</v>
      </c>
      <c r="M804" s="279">
        <f t="shared" si="226"/>
        <v>1936</v>
      </c>
      <c r="N804" s="279">
        <f t="shared" si="226"/>
        <v>1923</v>
      </c>
      <c r="O804" s="279">
        <f>O106</f>
        <v>1902</v>
      </c>
      <c r="P804" s="279">
        <f>P106</f>
        <v>1884</v>
      </c>
      <c r="Q804" s="279">
        <f>Q106</f>
        <v>1883</v>
      </c>
      <c r="R804" s="378">
        <f t="shared" si="223"/>
        <v>23179</v>
      </c>
    </row>
    <row r="805" spans="3:18" x14ac:dyDescent="0.2">
      <c r="C805" s="32" t="s">
        <v>1125</v>
      </c>
      <c r="D805" s="444" t="s">
        <v>808</v>
      </c>
      <c r="F805" s="279">
        <f t="shared" ref="F805:N805" si="227">F145</f>
        <v>10</v>
      </c>
      <c r="G805" s="279">
        <f t="shared" si="227"/>
        <v>10</v>
      </c>
      <c r="H805" s="279">
        <f t="shared" si="227"/>
        <v>10</v>
      </c>
      <c r="I805" s="279">
        <f t="shared" si="227"/>
        <v>10</v>
      </c>
      <c r="J805" s="279">
        <f t="shared" si="227"/>
        <v>10</v>
      </c>
      <c r="K805" s="279">
        <f t="shared" si="227"/>
        <v>10</v>
      </c>
      <c r="L805" s="279">
        <f t="shared" si="227"/>
        <v>10</v>
      </c>
      <c r="M805" s="279">
        <f t="shared" si="227"/>
        <v>10</v>
      </c>
      <c r="N805" s="279">
        <f t="shared" si="227"/>
        <v>11</v>
      </c>
      <c r="O805" s="279">
        <f>O145</f>
        <v>12</v>
      </c>
      <c r="P805" s="279">
        <f>P145</f>
        <v>20</v>
      </c>
      <c r="Q805" s="279">
        <f>Q145</f>
        <v>30</v>
      </c>
      <c r="R805" s="378">
        <f t="shared" si="223"/>
        <v>153</v>
      </c>
    </row>
    <row r="806" spans="3:18" x14ac:dyDescent="0.2">
      <c r="C806" s="32" t="s">
        <v>1126</v>
      </c>
      <c r="D806" s="444" t="s">
        <v>809</v>
      </c>
      <c r="F806" s="279">
        <f t="shared" ref="F806:N806" si="228">F181</f>
        <v>35</v>
      </c>
      <c r="G806" s="279">
        <f t="shared" si="228"/>
        <v>37</v>
      </c>
      <c r="H806" s="279">
        <f t="shared" si="228"/>
        <v>36</v>
      </c>
      <c r="I806" s="279">
        <f t="shared" si="228"/>
        <v>36</v>
      </c>
      <c r="J806" s="279">
        <f t="shared" si="228"/>
        <v>37</v>
      </c>
      <c r="K806" s="279">
        <f t="shared" si="228"/>
        <v>37</v>
      </c>
      <c r="L806" s="279">
        <f t="shared" si="228"/>
        <v>37</v>
      </c>
      <c r="M806" s="279">
        <f>M181</f>
        <v>37</v>
      </c>
      <c r="N806" s="279">
        <f t="shared" si="228"/>
        <v>37</v>
      </c>
      <c r="O806" s="279">
        <f>O181</f>
        <v>36</v>
      </c>
      <c r="P806" s="279">
        <f>P181</f>
        <v>35</v>
      </c>
      <c r="Q806" s="279">
        <f>Q181</f>
        <v>35</v>
      </c>
      <c r="R806" s="378">
        <f t="shared" si="223"/>
        <v>435</v>
      </c>
    </row>
    <row r="807" spans="3:18" x14ac:dyDescent="0.2">
      <c r="C807" s="32" t="s">
        <v>1127</v>
      </c>
      <c r="D807" s="444" t="s">
        <v>811</v>
      </c>
      <c r="F807" s="279">
        <f t="shared" ref="F807:N807" si="229">F219</f>
        <v>2</v>
      </c>
      <c r="G807" s="279">
        <f t="shared" si="229"/>
        <v>2</v>
      </c>
      <c r="H807" s="279">
        <f t="shared" si="229"/>
        <v>2</v>
      </c>
      <c r="I807" s="279">
        <f t="shared" si="229"/>
        <v>2</v>
      </c>
      <c r="J807" s="279">
        <f t="shared" si="229"/>
        <v>2</v>
      </c>
      <c r="K807" s="279">
        <f t="shared" si="229"/>
        <v>2</v>
      </c>
      <c r="L807" s="279">
        <f t="shared" si="229"/>
        <v>2</v>
      </c>
      <c r="M807" s="279">
        <f t="shared" si="229"/>
        <v>2</v>
      </c>
      <c r="N807" s="279">
        <f t="shared" si="229"/>
        <v>2</v>
      </c>
      <c r="O807" s="279">
        <f>O219</f>
        <v>2</v>
      </c>
      <c r="P807" s="279">
        <f>P219</f>
        <v>2</v>
      </c>
      <c r="Q807" s="279">
        <f>Q219</f>
        <v>2</v>
      </c>
      <c r="R807" s="378">
        <f t="shared" si="223"/>
        <v>24</v>
      </c>
    </row>
    <row r="808" spans="3:18" x14ac:dyDescent="0.2">
      <c r="C808" s="32" t="s">
        <v>1128</v>
      </c>
      <c r="D808" s="32">
        <v>85</v>
      </c>
      <c r="F808" s="279">
        <f t="shared" ref="F808:N808" si="230">F276</f>
        <v>25</v>
      </c>
      <c r="G808" s="279">
        <f t="shared" si="230"/>
        <v>25</v>
      </c>
      <c r="H808" s="279">
        <f t="shared" si="230"/>
        <v>27</v>
      </c>
      <c r="I808" s="279">
        <f t="shared" si="230"/>
        <v>27</v>
      </c>
      <c r="J808" s="279">
        <f t="shared" si="230"/>
        <v>27</v>
      </c>
      <c r="K808" s="279">
        <f t="shared" si="230"/>
        <v>27</v>
      </c>
      <c r="L808" s="279">
        <f t="shared" si="230"/>
        <v>27</v>
      </c>
      <c r="M808" s="279">
        <f t="shared" si="230"/>
        <v>28</v>
      </c>
      <c r="N808" s="279">
        <f t="shared" si="230"/>
        <v>27</v>
      </c>
      <c r="O808" s="279">
        <f>O276</f>
        <v>27</v>
      </c>
      <c r="P808" s="279">
        <f>P276</f>
        <v>27</v>
      </c>
      <c r="Q808" s="279">
        <f>Q276</f>
        <v>27</v>
      </c>
      <c r="R808" s="378">
        <f t="shared" si="223"/>
        <v>321</v>
      </c>
    </row>
    <row r="809" spans="3:18" x14ac:dyDescent="0.2">
      <c r="C809" s="32" t="s">
        <v>1129</v>
      </c>
      <c r="D809" s="32">
        <v>86</v>
      </c>
      <c r="F809" s="279">
        <f t="shared" ref="F809:N809" si="231">F320</f>
        <v>334</v>
      </c>
      <c r="G809" s="279">
        <f t="shared" si="231"/>
        <v>334</v>
      </c>
      <c r="H809" s="279">
        <f t="shared" si="231"/>
        <v>330</v>
      </c>
      <c r="I809" s="279">
        <f t="shared" si="231"/>
        <v>327</v>
      </c>
      <c r="J809" s="279">
        <f t="shared" si="231"/>
        <v>329</v>
      </c>
      <c r="K809" s="279">
        <f t="shared" si="231"/>
        <v>329</v>
      </c>
      <c r="L809" s="279">
        <f t="shared" si="231"/>
        <v>326</v>
      </c>
      <c r="M809" s="279">
        <f t="shared" si="231"/>
        <v>324</v>
      </c>
      <c r="N809" s="279">
        <f t="shared" si="231"/>
        <v>320</v>
      </c>
      <c r="O809" s="279">
        <f>O320</f>
        <v>317</v>
      </c>
      <c r="P809" s="279">
        <f>P320</f>
        <v>318</v>
      </c>
      <c r="Q809" s="279">
        <f>Q320</f>
        <v>317</v>
      </c>
      <c r="R809" s="378">
        <f t="shared" si="223"/>
        <v>3905</v>
      </c>
    </row>
    <row r="810" spans="3:18" x14ac:dyDescent="0.2">
      <c r="C810" s="32" t="s">
        <v>1130</v>
      </c>
      <c r="D810" s="32">
        <v>87</v>
      </c>
      <c r="F810" s="279">
        <f t="shared" ref="F810:N810" si="232">F366</f>
        <v>8</v>
      </c>
      <c r="G810" s="279">
        <f t="shared" si="232"/>
        <v>8</v>
      </c>
      <c r="H810" s="279">
        <f t="shared" si="232"/>
        <v>8</v>
      </c>
      <c r="I810" s="279">
        <f t="shared" si="232"/>
        <v>8</v>
      </c>
      <c r="J810" s="279">
        <f t="shared" si="232"/>
        <v>8</v>
      </c>
      <c r="K810" s="279">
        <f t="shared" si="232"/>
        <v>8</v>
      </c>
      <c r="L810" s="279">
        <f t="shared" si="232"/>
        <v>8</v>
      </c>
      <c r="M810" s="279">
        <f t="shared" si="232"/>
        <v>8</v>
      </c>
      <c r="N810" s="279">
        <f t="shared" si="232"/>
        <v>8</v>
      </c>
      <c r="O810" s="279">
        <f>O366</f>
        <v>8</v>
      </c>
      <c r="P810" s="279">
        <f>P366</f>
        <v>8</v>
      </c>
      <c r="Q810" s="279">
        <f>Q366</f>
        <v>8</v>
      </c>
      <c r="R810" s="378">
        <f t="shared" si="223"/>
        <v>96</v>
      </c>
    </row>
    <row r="811" spans="3:18" x14ac:dyDescent="0.2">
      <c r="C811" s="32" t="s">
        <v>1131</v>
      </c>
      <c r="D811" s="32">
        <v>31</v>
      </c>
      <c r="F811" s="279">
        <f t="shared" ref="F811:N811" si="233">F408</f>
        <v>2456</v>
      </c>
      <c r="G811" s="279">
        <f t="shared" si="233"/>
        <v>2452</v>
      </c>
      <c r="H811" s="279">
        <f t="shared" si="233"/>
        <v>2438</v>
      </c>
      <c r="I811" s="279">
        <f t="shared" si="233"/>
        <v>2426.02</v>
      </c>
      <c r="J811" s="279">
        <f t="shared" si="233"/>
        <v>2428</v>
      </c>
      <c r="K811" s="279">
        <f t="shared" si="233"/>
        <v>2444</v>
      </c>
      <c r="L811" s="279">
        <f t="shared" si="233"/>
        <v>2423</v>
      </c>
      <c r="M811" s="279">
        <f t="shared" si="233"/>
        <v>2413</v>
      </c>
      <c r="N811" s="279">
        <f t="shared" si="233"/>
        <v>2412</v>
      </c>
      <c r="O811" s="279">
        <f>O408</f>
        <v>2421</v>
      </c>
      <c r="P811" s="279">
        <f>P408</f>
        <v>2419</v>
      </c>
      <c r="Q811" s="279">
        <f>Q408</f>
        <v>2423</v>
      </c>
      <c r="R811" s="378">
        <f t="shared" si="223"/>
        <v>29155.02</v>
      </c>
    </row>
    <row r="812" spans="3:18" x14ac:dyDescent="0.2">
      <c r="C812" s="32" t="s">
        <v>1132</v>
      </c>
      <c r="D812" s="32">
        <v>41</v>
      </c>
      <c r="F812" s="279">
        <f t="shared" ref="F812:N812" si="234">F434</f>
        <v>113</v>
      </c>
      <c r="G812" s="279">
        <f t="shared" si="234"/>
        <v>114</v>
      </c>
      <c r="H812" s="279">
        <f t="shared" si="234"/>
        <v>115</v>
      </c>
      <c r="I812" s="279">
        <f t="shared" si="234"/>
        <v>115.00999999999999</v>
      </c>
      <c r="J812" s="279">
        <f t="shared" si="234"/>
        <v>116</v>
      </c>
      <c r="K812" s="279">
        <f t="shared" si="234"/>
        <v>117</v>
      </c>
      <c r="L812" s="279">
        <f t="shared" si="234"/>
        <v>116</v>
      </c>
      <c r="M812" s="279">
        <f t="shared" si="234"/>
        <v>114</v>
      </c>
      <c r="N812" s="279">
        <f t="shared" si="234"/>
        <v>117</v>
      </c>
      <c r="O812" s="279">
        <f>O434</f>
        <v>115</v>
      </c>
      <c r="P812" s="279">
        <f>P434</f>
        <v>114</v>
      </c>
      <c r="Q812" s="279">
        <f>Q434</f>
        <v>113</v>
      </c>
      <c r="R812" s="378">
        <f t="shared" si="223"/>
        <v>1379.01</v>
      </c>
    </row>
    <row r="813" spans="3:18" x14ac:dyDescent="0.2">
      <c r="C813" s="32" t="s">
        <v>1133</v>
      </c>
      <c r="D813" s="444" t="s">
        <v>808</v>
      </c>
      <c r="F813" s="279">
        <f t="shared" ref="F813:N813" si="235">F473</f>
        <v>15</v>
      </c>
      <c r="G813" s="279">
        <f t="shared" si="235"/>
        <v>15</v>
      </c>
      <c r="H813" s="279">
        <f t="shared" si="235"/>
        <v>14</v>
      </c>
      <c r="I813" s="279">
        <f t="shared" si="235"/>
        <v>14</v>
      </c>
      <c r="J813" s="279">
        <f t="shared" si="235"/>
        <v>14</v>
      </c>
      <c r="K813" s="279">
        <f t="shared" si="235"/>
        <v>14</v>
      </c>
      <c r="L813" s="279">
        <f t="shared" si="235"/>
        <v>14</v>
      </c>
      <c r="M813" s="279">
        <f t="shared" si="235"/>
        <v>15</v>
      </c>
      <c r="N813" s="279">
        <f t="shared" si="235"/>
        <v>15</v>
      </c>
      <c r="O813" s="279">
        <f>O473</f>
        <v>16</v>
      </c>
      <c r="P813" s="279">
        <f>P473</f>
        <v>16</v>
      </c>
      <c r="Q813" s="279">
        <f>Q473</f>
        <v>16</v>
      </c>
      <c r="R813" s="378">
        <f t="shared" si="223"/>
        <v>178</v>
      </c>
    </row>
    <row r="814" spans="3:18" x14ac:dyDescent="0.2">
      <c r="C814" s="32" t="s">
        <v>1134</v>
      </c>
      <c r="D814" s="444" t="s">
        <v>809</v>
      </c>
      <c r="F814" s="279">
        <f t="shared" ref="F814:N814" si="236">F509</f>
        <v>63</v>
      </c>
      <c r="G814" s="279">
        <f t="shared" si="236"/>
        <v>65</v>
      </c>
      <c r="H814" s="279">
        <f t="shared" si="236"/>
        <v>64</v>
      </c>
      <c r="I814" s="279">
        <f t="shared" si="236"/>
        <v>64</v>
      </c>
      <c r="J814" s="279">
        <f t="shared" si="236"/>
        <v>63.999999999999993</v>
      </c>
      <c r="K814" s="279">
        <f t="shared" si="236"/>
        <v>63</v>
      </c>
      <c r="L814" s="279">
        <f t="shared" si="236"/>
        <v>63</v>
      </c>
      <c r="M814" s="279">
        <f t="shared" si="236"/>
        <v>62</v>
      </c>
      <c r="N814" s="279">
        <f t="shared" si="236"/>
        <v>62</v>
      </c>
      <c r="O814" s="279">
        <f>O509</f>
        <v>62</v>
      </c>
      <c r="P814" s="279">
        <f>P509</f>
        <v>62</v>
      </c>
      <c r="Q814" s="279">
        <f>Q509</f>
        <v>63</v>
      </c>
      <c r="R814" s="378">
        <f t="shared" si="223"/>
        <v>757</v>
      </c>
    </row>
    <row r="815" spans="3:18" x14ac:dyDescent="0.2">
      <c r="C815" s="32" t="s">
        <v>1135</v>
      </c>
      <c r="D815" s="444" t="s">
        <v>810</v>
      </c>
      <c r="F815" s="279">
        <f>F543</f>
        <v>0</v>
      </c>
      <c r="G815" s="279">
        <f t="shared" ref="G815:Q815" si="237">G543</f>
        <v>0</v>
      </c>
      <c r="H815" s="279">
        <f t="shared" si="237"/>
        <v>0</v>
      </c>
      <c r="I815" s="279">
        <f t="shared" si="237"/>
        <v>0</v>
      </c>
      <c r="J815" s="279">
        <f t="shared" si="237"/>
        <v>0</v>
      </c>
      <c r="K815" s="279">
        <f t="shared" si="237"/>
        <v>1</v>
      </c>
      <c r="L815" s="279">
        <f t="shared" si="237"/>
        <v>1</v>
      </c>
      <c r="M815" s="279">
        <f t="shared" si="237"/>
        <v>1</v>
      </c>
      <c r="N815" s="279">
        <f t="shared" si="237"/>
        <v>1</v>
      </c>
      <c r="O815" s="279">
        <f t="shared" si="237"/>
        <v>1</v>
      </c>
      <c r="P815" s="279">
        <f t="shared" si="237"/>
        <v>1</v>
      </c>
      <c r="Q815" s="279">
        <f t="shared" si="237"/>
        <v>1</v>
      </c>
      <c r="R815" s="378">
        <f t="shared" si="223"/>
        <v>7</v>
      </c>
    </row>
    <row r="816" spans="3:18" x14ac:dyDescent="0.2">
      <c r="C816" s="32" t="s">
        <v>1136</v>
      </c>
      <c r="D816" s="444" t="s">
        <v>811</v>
      </c>
      <c r="F816" s="279">
        <f t="shared" ref="F816:N816" si="238">F579</f>
        <v>11</v>
      </c>
      <c r="G816" s="279">
        <f t="shared" si="238"/>
        <v>11</v>
      </c>
      <c r="H816" s="279">
        <f t="shared" si="238"/>
        <v>11</v>
      </c>
      <c r="I816" s="279">
        <f t="shared" si="238"/>
        <v>11</v>
      </c>
      <c r="J816" s="279">
        <f t="shared" si="238"/>
        <v>11</v>
      </c>
      <c r="K816" s="279">
        <f t="shared" si="238"/>
        <v>11</v>
      </c>
      <c r="L816" s="279">
        <f t="shared" si="238"/>
        <v>11</v>
      </c>
      <c r="M816" s="279">
        <f t="shared" si="238"/>
        <v>11</v>
      </c>
      <c r="N816" s="279">
        <f t="shared" si="238"/>
        <v>11</v>
      </c>
      <c r="O816" s="279">
        <f>O579</f>
        <v>11</v>
      </c>
      <c r="P816" s="279">
        <f>P579</f>
        <v>11</v>
      </c>
      <c r="Q816" s="279">
        <f>Q579</f>
        <v>10</v>
      </c>
      <c r="R816" s="378">
        <f t="shared" si="223"/>
        <v>131</v>
      </c>
    </row>
    <row r="817" spans="2:18" x14ac:dyDescent="0.2">
      <c r="C817" s="32" t="s">
        <v>1137</v>
      </c>
      <c r="D817" s="32">
        <v>85</v>
      </c>
      <c r="F817" s="279">
        <f t="shared" ref="F817:N817" si="239">F635</f>
        <v>9</v>
      </c>
      <c r="G817" s="279">
        <f t="shared" si="239"/>
        <v>9</v>
      </c>
      <c r="H817" s="279">
        <f t="shared" si="239"/>
        <v>9</v>
      </c>
      <c r="I817" s="279">
        <f t="shared" si="239"/>
        <v>9</v>
      </c>
      <c r="J817" s="279">
        <f t="shared" si="239"/>
        <v>8</v>
      </c>
      <c r="K817" s="279">
        <f t="shared" si="239"/>
        <v>8</v>
      </c>
      <c r="L817" s="279">
        <f t="shared" si="239"/>
        <v>8</v>
      </c>
      <c r="M817" s="279">
        <f t="shared" si="239"/>
        <v>8</v>
      </c>
      <c r="N817" s="279">
        <f t="shared" si="239"/>
        <v>8</v>
      </c>
      <c r="O817" s="279">
        <f>O635</f>
        <v>8</v>
      </c>
      <c r="P817" s="279">
        <f>P635</f>
        <v>8</v>
      </c>
      <c r="Q817" s="279">
        <f>Q635</f>
        <v>8</v>
      </c>
      <c r="R817" s="378">
        <f t="shared" si="223"/>
        <v>100</v>
      </c>
    </row>
    <row r="818" spans="2:18" x14ac:dyDescent="0.2">
      <c r="C818" s="32" t="s">
        <v>1138</v>
      </c>
      <c r="D818" s="32">
        <v>86</v>
      </c>
      <c r="F818" s="279">
        <f t="shared" ref="F818:N818" si="240">F679</f>
        <v>9</v>
      </c>
      <c r="G818" s="279">
        <f t="shared" si="240"/>
        <v>11</v>
      </c>
      <c r="H818" s="279">
        <f t="shared" si="240"/>
        <v>10</v>
      </c>
      <c r="I818" s="279">
        <f t="shared" si="240"/>
        <v>9</v>
      </c>
      <c r="J818" s="279">
        <f t="shared" si="240"/>
        <v>10</v>
      </c>
      <c r="K818" s="279">
        <f t="shared" si="240"/>
        <v>9</v>
      </c>
      <c r="L818" s="279">
        <f t="shared" si="240"/>
        <v>10</v>
      </c>
      <c r="M818" s="279">
        <f t="shared" si="240"/>
        <v>10</v>
      </c>
      <c r="N818" s="279">
        <f t="shared" si="240"/>
        <v>10</v>
      </c>
      <c r="O818" s="279">
        <f>O679</f>
        <v>10</v>
      </c>
      <c r="P818" s="279">
        <f>P679</f>
        <v>10</v>
      </c>
      <c r="Q818" s="279">
        <f>Q679</f>
        <v>10</v>
      </c>
      <c r="R818" s="378">
        <f t="shared" si="223"/>
        <v>118</v>
      </c>
    </row>
    <row r="819" spans="2:18" x14ac:dyDescent="0.2">
      <c r="C819" s="32" t="s">
        <v>1139</v>
      </c>
      <c r="D819" s="32">
        <v>87</v>
      </c>
      <c r="F819" s="279">
        <f t="shared" ref="F819:N819" si="241">F725</f>
        <v>1</v>
      </c>
      <c r="G819" s="279">
        <f t="shared" si="241"/>
        <v>1</v>
      </c>
      <c r="H819" s="279">
        <f t="shared" si="241"/>
        <v>2</v>
      </c>
      <c r="I819" s="279">
        <f t="shared" si="241"/>
        <v>0</v>
      </c>
      <c r="J819" s="279">
        <f t="shared" si="241"/>
        <v>1</v>
      </c>
      <c r="K819" s="279">
        <f t="shared" si="241"/>
        <v>2</v>
      </c>
      <c r="L819" s="279">
        <f t="shared" si="241"/>
        <v>1</v>
      </c>
      <c r="M819" s="279">
        <f t="shared" si="241"/>
        <v>0</v>
      </c>
      <c r="N819" s="279">
        <f t="shared" si="241"/>
        <v>2</v>
      </c>
      <c r="O819" s="279">
        <f>O725</f>
        <v>1</v>
      </c>
      <c r="P819" s="279">
        <f>P725</f>
        <v>0</v>
      </c>
      <c r="Q819" s="279">
        <f>Q725</f>
        <v>1</v>
      </c>
      <c r="R819" s="378">
        <f t="shared" si="223"/>
        <v>12</v>
      </c>
    </row>
    <row r="820" spans="2:18" x14ac:dyDescent="0.2">
      <c r="C820" s="32" t="s">
        <v>1140</v>
      </c>
      <c r="F820" s="279">
        <f t="shared" ref="F820:N820" si="242">F772</f>
        <v>12</v>
      </c>
      <c r="G820" s="279">
        <f t="shared" si="242"/>
        <v>12</v>
      </c>
      <c r="H820" s="279">
        <f t="shared" si="242"/>
        <v>12</v>
      </c>
      <c r="I820" s="279">
        <f t="shared" si="242"/>
        <v>12</v>
      </c>
      <c r="J820" s="279">
        <f t="shared" si="242"/>
        <v>12</v>
      </c>
      <c r="K820" s="279">
        <f t="shared" si="242"/>
        <v>12</v>
      </c>
      <c r="L820" s="279">
        <f t="shared" si="242"/>
        <v>12</v>
      </c>
      <c r="M820" s="279">
        <f t="shared" si="242"/>
        <v>12</v>
      </c>
      <c r="N820" s="279">
        <f t="shared" si="242"/>
        <v>12</v>
      </c>
      <c r="O820" s="279">
        <f>O772</f>
        <v>12</v>
      </c>
      <c r="P820" s="279">
        <f>P772</f>
        <v>12</v>
      </c>
      <c r="Q820" s="279">
        <f>Q772</f>
        <v>12</v>
      </c>
      <c r="R820" s="378">
        <f t="shared" si="223"/>
        <v>144</v>
      </c>
    </row>
    <row r="821" spans="2:18" x14ac:dyDescent="0.2">
      <c r="C821" s="32" t="s">
        <v>1141</v>
      </c>
      <c r="F821" s="357">
        <f t="shared" ref="F821:N821" si="243">SUM(F801:F820)</f>
        <v>757684</v>
      </c>
      <c r="G821" s="357">
        <f t="shared" si="243"/>
        <v>758885</v>
      </c>
      <c r="H821" s="357">
        <f t="shared" si="243"/>
        <v>759873</v>
      </c>
      <c r="I821" s="357">
        <f t="shared" si="243"/>
        <v>760124.03</v>
      </c>
      <c r="J821" s="357">
        <f t="shared" si="243"/>
        <v>760670</v>
      </c>
      <c r="K821" s="357">
        <f t="shared" si="243"/>
        <v>761724</v>
      </c>
      <c r="L821" s="357">
        <f t="shared" si="243"/>
        <v>762056</v>
      </c>
      <c r="M821" s="357">
        <f t="shared" si="243"/>
        <v>761195</v>
      </c>
      <c r="N821" s="357">
        <f t="shared" si="243"/>
        <v>762357</v>
      </c>
      <c r="O821" s="357">
        <f>SUM(O801:O820)</f>
        <v>761431</v>
      </c>
      <c r="P821" s="357">
        <f>SUM(P801:P820)</f>
        <v>761918</v>
      </c>
      <c r="Q821" s="357">
        <f>SUM(Q801:Q820)</f>
        <v>762413</v>
      </c>
      <c r="R821" s="357">
        <f>SUM(R801:R820)</f>
        <v>9130330.0299999993</v>
      </c>
    </row>
    <row r="822" spans="2:18" x14ac:dyDescent="0.2">
      <c r="F822" s="424"/>
      <c r="G822" s="424"/>
      <c r="H822" s="424"/>
      <c r="I822" s="424"/>
      <c r="J822" s="424"/>
      <c r="K822" s="424"/>
      <c r="L822" s="424"/>
      <c r="M822" s="424"/>
      <c r="N822" s="424"/>
      <c r="O822" s="424"/>
      <c r="P822" s="424"/>
      <c r="Q822" s="424"/>
      <c r="R822" s="424"/>
    </row>
    <row r="823" spans="2:18" x14ac:dyDescent="0.2">
      <c r="B823" s="32" t="s">
        <v>1142</v>
      </c>
      <c r="F823" s="424"/>
      <c r="G823" s="424"/>
      <c r="H823" s="424"/>
      <c r="I823" s="424"/>
      <c r="J823" s="424"/>
      <c r="K823" s="424"/>
      <c r="L823" s="424"/>
      <c r="M823" s="424"/>
      <c r="N823" s="424"/>
      <c r="O823" s="424"/>
      <c r="P823" s="424"/>
      <c r="Q823" s="424"/>
      <c r="R823" s="424"/>
    </row>
    <row r="824" spans="2:18" x14ac:dyDescent="0.2">
      <c r="C824" s="343" t="s">
        <v>1143</v>
      </c>
      <c r="D824" s="32">
        <v>23</v>
      </c>
      <c r="F824" s="424">
        <f t="shared" ref="F824:Q825" si="244">F801</f>
        <v>699965</v>
      </c>
      <c r="G824" s="424">
        <f t="shared" si="244"/>
        <v>701215</v>
      </c>
      <c r="H824" s="424">
        <f t="shared" si="244"/>
        <v>702257</v>
      </c>
      <c r="I824" s="424">
        <f t="shared" si="244"/>
        <v>702573</v>
      </c>
      <c r="J824" s="424">
        <f t="shared" si="244"/>
        <v>703246</v>
      </c>
      <c r="K824" s="424">
        <f t="shared" si="244"/>
        <v>704366</v>
      </c>
      <c r="L824" s="424">
        <f t="shared" si="244"/>
        <v>704758</v>
      </c>
      <c r="M824" s="424">
        <f t="shared" si="244"/>
        <v>703964</v>
      </c>
      <c r="N824" s="424">
        <f t="shared" si="244"/>
        <v>705153</v>
      </c>
      <c r="O824" s="424">
        <f t="shared" si="244"/>
        <v>704137</v>
      </c>
      <c r="P824" s="424">
        <f t="shared" si="244"/>
        <v>704666</v>
      </c>
      <c r="Q824" s="424">
        <f t="shared" si="244"/>
        <v>705036</v>
      </c>
      <c r="R824" s="424">
        <f>R801</f>
        <v>8441336</v>
      </c>
    </row>
    <row r="825" spans="2:18" x14ac:dyDescent="0.2">
      <c r="C825" s="343" t="s">
        <v>374</v>
      </c>
      <c r="D825" s="32">
        <v>53</v>
      </c>
      <c r="F825" s="424">
        <f t="shared" si="244"/>
        <v>5</v>
      </c>
      <c r="G825" s="424">
        <f t="shared" si="244"/>
        <v>5</v>
      </c>
      <c r="H825" s="424">
        <f t="shared" si="244"/>
        <v>5</v>
      </c>
      <c r="I825" s="424">
        <f t="shared" si="244"/>
        <v>5</v>
      </c>
      <c r="J825" s="424">
        <f t="shared" si="244"/>
        <v>5</v>
      </c>
      <c r="K825" s="424">
        <f t="shared" si="244"/>
        <v>5</v>
      </c>
      <c r="L825" s="424">
        <f t="shared" si="244"/>
        <v>6</v>
      </c>
      <c r="M825" s="424">
        <f t="shared" si="244"/>
        <v>6</v>
      </c>
      <c r="N825" s="424">
        <f t="shared" si="244"/>
        <v>5</v>
      </c>
      <c r="O825" s="424">
        <f t="shared" si="244"/>
        <v>5</v>
      </c>
      <c r="P825" s="424">
        <f t="shared" si="244"/>
        <v>5</v>
      </c>
      <c r="Q825" s="424">
        <f t="shared" si="244"/>
        <v>4</v>
      </c>
      <c r="R825" s="424">
        <f>R802</f>
        <v>61</v>
      </c>
    </row>
    <row r="826" spans="2:18" x14ac:dyDescent="0.2">
      <c r="C826" s="346" t="s">
        <v>1144</v>
      </c>
      <c r="D826" s="32">
        <v>31</v>
      </c>
      <c r="F826" s="424">
        <f t="shared" ref="F826:R827" si="245">F803+F811</f>
        <v>55114</v>
      </c>
      <c r="G826" s="424">
        <f t="shared" si="245"/>
        <v>55062</v>
      </c>
      <c r="H826" s="424">
        <f t="shared" si="245"/>
        <v>55012</v>
      </c>
      <c r="I826" s="424">
        <f t="shared" si="245"/>
        <v>54951.02</v>
      </c>
      <c r="J826" s="424">
        <f t="shared" si="245"/>
        <v>54824</v>
      </c>
      <c r="K826" s="424">
        <f t="shared" si="245"/>
        <v>54751</v>
      </c>
      <c r="L826" s="424">
        <f t="shared" si="245"/>
        <v>54695</v>
      </c>
      <c r="M826" s="424">
        <f t="shared" si="245"/>
        <v>54647</v>
      </c>
      <c r="N826" s="424">
        <f t="shared" si="245"/>
        <v>54633</v>
      </c>
      <c r="O826" s="424">
        <f t="shared" si="245"/>
        <v>54749</v>
      </c>
      <c r="P826" s="424">
        <f t="shared" si="245"/>
        <v>54719</v>
      </c>
      <c r="Q826" s="424">
        <f t="shared" si="245"/>
        <v>54837</v>
      </c>
      <c r="R826" s="424">
        <f t="shared" si="245"/>
        <v>657994.02</v>
      </c>
    </row>
    <row r="827" spans="2:18" x14ac:dyDescent="0.2">
      <c r="C827" s="343" t="s">
        <v>1145</v>
      </c>
      <c r="D827" s="32">
        <v>41</v>
      </c>
      <c r="F827" s="424">
        <f t="shared" si="245"/>
        <v>2066</v>
      </c>
      <c r="G827" s="424">
        <f t="shared" si="245"/>
        <v>2063</v>
      </c>
      <c r="H827" s="424">
        <f t="shared" si="245"/>
        <v>2064</v>
      </c>
      <c r="I827" s="424">
        <f t="shared" si="245"/>
        <v>2066.0100000000002</v>
      </c>
      <c r="J827" s="424">
        <f t="shared" si="245"/>
        <v>2062</v>
      </c>
      <c r="K827" s="424">
        <f t="shared" si="245"/>
        <v>2069</v>
      </c>
      <c r="L827" s="424">
        <f t="shared" si="245"/>
        <v>2067</v>
      </c>
      <c r="M827" s="424">
        <f t="shared" si="245"/>
        <v>2050</v>
      </c>
      <c r="N827" s="424">
        <f t="shared" si="245"/>
        <v>2040</v>
      </c>
      <c r="O827" s="424">
        <f t="shared" si="245"/>
        <v>2017</v>
      </c>
      <c r="P827" s="424">
        <f t="shared" si="245"/>
        <v>1998</v>
      </c>
      <c r="Q827" s="424">
        <f t="shared" si="245"/>
        <v>1996</v>
      </c>
      <c r="R827" s="424">
        <f t="shared" si="245"/>
        <v>24558.01</v>
      </c>
    </row>
    <row r="828" spans="2:18" x14ac:dyDescent="0.2">
      <c r="C828" s="343" t="s">
        <v>1146</v>
      </c>
      <c r="D828" s="32">
        <v>85</v>
      </c>
      <c r="F828" s="424">
        <f t="shared" ref="F828:R830" si="246">F808+F817</f>
        <v>34</v>
      </c>
      <c r="G828" s="424">
        <f t="shared" si="246"/>
        <v>34</v>
      </c>
      <c r="H828" s="424">
        <f t="shared" si="246"/>
        <v>36</v>
      </c>
      <c r="I828" s="424">
        <f t="shared" si="246"/>
        <v>36</v>
      </c>
      <c r="J828" s="424">
        <f t="shared" si="246"/>
        <v>35</v>
      </c>
      <c r="K828" s="424">
        <f t="shared" si="246"/>
        <v>35</v>
      </c>
      <c r="L828" s="424">
        <f t="shared" si="246"/>
        <v>35</v>
      </c>
      <c r="M828" s="424">
        <f t="shared" si="246"/>
        <v>36</v>
      </c>
      <c r="N828" s="424">
        <f t="shared" si="246"/>
        <v>35</v>
      </c>
      <c r="O828" s="424">
        <f t="shared" si="246"/>
        <v>35</v>
      </c>
      <c r="P828" s="424">
        <f t="shared" si="246"/>
        <v>35</v>
      </c>
      <c r="Q828" s="424">
        <f t="shared" si="246"/>
        <v>35</v>
      </c>
      <c r="R828" s="424">
        <f t="shared" si="246"/>
        <v>421</v>
      </c>
    </row>
    <row r="829" spans="2:18" x14ac:dyDescent="0.2">
      <c r="C829" s="343" t="s">
        <v>1147</v>
      </c>
      <c r="D829" s="32">
        <v>86</v>
      </c>
      <c r="F829" s="424">
        <f t="shared" si="246"/>
        <v>343</v>
      </c>
      <c r="G829" s="424">
        <f t="shared" si="246"/>
        <v>345</v>
      </c>
      <c r="H829" s="424">
        <f t="shared" si="246"/>
        <v>340</v>
      </c>
      <c r="I829" s="424">
        <f t="shared" si="246"/>
        <v>336</v>
      </c>
      <c r="J829" s="424">
        <f t="shared" si="246"/>
        <v>339</v>
      </c>
      <c r="K829" s="424">
        <f t="shared" si="246"/>
        <v>338</v>
      </c>
      <c r="L829" s="424">
        <f t="shared" si="246"/>
        <v>336</v>
      </c>
      <c r="M829" s="424">
        <f t="shared" si="246"/>
        <v>334</v>
      </c>
      <c r="N829" s="424">
        <f t="shared" si="246"/>
        <v>330</v>
      </c>
      <c r="O829" s="424">
        <f t="shared" si="246"/>
        <v>327</v>
      </c>
      <c r="P829" s="424">
        <f t="shared" si="246"/>
        <v>328</v>
      </c>
      <c r="Q829" s="424">
        <f t="shared" si="246"/>
        <v>327</v>
      </c>
      <c r="R829" s="424">
        <f t="shared" si="246"/>
        <v>4023</v>
      </c>
    </row>
    <row r="830" spans="2:18" x14ac:dyDescent="0.2">
      <c r="C830" s="343" t="s">
        <v>1148</v>
      </c>
      <c r="D830" s="32">
        <v>87</v>
      </c>
      <c r="F830" s="424">
        <f t="shared" si="246"/>
        <v>9</v>
      </c>
      <c r="G830" s="424">
        <f t="shared" si="246"/>
        <v>9</v>
      </c>
      <c r="H830" s="424">
        <f t="shared" si="246"/>
        <v>10</v>
      </c>
      <c r="I830" s="424">
        <f t="shared" si="246"/>
        <v>8</v>
      </c>
      <c r="J830" s="424">
        <f t="shared" si="246"/>
        <v>9</v>
      </c>
      <c r="K830" s="424">
        <f t="shared" si="246"/>
        <v>10</v>
      </c>
      <c r="L830" s="424">
        <f t="shared" si="246"/>
        <v>9</v>
      </c>
      <c r="M830" s="424">
        <f t="shared" si="246"/>
        <v>8</v>
      </c>
      <c r="N830" s="424">
        <f t="shared" si="246"/>
        <v>10</v>
      </c>
      <c r="O830" s="424">
        <f t="shared" si="246"/>
        <v>9</v>
      </c>
      <c r="P830" s="424">
        <f t="shared" si="246"/>
        <v>8</v>
      </c>
      <c r="Q830" s="424">
        <f t="shared" si="246"/>
        <v>9</v>
      </c>
      <c r="R830" s="424">
        <f t="shared" si="246"/>
        <v>108</v>
      </c>
    </row>
    <row r="831" spans="2:18" x14ac:dyDescent="0.2">
      <c r="C831" s="32" t="s">
        <v>1149</v>
      </c>
      <c r="D831" s="444" t="s">
        <v>808</v>
      </c>
      <c r="F831" s="424">
        <f t="shared" ref="F831:R832" si="247">F805+F813</f>
        <v>25</v>
      </c>
      <c r="G831" s="424">
        <f t="shared" si="247"/>
        <v>25</v>
      </c>
      <c r="H831" s="424">
        <f t="shared" si="247"/>
        <v>24</v>
      </c>
      <c r="I831" s="424">
        <f t="shared" si="247"/>
        <v>24</v>
      </c>
      <c r="J831" s="424">
        <f t="shared" si="247"/>
        <v>24</v>
      </c>
      <c r="K831" s="424">
        <f t="shared" si="247"/>
        <v>24</v>
      </c>
      <c r="L831" s="424">
        <f t="shared" si="247"/>
        <v>24</v>
      </c>
      <c r="M831" s="424">
        <f t="shared" si="247"/>
        <v>25</v>
      </c>
      <c r="N831" s="424">
        <f t="shared" si="247"/>
        <v>26</v>
      </c>
      <c r="O831" s="424">
        <f t="shared" si="247"/>
        <v>28</v>
      </c>
      <c r="P831" s="424">
        <f t="shared" si="247"/>
        <v>36</v>
      </c>
      <c r="Q831" s="424">
        <f t="shared" si="247"/>
        <v>46</v>
      </c>
      <c r="R831" s="424">
        <f t="shared" si="247"/>
        <v>331</v>
      </c>
    </row>
    <row r="832" spans="2:18" x14ac:dyDescent="0.2">
      <c r="C832" s="32" t="s">
        <v>1150</v>
      </c>
      <c r="D832" s="444" t="s">
        <v>809</v>
      </c>
      <c r="F832" s="424">
        <f t="shared" si="247"/>
        <v>98</v>
      </c>
      <c r="G832" s="424">
        <f t="shared" si="247"/>
        <v>102</v>
      </c>
      <c r="H832" s="424">
        <f t="shared" si="247"/>
        <v>100</v>
      </c>
      <c r="I832" s="424">
        <f t="shared" si="247"/>
        <v>100</v>
      </c>
      <c r="J832" s="424">
        <f t="shared" si="247"/>
        <v>101</v>
      </c>
      <c r="K832" s="424">
        <f t="shared" si="247"/>
        <v>100</v>
      </c>
      <c r="L832" s="424">
        <f t="shared" si="247"/>
        <v>100</v>
      </c>
      <c r="M832" s="424">
        <f t="shared" si="247"/>
        <v>99</v>
      </c>
      <c r="N832" s="424">
        <f t="shared" si="247"/>
        <v>99</v>
      </c>
      <c r="O832" s="424">
        <f t="shared" si="247"/>
        <v>98</v>
      </c>
      <c r="P832" s="424">
        <f t="shared" si="247"/>
        <v>97</v>
      </c>
      <c r="Q832" s="424">
        <f t="shared" si="247"/>
        <v>98</v>
      </c>
      <c r="R832" s="424">
        <f t="shared" si="247"/>
        <v>1192</v>
      </c>
    </row>
    <row r="833" spans="2:18" x14ac:dyDescent="0.2">
      <c r="C833" s="32" t="s">
        <v>1151</v>
      </c>
      <c r="D833" s="444" t="s">
        <v>810</v>
      </c>
      <c r="F833" s="424">
        <f>F815</f>
        <v>0</v>
      </c>
      <c r="G833" s="424">
        <f t="shared" ref="G833:R833" si="248">G815</f>
        <v>0</v>
      </c>
      <c r="H833" s="424">
        <f t="shared" si="248"/>
        <v>0</v>
      </c>
      <c r="I833" s="424">
        <f t="shared" si="248"/>
        <v>0</v>
      </c>
      <c r="J833" s="424">
        <f t="shared" si="248"/>
        <v>0</v>
      </c>
      <c r="K833" s="424">
        <f t="shared" si="248"/>
        <v>1</v>
      </c>
      <c r="L833" s="424">
        <f t="shared" si="248"/>
        <v>1</v>
      </c>
      <c r="M833" s="424">
        <f t="shared" si="248"/>
        <v>1</v>
      </c>
      <c r="N833" s="424">
        <f t="shared" si="248"/>
        <v>1</v>
      </c>
      <c r="O833" s="424">
        <f t="shared" si="248"/>
        <v>1</v>
      </c>
      <c r="P833" s="424">
        <f t="shared" si="248"/>
        <v>1</v>
      </c>
      <c r="Q833" s="424">
        <f t="shared" si="248"/>
        <v>1</v>
      </c>
      <c r="R833" s="424">
        <f t="shared" si="248"/>
        <v>7</v>
      </c>
    </row>
    <row r="834" spans="2:18" x14ac:dyDescent="0.2">
      <c r="C834" s="32" t="s">
        <v>1152</v>
      </c>
      <c r="D834" s="444" t="s">
        <v>811</v>
      </c>
      <c r="F834" s="424">
        <f t="shared" ref="F834:R834" si="249">F807+F816</f>
        <v>13</v>
      </c>
      <c r="G834" s="424">
        <f t="shared" si="249"/>
        <v>13</v>
      </c>
      <c r="H834" s="424">
        <f t="shared" si="249"/>
        <v>13</v>
      </c>
      <c r="I834" s="424">
        <f t="shared" si="249"/>
        <v>13</v>
      </c>
      <c r="J834" s="424">
        <f t="shared" si="249"/>
        <v>13</v>
      </c>
      <c r="K834" s="424">
        <f t="shared" si="249"/>
        <v>13</v>
      </c>
      <c r="L834" s="424">
        <f t="shared" si="249"/>
        <v>13</v>
      </c>
      <c r="M834" s="424">
        <f t="shared" si="249"/>
        <v>13</v>
      </c>
      <c r="N834" s="424">
        <f t="shared" si="249"/>
        <v>13</v>
      </c>
      <c r="O834" s="424">
        <f t="shared" si="249"/>
        <v>13</v>
      </c>
      <c r="P834" s="424">
        <f t="shared" si="249"/>
        <v>13</v>
      </c>
      <c r="Q834" s="424">
        <f t="shared" si="249"/>
        <v>12</v>
      </c>
      <c r="R834" s="424">
        <f t="shared" si="249"/>
        <v>155</v>
      </c>
    </row>
    <row r="835" spans="2:18" x14ac:dyDescent="0.2">
      <c r="C835" s="343" t="s">
        <v>844</v>
      </c>
      <c r="F835" s="424">
        <f t="shared" ref="F835:N835" si="250">F820</f>
        <v>12</v>
      </c>
      <c r="G835" s="424">
        <f t="shared" si="250"/>
        <v>12</v>
      </c>
      <c r="H835" s="424">
        <f t="shared" si="250"/>
        <v>12</v>
      </c>
      <c r="I835" s="424">
        <f t="shared" si="250"/>
        <v>12</v>
      </c>
      <c r="J835" s="424">
        <f t="shared" si="250"/>
        <v>12</v>
      </c>
      <c r="K835" s="424">
        <f t="shared" si="250"/>
        <v>12</v>
      </c>
      <c r="L835" s="424">
        <f t="shared" si="250"/>
        <v>12</v>
      </c>
      <c r="M835" s="424">
        <f t="shared" si="250"/>
        <v>12</v>
      </c>
      <c r="N835" s="424">
        <f t="shared" si="250"/>
        <v>12</v>
      </c>
      <c r="O835" s="424">
        <f>O820</f>
        <v>12</v>
      </c>
      <c r="P835" s="424">
        <f>P820</f>
        <v>12</v>
      </c>
      <c r="Q835" s="424">
        <f>Q820</f>
        <v>12</v>
      </c>
      <c r="R835" s="424">
        <f>R820</f>
        <v>144</v>
      </c>
    </row>
    <row r="836" spans="2:18" x14ac:dyDescent="0.2">
      <c r="C836" s="32" t="s">
        <v>1141</v>
      </c>
      <c r="F836" s="357">
        <f t="shared" ref="F836:N836" si="251">SUM(F824:F835)</f>
        <v>757684</v>
      </c>
      <c r="G836" s="357">
        <f t="shared" si="251"/>
        <v>758885</v>
      </c>
      <c r="H836" s="357">
        <f t="shared" si="251"/>
        <v>759873</v>
      </c>
      <c r="I836" s="357">
        <f t="shared" si="251"/>
        <v>760124.03</v>
      </c>
      <c r="J836" s="357">
        <f t="shared" si="251"/>
        <v>760670</v>
      </c>
      <c r="K836" s="357">
        <f t="shared" si="251"/>
        <v>761724</v>
      </c>
      <c r="L836" s="357">
        <f t="shared" si="251"/>
        <v>762056</v>
      </c>
      <c r="M836" s="357">
        <f t="shared" si="251"/>
        <v>761195</v>
      </c>
      <c r="N836" s="357">
        <f t="shared" si="251"/>
        <v>762357</v>
      </c>
      <c r="O836" s="357">
        <f>SUM(O824:O835)</f>
        <v>761431</v>
      </c>
      <c r="P836" s="357">
        <f>SUM(P824:P835)</f>
        <v>761918</v>
      </c>
      <c r="Q836" s="357">
        <f>SUM(Q824:Q835)</f>
        <v>762413</v>
      </c>
      <c r="R836" s="357">
        <f>SUM(R824:R835)</f>
        <v>9130330.0299999993</v>
      </c>
    </row>
    <row r="837" spans="2:18" x14ac:dyDescent="0.2">
      <c r="C837" s="32" t="s">
        <v>1153</v>
      </c>
      <c r="F837" s="424">
        <f t="shared" ref="F837:R837" si="252">F836-F821</f>
        <v>0</v>
      </c>
      <c r="G837" s="424">
        <f t="shared" si="252"/>
        <v>0</v>
      </c>
      <c r="H837" s="424">
        <f t="shared" si="252"/>
        <v>0</v>
      </c>
      <c r="I837" s="424">
        <f t="shared" si="252"/>
        <v>0</v>
      </c>
      <c r="J837" s="424">
        <f t="shared" si="252"/>
        <v>0</v>
      </c>
      <c r="K837" s="424">
        <f t="shared" si="252"/>
        <v>0</v>
      </c>
      <c r="L837" s="424">
        <f t="shared" si="252"/>
        <v>0</v>
      </c>
      <c r="M837" s="424">
        <f t="shared" si="252"/>
        <v>0</v>
      </c>
      <c r="N837" s="424">
        <f t="shared" si="252"/>
        <v>0</v>
      </c>
      <c r="O837" s="424">
        <f t="shared" si="252"/>
        <v>0</v>
      </c>
      <c r="P837" s="424">
        <f t="shared" si="252"/>
        <v>0</v>
      </c>
      <c r="Q837" s="424">
        <f t="shared" si="252"/>
        <v>0</v>
      </c>
      <c r="R837" s="424">
        <f t="shared" si="252"/>
        <v>0</v>
      </c>
    </row>
    <row r="838" spans="2:18" x14ac:dyDescent="0.2">
      <c r="F838" s="424"/>
      <c r="G838" s="424"/>
      <c r="H838" s="424"/>
      <c r="I838" s="424"/>
      <c r="J838" s="424"/>
      <c r="K838" s="424"/>
      <c r="L838" s="424"/>
      <c r="M838" s="424"/>
      <c r="N838" s="424"/>
      <c r="O838" s="424"/>
      <c r="P838" s="424"/>
      <c r="Q838" s="424"/>
      <c r="R838" s="424"/>
    </row>
    <row r="839" spans="2:18" x14ac:dyDescent="0.2">
      <c r="B839" s="32" t="s">
        <v>1154</v>
      </c>
      <c r="F839" s="279"/>
      <c r="G839" s="279"/>
      <c r="H839" s="279"/>
      <c r="I839" s="279"/>
      <c r="J839" s="279"/>
      <c r="K839" s="279"/>
      <c r="L839" s="279"/>
      <c r="M839" s="279"/>
      <c r="N839" s="279"/>
      <c r="O839" s="279"/>
      <c r="P839" s="279"/>
      <c r="Q839" s="279"/>
      <c r="R839" s="279"/>
    </row>
    <row r="840" spans="2:18" x14ac:dyDescent="0.2">
      <c r="C840" s="336" t="s">
        <v>1155</v>
      </c>
      <c r="D840" s="336">
        <v>16</v>
      </c>
      <c r="F840" s="398">
        <f t="shared" ref="F840:N840" si="253">F16</f>
        <v>1026</v>
      </c>
      <c r="G840" s="398">
        <f t="shared" si="253"/>
        <v>1026</v>
      </c>
      <c r="H840" s="398">
        <f t="shared" si="253"/>
        <v>1026</v>
      </c>
      <c r="I840" s="398">
        <f t="shared" si="253"/>
        <v>1026</v>
      </c>
      <c r="J840" s="398">
        <f t="shared" si="253"/>
        <v>1025.9999999999998</v>
      </c>
      <c r="K840" s="398">
        <f t="shared" si="253"/>
        <v>1026</v>
      </c>
      <c r="L840" s="398">
        <f t="shared" si="253"/>
        <v>1007</v>
      </c>
      <c r="M840" s="398">
        <f t="shared" si="253"/>
        <v>1007</v>
      </c>
      <c r="N840" s="398">
        <f t="shared" si="253"/>
        <v>1007</v>
      </c>
      <c r="O840" s="398">
        <f>O16</f>
        <v>1007</v>
      </c>
      <c r="P840" s="398">
        <f>P16</f>
        <v>1007</v>
      </c>
      <c r="Q840" s="398">
        <f>Q16</f>
        <v>1007</v>
      </c>
      <c r="R840" s="279">
        <f t="shared" ref="R840:R852" si="254">SUM(F840:Q840)</f>
        <v>12198</v>
      </c>
    </row>
    <row r="841" spans="2:18" x14ac:dyDescent="0.2">
      <c r="C841" s="32" t="s">
        <v>374</v>
      </c>
      <c r="D841" s="32">
        <v>23</v>
      </c>
      <c r="F841" s="279">
        <f t="shared" ref="F841:N841" si="255">F34</f>
        <v>71187692</v>
      </c>
      <c r="G841" s="279">
        <f t="shared" si="255"/>
        <v>58357925</v>
      </c>
      <c r="H841" s="279">
        <f t="shared" si="255"/>
        <v>59215201</v>
      </c>
      <c r="I841" s="279">
        <f t="shared" si="255"/>
        <v>46508498</v>
      </c>
      <c r="J841" s="279">
        <f t="shared" si="255"/>
        <v>33382131</v>
      </c>
      <c r="K841" s="279">
        <f t="shared" si="255"/>
        <v>21957138</v>
      </c>
      <c r="L841" s="279">
        <f t="shared" si="255"/>
        <v>15080375</v>
      </c>
      <c r="M841" s="279">
        <f t="shared" si="255"/>
        <v>14189236</v>
      </c>
      <c r="N841" s="279">
        <f t="shared" si="255"/>
        <v>18121975</v>
      </c>
      <c r="O841" s="279">
        <f>O34</f>
        <v>36524174</v>
      </c>
      <c r="P841" s="279">
        <f>P34</f>
        <v>67472591</v>
      </c>
      <c r="Q841" s="279">
        <f>Q34</f>
        <v>84734325</v>
      </c>
      <c r="R841" s="279">
        <f t="shared" si="254"/>
        <v>526731261</v>
      </c>
    </row>
    <row r="842" spans="2:18" x14ac:dyDescent="0.2">
      <c r="C842" s="32" t="s">
        <v>1122</v>
      </c>
      <c r="D842" s="32">
        <v>53</v>
      </c>
      <c r="F842" s="279">
        <f t="shared" ref="F842:N842" si="256">F52</f>
        <v>205</v>
      </c>
      <c r="G842" s="279">
        <f t="shared" si="256"/>
        <v>216</v>
      </c>
      <c r="H842" s="279">
        <f t="shared" si="256"/>
        <v>301</v>
      </c>
      <c r="I842" s="279">
        <f t="shared" si="256"/>
        <v>219</v>
      </c>
      <c r="J842" s="279">
        <f t="shared" si="256"/>
        <v>145</v>
      </c>
      <c r="K842" s="279">
        <f t="shared" si="256"/>
        <v>107</v>
      </c>
      <c r="L842" s="279">
        <f t="shared" si="256"/>
        <v>89</v>
      </c>
      <c r="M842" s="279">
        <f t="shared" si="256"/>
        <v>86</v>
      </c>
      <c r="N842" s="279">
        <f t="shared" si="256"/>
        <v>84</v>
      </c>
      <c r="O842" s="279">
        <f>O52</f>
        <v>160</v>
      </c>
      <c r="P842" s="279">
        <f>P52</f>
        <v>222</v>
      </c>
      <c r="Q842" s="279">
        <f>Q52</f>
        <v>280</v>
      </c>
      <c r="R842" s="279">
        <f t="shared" si="254"/>
        <v>2114</v>
      </c>
    </row>
    <row r="843" spans="2:18" x14ac:dyDescent="0.2">
      <c r="C843" s="32" t="s">
        <v>1123</v>
      </c>
      <c r="D843" s="32">
        <v>31</v>
      </c>
      <c r="F843" s="279">
        <f t="shared" ref="F843:N843" si="257">F81</f>
        <v>22530052</v>
      </c>
      <c r="G843" s="279">
        <f t="shared" si="257"/>
        <v>18400356</v>
      </c>
      <c r="H843" s="279">
        <f t="shared" si="257"/>
        <v>18722609</v>
      </c>
      <c r="I843" s="279">
        <f t="shared" si="257"/>
        <v>15159542</v>
      </c>
      <c r="J843" s="279">
        <f t="shared" si="257"/>
        <v>11739148</v>
      </c>
      <c r="K843" s="279">
        <f t="shared" si="257"/>
        <v>8759117</v>
      </c>
      <c r="L843" s="279">
        <f t="shared" si="257"/>
        <v>7017499</v>
      </c>
      <c r="M843" s="279">
        <f t="shared" si="257"/>
        <v>6870079</v>
      </c>
      <c r="N843" s="279">
        <f t="shared" si="257"/>
        <v>7730919</v>
      </c>
      <c r="O843" s="279">
        <f>O81</f>
        <v>12369351</v>
      </c>
      <c r="P843" s="279">
        <f>P81</f>
        <v>21057029</v>
      </c>
      <c r="Q843" s="279">
        <f>Q81</f>
        <v>26731097</v>
      </c>
      <c r="R843" s="279">
        <f t="shared" si="254"/>
        <v>177086798</v>
      </c>
    </row>
    <row r="844" spans="2:18" x14ac:dyDescent="0.2">
      <c r="C844" s="32" t="s">
        <v>1124</v>
      </c>
      <c r="D844" s="32">
        <v>41</v>
      </c>
      <c r="F844" s="279">
        <f t="shared" ref="F844:N844" si="258">F111</f>
        <v>6678954</v>
      </c>
      <c r="G844" s="279">
        <f t="shared" si="258"/>
        <v>5756196</v>
      </c>
      <c r="H844" s="279">
        <f t="shared" si="258"/>
        <v>6096346</v>
      </c>
      <c r="I844" s="279">
        <f t="shared" si="258"/>
        <v>5248744</v>
      </c>
      <c r="J844" s="279">
        <f t="shared" si="258"/>
        <v>4556788</v>
      </c>
      <c r="K844" s="279">
        <f t="shared" si="258"/>
        <v>3569491</v>
      </c>
      <c r="L844" s="279">
        <f t="shared" si="258"/>
        <v>2925297</v>
      </c>
      <c r="M844" s="279">
        <f t="shared" si="258"/>
        <v>2859421</v>
      </c>
      <c r="N844" s="279">
        <f t="shared" si="258"/>
        <v>3145935</v>
      </c>
      <c r="O844" s="279">
        <f>O111</f>
        <v>4405828</v>
      </c>
      <c r="P844" s="279">
        <f>P111</f>
        <v>6086833</v>
      </c>
      <c r="Q844" s="279">
        <f>Q111</f>
        <v>6998517</v>
      </c>
      <c r="R844" s="279">
        <f t="shared" si="254"/>
        <v>58328350</v>
      </c>
    </row>
    <row r="845" spans="2:18" x14ac:dyDescent="0.2">
      <c r="C845" s="32" t="s">
        <v>1128</v>
      </c>
      <c r="D845" s="32">
        <v>85</v>
      </c>
      <c r="F845" s="279">
        <f t="shared" ref="F845:N845" si="259">F281</f>
        <v>1540528</v>
      </c>
      <c r="G845" s="279">
        <f t="shared" si="259"/>
        <v>1365910</v>
      </c>
      <c r="H845" s="279">
        <f t="shared" si="259"/>
        <v>1543042</v>
      </c>
      <c r="I845" s="279">
        <f t="shared" si="259"/>
        <v>1351647</v>
      </c>
      <c r="J845" s="279">
        <f t="shared" si="259"/>
        <v>1142807</v>
      </c>
      <c r="K845" s="279">
        <f t="shared" si="259"/>
        <v>861289</v>
      </c>
      <c r="L845" s="279">
        <f t="shared" si="259"/>
        <v>719459</v>
      </c>
      <c r="M845" s="279">
        <f t="shared" si="259"/>
        <v>682351</v>
      </c>
      <c r="N845" s="279">
        <f t="shared" si="259"/>
        <v>737916</v>
      </c>
      <c r="O845" s="279">
        <f>O281</f>
        <v>1088491</v>
      </c>
      <c r="P845" s="279">
        <f>P281</f>
        <v>1469983</v>
      </c>
      <c r="Q845" s="279">
        <f>Q281</f>
        <v>1567374</v>
      </c>
      <c r="R845" s="279">
        <f t="shared" si="254"/>
        <v>14070797</v>
      </c>
    </row>
    <row r="846" spans="2:18" x14ac:dyDescent="0.2">
      <c r="C846" s="32" t="s">
        <v>1129</v>
      </c>
      <c r="D846" s="32">
        <v>86</v>
      </c>
      <c r="F846" s="279">
        <f t="shared" ref="F846:N846" si="260">F324</f>
        <v>1663779</v>
      </c>
      <c r="G846" s="279">
        <f t="shared" si="260"/>
        <v>1409469</v>
      </c>
      <c r="H846" s="279">
        <f t="shared" si="260"/>
        <v>1462011</v>
      </c>
      <c r="I846" s="279">
        <f t="shared" si="260"/>
        <v>1219957</v>
      </c>
      <c r="J846" s="279">
        <f t="shared" si="260"/>
        <v>979898</v>
      </c>
      <c r="K846" s="279">
        <f t="shared" si="260"/>
        <v>626681</v>
      </c>
      <c r="L846" s="279">
        <f t="shared" si="260"/>
        <v>362839</v>
      </c>
      <c r="M846" s="279">
        <f t="shared" si="260"/>
        <v>338531</v>
      </c>
      <c r="N846" s="279">
        <f t="shared" si="260"/>
        <v>494396</v>
      </c>
      <c r="O846" s="279">
        <f>O324</f>
        <v>927504</v>
      </c>
      <c r="P846" s="279">
        <f>P324</f>
        <v>1494947</v>
      </c>
      <c r="Q846" s="279">
        <f>Q324</f>
        <v>1707029</v>
      </c>
      <c r="R846" s="279">
        <f t="shared" si="254"/>
        <v>12687041</v>
      </c>
    </row>
    <row r="847" spans="2:18" x14ac:dyDescent="0.2">
      <c r="C847" s="32" t="s">
        <v>1130</v>
      </c>
      <c r="D847" s="32">
        <v>87</v>
      </c>
      <c r="F847" s="279">
        <f t="shared" ref="F847:N847" si="261">F374</f>
        <v>2992144</v>
      </c>
      <c r="G847" s="279">
        <f t="shared" si="261"/>
        <v>2636531</v>
      </c>
      <c r="H847" s="279">
        <f t="shared" si="261"/>
        <v>2769578</v>
      </c>
      <c r="I847" s="279">
        <f t="shared" si="261"/>
        <v>2479235</v>
      </c>
      <c r="J847" s="279">
        <f t="shared" si="261"/>
        <v>2256353</v>
      </c>
      <c r="K847" s="279">
        <f t="shared" si="261"/>
        <v>1872603</v>
      </c>
      <c r="L847" s="279">
        <f t="shared" si="261"/>
        <v>1565592</v>
      </c>
      <c r="M847" s="279">
        <f t="shared" si="261"/>
        <v>1423850</v>
      </c>
      <c r="N847" s="279">
        <f t="shared" si="261"/>
        <v>1529532</v>
      </c>
      <c r="O847" s="279">
        <f>O374</f>
        <v>2142717</v>
      </c>
      <c r="P847" s="279">
        <f>P374</f>
        <v>2807516</v>
      </c>
      <c r="Q847" s="279">
        <f>Q374</f>
        <v>3255881</v>
      </c>
      <c r="R847" s="279">
        <f t="shared" si="254"/>
        <v>27731532</v>
      </c>
    </row>
    <row r="848" spans="2:18" x14ac:dyDescent="0.2">
      <c r="C848" s="32" t="s">
        <v>1131</v>
      </c>
      <c r="D848" s="32">
        <v>31</v>
      </c>
      <c r="F848" s="279">
        <f t="shared" ref="F848:N848" si="262">F409</f>
        <v>1862880</v>
      </c>
      <c r="G848" s="279">
        <f t="shared" si="262"/>
        <v>1530899</v>
      </c>
      <c r="H848" s="279">
        <f t="shared" si="262"/>
        <v>1488929</v>
      </c>
      <c r="I848" s="279">
        <f t="shared" si="262"/>
        <v>1169710</v>
      </c>
      <c r="J848" s="279">
        <f t="shared" si="262"/>
        <v>831580</v>
      </c>
      <c r="K848" s="279">
        <f t="shared" si="262"/>
        <v>572733</v>
      </c>
      <c r="L848" s="279">
        <f t="shared" si="262"/>
        <v>457633</v>
      </c>
      <c r="M848" s="279">
        <f t="shared" si="262"/>
        <v>450461</v>
      </c>
      <c r="N848" s="279">
        <f t="shared" si="262"/>
        <v>516301</v>
      </c>
      <c r="O848" s="279">
        <f>O409</f>
        <v>875671</v>
      </c>
      <c r="P848" s="279">
        <f>P409</f>
        <v>1570654</v>
      </c>
      <c r="Q848" s="279">
        <f>Q409</f>
        <v>2065921</v>
      </c>
      <c r="R848" s="279">
        <f t="shared" si="254"/>
        <v>13393372</v>
      </c>
    </row>
    <row r="849" spans="2:18" x14ac:dyDescent="0.2">
      <c r="C849" s="32" t="s">
        <v>1132</v>
      </c>
      <c r="D849" s="32">
        <v>41</v>
      </c>
      <c r="F849" s="279">
        <f t="shared" ref="F849:N849" si="263">F439</f>
        <v>1325101</v>
      </c>
      <c r="G849" s="279">
        <f t="shared" si="263"/>
        <v>1224918</v>
      </c>
      <c r="H849" s="279">
        <f t="shared" si="263"/>
        <v>1400426</v>
      </c>
      <c r="I849" s="279">
        <f t="shared" si="263"/>
        <v>1346735</v>
      </c>
      <c r="J849" s="279">
        <f t="shared" si="263"/>
        <v>1340123</v>
      </c>
      <c r="K849" s="279">
        <f t="shared" si="263"/>
        <v>1198669</v>
      </c>
      <c r="L849" s="279">
        <f t="shared" si="263"/>
        <v>1166838</v>
      </c>
      <c r="M849" s="279">
        <f t="shared" si="263"/>
        <v>1217574</v>
      </c>
      <c r="N849" s="279">
        <f t="shared" si="263"/>
        <v>1197533</v>
      </c>
      <c r="O849" s="279">
        <f>O439</f>
        <v>1340154</v>
      </c>
      <c r="P849" s="279">
        <f>P439</f>
        <v>1386876</v>
      </c>
      <c r="Q849" s="279">
        <f>Q439</f>
        <v>1384284</v>
      </c>
      <c r="R849" s="279">
        <f t="shared" si="254"/>
        <v>15529231</v>
      </c>
    </row>
    <row r="850" spans="2:18" x14ac:dyDescent="0.2">
      <c r="C850" s="32" t="s">
        <v>1137</v>
      </c>
      <c r="D850" s="32">
        <v>85</v>
      </c>
      <c r="F850" s="279">
        <f t="shared" ref="F850:N850" si="264">F640</f>
        <v>244025</v>
      </c>
      <c r="G850" s="279">
        <f t="shared" si="264"/>
        <v>230437</v>
      </c>
      <c r="H850" s="279">
        <f t="shared" si="264"/>
        <v>250310</v>
      </c>
      <c r="I850" s="279">
        <f t="shared" si="264"/>
        <v>238410</v>
      </c>
      <c r="J850" s="279">
        <f t="shared" si="264"/>
        <v>231789</v>
      </c>
      <c r="K850" s="279">
        <f t="shared" si="264"/>
        <v>223465</v>
      </c>
      <c r="L850" s="279">
        <f t="shared" si="264"/>
        <v>210855</v>
      </c>
      <c r="M850" s="279">
        <f t="shared" si="264"/>
        <v>254827</v>
      </c>
      <c r="N850" s="279">
        <f t="shared" si="264"/>
        <v>253789</v>
      </c>
      <c r="O850" s="279">
        <f>O640</f>
        <v>236615</v>
      </c>
      <c r="P850" s="279">
        <f>P640</f>
        <v>238060</v>
      </c>
      <c r="Q850" s="279">
        <f>Q640</f>
        <v>249530</v>
      </c>
      <c r="R850" s="279">
        <f t="shared" si="254"/>
        <v>2862112</v>
      </c>
    </row>
    <row r="851" spans="2:18" x14ac:dyDescent="0.2">
      <c r="C851" s="32" t="s">
        <v>1138</v>
      </c>
      <c r="D851" s="32">
        <v>86</v>
      </c>
      <c r="F851" s="279">
        <f t="shared" ref="F851:N851" si="265">F683</f>
        <v>171505</v>
      </c>
      <c r="G851" s="279">
        <f t="shared" si="265"/>
        <v>146383</v>
      </c>
      <c r="H851" s="279">
        <f t="shared" si="265"/>
        <v>66915</v>
      </c>
      <c r="I851" s="279">
        <f t="shared" si="265"/>
        <v>40614</v>
      </c>
      <c r="J851" s="279">
        <f t="shared" si="265"/>
        <v>65028</v>
      </c>
      <c r="K851" s="279">
        <f t="shared" si="265"/>
        <v>83876</v>
      </c>
      <c r="L851" s="279">
        <f t="shared" si="265"/>
        <v>55528</v>
      </c>
      <c r="M851" s="279">
        <f t="shared" si="265"/>
        <v>31451</v>
      </c>
      <c r="N851" s="279">
        <f t="shared" si="265"/>
        <v>25943</v>
      </c>
      <c r="O851" s="279">
        <f>O683</f>
        <v>30191</v>
      </c>
      <c r="P851" s="279">
        <f>P683</f>
        <v>52254</v>
      </c>
      <c r="Q851" s="279">
        <f>Q683</f>
        <v>62644</v>
      </c>
      <c r="R851" s="279">
        <f t="shared" si="254"/>
        <v>832332</v>
      </c>
    </row>
    <row r="852" spans="2:18" x14ac:dyDescent="0.2">
      <c r="C852" s="32" t="s">
        <v>1139</v>
      </c>
      <c r="D852" s="32">
        <v>87</v>
      </c>
      <c r="F852" s="279">
        <f t="shared" ref="F852:N852" si="266">F733</f>
        <v>83770</v>
      </c>
      <c r="G852" s="279">
        <f t="shared" si="266"/>
        <v>115393</v>
      </c>
      <c r="H852" s="279">
        <f t="shared" si="266"/>
        <v>118389</v>
      </c>
      <c r="I852" s="279">
        <f t="shared" si="266"/>
        <v>148227</v>
      </c>
      <c r="J852" s="279">
        <f t="shared" si="266"/>
        <v>172767</v>
      </c>
      <c r="K852" s="279">
        <f t="shared" si="266"/>
        <v>130945</v>
      </c>
      <c r="L852" s="279">
        <f t="shared" si="266"/>
        <v>105034</v>
      </c>
      <c r="M852" s="279">
        <f t="shared" si="266"/>
        <v>153481</v>
      </c>
      <c r="N852" s="279">
        <f t="shared" si="266"/>
        <v>200237</v>
      </c>
      <c r="O852" s="279">
        <f>O733</f>
        <v>222364</v>
      </c>
      <c r="P852" s="279">
        <f>P733</f>
        <v>202008</v>
      </c>
      <c r="Q852" s="279">
        <f>Q733</f>
        <v>136423</v>
      </c>
      <c r="R852" s="279">
        <f t="shared" si="254"/>
        <v>1789038</v>
      </c>
    </row>
    <row r="853" spans="2:18" x14ac:dyDescent="0.2">
      <c r="C853" s="32" t="s">
        <v>1156</v>
      </c>
      <c r="F853" s="357">
        <f t="shared" ref="F853:N853" si="267">SUM(F840:F852)</f>
        <v>110281661</v>
      </c>
      <c r="G853" s="357">
        <f t="shared" si="267"/>
        <v>91175659</v>
      </c>
      <c r="H853" s="357">
        <f t="shared" si="267"/>
        <v>93135083</v>
      </c>
      <c r="I853" s="357">
        <f t="shared" si="267"/>
        <v>74912564</v>
      </c>
      <c r="J853" s="357">
        <f t="shared" si="267"/>
        <v>56699583</v>
      </c>
      <c r="K853" s="357">
        <f t="shared" si="267"/>
        <v>39857140</v>
      </c>
      <c r="L853" s="357">
        <f t="shared" si="267"/>
        <v>29668045</v>
      </c>
      <c r="M853" s="357">
        <f t="shared" si="267"/>
        <v>28472355</v>
      </c>
      <c r="N853" s="357">
        <f t="shared" si="267"/>
        <v>33955567</v>
      </c>
      <c r="O853" s="357">
        <f>SUM(O840:O852)</f>
        <v>60164227</v>
      </c>
      <c r="P853" s="357">
        <f>SUM(P840:P852)</f>
        <v>103839980</v>
      </c>
      <c r="Q853" s="357">
        <f>SUM(Q840:Q852)</f>
        <v>128894312</v>
      </c>
      <c r="R853" s="357">
        <f>SUM(R840:R852)</f>
        <v>851056176</v>
      </c>
    </row>
    <row r="855" spans="2:18" x14ac:dyDescent="0.2">
      <c r="B855" s="32" t="s">
        <v>1157</v>
      </c>
    </row>
    <row r="856" spans="2:18" x14ac:dyDescent="0.2">
      <c r="C856" s="32" t="s">
        <v>1158</v>
      </c>
      <c r="D856" s="444" t="s">
        <v>808</v>
      </c>
      <c r="F856" s="279">
        <f t="shared" ref="F856:N856" si="268">F150</f>
        <v>100691</v>
      </c>
      <c r="G856" s="279">
        <f t="shared" si="268"/>
        <v>97206</v>
      </c>
      <c r="H856" s="279">
        <f t="shared" si="268"/>
        <v>117660</v>
      </c>
      <c r="I856" s="279">
        <f t="shared" si="268"/>
        <v>114662</v>
      </c>
      <c r="J856" s="279">
        <f t="shared" si="268"/>
        <v>102961</v>
      </c>
      <c r="K856" s="279">
        <f t="shared" si="268"/>
        <v>89621</v>
      </c>
      <c r="L856" s="279">
        <f t="shared" si="268"/>
        <v>96388</v>
      </c>
      <c r="M856" s="279">
        <f t="shared" si="268"/>
        <v>90663</v>
      </c>
      <c r="N856" s="279">
        <f t="shared" si="268"/>
        <v>131647</v>
      </c>
      <c r="O856" s="279">
        <f>O150</f>
        <v>137275</v>
      </c>
      <c r="P856" s="279">
        <f>P150</f>
        <v>228305</v>
      </c>
      <c r="Q856" s="279">
        <f>Q150</f>
        <v>318484</v>
      </c>
      <c r="R856" s="279">
        <f t="shared" ref="R856:R863" si="269">SUM(F856:Q856)</f>
        <v>1625563</v>
      </c>
    </row>
    <row r="857" spans="2:18" x14ac:dyDescent="0.2">
      <c r="C857" s="32" t="s">
        <v>1159</v>
      </c>
      <c r="D857" s="444" t="s">
        <v>809</v>
      </c>
      <c r="F857" s="279">
        <f t="shared" ref="F857:N857" si="270">F186</f>
        <v>2122993</v>
      </c>
      <c r="G857" s="279">
        <f t="shared" si="270"/>
        <v>1912161</v>
      </c>
      <c r="H857" s="279">
        <f t="shared" si="270"/>
        <v>2151429</v>
      </c>
      <c r="I857" s="279">
        <f t="shared" si="270"/>
        <v>1981454</v>
      </c>
      <c r="J857" s="279">
        <f t="shared" si="270"/>
        <v>1886419</v>
      </c>
      <c r="K857" s="279">
        <f t="shared" si="270"/>
        <v>1770605</v>
      </c>
      <c r="L857" s="279">
        <f t="shared" si="270"/>
        <v>1664441</v>
      </c>
      <c r="M857" s="279">
        <f t="shared" si="270"/>
        <v>1721220</v>
      </c>
      <c r="N857" s="279">
        <f t="shared" si="270"/>
        <v>1702205</v>
      </c>
      <c r="O857" s="279">
        <f>O186</f>
        <v>1940953</v>
      </c>
      <c r="P857" s="279">
        <f>P186</f>
        <v>2090527</v>
      </c>
      <c r="Q857" s="279">
        <f>Q186</f>
        <v>2197380</v>
      </c>
      <c r="R857" s="279">
        <f t="shared" si="269"/>
        <v>23141787</v>
      </c>
    </row>
    <row r="858" spans="2:18" x14ac:dyDescent="0.2">
      <c r="C858" s="32" t="s">
        <v>1160</v>
      </c>
      <c r="D858" s="444" t="s">
        <v>811</v>
      </c>
      <c r="F858" s="279">
        <f t="shared" ref="F858:N858" si="271">F227</f>
        <v>1937952</v>
      </c>
      <c r="G858" s="279">
        <f t="shared" si="271"/>
        <v>1707812</v>
      </c>
      <c r="H858" s="279">
        <f t="shared" si="271"/>
        <v>1821369</v>
      </c>
      <c r="I858" s="279">
        <f t="shared" si="271"/>
        <v>1678807</v>
      </c>
      <c r="J858" s="279">
        <f t="shared" si="271"/>
        <v>1544678</v>
      </c>
      <c r="K858" s="279">
        <f t="shared" si="271"/>
        <v>1294429</v>
      </c>
      <c r="L858" s="279">
        <f t="shared" si="271"/>
        <v>1196692</v>
      </c>
      <c r="M858" s="279">
        <f t="shared" si="271"/>
        <v>1164811</v>
      </c>
      <c r="N858" s="279">
        <f t="shared" si="271"/>
        <v>1237757</v>
      </c>
      <c r="O858" s="279">
        <f>O227</f>
        <v>1487119</v>
      </c>
      <c r="P858" s="279">
        <f>P227</f>
        <v>1981257</v>
      </c>
      <c r="Q858" s="279">
        <f>Q227</f>
        <v>1990898</v>
      </c>
      <c r="R858" s="279">
        <f t="shared" si="269"/>
        <v>19043581</v>
      </c>
    </row>
    <row r="859" spans="2:18" x14ac:dyDescent="0.2">
      <c r="C859" s="32" t="s">
        <v>1161</v>
      </c>
      <c r="D859" s="444" t="s">
        <v>808</v>
      </c>
      <c r="F859" s="279">
        <f t="shared" ref="F859:N859" si="272">F478</f>
        <v>309029</v>
      </c>
      <c r="G859" s="279">
        <f t="shared" si="272"/>
        <v>288055</v>
      </c>
      <c r="H859" s="279">
        <f t="shared" si="272"/>
        <v>328103</v>
      </c>
      <c r="I859" s="279">
        <f t="shared" si="272"/>
        <v>311349</v>
      </c>
      <c r="J859" s="279">
        <f t="shared" si="272"/>
        <v>287974</v>
      </c>
      <c r="K859" s="279">
        <f t="shared" si="272"/>
        <v>309899</v>
      </c>
      <c r="L859" s="279">
        <f t="shared" si="272"/>
        <v>405719</v>
      </c>
      <c r="M859" s="279">
        <f t="shared" si="272"/>
        <v>414751</v>
      </c>
      <c r="N859" s="279">
        <f t="shared" si="272"/>
        <v>393132</v>
      </c>
      <c r="O859" s="279">
        <f>O478</f>
        <v>429271</v>
      </c>
      <c r="P859" s="279">
        <f>P478</f>
        <v>479248</v>
      </c>
      <c r="Q859" s="279">
        <f>Q478</f>
        <v>494758</v>
      </c>
      <c r="R859" s="279">
        <f t="shared" si="269"/>
        <v>4451288</v>
      </c>
    </row>
    <row r="860" spans="2:18" x14ac:dyDescent="0.2">
      <c r="C860" s="32" t="s">
        <v>1162</v>
      </c>
      <c r="D860" s="444" t="s">
        <v>809</v>
      </c>
      <c r="F860" s="279">
        <f t="shared" ref="F860:N860" si="273">F514</f>
        <v>3196913</v>
      </c>
      <c r="G860" s="279">
        <f t="shared" si="273"/>
        <v>3150964</v>
      </c>
      <c r="H860" s="279">
        <f t="shared" si="273"/>
        <v>3626483</v>
      </c>
      <c r="I860" s="279">
        <f t="shared" si="273"/>
        <v>3513263</v>
      </c>
      <c r="J860" s="279">
        <f t="shared" si="273"/>
        <v>3574891</v>
      </c>
      <c r="K860" s="279">
        <f t="shared" si="273"/>
        <v>3984245</v>
      </c>
      <c r="L860" s="279">
        <f t="shared" si="273"/>
        <v>3565124</v>
      </c>
      <c r="M860" s="279">
        <f t="shared" si="273"/>
        <v>3675294</v>
      </c>
      <c r="N860" s="279">
        <f t="shared" si="273"/>
        <v>3427405</v>
      </c>
      <c r="O860" s="279">
        <f>O514</f>
        <v>3642138</v>
      </c>
      <c r="P860" s="279">
        <f>P514</f>
        <v>3503575</v>
      </c>
      <c r="Q860" s="279">
        <f>Q514</f>
        <v>3241505</v>
      </c>
      <c r="R860" s="279">
        <f t="shared" si="269"/>
        <v>42101800</v>
      </c>
    </row>
    <row r="861" spans="2:18" x14ac:dyDescent="0.2">
      <c r="C861" s="32" t="s">
        <v>1163</v>
      </c>
      <c r="D861" s="444" t="s">
        <v>810</v>
      </c>
      <c r="F861" s="279">
        <f>F547</f>
        <v>0</v>
      </c>
      <c r="G861" s="279">
        <f t="shared" ref="G861:Q861" si="274">G547</f>
        <v>0</v>
      </c>
      <c r="H861" s="279">
        <f t="shared" si="274"/>
        <v>0</v>
      </c>
      <c r="I861" s="279">
        <f t="shared" si="274"/>
        <v>0</v>
      </c>
      <c r="J861" s="279">
        <f t="shared" si="274"/>
        <v>0</v>
      </c>
      <c r="K861" s="279">
        <f t="shared" si="274"/>
        <v>0</v>
      </c>
      <c r="L861" s="279">
        <f t="shared" si="274"/>
        <v>0</v>
      </c>
      <c r="M861" s="279">
        <f t="shared" si="274"/>
        <v>2158</v>
      </c>
      <c r="N861" s="279">
        <f t="shared" si="274"/>
        <v>9063</v>
      </c>
      <c r="O861" s="279">
        <f t="shared" si="274"/>
        <v>8098</v>
      </c>
      <c r="P861" s="279">
        <f t="shared" si="274"/>
        <v>963</v>
      </c>
      <c r="Q861" s="279">
        <f t="shared" si="274"/>
        <v>197</v>
      </c>
      <c r="R861" s="279">
        <f t="shared" si="269"/>
        <v>20479</v>
      </c>
    </row>
    <row r="862" spans="2:18" x14ac:dyDescent="0.2">
      <c r="C862" s="32" t="s">
        <v>1164</v>
      </c>
      <c r="D862" s="444" t="s">
        <v>811</v>
      </c>
      <c r="F862" s="279">
        <f t="shared" ref="F862:N862" si="275">F587</f>
        <v>7278688</v>
      </c>
      <c r="G862" s="279">
        <f t="shared" si="275"/>
        <v>5758210</v>
      </c>
      <c r="H862" s="279">
        <f t="shared" si="275"/>
        <v>6916724</v>
      </c>
      <c r="I862" s="279">
        <f t="shared" si="275"/>
        <v>6858301</v>
      </c>
      <c r="J862" s="279">
        <f t="shared" si="275"/>
        <v>7969590</v>
      </c>
      <c r="K862" s="279">
        <f t="shared" si="275"/>
        <v>6711041</v>
      </c>
      <c r="L862" s="279">
        <f t="shared" si="275"/>
        <v>7300080</v>
      </c>
      <c r="M862" s="279">
        <f t="shared" si="275"/>
        <v>7448528</v>
      </c>
      <c r="N862" s="279">
        <f t="shared" si="275"/>
        <v>6304467</v>
      </c>
      <c r="O862" s="279">
        <f>O587</f>
        <v>6466760</v>
      </c>
      <c r="P862" s="279">
        <f>P587</f>
        <v>5295710</v>
      </c>
      <c r="Q862" s="279">
        <f>Q587</f>
        <v>5673131</v>
      </c>
      <c r="R862" s="279">
        <f t="shared" si="269"/>
        <v>79981230</v>
      </c>
    </row>
    <row r="863" spans="2:18" x14ac:dyDescent="0.2">
      <c r="C863" s="32" t="s">
        <v>1165</v>
      </c>
      <c r="F863" s="279">
        <f t="shared" ref="F863:N863" si="276">F780</f>
        <v>3517110</v>
      </c>
      <c r="G863" s="279">
        <f t="shared" si="276"/>
        <v>3347997</v>
      </c>
      <c r="H863" s="279">
        <f t="shared" si="276"/>
        <v>3654461</v>
      </c>
      <c r="I863" s="279">
        <f t="shared" si="276"/>
        <v>3238199</v>
      </c>
      <c r="J863" s="279">
        <f t="shared" si="276"/>
        <v>2805705</v>
      </c>
      <c r="K863" s="279">
        <f t="shared" si="276"/>
        <v>2216168</v>
      </c>
      <c r="L863" s="279">
        <f t="shared" si="276"/>
        <v>2006793</v>
      </c>
      <c r="M863" s="279">
        <f t="shared" si="276"/>
        <v>1941842</v>
      </c>
      <c r="N863" s="279">
        <f t="shared" si="276"/>
        <v>1979407</v>
      </c>
      <c r="O863" s="279">
        <f>O780</f>
        <v>2787377</v>
      </c>
      <c r="P863" s="279">
        <f>P780</f>
        <v>3842036</v>
      </c>
      <c r="Q863" s="279">
        <f>Q780</f>
        <v>3871544</v>
      </c>
      <c r="R863" s="279">
        <f t="shared" si="269"/>
        <v>35208639</v>
      </c>
    </row>
    <row r="864" spans="2:18" x14ac:dyDescent="0.2">
      <c r="C864" s="32" t="s">
        <v>1166</v>
      </c>
      <c r="F864" s="357">
        <f t="shared" ref="F864:R864" si="277">SUM(F856:F863)</f>
        <v>18463376</v>
      </c>
      <c r="G864" s="357">
        <f t="shared" si="277"/>
        <v>16262405</v>
      </c>
      <c r="H864" s="357">
        <f t="shared" si="277"/>
        <v>18616229</v>
      </c>
      <c r="I864" s="357">
        <f t="shared" si="277"/>
        <v>17696035</v>
      </c>
      <c r="J864" s="357">
        <f t="shared" si="277"/>
        <v>18172218</v>
      </c>
      <c r="K864" s="357">
        <f t="shared" si="277"/>
        <v>16376008</v>
      </c>
      <c r="L864" s="357">
        <f t="shared" si="277"/>
        <v>16235237</v>
      </c>
      <c r="M864" s="357">
        <f t="shared" si="277"/>
        <v>16459267</v>
      </c>
      <c r="N864" s="357">
        <f t="shared" si="277"/>
        <v>15185083</v>
      </c>
      <c r="O864" s="357">
        <f t="shared" si="277"/>
        <v>16898991</v>
      </c>
      <c r="P864" s="357">
        <f t="shared" si="277"/>
        <v>17421621</v>
      </c>
      <c r="Q864" s="357">
        <f t="shared" si="277"/>
        <v>17787897</v>
      </c>
      <c r="R864" s="357">
        <f t="shared" si="277"/>
        <v>205574367</v>
      </c>
    </row>
    <row r="865" spans="2:18" x14ac:dyDescent="0.2">
      <c r="F865" s="424"/>
      <c r="G865" s="424"/>
      <c r="H865" s="424"/>
      <c r="I865" s="424"/>
      <c r="J865" s="424"/>
      <c r="K865" s="424"/>
      <c r="L865" s="424"/>
      <c r="M865" s="424"/>
      <c r="N865" s="424"/>
      <c r="O865" s="424"/>
      <c r="P865" s="424"/>
      <c r="Q865" s="424"/>
      <c r="R865" s="424"/>
    </row>
    <row r="866" spans="2:18" x14ac:dyDescent="0.2">
      <c r="B866" s="32" t="s">
        <v>1167</v>
      </c>
      <c r="F866" s="357">
        <f t="shared" ref="F866:R866" si="278">F853+F864</f>
        <v>128745037</v>
      </c>
      <c r="G866" s="357">
        <f t="shared" si="278"/>
        <v>107438064</v>
      </c>
      <c r="H866" s="357">
        <f t="shared" si="278"/>
        <v>111751312</v>
      </c>
      <c r="I866" s="357">
        <f t="shared" si="278"/>
        <v>92608599</v>
      </c>
      <c r="J866" s="357">
        <f t="shared" si="278"/>
        <v>74871801</v>
      </c>
      <c r="K866" s="357">
        <f t="shared" si="278"/>
        <v>56233148</v>
      </c>
      <c r="L866" s="357">
        <f t="shared" si="278"/>
        <v>45903282</v>
      </c>
      <c r="M866" s="357">
        <f t="shared" si="278"/>
        <v>44931622</v>
      </c>
      <c r="N866" s="357">
        <f t="shared" si="278"/>
        <v>49140650</v>
      </c>
      <c r="O866" s="357">
        <f t="shared" si="278"/>
        <v>77063218</v>
      </c>
      <c r="P866" s="357">
        <f t="shared" si="278"/>
        <v>121261601</v>
      </c>
      <c r="Q866" s="357">
        <f t="shared" si="278"/>
        <v>146682209</v>
      </c>
      <c r="R866" s="357">
        <f t="shared" si="278"/>
        <v>1056630543</v>
      </c>
    </row>
    <row r="867" spans="2:18" x14ac:dyDescent="0.2">
      <c r="F867" s="424"/>
      <c r="G867" s="424"/>
      <c r="H867" s="424"/>
      <c r="I867" s="424"/>
      <c r="J867" s="424"/>
      <c r="K867" s="424"/>
      <c r="L867" s="424"/>
      <c r="M867" s="424"/>
      <c r="N867" s="424"/>
      <c r="O867" s="424"/>
      <c r="P867" s="424"/>
      <c r="Q867" s="424"/>
      <c r="R867" s="424"/>
    </row>
    <row r="868" spans="2:18" x14ac:dyDescent="0.2">
      <c r="B868" s="32" t="s">
        <v>1168</v>
      </c>
      <c r="F868" s="424"/>
      <c r="G868" s="424"/>
      <c r="H868" s="424"/>
      <c r="I868" s="424"/>
      <c r="J868" s="424"/>
      <c r="K868" s="424"/>
      <c r="L868" s="424"/>
      <c r="M868" s="424"/>
      <c r="N868" s="424"/>
      <c r="O868" s="424"/>
      <c r="P868" s="424"/>
      <c r="Q868" s="424"/>
      <c r="R868" s="424"/>
    </row>
    <row r="869" spans="2:18" x14ac:dyDescent="0.2">
      <c r="C869" s="343" t="s">
        <v>1143</v>
      </c>
      <c r="D869" s="32">
        <v>16</v>
      </c>
      <c r="F869" s="424">
        <f t="shared" ref="F869:Q871" si="279">F840</f>
        <v>1026</v>
      </c>
      <c r="G869" s="424">
        <f t="shared" si="279"/>
        <v>1026</v>
      </c>
      <c r="H869" s="424">
        <f t="shared" si="279"/>
        <v>1026</v>
      </c>
      <c r="I869" s="424">
        <f t="shared" si="279"/>
        <v>1026</v>
      </c>
      <c r="J869" s="424">
        <f t="shared" si="279"/>
        <v>1025.9999999999998</v>
      </c>
      <c r="K869" s="424">
        <f t="shared" si="279"/>
        <v>1026</v>
      </c>
      <c r="L869" s="424">
        <f t="shared" si="279"/>
        <v>1007</v>
      </c>
      <c r="M869" s="424">
        <f t="shared" si="279"/>
        <v>1007</v>
      </c>
      <c r="N869" s="424">
        <f t="shared" si="279"/>
        <v>1007</v>
      </c>
      <c r="O869" s="424">
        <f t="shared" si="279"/>
        <v>1007</v>
      </c>
      <c r="P869" s="424">
        <f t="shared" si="279"/>
        <v>1007</v>
      </c>
      <c r="Q869" s="424">
        <f t="shared" si="279"/>
        <v>1007</v>
      </c>
      <c r="R869" s="424">
        <f>R840</f>
        <v>12198</v>
      </c>
    </row>
    <row r="870" spans="2:18" x14ac:dyDescent="0.2">
      <c r="C870" s="343" t="s">
        <v>1143</v>
      </c>
      <c r="D870" s="32">
        <v>23</v>
      </c>
      <c r="F870" s="424">
        <f t="shared" si="279"/>
        <v>71187692</v>
      </c>
      <c r="G870" s="424">
        <f t="shared" si="279"/>
        <v>58357925</v>
      </c>
      <c r="H870" s="424">
        <f t="shared" si="279"/>
        <v>59215201</v>
      </c>
      <c r="I870" s="424">
        <f t="shared" si="279"/>
        <v>46508498</v>
      </c>
      <c r="J870" s="424">
        <f t="shared" si="279"/>
        <v>33382131</v>
      </c>
      <c r="K870" s="424">
        <f t="shared" si="279"/>
        <v>21957138</v>
      </c>
      <c r="L870" s="424">
        <f t="shared" si="279"/>
        <v>15080375</v>
      </c>
      <c r="M870" s="424">
        <f t="shared" si="279"/>
        <v>14189236</v>
      </c>
      <c r="N870" s="424">
        <f t="shared" si="279"/>
        <v>18121975</v>
      </c>
      <c r="O870" s="424">
        <f t="shared" si="279"/>
        <v>36524174</v>
      </c>
      <c r="P870" s="424">
        <f t="shared" si="279"/>
        <v>67472591</v>
      </c>
      <c r="Q870" s="424">
        <f t="shared" si="279"/>
        <v>84734325</v>
      </c>
      <c r="R870" s="424">
        <f>R841</f>
        <v>526731261</v>
      </c>
    </row>
    <row r="871" spans="2:18" x14ac:dyDescent="0.2">
      <c r="C871" s="343" t="s">
        <v>374</v>
      </c>
      <c r="D871" s="32">
        <v>53</v>
      </c>
      <c r="F871" s="424">
        <f t="shared" si="279"/>
        <v>205</v>
      </c>
      <c r="G871" s="424">
        <f t="shared" si="279"/>
        <v>216</v>
      </c>
      <c r="H871" s="424">
        <f t="shared" si="279"/>
        <v>301</v>
      </c>
      <c r="I871" s="424">
        <f t="shared" si="279"/>
        <v>219</v>
      </c>
      <c r="J871" s="424">
        <f t="shared" si="279"/>
        <v>145</v>
      </c>
      <c r="K871" s="424">
        <f t="shared" si="279"/>
        <v>107</v>
      </c>
      <c r="L871" s="424">
        <f t="shared" si="279"/>
        <v>89</v>
      </c>
      <c r="M871" s="424">
        <f t="shared" si="279"/>
        <v>86</v>
      </c>
      <c r="N871" s="424">
        <f t="shared" si="279"/>
        <v>84</v>
      </c>
      <c r="O871" s="424">
        <f t="shared" si="279"/>
        <v>160</v>
      </c>
      <c r="P871" s="424">
        <f t="shared" si="279"/>
        <v>222</v>
      </c>
      <c r="Q871" s="424">
        <f t="shared" si="279"/>
        <v>280</v>
      </c>
      <c r="R871" s="424">
        <f>R842</f>
        <v>2114</v>
      </c>
    </row>
    <row r="872" spans="2:18" x14ac:dyDescent="0.2">
      <c r="C872" s="346" t="s">
        <v>1144</v>
      </c>
      <c r="D872" s="32">
        <v>31</v>
      </c>
      <c r="F872" s="424">
        <f t="shared" ref="F872:R876" si="280">F843+F848</f>
        <v>24392932</v>
      </c>
      <c r="G872" s="424">
        <f t="shared" si="280"/>
        <v>19931255</v>
      </c>
      <c r="H872" s="424">
        <f t="shared" si="280"/>
        <v>20211538</v>
      </c>
      <c r="I872" s="424">
        <f t="shared" si="280"/>
        <v>16329252</v>
      </c>
      <c r="J872" s="424">
        <f t="shared" si="280"/>
        <v>12570728</v>
      </c>
      <c r="K872" s="424">
        <f t="shared" si="280"/>
        <v>9331850</v>
      </c>
      <c r="L872" s="424">
        <f t="shared" si="280"/>
        <v>7475132</v>
      </c>
      <c r="M872" s="424">
        <f t="shared" si="280"/>
        <v>7320540</v>
      </c>
      <c r="N872" s="424">
        <f t="shared" si="280"/>
        <v>8247220</v>
      </c>
      <c r="O872" s="424">
        <f t="shared" si="280"/>
        <v>13245022</v>
      </c>
      <c r="P872" s="424">
        <f t="shared" si="280"/>
        <v>22627683</v>
      </c>
      <c r="Q872" s="424">
        <f t="shared" si="280"/>
        <v>28797018</v>
      </c>
      <c r="R872" s="424">
        <f t="shared" si="280"/>
        <v>190480170</v>
      </c>
    </row>
    <row r="873" spans="2:18" x14ac:dyDescent="0.2">
      <c r="C873" s="343" t="s">
        <v>1145</v>
      </c>
      <c r="D873" s="32">
        <v>41</v>
      </c>
      <c r="F873" s="424">
        <f t="shared" si="280"/>
        <v>8004055</v>
      </c>
      <c r="G873" s="424">
        <f t="shared" si="280"/>
        <v>6981114</v>
      </c>
      <c r="H873" s="424">
        <f t="shared" si="280"/>
        <v>7496772</v>
      </c>
      <c r="I873" s="424">
        <f t="shared" si="280"/>
        <v>6595479</v>
      </c>
      <c r="J873" s="424">
        <f t="shared" si="280"/>
        <v>5896911</v>
      </c>
      <c r="K873" s="424">
        <f t="shared" si="280"/>
        <v>4768160</v>
      </c>
      <c r="L873" s="424">
        <f t="shared" si="280"/>
        <v>4092135</v>
      </c>
      <c r="M873" s="424">
        <f t="shared" si="280"/>
        <v>4076995</v>
      </c>
      <c r="N873" s="424">
        <f t="shared" si="280"/>
        <v>4343468</v>
      </c>
      <c r="O873" s="424">
        <f t="shared" si="280"/>
        <v>5745982</v>
      </c>
      <c r="P873" s="424">
        <f t="shared" si="280"/>
        <v>7473709</v>
      </c>
      <c r="Q873" s="424">
        <f t="shared" si="280"/>
        <v>8382801</v>
      </c>
      <c r="R873" s="424">
        <f t="shared" si="280"/>
        <v>73857581</v>
      </c>
    </row>
    <row r="874" spans="2:18" x14ac:dyDescent="0.2">
      <c r="C874" s="343" t="s">
        <v>1146</v>
      </c>
      <c r="D874" s="32">
        <v>85</v>
      </c>
      <c r="F874" s="424">
        <f t="shared" si="280"/>
        <v>1784553</v>
      </c>
      <c r="G874" s="424">
        <f t="shared" si="280"/>
        <v>1596347</v>
      </c>
      <c r="H874" s="424">
        <f t="shared" si="280"/>
        <v>1793352</v>
      </c>
      <c r="I874" s="424">
        <f t="shared" si="280"/>
        <v>1590057</v>
      </c>
      <c r="J874" s="424">
        <f t="shared" si="280"/>
        <v>1374596</v>
      </c>
      <c r="K874" s="424">
        <f t="shared" si="280"/>
        <v>1084754</v>
      </c>
      <c r="L874" s="424">
        <f t="shared" si="280"/>
        <v>930314</v>
      </c>
      <c r="M874" s="424">
        <f t="shared" si="280"/>
        <v>937178</v>
      </c>
      <c r="N874" s="424">
        <f t="shared" si="280"/>
        <v>991705</v>
      </c>
      <c r="O874" s="424">
        <f t="shared" si="280"/>
        <v>1325106</v>
      </c>
      <c r="P874" s="424">
        <f t="shared" si="280"/>
        <v>1708043</v>
      </c>
      <c r="Q874" s="424">
        <f t="shared" si="280"/>
        <v>1816904</v>
      </c>
      <c r="R874" s="424">
        <f>R845+R850</f>
        <v>16932909</v>
      </c>
    </row>
    <row r="875" spans="2:18" x14ac:dyDescent="0.2">
      <c r="C875" s="343" t="s">
        <v>1147</v>
      </c>
      <c r="D875" s="32">
        <v>86</v>
      </c>
      <c r="F875" s="424">
        <f t="shared" si="280"/>
        <v>1835284</v>
      </c>
      <c r="G875" s="424">
        <f t="shared" si="280"/>
        <v>1555852</v>
      </c>
      <c r="H875" s="424">
        <f t="shared" si="280"/>
        <v>1528926</v>
      </c>
      <c r="I875" s="424">
        <f t="shared" si="280"/>
        <v>1260571</v>
      </c>
      <c r="J875" s="424">
        <f t="shared" si="280"/>
        <v>1044926</v>
      </c>
      <c r="K875" s="424">
        <f t="shared" si="280"/>
        <v>710557</v>
      </c>
      <c r="L875" s="424">
        <f t="shared" si="280"/>
        <v>418367</v>
      </c>
      <c r="M875" s="424">
        <f t="shared" si="280"/>
        <v>369982</v>
      </c>
      <c r="N875" s="424">
        <f t="shared" si="280"/>
        <v>520339</v>
      </c>
      <c r="O875" s="424">
        <f t="shared" si="280"/>
        <v>957695</v>
      </c>
      <c r="P875" s="424">
        <f t="shared" si="280"/>
        <v>1547201</v>
      </c>
      <c r="Q875" s="424">
        <f t="shared" si="280"/>
        <v>1769673</v>
      </c>
      <c r="R875" s="424">
        <f>R846+R851</f>
        <v>13519373</v>
      </c>
    </row>
    <row r="876" spans="2:18" x14ac:dyDescent="0.2">
      <c r="C876" s="343" t="s">
        <v>1148</v>
      </c>
      <c r="D876" s="32">
        <v>87</v>
      </c>
      <c r="F876" s="424">
        <f t="shared" si="280"/>
        <v>3075914</v>
      </c>
      <c r="G876" s="424">
        <f t="shared" si="280"/>
        <v>2751924</v>
      </c>
      <c r="H876" s="424">
        <f t="shared" si="280"/>
        <v>2887967</v>
      </c>
      <c r="I876" s="424">
        <f t="shared" si="280"/>
        <v>2627462</v>
      </c>
      <c r="J876" s="424">
        <f t="shared" si="280"/>
        <v>2429120</v>
      </c>
      <c r="K876" s="424">
        <f t="shared" si="280"/>
        <v>2003548</v>
      </c>
      <c r="L876" s="424">
        <f t="shared" si="280"/>
        <v>1670626</v>
      </c>
      <c r="M876" s="424">
        <f t="shared" si="280"/>
        <v>1577331</v>
      </c>
      <c r="N876" s="424">
        <f t="shared" si="280"/>
        <v>1729769</v>
      </c>
      <c r="O876" s="424">
        <f t="shared" si="280"/>
        <v>2365081</v>
      </c>
      <c r="P876" s="424">
        <f t="shared" si="280"/>
        <v>3009524</v>
      </c>
      <c r="Q876" s="424">
        <f t="shared" si="280"/>
        <v>3392304</v>
      </c>
      <c r="R876" s="424">
        <f>R847+R852</f>
        <v>29520570</v>
      </c>
    </row>
    <row r="877" spans="2:18" x14ac:dyDescent="0.2">
      <c r="C877" s="32" t="s">
        <v>1149</v>
      </c>
      <c r="D877" s="444" t="s">
        <v>808</v>
      </c>
      <c r="F877" s="424">
        <f t="shared" ref="F877:R878" si="281">F856+F859</f>
        <v>409720</v>
      </c>
      <c r="G877" s="424">
        <f t="shared" si="281"/>
        <v>385261</v>
      </c>
      <c r="H877" s="424">
        <f t="shared" si="281"/>
        <v>445763</v>
      </c>
      <c r="I877" s="424">
        <f t="shared" si="281"/>
        <v>426011</v>
      </c>
      <c r="J877" s="424">
        <f t="shared" si="281"/>
        <v>390935</v>
      </c>
      <c r="K877" s="424">
        <f t="shared" si="281"/>
        <v>399520</v>
      </c>
      <c r="L877" s="424">
        <f t="shared" si="281"/>
        <v>502107</v>
      </c>
      <c r="M877" s="424">
        <f t="shared" si="281"/>
        <v>505414</v>
      </c>
      <c r="N877" s="424">
        <f t="shared" si="281"/>
        <v>524779</v>
      </c>
      <c r="O877" s="424">
        <f t="shared" si="281"/>
        <v>566546</v>
      </c>
      <c r="P877" s="424">
        <f t="shared" si="281"/>
        <v>707553</v>
      </c>
      <c r="Q877" s="424">
        <f t="shared" si="281"/>
        <v>813242</v>
      </c>
      <c r="R877" s="424">
        <f t="shared" si="281"/>
        <v>6076851</v>
      </c>
    </row>
    <row r="878" spans="2:18" x14ac:dyDescent="0.2">
      <c r="C878" s="32" t="s">
        <v>1150</v>
      </c>
      <c r="D878" s="444" t="s">
        <v>809</v>
      </c>
      <c r="F878" s="424">
        <f t="shared" si="281"/>
        <v>5319906</v>
      </c>
      <c r="G878" s="424">
        <f t="shared" si="281"/>
        <v>5063125</v>
      </c>
      <c r="H878" s="424">
        <f t="shared" si="281"/>
        <v>5777912</v>
      </c>
      <c r="I878" s="424">
        <f t="shared" si="281"/>
        <v>5494717</v>
      </c>
      <c r="J878" s="424">
        <f t="shared" si="281"/>
        <v>5461310</v>
      </c>
      <c r="K878" s="424">
        <f t="shared" si="281"/>
        <v>5754850</v>
      </c>
      <c r="L878" s="424">
        <f t="shared" si="281"/>
        <v>5229565</v>
      </c>
      <c r="M878" s="424">
        <f t="shared" si="281"/>
        <v>5396514</v>
      </c>
      <c r="N878" s="424">
        <f t="shared" si="281"/>
        <v>5129610</v>
      </c>
      <c r="O878" s="424">
        <f t="shared" si="281"/>
        <v>5583091</v>
      </c>
      <c r="P878" s="424">
        <f t="shared" si="281"/>
        <v>5594102</v>
      </c>
      <c r="Q878" s="424">
        <f t="shared" si="281"/>
        <v>5438885</v>
      </c>
      <c r="R878" s="424">
        <f t="shared" si="281"/>
        <v>65243587</v>
      </c>
    </row>
    <row r="879" spans="2:18" x14ac:dyDescent="0.2">
      <c r="C879" s="32" t="s">
        <v>1151</v>
      </c>
      <c r="D879" s="444" t="s">
        <v>810</v>
      </c>
      <c r="F879" s="424">
        <f>F861</f>
        <v>0</v>
      </c>
      <c r="G879" s="424">
        <f t="shared" ref="G879:R879" si="282">G861</f>
        <v>0</v>
      </c>
      <c r="H879" s="424">
        <f t="shared" si="282"/>
        <v>0</v>
      </c>
      <c r="I879" s="424">
        <f t="shared" si="282"/>
        <v>0</v>
      </c>
      <c r="J879" s="424">
        <f t="shared" si="282"/>
        <v>0</v>
      </c>
      <c r="K879" s="424">
        <f t="shared" si="282"/>
        <v>0</v>
      </c>
      <c r="L879" s="424">
        <f t="shared" si="282"/>
        <v>0</v>
      </c>
      <c r="M879" s="424">
        <f t="shared" si="282"/>
        <v>2158</v>
      </c>
      <c r="N879" s="424">
        <f t="shared" si="282"/>
        <v>9063</v>
      </c>
      <c r="O879" s="424">
        <f t="shared" si="282"/>
        <v>8098</v>
      </c>
      <c r="P879" s="424">
        <f t="shared" si="282"/>
        <v>963</v>
      </c>
      <c r="Q879" s="424">
        <f t="shared" si="282"/>
        <v>197</v>
      </c>
      <c r="R879" s="424">
        <f t="shared" si="282"/>
        <v>20479</v>
      </c>
    </row>
    <row r="880" spans="2:18" x14ac:dyDescent="0.2">
      <c r="C880" s="32" t="s">
        <v>1152</v>
      </c>
      <c r="D880" s="444" t="s">
        <v>811</v>
      </c>
      <c r="F880" s="424">
        <f t="shared" ref="F880:R880" si="283">F858+F862</f>
        <v>9216640</v>
      </c>
      <c r="G880" s="424">
        <f t="shared" si="283"/>
        <v>7466022</v>
      </c>
      <c r="H880" s="424">
        <f t="shared" si="283"/>
        <v>8738093</v>
      </c>
      <c r="I880" s="424">
        <f t="shared" si="283"/>
        <v>8537108</v>
      </c>
      <c r="J880" s="424">
        <f t="shared" si="283"/>
        <v>9514268</v>
      </c>
      <c r="K880" s="424">
        <f t="shared" si="283"/>
        <v>8005470</v>
      </c>
      <c r="L880" s="424">
        <f t="shared" si="283"/>
        <v>8496772</v>
      </c>
      <c r="M880" s="424">
        <f t="shared" si="283"/>
        <v>8613339</v>
      </c>
      <c r="N880" s="424">
        <f t="shared" si="283"/>
        <v>7542224</v>
      </c>
      <c r="O880" s="424">
        <f t="shared" si="283"/>
        <v>7953879</v>
      </c>
      <c r="P880" s="424">
        <f t="shared" si="283"/>
        <v>7276967</v>
      </c>
      <c r="Q880" s="424">
        <f t="shared" si="283"/>
        <v>7664029</v>
      </c>
      <c r="R880" s="424">
        <f t="shared" si="283"/>
        <v>99024811</v>
      </c>
    </row>
    <row r="881" spans="2:19" x14ac:dyDescent="0.2">
      <c r="C881" s="343" t="s">
        <v>844</v>
      </c>
      <c r="F881" s="424">
        <f t="shared" ref="F881:N881" si="284">F863</f>
        <v>3517110</v>
      </c>
      <c r="G881" s="424">
        <f t="shared" si="284"/>
        <v>3347997</v>
      </c>
      <c r="H881" s="424">
        <f t="shared" si="284"/>
        <v>3654461</v>
      </c>
      <c r="I881" s="424">
        <f t="shared" si="284"/>
        <v>3238199</v>
      </c>
      <c r="J881" s="424">
        <f t="shared" si="284"/>
        <v>2805705</v>
      </c>
      <c r="K881" s="424">
        <f t="shared" si="284"/>
        <v>2216168</v>
      </c>
      <c r="L881" s="424">
        <f t="shared" si="284"/>
        <v>2006793</v>
      </c>
      <c r="M881" s="424">
        <f t="shared" si="284"/>
        <v>1941842</v>
      </c>
      <c r="N881" s="424">
        <f t="shared" si="284"/>
        <v>1979407</v>
      </c>
      <c r="O881" s="424">
        <f>O863</f>
        <v>2787377</v>
      </c>
      <c r="P881" s="424">
        <f>P863</f>
        <v>3842036</v>
      </c>
      <c r="Q881" s="424">
        <f>Q863</f>
        <v>3871544</v>
      </c>
      <c r="R881" s="424">
        <f>R863</f>
        <v>35208639</v>
      </c>
    </row>
    <row r="882" spans="2:19" x14ac:dyDescent="0.2">
      <c r="C882" s="32" t="s">
        <v>1167</v>
      </c>
      <c r="F882" s="357">
        <f t="shared" ref="F882:N882" si="285">SUM(F869:F881)</f>
        <v>128745037</v>
      </c>
      <c r="G882" s="357">
        <f t="shared" si="285"/>
        <v>107438064</v>
      </c>
      <c r="H882" s="357">
        <f t="shared" si="285"/>
        <v>111751312</v>
      </c>
      <c r="I882" s="357">
        <f t="shared" si="285"/>
        <v>92608599</v>
      </c>
      <c r="J882" s="357">
        <f t="shared" si="285"/>
        <v>74871801</v>
      </c>
      <c r="K882" s="357">
        <f t="shared" si="285"/>
        <v>56233148</v>
      </c>
      <c r="L882" s="357">
        <f t="shared" si="285"/>
        <v>45903282</v>
      </c>
      <c r="M882" s="357">
        <f t="shared" si="285"/>
        <v>44931622</v>
      </c>
      <c r="N882" s="357">
        <f t="shared" si="285"/>
        <v>49140650</v>
      </c>
      <c r="O882" s="357">
        <f>SUM(O869:O881)</f>
        <v>77063218</v>
      </c>
      <c r="P882" s="357">
        <f>SUM(P869:P881)</f>
        <v>121261601</v>
      </c>
      <c r="Q882" s="357">
        <f>SUM(Q869:Q881)</f>
        <v>146682209</v>
      </c>
      <c r="R882" s="357">
        <f>SUM(R869:R881)</f>
        <v>1056630543</v>
      </c>
    </row>
    <row r="883" spans="2:19" x14ac:dyDescent="0.2">
      <c r="C883" s="32" t="s">
        <v>131</v>
      </c>
      <c r="F883" s="279">
        <f t="shared" ref="F883:R883" si="286">F866-F882</f>
        <v>0</v>
      </c>
      <c r="G883" s="279">
        <f t="shared" si="286"/>
        <v>0</v>
      </c>
      <c r="H883" s="279">
        <f t="shared" si="286"/>
        <v>0</v>
      </c>
      <c r="I883" s="279">
        <f t="shared" si="286"/>
        <v>0</v>
      </c>
      <c r="J883" s="279">
        <f t="shared" si="286"/>
        <v>0</v>
      </c>
      <c r="K883" s="279">
        <f t="shared" si="286"/>
        <v>0</v>
      </c>
      <c r="L883" s="279">
        <f t="shared" si="286"/>
        <v>0</v>
      </c>
      <c r="M883" s="279">
        <f t="shared" si="286"/>
        <v>0</v>
      </c>
      <c r="N883" s="279">
        <f t="shared" si="286"/>
        <v>0</v>
      </c>
      <c r="O883" s="279">
        <f t="shared" si="286"/>
        <v>0</v>
      </c>
      <c r="P883" s="279">
        <f t="shared" si="286"/>
        <v>0</v>
      </c>
      <c r="Q883" s="279">
        <f t="shared" si="286"/>
        <v>0</v>
      </c>
      <c r="R883" s="279">
        <f t="shared" si="286"/>
        <v>0</v>
      </c>
    </row>
    <row r="885" spans="2:19" x14ac:dyDescent="0.2">
      <c r="B885" s="32" t="s">
        <v>1169</v>
      </c>
    </row>
    <row r="886" spans="2:19" x14ac:dyDescent="0.2">
      <c r="C886" s="32" t="s">
        <v>1170</v>
      </c>
      <c r="D886" s="32">
        <v>61</v>
      </c>
      <c r="F886" s="279">
        <f>F67</f>
        <v>4027</v>
      </c>
      <c r="G886" s="279">
        <f t="shared" ref="G886:Q886" si="287">G67</f>
        <v>4027</v>
      </c>
      <c r="H886" s="279">
        <f t="shared" si="287"/>
        <v>4027</v>
      </c>
      <c r="I886" s="279">
        <f t="shared" si="287"/>
        <v>4027</v>
      </c>
      <c r="J886" s="279">
        <f t="shared" si="287"/>
        <v>4027</v>
      </c>
      <c r="K886" s="279">
        <f t="shared" si="287"/>
        <v>4027</v>
      </c>
      <c r="L886" s="279">
        <f t="shared" si="287"/>
        <v>4027</v>
      </c>
      <c r="M886" s="279">
        <f t="shared" si="287"/>
        <v>4027</v>
      </c>
      <c r="N886" s="279">
        <f t="shared" si="287"/>
        <v>4027</v>
      </c>
      <c r="O886" s="279">
        <f t="shared" si="287"/>
        <v>4027</v>
      </c>
      <c r="P886" s="279">
        <f t="shared" si="287"/>
        <v>4027</v>
      </c>
      <c r="Q886" s="279">
        <f t="shared" si="287"/>
        <v>4027</v>
      </c>
      <c r="R886" s="279">
        <f>SUM(F886:Q886)</f>
        <v>48324</v>
      </c>
    </row>
    <row r="887" spans="2:19" x14ac:dyDescent="0.2">
      <c r="C887" s="32" t="s">
        <v>1171</v>
      </c>
      <c r="D887" s="32">
        <v>61</v>
      </c>
      <c r="F887" s="279">
        <f>F253</f>
        <v>88936</v>
      </c>
      <c r="G887" s="279">
        <f t="shared" ref="G887:Q887" si="288">G253</f>
        <v>88936</v>
      </c>
      <c r="H887" s="279">
        <f t="shared" si="288"/>
        <v>89191</v>
      </c>
      <c r="I887" s="279">
        <f t="shared" si="288"/>
        <v>88936</v>
      </c>
      <c r="J887" s="279">
        <f t="shared" si="288"/>
        <v>91309</v>
      </c>
      <c r="K887" s="279">
        <f t="shared" si="288"/>
        <v>90116</v>
      </c>
      <c r="L887" s="279">
        <f t="shared" si="288"/>
        <v>92111</v>
      </c>
      <c r="M887" s="279">
        <f t="shared" si="288"/>
        <v>93269</v>
      </c>
      <c r="N887" s="279">
        <f t="shared" si="288"/>
        <v>92656</v>
      </c>
      <c r="O887" s="279">
        <f t="shared" si="288"/>
        <v>92656</v>
      </c>
      <c r="P887" s="279">
        <f t="shared" si="288"/>
        <v>92656</v>
      </c>
      <c r="Q887" s="279">
        <f t="shared" si="288"/>
        <v>92656</v>
      </c>
      <c r="R887" s="279">
        <f>SUM(F887:Q887)</f>
        <v>1093428</v>
      </c>
    </row>
    <row r="888" spans="2:19" x14ac:dyDescent="0.2">
      <c r="C888" s="32" t="s">
        <v>1172</v>
      </c>
      <c r="D888" s="32">
        <v>61</v>
      </c>
      <c r="F888" s="279">
        <f>F613</f>
        <v>947</v>
      </c>
      <c r="G888" s="279">
        <f t="shared" ref="G888:Q888" si="289">G613</f>
        <v>947</v>
      </c>
      <c r="H888" s="279">
        <f t="shared" si="289"/>
        <v>947</v>
      </c>
      <c r="I888" s="279">
        <f t="shared" si="289"/>
        <v>947</v>
      </c>
      <c r="J888" s="279">
        <f t="shared" si="289"/>
        <v>947</v>
      </c>
      <c r="K888" s="279">
        <f t="shared" si="289"/>
        <v>947</v>
      </c>
      <c r="L888" s="279">
        <f t="shared" si="289"/>
        <v>947</v>
      </c>
      <c r="M888" s="279">
        <f t="shared" si="289"/>
        <v>947</v>
      </c>
      <c r="N888" s="279">
        <f t="shared" si="289"/>
        <v>947</v>
      </c>
      <c r="O888" s="279">
        <f t="shared" si="289"/>
        <v>947</v>
      </c>
      <c r="P888" s="279">
        <f t="shared" si="289"/>
        <v>947</v>
      </c>
      <c r="Q888" s="279">
        <f t="shared" si="289"/>
        <v>947</v>
      </c>
      <c r="R888" s="279">
        <f>SUM(F888:Q888)</f>
        <v>11364</v>
      </c>
    </row>
    <row r="889" spans="2:19" x14ac:dyDescent="0.2">
      <c r="C889" s="32" t="s">
        <v>1124</v>
      </c>
      <c r="D889" s="32">
        <v>41</v>
      </c>
      <c r="F889" s="279">
        <f t="shared" ref="F889:N889" si="290">F112</f>
        <v>345023.82</v>
      </c>
      <c r="G889" s="279">
        <f t="shared" si="290"/>
        <v>345483.82</v>
      </c>
      <c r="H889" s="279">
        <f t="shared" si="290"/>
        <v>343434.82</v>
      </c>
      <c r="I889" s="279">
        <f t="shared" si="290"/>
        <v>344454.82999999996</v>
      </c>
      <c r="J889" s="279">
        <f t="shared" si="290"/>
        <v>343545.81999999995</v>
      </c>
      <c r="K889" s="279">
        <f t="shared" si="290"/>
        <v>347633.82000000007</v>
      </c>
      <c r="L889" s="279">
        <f t="shared" si="290"/>
        <v>349911.64</v>
      </c>
      <c r="M889" s="279">
        <f t="shared" si="290"/>
        <v>346640</v>
      </c>
      <c r="N889" s="279">
        <f t="shared" si="290"/>
        <v>346444</v>
      </c>
      <c r="O889" s="279">
        <f>O112</f>
        <v>339453</v>
      </c>
      <c r="P889" s="279">
        <f>P112</f>
        <v>337940</v>
      </c>
      <c r="Q889" s="279">
        <f>Q112</f>
        <v>335944</v>
      </c>
      <c r="R889" s="279">
        <f t="shared" ref="R889:R904" si="291">SUM(F889:Q889)</f>
        <v>4125909.57</v>
      </c>
    </row>
    <row r="890" spans="2:19" x14ac:dyDescent="0.2">
      <c r="C890" s="32" t="s">
        <v>1125</v>
      </c>
      <c r="D890" s="444" t="s">
        <v>808</v>
      </c>
      <c r="F890" s="279">
        <f t="shared" ref="F890:N890" si="292">F151</f>
        <v>6680</v>
      </c>
      <c r="G890" s="279">
        <f t="shared" si="292"/>
        <v>6680</v>
      </c>
      <c r="H890" s="279">
        <f t="shared" si="292"/>
        <v>6680</v>
      </c>
      <c r="I890" s="279">
        <f t="shared" si="292"/>
        <v>6680</v>
      </c>
      <c r="J890" s="279">
        <f t="shared" si="292"/>
        <v>6679.9999999999991</v>
      </c>
      <c r="K890" s="279">
        <f t="shared" si="292"/>
        <v>6680</v>
      </c>
      <c r="L890" s="279">
        <f t="shared" si="292"/>
        <v>5996</v>
      </c>
      <c r="M890" s="279">
        <f t="shared" si="292"/>
        <v>5996</v>
      </c>
      <c r="N890" s="279">
        <f t="shared" si="292"/>
        <v>5996</v>
      </c>
      <c r="O890" s="279">
        <f>O151</f>
        <v>8026</v>
      </c>
      <c r="P890" s="279">
        <f>P151</f>
        <v>8026</v>
      </c>
      <c r="Q890" s="279">
        <f>Q151</f>
        <v>12103</v>
      </c>
      <c r="R890" s="279">
        <f t="shared" si="291"/>
        <v>86223</v>
      </c>
      <c r="S890" s="279"/>
    </row>
    <row r="891" spans="2:19" x14ac:dyDescent="0.2">
      <c r="C891" s="32" t="s">
        <v>1126</v>
      </c>
      <c r="D891" s="444" t="s">
        <v>809</v>
      </c>
      <c r="F891" s="279">
        <f t="shared" ref="F891:N891" si="293">F187</f>
        <v>22456</v>
      </c>
      <c r="G891" s="279">
        <f t="shared" si="293"/>
        <v>24856</v>
      </c>
      <c r="H891" s="279">
        <f t="shared" si="293"/>
        <v>23656</v>
      </c>
      <c r="I891" s="279">
        <f t="shared" si="293"/>
        <v>23656</v>
      </c>
      <c r="J891" s="279">
        <f t="shared" si="293"/>
        <v>23656</v>
      </c>
      <c r="K891" s="279">
        <f t="shared" si="293"/>
        <v>23656</v>
      </c>
      <c r="L891" s="279">
        <f t="shared" si="293"/>
        <v>23656</v>
      </c>
      <c r="M891" s="279">
        <f t="shared" si="293"/>
        <v>23656</v>
      </c>
      <c r="N891" s="279">
        <f t="shared" si="293"/>
        <v>23656</v>
      </c>
      <c r="O891" s="279">
        <f>O187</f>
        <v>21156</v>
      </c>
      <c r="P891" s="279">
        <f>P187</f>
        <v>19656</v>
      </c>
      <c r="Q891" s="279">
        <f>Q187</f>
        <v>19356</v>
      </c>
      <c r="R891" s="279">
        <f t="shared" si="291"/>
        <v>273072</v>
      </c>
    </row>
    <row r="892" spans="2:19" x14ac:dyDescent="0.2">
      <c r="C892" s="32" t="s">
        <v>1127</v>
      </c>
      <c r="D892" s="444" t="s">
        <v>811</v>
      </c>
      <c r="F892" s="279">
        <f t="shared" ref="F892:N892" si="294">F228</f>
        <v>2</v>
      </c>
      <c r="G892" s="279">
        <f t="shared" si="294"/>
        <v>2</v>
      </c>
      <c r="H892" s="279">
        <f t="shared" si="294"/>
        <v>2</v>
      </c>
      <c r="I892" s="279">
        <f t="shared" si="294"/>
        <v>2</v>
      </c>
      <c r="J892" s="279">
        <f t="shared" si="294"/>
        <v>2</v>
      </c>
      <c r="K892" s="279">
        <f t="shared" si="294"/>
        <v>2</v>
      </c>
      <c r="L892" s="279">
        <f t="shared" si="294"/>
        <v>2</v>
      </c>
      <c r="M892" s="279">
        <f t="shared" si="294"/>
        <v>2</v>
      </c>
      <c r="N892" s="279">
        <f t="shared" si="294"/>
        <v>2</v>
      </c>
      <c r="O892" s="279">
        <f>O228</f>
        <v>2</v>
      </c>
      <c r="P892" s="279">
        <f>P228</f>
        <v>2</v>
      </c>
      <c r="Q892" s="279">
        <f>Q228</f>
        <v>2</v>
      </c>
      <c r="R892" s="279">
        <f t="shared" si="291"/>
        <v>24</v>
      </c>
    </row>
    <row r="893" spans="2:19" x14ac:dyDescent="0.2">
      <c r="C893" s="32" t="s">
        <v>1128</v>
      </c>
      <c r="D893" s="32">
        <v>85</v>
      </c>
      <c r="F893" s="279">
        <f t="shared" ref="F893:N893" si="295">F282</f>
        <v>7593</v>
      </c>
      <c r="G893" s="279">
        <f t="shared" si="295"/>
        <v>7593</v>
      </c>
      <c r="H893" s="279">
        <f t="shared" si="295"/>
        <v>7593</v>
      </c>
      <c r="I893" s="279">
        <f t="shared" si="295"/>
        <v>7593</v>
      </c>
      <c r="J893" s="279">
        <f t="shared" si="295"/>
        <v>7593</v>
      </c>
      <c r="K893" s="279">
        <f t="shared" si="295"/>
        <v>7593</v>
      </c>
      <c r="L893" s="279">
        <f t="shared" si="295"/>
        <v>7593</v>
      </c>
      <c r="M893" s="279">
        <f t="shared" si="295"/>
        <v>7661</v>
      </c>
      <c r="N893" s="279">
        <f t="shared" si="295"/>
        <v>7593</v>
      </c>
      <c r="O893" s="279">
        <f>O282</f>
        <v>7593</v>
      </c>
      <c r="P893" s="279">
        <f>P282</f>
        <v>7593</v>
      </c>
      <c r="Q893" s="279">
        <f>Q282</f>
        <v>7593</v>
      </c>
      <c r="R893" s="279">
        <f t="shared" si="291"/>
        <v>91184</v>
      </c>
    </row>
    <row r="894" spans="2:19" x14ac:dyDescent="0.2">
      <c r="C894" s="32" t="s">
        <v>1129</v>
      </c>
      <c r="D894" s="32">
        <v>86</v>
      </c>
      <c r="F894" s="279">
        <f t="shared" ref="F894:N894" si="296">F325</f>
        <v>9510</v>
      </c>
      <c r="G894" s="279">
        <f t="shared" si="296"/>
        <v>9429</v>
      </c>
      <c r="H894" s="279">
        <f t="shared" si="296"/>
        <v>9258</v>
      </c>
      <c r="I894" s="279">
        <f t="shared" si="296"/>
        <v>9188</v>
      </c>
      <c r="J894" s="279">
        <f t="shared" si="296"/>
        <v>9260</v>
      </c>
      <c r="K894" s="279">
        <f t="shared" si="296"/>
        <v>9258</v>
      </c>
      <c r="L894" s="279">
        <f t="shared" si="296"/>
        <v>9136</v>
      </c>
      <c r="M894" s="279">
        <f t="shared" si="296"/>
        <v>8867</v>
      </c>
      <c r="N894" s="279">
        <f t="shared" si="296"/>
        <v>8570</v>
      </c>
      <c r="O894" s="279">
        <f>O325</f>
        <v>8457</v>
      </c>
      <c r="P894" s="279">
        <f>P325</f>
        <v>8504</v>
      </c>
      <c r="Q894" s="279">
        <f>Q325</f>
        <v>8244</v>
      </c>
      <c r="R894" s="279">
        <f t="shared" si="291"/>
        <v>107681</v>
      </c>
    </row>
    <row r="895" spans="2:19" x14ac:dyDescent="0.2">
      <c r="C895" s="32" t="s">
        <v>1130</v>
      </c>
      <c r="D895" s="32">
        <v>87</v>
      </c>
      <c r="F895" s="279">
        <f t="shared" ref="F895:N895" si="297">F375</f>
        <v>532</v>
      </c>
      <c r="G895" s="279">
        <f t="shared" si="297"/>
        <v>532</v>
      </c>
      <c r="H895" s="279">
        <f t="shared" si="297"/>
        <v>532</v>
      </c>
      <c r="I895" s="279">
        <f t="shared" si="297"/>
        <v>532</v>
      </c>
      <c r="J895" s="279">
        <f t="shared" si="297"/>
        <v>532</v>
      </c>
      <c r="K895" s="279">
        <f t="shared" si="297"/>
        <v>532</v>
      </c>
      <c r="L895" s="279">
        <f t="shared" si="297"/>
        <v>532</v>
      </c>
      <c r="M895" s="279">
        <f t="shared" si="297"/>
        <v>532</v>
      </c>
      <c r="N895" s="279">
        <f t="shared" si="297"/>
        <v>532</v>
      </c>
      <c r="O895" s="279">
        <f>O375</f>
        <v>532</v>
      </c>
      <c r="P895" s="279">
        <f>P375</f>
        <v>532</v>
      </c>
      <c r="Q895" s="279">
        <f>Q375</f>
        <v>532</v>
      </c>
      <c r="R895" s="279">
        <f t="shared" si="291"/>
        <v>6384</v>
      </c>
    </row>
    <row r="896" spans="2:19" x14ac:dyDescent="0.2">
      <c r="C896" s="32" t="s">
        <v>1145</v>
      </c>
      <c r="D896" s="32">
        <v>41</v>
      </c>
      <c r="F896" s="279">
        <f t="shared" ref="F896:N896" si="298">F440</f>
        <v>57110.51</v>
      </c>
      <c r="G896" s="279">
        <f t="shared" si="298"/>
        <v>57496.51</v>
      </c>
      <c r="H896" s="279">
        <f t="shared" si="298"/>
        <v>58536.51</v>
      </c>
      <c r="I896" s="279">
        <f t="shared" si="298"/>
        <v>58147.519999999997</v>
      </c>
      <c r="J896" s="279">
        <f t="shared" si="298"/>
        <v>58460.499999999993</v>
      </c>
      <c r="K896" s="279">
        <f t="shared" si="298"/>
        <v>58908.51</v>
      </c>
      <c r="L896" s="279">
        <f t="shared" si="298"/>
        <v>57873</v>
      </c>
      <c r="M896" s="279">
        <f t="shared" si="298"/>
        <v>57441</v>
      </c>
      <c r="N896" s="279">
        <f t="shared" si="298"/>
        <v>57931</v>
      </c>
      <c r="O896" s="279">
        <f>O440</f>
        <v>57777</v>
      </c>
      <c r="P896" s="279">
        <f>P440</f>
        <v>57723</v>
      </c>
      <c r="Q896" s="279">
        <f>Q440</f>
        <v>57689</v>
      </c>
      <c r="R896" s="279">
        <f t="shared" si="291"/>
        <v>695094.06</v>
      </c>
    </row>
    <row r="897" spans="2:18" x14ac:dyDescent="0.2">
      <c r="C897" s="32" t="s">
        <v>1133</v>
      </c>
      <c r="D897" s="444" t="s">
        <v>808</v>
      </c>
      <c r="F897" s="279">
        <f t="shared" ref="F897:N897" si="299">F479</f>
        <v>16443</v>
      </c>
      <c r="G897" s="279">
        <f t="shared" si="299"/>
        <v>16443</v>
      </c>
      <c r="H897" s="279">
        <f t="shared" si="299"/>
        <v>14103</v>
      </c>
      <c r="I897" s="279">
        <f t="shared" si="299"/>
        <v>14103</v>
      </c>
      <c r="J897" s="279">
        <f t="shared" si="299"/>
        <v>14103.000000000002</v>
      </c>
      <c r="K897" s="279">
        <f t="shared" si="299"/>
        <v>14103</v>
      </c>
      <c r="L897" s="279">
        <f t="shared" si="299"/>
        <v>18197</v>
      </c>
      <c r="M897" s="279">
        <f t="shared" si="299"/>
        <v>18309</v>
      </c>
      <c r="N897" s="279">
        <f t="shared" si="299"/>
        <v>18309</v>
      </c>
      <c r="O897" s="279">
        <f>O479</f>
        <v>18309</v>
      </c>
      <c r="P897" s="279">
        <f>P479</f>
        <v>20237</v>
      </c>
      <c r="Q897" s="279">
        <f>Q479</f>
        <v>20237</v>
      </c>
      <c r="R897" s="279">
        <f t="shared" si="291"/>
        <v>202896</v>
      </c>
    </row>
    <row r="898" spans="2:18" x14ac:dyDescent="0.2">
      <c r="C898" s="32" t="s">
        <v>1134</v>
      </c>
      <c r="D898" s="444" t="s">
        <v>809</v>
      </c>
      <c r="F898" s="279">
        <f t="shared" ref="F898:N898" si="300">F515</f>
        <v>41254</v>
      </c>
      <c r="G898" s="279">
        <f t="shared" si="300"/>
        <v>38204</v>
      </c>
      <c r="H898" s="279">
        <f t="shared" si="300"/>
        <v>38204</v>
      </c>
      <c r="I898" s="279">
        <f t="shared" si="300"/>
        <v>38204</v>
      </c>
      <c r="J898" s="279">
        <f t="shared" si="300"/>
        <v>35704</v>
      </c>
      <c r="K898" s="279">
        <f t="shared" si="300"/>
        <v>35704</v>
      </c>
      <c r="L898" s="279">
        <f t="shared" si="300"/>
        <v>35704</v>
      </c>
      <c r="M898" s="279">
        <f t="shared" si="300"/>
        <v>35584</v>
      </c>
      <c r="N898" s="279">
        <f t="shared" si="300"/>
        <v>35584</v>
      </c>
      <c r="O898" s="279">
        <f>O515</f>
        <v>35584</v>
      </c>
      <c r="P898" s="279">
        <f>P515</f>
        <v>35584</v>
      </c>
      <c r="Q898" s="279">
        <f>Q515</f>
        <v>35601</v>
      </c>
      <c r="R898" s="279">
        <f t="shared" si="291"/>
        <v>440915</v>
      </c>
    </row>
    <row r="899" spans="2:18" x14ac:dyDescent="0.2">
      <c r="C899" s="32" t="s">
        <v>1163</v>
      </c>
      <c r="D899" s="444" t="s">
        <v>810</v>
      </c>
      <c r="F899" s="279">
        <f>F548</f>
        <v>0</v>
      </c>
      <c r="G899" s="279">
        <f t="shared" ref="G899:Q899" si="301">G548</f>
        <v>0</v>
      </c>
      <c r="H899" s="279">
        <f t="shared" si="301"/>
        <v>0</v>
      </c>
      <c r="I899" s="279">
        <f t="shared" si="301"/>
        <v>0</v>
      </c>
      <c r="J899" s="279">
        <f t="shared" si="301"/>
        <v>0</v>
      </c>
      <c r="K899" s="279">
        <f t="shared" si="301"/>
        <v>0</v>
      </c>
      <c r="L899" s="279">
        <f t="shared" si="301"/>
        <v>0</v>
      </c>
      <c r="M899" s="279">
        <f t="shared" si="301"/>
        <v>0</v>
      </c>
      <c r="N899" s="279">
        <f t="shared" si="301"/>
        <v>0</v>
      </c>
      <c r="O899" s="279">
        <f t="shared" si="301"/>
        <v>0</v>
      </c>
      <c r="P899" s="279">
        <f t="shared" si="301"/>
        <v>0</v>
      </c>
      <c r="Q899" s="279">
        <f t="shared" si="301"/>
        <v>0</v>
      </c>
      <c r="R899" s="279">
        <f t="shared" si="291"/>
        <v>0</v>
      </c>
    </row>
    <row r="900" spans="2:18" x14ac:dyDescent="0.2">
      <c r="C900" s="32" t="s">
        <v>1136</v>
      </c>
      <c r="D900" s="444" t="s">
        <v>811</v>
      </c>
      <c r="F900" s="279">
        <f t="shared" ref="F900:N900" si="302">F588</f>
        <v>37739</v>
      </c>
      <c r="G900" s="279">
        <f t="shared" si="302"/>
        <v>37739</v>
      </c>
      <c r="H900" s="279">
        <f t="shared" si="302"/>
        <v>37739</v>
      </c>
      <c r="I900" s="279">
        <f t="shared" si="302"/>
        <v>37739</v>
      </c>
      <c r="J900" s="279">
        <f t="shared" si="302"/>
        <v>37739</v>
      </c>
      <c r="K900" s="279">
        <f t="shared" si="302"/>
        <v>37739</v>
      </c>
      <c r="L900" s="279">
        <f t="shared" si="302"/>
        <v>37739</v>
      </c>
      <c r="M900" s="279">
        <f t="shared" si="302"/>
        <v>37739</v>
      </c>
      <c r="N900" s="279">
        <f t="shared" si="302"/>
        <v>37739</v>
      </c>
      <c r="O900" s="279">
        <f>O588</f>
        <v>37739</v>
      </c>
      <c r="P900" s="279">
        <f>P588</f>
        <v>37739</v>
      </c>
      <c r="Q900" s="279">
        <f>Q588</f>
        <v>37722</v>
      </c>
      <c r="R900" s="279">
        <f t="shared" si="291"/>
        <v>452851</v>
      </c>
    </row>
    <row r="901" spans="2:18" x14ac:dyDescent="0.2">
      <c r="C901" s="32" t="s">
        <v>1137</v>
      </c>
      <c r="D901" s="32">
        <v>85</v>
      </c>
      <c r="F901" s="279">
        <f t="shared" ref="F901:N901" si="303">F641</f>
        <v>2443</v>
      </c>
      <c r="G901" s="279">
        <f t="shared" si="303"/>
        <v>2443</v>
      </c>
      <c r="H901" s="279">
        <f t="shared" si="303"/>
        <v>2443</v>
      </c>
      <c r="I901" s="279">
        <f t="shared" si="303"/>
        <v>2443</v>
      </c>
      <c r="J901" s="279">
        <f t="shared" si="303"/>
        <v>2443</v>
      </c>
      <c r="K901" s="279">
        <f t="shared" si="303"/>
        <v>2443</v>
      </c>
      <c r="L901" s="279">
        <f t="shared" si="303"/>
        <v>2443</v>
      </c>
      <c r="M901" s="279">
        <f t="shared" si="303"/>
        <v>2443</v>
      </c>
      <c r="N901" s="279">
        <f t="shared" si="303"/>
        <v>2443</v>
      </c>
      <c r="O901" s="279">
        <f>O641</f>
        <v>2443</v>
      </c>
      <c r="P901" s="279">
        <f>P641</f>
        <v>2443</v>
      </c>
      <c r="Q901" s="279">
        <f>Q641</f>
        <v>2443</v>
      </c>
      <c r="R901" s="279">
        <f t="shared" si="291"/>
        <v>29316</v>
      </c>
    </row>
    <row r="902" spans="2:18" x14ac:dyDescent="0.2">
      <c r="C902" s="32" t="s">
        <v>1138</v>
      </c>
      <c r="D902" s="32">
        <v>86</v>
      </c>
      <c r="F902" s="279">
        <f t="shared" ref="F902:N902" si="304">F684</f>
        <v>127</v>
      </c>
      <c r="G902" s="279">
        <f t="shared" si="304"/>
        <v>137</v>
      </c>
      <c r="H902" s="279">
        <f t="shared" si="304"/>
        <v>132</v>
      </c>
      <c r="I902" s="279">
        <f t="shared" si="304"/>
        <v>132</v>
      </c>
      <c r="J902" s="279">
        <f t="shared" si="304"/>
        <v>132</v>
      </c>
      <c r="K902" s="279">
        <f t="shared" si="304"/>
        <v>132</v>
      </c>
      <c r="L902" s="279">
        <f t="shared" si="304"/>
        <v>132</v>
      </c>
      <c r="M902" s="279">
        <f t="shared" si="304"/>
        <v>132</v>
      </c>
      <c r="N902" s="279">
        <f t="shared" si="304"/>
        <v>132</v>
      </c>
      <c r="O902" s="279">
        <f>O684</f>
        <v>132</v>
      </c>
      <c r="P902" s="279">
        <f>P684</f>
        <v>132</v>
      </c>
      <c r="Q902" s="279">
        <f>Q684</f>
        <v>132</v>
      </c>
      <c r="R902" s="279">
        <f t="shared" si="291"/>
        <v>1584</v>
      </c>
    </row>
    <row r="903" spans="2:18" x14ac:dyDescent="0.2">
      <c r="C903" s="32" t="s">
        <v>1139</v>
      </c>
      <c r="D903" s="32">
        <v>87</v>
      </c>
      <c r="F903" s="279">
        <f t="shared" ref="F903:N903" si="305">F734</f>
        <v>0</v>
      </c>
      <c r="G903" s="279">
        <f t="shared" si="305"/>
        <v>0</v>
      </c>
      <c r="H903" s="279">
        <f t="shared" si="305"/>
        <v>0</v>
      </c>
      <c r="I903" s="279">
        <f t="shared" si="305"/>
        <v>0</v>
      </c>
      <c r="J903" s="279">
        <f t="shared" si="305"/>
        <v>0</v>
      </c>
      <c r="K903" s="279">
        <f t="shared" si="305"/>
        <v>0</v>
      </c>
      <c r="L903" s="279">
        <f t="shared" si="305"/>
        <v>0</v>
      </c>
      <c r="M903" s="279">
        <f t="shared" si="305"/>
        <v>0</v>
      </c>
      <c r="N903" s="279">
        <f t="shared" si="305"/>
        <v>0</v>
      </c>
      <c r="O903" s="279">
        <f>O734</f>
        <v>0</v>
      </c>
      <c r="P903" s="279">
        <f>P734</f>
        <v>0</v>
      </c>
      <c r="Q903" s="279">
        <f>Q734</f>
        <v>0</v>
      </c>
      <c r="R903" s="279">
        <f t="shared" si="291"/>
        <v>0</v>
      </c>
    </row>
    <row r="904" spans="2:18" x14ac:dyDescent="0.2">
      <c r="C904" s="32" t="s">
        <v>1173</v>
      </c>
      <c r="F904" s="279">
        <f t="shared" ref="F904:N904" si="306">F781</f>
        <v>38483</v>
      </c>
      <c r="G904" s="279">
        <f t="shared" si="306"/>
        <v>38483</v>
      </c>
      <c r="H904" s="279">
        <f t="shared" si="306"/>
        <v>38483</v>
      </c>
      <c r="I904" s="279">
        <f t="shared" si="306"/>
        <v>38483</v>
      </c>
      <c r="J904" s="279">
        <f t="shared" si="306"/>
        <v>38483</v>
      </c>
      <c r="K904" s="279">
        <f t="shared" si="306"/>
        <v>38483</v>
      </c>
      <c r="L904" s="279">
        <f t="shared" si="306"/>
        <v>38483</v>
      </c>
      <c r="M904" s="279">
        <f t="shared" si="306"/>
        <v>38483</v>
      </c>
      <c r="N904" s="279">
        <f t="shared" si="306"/>
        <v>38483</v>
      </c>
      <c r="O904" s="279">
        <f>O781</f>
        <v>38483</v>
      </c>
      <c r="P904" s="279">
        <f>P781</f>
        <v>38483</v>
      </c>
      <c r="Q904" s="279">
        <f>Q781</f>
        <v>38483</v>
      </c>
      <c r="R904" s="279">
        <f t="shared" si="291"/>
        <v>461796</v>
      </c>
    </row>
    <row r="905" spans="2:18" x14ac:dyDescent="0.2">
      <c r="C905" s="32" t="s">
        <v>1174</v>
      </c>
      <c r="F905" s="357">
        <f>SUM(F886:F904)</f>
        <v>679306.33</v>
      </c>
      <c r="G905" s="357">
        <f t="shared" ref="G905:R905" si="307">SUM(G886:G904)</f>
        <v>679431.33</v>
      </c>
      <c r="H905" s="357">
        <f t="shared" si="307"/>
        <v>674961.33</v>
      </c>
      <c r="I905" s="357">
        <f t="shared" si="307"/>
        <v>675267.35</v>
      </c>
      <c r="J905" s="357">
        <f t="shared" si="307"/>
        <v>674616.31999999995</v>
      </c>
      <c r="K905" s="357">
        <f t="shared" si="307"/>
        <v>677957.33000000007</v>
      </c>
      <c r="L905" s="357">
        <f t="shared" si="307"/>
        <v>684482.64</v>
      </c>
      <c r="M905" s="357">
        <f t="shared" si="307"/>
        <v>681728</v>
      </c>
      <c r="N905" s="357">
        <f t="shared" si="307"/>
        <v>681044</v>
      </c>
      <c r="O905" s="357">
        <f t="shared" si="307"/>
        <v>673316</v>
      </c>
      <c r="P905" s="357">
        <f t="shared" si="307"/>
        <v>672224</v>
      </c>
      <c r="Q905" s="357">
        <f t="shared" si="307"/>
        <v>673711</v>
      </c>
      <c r="R905" s="357">
        <f t="shared" si="307"/>
        <v>8128045.6300000008</v>
      </c>
    </row>
    <row r="907" spans="2:18" x14ac:dyDescent="0.2">
      <c r="B907" s="32" t="s">
        <v>1175</v>
      </c>
      <c r="F907" s="424"/>
      <c r="G907" s="424"/>
      <c r="H907" s="424"/>
      <c r="I907" s="424"/>
      <c r="J907" s="424"/>
      <c r="K907" s="424"/>
      <c r="L907" s="424"/>
      <c r="M907" s="424"/>
      <c r="N907" s="424"/>
      <c r="O907" s="424"/>
      <c r="P907" s="424"/>
      <c r="Q907" s="424"/>
      <c r="R907" s="424"/>
    </row>
    <row r="908" spans="2:18" x14ac:dyDescent="0.2">
      <c r="C908" s="32" t="s">
        <v>1176</v>
      </c>
      <c r="D908" s="32">
        <v>61</v>
      </c>
      <c r="F908" s="424">
        <f>SUM(F886:F888)</f>
        <v>93910</v>
      </c>
      <c r="G908" s="424">
        <f t="shared" ref="G908:Q908" si="308">SUM(G886:G888)</f>
        <v>93910</v>
      </c>
      <c r="H908" s="424">
        <f t="shared" si="308"/>
        <v>94165</v>
      </c>
      <c r="I908" s="424">
        <f t="shared" si="308"/>
        <v>93910</v>
      </c>
      <c r="J908" s="424">
        <f t="shared" si="308"/>
        <v>96283</v>
      </c>
      <c r="K908" s="424">
        <f t="shared" si="308"/>
        <v>95090</v>
      </c>
      <c r="L908" s="424">
        <f t="shared" si="308"/>
        <v>97085</v>
      </c>
      <c r="M908" s="424">
        <f t="shared" si="308"/>
        <v>98243</v>
      </c>
      <c r="N908" s="424">
        <f t="shared" si="308"/>
        <v>97630</v>
      </c>
      <c r="O908" s="424">
        <f t="shared" si="308"/>
        <v>97630</v>
      </c>
      <c r="P908" s="424">
        <f t="shared" si="308"/>
        <v>97630</v>
      </c>
      <c r="Q908" s="424">
        <f t="shared" si="308"/>
        <v>97630</v>
      </c>
      <c r="R908" s="279">
        <f t="shared" ref="R908:R917" si="309">SUM(F908:Q908)</f>
        <v>1153116</v>
      </c>
    </row>
    <row r="909" spans="2:18" x14ac:dyDescent="0.2">
      <c r="C909" s="343" t="s">
        <v>1145</v>
      </c>
      <c r="D909" s="32">
        <v>41</v>
      </c>
      <c r="F909" s="424">
        <f t="shared" ref="F909:Q909" si="310">F889+F896</f>
        <v>402134.33</v>
      </c>
      <c r="G909" s="424">
        <f t="shared" si="310"/>
        <v>402980.33</v>
      </c>
      <c r="H909" s="424">
        <f t="shared" si="310"/>
        <v>401971.33</v>
      </c>
      <c r="I909" s="424">
        <f t="shared" si="310"/>
        <v>402602.35</v>
      </c>
      <c r="J909" s="424">
        <f t="shared" si="310"/>
        <v>402006.31999999995</v>
      </c>
      <c r="K909" s="424">
        <f t="shared" si="310"/>
        <v>406542.33000000007</v>
      </c>
      <c r="L909" s="424">
        <f t="shared" si="310"/>
        <v>407784.64</v>
      </c>
      <c r="M909" s="424">
        <f t="shared" si="310"/>
        <v>404081</v>
      </c>
      <c r="N909" s="424">
        <f t="shared" si="310"/>
        <v>404375</v>
      </c>
      <c r="O909" s="424">
        <f t="shared" si="310"/>
        <v>397230</v>
      </c>
      <c r="P909" s="424">
        <f t="shared" si="310"/>
        <v>395663</v>
      </c>
      <c r="Q909" s="424">
        <f t="shared" si="310"/>
        <v>393633</v>
      </c>
      <c r="R909" s="279">
        <f t="shared" si="309"/>
        <v>4821003.63</v>
      </c>
    </row>
    <row r="910" spans="2:18" x14ac:dyDescent="0.2">
      <c r="C910" s="343" t="s">
        <v>1146</v>
      </c>
      <c r="D910" s="32">
        <v>85</v>
      </c>
      <c r="F910" s="424">
        <f t="shared" ref="F910:Q912" si="311">F893+F901</f>
        <v>10036</v>
      </c>
      <c r="G910" s="424">
        <f t="shared" si="311"/>
        <v>10036</v>
      </c>
      <c r="H910" s="424">
        <f t="shared" si="311"/>
        <v>10036</v>
      </c>
      <c r="I910" s="424">
        <f t="shared" si="311"/>
        <v>10036</v>
      </c>
      <c r="J910" s="424">
        <f t="shared" si="311"/>
        <v>10036</v>
      </c>
      <c r="K910" s="424">
        <f t="shared" si="311"/>
        <v>10036</v>
      </c>
      <c r="L910" s="424">
        <f t="shared" si="311"/>
        <v>10036</v>
      </c>
      <c r="M910" s="424">
        <f t="shared" si="311"/>
        <v>10104</v>
      </c>
      <c r="N910" s="424">
        <f t="shared" si="311"/>
        <v>10036</v>
      </c>
      <c r="O910" s="424">
        <f t="shared" si="311"/>
        <v>10036</v>
      </c>
      <c r="P910" s="424">
        <f t="shared" si="311"/>
        <v>10036</v>
      </c>
      <c r="Q910" s="424">
        <f t="shared" si="311"/>
        <v>10036</v>
      </c>
      <c r="R910" s="279">
        <f t="shared" si="309"/>
        <v>120500</v>
      </c>
    </row>
    <row r="911" spans="2:18" x14ac:dyDescent="0.2">
      <c r="C911" s="343" t="s">
        <v>1147</v>
      </c>
      <c r="D911" s="32">
        <v>86</v>
      </c>
      <c r="F911" s="424">
        <f t="shared" si="311"/>
        <v>9637</v>
      </c>
      <c r="G911" s="424">
        <f t="shared" si="311"/>
        <v>9566</v>
      </c>
      <c r="H911" s="424">
        <f t="shared" si="311"/>
        <v>9390</v>
      </c>
      <c r="I911" s="424">
        <f t="shared" si="311"/>
        <v>9320</v>
      </c>
      <c r="J911" s="424">
        <f t="shared" si="311"/>
        <v>9392</v>
      </c>
      <c r="K911" s="424">
        <f t="shared" si="311"/>
        <v>9390</v>
      </c>
      <c r="L911" s="424">
        <f t="shared" si="311"/>
        <v>9268</v>
      </c>
      <c r="M911" s="424">
        <f t="shared" si="311"/>
        <v>8999</v>
      </c>
      <c r="N911" s="424">
        <f t="shared" si="311"/>
        <v>8702</v>
      </c>
      <c r="O911" s="424">
        <f t="shared" si="311"/>
        <v>8589</v>
      </c>
      <c r="P911" s="424">
        <f t="shared" si="311"/>
        <v>8636</v>
      </c>
      <c r="Q911" s="424">
        <f t="shared" si="311"/>
        <v>8376</v>
      </c>
      <c r="R911" s="279">
        <f t="shared" si="309"/>
        <v>109265</v>
      </c>
    </row>
    <row r="912" spans="2:18" x14ac:dyDescent="0.2">
      <c r="C912" s="343" t="s">
        <v>1148</v>
      </c>
      <c r="D912" s="32">
        <v>87</v>
      </c>
      <c r="F912" s="424">
        <f t="shared" si="311"/>
        <v>532</v>
      </c>
      <c r="G912" s="424">
        <f t="shared" si="311"/>
        <v>532</v>
      </c>
      <c r="H912" s="424">
        <f t="shared" si="311"/>
        <v>532</v>
      </c>
      <c r="I912" s="424">
        <f t="shared" si="311"/>
        <v>532</v>
      </c>
      <c r="J912" s="424">
        <f t="shared" si="311"/>
        <v>532</v>
      </c>
      <c r="K912" s="424">
        <f t="shared" si="311"/>
        <v>532</v>
      </c>
      <c r="L912" s="424">
        <f t="shared" si="311"/>
        <v>532</v>
      </c>
      <c r="M912" s="424">
        <f t="shared" si="311"/>
        <v>532</v>
      </c>
      <c r="N912" s="424">
        <f t="shared" si="311"/>
        <v>532</v>
      </c>
      <c r="O912" s="424">
        <f t="shared" si="311"/>
        <v>532</v>
      </c>
      <c r="P912" s="424">
        <f t="shared" si="311"/>
        <v>532</v>
      </c>
      <c r="Q912" s="424">
        <f t="shared" si="311"/>
        <v>532</v>
      </c>
      <c r="R912" s="279">
        <f t="shared" si="309"/>
        <v>6384</v>
      </c>
    </row>
    <row r="913" spans="1:26" x14ac:dyDescent="0.2">
      <c r="C913" s="32" t="s">
        <v>1149</v>
      </c>
      <c r="D913" s="444" t="s">
        <v>808</v>
      </c>
      <c r="F913" s="424">
        <f t="shared" ref="F913:Q914" si="312">F890+F897</f>
        <v>23123</v>
      </c>
      <c r="G913" s="424">
        <f t="shared" si="312"/>
        <v>23123</v>
      </c>
      <c r="H913" s="424">
        <f t="shared" si="312"/>
        <v>20783</v>
      </c>
      <c r="I913" s="424">
        <f t="shared" si="312"/>
        <v>20783</v>
      </c>
      <c r="J913" s="424">
        <f t="shared" si="312"/>
        <v>20783</v>
      </c>
      <c r="K913" s="424">
        <f t="shared" si="312"/>
        <v>20783</v>
      </c>
      <c r="L913" s="424">
        <f t="shared" si="312"/>
        <v>24193</v>
      </c>
      <c r="M913" s="424">
        <f t="shared" si="312"/>
        <v>24305</v>
      </c>
      <c r="N913" s="424">
        <f t="shared" si="312"/>
        <v>24305</v>
      </c>
      <c r="O913" s="424">
        <f t="shared" si="312"/>
        <v>26335</v>
      </c>
      <c r="P913" s="424">
        <f t="shared" si="312"/>
        <v>28263</v>
      </c>
      <c r="Q913" s="424">
        <f t="shared" si="312"/>
        <v>32340</v>
      </c>
      <c r="R913" s="279">
        <f t="shared" si="309"/>
        <v>289119</v>
      </c>
    </row>
    <row r="914" spans="1:26" x14ac:dyDescent="0.2">
      <c r="C914" s="32" t="s">
        <v>1150</v>
      </c>
      <c r="D914" s="444" t="s">
        <v>809</v>
      </c>
      <c r="F914" s="424">
        <f t="shared" si="312"/>
        <v>63710</v>
      </c>
      <c r="G914" s="424">
        <f t="shared" si="312"/>
        <v>63060</v>
      </c>
      <c r="H914" s="424">
        <f t="shared" si="312"/>
        <v>61860</v>
      </c>
      <c r="I914" s="424">
        <f t="shared" si="312"/>
        <v>61860</v>
      </c>
      <c r="J914" s="424">
        <f t="shared" si="312"/>
        <v>59360</v>
      </c>
      <c r="K914" s="424">
        <f t="shared" si="312"/>
        <v>59360</v>
      </c>
      <c r="L914" s="424">
        <f t="shared" si="312"/>
        <v>59360</v>
      </c>
      <c r="M914" s="424">
        <f t="shared" si="312"/>
        <v>59240</v>
      </c>
      <c r="N914" s="424">
        <f t="shared" si="312"/>
        <v>59240</v>
      </c>
      <c r="O914" s="424">
        <f t="shared" si="312"/>
        <v>56740</v>
      </c>
      <c r="P914" s="424">
        <f t="shared" si="312"/>
        <v>55240</v>
      </c>
      <c r="Q914" s="424">
        <f t="shared" si="312"/>
        <v>54957</v>
      </c>
      <c r="R914" s="279">
        <f t="shared" si="309"/>
        <v>713987</v>
      </c>
    </row>
    <row r="915" spans="1:26" x14ac:dyDescent="0.2">
      <c r="C915" s="32" t="s">
        <v>1177</v>
      </c>
      <c r="D915" s="444" t="s">
        <v>810</v>
      </c>
      <c r="F915" s="424">
        <f>F899</f>
        <v>0</v>
      </c>
      <c r="G915" s="424">
        <f t="shared" ref="G915:Q915" si="313">G899</f>
        <v>0</v>
      </c>
      <c r="H915" s="424">
        <f t="shared" si="313"/>
        <v>0</v>
      </c>
      <c r="I915" s="424">
        <f t="shared" si="313"/>
        <v>0</v>
      </c>
      <c r="J915" s="424">
        <f t="shared" si="313"/>
        <v>0</v>
      </c>
      <c r="K915" s="424">
        <f t="shared" si="313"/>
        <v>0</v>
      </c>
      <c r="L915" s="424">
        <f t="shared" si="313"/>
        <v>0</v>
      </c>
      <c r="M915" s="424">
        <f t="shared" si="313"/>
        <v>0</v>
      </c>
      <c r="N915" s="424">
        <f t="shared" si="313"/>
        <v>0</v>
      </c>
      <c r="O915" s="424">
        <f t="shared" si="313"/>
        <v>0</v>
      </c>
      <c r="P915" s="424">
        <f t="shared" si="313"/>
        <v>0</v>
      </c>
      <c r="Q915" s="424">
        <f t="shared" si="313"/>
        <v>0</v>
      </c>
      <c r="R915" s="279">
        <f t="shared" si="309"/>
        <v>0</v>
      </c>
    </row>
    <row r="916" spans="1:26" x14ac:dyDescent="0.2">
      <c r="C916" s="32" t="s">
        <v>1152</v>
      </c>
      <c r="D916" s="444" t="s">
        <v>811</v>
      </c>
      <c r="F916" s="424">
        <f t="shared" ref="F916:Q916" si="314">F892+F900</f>
        <v>37741</v>
      </c>
      <c r="G916" s="424">
        <f t="shared" si="314"/>
        <v>37741</v>
      </c>
      <c r="H916" s="424">
        <f t="shared" si="314"/>
        <v>37741</v>
      </c>
      <c r="I916" s="424">
        <f t="shared" si="314"/>
        <v>37741</v>
      </c>
      <c r="J916" s="424">
        <f t="shared" si="314"/>
        <v>37741</v>
      </c>
      <c r="K916" s="424">
        <f t="shared" si="314"/>
        <v>37741</v>
      </c>
      <c r="L916" s="424">
        <f t="shared" si="314"/>
        <v>37741</v>
      </c>
      <c r="M916" s="424">
        <f t="shared" si="314"/>
        <v>37741</v>
      </c>
      <c r="N916" s="424">
        <f t="shared" si="314"/>
        <v>37741</v>
      </c>
      <c r="O916" s="424">
        <f t="shared" si="314"/>
        <v>37741</v>
      </c>
      <c r="P916" s="424">
        <f t="shared" si="314"/>
        <v>37741</v>
      </c>
      <c r="Q916" s="424">
        <f t="shared" si="314"/>
        <v>37724</v>
      </c>
      <c r="R916" s="279">
        <f t="shared" si="309"/>
        <v>452875</v>
      </c>
    </row>
    <row r="917" spans="1:26" x14ac:dyDescent="0.2">
      <c r="C917" s="343" t="s">
        <v>844</v>
      </c>
      <c r="F917" s="424">
        <f t="shared" ref="F917:N917" si="315">F904</f>
        <v>38483</v>
      </c>
      <c r="G917" s="424">
        <f t="shared" si="315"/>
        <v>38483</v>
      </c>
      <c r="H917" s="424">
        <f t="shared" si="315"/>
        <v>38483</v>
      </c>
      <c r="I917" s="424">
        <f t="shared" si="315"/>
        <v>38483</v>
      </c>
      <c r="J917" s="424">
        <f t="shared" si="315"/>
        <v>38483</v>
      </c>
      <c r="K917" s="424">
        <f t="shared" si="315"/>
        <v>38483</v>
      </c>
      <c r="L917" s="424">
        <f t="shared" si="315"/>
        <v>38483</v>
      </c>
      <c r="M917" s="424">
        <f t="shared" si="315"/>
        <v>38483</v>
      </c>
      <c r="N917" s="424">
        <f t="shared" si="315"/>
        <v>38483</v>
      </c>
      <c r="O917" s="424">
        <f>O904</f>
        <v>38483</v>
      </c>
      <c r="P917" s="424">
        <f>P904</f>
        <v>38483</v>
      </c>
      <c r="Q917" s="424">
        <f>Q904</f>
        <v>38483</v>
      </c>
      <c r="R917" s="279">
        <f t="shared" si="309"/>
        <v>461796</v>
      </c>
    </row>
    <row r="918" spans="1:26" x14ac:dyDescent="0.2">
      <c r="C918" s="32" t="s">
        <v>1174</v>
      </c>
      <c r="E918" s="364"/>
      <c r="F918" s="357">
        <f>SUM(F908:F917)</f>
        <v>679306.33000000007</v>
      </c>
      <c r="G918" s="357">
        <f t="shared" ref="G918:R918" si="316">SUM(G908:G917)</f>
        <v>679431.33000000007</v>
      </c>
      <c r="H918" s="357">
        <f t="shared" si="316"/>
        <v>674961.33000000007</v>
      </c>
      <c r="I918" s="357">
        <f t="shared" si="316"/>
        <v>675267.35</v>
      </c>
      <c r="J918" s="357">
        <f t="shared" si="316"/>
        <v>674616.31999999995</v>
      </c>
      <c r="K918" s="357">
        <f t="shared" si="316"/>
        <v>677957.33000000007</v>
      </c>
      <c r="L918" s="357">
        <f t="shared" si="316"/>
        <v>684482.64</v>
      </c>
      <c r="M918" s="357">
        <f t="shared" si="316"/>
        <v>681728</v>
      </c>
      <c r="N918" s="357">
        <f t="shared" si="316"/>
        <v>681044</v>
      </c>
      <c r="O918" s="357">
        <f t="shared" si="316"/>
        <v>673316</v>
      </c>
      <c r="P918" s="357">
        <f t="shared" si="316"/>
        <v>672224</v>
      </c>
      <c r="Q918" s="357">
        <f t="shared" si="316"/>
        <v>673711</v>
      </c>
      <c r="R918" s="357">
        <f t="shared" si="316"/>
        <v>8128045.6299999999</v>
      </c>
    </row>
    <row r="919" spans="1:26" x14ac:dyDescent="0.2">
      <c r="C919" s="32" t="s">
        <v>131</v>
      </c>
      <c r="E919" s="364"/>
      <c r="F919" s="424">
        <f t="shared" ref="F919:R919" si="317">F918-F905</f>
        <v>0</v>
      </c>
      <c r="G919" s="424">
        <f t="shared" si="317"/>
        <v>0</v>
      </c>
      <c r="H919" s="424">
        <f t="shared" si="317"/>
        <v>0</v>
      </c>
      <c r="I919" s="424">
        <f t="shared" si="317"/>
        <v>0</v>
      </c>
      <c r="J919" s="424">
        <f t="shared" si="317"/>
        <v>0</v>
      </c>
      <c r="K919" s="424">
        <f t="shared" si="317"/>
        <v>0</v>
      </c>
      <c r="L919" s="424">
        <f t="shared" si="317"/>
        <v>0</v>
      </c>
      <c r="M919" s="424">
        <f t="shared" si="317"/>
        <v>0</v>
      </c>
      <c r="N919" s="424">
        <f t="shared" si="317"/>
        <v>0</v>
      </c>
      <c r="O919" s="424">
        <f t="shared" si="317"/>
        <v>0</v>
      </c>
      <c r="P919" s="424">
        <f t="shared" si="317"/>
        <v>0</v>
      </c>
      <c r="Q919" s="424">
        <f t="shared" si="317"/>
        <v>0</v>
      </c>
      <c r="R919" s="424">
        <f t="shared" si="317"/>
        <v>0</v>
      </c>
    </row>
    <row r="920" spans="1:26" x14ac:dyDescent="0.2">
      <c r="E920" s="364"/>
      <c r="F920" s="364"/>
      <c r="G920" s="364"/>
      <c r="H920" s="364"/>
      <c r="I920" s="364"/>
      <c r="J920" s="364"/>
      <c r="K920" s="364"/>
      <c r="L920" s="364"/>
      <c r="M920" s="364"/>
      <c r="N920" s="364"/>
      <c r="O920" s="364"/>
      <c r="P920" s="364"/>
      <c r="Q920" s="364"/>
      <c r="R920" s="364"/>
    </row>
    <row r="921" spans="1:26" x14ac:dyDescent="0.2">
      <c r="B921" s="182" t="s">
        <v>1178</v>
      </c>
    </row>
    <row r="922" spans="1:26" x14ac:dyDescent="0.2">
      <c r="A922" s="32" t="s">
        <v>1056</v>
      </c>
      <c r="B922" s="32" t="s">
        <v>1179</v>
      </c>
      <c r="F922" s="364">
        <f t="shared" ref="F922:Q922" si="318">SUMIF($A$7:$A$795,$A922,F$7:F$795)-F57</f>
        <v>82344538.798600018</v>
      </c>
      <c r="G922" s="364">
        <f t="shared" si="318"/>
        <v>68108414.949330002</v>
      </c>
      <c r="H922" s="364">
        <f t="shared" si="318"/>
        <v>69523519.270930007</v>
      </c>
      <c r="I922" s="364">
        <f t="shared" si="318"/>
        <v>55937247.017060012</v>
      </c>
      <c r="J922" s="364">
        <f t="shared" si="318"/>
        <v>42335441.559019983</v>
      </c>
      <c r="K922" s="364">
        <f t="shared" si="318"/>
        <v>29823794.439579997</v>
      </c>
      <c r="L922" s="364">
        <f t="shared" si="318"/>
        <v>22259814.869120002</v>
      </c>
      <c r="M922" s="364">
        <f t="shared" si="318"/>
        <v>21364864.030990005</v>
      </c>
      <c r="N922" s="364">
        <f t="shared" si="318"/>
        <v>25446702.192809999</v>
      </c>
      <c r="O922" s="364">
        <f t="shared" si="318"/>
        <v>44956189.415110007</v>
      </c>
      <c r="P922" s="364">
        <f t="shared" si="318"/>
        <v>74005814.215269983</v>
      </c>
      <c r="Q922" s="364">
        <f t="shared" si="318"/>
        <v>91876027.920269996</v>
      </c>
      <c r="R922" s="364">
        <f>SUM(F922:Q922)</f>
        <v>627982368.67808998</v>
      </c>
      <c r="S922" s="364"/>
      <c r="T922" s="364"/>
      <c r="U922" s="364"/>
      <c r="V922" s="364"/>
      <c r="W922" s="364"/>
      <c r="X922" s="364"/>
      <c r="Y922" s="364"/>
      <c r="Z922" s="364"/>
    </row>
    <row r="923" spans="1:26" x14ac:dyDescent="0.2">
      <c r="A923" s="32" t="s">
        <v>1056</v>
      </c>
      <c r="B923" s="32" t="s">
        <v>1180</v>
      </c>
      <c r="F923" s="364">
        <f>F57</f>
        <v>686.93655000000001</v>
      </c>
      <c r="G923" s="364">
        <f t="shared" ref="G923:Q923" si="319">G57</f>
        <v>823.45247999999992</v>
      </c>
      <c r="H923" s="364">
        <f t="shared" si="319"/>
        <v>1147.4962800000001</v>
      </c>
      <c r="I923" s="364">
        <f t="shared" si="319"/>
        <v>834.88932</v>
      </c>
      <c r="J923" s="364">
        <f t="shared" si="319"/>
        <v>580.92944999999997</v>
      </c>
      <c r="K923" s="364">
        <f t="shared" si="319"/>
        <v>428.68586999999997</v>
      </c>
      <c r="L923" s="364">
        <f t="shared" si="319"/>
        <v>356.57049000000001</v>
      </c>
      <c r="M923" s="364">
        <f t="shared" si="319"/>
        <v>344.55125999999996</v>
      </c>
      <c r="N923" s="364">
        <f t="shared" si="319"/>
        <v>336.53843999999998</v>
      </c>
      <c r="O923" s="364">
        <f t="shared" si="319"/>
        <v>641.02559999999994</v>
      </c>
      <c r="P923" s="364">
        <f t="shared" si="319"/>
        <v>889.42301999999995</v>
      </c>
      <c r="Q923" s="364">
        <f t="shared" si="319"/>
        <v>1121.7947999999999</v>
      </c>
      <c r="R923" s="364">
        <f>SUM(F923:Q923)</f>
        <v>8192.2935600000001</v>
      </c>
      <c r="S923" s="364"/>
      <c r="T923" s="364"/>
      <c r="U923" s="364"/>
      <c r="V923" s="364"/>
      <c r="W923" s="364"/>
      <c r="X923" s="364"/>
      <c r="Y923" s="364"/>
      <c r="Z923" s="364"/>
    </row>
    <row r="924" spans="1:26" x14ac:dyDescent="0.2">
      <c r="A924" s="336" t="s">
        <v>1054</v>
      </c>
      <c r="B924" s="336" t="s">
        <v>1181</v>
      </c>
      <c r="C924" s="336"/>
      <c r="F924" s="364">
        <f t="shared" ref="F924:Q924" si="320">SUMIF($A$7:$A$795,$A924,F$7:F$795)</f>
        <v>44380208.052559979</v>
      </c>
      <c r="G924" s="364">
        <f t="shared" si="320"/>
        <v>38420180.046290003</v>
      </c>
      <c r="H924" s="364">
        <f t="shared" si="320"/>
        <v>38890177.333830006</v>
      </c>
      <c r="I924" s="364">
        <f t="shared" si="320"/>
        <v>33282135.517920002</v>
      </c>
      <c r="J924" s="364">
        <f t="shared" si="320"/>
        <v>27396176.206629995</v>
      </c>
      <c r="K924" s="364">
        <f t="shared" si="320"/>
        <v>22082422.781409994</v>
      </c>
      <c r="L924" s="364">
        <f t="shared" si="320"/>
        <v>19008581.081569999</v>
      </c>
      <c r="M924" s="364">
        <f t="shared" si="320"/>
        <v>18605909.60173998</v>
      </c>
      <c r="N924" s="364">
        <f t="shared" si="320"/>
        <v>20335226.863369994</v>
      </c>
      <c r="O924" s="364">
        <f t="shared" si="320"/>
        <v>28513792.284099981</v>
      </c>
      <c r="P924" s="364">
        <f t="shared" si="320"/>
        <v>42490864.196209997</v>
      </c>
      <c r="Q924" s="364">
        <f t="shared" si="320"/>
        <v>50543309.175870016</v>
      </c>
      <c r="R924" s="364">
        <f>SUM(F924:Q924)</f>
        <v>383948983.14149994</v>
      </c>
      <c r="S924" s="418"/>
      <c r="T924" s="418"/>
      <c r="U924" s="418"/>
      <c r="V924" s="418"/>
      <c r="W924" s="418"/>
      <c r="X924" s="418"/>
      <c r="Y924" s="418"/>
      <c r="Z924" s="418"/>
    </row>
    <row r="925" spans="1:26" x14ac:dyDescent="0.2">
      <c r="F925" s="364"/>
      <c r="G925" s="364"/>
      <c r="H925" s="364"/>
      <c r="I925" s="364"/>
      <c r="J925" s="364"/>
      <c r="K925" s="364"/>
      <c r="L925" s="364"/>
      <c r="M925" s="364"/>
      <c r="N925" s="364"/>
      <c r="O925" s="364"/>
      <c r="P925" s="364"/>
      <c r="Q925" s="364"/>
      <c r="R925" s="364"/>
    </row>
    <row r="926" spans="1:26" s="336" customFormat="1" x14ac:dyDescent="0.2">
      <c r="B926" s="336" t="s">
        <v>1182</v>
      </c>
      <c r="F926" s="498">
        <f>'JKP-3.1c - Rev Actual Rates'!F937</f>
        <v>1.04514</v>
      </c>
      <c r="G926" s="498">
        <f>'JKP-3.1c - Rev Actual Rates'!G937</f>
        <v>1.04514</v>
      </c>
      <c r="H926" s="498">
        <f>'JKP-3.1c - Rev Actual Rates'!H937</f>
        <v>1.04514</v>
      </c>
      <c r="I926" s="498">
        <f>'JKP-3.1c - Rev Actual Rates'!I937</f>
        <v>1.04514</v>
      </c>
      <c r="J926" s="498">
        <f>'JKP-3.1c - Rev Actual Rates'!J937</f>
        <v>1.04514</v>
      </c>
      <c r="K926" s="498">
        <f>'JKP-3.1c - Rev Actual Rates'!K937</f>
        <v>1.04514</v>
      </c>
      <c r="L926" s="498">
        <f>'JKP-3.1c - Rev Actual Rates'!L937</f>
        <v>1.04514</v>
      </c>
      <c r="M926" s="498">
        <f>'JKP-3.1c - Rev Actual Rates'!M937</f>
        <v>1.04514</v>
      </c>
      <c r="N926" s="498">
        <f>'JKP-3.1c - Rev Actual Rates'!N937</f>
        <v>1.04514</v>
      </c>
      <c r="O926" s="498">
        <f>'JKP-3.1c - Rev Actual Rates'!O937</f>
        <v>1.04514</v>
      </c>
      <c r="P926" s="498">
        <f>'JKP-3.1c - Rev Actual Rates'!P937</f>
        <v>1.045199</v>
      </c>
      <c r="Q926" s="498">
        <f>'JKP-3.1c - Rev Actual Rates'!Q937</f>
        <v>1.045199</v>
      </c>
      <c r="R926" s="418"/>
      <c r="S926" s="340"/>
      <c r="T926" s="340"/>
      <c r="U926" s="340"/>
      <c r="V926" s="340"/>
      <c r="W926" s="340"/>
      <c r="X926" s="340"/>
      <c r="Y926" s="340"/>
      <c r="Z926" s="340"/>
    </row>
    <row r="927" spans="1:26" x14ac:dyDescent="0.2">
      <c r="A927" s="336" t="s">
        <v>1058</v>
      </c>
      <c r="B927" s="32" t="s">
        <v>1050</v>
      </c>
      <c r="F927" s="364">
        <f t="shared" ref="F927:Q927" si="321">SUMIF($A$7:$A$795,$A927,F$7:F$795)</f>
        <v>78786870.107370019</v>
      </c>
      <c r="G927" s="364">
        <f t="shared" si="321"/>
        <v>65165744.29395999</v>
      </c>
      <c r="H927" s="364">
        <f t="shared" si="321"/>
        <v>66520115.82192</v>
      </c>
      <c r="I927" s="364">
        <f t="shared" si="321"/>
        <v>53520370.843410008</v>
      </c>
      <c r="J927" s="364">
        <f t="shared" si="321"/>
        <v>40505871.473389991</v>
      </c>
      <c r="K927" s="364">
        <f t="shared" si="321"/>
        <v>28534453.517320007</v>
      </c>
      <c r="L927" s="364">
        <f t="shared" si="321"/>
        <v>21297123.160780009</v>
      </c>
      <c r="M927" s="364">
        <f t="shared" si="321"/>
        <v>20440845.354459997</v>
      </c>
      <c r="N927" s="364">
        <f t="shared" si="321"/>
        <v>24346320.417889997</v>
      </c>
      <c r="O927" s="364">
        <f t="shared" si="321"/>
        <v>43013462.723490007</v>
      </c>
      <c r="P927" s="364">
        <f t="shared" si="321"/>
        <v>70805245.085819989</v>
      </c>
      <c r="Q927" s="364">
        <f t="shared" si="321"/>
        <v>87903021.67504999</v>
      </c>
      <c r="R927" s="364">
        <f>SUM(F927:Q927)</f>
        <v>600839444.47486007</v>
      </c>
      <c r="S927" s="340"/>
      <c r="T927" s="340"/>
      <c r="U927" s="340"/>
      <c r="V927" s="340"/>
      <c r="W927" s="340"/>
      <c r="X927" s="340"/>
      <c r="Y927" s="340"/>
      <c r="Z927" s="340"/>
    </row>
    <row r="928" spans="1:26" x14ac:dyDescent="0.2">
      <c r="F928" s="499"/>
      <c r="G928" s="499"/>
      <c r="H928" s="499"/>
      <c r="I928" s="499"/>
      <c r="J928" s="499"/>
      <c r="K928" s="499"/>
      <c r="L928" s="499"/>
      <c r="M928" s="499"/>
      <c r="N928" s="499"/>
      <c r="O928" s="499"/>
      <c r="P928" s="499"/>
      <c r="Q928" s="499"/>
      <c r="R928" s="499"/>
    </row>
    <row r="929" spans="2:19" x14ac:dyDescent="0.2">
      <c r="B929" s="488" t="s">
        <v>1183</v>
      </c>
    </row>
    <row r="930" spans="2:19" x14ac:dyDescent="0.2">
      <c r="B930" s="343" t="s">
        <v>827</v>
      </c>
      <c r="F930" s="364">
        <f>F19</f>
        <v>510.29999999999995</v>
      </c>
      <c r="G930" s="364">
        <f t="shared" ref="G930:Q930" si="322">G19</f>
        <v>510.29999999999995</v>
      </c>
      <c r="H930" s="364">
        <f t="shared" si="322"/>
        <v>510.29999999999995</v>
      </c>
      <c r="I930" s="364">
        <f t="shared" si="322"/>
        <v>510.29999999999995</v>
      </c>
      <c r="J930" s="364">
        <f t="shared" si="322"/>
        <v>510.2999999999999</v>
      </c>
      <c r="K930" s="364">
        <f t="shared" si="322"/>
        <v>510.29999999999995</v>
      </c>
      <c r="L930" s="364">
        <f t="shared" si="322"/>
        <v>500.84999999999997</v>
      </c>
      <c r="M930" s="364">
        <f t="shared" si="322"/>
        <v>500.84999999999997</v>
      </c>
      <c r="N930" s="364">
        <f t="shared" si="322"/>
        <v>500.84999999999997</v>
      </c>
      <c r="O930" s="364">
        <f t="shared" si="322"/>
        <v>500.84999999999997</v>
      </c>
      <c r="P930" s="364">
        <f t="shared" si="322"/>
        <v>500.84999999999997</v>
      </c>
      <c r="Q930" s="364">
        <f t="shared" si="322"/>
        <v>500.84999999999997</v>
      </c>
      <c r="R930" s="364">
        <f t="shared" ref="R930:R936" si="323">SUM(F930:Q930)</f>
        <v>6066.9000000000005</v>
      </c>
      <c r="S930" s="364">
        <f>R930-'JKP-3.1c - Rev Actual Rates'!R941</f>
        <v>-1329.6600000000008</v>
      </c>
    </row>
    <row r="931" spans="2:19" x14ac:dyDescent="0.2">
      <c r="B931" s="343" t="s">
        <v>828</v>
      </c>
      <c r="F931" s="437">
        <f t="shared" ref="F931:N931" si="324">F37+F38</f>
        <v>31842019</v>
      </c>
      <c r="G931" s="437">
        <f t="shared" si="324"/>
        <v>27377315</v>
      </c>
      <c r="H931" s="437">
        <f t="shared" si="324"/>
        <v>27686899</v>
      </c>
      <c r="I931" s="437">
        <f t="shared" si="324"/>
        <v>23255801</v>
      </c>
      <c r="J931" s="437">
        <f t="shared" si="324"/>
        <v>18681822</v>
      </c>
      <c r="K931" s="437">
        <f t="shared" si="324"/>
        <v>14706042</v>
      </c>
      <c r="L931" s="437">
        <f t="shared" si="324"/>
        <v>12310178</v>
      </c>
      <c r="M931" s="437">
        <f t="shared" si="324"/>
        <v>11991258</v>
      </c>
      <c r="N931" s="437">
        <f t="shared" si="324"/>
        <v>13375556</v>
      </c>
      <c r="O931" s="437">
        <f>O37+O38</f>
        <v>19787211</v>
      </c>
      <c r="P931" s="437">
        <f>P37+P38</f>
        <v>30592570</v>
      </c>
      <c r="Q931" s="437">
        <f>Q37+Q38</f>
        <v>36620097</v>
      </c>
      <c r="R931" s="364">
        <f t="shared" si="323"/>
        <v>268226768</v>
      </c>
      <c r="S931" s="364">
        <f>R931-'JKP-3.1c - Rev Actual Rates'!R942</f>
        <v>2436903</v>
      </c>
    </row>
    <row r="932" spans="2:19" x14ac:dyDescent="0.2">
      <c r="B932" s="343" t="s">
        <v>829</v>
      </c>
      <c r="F932" s="437">
        <f t="shared" ref="F932:N932" si="325">+F55+F56</f>
        <v>121.53885</v>
      </c>
      <c r="G932" s="437">
        <f t="shared" si="325"/>
        <v>125.37752</v>
      </c>
      <c r="H932" s="437">
        <f t="shared" si="325"/>
        <v>155.03996999999998</v>
      </c>
      <c r="I932" s="437">
        <f t="shared" si="325"/>
        <v>126.42443</v>
      </c>
      <c r="J932" s="437">
        <f t="shared" si="325"/>
        <v>100.60065</v>
      </c>
      <c r="K932" s="437">
        <f t="shared" si="325"/>
        <v>87.339789999999994</v>
      </c>
      <c r="L932" s="437">
        <f t="shared" si="325"/>
        <v>91.058329999999998</v>
      </c>
      <c r="M932" s="437">
        <f t="shared" si="325"/>
        <v>90.011420000000001</v>
      </c>
      <c r="N932" s="437">
        <f t="shared" si="325"/>
        <v>79.313479999999998</v>
      </c>
      <c r="O932" s="437">
        <f>+O55+O56</f>
        <v>105.8352</v>
      </c>
      <c r="P932" s="437">
        <f>+P55+P56</f>
        <v>127.47134</v>
      </c>
      <c r="Q932" s="437">
        <f>+Q55+Q56</f>
        <v>137.7116</v>
      </c>
      <c r="R932" s="364">
        <f t="shared" si="323"/>
        <v>1347.7225800000001</v>
      </c>
      <c r="S932" s="364">
        <f>R932-'JKP-3.1c - Rev Actual Rates'!R943</f>
        <v>9.3210199999998622</v>
      </c>
    </row>
    <row r="933" spans="2:19" x14ac:dyDescent="0.2">
      <c r="B933" s="346" t="s">
        <v>830</v>
      </c>
      <c r="F933" s="364">
        <f t="shared" ref="F933:Q933" si="326">F84+F85+F412+F413</f>
        <v>9026855.4780400004</v>
      </c>
      <c r="G933" s="364">
        <f t="shared" si="326"/>
        <v>7684653.7898499994</v>
      </c>
      <c r="H933" s="364">
        <f t="shared" si="326"/>
        <v>7767330.4228600012</v>
      </c>
      <c r="I933" s="364">
        <f t="shared" si="326"/>
        <v>6598941.7644400001</v>
      </c>
      <c r="J933" s="364">
        <f t="shared" si="326"/>
        <v>5465705.8421600005</v>
      </c>
      <c r="K933" s="364">
        <f t="shared" si="326"/>
        <v>4490271.7695000013</v>
      </c>
      <c r="L933" s="364">
        <f t="shared" si="326"/>
        <v>3930658.9120399999</v>
      </c>
      <c r="M933" s="364">
        <f t="shared" si="326"/>
        <v>3882730.2537999996</v>
      </c>
      <c r="N933" s="364">
        <f t="shared" si="326"/>
        <v>4160738.5934000006</v>
      </c>
      <c r="O933" s="364">
        <f t="shared" si="326"/>
        <v>5666000.9603399998</v>
      </c>
      <c r="P933" s="364">
        <f t="shared" si="326"/>
        <v>8484285.1110100001</v>
      </c>
      <c r="Q933" s="364">
        <f t="shared" si="326"/>
        <v>10341619.59846</v>
      </c>
      <c r="R933" s="364">
        <f t="shared" si="323"/>
        <v>77499792.495900005</v>
      </c>
      <c r="S933" s="364">
        <f>R933-'JKP-3.1c - Rev Actual Rates'!R944</f>
        <v>636174.41224999726</v>
      </c>
    </row>
    <row r="934" spans="2:19" x14ac:dyDescent="0.2">
      <c r="B934" s="343" t="s">
        <v>832</v>
      </c>
      <c r="F934" s="364">
        <f t="shared" ref="F934:Q934" si="327">F116+F121+F124+F127+F444+F449+F452+F455</f>
        <v>1713757.7395900001</v>
      </c>
      <c r="G934" s="364">
        <f t="shared" si="327"/>
        <v>1588875.6170199998</v>
      </c>
      <c r="H934" s="364">
        <f t="shared" si="327"/>
        <v>1649185.5097199997</v>
      </c>
      <c r="I934" s="364">
        <f t="shared" si="327"/>
        <v>1539407.6026199998</v>
      </c>
      <c r="J934" s="364">
        <f t="shared" si="327"/>
        <v>1454959.8833099999</v>
      </c>
      <c r="K934" s="364">
        <f t="shared" si="327"/>
        <v>1341821.6704100003</v>
      </c>
      <c r="L934" s="364">
        <f t="shared" si="327"/>
        <v>1283604.6373900003</v>
      </c>
      <c r="M934" s="364">
        <f t="shared" si="327"/>
        <v>1275186.70621</v>
      </c>
      <c r="N934" s="364">
        <f t="shared" si="327"/>
        <v>1291848.4729299999</v>
      </c>
      <c r="O934" s="364">
        <f t="shared" si="327"/>
        <v>1426707.7521799998</v>
      </c>
      <c r="P934" s="364">
        <f t="shared" si="327"/>
        <v>1631840.7671999999</v>
      </c>
      <c r="Q934" s="364">
        <f t="shared" si="327"/>
        <v>1742265.0231800003</v>
      </c>
      <c r="R934" s="364">
        <f t="shared" si="323"/>
        <v>17939461.381760001</v>
      </c>
      <c r="S934" s="364">
        <f>R934-'JKP-3.1c - Rev Actual Rates'!R945</f>
        <v>96441.994569998235</v>
      </c>
    </row>
    <row r="935" spans="2:19" x14ac:dyDescent="0.2">
      <c r="B935" s="343" t="s">
        <v>836</v>
      </c>
      <c r="F935" s="364">
        <f t="shared" ref="F935:Q935" si="328">F70+F256+F616</f>
        <v>9391.0000000000018</v>
      </c>
      <c r="G935" s="364">
        <f t="shared" si="328"/>
        <v>9391.0000000000018</v>
      </c>
      <c r="H935" s="364">
        <f t="shared" si="328"/>
        <v>9416.5000000000018</v>
      </c>
      <c r="I935" s="364">
        <f t="shared" si="328"/>
        <v>9391.0000000000018</v>
      </c>
      <c r="J935" s="364">
        <f t="shared" si="328"/>
        <v>9628.3000000000011</v>
      </c>
      <c r="K935" s="364">
        <f t="shared" si="328"/>
        <v>9509.0000000000018</v>
      </c>
      <c r="L935" s="364">
        <f t="shared" si="328"/>
        <v>9708.5000000000018</v>
      </c>
      <c r="M935" s="364">
        <f t="shared" si="328"/>
        <v>9824.3000000000011</v>
      </c>
      <c r="N935" s="364">
        <f t="shared" si="328"/>
        <v>9763.0000000000018</v>
      </c>
      <c r="O935" s="364">
        <f t="shared" si="328"/>
        <v>9763.0000000000018</v>
      </c>
      <c r="P935" s="364">
        <f t="shared" si="328"/>
        <v>9763.0000000000018</v>
      </c>
      <c r="Q935" s="364">
        <f t="shared" si="328"/>
        <v>9763.0000000000018</v>
      </c>
      <c r="R935" s="364">
        <f t="shared" si="323"/>
        <v>115311.60000000002</v>
      </c>
      <c r="S935" s="364">
        <f>R935-'JKP-3.1c - Rev Actual Rates'!R946</f>
        <v>0</v>
      </c>
    </row>
    <row r="936" spans="2:19" x14ac:dyDescent="0.2">
      <c r="B936" s="343" t="s">
        <v>837</v>
      </c>
      <c r="F936" s="364">
        <f t="shared" ref="F936:Q936" si="329">F286+F291+F293+F295+F298+F645+F650+F652+F654+F657</f>
        <v>173902.93539000003</v>
      </c>
      <c r="G936" s="364">
        <f t="shared" si="329"/>
        <v>175495.81466999999</v>
      </c>
      <c r="H936" s="364">
        <f t="shared" si="329"/>
        <v>174784.55682000003</v>
      </c>
      <c r="I936" s="364">
        <f t="shared" si="329"/>
        <v>162559.74512000001</v>
      </c>
      <c r="J936" s="364">
        <f t="shared" si="329"/>
        <v>147685.96347000002</v>
      </c>
      <c r="K936" s="364">
        <f t="shared" si="329"/>
        <v>129520.49414</v>
      </c>
      <c r="L936" s="364">
        <f t="shared" si="329"/>
        <v>116917.28934999999</v>
      </c>
      <c r="M936" s="364">
        <f t="shared" si="329"/>
        <v>121970.06484000001</v>
      </c>
      <c r="N936" s="364">
        <f t="shared" si="329"/>
        <v>125237.52565999998</v>
      </c>
      <c r="O936" s="364">
        <f t="shared" si="329"/>
        <v>144642.79638000001</v>
      </c>
      <c r="P936" s="364">
        <f t="shared" si="329"/>
        <v>168904.61695000003</v>
      </c>
      <c r="Q936" s="364">
        <f t="shared" si="329"/>
        <v>187119.67055000004</v>
      </c>
      <c r="R936" s="364">
        <f t="shared" si="323"/>
        <v>1828741.47334</v>
      </c>
      <c r="S936" s="364">
        <f>R936-'JKP-3.1c - Rev Actual Rates'!R947</f>
        <v>6865.4583000000566</v>
      </c>
    </row>
    <row r="937" spans="2:19" x14ac:dyDescent="0.2">
      <c r="B937" s="343" t="s">
        <v>839</v>
      </c>
      <c r="F937" s="364">
        <f t="shared" ref="F937:Q937" si="330">F329+F333+F335+F337+F340+F688+F692+F694+F696+F699</f>
        <v>349674.92856000003</v>
      </c>
      <c r="G937" s="364">
        <f t="shared" si="330"/>
        <v>309647.24828</v>
      </c>
      <c r="H937" s="364">
        <f t="shared" si="330"/>
        <v>303092.10674000002</v>
      </c>
      <c r="I937" s="364">
        <f t="shared" si="330"/>
        <v>262451.99778999999</v>
      </c>
      <c r="J937" s="364">
        <f t="shared" si="330"/>
        <v>229718.50003999998</v>
      </c>
      <c r="K937" s="364">
        <f t="shared" si="330"/>
        <v>176529.59962999998</v>
      </c>
      <c r="L937" s="364">
        <f t="shared" si="330"/>
        <v>127615.40203</v>
      </c>
      <c r="M937" s="364">
        <f t="shared" si="330"/>
        <v>121343.01208</v>
      </c>
      <c r="N937" s="364">
        <f t="shared" si="330"/>
        <v>169194.66611000002</v>
      </c>
      <c r="O937" s="364">
        <f t="shared" si="330"/>
        <v>213478.05364999999</v>
      </c>
      <c r="P937" s="364">
        <f t="shared" si="330"/>
        <v>303548.61559</v>
      </c>
      <c r="Q937" s="364">
        <f t="shared" si="330"/>
        <v>335526.35847000009</v>
      </c>
      <c r="R937" s="364">
        <f t="shared" ref="R937:R942" si="331">SUM(F937:Q937)</f>
        <v>2901820.4889700003</v>
      </c>
      <c r="S937" s="364">
        <f>R937-'JKP-3.1c - Rev Actual Rates'!R948</f>
        <v>12773.714999999851</v>
      </c>
    </row>
    <row r="938" spans="2:19" x14ac:dyDescent="0.2">
      <c r="B938" s="343" t="s">
        <v>841</v>
      </c>
      <c r="F938" s="364">
        <f t="shared" ref="F938:Q938" si="332">F379+F387+F389+F391+F394+F738+F746+F748+F750+F753</f>
        <v>152021.06626000002</v>
      </c>
      <c r="G938" s="364">
        <f t="shared" si="332"/>
        <v>212034.26549999998</v>
      </c>
      <c r="H938" s="364">
        <f t="shared" si="332"/>
        <v>147108.55129999999</v>
      </c>
      <c r="I938" s="364">
        <f t="shared" si="332"/>
        <v>137997.40837000002</v>
      </c>
      <c r="J938" s="364">
        <f t="shared" si="332"/>
        <v>131631.41183999999</v>
      </c>
      <c r="K938" s="364">
        <f t="shared" si="332"/>
        <v>117501.02071000001</v>
      </c>
      <c r="L938" s="364">
        <f t="shared" si="332"/>
        <v>105381.71857</v>
      </c>
      <c r="M938" s="364">
        <f t="shared" si="332"/>
        <v>101967.43441999999</v>
      </c>
      <c r="N938" s="364">
        <f t="shared" si="332"/>
        <v>109193.05089000003</v>
      </c>
      <c r="O938" s="364">
        <f t="shared" si="332"/>
        <v>143305.98182000002</v>
      </c>
      <c r="P938" s="364">
        <f t="shared" si="332"/>
        <v>150910.86645999999</v>
      </c>
      <c r="Q938" s="364">
        <f t="shared" si="332"/>
        <v>161432.40916000001</v>
      </c>
      <c r="R938" s="364">
        <f t="shared" si="331"/>
        <v>1670485.1853000002</v>
      </c>
      <c r="S938" s="364">
        <f>R938-'JKP-3.1c - Rev Actual Rates'!R949</f>
        <v>6288.8174699998926</v>
      </c>
    </row>
    <row r="939" spans="2:19" s="336" customFormat="1" x14ac:dyDescent="0.2">
      <c r="B939" s="336" t="s">
        <v>1184</v>
      </c>
      <c r="F939" s="418">
        <f t="shared" ref="F939:Q939" si="333">+F155+F160+F162+F163+F164+F483+F488+F490+F491+F492</f>
        <v>83050.819000000018</v>
      </c>
      <c r="G939" s="418">
        <f t="shared" si="333"/>
        <v>80359.560410000006</v>
      </c>
      <c r="H939" s="418">
        <f t="shared" si="333"/>
        <v>83771.578540000002</v>
      </c>
      <c r="I939" s="418">
        <f t="shared" si="333"/>
        <v>81611.318300000014</v>
      </c>
      <c r="J939" s="418">
        <f t="shared" si="333"/>
        <v>77835.30558</v>
      </c>
      <c r="K939" s="418">
        <f t="shared" si="333"/>
        <v>78677.991039999994</v>
      </c>
      <c r="L939" s="418">
        <f t="shared" si="333"/>
        <v>93472.062419999987</v>
      </c>
      <c r="M939" s="418">
        <f t="shared" si="333"/>
        <v>94451.759020000012</v>
      </c>
      <c r="N939" s="418">
        <f t="shared" si="333"/>
        <v>97094.829790000003</v>
      </c>
      <c r="O939" s="418">
        <f t="shared" si="333"/>
        <v>104935.89132000001</v>
      </c>
      <c r="P939" s="418">
        <f t="shared" si="333"/>
        <v>126639.13298000002</v>
      </c>
      <c r="Q939" s="418">
        <f t="shared" si="333"/>
        <v>147938.86316000001</v>
      </c>
      <c r="R939" s="418">
        <f t="shared" si="331"/>
        <v>1149839.1115600001</v>
      </c>
      <c r="S939" s="364">
        <f>R939-'JKP-3.1c - Rev Actual Rates'!R950</f>
        <v>4766.9454499999993</v>
      </c>
    </row>
    <row r="940" spans="2:19" s="336" customFormat="1" x14ac:dyDescent="0.2">
      <c r="B940" s="336" t="s">
        <v>1185</v>
      </c>
      <c r="F940" s="418">
        <f t="shared" ref="F940:Q940" si="334">+F191+F196+F198+F199+F519+F524+F526+F527</f>
        <v>537661.66020000004</v>
      </c>
      <c r="G940" s="418">
        <f t="shared" si="334"/>
        <v>530176.78145000013</v>
      </c>
      <c r="H940" s="418">
        <f t="shared" si="334"/>
        <v>584369.96869000001</v>
      </c>
      <c r="I940" s="418">
        <f t="shared" si="334"/>
        <v>759603.82199000008</v>
      </c>
      <c r="J940" s="418">
        <f t="shared" si="334"/>
        <v>685032.00726999994</v>
      </c>
      <c r="K940" s="418">
        <f t="shared" si="334"/>
        <v>586024.16680000001</v>
      </c>
      <c r="L940" s="418">
        <f t="shared" si="334"/>
        <v>544371.32823999994</v>
      </c>
      <c r="M940" s="418">
        <f t="shared" si="334"/>
        <v>543003.44635999994</v>
      </c>
      <c r="N940" s="418">
        <f t="shared" si="334"/>
        <v>547806.69383000012</v>
      </c>
      <c r="O940" s="418">
        <f t="shared" si="334"/>
        <v>550895.26800000004</v>
      </c>
      <c r="P940" s="418">
        <f t="shared" si="334"/>
        <v>558665.20673000009</v>
      </c>
      <c r="Q940" s="418">
        <f t="shared" si="334"/>
        <v>532826.20322000002</v>
      </c>
      <c r="R940" s="418">
        <f t="shared" si="331"/>
        <v>6960436.5527800005</v>
      </c>
      <c r="S940" s="364">
        <f>R940-'JKP-3.1c - Rev Actual Rates'!R951</f>
        <v>21820.781400000677</v>
      </c>
    </row>
    <row r="941" spans="2:19" s="336" customFormat="1" x14ac:dyDescent="0.2">
      <c r="B941" s="338" t="s">
        <v>1186</v>
      </c>
      <c r="F941" s="418">
        <f>F552+F556+F558+F559</f>
        <v>0</v>
      </c>
      <c r="G941" s="418">
        <f t="shared" ref="G941:Q941" si="335">G552+G556+G558+G559</f>
        <v>0</v>
      </c>
      <c r="H941" s="418">
        <f t="shared" si="335"/>
        <v>0</v>
      </c>
      <c r="I941" s="418">
        <f t="shared" si="335"/>
        <v>0</v>
      </c>
      <c r="J941" s="418">
        <f t="shared" si="335"/>
        <v>0</v>
      </c>
      <c r="K941" s="418">
        <f t="shared" si="335"/>
        <v>443.45</v>
      </c>
      <c r="L941" s="418">
        <f t="shared" si="335"/>
        <v>443.45</v>
      </c>
      <c r="M941" s="418">
        <f t="shared" si="335"/>
        <v>806.20180000000005</v>
      </c>
      <c r="N941" s="418">
        <f t="shared" si="335"/>
        <v>1855.8923000000002</v>
      </c>
      <c r="O941" s="418">
        <f t="shared" si="335"/>
        <v>1650.2758000000001</v>
      </c>
      <c r="P941" s="418">
        <f t="shared" si="335"/>
        <v>634.31659999999999</v>
      </c>
      <c r="Q941" s="418">
        <f t="shared" si="335"/>
        <v>482.49540000000002</v>
      </c>
      <c r="R941" s="418">
        <f t="shared" si="331"/>
        <v>6316.0819000000001</v>
      </c>
      <c r="S941" s="364">
        <f>R941-'JKP-3.1c - Rev Actual Rates'!R952</f>
        <v>0</v>
      </c>
    </row>
    <row r="942" spans="2:19" s="336" customFormat="1" x14ac:dyDescent="0.2">
      <c r="B942" s="336" t="s">
        <v>1187</v>
      </c>
      <c r="F942" s="418">
        <f t="shared" ref="F942:Q942" si="336">+F232+F240+F242+F243+F592+F600+F602+F603</f>
        <v>344810.82782999997</v>
      </c>
      <c r="G942" s="418">
        <f t="shared" si="336"/>
        <v>308368.83233999996</v>
      </c>
      <c r="H942" s="418">
        <f t="shared" si="336"/>
        <v>336446.70512</v>
      </c>
      <c r="I942" s="418">
        <f t="shared" si="336"/>
        <v>333637.50192999997</v>
      </c>
      <c r="J942" s="418">
        <f t="shared" si="336"/>
        <v>378264.31228999997</v>
      </c>
      <c r="K942" s="418">
        <f t="shared" si="336"/>
        <v>322247.89125999995</v>
      </c>
      <c r="L942" s="418">
        <f t="shared" si="336"/>
        <v>365595.68059999996</v>
      </c>
      <c r="M942" s="418">
        <f t="shared" si="336"/>
        <v>344046.91795999999</v>
      </c>
      <c r="N942" s="418">
        <f t="shared" si="336"/>
        <v>326006.32080999995</v>
      </c>
      <c r="O942" s="418">
        <f t="shared" si="336"/>
        <v>329317.91716999997</v>
      </c>
      <c r="P942" s="418">
        <f t="shared" si="336"/>
        <v>310514.3199</v>
      </c>
      <c r="Q942" s="418">
        <f t="shared" si="336"/>
        <v>310570.63694</v>
      </c>
      <c r="R942" s="418">
        <f t="shared" si="331"/>
        <v>4009827.8641499998</v>
      </c>
      <c r="S942" s="364">
        <f>R942-'JKP-3.1c - Rev Actual Rates'!R953</f>
        <v>13548.599410000257</v>
      </c>
    </row>
    <row r="943" spans="2:19" s="336" customFormat="1" x14ac:dyDescent="0.2">
      <c r="B943" s="338" t="s">
        <v>844</v>
      </c>
      <c r="F943" s="418">
        <f t="shared" ref="F943:N943" si="337">F784+F792+F793</f>
        <v>146430.75884000002</v>
      </c>
      <c r="G943" s="418">
        <f t="shared" si="337"/>
        <v>143226.45925000001</v>
      </c>
      <c r="H943" s="418">
        <f t="shared" si="337"/>
        <v>147107.09406999999</v>
      </c>
      <c r="I943" s="418">
        <f t="shared" si="337"/>
        <v>140095.63293000002</v>
      </c>
      <c r="J943" s="418">
        <f t="shared" si="337"/>
        <v>133281.78002000001</v>
      </c>
      <c r="K943" s="418">
        <f t="shared" si="337"/>
        <v>123236.08813</v>
      </c>
      <c r="L943" s="418">
        <f t="shared" si="337"/>
        <v>120042.19259999999</v>
      </c>
      <c r="M943" s="418">
        <f t="shared" si="337"/>
        <v>118730.64383</v>
      </c>
      <c r="N943" s="418">
        <f t="shared" si="337"/>
        <v>120351.65416999999</v>
      </c>
      <c r="O943" s="418">
        <f>O784+O792+O793</f>
        <v>135276.70224000001</v>
      </c>
      <c r="P943" s="418">
        <f>P784+P792+P793</f>
        <v>151959.92145000002</v>
      </c>
      <c r="Q943" s="418">
        <f>Q784+Q792+Q793</f>
        <v>153029.35573000001</v>
      </c>
      <c r="R943" s="418">
        <f>R784+R792+R793</f>
        <v>1632768.2832599999</v>
      </c>
      <c r="S943" s="364">
        <f>R943-'JKP-3.1c - Rev Actual Rates'!R954</f>
        <v>39035.608259999659</v>
      </c>
    </row>
    <row r="944" spans="2:19" s="336" customFormat="1" x14ac:dyDescent="0.2">
      <c r="B944" s="338" t="s">
        <v>1188</v>
      </c>
      <c r="F944" s="339">
        <f t="shared" ref="F944:N944" si="338">SUM(F930:F943)</f>
        <v>44380208.052560009</v>
      </c>
      <c r="G944" s="339">
        <f t="shared" si="338"/>
        <v>38420180.04629001</v>
      </c>
      <c r="H944" s="339">
        <f t="shared" si="338"/>
        <v>38890177.333829992</v>
      </c>
      <c r="I944" s="339">
        <f t="shared" si="338"/>
        <v>33282135.517919999</v>
      </c>
      <c r="J944" s="339">
        <f t="shared" si="338"/>
        <v>27396176.206630006</v>
      </c>
      <c r="K944" s="339">
        <f t="shared" si="338"/>
        <v>22082422.781409997</v>
      </c>
      <c r="L944" s="339">
        <f t="shared" si="338"/>
        <v>19008581.081569996</v>
      </c>
      <c r="M944" s="339">
        <f t="shared" si="338"/>
        <v>18605909.601739999</v>
      </c>
      <c r="N944" s="339">
        <f t="shared" si="338"/>
        <v>20335226.863369998</v>
      </c>
      <c r="O944" s="339">
        <f>SUM(O930:O943)</f>
        <v>28513792.2841</v>
      </c>
      <c r="P944" s="339">
        <f>SUM(P930:P943)</f>
        <v>42490864.196209997</v>
      </c>
      <c r="Q944" s="339">
        <f>SUM(Q930:Q943)</f>
        <v>50543309.175870009</v>
      </c>
      <c r="R944" s="339">
        <f>SUM(R930:R943)</f>
        <v>383948983.14149988</v>
      </c>
      <c r="S944" s="365">
        <f>R944-'JKP-3.1c - Rev Actual Rates'!R955</f>
        <v>3273298.993129909</v>
      </c>
    </row>
    <row r="945" spans="2:19" x14ac:dyDescent="0.2">
      <c r="F945" s="364"/>
      <c r="G945" s="364"/>
      <c r="H945" s="364"/>
      <c r="I945" s="364"/>
      <c r="J945" s="364"/>
      <c r="K945" s="364"/>
      <c r="L945" s="364"/>
      <c r="M945" s="364"/>
      <c r="N945" s="364"/>
      <c r="O945" s="364"/>
      <c r="P945" s="364"/>
      <c r="Q945" s="364"/>
      <c r="R945" s="364"/>
    </row>
    <row r="946" spans="2:19" x14ac:dyDescent="0.2">
      <c r="B946" s="488" t="s">
        <v>186</v>
      </c>
    </row>
    <row r="947" spans="2:19" x14ac:dyDescent="0.2">
      <c r="B947" s="343" t="s">
        <v>827</v>
      </c>
      <c r="F947" s="364">
        <f t="shared" ref="F947:N947" si="339">F20</f>
        <v>772.2</v>
      </c>
      <c r="G947" s="364">
        <f t="shared" si="339"/>
        <v>772.2</v>
      </c>
      <c r="H947" s="364">
        <f t="shared" si="339"/>
        <v>772.2</v>
      </c>
      <c r="I947" s="364">
        <f t="shared" si="339"/>
        <v>772.2</v>
      </c>
      <c r="J947" s="364">
        <f t="shared" si="339"/>
        <v>772.19999999999993</v>
      </c>
      <c r="K947" s="364">
        <f t="shared" si="339"/>
        <v>772.2</v>
      </c>
      <c r="L947" s="364">
        <f t="shared" si="339"/>
        <v>757.90000000000009</v>
      </c>
      <c r="M947" s="364">
        <f t="shared" si="339"/>
        <v>757.90000000000009</v>
      </c>
      <c r="N947" s="364">
        <f t="shared" si="339"/>
        <v>757.90000000000009</v>
      </c>
      <c r="O947" s="364">
        <f>O20</f>
        <v>757.90000000000009</v>
      </c>
      <c r="P947" s="364">
        <f>P20</f>
        <v>724.51</v>
      </c>
      <c r="Q947" s="364">
        <f>Q20</f>
        <v>724.51</v>
      </c>
      <c r="R947" s="364">
        <f t="shared" ref="R947:R952" si="340">SUM(F947:Q947)</f>
        <v>9113.82</v>
      </c>
      <c r="S947" s="364">
        <f>R947-'JKP-3.1c - Rev Actual Rates'!R958</f>
        <v>0</v>
      </c>
    </row>
    <row r="948" spans="2:19" x14ac:dyDescent="0.2">
      <c r="B948" s="343" t="s">
        <v>828</v>
      </c>
      <c r="F948" s="418">
        <f t="shared" ref="F948:N948" si="341">F39</f>
        <v>53592942</v>
      </c>
      <c r="G948" s="418">
        <f t="shared" si="341"/>
        <v>43934180</v>
      </c>
      <c r="H948" s="418">
        <f t="shared" si="341"/>
        <v>44579572</v>
      </c>
      <c r="I948" s="418">
        <f t="shared" si="341"/>
        <v>35013458</v>
      </c>
      <c r="J948" s="418">
        <f t="shared" si="341"/>
        <v>25131404</v>
      </c>
      <c r="K948" s="418">
        <f t="shared" si="341"/>
        <v>16530212</v>
      </c>
      <c r="L948" s="418">
        <f t="shared" si="341"/>
        <v>11353110</v>
      </c>
      <c r="M948" s="418">
        <f t="shared" si="341"/>
        <v>10682224</v>
      </c>
      <c r="N948" s="418">
        <f t="shared" si="341"/>
        <v>13642948</v>
      </c>
      <c r="O948" s="418">
        <f>O39</f>
        <v>27496859</v>
      </c>
      <c r="P948" s="418">
        <f>P39</f>
        <v>48562048</v>
      </c>
      <c r="Q948" s="418">
        <f>Q39</f>
        <v>60985836</v>
      </c>
      <c r="R948" s="364">
        <f t="shared" si="340"/>
        <v>391504793</v>
      </c>
      <c r="S948" s="364">
        <f>R948-'JKP-3.1c - Rev Actual Rates'!R959</f>
        <v>0</v>
      </c>
    </row>
    <row r="949" spans="2:19" x14ac:dyDescent="0.2">
      <c r="B949" s="343" t="s">
        <v>829</v>
      </c>
      <c r="F949" s="418">
        <f t="shared" ref="F949:N949" si="342">+F57</f>
        <v>686.93655000000001</v>
      </c>
      <c r="G949" s="418">
        <f t="shared" si="342"/>
        <v>823.45247999999992</v>
      </c>
      <c r="H949" s="418">
        <f t="shared" si="342"/>
        <v>1147.4962800000001</v>
      </c>
      <c r="I949" s="418">
        <f t="shared" si="342"/>
        <v>834.88932</v>
      </c>
      <c r="J949" s="418">
        <f t="shared" si="342"/>
        <v>580.92944999999997</v>
      </c>
      <c r="K949" s="418">
        <f t="shared" si="342"/>
        <v>428.68586999999997</v>
      </c>
      <c r="L949" s="418">
        <f t="shared" si="342"/>
        <v>356.57049000000001</v>
      </c>
      <c r="M949" s="418">
        <f t="shared" si="342"/>
        <v>344.55125999999996</v>
      </c>
      <c r="N949" s="418">
        <f t="shared" si="342"/>
        <v>336.53843999999998</v>
      </c>
      <c r="O949" s="418">
        <f>+O57</f>
        <v>641.02559999999994</v>
      </c>
      <c r="P949" s="418">
        <f>+P57</f>
        <v>889.42301999999995</v>
      </c>
      <c r="Q949" s="418">
        <f>+Q57</f>
        <v>1121.7947999999999</v>
      </c>
      <c r="R949" s="364">
        <f t="shared" si="340"/>
        <v>8192.2935600000001</v>
      </c>
      <c r="S949" s="364">
        <f>R949-'JKP-3.1c - Rev Actual Rates'!R960</f>
        <v>0</v>
      </c>
    </row>
    <row r="950" spans="2:19" x14ac:dyDescent="0.2">
      <c r="B950" s="346" t="s">
        <v>830</v>
      </c>
      <c r="F950" s="364">
        <f t="shared" ref="F950:Q950" si="343">F86+F414</f>
        <v>18236399.892519999</v>
      </c>
      <c r="G950" s="364">
        <f t="shared" si="343"/>
        <v>14900805.550549999</v>
      </c>
      <c r="H950" s="364">
        <f t="shared" si="343"/>
        <v>15110347.924180001</v>
      </c>
      <c r="I950" s="364">
        <f t="shared" si="343"/>
        <v>12207912.087719999</v>
      </c>
      <c r="J950" s="364">
        <f t="shared" si="343"/>
        <v>9398001.9600799996</v>
      </c>
      <c r="K950" s="364">
        <f t="shared" si="343"/>
        <v>6976584.3784999996</v>
      </c>
      <c r="L950" s="364">
        <f t="shared" si="343"/>
        <v>5588483.4345199997</v>
      </c>
      <c r="M950" s="364">
        <f t="shared" si="343"/>
        <v>5472908.9094000002</v>
      </c>
      <c r="N950" s="364">
        <f t="shared" si="343"/>
        <v>6165704.1442000009</v>
      </c>
      <c r="O950" s="364">
        <f t="shared" si="343"/>
        <v>9902110.8974200003</v>
      </c>
      <c r="P950" s="364">
        <f t="shared" si="343"/>
        <v>16154581.72419</v>
      </c>
      <c r="Q950" s="364">
        <f t="shared" si="343"/>
        <v>20559055.060739998</v>
      </c>
      <c r="R950" s="364">
        <f t="shared" si="340"/>
        <v>140672895.96402001</v>
      </c>
      <c r="S950" s="364">
        <f>R950-'JKP-3.1c - Rev Actual Rates'!R961</f>
        <v>0</v>
      </c>
    </row>
    <row r="951" spans="2:19" x14ac:dyDescent="0.2">
      <c r="B951" s="343" t="s">
        <v>832</v>
      </c>
      <c r="F951" s="364">
        <f t="shared" ref="F951:Q951" si="344">F122+F125+F450+F453</f>
        <v>5792321.6270999992</v>
      </c>
      <c r="G951" s="364">
        <f t="shared" si="344"/>
        <v>5106898.3513799999</v>
      </c>
      <c r="H951" s="364">
        <f t="shared" si="344"/>
        <v>5451804.1667400002</v>
      </c>
      <c r="I951" s="364">
        <f t="shared" si="344"/>
        <v>4847771.2381799994</v>
      </c>
      <c r="J951" s="364">
        <f t="shared" si="344"/>
        <v>4378462.1641199999</v>
      </c>
      <c r="K951" s="364">
        <f t="shared" si="344"/>
        <v>3625923.3536999999</v>
      </c>
      <c r="L951" s="364">
        <f t="shared" si="344"/>
        <v>3173669.0861999998</v>
      </c>
      <c r="M951" s="364">
        <f t="shared" si="344"/>
        <v>3159622.5353999995</v>
      </c>
      <c r="N951" s="364">
        <f t="shared" si="344"/>
        <v>3338713.3005599999</v>
      </c>
      <c r="O951" s="364">
        <f t="shared" si="344"/>
        <v>4272185.7434399994</v>
      </c>
      <c r="P951" s="364">
        <f t="shared" si="344"/>
        <v>5114764.8950200006</v>
      </c>
      <c r="Q951" s="364">
        <f t="shared" si="344"/>
        <v>5684252.2627800005</v>
      </c>
      <c r="R951" s="364">
        <f t="shared" si="340"/>
        <v>53946388.72462</v>
      </c>
      <c r="S951" s="364">
        <f>R951-'JKP-3.1c - Rev Actual Rates'!R962</f>
        <v>0</v>
      </c>
    </row>
    <row r="952" spans="2:19" x14ac:dyDescent="0.2">
      <c r="B952" s="343" t="s">
        <v>836</v>
      </c>
      <c r="R952" s="364">
        <f t="shared" si="340"/>
        <v>0</v>
      </c>
      <c r="S952" s="364">
        <f>R952-'JKP-3.1c - Rev Actual Rates'!R963</f>
        <v>0</v>
      </c>
    </row>
    <row r="953" spans="2:19" x14ac:dyDescent="0.2">
      <c r="B953" s="343" t="s">
        <v>837</v>
      </c>
      <c r="F953" s="364">
        <f t="shared" ref="F953:Q953" si="345">F292+F296+F651+F655</f>
        <v>1260010.4284799998</v>
      </c>
      <c r="G953" s="364">
        <f t="shared" si="345"/>
        <v>1128236.11552</v>
      </c>
      <c r="H953" s="364">
        <f t="shared" si="345"/>
        <v>1266171.1363199998</v>
      </c>
      <c r="I953" s="364">
        <f t="shared" si="345"/>
        <v>1123832.1091199999</v>
      </c>
      <c r="J953" s="364">
        <f t="shared" si="345"/>
        <v>972974.93536000012</v>
      </c>
      <c r="K953" s="364">
        <f t="shared" si="345"/>
        <v>770039.16064000002</v>
      </c>
      <c r="L953" s="364">
        <f t="shared" si="345"/>
        <v>661906.45024000003</v>
      </c>
      <c r="M953" s="364">
        <f t="shared" si="345"/>
        <v>666783.74847999995</v>
      </c>
      <c r="N953" s="364">
        <f t="shared" si="345"/>
        <v>704889.97280000011</v>
      </c>
      <c r="O953" s="364">
        <f t="shared" si="345"/>
        <v>938324.01696000004</v>
      </c>
      <c r="P953" s="364">
        <f t="shared" si="345"/>
        <v>1139981.2337499999</v>
      </c>
      <c r="Q953" s="364">
        <f t="shared" si="345"/>
        <v>1211965.5699999998</v>
      </c>
      <c r="R953" s="364">
        <f t="shared" ref="R953:R960" si="346">SUM(F953:Q953)</f>
        <v>11845114.877670001</v>
      </c>
      <c r="S953" s="364">
        <f>R953-'JKP-3.1c - Rev Actual Rates'!R964</f>
        <v>0</v>
      </c>
    </row>
    <row r="954" spans="2:19" x14ac:dyDescent="0.2">
      <c r="B954" s="343" t="s">
        <v>839</v>
      </c>
      <c r="F954" s="364">
        <f t="shared" ref="F954:Q954" si="347">F334+F338+F693+F697</f>
        <v>1302268.9030400002</v>
      </c>
      <c r="G954" s="364">
        <f t="shared" si="347"/>
        <v>1105457.4591200002</v>
      </c>
      <c r="H954" s="364">
        <f t="shared" si="347"/>
        <v>1086315.1395600003</v>
      </c>
      <c r="I954" s="364">
        <f t="shared" si="347"/>
        <v>897303.61826000002</v>
      </c>
      <c r="J954" s="364">
        <f t="shared" si="347"/>
        <v>745552.19955999998</v>
      </c>
      <c r="K954" s="364">
        <f t="shared" si="347"/>
        <v>510134.26142</v>
      </c>
      <c r="L954" s="364">
        <f t="shared" si="347"/>
        <v>304286.87001999997</v>
      </c>
      <c r="M954" s="418">
        <f t="shared" si="347"/>
        <v>269938.47691999999</v>
      </c>
      <c r="N954" s="364">
        <f t="shared" si="347"/>
        <v>375486.97633999999</v>
      </c>
      <c r="O954" s="364">
        <f t="shared" si="347"/>
        <v>683293.19169999997</v>
      </c>
      <c r="P954" s="364">
        <f t="shared" si="347"/>
        <v>1038838.36957</v>
      </c>
      <c r="Q954" s="364">
        <f t="shared" si="347"/>
        <v>1186636.0586100002</v>
      </c>
      <c r="R954" s="364">
        <f t="shared" si="346"/>
        <v>9505511.5241200011</v>
      </c>
      <c r="S954" s="364">
        <f>R954-'JKP-3.1c - Rev Actual Rates'!R965</f>
        <v>0</v>
      </c>
    </row>
    <row r="955" spans="2:19" x14ac:dyDescent="0.2">
      <c r="B955" s="343" t="s">
        <v>841</v>
      </c>
      <c r="F955" s="364">
        <f t="shared" ref="F955:Q955" si="348">F388+F392+F747+F751</f>
        <v>2149361.3612600002</v>
      </c>
      <c r="G955" s="364">
        <f t="shared" si="348"/>
        <v>1923025.1871600002</v>
      </c>
      <c r="H955" s="364">
        <f t="shared" si="348"/>
        <v>2018063.4665300001</v>
      </c>
      <c r="I955" s="364">
        <f t="shared" si="348"/>
        <v>1836077.2785800004</v>
      </c>
      <c r="J955" s="364">
        <f t="shared" si="348"/>
        <v>1697517.5408000003</v>
      </c>
      <c r="K955" s="364">
        <f t="shared" si="348"/>
        <v>1400217.1973200003</v>
      </c>
      <c r="L955" s="364">
        <f t="shared" si="348"/>
        <v>1167641.2173400002</v>
      </c>
      <c r="M955" s="364">
        <f t="shared" si="348"/>
        <v>1102466.2632899999</v>
      </c>
      <c r="N955" s="364">
        <f t="shared" si="348"/>
        <v>1208957.9257100001</v>
      </c>
      <c r="O955" s="364">
        <f t="shared" si="348"/>
        <v>1652780.5357900001</v>
      </c>
      <c r="P955" s="364">
        <f t="shared" si="348"/>
        <v>1985369.7732400002</v>
      </c>
      <c r="Q955" s="364">
        <f t="shared" si="348"/>
        <v>2237817.0110400002</v>
      </c>
      <c r="R955" s="364">
        <f t="shared" si="346"/>
        <v>20379294.758060001</v>
      </c>
      <c r="S955" s="364">
        <f>R955-'JKP-3.1c - Rev Actual Rates'!R966</f>
        <v>0</v>
      </c>
    </row>
    <row r="956" spans="2:19" x14ac:dyDescent="0.2">
      <c r="B956" s="32" t="s">
        <v>1184</v>
      </c>
      <c r="F956" s="364">
        <f t="shared" ref="F956:Q956" si="349">F161+F489</f>
        <v>286.80399999999997</v>
      </c>
      <c r="G956" s="364">
        <f t="shared" si="349"/>
        <v>269.68270000000001</v>
      </c>
      <c r="H956" s="364">
        <f t="shared" si="349"/>
        <v>312.03409999999997</v>
      </c>
      <c r="I956" s="364">
        <f t="shared" si="349"/>
        <v>298.20769999999999</v>
      </c>
      <c r="J956" s="364">
        <f t="shared" si="349"/>
        <v>273.65449999999998</v>
      </c>
      <c r="K956" s="364">
        <f t="shared" si="349"/>
        <v>279.66399999999999</v>
      </c>
      <c r="L956" s="364">
        <f t="shared" si="349"/>
        <v>351.47490000000005</v>
      </c>
      <c r="M956" s="364">
        <f t="shared" si="349"/>
        <v>353.78980000000001</v>
      </c>
      <c r="N956" s="364">
        <f t="shared" si="349"/>
        <v>367.34530000000001</v>
      </c>
      <c r="O956" s="364">
        <f t="shared" si="349"/>
        <v>396.58219999999994</v>
      </c>
      <c r="P956" s="364">
        <f t="shared" si="349"/>
        <v>495.28710000000001</v>
      </c>
      <c r="Q956" s="364">
        <f t="shared" si="349"/>
        <v>569.26940000000002</v>
      </c>
      <c r="R956" s="364">
        <f t="shared" si="346"/>
        <v>4253.7956999999997</v>
      </c>
      <c r="S956" s="364">
        <f>R956-'JKP-3.1c - Rev Actual Rates'!R967</f>
        <v>0</v>
      </c>
    </row>
    <row r="957" spans="2:19" x14ac:dyDescent="0.2">
      <c r="B957" s="32" t="s">
        <v>1185</v>
      </c>
      <c r="F957" s="364">
        <f t="shared" ref="F957:Q957" si="350">F197+F525</f>
        <v>3723.9342000000001</v>
      </c>
      <c r="G957" s="364">
        <f t="shared" si="350"/>
        <v>3544.1875</v>
      </c>
      <c r="H957" s="364">
        <f t="shared" si="350"/>
        <v>4044.5383999999995</v>
      </c>
      <c r="I957" s="364">
        <f t="shared" si="350"/>
        <v>3846.3018999999999</v>
      </c>
      <c r="J957" s="364">
        <f t="shared" si="350"/>
        <v>3822.9169999999999</v>
      </c>
      <c r="K957" s="364">
        <f t="shared" si="350"/>
        <v>4028.395</v>
      </c>
      <c r="L957" s="364">
        <f t="shared" si="350"/>
        <v>3660.6954999999998</v>
      </c>
      <c r="M957" s="364">
        <f t="shared" si="350"/>
        <v>3777.5598</v>
      </c>
      <c r="N957" s="364">
        <f t="shared" si="350"/>
        <v>3590.7269999999999</v>
      </c>
      <c r="O957" s="364">
        <f t="shared" si="350"/>
        <v>3908.1637000000001</v>
      </c>
      <c r="P957" s="364">
        <f t="shared" si="350"/>
        <v>3915.8714</v>
      </c>
      <c r="Q957" s="364">
        <f t="shared" si="350"/>
        <v>3807.2195000000002</v>
      </c>
      <c r="R957" s="364">
        <f t="shared" si="346"/>
        <v>45670.510900000001</v>
      </c>
      <c r="S957" s="364">
        <f>R957-'JKP-3.1c - Rev Actual Rates'!R968</f>
        <v>0</v>
      </c>
    </row>
    <row r="958" spans="2:19" x14ac:dyDescent="0.2">
      <c r="B958" s="338" t="s">
        <v>1186</v>
      </c>
      <c r="F958" s="364">
        <f>F557</f>
        <v>0</v>
      </c>
      <c r="G958" s="364">
        <f t="shared" ref="G958:Q958" si="351">G557</f>
        <v>0</v>
      </c>
      <c r="H958" s="364">
        <f t="shared" si="351"/>
        <v>0</v>
      </c>
      <c r="I958" s="364">
        <f t="shared" si="351"/>
        <v>0</v>
      </c>
      <c r="J958" s="364">
        <f t="shared" si="351"/>
        <v>0</v>
      </c>
      <c r="K958" s="364">
        <f t="shared" si="351"/>
        <v>0</v>
      </c>
      <c r="L958" s="364">
        <f t="shared" si="351"/>
        <v>0</v>
      </c>
      <c r="M958" s="364">
        <f t="shared" si="351"/>
        <v>1.5105999999999999</v>
      </c>
      <c r="N958" s="364">
        <f t="shared" si="351"/>
        <v>6.3441000000000001</v>
      </c>
      <c r="O958" s="364">
        <f t="shared" si="351"/>
        <v>5.6685999999999996</v>
      </c>
      <c r="P958" s="364">
        <f t="shared" si="351"/>
        <v>0.67410000000000003</v>
      </c>
      <c r="Q958" s="364">
        <f t="shared" si="351"/>
        <v>0.13789999999999999</v>
      </c>
      <c r="R958" s="364">
        <f t="shared" si="346"/>
        <v>14.335299999999998</v>
      </c>
      <c r="S958" s="364">
        <f>R958-'JKP-3.1c - Rev Actual Rates'!R969</f>
        <v>0</v>
      </c>
    </row>
    <row r="959" spans="2:19" x14ac:dyDescent="0.2">
      <c r="B959" s="32" t="s">
        <v>1187</v>
      </c>
      <c r="F959" s="364">
        <f t="shared" ref="F959:Q959" si="352">F241+F601</f>
        <v>6451.6479999999992</v>
      </c>
      <c r="G959" s="364">
        <f t="shared" si="352"/>
        <v>5226.2154</v>
      </c>
      <c r="H959" s="364">
        <f t="shared" si="352"/>
        <v>6116.6651000000002</v>
      </c>
      <c r="I959" s="364">
        <f t="shared" si="352"/>
        <v>5975.9755999999998</v>
      </c>
      <c r="J959" s="364">
        <f t="shared" si="352"/>
        <v>6659.9875999999995</v>
      </c>
      <c r="K959" s="364">
        <f t="shared" si="352"/>
        <v>5603.8289999999997</v>
      </c>
      <c r="L959" s="364">
        <f t="shared" si="352"/>
        <v>5947.7403999999997</v>
      </c>
      <c r="M959" s="364">
        <f t="shared" si="352"/>
        <v>6029.3373000000001</v>
      </c>
      <c r="N959" s="364">
        <f t="shared" si="352"/>
        <v>5279.5568000000003</v>
      </c>
      <c r="O959" s="364">
        <f t="shared" si="352"/>
        <v>5567.7152999999998</v>
      </c>
      <c r="P959" s="364">
        <f t="shared" si="352"/>
        <v>5093.8768999999993</v>
      </c>
      <c r="Q959" s="364">
        <f t="shared" si="352"/>
        <v>5364.8202999999994</v>
      </c>
      <c r="R959" s="364">
        <f t="shared" si="346"/>
        <v>69317.367700000003</v>
      </c>
      <c r="S959" s="364">
        <f>R959-'JKP-3.1c - Rev Actual Rates'!R970</f>
        <v>0</v>
      </c>
    </row>
    <row r="960" spans="2:19" x14ac:dyDescent="0.2">
      <c r="B960" s="343" t="s">
        <v>844</v>
      </c>
      <c r="R960" s="364">
        <f t="shared" si="346"/>
        <v>0</v>
      </c>
      <c r="S960" s="364">
        <f>R960-'JKP-3.1c - Rev Actual Rates'!R971</f>
        <v>0</v>
      </c>
    </row>
    <row r="961" spans="2:19" x14ac:dyDescent="0.2">
      <c r="B961" s="343" t="s">
        <v>1189</v>
      </c>
      <c r="F961" s="365">
        <f t="shared" ref="F961:N961" si="353">SUM(F947:F960)</f>
        <v>82345225.735150024</v>
      </c>
      <c r="G961" s="365">
        <f t="shared" si="353"/>
        <v>68109238.40180999</v>
      </c>
      <c r="H961" s="365">
        <f t="shared" si="353"/>
        <v>69524666.767209992</v>
      </c>
      <c r="I961" s="365">
        <f t="shared" si="353"/>
        <v>55938081.906379998</v>
      </c>
      <c r="J961" s="365">
        <f t="shared" si="353"/>
        <v>42336022.488469996</v>
      </c>
      <c r="K961" s="365">
        <f t="shared" si="353"/>
        <v>29824223.12545</v>
      </c>
      <c r="L961" s="365">
        <f t="shared" si="353"/>
        <v>22260171.439610001</v>
      </c>
      <c r="M961" s="365">
        <f t="shared" si="353"/>
        <v>21365208.582249999</v>
      </c>
      <c r="N961" s="365">
        <f t="shared" si="353"/>
        <v>25447038.731250003</v>
      </c>
      <c r="O961" s="365">
        <f>SUM(O947:O960)</f>
        <v>44956830.440710001</v>
      </c>
      <c r="P961" s="365">
        <f>SUM(P947:P960)</f>
        <v>74006703.638290003</v>
      </c>
      <c r="Q961" s="365">
        <f>SUM(Q947:Q960)</f>
        <v>91877149.715069994</v>
      </c>
      <c r="R961" s="365">
        <f>SUM(R947:R960)</f>
        <v>627990560.97165</v>
      </c>
      <c r="S961" s="365">
        <f>R961-'JKP-3.1c - Rev Actual Rates'!R972</f>
        <v>0</v>
      </c>
    </row>
    <row r="962" spans="2:19" s="336" customFormat="1" x14ac:dyDescent="0.2">
      <c r="B962" s="336" t="s">
        <v>131</v>
      </c>
      <c r="F962" s="418">
        <f>F961-F922-F923</f>
        <v>6.2703975345357321E-9</v>
      </c>
      <c r="G962" s="418">
        <f t="shared" ref="G962:P962" si="354">G961-G922-G923</f>
        <v>-1.1663360055536032E-8</v>
      </c>
      <c r="H962" s="418">
        <f t="shared" si="354"/>
        <v>-1.5287469068425708E-8</v>
      </c>
      <c r="I962" s="418">
        <f t="shared" si="354"/>
        <v>-1.3895032680011354E-8</v>
      </c>
      <c r="J962" s="418">
        <f t="shared" si="354"/>
        <v>1.2743498700729106E-8</v>
      </c>
      <c r="K962" s="418">
        <f t="shared" si="354"/>
        <v>2.9552325031545479E-9</v>
      </c>
      <c r="L962" s="418">
        <f t="shared" si="354"/>
        <v>-1.0931557881121989E-9</v>
      </c>
      <c r="M962" s="418">
        <f t="shared" si="354"/>
        <v>-5.4931206250330433E-9</v>
      </c>
      <c r="N962" s="418">
        <f t="shared" si="354"/>
        <v>3.9911469684739131E-9</v>
      </c>
      <c r="O962" s="418">
        <f t="shared" si="354"/>
        <v>-6.2345861806534231E-9</v>
      </c>
      <c r="P962" s="418">
        <f t="shared" si="354"/>
        <v>2.0127345123910345E-8</v>
      </c>
      <c r="Q962" s="418">
        <f>Q961-Q922-Q923</f>
        <v>-1.5973000699887052E-9</v>
      </c>
      <c r="R962" s="418">
        <f>R961-R922-R923</f>
        <v>2.8076101443730295E-8</v>
      </c>
    </row>
    <row r="964" spans="2:19" x14ac:dyDescent="0.2">
      <c r="B964" s="488" t="s">
        <v>1190</v>
      </c>
    </row>
    <row r="965" spans="2:19" x14ac:dyDescent="0.2">
      <c r="B965" s="343" t="s">
        <v>827</v>
      </c>
      <c r="F965" s="364">
        <f t="shared" ref="F965:Q978" si="355">F930+F947</f>
        <v>1282.5</v>
      </c>
      <c r="G965" s="364">
        <f t="shared" si="355"/>
        <v>1282.5</v>
      </c>
      <c r="H965" s="364">
        <f t="shared" si="355"/>
        <v>1282.5</v>
      </c>
      <c r="I965" s="364">
        <f t="shared" si="355"/>
        <v>1282.5</v>
      </c>
      <c r="J965" s="364">
        <f t="shared" si="355"/>
        <v>1282.4999999999998</v>
      </c>
      <c r="K965" s="364">
        <f t="shared" si="355"/>
        <v>1282.5</v>
      </c>
      <c r="L965" s="364">
        <f t="shared" si="355"/>
        <v>1258.75</v>
      </c>
      <c r="M965" s="364">
        <f t="shared" si="355"/>
        <v>1258.75</v>
      </c>
      <c r="N965" s="364">
        <f t="shared" si="355"/>
        <v>1258.75</v>
      </c>
      <c r="O965" s="364">
        <f t="shared" si="355"/>
        <v>1258.75</v>
      </c>
      <c r="P965" s="364">
        <f t="shared" si="355"/>
        <v>1225.3599999999999</v>
      </c>
      <c r="Q965" s="364">
        <f t="shared" si="355"/>
        <v>1225.3599999999999</v>
      </c>
      <c r="R965" s="364">
        <f>SUM(F965:Q965)</f>
        <v>15180.720000000001</v>
      </c>
      <c r="S965" s="364">
        <f>R965-'JKP-3.1c - Rev Actual Rates'!R976</f>
        <v>-1329.6599999999999</v>
      </c>
    </row>
    <row r="966" spans="2:19" x14ac:dyDescent="0.2">
      <c r="B966" s="343" t="s">
        <v>828</v>
      </c>
      <c r="F966" s="364">
        <f t="shared" si="355"/>
        <v>85434961</v>
      </c>
      <c r="G966" s="364">
        <f t="shared" si="355"/>
        <v>71311495</v>
      </c>
      <c r="H966" s="364">
        <f t="shared" si="355"/>
        <v>72266471</v>
      </c>
      <c r="I966" s="364">
        <f t="shared" si="355"/>
        <v>58269259</v>
      </c>
      <c r="J966" s="364">
        <f t="shared" si="355"/>
        <v>43813226</v>
      </c>
      <c r="K966" s="364">
        <f t="shared" si="355"/>
        <v>31236254</v>
      </c>
      <c r="L966" s="364">
        <f t="shared" si="355"/>
        <v>23663288</v>
      </c>
      <c r="M966" s="364">
        <f t="shared" si="355"/>
        <v>22673482</v>
      </c>
      <c r="N966" s="364">
        <f t="shared" si="355"/>
        <v>27018504</v>
      </c>
      <c r="O966" s="364">
        <f t="shared" si="355"/>
        <v>47284070</v>
      </c>
      <c r="P966" s="364">
        <f t="shared" si="355"/>
        <v>79154618</v>
      </c>
      <c r="Q966" s="364">
        <f t="shared" si="355"/>
        <v>97605933</v>
      </c>
      <c r="R966" s="364">
        <f t="shared" ref="R966:R978" si="356">SUM(F966:Q966)</f>
        <v>659731561</v>
      </c>
      <c r="S966" s="364">
        <f>R966-'JKP-3.1c - Rev Actual Rates'!R977</f>
        <v>2436903</v>
      </c>
    </row>
    <row r="967" spans="2:19" x14ac:dyDescent="0.2">
      <c r="B967" s="343" t="s">
        <v>829</v>
      </c>
      <c r="F967" s="364">
        <f t="shared" si="355"/>
        <v>808.47540000000004</v>
      </c>
      <c r="G967" s="364">
        <f t="shared" si="355"/>
        <v>948.82999999999993</v>
      </c>
      <c r="H967" s="364">
        <f t="shared" si="355"/>
        <v>1302.5362500000001</v>
      </c>
      <c r="I967" s="364">
        <f t="shared" si="355"/>
        <v>961.31375000000003</v>
      </c>
      <c r="J967" s="364">
        <f t="shared" si="355"/>
        <v>681.53009999999995</v>
      </c>
      <c r="K967" s="364">
        <f t="shared" si="355"/>
        <v>516.02566000000002</v>
      </c>
      <c r="L967" s="364">
        <f t="shared" si="355"/>
        <v>447.62882000000002</v>
      </c>
      <c r="M967" s="364">
        <f t="shared" si="355"/>
        <v>434.56267999999994</v>
      </c>
      <c r="N967" s="364">
        <f t="shared" si="355"/>
        <v>415.85191999999995</v>
      </c>
      <c r="O967" s="364">
        <f t="shared" si="355"/>
        <v>746.86079999999993</v>
      </c>
      <c r="P967" s="364">
        <f t="shared" si="355"/>
        <v>1016.89436</v>
      </c>
      <c r="Q967" s="364">
        <f t="shared" si="355"/>
        <v>1259.5064</v>
      </c>
      <c r="R967" s="364">
        <f t="shared" si="356"/>
        <v>9540.0161400000015</v>
      </c>
      <c r="S967" s="364">
        <f>R967-'JKP-3.1c - Rev Actual Rates'!R978</f>
        <v>9.3210200000012264</v>
      </c>
    </row>
    <row r="968" spans="2:19" x14ac:dyDescent="0.2">
      <c r="B968" s="346" t="s">
        <v>830</v>
      </c>
      <c r="F968" s="364">
        <f t="shared" si="355"/>
        <v>27263255.370559998</v>
      </c>
      <c r="G968" s="364">
        <f t="shared" si="355"/>
        <v>22585459.340399999</v>
      </c>
      <c r="H968" s="364">
        <f t="shared" si="355"/>
        <v>22877678.347040001</v>
      </c>
      <c r="I968" s="364">
        <f t="shared" si="355"/>
        <v>18806853.852159999</v>
      </c>
      <c r="J968" s="364">
        <f t="shared" si="355"/>
        <v>14863707.802239999</v>
      </c>
      <c r="K968" s="364">
        <f t="shared" si="355"/>
        <v>11466856.148000002</v>
      </c>
      <c r="L968" s="364">
        <f t="shared" si="355"/>
        <v>9519142.3465599995</v>
      </c>
      <c r="M968" s="364">
        <f t="shared" si="355"/>
        <v>9355639.1632000003</v>
      </c>
      <c r="N968" s="364">
        <f t="shared" si="355"/>
        <v>10326442.737600002</v>
      </c>
      <c r="O968" s="364">
        <f t="shared" si="355"/>
        <v>15568111.857760001</v>
      </c>
      <c r="P968" s="364">
        <f t="shared" si="355"/>
        <v>24638866.835200001</v>
      </c>
      <c r="Q968" s="364">
        <f t="shared" si="355"/>
        <v>30900674.659199998</v>
      </c>
      <c r="R968" s="364">
        <f t="shared" si="356"/>
        <v>218172688.45992005</v>
      </c>
      <c r="S968" s="364">
        <f>R968-'JKP-3.1c - Rev Actual Rates'!R979</f>
        <v>636174.41225004196</v>
      </c>
    </row>
    <row r="969" spans="2:19" x14ac:dyDescent="0.2">
      <c r="B969" s="343" t="s">
        <v>832</v>
      </c>
      <c r="F969" s="364">
        <f t="shared" si="355"/>
        <v>7506079.3666899996</v>
      </c>
      <c r="G969" s="364">
        <f t="shared" si="355"/>
        <v>6695773.9683999997</v>
      </c>
      <c r="H969" s="364">
        <f t="shared" si="355"/>
        <v>7100989.6764599998</v>
      </c>
      <c r="I969" s="364">
        <f t="shared" si="355"/>
        <v>6387178.8407999994</v>
      </c>
      <c r="J969" s="364">
        <f t="shared" si="355"/>
        <v>5833422.0474299993</v>
      </c>
      <c r="K969" s="364">
        <f t="shared" si="355"/>
        <v>4967745.0241100006</v>
      </c>
      <c r="L969" s="364">
        <f t="shared" si="355"/>
        <v>4457273.7235899996</v>
      </c>
      <c r="M969" s="364">
        <f t="shared" si="355"/>
        <v>4434809.2416099999</v>
      </c>
      <c r="N969" s="364">
        <f t="shared" si="355"/>
        <v>4630561.7734899996</v>
      </c>
      <c r="O969" s="364">
        <f t="shared" si="355"/>
        <v>5698893.4956199992</v>
      </c>
      <c r="P969" s="364">
        <f t="shared" si="355"/>
        <v>6746605.6622200003</v>
      </c>
      <c r="Q969" s="364">
        <f t="shared" si="355"/>
        <v>7426517.2859600009</v>
      </c>
      <c r="R969" s="364">
        <f t="shared" si="356"/>
        <v>71885850.106379986</v>
      </c>
      <c r="S969" s="364">
        <f>R969-'JKP-3.1c - Rev Actual Rates'!R980</f>
        <v>96441.99457000196</v>
      </c>
    </row>
    <row r="970" spans="2:19" x14ac:dyDescent="0.2">
      <c r="B970" s="343" t="s">
        <v>836</v>
      </c>
      <c r="F970" s="364">
        <f t="shared" si="355"/>
        <v>9391.0000000000018</v>
      </c>
      <c r="G970" s="364">
        <f t="shared" si="355"/>
        <v>9391.0000000000018</v>
      </c>
      <c r="H970" s="364">
        <f t="shared" si="355"/>
        <v>9416.5000000000018</v>
      </c>
      <c r="I970" s="364">
        <f t="shared" si="355"/>
        <v>9391.0000000000018</v>
      </c>
      <c r="J970" s="364">
        <f t="shared" si="355"/>
        <v>9628.3000000000011</v>
      </c>
      <c r="K970" s="364">
        <f t="shared" si="355"/>
        <v>9509.0000000000018</v>
      </c>
      <c r="L970" s="364">
        <f t="shared" si="355"/>
        <v>9708.5000000000018</v>
      </c>
      <c r="M970" s="364">
        <f t="shared" si="355"/>
        <v>9824.3000000000011</v>
      </c>
      <c r="N970" s="364">
        <f t="shared" si="355"/>
        <v>9763.0000000000018</v>
      </c>
      <c r="O970" s="364">
        <f t="shared" si="355"/>
        <v>9763.0000000000018</v>
      </c>
      <c r="P970" s="364">
        <f t="shared" si="355"/>
        <v>9763.0000000000018</v>
      </c>
      <c r="Q970" s="364">
        <f t="shared" si="355"/>
        <v>9763.0000000000018</v>
      </c>
      <c r="R970" s="364">
        <f t="shared" si="356"/>
        <v>115311.60000000002</v>
      </c>
      <c r="S970" s="364">
        <f>R970-'JKP-3.1c - Rev Actual Rates'!R981</f>
        <v>0</v>
      </c>
    </row>
    <row r="971" spans="2:19" x14ac:dyDescent="0.2">
      <c r="B971" s="343" t="s">
        <v>837</v>
      </c>
      <c r="F971" s="364">
        <f t="shared" si="355"/>
        <v>1433913.3638699998</v>
      </c>
      <c r="G971" s="364">
        <f t="shared" si="355"/>
        <v>1303731.93019</v>
      </c>
      <c r="H971" s="364">
        <f t="shared" si="355"/>
        <v>1440955.6931399999</v>
      </c>
      <c r="I971" s="364">
        <f t="shared" si="355"/>
        <v>1286391.85424</v>
      </c>
      <c r="J971" s="364">
        <f t="shared" si="355"/>
        <v>1120660.8988300001</v>
      </c>
      <c r="K971" s="364">
        <f t="shared" si="355"/>
        <v>899559.65477999998</v>
      </c>
      <c r="L971" s="364">
        <f t="shared" si="355"/>
        <v>778823.73959000001</v>
      </c>
      <c r="M971" s="364">
        <f t="shared" si="355"/>
        <v>788753.81331999996</v>
      </c>
      <c r="N971" s="364">
        <f t="shared" si="355"/>
        <v>830127.49846000015</v>
      </c>
      <c r="O971" s="364">
        <f t="shared" si="355"/>
        <v>1082966.8133400001</v>
      </c>
      <c r="P971" s="364">
        <f t="shared" si="355"/>
        <v>1308885.8506999998</v>
      </c>
      <c r="Q971" s="364">
        <f t="shared" si="355"/>
        <v>1399085.2405499998</v>
      </c>
      <c r="R971" s="364">
        <f t="shared" si="356"/>
        <v>13673856.351010002</v>
      </c>
      <c r="S971" s="364">
        <f>R971-'JKP-3.1c - Rev Actual Rates'!R982</f>
        <v>6865.4583000000566</v>
      </c>
    </row>
    <row r="972" spans="2:19" x14ac:dyDescent="0.2">
      <c r="B972" s="343" t="s">
        <v>839</v>
      </c>
      <c r="F972" s="364">
        <f t="shared" si="355"/>
        <v>1651943.8316000002</v>
      </c>
      <c r="G972" s="364">
        <f t="shared" si="355"/>
        <v>1415104.7074000002</v>
      </c>
      <c r="H972" s="364">
        <f t="shared" si="355"/>
        <v>1389407.2463000002</v>
      </c>
      <c r="I972" s="364">
        <f t="shared" si="355"/>
        <v>1159755.6160500001</v>
      </c>
      <c r="J972" s="364">
        <f t="shared" si="355"/>
        <v>975270.69959999993</v>
      </c>
      <c r="K972" s="364">
        <f t="shared" si="355"/>
        <v>686663.86104999995</v>
      </c>
      <c r="L972" s="364">
        <f t="shared" si="355"/>
        <v>431902.27204999997</v>
      </c>
      <c r="M972" s="364">
        <f t="shared" si="355"/>
        <v>391281.489</v>
      </c>
      <c r="N972" s="364">
        <f t="shared" si="355"/>
        <v>544681.64245000004</v>
      </c>
      <c r="O972" s="364">
        <f t="shared" si="355"/>
        <v>896771.24534999998</v>
      </c>
      <c r="P972" s="364">
        <f t="shared" si="355"/>
        <v>1342386.9851599999</v>
      </c>
      <c r="Q972" s="364">
        <f t="shared" si="355"/>
        <v>1522162.4170800003</v>
      </c>
      <c r="R972" s="364">
        <f t="shared" si="356"/>
        <v>12407332.013090001</v>
      </c>
      <c r="S972" s="364">
        <f>R972-'JKP-3.1c - Rev Actual Rates'!R983</f>
        <v>12773.714999999851</v>
      </c>
    </row>
    <row r="973" spans="2:19" x14ac:dyDescent="0.2">
      <c r="B973" s="343" t="s">
        <v>841</v>
      </c>
      <c r="F973" s="364">
        <f t="shared" si="355"/>
        <v>2301382.4275200004</v>
      </c>
      <c r="G973" s="364">
        <f t="shared" si="355"/>
        <v>2135059.45266</v>
      </c>
      <c r="H973" s="364">
        <f t="shared" si="355"/>
        <v>2165172.0178300003</v>
      </c>
      <c r="I973" s="364">
        <f t="shared" si="355"/>
        <v>1974074.6869500005</v>
      </c>
      <c r="J973" s="364">
        <f t="shared" si="355"/>
        <v>1829148.9526400003</v>
      </c>
      <c r="K973" s="364">
        <f t="shared" si="355"/>
        <v>1517718.2180300003</v>
      </c>
      <c r="L973" s="364">
        <f t="shared" si="355"/>
        <v>1273022.9359100002</v>
      </c>
      <c r="M973" s="364">
        <f t="shared" si="355"/>
        <v>1204433.69771</v>
      </c>
      <c r="N973" s="364">
        <f t="shared" si="355"/>
        <v>1318150.9766000002</v>
      </c>
      <c r="O973" s="364">
        <f t="shared" si="355"/>
        <v>1796086.5176100002</v>
      </c>
      <c r="P973" s="364">
        <f t="shared" si="355"/>
        <v>2136280.6397000002</v>
      </c>
      <c r="Q973" s="364">
        <f t="shared" si="355"/>
        <v>2399249.4202000001</v>
      </c>
      <c r="R973" s="364">
        <f t="shared" si="356"/>
        <v>22049779.943360001</v>
      </c>
      <c r="S973" s="364">
        <f>R973-'JKP-3.1c - Rev Actual Rates'!R984</f>
        <v>6288.8174699991941</v>
      </c>
    </row>
    <row r="974" spans="2:19" x14ac:dyDescent="0.2">
      <c r="B974" s="32" t="s">
        <v>1184</v>
      </c>
      <c r="F974" s="364">
        <f t="shared" si="355"/>
        <v>83337.623000000021</v>
      </c>
      <c r="G974" s="364">
        <f t="shared" si="355"/>
        <v>80629.24311000001</v>
      </c>
      <c r="H974" s="364">
        <f t="shared" si="355"/>
        <v>84083.612640000007</v>
      </c>
      <c r="I974" s="364">
        <f t="shared" si="355"/>
        <v>81909.526000000013</v>
      </c>
      <c r="J974" s="364">
        <f t="shared" si="355"/>
        <v>78108.960080000004</v>
      </c>
      <c r="K974" s="364">
        <f t="shared" si="355"/>
        <v>78957.655039999998</v>
      </c>
      <c r="L974" s="364">
        <f t="shared" si="355"/>
        <v>93823.537319999989</v>
      </c>
      <c r="M974" s="364">
        <f t="shared" si="355"/>
        <v>94805.548820000011</v>
      </c>
      <c r="N974" s="364">
        <f t="shared" si="355"/>
        <v>97462.175090000004</v>
      </c>
      <c r="O974" s="364">
        <f t="shared" si="355"/>
        <v>105332.47352000001</v>
      </c>
      <c r="P974" s="364">
        <f t="shared" si="355"/>
        <v>127134.42008000003</v>
      </c>
      <c r="Q974" s="364">
        <f t="shared" si="355"/>
        <v>148508.13256</v>
      </c>
      <c r="R974" s="364">
        <f t="shared" si="356"/>
        <v>1154092.9072600002</v>
      </c>
      <c r="S974" s="364">
        <f>R974-'JKP-3.1c - Rev Actual Rates'!R985</f>
        <v>4766.9454500002321</v>
      </c>
    </row>
    <row r="975" spans="2:19" x14ac:dyDescent="0.2">
      <c r="B975" s="32" t="s">
        <v>1185</v>
      </c>
      <c r="F975" s="364">
        <f t="shared" si="355"/>
        <v>541385.59440000006</v>
      </c>
      <c r="G975" s="364">
        <f t="shared" si="355"/>
        <v>533720.96895000013</v>
      </c>
      <c r="H975" s="364">
        <f t="shared" si="355"/>
        <v>588414.50708999997</v>
      </c>
      <c r="I975" s="364">
        <f t="shared" si="355"/>
        <v>763450.12389000005</v>
      </c>
      <c r="J975" s="364">
        <f t="shared" si="355"/>
        <v>688854.92426999996</v>
      </c>
      <c r="K975" s="364">
        <f t="shared" si="355"/>
        <v>590052.56180000002</v>
      </c>
      <c r="L975" s="364">
        <f t="shared" si="355"/>
        <v>548032.02373999998</v>
      </c>
      <c r="M975" s="364">
        <f t="shared" si="355"/>
        <v>546781.00615999999</v>
      </c>
      <c r="N975" s="364">
        <f t="shared" si="355"/>
        <v>551397.42083000008</v>
      </c>
      <c r="O975" s="364">
        <f t="shared" si="355"/>
        <v>554803.43170000007</v>
      </c>
      <c r="P975" s="364">
        <f t="shared" si="355"/>
        <v>562581.07813000004</v>
      </c>
      <c r="Q975" s="364">
        <f t="shared" si="355"/>
        <v>536633.42272000003</v>
      </c>
      <c r="R975" s="364">
        <f t="shared" si="356"/>
        <v>7006107.0636800015</v>
      </c>
      <c r="S975" s="364">
        <f>R975-'JKP-3.1c - Rev Actual Rates'!R986</f>
        <v>21820.781400000677</v>
      </c>
    </row>
    <row r="976" spans="2:19" x14ac:dyDescent="0.2">
      <c r="B976" s="338" t="s">
        <v>1186</v>
      </c>
      <c r="F976" s="364">
        <f>F941+F958</f>
        <v>0</v>
      </c>
      <c r="G976" s="364">
        <f t="shared" si="355"/>
        <v>0</v>
      </c>
      <c r="H976" s="364">
        <f t="shared" si="355"/>
        <v>0</v>
      </c>
      <c r="I976" s="364">
        <f t="shared" si="355"/>
        <v>0</v>
      </c>
      <c r="J976" s="364">
        <f t="shared" si="355"/>
        <v>0</v>
      </c>
      <c r="K976" s="364">
        <f t="shared" si="355"/>
        <v>443.45</v>
      </c>
      <c r="L976" s="364">
        <f t="shared" si="355"/>
        <v>443.45</v>
      </c>
      <c r="M976" s="364">
        <f t="shared" si="355"/>
        <v>807.7124</v>
      </c>
      <c r="N976" s="364">
        <f t="shared" si="355"/>
        <v>1862.2364000000002</v>
      </c>
      <c r="O976" s="364">
        <f t="shared" si="355"/>
        <v>1655.9444000000001</v>
      </c>
      <c r="P976" s="364">
        <f t="shared" si="355"/>
        <v>634.99069999999995</v>
      </c>
      <c r="Q976" s="364">
        <f t="shared" si="355"/>
        <v>482.63330000000002</v>
      </c>
      <c r="R976" s="364">
        <f t="shared" si="356"/>
        <v>6330.4172000000008</v>
      </c>
      <c r="S976" s="364">
        <f>R976-'JKP-3.1c - Rev Actual Rates'!R987</f>
        <v>0</v>
      </c>
    </row>
    <row r="977" spans="2:19" x14ac:dyDescent="0.2">
      <c r="B977" s="32" t="s">
        <v>1187</v>
      </c>
      <c r="F977" s="364">
        <f>F942+F959</f>
        <v>351262.47582999995</v>
      </c>
      <c r="G977" s="364">
        <f t="shared" si="355"/>
        <v>313595.04773999995</v>
      </c>
      <c r="H977" s="364">
        <f t="shared" si="355"/>
        <v>342563.37021999998</v>
      </c>
      <c r="I977" s="364">
        <f t="shared" si="355"/>
        <v>339613.47752999997</v>
      </c>
      <c r="J977" s="364">
        <f t="shared" si="355"/>
        <v>384924.29988999997</v>
      </c>
      <c r="K977" s="364">
        <f t="shared" si="355"/>
        <v>327851.72025999997</v>
      </c>
      <c r="L977" s="364">
        <f t="shared" si="355"/>
        <v>371543.42099999997</v>
      </c>
      <c r="M977" s="364">
        <f t="shared" si="355"/>
        <v>350076.25526000001</v>
      </c>
      <c r="N977" s="364">
        <f t="shared" si="355"/>
        <v>331285.87760999997</v>
      </c>
      <c r="O977" s="364">
        <f t="shared" si="355"/>
        <v>334885.63246999995</v>
      </c>
      <c r="P977" s="364">
        <f t="shared" si="355"/>
        <v>315608.19679999998</v>
      </c>
      <c r="Q977" s="364">
        <f t="shared" si="355"/>
        <v>315935.45724000002</v>
      </c>
      <c r="R977" s="364">
        <f t="shared" si="356"/>
        <v>4079145.2318499996</v>
      </c>
      <c r="S977" s="364">
        <f>R977-'JKP-3.1c - Rev Actual Rates'!R988</f>
        <v>13548.599409999792</v>
      </c>
    </row>
    <row r="978" spans="2:19" x14ac:dyDescent="0.2">
      <c r="B978" s="343" t="s">
        <v>844</v>
      </c>
      <c r="F978" s="364">
        <f>F943+F960</f>
        <v>146430.75884000002</v>
      </c>
      <c r="G978" s="364">
        <f t="shared" si="355"/>
        <v>143226.45925000001</v>
      </c>
      <c r="H978" s="364">
        <f t="shared" si="355"/>
        <v>147107.09406999999</v>
      </c>
      <c r="I978" s="364">
        <f t="shared" si="355"/>
        <v>140095.63293000002</v>
      </c>
      <c r="J978" s="364">
        <f t="shared" si="355"/>
        <v>133281.78002000001</v>
      </c>
      <c r="K978" s="364">
        <f t="shared" si="355"/>
        <v>123236.08813</v>
      </c>
      <c r="L978" s="364">
        <f t="shared" si="355"/>
        <v>120042.19259999999</v>
      </c>
      <c r="M978" s="364">
        <f t="shared" si="355"/>
        <v>118730.64383</v>
      </c>
      <c r="N978" s="364">
        <f t="shared" si="355"/>
        <v>120351.65416999999</v>
      </c>
      <c r="O978" s="364">
        <f t="shared" si="355"/>
        <v>135276.70224000001</v>
      </c>
      <c r="P978" s="364">
        <f t="shared" si="355"/>
        <v>151959.92145000002</v>
      </c>
      <c r="Q978" s="364">
        <f t="shared" si="355"/>
        <v>153029.35573000001</v>
      </c>
      <c r="R978" s="364">
        <f t="shared" si="356"/>
        <v>1632768.2832599999</v>
      </c>
      <c r="S978" s="364">
        <f>R978-'JKP-3.1c - Rev Actual Rates'!R989</f>
        <v>39035.608259999892</v>
      </c>
    </row>
    <row r="979" spans="2:19" x14ac:dyDescent="0.2">
      <c r="B979" s="343" t="s">
        <v>1191</v>
      </c>
      <c r="F979" s="365">
        <f t="shared" ref="F979:N979" si="357">SUM(F965:F978)</f>
        <v>126725433.78770998</v>
      </c>
      <c r="G979" s="365">
        <f t="shared" si="357"/>
        <v>106529418.44809999</v>
      </c>
      <c r="H979" s="365">
        <f t="shared" si="357"/>
        <v>108414844.10103999</v>
      </c>
      <c r="I979" s="365">
        <f t="shared" si="357"/>
        <v>89220217.4243</v>
      </c>
      <c r="J979" s="365">
        <f t="shared" si="357"/>
        <v>69732198.695099995</v>
      </c>
      <c r="K979" s="365">
        <f t="shared" si="357"/>
        <v>51906645.906860009</v>
      </c>
      <c r="L979" s="365">
        <f t="shared" si="357"/>
        <v>41268752.521179996</v>
      </c>
      <c r="M979" s="365">
        <f t="shared" si="357"/>
        <v>39971118.183989987</v>
      </c>
      <c r="N979" s="365">
        <f t="shared" si="357"/>
        <v>45782265.594619997</v>
      </c>
      <c r="O979" s="365">
        <f>SUM(O965:O978)</f>
        <v>73470622.724809989</v>
      </c>
      <c r="P979" s="365">
        <f>SUM(P965:P978)</f>
        <v>116497567.83450001</v>
      </c>
      <c r="Q979" s="365">
        <f>SUM(Q965:Q978)</f>
        <v>142420458.89094001</v>
      </c>
      <c r="R979" s="365">
        <f>SUM(R965:R978)</f>
        <v>1011939544.11315</v>
      </c>
      <c r="S979" s="365">
        <f>R979-'JKP-3.1c - Rev Actual Rates'!R990</f>
        <v>3273298.9931302071</v>
      </c>
    </row>
    <row r="980" spans="2:19" s="336" customFormat="1" x14ac:dyDescent="0.2">
      <c r="B980" s="336" t="s">
        <v>131</v>
      </c>
      <c r="F980" s="418">
        <f t="shared" ref="F980:R980" si="358">F979-F944-F961</f>
        <v>0</v>
      </c>
      <c r="G980" s="418">
        <f t="shared" si="358"/>
        <v>0</v>
      </c>
      <c r="H980" s="418">
        <f t="shared" si="358"/>
        <v>0</v>
      </c>
      <c r="I980" s="418">
        <f t="shared" si="358"/>
        <v>0</v>
      </c>
      <c r="J980" s="418">
        <f t="shared" si="358"/>
        <v>0</v>
      </c>
      <c r="K980" s="418">
        <f t="shared" si="358"/>
        <v>0</v>
      </c>
      <c r="L980" s="418">
        <f t="shared" si="358"/>
        <v>0</v>
      </c>
      <c r="M980" s="418">
        <f t="shared" si="358"/>
        <v>0</v>
      </c>
      <c r="N980" s="418">
        <f t="shared" si="358"/>
        <v>0</v>
      </c>
      <c r="O980" s="418">
        <f t="shared" si="358"/>
        <v>0</v>
      </c>
      <c r="P980" s="418">
        <f t="shared" si="358"/>
        <v>0</v>
      </c>
      <c r="Q980" s="418">
        <f t="shared" si="358"/>
        <v>0</v>
      </c>
      <c r="R980" s="418">
        <f t="shared" si="358"/>
        <v>0</v>
      </c>
    </row>
    <row r="981" spans="2:19" x14ac:dyDescent="0.2">
      <c r="B981" s="32" t="s">
        <v>131</v>
      </c>
      <c r="F981" s="364">
        <f>F979-SUM(F922:F924)</f>
        <v>0</v>
      </c>
      <c r="G981" s="364">
        <f t="shared" ref="G981:R981" si="359">G979-SUM(G922:G924)</f>
        <v>0</v>
      </c>
      <c r="H981" s="364">
        <f t="shared" si="359"/>
        <v>0</v>
      </c>
      <c r="I981" s="364">
        <f t="shared" si="359"/>
        <v>0</v>
      </c>
      <c r="J981" s="364">
        <f t="shared" si="359"/>
        <v>0</v>
      </c>
      <c r="K981" s="364">
        <f t="shared" si="359"/>
        <v>0</v>
      </c>
      <c r="L981" s="364">
        <f t="shared" si="359"/>
        <v>0</v>
      </c>
      <c r="M981" s="364">
        <f t="shared" si="359"/>
        <v>0</v>
      </c>
      <c r="N981" s="364">
        <f t="shared" si="359"/>
        <v>0</v>
      </c>
      <c r="O981" s="364">
        <f t="shared" si="359"/>
        <v>0</v>
      </c>
      <c r="P981" s="364">
        <f t="shared" si="359"/>
        <v>0</v>
      </c>
      <c r="Q981" s="364">
        <f t="shared" si="359"/>
        <v>0</v>
      </c>
      <c r="R981" s="364">
        <f t="shared" si="359"/>
        <v>0</v>
      </c>
    </row>
    <row r="982" spans="2:19" ht="13.5" thickBot="1" x14ac:dyDescent="0.25"/>
    <row r="983" spans="2:19" x14ac:dyDescent="0.2">
      <c r="B983" s="401" t="s">
        <v>1192</v>
      </c>
      <c r="C983" s="402"/>
      <c r="D983" s="402"/>
      <c r="E983" s="402"/>
      <c r="F983" s="489">
        <f>'JKP-3.1c - Therms Data'!E103</f>
        <v>128745037</v>
      </c>
      <c r="G983" s="489">
        <f>'JKP-3.1c - Therms Data'!F103</f>
        <v>107438064</v>
      </c>
      <c r="H983" s="489">
        <f>'JKP-3.1c - Therms Data'!G103</f>
        <v>111751312</v>
      </c>
      <c r="I983" s="489">
        <f>'JKP-3.1c - Therms Data'!H103</f>
        <v>92608599</v>
      </c>
      <c r="J983" s="489">
        <f>'JKP-3.1c - Therms Data'!I103</f>
        <v>74871801</v>
      </c>
      <c r="K983" s="489">
        <f>'JKP-3.1c - Therms Data'!J103</f>
        <v>56233148</v>
      </c>
      <c r="L983" s="489">
        <f>'JKP-3.1c - Therms Data'!K103</f>
        <v>45903282</v>
      </c>
      <c r="M983" s="489">
        <f>'JKP-3.1c - Therms Data'!L103</f>
        <v>44931622</v>
      </c>
      <c r="N983" s="489">
        <f>'JKP-3.1c - Therms Data'!M103</f>
        <v>49140650</v>
      </c>
      <c r="O983" s="489">
        <f>'JKP-3.1c - Therms Data'!N103</f>
        <v>77063218</v>
      </c>
      <c r="P983" s="489">
        <f>'JKP-3.1c - Therms Data'!O103</f>
        <v>121261601</v>
      </c>
      <c r="Q983" s="489">
        <f>'JKP-3.1c - Therms Data'!P103</f>
        <v>146682209</v>
      </c>
      <c r="R983" s="490">
        <f>SUM(F983:Q983)</f>
        <v>1056630543</v>
      </c>
    </row>
    <row r="984" spans="2:19" x14ac:dyDescent="0.2">
      <c r="B984" s="405" t="s">
        <v>131</v>
      </c>
      <c r="C984" s="390"/>
      <c r="D984" s="390"/>
      <c r="E984" s="390"/>
      <c r="F984" s="412">
        <f t="shared" ref="F984:N984" si="360">F866-F983</f>
        <v>0</v>
      </c>
      <c r="G984" s="412">
        <f t="shared" si="360"/>
        <v>0</v>
      </c>
      <c r="H984" s="412">
        <f t="shared" si="360"/>
        <v>0</v>
      </c>
      <c r="I984" s="412">
        <f t="shared" si="360"/>
        <v>0</v>
      </c>
      <c r="J984" s="412">
        <f t="shared" si="360"/>
        <v>0</v>
      </c>
      <c r="K984" s="412">
        <f t="shared" si="360"/>
        <v>0</v>
      </c>
      <c r="L984" s="412">
        <f t="shared" si="360"/>
        <v>0</v>
      </c>
      <c r="M984" s="412">
        <f t="shared" si="360"/>
        <v>0</v>
      </c>
      <c r="N984" s="412">
        <f t="shared" si="360"/>
        <v>0</v>
      </c>
      <c r="O984" s="412">
        <f>O866-O983</f>
        <v>0</v>
      </c>
      <c r="P984" s="412">
        <f>P866-P983</f>
        <v>0</v>
      </c>
      <c r="Q984" s="412">
        <f>Q866-Q983</f>
        <v>0</v>
      </c>
      <c r="R984" s="491">
        <f>R866-R983</f>
        <v>0</v>
      </c>
    </row>
    <row r="985" spans="2:19" x14ac:dyDescent="0.2">
      <c r="B985" s="405"/>
      <c r="C985" s="390"/>
      <c r="D985" s="390"/>
      <c r="E985" s="390"/>
      <c r="F985" s="412"/>
      <c r="G985" s="412"/>
      <c r="H985" s="412"/>
      <c r="I985" s="412"/>
      <c r="J985" s="412"/>
      <c r="K985" s="412"/>
      <c r="L985" s="412"/>
      <c r="M985" s="412"/>
      <c r="N985" s="412"/>
      <c r="O985" s="412"/>
      <c r="P985" s="412"/>
      <c r="Q985" s="412"/>
      <c r="R985" s="491"/>
    </row>
    <row r="986" spans="2:19" x14ac:dyDescent="0.2">
      <c r="B986" s="492" t="s">
        <v>1193</v>
      </c>
      <c r="C986" s="390"/>
      <c r="D986" s="390"/>
      <c r="E986" s="390"/>
      <c r="F986" s="406">
        <f>'JKP-3.1c - Data'!C158</f>
        <v>757684</v>
      </c>
      <c r="G986" s="406">
        <f>'JKP-3.1c - Data'!D158</f>
        <v>758885</v>
      </c>
      <c r="H986" s="406">
        <f>'JKP-3.1c - Data'!E158</f>
        <v>759873</v>
      </c>
      <c r="I986" s="406">
        <f>'JKP-3.1c - Data'!F158</f>
        <v>760124.03</v>
      </c>
      <c r="J986" s="406">
        <f>'JKP-3.1c - Data'!G158</f>
        <v>760670</v>
      </c>
      <c r="K986" s="406">
        <f>'JKP-3.1c - Data'!H158</f>
        <v>761724</v>
      </c>
      <c r="L986" s="406">
        <f>'JKP-3.1c - Data'!I158</f>
        <v>762056</v>
      </c>
      <c r="M986" s="406">
        <f>'JKP-3.1c - Data'!J158</f>
        <v>761195</v>
      </c>
      <c r="N986" s="406">
        <f>'JKP-3.1c - Data'!K158</f>
        <v>762357</v>
      </c>
      <c r="O986" s="406">
        <f>'JKP-3.1c - Data'!L158</f>
        <v>761431</v>
      </c>
      <c r="P986" s="406">
        <f>'JKP-3.1c - Data'!M158</f>
        <v>761918</v>
      </c>
      <c r="Q986" s="406">
        <f>'JKP-3.1c - Data'!N158</f>
        <v>762413</v>
      </c>
      <c r="R986" s="491">
        <f>SUM(F986:Q986)</f>
        <v>9130330.0300000012</v>
      </c>
    </row>
    <row r="987" spans="2:19" x14ac:dyDescent="0.2">
      <c r="B987" s="492" t="s">
        <v>131</v>
      </c>
      <c r="C987" s="390"/>
      <c r="D987" s="390"/>
      <c r="E987" s="390"/>
      <c r="F987" s="412">
        <f t="shared" ref="F987:N987" si="361">F821-F986</f>
        <v>0</v>
      </c>
      <c r="G987" s="412">
        <f t="shared" si="361"/>
        <v>0</v>
      </c>
      <c r="H987" s="412">
        <f t="shared" si="361"/>
        <v>0</v>
      </c>
      <c r="I987" s="412">
        <f t="shared" si="361"/>
        <v>0</v>
      </c>
      <c r="J987" s="412">
        <f t="shared" si="361"/>
        <v>0</v>
      </c>
      <c r="K987" s="412">
        <f t="shared" si="361"/>
        <v>0</v>
      </c>
      <c r="L987" s="412">
        <f t="shared" si="361"/>
        <v>0</v>
      </c>
      <c r="M987" s="412">
        <f t="shared" si="361"/>
        <v>0</v>
      </c>
      <c r="N987" s="412">
        <f t="shared" si="361"/>
        <v>0</v>
      </c>
      <c r="O987" s="412">
        <f>O821-O986</f>
        <v>0</v>
      </c>
      <c r="P987" s="412">
        <f>P821-P986</f>
        <v>0</v>
      </c>
      <c r="Q987" s="412">
        <f>Q821-Q986</f>
        <v>0</v>
      </c>
      <c r="R987" s="491">
        <f>R821-R986</f>
        <v>0</v>
      </c>
    </row>
    <row r="988" spans="2:19" x14ac:dyDescent="0.2">
      <c r="B988" s="492"/>
      <c r="C988" s="390"/>
      <c r="D988" s="390"/>
      <c r="E988" s="390"/>
      <c r="F988" s="412"/>
      <c r="G988" s="412"/>
      <c r="H988" s="412"/>
      <c r="I988" s="412"/>
      <c r="J988" s="412"/>
      <c r="K988" s="412"/>
      <c r="L988" s="412"/>
      <c r="M988" s="412"/>
      <c r="N988" s="412"/>
      <c r="O988" s="412"/>
      <c r="P988" s="412"/>
      <c r="Q988" s="412"/>
      <c r="R988" s="491"/>
    </row>
    <row r="989" spans="2:19" x14ac:dyDescent="0.2">
      <c r="B989" s="492" t="s">
        <v>1194</v>
      </c>
      <c r="C989" s="390"/>
      <c r="D989" s="390"/>
      <c r="E989" s="390"/>
      <c r="F989" s="406">
        <f>'JKP-3.1c - Data'!C178</f>
        <v>585396.33000000007</v>
      </c>
      <c r="G989" s="406">
        <f>'JKP-3.1c - Data'!D178</f>
        <v>585521.33000000007</v>
      </c>
      <c r="H989" s="406">
        <f>'JKP-3.1c - Data'!E178</f>
        <v>580796.33000000007</v>
      </c>
      <c r="I989" s="406">
        <f>'JKP-3.1c - Data'!F178</f>
        <v>581357.35</v>
      </c>
      <c r="J989" s="406">
        <f>'JKP-3.1c - Data'!G178</f>
        <v>578333.31999999995</v>
      </c>
      <c r="K989" s="406">
        <f>'JKP-3.1c - Data'!H178</f>
        <v>582867.33000000007</v>
      </c>
      <c r="L989" s="406">
        <f>'JKP-3.1c - Data'!I178</f>
        <v>587397.64</v>
      </c>
      <c r="M989" s="406">
        <f>'JKP-3.1c - Data'!J178</f>
        <v>583485</v>
      </c>
      <c r="N989" s="406">
        <f>'JKP-3.1c - Data'!K178</f>
        <v>583414</v>
      </c>
      <c r="O989" s="406">
        <f>'JKP-3.1c - Data'!L178</f>
        <v>575686</v>
      </c>
      <c r="P989" s="406">
        <f>'JKP-3.1c - Data'!M178</f>
        <v>574594</v>
      </c>
      <c r="Q989" s="406">
        <f>'JKP-3.1c - Data'!N178</f>
        <v>576081</v>
      </c>
      <c r="R989" s="491">
        <f>SUM(F989:Q989)</f>
        <v>6974929.6300000008</v>
      </c>
    </row>
    <row r="990" spans="2:19" x14ac:dyDescent="0.2">
      <c r="B990" s="492" t="s">
        <v>131</v>
      </c>
      <c r="C990" s="390"/>
      <c r="D990" s="390"/>
      <c r="E990" s="390"/>
      <c r="F990" s="412">
        <f>F905-F989-SUM(F886:F888)</f>
        <v>-1.1641532182693481E-10</v>
      </c>
      <c r="G990" s="412">
        <f t="shared" ref="G990:R990" si="362">G905-G989-SUM(G886:G888)</f>
        <v>-1.1641532182693481E-10</v>
      </c>
      <c r="H990" s="412">
        <f t="shared" si="362"/>
        <v>-1.1641532182693481E-10</v>
      </c>
      <c r="I990" s="412">
        <f t="shared" si="362"/>
        <v>0</v>
      </c>
      <c r="J990" s="412">
        <f t="shared" si="362"/>
        <v>0</v>
      </c>
      <c r="K990" s="412">
        <f t="shared" si="362"/>
        <v>0</v>
      </c>
      <c r="L990" s="412">
        <f t="shared" si="362"/>
        <v>0</v>
      </c>
      <c r="M990" s="412">
        <f t="shared" si="362"/>
        <v>0</v>
      </c>
      <c r="N990" s="412">
        <f t="shared" si="362"/>
        <v>0</v>
      </c>
      <c r="O990" s="412">
        <f t="shared" si="362"/>
        <v>0</v>
      </c>
      <c r="P990" s="412">
        <f t="shared" si="362"/>
        <v>0</v>
      </c>
      <c r="Q990" s="412">
        <f t="shared" si="362"/>
        <v>0</v>
      </c>
      <c r="R990" s="491">
        <f t="shared" si="362"/>
        <v>0</v>
      </c>
    </row>
    <row r="991" spans="2:19" ht="13.5" thickBot="1" x14ac:dyDescent="0.25">
      <c r="B991" s="493"/>
      <c r="C991" s="409"/>
      <c r="D991" s="409"/>
      <c r="E991" s="409"/>
      <c r="F991" s="410"/>
      <c r="G991" s="410"/>
      <c r="H991" s="410"/>
      <c r="I991" s="410"/>
      <c r="J991" s="410"/>
      <c r="K991" s="410"/>
      <c r="L991" s="410"/>
      <c r="M991" s="410"/>
      <c r="N991" s="410"/>
      <c r="O991" s="410"/>
      <c r="P991" s="410"/>
      <c r="Q991" s="410"/>
      <c r="R991" s="411"/>
    </row>
    <row r="992" spans="2:19" x14ac:dyDescent="0.2">
      <c r="B992" s="415"/>
      <c r="C992" s="390"/>
      <c r="D992" s="390"/>
      <c r="E992" s="390"/>
      <c r="F992" s="412"/>
      <c r="G992" s="412"/>
      <c r="H992" s="412"/>
      <c r="I992" s="412"/>
      <c r="J992" s="412"/>
      <c r="K992" s="412"/>
      <c r="L992" s="412"/>
      <c r="M992" s="412"/>
      <c r="N992" s="412"/>
      <c r="O992" s="412"/>
      <c r="P992" s="412"/>
      <c r="Q992" s="412"/>
    </row>
    <row r="994" spans="2:17" s="336" customFormat="1" ht="25.5" customHeight="1" x14ac:dyDescent="0.2">
      <c r="B994" s="1868"/>
      <c r="C994" s="1868"/>
      <c r="D994" s="1868"/>
      <c r="E994" s="1868"/>
      <c r="F994" s="1868"/>
      <c r="G994" s="1868"/>
      <c r="H994" s="1868"/>
      <c r="I994" s="1868"/>
      <c r="J994" s="1868"/>
      <c r="K994" s="1868"/>
      <c r="L994" s="1868"/>
      <c r="M994" s="1868"/>
      <c r="N994" s="1868"/>
      <c r="O994" s="1868"/>
      <c r="P994" s="1868"/>
      <c r="Q994" s="1868"/>
    </row>
  </sheetData>
  <mergeCells count="1">
    <mergeCell ref="B994:Q994"/>
  </mergeCells>
  <pageMargins left="0.7" right="0.7" top="0.75" bottom="0.75" header="0.3" footer="0.3"/>
  <pageSetup orientation="portrait" r:id="rId1"/>
  <rowBreaks count="19" manualBreakCount="19">
    <brk id="43" max="16383" man="1"/>
    <brk id="71" max="16383" man="1"/>
    <brk id="132" min="1" max="17" man="1"/>
    <brk id="168" min="1" max="17" man="1"/>
    <brk id="203" min="1" max="17" man="1"/>
    <brk id="247" min="1" max="17" man="1"/>
    <brk id="303" max="16383" man="1"/>
    <brk id="345" max="16383" man="1"/>
    <brk id="399" max="16383" man="1"/>
    <brk id="460" min="1" max="17" man="1"/>
    <brk id="496" min="1" max="17" man="1"/>
    <brk id="563" min="1" max="17" man="1"/>
    <brk id="607" max="16383" man="1"/>
    <brk id="662" max="16383" man="1"/>
    <brk id="704" max="16383" man="1"/>
    <brk id="758" max="16383" man="1"/>
    <brk id="795" max="16383" man="1"/>
    <brk id="854" max="16383" man="1"/>
    <brk id="920" min="1" max="17"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F1002"/>
  <sheetViews>
    <sheetView topLeftCell="A330" workbookViewId="0">
      <selection activeCell="C35" sqref="C35"/>
    </sheetView>
  </sheetViews>
  <sheetFormatPr defaultRowHeight="12.75" x14ac:dyDescent="0.2"/>
  <cols>
    <col min="1" max="1" width="7.5703125" style="32" bestFit="1" customWidth="1"/>
    <col min="2" max="2" width="2.140625" style="32" customWidth="1"/>
    <col min="3" max="3" width="27" style="32" customWidth="1"/>
    <col min="4" max="4" width="8" style="32" customWidth="1"/>
    <col min="5" max="5" width="7.7109375" style="32" customWidth="1"/>
    <col min="6" max="6" width="13.42578125" style="32" bestFit="1" customWidth="1"/>
    <col min="7" max="7" width="13.85546875" style="32" bestFit="1" customWidth="1"/>
    <col min="8" max="8" width="14.140625" style="32" bestFit="1" customWidth="1"/>
    <col min="9" max="9" width="14" style="32" bestFit="1" customWidth="1"/>
    <col min="10" max="10" width="13.42578125" style="32" bestFit="1" customWidth="1"/>
    <col min="11" max="11" width="13.7109375" style="32" bestFit="1" customWidth="1"/>
    <col min="12" max="12" width="14.140625" style="32" bestFit="1" customWidth="1"/>
    <col min="13" max="13" width="13.42578125" style="32" customWidth="1"/>
    <col min="14" max="14" width="14.140625" style="32" bestFit="1" customWidth="1"/>
    <col min="15" max="15" width="14.42578125" style="32" bestFit="1" customWidth="1"/>
    <col min="16" max="17" width="14.140625" style="32" bestFit="1" customWidth="1"/>
    <col min="18" max="18" width="15.5703125" style="32" bestFit="1" customWidth="1"/>
    <col min="19" max="19" width="14.42578125" style="391" bestFit="1" customWidth="1"/>
    <col min="20" max="20" width="12.85546875" style="390" customWidth="1"/>
    <col min="21" max="22" width="14.5703125" style="32" bestFit="1" customWidth="1"/>
    <col min="23" max="23" width="44.42578125" style="32" bestFit="1" customWidth="1"/>
    <col min="24" max="24" width="16.85546875" style="32" bestFit="1" customWidth="1"/>
    <col min="25" max="16384" width="9.140625" style="32"/>
  </cols>
  <sheetData>
    <row r="1" spans="1:20" x14ac:dyDescent="0.2">
      <c r="B1" s="385" t="str">
        <f>'JKP-3.1c - Revenue'!$B$1</f>
        <v>Puget Sound Energy</v>
      </c>
      <c r="C1" s="386"/>
      <c r="D1" s="387"/>
      <c r="E1" s="387"/>
      <c r="F1" s="387"/>
      <c r="G1" s="386"/>
      <c r="H1" s="386"/>
      <c r="I1" s="386"/>
      <c r="J1" s="386"/>
      <c r="K1" s="386"/>
      <c r="L1" s="386"/>
      <c r="M1" s="386"/>
      <c r="N1" s="386"/>
      <c r="O1" s="386"/>
      <c r="P1" s="386"/>
      <c r="Q1" s="386"/>
      <c r="R1" s="386"/>
    </row>
    <row r="2" spans="1:20" x14ac:dyDescent="0.2">
      <c r="B2" s="385" t="str">
        <f>'JKP-3.1c - Revenue'!$B$2</f>
        <v>2011 General Rate Case - Gas</v>
      </c>
      <c r="C2" s="386"/>
      <c r="D2" s="386"/>
      <c r="E2" s="386"/>
      <c r="F2" s="388"/>
      <c r="G2" s="386"/>
      <c r="H2" s="386"/>
      <c r="I2" s="386"/>
      <c r="J2" s="386"/>
      <c r="K2" s="386"/>
      <c r="L2" s="386"/>
      <c r="M2" s="386"/>
      <c r="N2" s="386"/>
      <c r="O2" s="386"/>
      <c r="P2" s="386"/>
      <c r="Q2" s="386"/>
      <c r="R2" s="386"/>
    </row>
    <row r="3" spans="1:20" x14ac:dyDescent="0.2">
      <c r="B3" s="386" t="s">
        <v>1196</v>
      </c>
      <c r="C3" s="386"/>
      <c r="D3" s="386"/>
      <c r="E3" s="386"/>
      <c r="F3" s="389"/>
      <c r="G3" s="389"/>
      <c r="H3" s="388"/>
      <c r="I3" s="389"/>
      <c r="J3" s="389"/>
      <c r="K3" s="389"/>
      <c r="L3" s="389"/>
      <c r="M3" s="389"/>
      <c r="N3" s="389"/>
      <c r="O3" s="389"/>
      <c r="P3" s="389"/>
      <c r="Q3" s="389"/>
      <c r="R3" s="386"/>
    </row>
    <row r="4" spans="1:20"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1:20" s="336" customFormat="1" x14ac:dyDescent="0.2">
      <c r="B5" s="431"/>
      <c r="C5" s="387"/>
      <c r="D5" s="387"/>
      <c r="E5" s="387"/>
      <c r="F5" s="32"/>
      <c r="G5" s="32"/>
      <c r="H5" s="32"/>
      <c r="I5" s="32"/>
      <c r="J5" s="32"/>
      <c r="K5" s="32"/>
      <c r="L5" s="32"/>
      <c r="M5" s="32"/>
      <c r="N5" s="32"/>
      <c r="O5" s="32"/>
      <c r="P5" s="32"/>
      <c r="Q5" s="32"/>
      <c r="R5" s="276"/>
      <c r="S5" s="335"/>
      <c r="T5" s="335"/>
    </row>
    <row r="6" spans="1:20" x14ac:dyDescent="0.2">
      <c r="A6" s="432" t="s">
        <v>445</v>
      </c>
      <c r="B6" s="433" t="s">
        <v>3</v>
      </c>
      <c r="C6" s="433"/>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c r="S6" s="333" t="s">
        <v>132</v>
      </c>
      <c r="T6" s="391"/>
    </row>
    <row r="7" spans="1:20" x14ac:dyDescent="0.2">
      <c r="B7" s="276" t="s">
        <v>1046</v>
      </c>
      <c r="C7" s="276"/>
    </row>
    <row r="8" spans="1:20" s="336" customFormat="1" x14ac:dyDescent="0.2">
      <c r="B8" s="182" t="s">
        <v>5</v>
      </c>
      <c r="C8" s="182"/>
      <c r="S8" s="335"/>
      <c r="T8" s="415"/>
    </row>
    <row r="9" spans="1:20" s="415" customFormat="1" x14ac:dyDescent="0.2">
      <c r="B9" s="415" t="s">
        <v>1047</v>
      </c>
      <c r="D9" s="415">
        <v>16</v>
      </c>
      <c r="E9" s="32" t="s">
        <v>1048</v>
      </c>
      <c r="F9" s="494">
        <f>'JKP-3.1c - Rev Rates GRC09'!F9</f>
        <v>9.4499999999999993</v>
      </c>
      <c r="G9" s="494">
        <f>'JKP-3.1c - Rev Rates GRC09'!G9</f>
        <v>9.4499999999999993</v>
      </c>
      <c r="H9" s="494">
        <f>'JKP-3.1c - Rev Rates GRC09'!H9</f>
        <v>9.4499999999999993</v>
      </c>
      <c r="I9" s="494">
        <f>'JKP-3.1c - Rev Rates GRC09'!I9</f>
        <v>9.4499999999999993</v>
      </c>
      <c r="J9" s="494">
        <f>'JKP-3.1c - Rev Rates GRC09'!J9</f>
        <v>9.4499999999999993</v>
      </c>
      <c r="K9" s="494">
        <f>'JKP-3.1c - Rev Rates GRC09'!K9</f>
        <v>9.4499999999999993</v>
      </c>
      <c r="L9" s="494">
        <f>'JKP-3.1c - Rev Rates GRC09'!L9</f>
        <v>9.4499999999999993</v>
      </c>
      <c r="M9" s="494">
        <f>'JKP-3.1c - Rev Rates GRC09'!M9</f>
        <v>9.4499999999999993</v>
      </c>
      <c r="N9" s="494">
        <f>'JKP-3.1c - Rev Rates GRC09'!N9</f>
        <v>9.4499999999999993</v>
      </c>
      <c r="O9" s="494">
        <f>'JKP-3.1c - Rev Rates GRC09'!O9</f>
        <v>9.4499999999999993</v>
      </c>
      <c r="P9" s="494">
        <f>'JKP-3.1c - Rev Rates GRC09'!P9</f>
        <v>9.4499999999999993</v>
      </c>
      <c r="Q9" s="494">
        <f>'JKP-3.1c - Rev Rates GRC09'!Q9</f>
        <v>9.4499999999999993</v>
      </c>
      <c r="R9" s="435"/>
      <c r="S9" s="335"/>
    </row>
    <row r="10" spans="1:20" s="415" customFormat="1" x14ac:dyDescent="0.2">
      <c r="B10" s="415" t="s">
        <v>1067</v>
      </c>
      <c r="D10" s="32">
        <v>101</v>
      </c>
      <c r="E10" s="32" t="s">
        <v>1048</v>
      </c>
      <c r="F10" s="434">
        <v>13.67</v>
      </c>
      <c r="G10" s="434">
        <v>13.67</v>
      </c>
      <c r="H10" s="434">
        <v>13.67</v>
      </c>
      <c r="I10" s="434">
        <v>13.67</v>
      </c>
      <c r="J10" s="434">
        <v>13.67</v>
      </c>
      <c r="K10" s="434">
        <v>13.67</v>
      </c>
      <c r="L10" s="434">
        <v>13.67</v>
      </c>
      <c r="M10" s="434">
        <v>13.67</v>
      </c>
      <c r="N10" s="434">
        <v>13.67</v>
      </c>
      <c r="O10" s="434">
        <v>13.67</v>
      </c>
      <c r="P10" s="434">
        <v>13.67</v>
      </c>
      <c r="Q10" s="434">
        <v>13.67</v>
      </c>
      <c r="R10" s="435"/>
      <c r="S10" s="335"/>
    </row>
    <row r="11" spans="1:20" s="415" customFormat="1" x14ac:dyDescent="0.2">
      <c r="B11" s="415" t="s">
        <v>1197</v>
      </c>
      <c r="D11" s="32"/>
      <c r="E11" s="32"/>
      <c r="F11" s="434">
        <v>13.08</v>
      </c>
      <c r="G11" s="434">
        <v>13.08</v>
      </c>
      <c r="H11" s="434">
        <v>13.08</v>
      </c>
      <c r="I11" s="434">
        <v>13.08</v>
      </c>
      <c r="J11" s="434">
        <v>13.08</v>
      </c>
      <c r="K11" s="434">
        <v>13.08</v>
      </c>
      <c r="L11" s="434">
        <v>13.08</v>
      </c>
      <c r="M11" s="434">
        <v>13.08</v>
      </c>
      <c r="N11" s="434">
        <v>13.08</v>
      </c>
      <c r="O11" s="434">
        <v>13.08</v>
      </c>
      <c r="P11" s="434">
        <v>13.08</v>
      </c>
      <c r="Q11" s="434">
        <v>13.08</v>
      </c>
      <c r="R11" s="435"/>
      <c r="S11" s="335"/>
    </row>
    <row r="12" spans="1:20" s="336" customFormat="1" x14ac:dyDescent="0.2">
      <c r="S12" s="335"/>
      <c r="T12" s="415"/>
    </row>
    <row r="13" spans="1:20" s="336" customFormat="1" x14ac:dyDescent="0.2">
      <c r="B13" s="182" t="s">
        <v>982</v>
      </c>
      <c r="S13" s="335"/>
      <c r="T13" s="415"/>
    </row>
    <row r="14" spans="1:20" s="336" customFormat="1" x14ac:dyDescent="0.2">
      <c r="B14" s="415" t="s">
        <v>9</v>
      </c>
      <c r="C14" s="415"/>
      <c r="D14" s="415"/>
      <c r="F14" s="421">
        <f>'JKP-3.1c - Data'!C122</f>
        <v>54</v>
      </c>
      <c r="G14" s="421">
        <f>'JKP-3.1c - Data'!D122</f>
        <v>54</v>
      </c>
      <c r="H14" s="421">
        <f>'JKP-3.1c - Data'!E122</f>
        <v>54</v>
      </c>
      <c r="I14" s="421">
        <f>'JKP-3.1c - Data'!F122</f>
        <v>54</v>
      </c>
      <c r="J14" s="421">
        <f>'JKP-3.1c - Data'!G122</f>
        <v>53.999999999999993</v>
      </c>
      <c r="K14" s="421">
        <f>'JKP-3.1c - Data'!H122</f>
        <v>54</v>
      </c>
      <c r="L14" s="421">
        <f>'JKP-3.1c - Data'!I122</f>
        <v>53</v>
      </c>
      <c r="M14" s="421">
        <f>'JKP-3.1c - Data'!J122</f>
        <v>53</v>
      </c>
      <c r="N14" s="421">
        <f>'JKP-3.1c - Data'!K122</f>
        <v>53</v>
      </c>
      <c r="O14" s="421">
        <f>'JKP-3.1c - Data'!L122</f>
        <v>53</v>
      </c>
      <c r="P14" s="421">
        <f>'JKP-3.1c - Data'!M122</f>
        <v>53</v>
      </c>
      <c r="Q14" s="421">
        <f>'JKP-3.1c - Data'!N122</f>
        <v>53</v>
      </c>
      <c r="R14" s="378">
        <f>SUM(F14:Q14)</f>
        <v>642</v>
      </c>
      <c r="S14" s="335"/>
      <c r="T14" s="415"/>
    </row>
    <row r="15" spans="1:20" s="336" customFormat="1" x14ac:dyDescent="0.2">
      <c r="B15" s="415" t="s">
        <v>1052</v>
      </c>
      <c r="E15" s="416">
        <v>19</v>
      </c>
      <c r="F15" s="380"/>
      <c r="G15" s="380"/>
      <c r="H15" s="380"/>
      <c r="I15" s="380"/>
      <c r="J15" s="380"/>
      <c r="K15" s="380"/>
      <c r="L15" s="380"/>
      <c r="M15" s="380"/>
      <c r="N15" s="380"/>
      <c r="O15" s="380"/>
      <c r="P15" s="380"/>
      <c r="Q15" s="380"/>
      <c r="R15" s="378"/>
      <c r="S15" s="335"/>
      <c r="T15" s="415"/>
    </row>
    <row r="16" spans="1:20" s="336" customFormat="1" x14ac:dyDescent="0.2">
      <c r="B16" s="415" t="s">
        <v>1053</v>
      </c>
      <c r="E16" s="416"/>
      <c r="F16" s="378">
        <f>F14*$E$15</f>
        <v>1026</v>
      </c>
      <c r="G16" s="378">
        <f t="shared" ref="G16:Q16" si="0">G14*$E$15</f>
        <v>1026</v>
      </c>
      <c r="H16" s="378">
        <f t="shared" si="0"/>
        <v>1026</v>
      </c>
      <c r="I16" s="378">
        <f t="shared" si="0"/>
        <v>1026</v>
      </c>
      <c r="J16" s="378">
        <f t="shared" si="0"/>
        <v>1025.9999999999998</v>
      </c>
      <c r="K16" s="378">
        <f t="shared" si="0"/>
        <v>1026</v>
      </c>
      <c r="L16" s="378">
        <f t="shared" si="0"/>
        <v>1007</v>
      </c>
      <c r="M16" s="378">
        <f t="shared" si="0"/>
        <v>1007</v>
      </c>
      <c r="N16" s="378">
        <f t="shared" si="0"/>
        <v>1007</v>
      </c>
      <c r="O16" s="378">
        <f t="shared" si="0"/>
        <v>1007</v>
      </c>
      <c r="P16" s="378">
        <f t="shared" si="0"/>
        <v>1007</v>
      </c>
      <c r="Q16" s="378">
        <f t="shared" si="0"/>
        <v>1007</v>
      </c>
      <c r="R16" s="378">
        <f>SUM(F16:Q16)</f>
        <v>12198</v>
      </c>
      <c r="S16" s="335"/>
      <c r="T16" s="415"/>
    </row>
    <row r="17" spans="1:23" s="336" customFormat="1" x14ac:dyDescent="0.2">
      <c r="R17" s="179"/>
      <c r="S17" s="335"/>
      <c r="T17" s="415"/>
    </row>
    <row r="18" spans="1:23" s="336" customFormat="1" x14ac:dyDescent="0.2">
      <c r="B18" s="182" t="s">
        <v>985</v>
      </c>
      <c r="R18" s="179"/>
      <c r="S18" s="335"/>
      <c r="T18" s="415"/>
    </row>
    <row r="19" spans="1:23" s="336" customFormat="1" x14ac:dyDescent="0.2">
      <c r="A19" s="336" t="s">
        <v>1054</v>
      </c>
      <c r="B19" s="415" t="s">
        <v>1047</v>
      </c>
      <c r="C19" s="415"/>
      <c r="D19" s="415">
        <v>16</v>
      </c>
      <c r="F19" s="418">
        <f t="shared" ref="F19:Q19" si="1">F9*F14</f>
        <v>510.29999999999995</v>
      </c>
      <c r="G19" s="418">
        <f t="shared" si="1"/>
        <v>510.29999999999995</v>
      </c>
      <c r="H19" s="418">
        <f t="shared" si="1"/>
        <v>510.29999999999995</v>
      </c>
      <c r="I19" s="418">
        <f t="shared" si="1"/>
        <v>510.29999999999995</v>
      </c>
      <c r="J19" s="418">
        <f t="shared" si="1"/>
        <v>510.2999999999999</v>
      </c>
      <c r="K19" s="418">
        <f t="shared" si="1"/>
        <v>510.29999999999995</v>
      </c>
      <c r="L19" s="418">
        <f t="shared" si="1"/>
        <v>500.84999999999997</v>
      </c>
      <c r="M19" s="418">
        <f t="shared" si="1"/>
        <v>500.84999999999997</v>
      </c>
      <c r="N19" s="418">
        <f t="shared" si="1"/>
        <v>500.84999999999997</v>
      </c>
      <c r="O19" s="418">
        <f t="shared" si="1"/>
        <v>500.84999999999997</v>
      </c>
      <c r="P19" s="418">
        <f t="shared" si="1"/>
        <v>500.84999999999997</v>
      </c>
      <c r="Q19" s="418">
        <f t="shared" si="1"/>
        <v>500.84999999999997</v>
      </c>
      <c r="R19" s="437">
        <f>SUM(F19:Q19)</f>
        <v>6066.9000000000005</v>
      </c>
    </row>
    <row r="20" spans="1:23" s="336" customFormat="1" x14ac:dyDescent="0.2">
      <c r="A20" s="336" t="s">
        <v>1056</v>
      </c>
      <c r="B20" s="415" t="s">
        <v>1057</v>
      </c>
      <c r="D20" s="32">
        <v>101</v>
      </c>
      <c r="F20" s="340">
        <f>F10*F14</f>
        <v>738.18</v>
      </c>
      <c r="G20" s="340">
        <f t="shared" ref="G20:Q20" si="2">G10*G14</f>
        <v>738.18</v>
      </c>
      <c r="H20" s="340">
        <f t="shared" si="2"/>
        <v>738.18</v>
      </c>
      <c r="I20" s="340">
        <f t="shared" si="2"/>
        <v>738.18</v>
      </c>
      <c r="J20" s="340">
        <f t="shared" si="2"/>
        <v>738.18</v>
      </c>
      <c r="K20" s="340">
        <f t="shared" si="2"/>
        <v>738.18</v>
      </c>
      <c r="L20" s="340">
        <f t="shared" si="2"/>
        <v>724.51</v>
      </c>
      <c r="M20" s="340">
        <f t="shared" si="2"/>
        <v>724.51</v>
      </c>
      <c r="N20" s="340">
        <f t="shared" si="2"/>
        <v>724.51</v>
      </c>
      <c r="O20" s="340">
        <f t="shared" si="2"/>
        <v>724.51</v>
      </c>
      <c r="P20" s="340">
        <f t="shared" si="2"/>
        <v>724.51</v>
      </c>
      <c r="Q20" s="340">
        <f t="shared" si="2"/>
        <v>724.51</v>
      </c>
      <c r="R20" s="437">
        <f>SUM(F20:Q20)</f>
        <v>8776.1400000000012</v>
      </c>
      <c r="S20" s="335"/>
      <c r="T20" s="415"/>
      <c r="U20" s="415"/>
      <c r="V20" s="415"/>
      <c r="W20" s="415"/>
    </row>
    <row r="21" spans="1:23" s="336" customFormat="1" x14ac:dyDescent="0.2">
      <c r="B21" s="32" t="s">
        <v>986</v>
      </c>
      <c r="F21" s="339">
        <f>F19+F20</f>
        <v>1248.48</v>
      </c>
      <c r="G21" s="339">
        <f t="shared" ref="G21:R21" si="3">G19+G20</f>
        <v>1248.48</v>
      </c>
      <c r="H21" s="339">
        <f t="shared" si="3"/>
        <v>1248.48</v>
      </c>
      <c r="I21" s="339">
        <f t="shared" si="3"/>
        <v>1248.48</v>
      </c>
      <c r="J21" s="339">
        <f t="shared" si="3"/>
        <v>1248.4799999999998</v>
      </c>
      <c r="K21" s="339">
        <f t="shared" si="3"/>
        <v>1248.48</v>
      </c>
      <c r="L21" s="339">
        <f t="shared" si="3"/>
        <v>1225.3599999999999</v>
      </c>
      <c r="M21" s="339">
        <f t="shared" si="3"/>
        <v>1225.3599999999999</v>
      </c>
      <c r="N21" s="339">
        <f t="shared" si="3"/>
        <v>1225.3599999999999</v>
      </c>
      <c r="O21" s="339">
        <f t="shared" si="3"/>
        <v>1225.3599999999999</v>
      </c>
      <c r="P21" s="339">
        <f t="shared" si="3"/>
        <v>1225.3599999999999</v>
      </c>
      <c r="Q21" s="339">
        <f t="shared" si="3"/>
        <v>1225.3599999999999</v>
      </c>
      <c r="R21" s="339">
        <f t="shared" si="3"/>
        <v>14843.04</v>
      </c>
      <c r="S21" s="335"/>
      <c r="T21" s="340"/>
    </row>
    <row r="22" spans="1:23" s="336" customFormat="1" x14ac:dyDescent="0.2">
      <c r="B22" s="32"/>
      <c r="F22" s="340"/>
      <c r="G22" s="340"/>
      <c r="H22" s="340"/>
      <c r="I22" s="340"/>
      <c r="J22" s="340"/>
      <c r="K22" s="340"/>
      <c r="L22" s="340"/>
      <c r="M22" s="340"/>
      <c r="N22" s="340"/>
      <c r="O22" s="340"/>
      <c r="P22" s="340"/>
      <c r="Q22" s="340"/>
      <c r="R22" s="340"/>
      <c r="S22" s="335"/>
      <c r="T22" s="340"/>
    </row>
    <row r="23" spans="1:23" s="336" customFormat="1" x14ac:dyDescent="0.2">
      <c r="A23" s="336" t="s">
        <v>1058</v>
      </c>
      <c r="B23" s="32" t="s">
        <v>1050</v>
      </c>
      <c r="F23" s="340">
        <f>F11*F14</f>
        <v>706.32</v>
      </c>
      <c r="G23" s="340">
        <f t="shared" ref="G23:Q23" si="4">G11*G14</f>
        <v>706.32</v>
      </c>
      <c r="H23" s="340">
        <f t="shared" si="4"/>
        <v>706.32</v>
      </c>
      <c r="I23" s="340">
        <f t="shared" si="4"/>
        <v>706.32</v>
      </c>
      <c r="J23" s="340">
        <f t="shared" si="4"/>
        <v>706.31999999999994</v>
      </c>
      <c r="K23" s="340">
        <f t="shared" si="4"/>
        <v>706.32</v>
      </c>
      <c r="L23" s="340">
        <f t="shared" si="4"/>
        <v>693.24</v>
      </c>
      <c r="M23" s="340">
        <f t="shared" si="4"/>
        <v>693.24</v>
      </c>
      <c r="N23" s="340">
        <f t="shared" si="4"/>
        <v>693.24</v>
      </c>
      <c r="O23" s="340">
        <f t="shared" si="4"/>
        <v>693.24</v>
      </c>
      <c r="P23" s="340">
        <f t="shared" si="4"/>
        <v>693.24</v>
      </c>
      <c r="Q23" s="340">
        <f t="shared" si="4"/>
        <v>693.24</v>
      </c>
      <c r="R23" s="437">
        <f>SUM(F23:Q23)</f>
        <v>8397.3599999999988</v>
      </c>
      <c r="S23" s="335"/>
      <c r="T23" s="340"/>
    </row>
    <row r="24" spans="1:23" x14ac:dyDescent="0.2">
      <c r="D24" s="391"/>
      <c r="E24" s="391"/>
      <c r="F24" s="392"/>
      <c r="G24" s="392"/>
      <c r="H24" s="392"/>
      <c r="I24" s="392"/>
      <c r="J24" s="392"/>
      <c r="K24" s="392"/>
      <c r="L24" s="392"/>
      <c r="M24" s="392"/>
      <c r="N24" s="392"/>
      <c r="O24" s="392"/>
      <c r="P24" s="392"/>
      <c r="Q24" s="392"/>
      <c r="R24" s="391"/>
    </row>
    <row r="25" spans="1:23" x14ac:dyDescent="0.2">
      <c r="B25" s="276" t="s">
        <v>953</v>
      </c>
      <c r="C25" s="276"/>
    </row>
    <row r="26" spans="1:23" x14ac:dyDescent="0.2">
      <c r="B26" s="276" t="s">
        <v>5</v>
      </c>
      <c r="C26" s="276"/>
    </row>
    <row r="27" spans="1:23" x14ac:dyDescent="0.2">
      <c r="B27" s="32" t="s">
        <v>1059</v>
      </c>
      <c r="D27" s="32">
        <v>23</v>
      </c>
      <c r="E27" s="32" t="s">
        <v>976</v>
      </c>
      <c r="F27" s="500">
        <f>'JKP-3.1c - Rev Rates GRC09'!F27</f>
        <v>10</v>
      </c>
      <c r="G27" s="500">
        <f>'JKP-3.1c - Rev Rates GRC09'!G27</f>
        <v>10</v>
      </c>
      <c r="H27" s="500">
        <f>'JKP-3.1c - Rev Rates GRC09'!H27</f>
        <v>10</v>
      </c>
      <c r="I27" s="500">
        <f>'JKP-3.1c - Rev Rates GRC09'!I27</f>
        <v>10</v>
      </c>
      <c r="J27" s="500">
        <f>'JKP-3.1c - Rev Rates GRC09'!J27</f>
        <v>10</v>
      </c>
      <c r="K27" s="500">
        <f>'JKP-3.1c - Rev Rates GRC09'!K27</f>
        <v>10</v>
      </c>
      <c r="L27" s="500">
        <f>'JKP-3.1c - Rev Rates GRC09'!L27</f>
        <v>10</v>
      </c>
      <c r="M27" s="500">
        <f>'JKP-3.1c - Rev Rates GRC09'!M27</f>
        <v>10</v>
      </c>
      <c r="N27" s="500">
        <f>'JKP-3.1c - Rev Rates GRC09'!N27</f>
        <v>10</v>
      </c>
      <c r="O27" s="500">
        <f>'JKP-3.1c - Rev Rates GRC09'!O27</f>
        <v>10</v>
      </c>
      <c r="P27" s="500">
        <f>'JKP-3.1c - Rev Rates GRC09'!P27</f>
        <v>10</v>
      </c>
      <c r="Q27" s="500">
        <f>'JKP-3.1c - Rev Rates GRC09'!Q27</f>
        <v>10</v>
      </c>
      <c r="R27" s="439"/>
    </row>
    <row r="28" spans="1:23" x14ac:dyDescent="0.2">
      <c r="B28" s="32" t="s">
        <v>1047</v>
      </c>
      <c r="D28" s="32">
        <v>23</v>
      </c>
      <c r="E28" s="32" t="s">
        <v>957</v>
      </c>
      <c r="F28" s="495">
        <f>'JKP-3.1c - Rev Rates GRC09'!F28</f>
        <v>0.34897</v>
      </c>
      <c r="G28" s="495">
        <f>'JKP-3.1c - Rev Rates GRC09'!G28</f>
        <v>0.34897</v>
      </c>
      <c r="H28" s="495">
        <f>'JKP-3.1c - Rev Rates GRC09'!H28</f>
        <v>0.34897</v>
      </c>
      <c r="I28" s="495">
        <f>'JKP-3.1c - Rev Rates GRC09'!I28</f>
        <v>0.34897</v>
      </c>
      <c r="J28" s="495">
        <f>'JKP-3.1c - Rev Rates GRC09'!J28</f>
        <v>0.34897</v>
      </c>
      <c r="K28" s="495">
        <f>'JKP-3.1c - Rev Rates GRC09'!K28</f>
        <v>0.34897</v>
      </c>
      <c r="L28" s="495">
        <f>'JKP-3.1c - Rev Rates GRC09'!L28</f>
        <v>0.34897</v>
      </c>
      <c r="M28" s="495">
        <f>'JKP-3.1c - Rev Rates GRC09'!M28</f>
        <v>0.34897</v>
      </c>
      <c r="N28" s="495">
        <f>'JKP-3.1c - Rev Rates GRC09'!N28</f>
        <v>0.34897</v>
      </c>
      <c r="O28" s="495">
        <f>'JKP-3.1c - Rev Rates GRC09'!O28</f>
        <v>0.34897</v>
      </c>
      <c r="P28" s="495">
        <f>'JKP-3.1c - Rev Rates GRC09'!P28</f>
        <v>0.34897</v>
      </c>
      <c r="Q28" s="495">
        <f>'JKP-3.1c - Rev Rates GRC09'!Q28</f>
        <v>0.34897</v>
      </c>
      <c r="R28" s="394"/>
    </row>
    <row r="29" spans="1:23" x14ac:dyDescent="0.2">
      <c r="B29" s="415" t="s">
        <v>1067</v>
      </c>
      <c r="D29" s="32">
        <v>101</v>
      </c>
      <c r="E29" s="32" t="s">
        <v>957</v>
      </c>
      <c r="F29" s="395">
        <v>0.71972999999999998</v>
      </c>
      <c r="G29" s="395">
        <v>0.71972999999999998</v>
      </c>
      <c r="H29" s="395">
        <v>0.71972999999999998</v>
      </c>
      <c r="I29" s="395">
        <v>0.71972999999999998</v>
      </c>
      <c r="J29" s="395">
        <v>0.71972999999999998</v>
      </c>
      <c r="K29" s="395">
        <v>0.71972999999999998</v>
      </c>
      <c r="L29" s="395">
        <v>0.71972999999999998</v>
      </c>
      <c r="M29" s="395">
        <v>0.71972999999999998</v>
      </c>
      <c r="N29" s="395">
        <v>0.71972999999999998</v>
      </c>
      <c r="O29" s="395">
        <v>0.71972999999999998</v>
      </c>
      <c r="P29" s="395">
        <v>0.71972999999999998</v>
      </c>
      <c r="Q29" s="395">
        <v>0.71972999999999998</v>
      </c>
      <c r="R29" s="394"/>
    </row>
    <row r="30" spans="1:23" x14ac:dyDescent="0.2">
      <c r="B30" s="415" t="s">
        <v>1197</v>
      </c>
      <c r="F30" s="395">
        <v>0.68861000000000006</v>
      </c>
      <c r="G30" s="395">
        <v>0.68861000000000006</v>
      </c>
      <c r="H30" s="395">
        <v>0.68861000000000006</v>
      </c>
      <c r="I30" s="395">
        <v>0.68861000000000006</v>
      </c>
      <c r="J30" s="395">
        <v>0.68861000000000006</v>
      </c>
      <c r="K30" s="395">
        <v>0.68861000000000006</v>
      </c>
      <c r="L30" s="395">
        <v>0.68861000000000006</v>
      </c>
      <c r="M30" s="395">
        <v>0.68861000000000006</v>
      </c>
      <c r="N30" s="395">
        <v>0.68861000000000006</v>
      </c>
      <c r="O30" s="395">
        <v>0.68861000000000006</v>
      </c>
      <c r="P30" s="395">
        <v>0.68861000000000006</v>
      </c>
      <c r="Q30" s="395">
        <v>0.68861000000000006</v>
      </c>
      <c r="R30" s="394"/>
    </row>
    <row r="32" spans="1:23" x14ac:dyDescent="0.2">
      <c r="B32" s="276" t="s">
        <v>982</v>
      </c>
    </row>
    <row r="33" spans="1:20" x14ac:dyDescent="0.2">
      <c r="B33" s="32" t="s">
        <v>67</v>
      </c>
      <c r="E33" s="32" t="s">
        <v>67</v>
      </c>
      <c r="F33" s="397">
        <f>'JKP-3.1c - Data'!C138</f>
        <v>699965</v>
      </c>
      <c r="G33" s="397">
        <f>'JKP-3.1c - Data'!D138</f>
        <v>701215</v>
      </c>
      <c r="H33" s="397">
        <f>'JKP-3.1c - Data'!E138</f>
        <v>702257</v>
      </c>
      <c r="I33" s="397">
        <f>'JKP-3.1c - Data'!F138</f>
        <v>702573</v>
      </c>
      <c r="J33" s="397">
        <f>'JKP-3.1c - Data'!G138</f>
        <v>703246</v>
      </c>
      <c r="K33" s="397">
        <f>'JKP-3.1c - Data'!H138</f>
        <v>704366</v>
      </c>
      <c r="L33" s="397">
        <f>'JKP-3.1c - Data'!I138</f>
        <v>704758</v>
      </c>
      <c r="M33" s="397">
        <f>'JKP-3.1c - Data'!J138</f>
        <v>703964</v>
      </c>
      <c r="N33" s="397">
        <f>'JKP-3.1c - Data'!K138</f>
        <v>705153</v>
      </c>
      <c r="O33" s="397">
        <f>'JKP-3.1c - Data'!L138</f>
        <v>704137</v>
      </c>
      <c r="P33" s="397">
        <f>'JKP-3.1c - Data'!M138</f>
        <v>704666</v>
      </c>
      <c r="Q33" s="397">
        <f>'JKP-3.1c - Data'!N138</f>
        <v>705036</v>
      </c>
      <c r="R33" s="398">
        <f>SUM(F33:Q33)</f>
        <v>8441336</v>
      </c>
    </row>
    <row r="34" spans="1:20" x14ac:dyDescent="0.2">
      <c r="B34" s="32" t="s">
        <v>76</v>
      </c>
      <c r="E34" s="32" t="s">
        <v>10</v>
      </c>
      <c r="F34" s="397">
        <f>'JKP-3.1c - Rev Actual Rates'!F45</f>
        <v>71187692</v>
      </c>
      <c r="G34" s="397">
        <f>'JKP-3.1c - Rev Actual Rates'!G45</f>
        <v>58357925</v>
      </c>
      <c r="H34" s="397">
        <f>'JKP-3.1c - Rev Actual Rates'!H45</f>
        <v>59215201</v>
      </c>
      <c r="I34" s="397">
        <f>'JKP-3.1c - Rev Actual Rates'!I45</f>
        <v>46508498</v>
      </c>
      <c r="J34" s="397">
        <f>'JKP-3.1c - Rev Actual Rates'!J45</f>
        <v>33382131</v>
      </c>
      <c r="K34" s="397">
        <f>'JKP-3.1c - Rev Actual Rates'!K45</f>
        <v>21957138</v>
      </c>
      <c r="L34" s="397">
        <f>'JKP-3.1c - Rev Actual Rates'!L45</f>
        <v>15080375</v>
      </c>
      <c r="M34" s="397">
        <f>'JKP-3.1c - Rev Actual Rates'!M45</f>
        <v>14189236</v>
      </c>
      <c r="N34" s="397">
        <f>'JKP-3.1c - Rev Actual Rates'!N45</f>
        <v>18121975</v>
      </c>
      <c r="O34" s="397">
        <f>'JKP-3.1c - Rev Actual Rates'!O45</f>
        <v>36524174</v>
      </c>
      <c r="P34" s="397">
        <f>'JKP-3.1c - Rev Actual Rates'!P45</f>
        <v>67472591</v>
      </c>
      <c r="Q34" s="397">
        <f>'JKP-3.1c - Rev Actual Rates'!Q45</f>
        <v>84734325</v>
      </c>
      <c r="R34" s="398">
        <f>SUM(F34:Q34)</f>
        <v>526731261</v>
      </c>
    </row>
    <row r="35" spans="1:20" x14ac:dyDescent="0.2">
      <c r="R35" s="277"/>
    </row>
    <row r="36" spans="1:20" x14ac:dyDescent="0.2">
      <c r="B36" s="276" t="s">
        <v>985</v>
      </c>
      <c r="R36" s="277"/>
    </row>
    <row r="37" spans="1:20" x14ac:dyDescent="0.2">
      <c r="A37" s="32" t="s">
        <v>1054</v>
      </c>
      <c r="B37" s="32" t="s">
        <v>1059</v>
      </c>
      <c r="D37" s="32">
        <v>23</v>
      </c>
      <c r="F37" s="364">
        <f t="shared" ref="F37:Q38" si="5">ROUND(F27*F33,0)</f>
        <v>6999650</v>
      </c>
      <c r="G37" s="364">
        <f t="shared" si="5"/>
        <v>7012150</v>
      </c>
      <c r="H37" s="364">
        <f t="shared" si="5"/>
        <v>7022570</v>
      </c>
      <c r="I37" s="364">
        <f t="shared" si="5"/>
        <v>7025730</v>
      </c>
      <c r="J37" s="364">
        <f t="shared" si="5"/>
        <v>7032460</v>
      </c>
      <c r="K37" s="364">
        <f t="shared" si="5"/>
        <v>7043660</v>
      </c>
      <c r="L37" s="364">
        <f t="shared" si="5"/>
        <v>7047580</v>
      </c>
      <c r="M37" s="364">
        <f t="shared" si="5"/>
        <v>7039640</v>
      </c>
      <c r="N37" s="364">
        <f t="shared" si="5"/>
        <v>7051530</v>
      </c>
      <c r="O37" s="364">
        <f t="shared" si="5"/>
        <v>7041370</v>
      </c>
      <c r="P37" s="364">
        <f t="shared" si="5"/>
        <v>7046660</v>
      </c>
      <c r="Q37" s="364">
        <f t="shared" si="5"/>
        <v>7050360</v>
      </c>
      <c r="R37" s="341">
        <f>SUM(F37:Q37)</f>
        <v>84413360</v>
      </c>
    </row>
    <row r="38" spans="1:20" x14ac:dyDescent="0.2">
      <c r="A38" s="32" t="s">
        <v>1054</v>
      </c>
      <c r="B38" s="32" t="s">
        <v>1047</v>
      </c>
      <c r="D38" s="32">
        <v>23</v>
      </c>
      <c r="F38" s="364">
        <f t="shared" si="5"/>
        <v>24842369</v>
      </c>
      <c r="G38" s="364">
        <f t="shared" si="5"/>
        <v>20365165</v>
      </c>
      <c r="H38" s="364">
        <f t="shared" si="5"/>
        <v>20664329</v>
      </c>
      <c r="I38" s="364">
        <f t="shared" si="5"/>
        <v>16230071</v>
      </c>
      <c r="J38" s="364">
        <f t="shared" si="5"/>
        <v>11649362</v>
      </c>
      <c r="K38" s="364">
        <f t="shared" si="5"/>
        <v>7662382</v>
      </c>
      <c r="L38" s="364">
        <f t="shared" si="5"/>
        <v>5262598</v>
      </c>
      <c r="M38" s="364">
        <f t="shared" si="5"/>
        <v>4951618</v>
      </c>
      <c r="N38" s="364">
        <f t="shared" si="5"/>
        <v>6324026</v>
      </c>
      <c r="O38" s="364">
        <f t="shared" si="5"/>
        <v>12745841</v>
      </c>
      <c r="P38" s="364">
        <f t="shared" si="5"/>
        <v>23545910</v>
      </c>
      <c r="Q38" s="364">
        <f t="shared" si="5"/>
        <v>29569737</v>
      </c>
      <c r="R38" s="341">
        <f>SUM(F38:Q38)</f>
        <v>183813408</v>
      </c>
    </row>
    <row r="39" spans="1:20" x14ac:dyDescent="0.2">
      <c r="A39" s="336" t="s">
        <v>1056</v>
      </c>
      <c r="B39" s="415" t="s">
        <v>1057</v>
      </c>
      <c r="D39" s="32">
        <v>101</v>
      </c>
      <c r="F39" s="364">
        <f t="shared" ref="F39:N39" si="6">ROUND(F29*F34,0)</f>
        <v>51235918</v>
      </c>
      <c r="G39" s="364">
        <f t="shared" si="6"/>
        <v>42001949</v>
      </c>
      <c r="H39" s="364">
        <f t="shared" si="6"/>
        <v>42618957</v>
      </c>
      <c r="I39" s="364">
        <f t="shared" si="6"/>
        <v>33473561</v>
      </c>
      <c r="J39" s="364">
        <f t="shared" si="6"/>
        <v>24026121</v>
      </c>
      <c r="K39" s="364">
        <f t="shared" si="6"/>
        <v>15803211</v>
      </c>
      <c r="L39" s="364">
        <f t="shared" si="6"/>
        <v>10853798</v>
      </c>
      <c r="M39" s="364">
        <f t="shared" si="6"/>
        <v>10212419</v>
      </c>
      <c r="N39" s="364">
        <f t="shared" si="6"/>
        <v>13042929</v>
      </c>
      <c r="O39" s="364">
        <f>ROUND(O29*O34,0)</f>
        <v>26287544</v>
      </c>
      <c r="P39" s="364">
        <f>ROUND(P29*P34,0)</f>
        <v>48562048</v>
      </c>
      <c r="Q39" s="364">
        <f>ROUND(Q29*Q34,0)</f>
        <v>60985836</v>
      </c>
      <c r="R39" s="341">
        <f>SUM(F39:Q39)</f>
        <v>379104291</v>
      </c>
    </row>
    <row r="40" spans="1:20" x14ac:dyDescent="0.2">
      <c r="B40" s="32" t="s">
        <v>986</v>
      </c>
      <c r="F40" s="365">
        <f t="shared" ref="F40:N40" si="7">F37+F38+F39</f>
        <v>83077937</v>
      </c>
      <c r="G40" s="365">
        <f t="shared" si="7"/>
        <v>69379264</v>
      </c>
      <c r="H40" s="365">
        <f t="shared" si="7"/>
        <v>70305856</v>
      </c>
      <c r="I40" s="365">
        <f t="shared" si="7"/>
        <v>56729362</v>
      </c>
      <c r="J40" s="365">
        <f t="shared" si="7"/>
        <v>42707943</v>
      </c>
      <c r="K40" s="365">
        <f t="shared" si="7"/>
        <v>30509253</v>
      </c>
      <c r="L40" s="365">
        <f t="shared" si="7"/>
        <v>23163976</v>
      </c>
      <c r="M40" s="365">
        <f t="shared" si="7"/>
        <v>22203677</v>
      </c>
      <c r="N40" s="365">
        <f t="shared" si="7"/>
        <v>26418485</v>
      </c>
      <c r="O40" s="365">
        <f>O37+O38+O39</f>
        <v>46074755</v>
      </c>
      <c r="P40" s="365">
        <f>P37+P38+P39</f>
        <v>79154618</v>
      </c>
      <c r="Q40" s="365">
        <f>Q37+Q38+Q39</f>
        <v>97605933</v>
      </c>
      <c r="R40" s="365">
        <f>R37+R38+R39</f>
        <v>647331059</v>
      </c>
      <c r="T40" s="340"/>
    </row>
    <row r="41" spans="1:20" x14ac:dyDescent="0.2">
      <c r="F41" s="417"/>
      <c r="G41" s="417"/>
      <c r="H41" s="417"/>
      <c r="I41" s="417"/>
      <c r="J41" s="417"/>
      <c r="K41" s="417"/>
      <c r="L41" s="417"/>
      <c r="M41" s="417"/>
      <c r="N41" s="417"/>
      <c r="O41" s="417"/>
      <c r="P41" s="417"/>
      <c r="Q41" s="417"/>
      <c r="R41" s="417"/>
      <c r="T41" s="340"/>
    </row>
    <row r="42" spans="1:20" x14ac:dyDescent="0.2">
      <c r="A42" s="336" t="s">
        <v>1058</v>
      </c>
      <c r="B42" s="32" t="s">
        <v>1050</v>
      </c>
      <c r="C42" s="336"/>
      <c r="F42" s="364">
        <f>F30*F34</f>
        <v>49020556.588120006</v>
      </c>
      <c r="G42" s="364">
        <f t="shared" ref="G42:Q42" si="8">G30*G34</f>
        <v>40185850.734250002</v>
      </c>
      <c r="H42" s="364">
        <f t="shared" si="8"/>
        <v>40776179.560610004</v>
      </c>
      <c r="I42" s="364">
        <f t="shared" si="8"/>
        <v>32026216.807780001</v>
      </c>
      <c r="J42" s="364">
        <f t="shared" si="8"/>
        <v>22987269.227910001</v>
      </c>
      <c r="K42" s="364">
        <f t="shared" si="8"/>
        <v>15119904.798180001</v>
      </c>
      <c r="L42" s="364">
        <f t="shared" si="8"/>
        <v>10384497.028750001</v>
      </c>
      <c r="M42" s="364">
        <f t="shared" si="8"/>
        <v>9770849.8019600008</v>
      </c>
      <c r="N42" s="364">
        <f t="shared" si="8"/>
        <v>12478973.204750001</v>
      </c>
      <c r="O42" s="364">
        <f t="shared" si="8"/>
        <v>25150911.458140001</v>
      </c>
      <c r="P42" s="364">
        <f t="shared" si="8"/>
        <v>46462300.888510004</v>
      </c>
      <c r="Q42" s="364">
        <f t="shared" si="8"/>
        <v>58348903.538250007</v>
      </c>
      <c r="R42" s="417">
        <f>SUM(F42:Q42)</f>
        <v>362712413.63721007</v>
      </c>
      <c r="T42" s="340"/>
    </row>
    <row r="43" spans="1:20" x14ac:dyDescent="0.2">
      <c r="F43" s="417"/>
      <c r="G43" s="417"/>
      <c r="H43" s="417"/>
      <c r="I43" s="417"/>
      <c r="J43" s="417"/>
      <c r="K43" s="417"/>
      <c r="L43" s="417"/>
      <c r="M43" s="417"/>
      <c r="N43" s="417"/>
      <c r="O43" s="417"/>
      <c r="P43" s="417"/>
      <c r="Q43" s="417"/>
      <c r="R43" s="417"/>
      <c r="T43" s="340"/>
    </row>
    <row r="44" spans="1:20" x14ac:dyDescent="0.2">
      <c r="B44" s="276" t="s">
        <v>1060</v>
      </c>
      <c r="C44" s="276"/>
      <c r="R44" s="364"/>
    </row>
    <row r="45" spans="1:20" x14ac:dyDescent="0.2">
      <c r="B45" s="276" t="s">
        <v>5</v>
      </c>
      <c r="C45" s="276"/>
      <c r="R45" s="364"/>
    </row>
    <row r="46" spans="1:20" x14ac:dyDescent="0.2">
      <c r="B46" s="32" t="s">
        <v>1059</v>
      </c>
      <c r="D46" s="32">
        <v>53</v>
      </c>
      <c r="E46" s="32" t="s">
        <v>976</v>
      </c>
      <c r="F46" s="500">
        <f>'JKP-3.1c - Rev Rates GRC09'!F46</f>
        <v>10</v>
      </c>
      <c r="G46" s="500">
        <f>'JKP-3.1c - Rev Rates GRC09'!G46</f>
        <v>10</v>
      </c>
      <c r="H46" s="500">
        <f>'JKP-3.1c - Rev Rates GRC09'!H46</f>
        <v>10</v>
      </c>
      <c r="I46" s="500">
        <f>'JKP-3.1c - Rev Rates GRC09'!I46</f>
        <v>10</v>
      </c>
      <c r="J46" s="500">
        <f>'JKP-3.1c - Rev Rates GRC09'!J46</f>
        <v>10</v>
      </c>
      <c r="K46" s="500">
        <f>'JKP-3.1c - Rev Rates GRC09'!K46</f>
        <v>10</v>
      </c>
      <c r="L46" s="500">
        <f>'JKP-3.1c - Rev Rates GRC09'!L46</f>
        <v>10</v>
      </c>
      <c r="M46" s="500">
        <f>'JKP-3.1c - Rev Rates GRC09'!M46</f>
        <v>10</v>
      </c>
      <c r="N46" s="500">
        <f>'JKP-3.1c - Rev Rates GRC09'!N46</f>
        <v>10</v>
      </c>
      <c r="O46" s="500">
        <f>'JKP-3.1c - Rev Rates GRC09'!O46</f>
        <v>10</v>
      </c>
      <c r="P46" s="500">
        <f>'JKP-3.1c - Rev Rates GRC09'!P46</f>
        <v>10</v>
      </c>
      <c r="Q46" s="500">
        <f>'JKP-3.1c - Rev Rates GRC09'!Q46</f>
        <v>10</v>
      </c>
      <c r="R46" s="439"/>
    </row>
    <row r="47" spans="1:20" x14ac:dyDescent="0.2">
      <c r="B47" s="32" t="s">
        <v>1047</v>
      </c>
      <c r="D47" s="32">
        <v>53</v>
      </c>
      <c r="E47" s="32" t="s">
        <v>957</v>
      </c>
      <c r="F47" s="495">
        <f>'JKP-3.1c - Rev Rates GRC09'!F47</f>
        <v>0.34897</v>
      </c>
      <c r="G47" s="495">
        <f>'JKP-3.1c - Rev Rates GRC09'!G47</f>
        <v>0.34897</v>
      </c>
      <c r="H47" s="495">
        <f>'JKP-3.1c - Rev Rates GRC09'!H47</f>
        <v>0.34897</v>
      </c>
      <c r="I47" s="495">
        <f>'JKP-3.1c - Rev Rates GRC09'!I47</f>
        <v>0.34897</v>
      </c>
      <c r="J47" s="495">
        <f>'JKP-3.1c - Rev Rates GRC09'!J47</f>
        <v>0.34897</v>
      </c>
      <c r="K47" s="495">
        <f>'JKP-3.1c - Rev Rates GRC09'!K47</f>
        <v>0.34897</v>
      </c>
      <c r="L47" s="495">
        <f>'JKP-3.1c - Rev Rates GRC09'!L47</f>
        <v>0.34897</v>
      </c>
      <c r="M47" s="495">
        <f>'JKP-3.1c - Rev Rates GRC09'!M47</f>
        <v>0.34897</v>
      </c>
      <c r="N47" s="495">
        <f>'JKP-3.1c - Rev Rates GRC09'!N47</f>
        <v>0.34897</v>
      </c>
      <c r="O47" s="495">
        <f>'JKP-3.1c - Rev Rates GRC09'!O47</f>
        <v>0.34897</v>
      </c>
      <c r="P47" s="495">
        <f>'JKP-3.1c - Rev Rates GRC09'!P47</f>
        <v>0.34897</v>
      </c>
      <c r="Q47" s="495">
        <f>'JKP-3.1c - Rev Rates GRC09'!Q47</f>
        <v>0.34897</v>
      </c>
      <c r="R47" s="394"/>
    </row>
    <row r="48" spans="1:20" s="336" customFormat="1" x14ac:dyDescent="0.2">
      <c r="B48" s="415" t="s">
        <v>1198</v>
      </c>
      <c r="D48" s="336">
        <v>101</v>
      </c>
      <c r="E48" s="336" t="s">
        <v>957</v>
      </c>
      <c r="F48" s="440">
        <v>4.0064099999999998</v>
      </c>
      <c r="G48" s="440">
        <v>4.0064099999999998</v>
      </c>
      <c r="H48" s="440">
        <v>4.0064099999999998</v>
      </c>
      <c r="I48" s="440">
        <v>4.0064099999999998</v>
      </c>
      <c r="J48" s="440">
        <v>4.0064099999999998</v>
      </c>
      <c r="K48" s="440">
        <v>4.0064099999999998</v>
      </c>
      <c r="L48" s="440">
        <v>4.0064099999999998</v>
      </c>
      <c r="M48" s="440">
        <v>4.0064099999999998</v>
      </c>
      <c r="N48" s="440">
        <v>4.0064099999999998</v>
      </c>
      <c r="O48" s="440">
        <v>4.0064099999999998</v>
      </c>
      <c r="P48" s="440">
        <v>4.0064099999999998</v>
      </c>
      <c r="Q48" s="440">
        <v>4.0064099999999998</v>
      </c>
      <c r="R48" s="441"/>
      <c r="S48" s="335"/>
      <c r="T48" s="415"/>
    </row>
    <row r="49" spans="1:20" x14ac:dyDescent="0.2">
      <c r="B49" s="415"/>
    </row>
    <row r="50" spans="1:20" x14ac:dyDescent="0.2">
      <c r="B50" s="276" t="s">
        <v>982</v>
      </c>
    </row>
    <row r="51" spans="1:20" x14ac:dyDescent="0.2">
      <c r="B51" s="32" t="s">
        <v>67</v>
      </c>
      <c r="E51" s="32" t="s">
        <v>67</v>
      </c>
      <c r="F51" s="397">
        <f>'JKP-3.1c - Data'!C145</f>
        <v>5</v>
      </c>
      <c r="G51" s="397">
        <f>'JKP-3.1c - Data'!D145</f>
        <v>5</v>
      </c>
      <c r="H51" s="397">
        <f>'JKP-3.1c - Data'!E145</f>
        <v>5</v>
      </c>
      <c r="I51" s="397">
        <f>'JKP-3.1c - Data'!F145</f>
        <v>5</v>
      </c>
      <c r="J51" s="397">
        <f>'JKP-3.1c - Data'!G145</f>
        <v>5</v>
      </c>
      <c r="K51" s="397">
        <f>'JKP-3.1c - Data'!H145</f>
        <v>5</v>
      </c>
      <c r="L51" s="397">
        <f>'JKP-3.1c - Data'!I145</f>
        <v>6</v>
      </c>
      <c r="M51" s="397">
        <f>'JKP-3.1c - Data'!J145</f>
        <v>6</v>
      </c>
      <c r="N51" s="397">
        <f>'JKP-3.1c - Data'!K145</f>
        <v>5</v>
      </c>
      <c r="O51" s="397">
        <f>'JKP-3.1c - Data'!L145</f>
        <v>5</v>
      </c>
      <c r="P51" s="397">
        <f>'JKP-3.1c - Data'!M145</f>
        <v>5</v>
      </c>
      <c r="Q51" s="397">
        <f>'JKP-3.1c - Data'!N145</f>
        <v>4</v>
      </c>
      <c r="R51" s="378">
        <f>SUM(F51:Q51)</f>
        <v>61</v>
      </c>
    </row>
    <row r="52" spans="1:20" x14ac:dyDescent="0.2">
      <c r="B52" s="32" t="s">
        <v>76</v>
      </c>
      <c r="E52" s="32" t="s">
        <v>10</v>
      </c>
      <c r="F52" s="397">
        <f>'JKP-3.1c - Rev Actual Rates'!F63</f>
        <v>205</v>
      </c>
      <c r="G52" s="397">
        <f>'JKP-3.1c - Rev Actual Rates'!G63</f>
        <v>216</v>
      </c>
      <c r="H52" s="397">
        <f>'JKP-3.1c - Rev Actual Rates'!H63</f>
        <v>301</v>
      </c>
      <c r="I52" s="397">
        <f>'JKP-3.1c - Rev Actual Rates'!I63</f>
        <v>219</v>
      </c>
      <c r="J52" s="397">
        <f>'JKP-3.1c - Rev Actual Rates'!J63</f>
        <v>145</v>
      </c>
      <c r="K52" s="397">
        <f>'JKP-3.1c - Rev Actual Rates'!K63</f>
        <v>107</v>
      </c>
      <c r="L52" s="397">
        <f>'JKP-3.1c - Rev Actual Rates'!L63</f>
        <v>89</v>
      </c>
      <c r="M52" s="397">
        <f>'JKP-3.1c - Rev Actual Rates'!M63</f>
        <v>86</v>
      </c>
      <c r="N52" s="397">
        <f>'JKP-3.1c - Rev Actual Rates'!N63</f>
        <v>84</v>
      </c>
      <c r="O52" s="397">
        <f>'JKP-3.1c - Rev Actual Rates'!O63</f>
        <v>160</v>
      </c>
      <c r="P52" s="397">
        <f>'JKP-3.1c - Rev Actual Rates'!P63</f>
        <v>222</v>
      </c>
      <c r="Q52" s="397">
        <f>'JKP-3.1c - Rev Actual Rates'!Q63</f>
        <v>280</v>
      </c>
      <c r="R52" s="378">
        <f>SUM(F52:Q52)</f>
        <v>2114</v>
      </c>
    </row>
    <row r="53" spans="1:20" x14ac:dyDescent="0.2">
      <c r="R53" s="277"/>
    </row>
    <row r="54" spans="1:20" x14ac:dyDescent="0.2">
      <c r="B54" s="276" t="s">
        <v>985</v>
      </c>
      <c r="R54" s="277"/>
    </row>
    <row r="55" spans="1:20" x14ac:dyDescent="0.2">
      <c r="A55" s="32" t="s">
        <v>1054</v>
      </c>
      <c r="B55" s="32" t="s">
        <v>1059</v>
      </c>
      <c r="D55" s="32">
        <v>53</v>
      </c>
      <c r="F55" s="364">
        <f t="shared" ref="F55:Q56" si="9">F46*F51</f>
        <v>50</v>
      </c>
      <c r="G55" s="364">
        <f t="shared" si="9"/>
        <v>50</v>
      </c>
      <c r="H55" s="364">
        <f t="shared" si="9"/>
        <v>50</v>
      </c>
      <c r="I55" s="364">
        <f t="shared" si="9"/>
        <v>50</v>
      </c>
      <c r="J55" s="364">
        <f t="shared" si="9"/>
        <v>50</v>
      </c>
      <c r="K55" s="364">
        <f t="shared" si="9"/>
        <v>50</v>
      </c>
      <c r="L55" s="364">
        <f t="shared" si="9"/>
        <v>60</v>
      </c>
      <c r="M55" s="364">
        <f t="shared" si="9"/>
        <v>60</v>
      </c>
      <c r="N55" s="364">
        <f t="shared" si="9"/>
        <v>50</v>
      </c>
      <c r="O55" s="364">
        <f t="shared" si="9"/>
        <v>50</v>
      </c>
      <c r="P55" s="364">
        <f t="shared" si="9"/>
        <v>50</v>
      </c>
      <c r="Q55" s="364">
        <f t="shared" si="9"/>
        <v>40</v>
      </c>
      <c r="R55" s="341">
        <f>SUM(F55:Q55)</f>
        <v>610</v>
      </c>
    </row>
    <row r="56" spans="1:20" x14ac:dyDescent="0.2">
      <c r="A56" s="32" t="s">
        <v>1054</v>
      </c>
      <c r="B56" s="32" t="s">
        <v>1047</v>
      </c>
      <c r="D56" s="32">
        <v>53</v>
      </c>
      <c r="F56" s="364">
        <f t="shared" si="9"/>
        <v>71.538849999999996</v>
      </c>
      <c r="G56" s="364">
        <f t="shared" si="9"/>
        <v>75.377520000000004</v>
      </c>
      <c r="H56" s="364">
        <f t="shared" si="9"/>
        <v>105.03997</v>
      </c>
      <c r="I56" s="364">
        <f t="shared" si="9"/>
        <v>76.424430000000001</v>
      </c>
      <c r="J56" s="364">
        <f t="shared" si="9"/>
        <v>50.600650000000002</v>
      </c>
      <c r="K56" s="364">
        <f t="shared" si="9"/>
        <v>37.339790000000001</v>
      </c>
      <c r="L56" s="364">
        <f t="shared" si="9"/>
        <v>31.058330000000002</v>
      </c>
      <c r="M56" s="364">
        <f t="shared" si="9"/>
        <v>30.011420000000001</v>
      </c>
      <c r="N56" s="364">
        <f t="shared" si="9"/>
        <v>29.313479999999998</v>
      </c>
      <c r="O56" s="364">
        <f t="shared" si="9"/>
        <v>55.8352</v>
      </c>
      <c r="P56" s="364">
        <f t="shared" si="9"/>
        <v>77.471339999999998</v>
      </c>
      <c r="Q56" s="364">
        <f t="shared" si="9"/>
        <v>97.711600000000004</v>
      </c>
      <c r="R56" s="341">
        <f>SUM(F56:Q56)</f>
        <v>737.72257999999999</v>
      </c>
    </row>
    <row r="57" spans="1:20" x14ac:dyDescent="0.2">
      <c r="A57" s="32" t="s">
        <v>1056</v>
      </c>
      <c r="B57" s="32" t="s">
        <v>1061</v>
      </c>
      <c r="D57" s="32">
        <v>101</v>
      </c>
      <c r="F57" s="364">
        <f t="shared" ref="F57:N57" si="10">F48*F52</f>
        <v>821.31404999999995</v>
      </c>
      <c r="G57" s="364">
        <f t="shared" si="10"/>
        <v>865.38455999999996</v>
      </c>
      <c r="H57" s="364">
        <f t="shared" si="10"/>
        <v>1205.92941</v>
      </c>
      <c r="I57" s="364">
        <f t="shared" si="10"/>
        <v>877.40378999999996</v>
      </c>
      <c r="J57" s="364">
        <f t="shared" si="10"/>
        <v>580.92944999999997</v>
      </c>
      <c r="K57" s="364">
        <f t="shared" si="10"/>
        <v>428.68586999999997</v>
      </c>
      <c r="L57" s="364">
        <f t="shared" si="10"/>
        <v>356.57049000000001</v>
      </c>
      <c r="M57" s="364">
        <f t="shared" si="10"/>
        <v>344.55125999999996</v>
      </c>
      <c r="N57" s="364">
        <f t="shared" si="10"/>
        <v>336.53843999999998</v>
      </c>
      <c r="O57" s="364">
        <f>O48*O52</f>
        <v>641.02559999999994</v>
      </c>
      <c r="P57" s="364">
        <f>P48*P52</f>
        <v>889.42301999999995</v>
      </c>
      <c r="Q57" s="364">
        <f>Q48*Q52</f>
        <v>1121.7947999999999</v>
      </c>
      <c r="R57" s="341">
        <f>SUM(F57:Q57)</f>
        <v>8469.5507400000006</v>
      </c>
      <c r="S57" s="438"/>
    </row>
    <row r="58" spans="1:20" x14ac:dyDescent="0.2">
      <c r="B58" s="32" t="s">
        <v>986</v>
      </c>
      <c r="F58" s="365">
        <f t="shared" ref="F58:N58" si="11">F55+F56+F57</f>
        <v>942.85289999999998</v>
      </c>
      <c r="G58" s="365">
        <f t="shared" si="11"/>
        <v>990.76207999999997</v>
      </c>
      <c r="H58" s="365">
        <f t="shared" si="11"/>
        <v>1360.96938</v>
      </c>
      <c r="I58" s="365">
        <f t="shared" si="11"/>
        <v>1003.82822</v>
      </c>
      <c r="J58" s="365">
        <f t="shared" si="11"/>
        <v>681.53009999999995</v>
      </c>
      <c r="K58" s="365">
        <f t="shared" si="11"/>
        <v>516.02566000000002</v>
      </c>
      <c r="L58" s="365">
        <f t="shared" si="11"/>
        <v>447.62882000000002</v>
      </c>
      <c r="M58" s="365">
        <f t="shared" si="11"/>
        <v>434.56267999999994</v>
      </c>
      <c r="N58" s="365">
        <f t="shared" si="11"/>
        <v>415.85191999999995</v>
      </c>
      <c r="O58" s="365">
        <f>O55+O56+O57</f>
        <v>746.86079999999993</v>
      </c>
      <c r="P58" s="365">
        <f>P55+P56+P57</f>
        <v>1016.89436</v>
      </c>
      <c r="Q58" s="365">
        <f>Q55+Q56+Q57</f>
        <v>1259.5064</v>
      </c>
      <c r="R58" s="365">
        <f>R55+R56+R57</f>
        <v>9817.2733200000002</v>
      </c>
      <c r="T58" s="340"/>
    </row>
    <row r="59" spans="1:20" x14ac:dyDescent="0.2">
      <c r="F59" s="417"/>
      <c r="G59" s="417"/>
      <c r="H59" s="417"/>
      <c r="I59" s="417"/>
      <c r="J59" s="417"/>
      <c r="K59" s="417"/>
      <c r="L59" s="417"/>
      <c r="M59" s="417"/>
      <c r="N59" s="417"/>
      <c r="O59" s="417"/>
      <c r="P59" s="417"/>
      <c r="Q59" s="417"/>
      <c r="R59" s="417"/>
      <c r="T59" s="340"/>
    </row>
    <row r="60" spans="1:20" x14ac:dyDescent="0.2">
      <c r="A60" s="32" t="s">
        <v>1058</v>
      </c>
      <c r="B60" s="32" t="s">
        <v>1050</v>
      </c>
      <c r="F60" s="417">
        <f>F48*F52</f>
        <v>821.31404999999995</v>
      </c>
      <c r="G60" s="417">
        <f t="shared" ref="G60:Q60" si="12">G48*G52</f>
        <v>865.38455999999996</v>
      </c>
      <c r="H60" s="417">
        <f t="shared" si="12"/>
        <v>1205.92941</v>
      </c>
      <c r="I60" s="417">
        <f t="shared" si="12"/>
        <v>877.40378999999996</v>
      </c>
      <c r="J60" s="417">
        <f t="shared" si="12"/>
        <v>580.92944999999997</v>
      </c>
      <c r="K60" s="417">
        <f t="shared" si="12"/>
        <v>428.68586999999997</v>
      </c>
      <c r="L60" s="417">
        <f t="shared" si="12"/>
        <v>356.57049000000001</v>
      </c>
      <c r="M60" s="417">
        <f t="shared" si="12"/>
        <v>344.55125999999996</v>
      </c>
      <c r="N60" s="417">
        <f t="shared" si="12"/>
        <v>336.53843999999998</v>
      </c>
      <c r="O60" s="417">
        <f t="shared" si="12"/>
        <v>641.02559999999994</v>
      </c>
      <c r="P60" s="417">
        <f t="shared" si="12"/>
        <v>889.42301999999995</v>
      </c>
      <c r="Q60" s="417">
        <f t="shared" si="12"/>
        <v>1121.7947999999999</v>
      </c>
      <c r="R60" s="417">
        <f>SUM(F60:Q60)</f>
        <v>8469.5507400000006</v>
      </c>
      <c r="T60" s="340"/>
    </row>
    <row r="61" spans="1:20" x14ac:dyDescent="0.2">
      <c r="F61" s="364"/>
      <c r="G61" s="364"/>
      <c r="H61" s="364"/>
      <c r="I61" s="364"/>
      <c r="J61" s="364"/>
      <c r="K61" s="364"/>
      <c r="L61" s="364"/>
      <c r="M61" s="364"/>
      <c r="N61" s="364"/>
      <c r="O61" s="364"/>
      <c r="P61" s="364"/>
      <c r="Q61" s="364"/>
      <c r="R61" s="341"/>
      <c r="T61" s="415"/>
    </row>
    <row r="62" spans="1:20" s="336" customFormat="1" x14ac:dyDescent="0.2">
      <c r="B62" s="182" t="s">
        <v>1062</v>
      </c>
      <c r="S62" s="335"/>
      <c r="T62" s="415"/>
    </row>
    <row r="63" spans="1:20" s="336" customFormat="1" x14ac:dyDescent="0.2">
      <c r="B63" s="182" t="s">
        <v>5</v>
      </c>
      <c r="S63" s="335"/>
      <c r="T63" s="415"/>
    </row>
    <row r="64" spans="1:20" s="336" customFormat="1" x14ac:dyDescent="0.2">
      <c r="B64" s="336" t="s">
        <v>1063</v>
      </c>
      <c r="D64" s="336">
        <v>61</v>
      </c>
      <c r="E64" s="336" t="s">
        <v>1064</v>
      </c>
      <c r="F64" s="442">
        <v>0.1</v>
      </c>
      <c r="G64" s="442">
        <v>0.1</v>
      </c>
      <c r="H64" s="442">
        <v>0.1</v>
      </c>
      <c r="I64" s="442">
        <v>0.1</v>
      </c>
      <c r="J64" s="442">
        <v>0.1</v>
      </c>
      <c r="K64" s="442">
        <v>0.1</v>
      </c>
      <c r="L64" s="442">
        <v>0.1</v>
      </c>
      <c r="M64" s="442">
        <v>0.1</v>
      </c>
      <c r="N64" s="442">
        <v>0.1</v>
      </c>
      <c r="O64" s="442">
        <v>0.1</v>
      </c>
      <c r="P64" s="442">
        <v>0.1</v>
      </c>
      <c r="Q64" s="442">
        <v>0.1</v>
      </c>
      <c r="S64" s="335"/>
      <c r="T64" s="415"/>
    </row>
    <row r="65" spans="1:20" s="336" customFormat="1" x14ac:dyDescent="0.2">
      <c r="S65" s="335"/>
      <c r="T65" s="415"/>
    </row>
    <row r="66" spans="1:20" s="336" customFormat="1" x14ac:dyDescent="0.2">
      <c r="B66" s="182" t="s">
        <v>982</v>
      </c>
      <c r="S66" s="335"/>
      <c r="T66" s="415"/>
    </row>
    <row r="67" spans="1:20" s="336" customFormat="1" x14ac:dyDescent="0.2">
      <c r="B67" s="336" t="s">
        <v>74</v>
      </c>
      <c r="F67" s="421">
        <f>'JKP-3.1c - Data'!C131</f>
        <v>4027</v>
      </c>
      <c r="G67" s="421">
        <f>'JKP-3.1c - Data'!D131</f>
        <v>4027</v>
      </c>
      <c r="H67" s="421">
        <f>'JKP-3.1c - Data'!E131</f>
        <v>4027</v>
      </c>
      <c r="I67" s="421">
        <f>'JKP-3.1c - Data'!F131</f>
        <v>4027</v>
      </c>
      <c r="J67" s="421">
        <f>'JKP-3.1c - Data'!G131</f>
        <v>4027</v>
      </c>
      <c r="K67" s="421">
        <f>'JKP-3.1c - Data'!H131</f>
        <v>4027</v>
      </c>
      <c r="L67" s="421">
        <f>'JKP-3.1c - Data'!I131</f>
        <v>4027</v>
      </c>
      <c r="M67" s="421">
        <f>'JKP-3.1c - Data'!J131</f>
        <v>4027</v>
      </c>
      <c r="N67" s="421">
        <f>'JKP-3.1c - Data'!K131</f>
        <v>4027</v>
      </c>
      <c r="O67" s="421">
        <f>'JKP-3.1c - Data'!L131</f>
        <v>4027</v>
      </c>
      <c r="P67" s="421">
        <f>'JKP-3.1c - Data'!M131</f>
        <v>4027</v>
      </c>
      <c r="Q67" s="421">
        <f>'JKP-3.1c - Data'!N131</f>
        <v>4027</v>
      </c>
      <c r="R67" s="362">
        <f>SUM(F67:Q67)</f>
        <v>48324</v>
      </c>
      <c r="S67" s="335"/>
      <c r="T67" s="415"/>
    </row>
    <row r="68" spans="1:20" s="336" customFormat="1" x14ac:dyDescent="0.2">
      <c r="S68" s="335"/>
      <c r="T68" s="415"/>
    </row>
    <row r="69" spans="1:20" s="336" customFormat="1" x14ac:dyDescent="0.2">
      <c r="B69" s="182" t="s">
        <v>985</v>
      </c>
      <c r="S69" s="335"/>
      <c r="T69" s="415"/>
    </row>
    <row r="70" spans="1:20" s="336" customFormat="1" x14ac:dyDescent="0.2">
      <c r="A70" s="336" t="s">
        <v>1054</v>
      </c>
      <c r="B70" s="336" t="s">
        <v>1063</v>
      </c>
      <c r="F70" s="418">
        <f t="shared" ref="F70:N70" si="13">F64*F67</f>
        <v>402.70000000000005</v>
      </c>
      <c r="G70" s="418">
        <f t="shared" si="13"/>
        <v>402.70000000000005</v>
      </c>
      <c r="H70" s="418">
        <f t="shared" si="13"/>
        <v>402.70000000000005</v>
      </c>
      <c r="I70" s="418">
        <f t="shared" si="13"/>
        <v>402.70000000000005</v>
      </c>
      <c r="J70" s="418">
        <f t="shared" si="13"/>
        <v>402.70000000000005</v>
      </c>
      <c r="K70" s="418">
        <f t="shared" si="13"/>
        <v>402.70000000000005</v>
      </c>
      <c r="L70" s="418">
        <f t="shared" si="13"/>
        <v>402.70000000000005</v>
      </c>
      <c r="M70" s="418">
        <f t="shared" si="13"/>
        <v>402.70000000000005</v>
      </c>
      <c r="N70" s="418">
        <f t="shared" si="13"/>
        <v>402.70000000000005</v>
      </c>
      <c r="O70" s="418">
        <f>O64*O67</f>
        <v>402.70000000000005</v>
      </c>
      <c r="P70" s="418">
        <f>P64*P67</f>
        <v>402.70000000000005</v>
      </c>
      <c r="Q70" s="418">
        <f>Q64*Q67</f>
        <v>402.70000000000005</v>
      </c>
      <c r="R70" s="418">
        <f>SUM(F70:Q70)</f>
        <v>4832.3999999999996</v>
      </c>
      <c r="S70" s="335"/>
      <c r="T70" s="415"/>
    </row>
    <row r="71" spans="1:20" x14ac:dyDescent="0.2">
      <c r="C71" s="336"/>
      <c r="D71" s="336"/>
      <c r="E71" s="336"/>
      <c r="F71" s="340"/>
      <c r="G71" s="340"/>
      <c r="H71" s="340"/>
      <c r="I71" s="340"/>
      <c r="J71" s="340"/>
      <c r="K71" s="340"/>
      <c r="L71" s="340"/>
      <c r="M71" s="340"/>
      <c r="N71" s="340"/>
      <c r="O71" s="340"/>
      <c r="P71" s="340"/>
      <c r="Q71" s="340"/>
      <c r="R71" s="340"/>
    </row>
    <row r="72" spans="1:20" x14ac:dyDescent="0.2">
      <c r="B72" s="276" t="s">
        <v>967</v>
      </c>
      <c r="C72" s="276"/>
    </row>
    <row r="73" spans="1:20" x14ac:dyDescent="0.2">
      <c r="B73" s="276" t="s">
        <v>5</v>
      </c>
      <c r="C73" s="276"/>
    </row>
    <row r="74" spans="1:20" x14ac:dyDescent="0.2">
      <c r="B74" s="32" t="s">
        <v>1059</v>
      </c>
      <c r="D74" s="32">
        <v>31</v>
      </c>
      <c r="E74" s="32" t="s">
        <v>976</v>
      </c>
      <c r="F74" s="500">
        <f>'JKP-3.1c - Rev Rates GRC09'!F74</f>
        <v>30.8</v>
      </c>
      <c r="G74" s="500">
        <f>'JKP-3.1c - Rev Rates GRC09'!G74</f>
        <v>30.8</v>
      </c>
      <c r="H74" s="500">
        <f>'JKP-3.1c - Rev Rates GRC09'!H74</f>
        <v>30.8</v>
      </c>
      <c r="I74" s="500">
        <f>'JKP-3.1c - Rev Rates GRC09'!I74</f>
        <v>30.8</v>
      </c>
      <c r="J74" s="500">
        <f>'JKP-3.1c - Rev Rates GRC09'!J74</f>
        <v>30.8</v>
      </c>
      <c r="K74" s="500">
        <f>'JKP-3.1c - Rev Rates GRC09'!K74</f>
        <v>30.8</v>
      </c>
      <c r="L74" s="500">
        <f>'JKP-3.1c - Rev Rates GRC09'!L74</f>
        <v>30.8</v>
      </c>
      <c r="M74" s="500">
        <f>'JKP-3.1c - Rev Rates GRC09'!M74</f>
        <v>30.8</v>
      </c>
      <c r="N74" s="500">
        <f>'JKP-3.1c - Rev Rates GRC09'!N74</f>
        <v>30.8</v>
      </c>
      <c r="O74" s="500">
        <f>'JKP-3.1c - Rev Rates GRC09'!O74</f>
        <v>30.8</v>
      </c>
      <c r="P74" s="500">
        <f>'JKP-3.1c - Rev Rates GRC09'!P74</f>
        <v>30.8</v>
      </c>
      <c r="Q74" s="500">
        <f>'JKP-3.1c - Rev Rates GRC09'!Q74</f>
        <v>30.8</v>
      </c>
      <c r="R74" s="439"/>
    </row>
    <row r="75" spans="1:20" x14ac:dyDescent="0.2">
      <c r="B75" s="32" t="s">
        <v>1047</v>
      </c>
      <c r="D75" s="32">
        <v>31</v>
      </c>
      <c r="E75" s="32" t="s">
        <v>957</v>
      </c>
      <c r="F75" s="495">
        <f>'JKP-3.1c - Rev Rates GRC09'!F75</f>
        <v>0.30047000000000001</v>
      </c>
      <c r="G75" s="495">
        <f>'JKP-3.1c - Rev Rates GRC09'!G75</f>
        <v>0.30047000000000001</v>
      </c>
      <c r="H75" s="495">
        <f>'JKP-3.1c - Rev Rates GRC09'!H75</f>
        <v>0.30047000000000001</v>
      </c>
      <c r="I75" s="495">
        <f>'JKP-3.1c - Rev Rates GRC09'!I75</f>
        <v>0.30047000000000001</v>
      </c>
      <c r="J75" s="495">
        <f>'JKP-3.1c - Rev Rates GRC09'!J75</f>
        <v>0.30047000000000001</v>
      </c>
      <c r="K75" s="495">
        <f>'JKP-3.1c - Rev Rates GRC09'!K75</f>
        <v>0.30047000000000001</v>
      </c>
      <c r="L75" s="495">
        <f>'JKP-3.1c - Rev Rates GRC09'!L75</f>
        <v>0.30047000000000001</v>
      </c>
      <c r="M75" s="495">
        <f>'JKP-3.1c - Rev Rates GRC09'!M75</f>
        <v>0.30047000000000001</v>
      </c>
      <c r="N75" s="495">
        <f>'JKP-3.1c - Rev Rates GRC09'!N75</f>
        <v>0.30047000000000001</v>
      </c>
      <c r="O75" s="495">
        <f>'JKP-3.1c - Rev Rates GRC09'!O75</f>
        <v>0.30047000000000001</v>
      </c>
      <c r="P75" s="495">
        <f>'JKP-3.1c - Rev Rates GRC09'!P75</f>
        <v>0.30047000000000001</v>
      </c>
      <c r="Q75" s="495">
        <f>'JKP-3.1c - Rev Rates GRC09'!Q75</f>
        <v>0.30047000000000001</v>
      </c>
      <c r="R75" s="394"/>
    </row>
    <row r="76" spans="1:20" x14ac:dyDescent="0.2">
      <c r="A76" s="336"/>
      <c r="B76" s="415" t="s">
        <v>1067</v>
      </c>
      <c r="D76" s="32">
        <v>101</v>
      </c>
      <c r="E76" s="32" t="s">
        <v>957</v>
      </c>
      <c r="F76" s="395">
        <v>0.71392999999999995</v>
      </c>
      <c r="G76" s="395">
        <v>0.71392999999999995</v>
      </c>
      <c r="H76" s="395">
        <v>0.71392999999999995</v>
      </c>
      <c r="I76" s="395">
        <v>0.71392999999999995</v>
      </c>
      <c r="J76" s="395">
        <v>0.71392999999999995</v>
      </c>
      <c r="K76" s="395">
        <v>0.71392999999999995</v>
      </c>
      <c r="L76" s="395">
        <v>0.71392999999999995</v>
      </c>
      <c r="M76" s="395">
        <v>0.71392999999999995</v>
      </c>
      <c r="N76" s="395">
        <v>0.71392999999999995</v>
      </c>
      <c r="O76" s="395">
        <v>0.71392999999999995</v>
      </c>
      <c r="P76" s="395">
        <v>0.71392999999999995</v>
      </c>
      <c r="Q76" s="395">
        <v>0.71392999999999995</v>
      </c>
      <c r="R76" s="394"/>
    </row>
    <row r="77" spans="1:20" x14ac:dyDescent="0.2">
      <c r="A77" s="336"/>
      <c r="B77" s="415" t="s">
        <v>1197</v>
      </c>
      <c r="F77" s="395">
        <v>0.68306</v>
      </c>
      <c r="G77" s="395">
        <v>0.68306</v>
      </c>
      <c r="H77" s="395">
        <v>0.68306</v>
      </c>
      <c r="I77" s="395">
        <v>0.68306</v>
      </c>
      <c r="J77" s="395">
        <v>0.68306</v>
      </c>
      <c r="K77" s="395">
        <v>0.68306</v>
      </c>
      <c r="L77" s="395">
        <v>0.68306</v>
      </c>
      <c r="M77" s="395">
        <v>0.68306</v>
      </c>
      <c r="N77" s="395">
        <v>0.68306</v>
      </c>
      <c r="O77" s="395">
        <v>0.68306</v>
      </c>
      <c r="P77" s="395">
        <v>0.68306</v>
      </c>
      <c r="Q77" s="395">
        <v>0.68306</v>
      </c>
      <c r="R77" s="394"/>
    </row>
    <row r="78" spans="1:20" s="336" customFormat="1" x14ac:dyDescent="0.2">
      <c r="S78" s="335"/>
      <c r="T78" s="415"/>
    </row>
    <row r="79" spans="1:20" x14ac:dyDescent="0.2">
      <c r="B79" s="276" t="s">
        <v>982</v>
      </c>
    </row>
    <row r="80" spans="1:20" x14ac:dyDescent="0.2">
      <c r="B80" s="32" t="s">
        <v>67</v>
      </c>
      <c r="E80" s="32" t="s">
        <v>67</v>
      </c>
      <c r="F80" s="397">
        <f>'JKP-3.1c - Data'!C139</f>
        <v>52658</v>
      </c>
      <c r="G80" s="397">
        <f>'JKP-3.1c - Data'!D139</f>
        <v>52610</v>
      </c>
      <c r="H80" s="397">
        <f>'JKP-3.1c - Data'!E139</f>
        <v>52574</v>
      </c>
      <c r="I80" s="397">
        <f>'JKP-3.1c - Data'!F139</f>
        <v>52525</v>
      </c>
      <c r="J80" s="397">
        <f>'JKP-3.1c - Data'!G139</f>
        <v>52396</v>
      </c>
      <c r="K80" s="397">
        <f>'JKP-3.1c - Data'!H139</f>
        <v>52307</v>
      </c>
      <c r="L80" s="397">
        <f>'JKP-3.1c - Data'!I139</f>
        <v>52272</v>
      </c>
      <c r="M80" s="397">
        <f>'JKP-3.1c - Data'!J139</f>
        <v>52234</v>
      </c>
      <c r="N80" s="397">
        <f>'JKP-3.1c - Data'!K139</f>
        <v>52221</v>
      </c>
      <c r="O80" s="397">
        <f>'JKP-3.1c - Data'!L139</f>
        <v>52328</v>
      </c>
      <c r="P80" s="397">
        <f>'JKP-3.1c - Data'!M139</f>
        <v>52300</v>
      </c>
      <c r="Q80" s="397">
        <f>'JKP-3.1c - Data'!N139</f>
        <v>52414</v>
      </c>
      <c r="R80" s="378">
        <f>SUM(F80:Q80)</f>
        <v>628839</v>
      </c>
    </row>
    <row r="81" spans="1:20" x14ac:dyDescent="0.2">
      <c r="B81" s="32" t="s">
        <v>76</v>
      </c>
      <c r="E81" s="32" t="s">
        <v>10</v>
      </c>
      <c r="F81" s="397">
        <f>'JKP-3.1c - Rev Actual Rates'!F92</f>
        <v>22530052</v>
      </c>
      <c r="G81" s="397">
        <f>'JKP-3.1c - Rev Actual Rates'!G92</f>
        <v>18400356</v>
      </c>
      <c r="H81" s="397">
        <f>'JKP-3.1c - Rev Actual Rates'!H92</f>
        <v>18722609</v>
      </c>
      <c r="I81" s="397">
        <f>'JKP-3.1c - Rev Actual Rates'!I92</f>
        <v>15159542</v>
      </c>
      <c r="J81" s="397">
        <f>'JKP-3.1c - Rev Actual Rates'!J92</f>
        <v>11739148</v>
      </c>
      <c r="K81" s="397">
        <f>'JKP-3.1c - Rev Actual Rates'!K92</f>
        <v>8759117</v>
      </c>
      <c r="L81" s="397">
        <f>'JKP-3.1c - Rev Actual Rates'!L92</f>
        <v>7017499</v>
      </c>
      <c r="M81" s="397">
        <f>'JKP-3.1c - Rev Actual Rates'!M92</f>
        <v>6870079</v>
      </c>
      <c r="N81" s="397">
        <f>'JKP-3.1c - Rev Actual Rates'!N92</f>
        <v>7730919</v>
      </c>
      <c r="O81" s="397">
        <f>'JKP-3.1c - Rev Actual Rates'!O92</f>
        <v>12369351</v>
      </c>
      <c r="P81" s="397">
        <f>'JKP-3.1c - Rev Actual Rates'!P92</f>
        <v>21057029</v>
      </c>
      <c r="Q81" s="397">
        <f>'JKP-3.1c - Rev Actual Rates'!Q92</f>
        <v>26731097</v>
      </c>
      <c r="R81" s="378">
        <f>SUM(F81:Q81)</f>
        <v>177086798</v>
      </c>
    </row>
    <row r="82" spans="1:20" x14ac:dyDescent="0.2">
      <c r="R82" s="277"/>
    </row>
    <row r="83" spans="1:20" x14ac:dyDescent="0.2">
      <c r="B83" s="276" t="s">
        <v>985</v>
      </c>
      <c r="R83" s="277"/>
    </row>
    <row r="84" spans="1:20" x14ac:dyDescent="0.2">
      <c r="A84" s="32" t="s">
        <v>1054</v>
      </c>
      <c r="B84" s="32" t="s">
        <v>1059</v>
      </c>
      <c r="D84" s="32">
        <v>31</v>
      </c>
      <c r="F84" s="364">
        <f t="shared" ref="F84:Q85" si="14">F74*F80</f>
        <v>1621866.4000000001</v>
      </c>
      <c r="G84" s="364">
        <f t="shared" si="14"/>
        <v>1620388</v>
      </c>
      <c r="H84" s="364">
        <f t="shared" si="14"/>
        <v>1619279.2</v>
      </c>
      <c r="I84" s="364">
        <f t="shared" si="14"/>
        <v>1617770</v>
      </c>
      <c r="J84" s="364">
        <f t="shared" si="14"/>
        <v>1613796.8</v>
      </c>
      <c r="K84" s="364">
        <f t="shared" si="14"/>
        <v>1611055.6</v>
      </c>
      <c r="L84" s="364">
        <f t="shared" si="14"/>
        <v>1609977.6</v>
      </c>
      <c r="M84" s="364">
        <f t="shared" si="14"/>
        <v>1608807.2</v>
      </c>
      <c r="N84" s="364">
        <f t="shared" si="14"/>
        <v>1608406.8</v>
      </c>
      <c r="O84" s="364">
        <f t="shared" si="14"/>
        <v>1611702.4000000001</v>
      </c>
      <c r="P84" s="364">
        <f t="shared" si="14"/>
        <v>1610840</v>
      </c>
      <c r="Q84" s="364">
        <f t="shared" si="14"/>
        <v>1614351.2</v>
      </c>
      <c r="R84" s="341">
        <f>SUM(F84:Q84)</f>
        <v>19368241.199999999</v>
      </c>
    </row>
    <row r="85" spans="1:20" x14ac:dyDescent="0.2">
      <c r="A85" s="32" t="s">
        <v>1054</v>
      </c>
      <c r="B85" s="32" t="s">
        <v>1047</v>
      </c>
      <c r="D85" s="32">
        <v>31</v>
      </c>
      <c r="F85" s="364">
        <f t="shared" si="14"/>
        <v>6769604.72444</v>
      </c>
      <c r="G85" s="364">
        <f t="shared" si="14"/>
        <v>5528754.9673199998</v>
      </c>
      <c r="H85" s="364">
        <f t="shared" si="14"/>
        <v>5625582.3262300007</v>
      </c>
      <c r="I85" s="364">
        <f t="shared" si="14"/>
        <v>4554987.5847399998</v>
      </c>
      <c r="J85" s="364">
        <f t="shared" si="14"/>
        <v>3527261.7995600002</v>
      </c>
      <c r="K85" s="364">
        <f t="shared" si="14"/>
        <v>2631851.8849900002</v>
      </c>
      <c r="L85" s="364">
        <f t="shared" si="14"/>
        <v>2108547.92453</v>
      </c>
      <c r="M85" s="364">
        <f t="shared" si="14"/>
        <v>2064252.6371300002</v>
      </c>
      <c r="N85" s="364">
        <f t="shared" si="14"/>
        <v>2322909.2319300002</v>
      </c>
      <c r="O85" s="364">
        <f t="shared" si="14"/>
        <v>3716618.8949700003</v>
      </c>
      <c r="P85" s="364">
        <f t="shared" si="14"/>
        <v>6327005.5036300002</v>
      </c>
      <c r="Q85" s="364">
        <f t="shared" si="14"/>
        <v>8031892.7155900002</v>
      </c>
      <c r="R85" s="341">
        <f>SUM(F85:Q85)</f>
        <v>53209270.195059992</v>
      </c>
    </row>
    <row r="86" spans="1:20" x14ac:dyDescent="0.2">
      <c r="A86" s="336" t="s">
        <v>1056</v>
      </c>
      <c r="B86" s="415" t="s">
        <v>1057</v>
      </c>
      <c r="D86" s="32">
        <v>101</v>
      </c>
      <c r="F86" s="364">
        <f t="shared" ref="F86:N86" si="15">F76*F81</f>
        <v>16084880.024359999</v>
      </c>
      <c r="G86" s="364">
        <f t="shared" si="15"/>
        <v>13136566.159079999</v>
      </c>
      <c r="H86" s="364">
        <f t="shared" si="15"/>
        <v>13366632.243369998</v>
      </c>
      <c r="I86" s="364">
        <f t="shared" si="15"/>
        <v>10822851.82006</v>
      </c>
      <c r="J86" s="364">
        <f t="shared" si="15"/>
        <v>8380929.9316399992</v>
      </c>
      <c r="K86" s="364">
        <f t="shared" si="15"/>
        <v>6253396.3998099994</v>
      </c>
      <c r="L86" s="364">
        <f t="shared" si="15"/>
        <v>5010003.0610699998</v>
      </c>
      <c r="M86" s="364">
        <f t="shared" si="15"/>
        <v>4904755.5004699994</v>
      </c>
      <c r="N86" s="364">
        <f t="shared" si="15"/>
        <v>5519335.0016699992</v>
      </c>
      <c r="O86" s="364">
        <f>O76*O81</f>
        <v>8830850.7594299987</v>
      </c>
      <c r="P86" s="364">
        <f>P76*P81</f>
        <v>15033244.71397</v>
      </c>
      <c r="Q86" s="364">
        <f>Q76*Q81</f>
        <v>19084132.081209999</v>
      </c>
      <c r="R86" s="364">
        <f>SUM(F86:Q86)</f>
        <v>126427577.69614001</v>
      </c>
    </row>
    <row r="87" spans="1:20" x14ac:dyDescent="0.2">
      <c r="B87" s="32" t="s">
        <v>986</v>
      </c>
      <c r="F87" s="365">
        <f t="shared" ref="F87:N87" si="16">F84+F85+F86</f>
        <v>24476351.148800001</v>
      </c>
      <c r="G87" s="365">
        <f t="shared" si="16"/>
        <v>20285709.126399998</v>
      </c>
      <c r="H87" s="365">
        <f t="shared" si="16"/>
        <v>20611493.7696</v>
      </c>
      <c r="I87" s="365">
        <f t="shared" si="16"/>
        <v>16995609.404799998</v>
      </c>
      <c r="J87" s="365">
        <f t="shared" si="16"/>
        <v>13521988.531199999</v>
      </c>
      <c r="K87" s="365">
        <f t="shared" si="16"/>
        <v>10496303.8848</v>
      </c>
      <c r="L87" s="365">
        <f t="shared" si="16"/>
        <v>8728528.5855999999</v>
      </c>
      <c r="M87" s="365">
        <f t="shared" si="16"/>
        <v>8577815.3376000002</v>
      </c>
      <c r="N87" s="365">
        <f t="shared" si="16"/>
        <v>9450651.0335999988</v>
      </c>
      <c r="O87" s="365">
        <f>O84+O85+O86</f>
        <v>14159172.054399999</v>
      </c>
      <c r="P87" s="365">
        <f>P84+P85+P86</f>
        <v>22971090.217599999</v>
      </c>
      <c r="Q87" s="365">
        <f>Q84+Q85+Q86</f>
        <v>28730375.996799998</v>
      </c>
      <c r="R87" s="365">
        <f>R84+R85+R86</f>
        <v>199005089.09119999</v>
      </c>
      <c r="T87" s="340"/>
    </row>
    <row r="88" spans="1:20" x14ac:dyDescent="0.2">
      <c r="F88" s="417"/>
      <c r="G88" s="417"/>
      <c r="H88" s="417"/>
      <c r="I88" s="417"/>
      <c r="J88" s="417"/>
      <c r="K88" s="417"/>
      <c r="L88" s="417"/>
      <c r="M88" s="417"/>
      <c r="N88" s="417"/>
      <c r="O88" s="417"/>
      <c r="P88" s="417"/>
      <c r="Q88" s="417"/>
      <c r="R88" s="417"/>
      <c r="T88" s="340"/>
    </row>
    <row r="89" spans="1:20" x14ac:dyDescent="0.2">
      <c r="A89" s="32" t="s">
        <v>1058</v>
      </c>
      <c r="B89" s="32" t="s">
        <v>1050</v>
      </c>
      <c r="F89" s="417">
        <f>F77*F81</f>
        <v>15389377.319119999</v>
      </c>
      <c r="G89" s="417">
        <f t="shared" ref="G89:Q89" si="17">G77*G81</f>
        <v>12568547.169360001</v>
      </c>
      <c r="H89" s="417">
        <f t="shared" si="17"/>
        <v>12788665.303540001</v>
      </c>
      <c r="I89" s="417">
        <f t="shared" si="17"/>
        <v>10354876.75852</v>
      </c>
      <c r="J89" s="417">
        <f t="shared" si="17"/>
        <v>8018542.4328800002</v>
      </c>
      <c r="K89" s="417">
        <f t="shared" si="17"/>
        <v>5983002.4580199998</v>
      </c>
      <c r="L89" s="417">
        <f t="shared" si="17"/>
        <v>4793372.8669400001</v>
      </c>
      <c r="M89" s="417">
        <f t="shared" si="17"/>
        <v>4692676.1617400004</v>
      </c>
      <c r="N89" s="417">
        <f t="shared" si="17"/>
        <v>5280681.5321399998</v>
      </c>
      <c r="O89" s="417">
        <f t="shared" si="17"/>
        <v>8449008.8940600008</v>
      </c>
      <c r="P89" s="417">
        <f t="shared" si="17"/>
        <v>14383214.228739999</v>
      </c>
      <c r="Q89" s="417">
        <f t="shared" si="17"/>
        <v>18258943.11682</v>
      </c>
      <c r="R89" s="417">
        <f>SUM(F89:Q89)</f>
        <v>120960908.24188003</v>
      </c>
      <c r="T89" s="340"/>
    </row>
    <row r="90" spans="1:20" x14ac:dyDescent="0.2">
      <c r="F90" s="364"/>
      <c r="G90" s="364"/>
      <c r="H90" s="364"/>
      <c r="I90" s="364"/>
      <c r="J90" s="364"/>
      <c r="K90" s="364"/>
      <c r="L90" s="364"/>
      <c r="M90" s="364"/>
      <c r="N90" s="364"/>
      <c r="O90" s="364"/>
      <c r="P90" s="364"/>
      <c r="Q90" s="364"/>
      <c r="R90" s="341"/>
      <c r="T90" s="415"/>
    </row>
    <row r="91" spans="1:20" x14ac:dyDescent="0.2">
      <c r="B91" s="276" t="s">
        <v>968</v>
      </c>
      <c r="C91" s="276"/>
    </row>
    <row r="92" spans="1:20" x14ac:dyDescent="0.2">
      <c r="B92" s="276" t="s">
        <v>5</v>
      </c>
      <c r="C92" s="276"/>
    </row>
    <row r="93" spans="1:20" x14ac:dyDescent="0.2">
      <c r="B93" s="32" t="s">
        <v>1059</v>
      </c>
      <c r="D93" s="32">
        <v>41</v>
      </c>
      <c r="E93" s="32" t="s">
        <v>976</v>
      </c>
      <c r="F93" s="500">
        <f>'JKP-3.1c - Rev Rates GRC09'!F93</f>
        <v>107.51</v>
      </c>
      <c r="G93" s="500">
        <f>'JKP-3.1c - Rev Rates GRC09'!G93</f>
        <v>107.51</v>
      </c>
      <c r="H93" s="500">
        <f>'JKP-3.1c - Rev Rates GRC09'!H93</f>
        <v>107.51</v>
      </c>
      <c r="I93" s="500">
        <f>'JKP-3.1c - Rev Rates GRC09'!I93</f>
        <v>107.51</v>
      </c>
      <c r="J93" s="500">
        <f>'JKP-3.1c - Rev Rates GRC09'!J93</f>
        <v>107.51</v>
      </c>
      <c r="K93" s="500">
        <f>'JKP-3.1c - Rev Rates GRC09'!K93</f>
        <v>107.51</v>
      </c>
      <c r="L93" s="500">
        <f>'JKP-3.1c - Rev Rates GRC09'!L93</f>
        <v>107.51</v>
      </c>
      <c r="M93" s="500">
        <f>'JKP-3.1c - Rev Rates GRC09'!M93</f>
        <v>107.51</v>
      </c>
      <c r="N93" s="500">
        <f>'JKP-3.1c - Rev Rates GRC09'!N93</f>
        <v>107.51</v>
      </c>
      <c r="O93" s="500">
        <f>'JKP-3.1c - Rev Rates GRC09'!O93</f>
        <v>107.51</v>
      </c>
      <c r="P93" s="500">
        <f>'JKP-3.1c - Rev Rates GRC09'!P93</f>
        <v>107.51</v>
      </c>
      <c r="Q93" s="500">
        <f>'JKP-3.1c - Rev Rates GRC09'!Q93</f>
        <v>107.51</v>
      </c>
      <c r="R93" s="439"/>
    </row>
    <row r="94" spans="1:20" x14ac:dyDescent="0.2">
      <c r="B94" s="32" t="s">
        <v>1047</v>
      </c>
      <c r="F94" s="495"/>
      <c r="G94" s="495"/>
      <c r="H94" s="495"/>
      <c r="I94" s="495"/>
      <c r="J94" s="495"/>
      <c r="K94" s="495"/>
      <c r="L94" s="495"/>
      <c r="M94" s="495"/>
      <c r="N94" s="495"/>
      <c r="O94" s="495"/>
      <c r="P94" s="495"/>
      <c r="Q94" s="495"/>
      <c r="R94" s="394"/>
    </row>
    <row r="95" spans="1:20" x14ac:dyDescent="0.2">
      <c r="C95" s="32" t="s">
        <v>1065</v>
      </c>
      <c r="D95" s="32">
        <v>41</v>
      </c>
      <c r="E95" s="32" t="s">
        <v>957</v>
      </c>
      <c r="F95" s="495">
        <f>'JKP-3.1c - Rev Rates GRC09'!F95</f>
        <v>0.13789000000000001</v>
      </c>
      <c r="G95" s="495">
        <f>'JKP-3.1c - Rev Rates GRC09'!G95</f>
        <v>0.13789000000000001</v>
      </c>
      <c r="H95" s="495">
        <f>'JKP-3.1c - Rev Rates GRC09'!H95</f>
        <v>0.13789000000000001</v>
      </c>
      <c r="I95" s="495">
        <f>'JKP-3.1c - Rev Rates GRC09'!I95</f>
        <v>0.13789000000000001</v>
      </c>
      <c r="J95" s="495">
        <f>'JKP-3.1c - Rev Rates GRC09'!J95</f>
        <v>0.13789000000000001</v>
      </c>
      <c r="K95" s="495">
        <f>'JKP-3.1c - Rev Rates GRC09'!K95</f>
        <v>0.13789000000000001</v>
      </c>
      <c r="L95" s="495">
        <f>'JKP-3.1c - Rev Rates GRC09'!L95</f>
        <v>0.13789000000000001</v>
      </c>
      <c r="M95" s="495">
        <f>'JKP-3.1c - Rev Rates GRC09'!M95</f>
        <v>0.13789000000000001</v>
      </c>
      <c r="N95" s="495">
        <f>'JKP-3.1c - Rev Rates GRC09'!N95</f>
        <v>0.13789000000000001</v>
      </c>
      <c r="O95" s="495">
        <f>'JKP-3.1c - Rev Rates GRC09'!O95</f>
        <v>0.13789000000000001</v>
      </c>
      <c r="P95" s="495">
        <f>'JKP-3.1c - Rev Rates GRC09'!P95</f>
        <v>0.13789000000000001</v>
      </c>
      <c r="Q95" s="495">
        <f>'JKP-3.1c - Rev Rates GRC09'!Q95</f>
        <v>0.13789000000000001</v>
      </c>
      <c r="R95" s="394"/>
    </row>
    <row r="96" spans="1:20" x14ac:dyDescent="0.2">
      <c r="C96" s="32" t="s">
        <v>1066</v>
      </c>
      <c r="D96" s="32">
        <v>41</v>
      </c>
      <c r="E96" s="32" t="s">
        <v>957</v>
      </c>
      <c r="F96" s="495">
        <f>'JKP-3.1c - Rev Rates GRC09'!F96</f>
        <v>0.11253000000000001</v>
      </c>
      <c r="G96" s="495">
        <f>'JKP-3.1c - Rev Rates GRC09'!G96</f>
        <v>0.11253000000000001</v>
      </c>
      <c r="H96" s="495">
        <f>'JKP-3.1c - Rev Rates GRC09'!H96</f>
        <v>0.11253000000000001</v>
      </c>
      <c r="I96" s="495">
        <f>'JKP-3.1c - Rev Rates GRC09'!I96</f>
        <v>0.11253000000000001</v>
      </c>
      <c r="J96" s="495">
        <f>'JKP-3.1c - Rev Rates GRC09'!J96</f>
        <v>0.11253000000000001</v>
      </c>
      <c r="K96" s="495">
        <f>'JKP-3.1c - Rev Rates GRC09'!K96</f>
        <v>0.11253000000000001</v>
      </c>
      <c r="L96" s="495">
        <f>'JKP-3.1c - Rev Rates GRC09'!L96</f>
        <v>0.11253000000000001</v>
      </c>
      <c r="M96" s="495">
        <f>'JKP-3.1c - Rev Rates GRC09'!M96</f>
        <v>0.11253000000000001</v>
      </c>
      <c r="N96" s="495">
        <f>'JKP-3.1c - Rev Rates GRC09'!N96</f>
        <v>0.11253000000000001</v>
      </c>
      <c r="O96" s="495">
        <f>'JKP-3.1c - Rev Rates GRC09'!O96</f>
        <v>0.11253000000000001</v>
      </c>
      <c r="P96" s="495">
        <f>'JKP-3.1c - Rev Rates GRC09'!P96</f>
        <v>0.11253000000000001</v>
      </c>
      <c r="Q96" s="495">
        <f>'JKP-3.1c - Rev Rates GRC09'!Q96</f>
        <v>0.11253000000000001</v>
      </c>
      <c r="R96" s="394"/>
    </row>
    <row r="97" spans="1:20" x14ac:dyDescent="0.2">
      <c r="A97" s="336"/>
      <c r="B97" s="415" t="s">
        <v>1067</v>
      </c>
      <c r="D97" s="32">
        <v>101</v>
      </c>
      <c r="E97" s="32" t="s">
        <v>957</v>
      </c>
      <c r="F97" s="395">
        <v>0.62878000000000001</v>
      </c>
      <c r="G97" s="395">
        <v>0.62878000000000001</v>
      </c>
      <c r="H97" s="395">
        <v>0.62878000000000001</v>
      </c>
      <c r="I97" s="395">
        <v>0.62878000000000001</v>
      </c>
      <c r="J97" s="395">
        <v>0.62878000000000001</v>
      </c>
      <c r="K97" s="395">
        <v>0.62878000000000001</v>
      </c>
      <c r="L97" s="395">
        <v>0.62878000000000001</v>
      </c>
      <c r="M97" s="395">
        <v>0.62878000000000001</v>
      </c>
      <c r="N97" s="395">
        <v>0.62878000000000001</v>
      </c>
      <c r="O97" s="395">
        <v>0.62878000000000001</v>
      </c>
      <c r="P97" s="395">
        <v>0.62878000000000001</v>
      </c>
      <c r="Q97" s="395">
        <v>0.62878000000000001</v>
      </c>
      <c r="R97" s="394"/>
    </row>
    <row r="98" spans="1:20" x14ac:dyDescent="0.2">
      <c r="B98" s="32" t="s">
        <v>1068</v>
      </c>
      <c r="F98" s="394"/>
      <c r="G98" s="394"/>
      <c r="H98" s="394"/>
      <c r="I98" s="394"/>
      <c r="J98" s="394"/>
      <c r="K98" s="394"/>
      <c r="L98" s="394"/>
      <c r="M98" s="394"/>
      <c r="N98" s="394"/>
      <c r="O98" s="394"/>
      <c r="P98" s="394"/>
      <c r="Q98" s="394"/>
      <c r="R98" s="394"/>
    </row>
    <row r="99" spans="1:20" x14ac:dyDescent="0.2">
      <c r="A99" s="336"/>
      <c r="C99" s="32" t="s">
        <v>1069</v>
      </c>
      <c r="D99" s="32">
        <v>41</v>
      </c>
      <c r="E99" s="32" t="s">
        <v>957</v>
      </c>
      <c r="F99" s="500">
        <f>'JKP-3.1c - Rev Rates GRC09'!F99</f>
        <v>1.1100000000000001</v>
      </c>
      <c r="G99" s="500">
        <f>'JKP-3.1c - Rev Rates GRC09'!G99</f>
        <v>1.1100000000000001</v>
      </c>
      <c r="H99" s="500">
        <f>'JKP-3.1c - Rev Rates GRC09'!H99</f>
        <v>1.1100000000000001</v>
      </c>
      <c r="I99" s="500">
        <f>'JKP-3.1c - Rev Rates GRC09'!I99</f>
        <v>1.1100000000000001</v>
      </c>
      <c r="J99" s="500">
        <f>'JKP-3.1c - Rev Rates GRC09'!J99</f>
        <v>1.1100000000000001</v>
      </c>
      <c r="K99" s="500">
        <f>'JKP-3.1c - Rev Rates GRC09'!K99</f>
        <v>1.1100000000000001</v>
      </c>
      <c r="L99" s="500">
        <f>'JKP-3.1c - Rev Rates GRC09'!L99</f>
        <v>1.1100000000000001</v>
      </c>
      <c r="M99" s="500">
        <f>'JKP-3.1c - Rev Rates GRC09'!M99</f>
        <v>1.1100000000000001</v>
      </c>
      <c r="N99" s="500">
        <f>'JKP-3.1c - Rev Rates GRC09'!N99</f>
        <v>1.1100000000000001</v>
      </c>
      <c r="O99" s="500">
        <f>'JKP-3.1c - Rev Rates GRC09'!O99</f>
        <v>1.1100000000000001</v>
      </c>
      <c r="P99" s="500">
        <f>'JKP-3.1c - Rev Rates GRC09'!P99</f>
        <v>1.1100000000000001</v>
      </c>
      <c r="Q99" s="500">
        <f>'JKP-3.1c - Rev Rates GRC09'!Q99</f>
        <v>1.1100000000000001</v>
      </c>
      <c r="R99" s="394"/>
    </row>
    <row r="100" spans="1:20" x14ac:dyDescent="0.2">
      <c r="A100" s="336"/>
      <c r="C100" s="32" t="s">
        <v>1070</v>
      </c>
      <c r="D100" s="32">
        <v>101</v>
      </c>
      <c r="E100" s="32" t="s">
        <v>957</v>
      </c>
      <c r="F100" s="414">
        <v>1.05</v>
      </c>
      <c r="G100" s="414">
        <v>1.05</v>
      </c>
      <c r="H100" s="414">
        <v>1.05</v>
      </c>
      <c r="I100" s="414">
        <v>1.05</v>
      </c>
      <c r="J100" s="414">
        <v>1.05</v>
      </c>
      <c r="K100" s="414">
        <v>1.05</v>
      </c>
      <c r="L100" s="414">
        <v>1.05</v>
      </c>
      <c r="M100" s="414">
        <v>1.05</v>
      </c>
      <c r="N100" s="414">
        <v>1.05</v>
      </c>
      <c r="O100" s="414">
        <v>1.05</v>
      </c>
      <c r="P100" s="414">
        <v>1.05</v>
      </c>
      <c r="Q100" s="414">
        <v>1.05</v>
      </c>
      <c r="R100" s="394"/>
    </row>
    <row r="101" spans="1:20" x14ac:dyDescent="0.2">
      <c r="B101" s="32" t="s">
        <v>1071</v>
      </c>
      <c r="D101" s="32">
        <v>41</v>
      </c>
      <c r="E101" s="32" t="s">
        <v>67</v>
      </c>
      <c r="F101" s="500">
        <f>'JKP-3.1c - Rev Rates GRC09'!F101</f>
        <v>124.1</v>
      </c>
      <c r="G101" s="500">
        <f>'JKP-3.1c - Rev Rates GRC09'!G101</f>
        <v>124.1</v>
      </c>
      <c r="H101" s="500">
        <f>'JKP-3.1c - Rev Rates GRC09'!H101</f>
        <v>124.1</v>
      </c>
      <c r="I101" s="500">
        <f>'JKP-3.1c - Rev Rates GRC09'!I101</f>
        <v>124.1</v>
      </c>
      <c r="J101" s="500">
        <f>'JKP-3.1c - Rev Rates GRC09'!J101</f>
        <v>124.1</v>
      </c>
      <c r="K101" s="500">
        <f>'JKP-3.1c - Rev Rates GRC09'!K101</f>
        <v>124.1</v>
      </c>
      <c r="L101" s="500">
        <f>'JKP-3.1c - Rev Rates GRC09'!L101</f>
        <v>124.1</v>
      </c>
      <c r="M101" s="500">
        <f>'JKP-3.1c - Rev Rates GRC09'!M101</f>
        <v>124.1</v>
      </c>
      <c r="N101" s="500">
        <f>'JKP-3.1c - Rev Rates GRC09'!N101</f>
        <v>124.1</v>
      </c>
      <c r="O101" s="500">
        <f>'JKP-3.1c - Rev Rates GRC09'!O101</f>
        <v>124.1</v>
      </c>
      <c r="P101" s="500">
        <f>'JKP-3.1c - Rev Rates GRC09'!P101</f>
        <v>124.1</v>
      </c>
      <c r="Q101" s="500">
        <f>'JKP-3.1c - Rev Rates GRC09'!Q101</f>
        <v>124.1</v>
      </c>
      <c r="R101" s="394"/>
    </row>
    <row r="102" spans="1:20" x14ac:dyDescent="0.2">
      <c r="B102" s="415" t="s">
        <v>1197</v>
      </c>
      <c r="F102" s="395">
        <v>0.60158999999999996</v>
      </c>
      <c r="G102" s="395">
        <v>0.60158999999999996</v>
      </c>
      <c r="H102" s="395">
        <v>0.60158999999999996</v>
      </c>
      <c r="I102" s="395">
        <v>0.60158999999999996</v>
      </c>
      <c r="J102" s="395">
        <v>0.60158999999999996</v>
      </c>
      <c r="K102" s="395">
        <v>0.60158999999999996</v>
      </c>
      <c r="L102" s="395">
        <v>0.60158999999999996</v>
      </c>
      <c r="M102" s="395">
        <v>0.60158999999999996</v>
      </c>
      <c r="N102" s="395">
        <v>0.60158999999999996</v>
      </c>
      <c r="O102" s="395">
        <v>0.60158999999999996</v>
      </c>
      <c r="P102" s="395">
        <v>0.60158999999999996</v>
      </c>
      <c r="Q102" s="395">
        <v>0.60158999999999996</v>
      </c>
      <c r="R102" s="394"/>
    </row>
    <row r="103" spans="1:20" x14ac:dyDescent="0.2">
      <c r="B103" s="415" t="s">
        <v>1072</v>
      </c>
      <c r="F103" s="414">
        <v>1</v>
      </c>
      <c r="G103" s="414">
        <v>1</v>
      </c>
      <c r="H103" s="414">
        <v>1</v>
      </c>
      <c r="I103" s="414">
        <v>1</v>
      </c>
      <c r="J103" s="414">
        <v>1</v>
      </c>
      <c r="K103" s="414">
        <v>1</v>
      </c>
      <c r="L103" s="414">
        <v>1</v>
      </c>
      <c r="M103" s="414">
        <v>1</v>
      </c>
      <c r="N103" s="414">
        <v>1</v>
      </c>
      <c r="O103" s="414">
        <v>1</v>
      </c>
      <c r="P103" s="414">
        <v>1</v>
      </c>
      <c r="Q103" s="414">
        <v>1</v>
      </c>
      <c r="R103" s="394"/>
    </row>
    <row r="105" spans="1:20" x14ac:dyDescent="0.2">
      <c r="B105" s="276" t="s">
        <v>982</v>
      </c>
    </row>
    <row r="106" spans="1:20" x14ac:dyDescent="0.2">
      <c r="B106" s="32" t="s">
        <v>67</v>
      </c>
      <c r="E106" s="32" t="s">
        <v>67</v>
      </c>
      <c r="F106" s="397">
        <f>'JKP-3.1c - Data'!C141</f>
        <v>1953</v>
      </c>
      <c r="G106" s="397">
        <f>'JKP-3.1c - Data'!D141</f>
        <v>1949</v>
      </c>
      <c r="H106" s="397">
        <f>'JKP-3.1c - Data'!E141</f>
        <v>1949</v>
      </c>
      <c r="I106" s="397">
        <f>'JKP-3.1c - Data'!F141</f>
        <v>1951</v>
      </c>
      <c r="J106" s="397">
        <f>'JKP-3.1c - Data'!G141</f>
        <v>1946</v>
      </c>
      <c r="K106" s="397">
        <f>'JKP-3.1c - Data'!H141</f>
        <v>1952</v>
      </c>
      <c r="L106" s="397">
        <f>'JKP-3.1c - Data'!I141</f>
        <v>1951</v>
      </c>
      <c r="M106" s="397">
        <f>'JKP-3.1c - Data'!J141</f>
        <v>1936</v>
      </c>
      <c r="N106" s="397">
        <f>'JKP-3.1c - Data'!K141</f>
        <v>1923</v>
      </c>
      <c r="O106" s="397">
        <f>'JKP-3.1c - Data'!L141</f>
        <v>1902</v>
      </c>
      <c r="P106" s="397">
        <f>'JKP-3.1c - Data'!M141</f>
        <v>1884</v>
      </c>
      <c r="Q106" s="397">
        <f>'JKP-3.1c - Data'!N141</f>
        <v>1883</v>
      </c>
      <c r="R106" s="378">
        <f>SUM(F106:Q106)</f>
        <v>23179</v>
      </c>
    </row>
    <row r="107" spans="1:20" x14ac:dyDescent="0.2">
      <c r="B107" s="32" t="s">
        <v>76</v>
      </c>
      <c r="D107" s="336"/>
      <c r="E107" s="336"/>
      <c r="F107" s="381"/>
      <c r="G107" s="381"/>
      <c r="H107" s="381"/>
      <c r="I107" s="381"/>
      <c r="J107" s="381"/>
      <c r="K107" s="381"/>
      <c r="L107" s="381"/>
      <c r="M107" s="381"/>
      <c r="N107" s="381"/>
      <c r="O107" s="381"/>
      <c r="P107" s="381"/>
      <c r="Q107" s="381"/>
      <c r="R107" s="398"/>
    </row>
    <row r="108" spans="1:20" x14ac:dyDescent="0.2">
      <c r="C108" s="32" t="s">
        <v>1073</v>
      </c>
      <c r="D108" s="336"/>
      <c r="E108" s="336" t="s">
        <v>10</v>
      </c>
      <c r="F108" s="421">
        <f>'JKP-3.1c - Rev Actual Rates'!F119</f>
        <v>1696262</v>
      </c>
      <c r="G108" s="421">
        <f>'JKP-3.1c - Rev Actual Rates'!G119</f>
        <v>1676732</v>
      </c>
      <c r="H108" s="421">
        <f>'JKP-3.1c - Rev Actual Rates'!H119</f>
        <v>1688404</v>
      </c>
      <c r="I108" s="421">
        <f>'JKP-3.1c - Rev Actual Rates'!I119</f>
        <v>1670584</v>
      </c>
      <c r="J108" s="421">
        <f>'JKP-3.1c - Rev Actual Rates'!J119</f>
        <v>1617103</v>
      </c>
      <c r="K108" s="421">
        <f>'JKP-3.1c - Rev Actual Rates'!K119</f>
        <v>1436746</v>
      </c>
      <c r="L108" s="421">
        <f>'JKP-3.1c - Rev Actual Rates'!L119</f>
        <v>1214265</v>
      </c>
      <c r="M108" s="421">
        <f>'JKP-3.1c - Rev Actual Rates'!M119</f>
        <v>1189032</v>
      </c>
      <c r="N108" s="421">
        <f>'JKP-3.1c - Rev Actual Rates'!N119</f>
        <v>1320118</v>
      </c>
      <c r="O108" s="421">
        <f>'JKP-3.1c - Rev Actual Rates'!O119</f>
        <v>1555455</v>
      </c>
      <c r="P108" s="421">
        <f>'JKP-3.1c - Rev Actual Rates'!P119</f>
        <v>1620879</v>
      </c>
      <c r="Q108" s="421">
        <f>'JKP-3.1c - Rev Actual Rates'!Q119</f>
        <v>1621716</v>
      </c>
      <c r="R108" s="378">
        <f>SUM(F108:Q108)</f>
        <v>18307296</v>
      </c>
    </row>
    <row r="109" spans="1:20" s="336" customFormat="1" x14ac:dyDescent="0.2">
      <c r="C109" s="32" t="s">
        <v>1074</v>
      </c>
      <c r="E109" s="336" t="s">
        <v>10</v>
      </c>
      <c r="F109" s="421">
        <f>'JKP-3.1c - Rev Actual Rates'!F120</f>
        <v>3194830</v>
      </c>
      <c r="G109" s="421">
        <f>'JKP-3.1c - Rev Actual Rates'!G120</f>
        <v>2729188</v>
      </c>
      <c r="H109" s="421">
        <f>'JKP-3.1c - Rev Actual Rates'!H120</f>
        <v>2892127</v>
      </c>
      <c r="I109" s="421">
        <f>'JKP-3.1c - Rev Actual Rates'!I120</f>
        <v>2441803</v>
      </c>
      <c r="J109" s="421">
        <f>'JKP-3.1c - Rev Actual Rates'!J120</f>
        <v>2045385</v>
      </c>
      <c r="K109" s="421">
        <f>'JKP-3.1c - Rev Actual Rates'!K120</f>
        <v>1542820</v>
      </c>
      <c r="L109" s="421">
        <f>'JKP-3.1c - Rev Actual Rates'!L120</f>
        <v>1219078</v>
      </c>
      <c r="M109" s="421">
        <f>'JKP-3.1c - Rev Actual Rates'!M120</f>
        <v>1163563</v>
      </c>
      <c r="N109" s="421">
        <f>'JKP-3.1c - Rev Actual Rates'!N120</f>
        <v>1298603</v>
      </c>
      <c r="O109" s="421">
        <f>'JKP-3.1c - Rev Actual Rates'!O120</f>
        <v>1938810</v>
      </c>
      <c r="P109" s="421">
        <f>'JKP-3.1c - Rev Actual Rates'!P120</f>
        <v>2887105</v>
      </c>
      <c r="Q109" s="421">
        <f>'JKP-3.1c - Rev Actual Rates'!Q120</f>
        <v>3310445</v>
      </c>
      <c r="R109" s="378">
        <f>SUM(F109:Q109)</f>
        <v>26663757</v>
      </c>
      <c r="S109" s="335"/>
      <c r="T109" s="415"/>
    </row>
    <row r="110" spans="1:20" s="336" customFormat="1" x14ac:dyDescent="0.2">
      <c r="C110" s="32" t="s">
        <v>1066</v>
      </c>
      <c r="E110" s="336" t="s">
        <v>10</v>
      </c>
      <c r="F110" s="421">
        <f>'JKP-3.1c - Rev Actual Rates'!F121</f>
        <v>1787862</v>
      </c>
      <c r="G110" s="421">
        <f>'JKP-3.1c - Rev Actual Rates'!G121</f>
        <v>1350276</v>
      </c>
      <c r="H110" s="421">
        <f>'JKP-3.1c - Rev Actual Rates'!H121</f>
        <v>1515815</v>
      </c>
      <c r="I110" s="421">
        <f>'JKP-3.1c - Rev Actual Rates'!I121</f>
        <v>1136357</v>
      </c>
      <c r="J110" s="421">
        <f>'JKP-3.1c - Rev Actual Rates'!J121</f>
        <v>894300</v>
      </c>
      <c r="K110" s="421">
        <f>'JKP-3.1c - Rev Actual Rates'!K121</f>
        <v>589925</v>
      </c>
      <c r="L110" s="421">
        <f>'JKP-3.1c - Rev Actual Rates'!L121</f>
        <v>491954</v>
      </c>
      <c r="M110" s="421">
        <f>'JKP-3.1c - Rev Actual Rates'!M121</f>
        <v>506826</v>
      </c>
      <c r="N110" s="421">
        <f>'JKP-3.1c - Rev Actual Rates'!N121</f>
        <v>527214</v>
      </c>
      <c r="O110" s="421">
        <f>'JKP-3.1c - Rev Actual Rates'!O121</f>
        <v>911563</v>
      </c>
      <c r="P110" s="421">
        <f>'JKP-3.1c - Rev Actual Rates'!P121</f>
        <v>1578849</v>
      </c>
      <c r="Q110" s="421">
        <f>'JKP-3.1c - Rev Actual Rates'!Q121</f>
        <v>2066356</v>
      </c>
      <c r="R110" s="378">
        <f>SUM(F110:Q110)</f>
        <v>13357297</v>
      </c>
      <c r="S110" s="335"/>
      <c r="T110" s="415"/>
    </row>
    <row r="111" spans="1:20" x14ac:dyDescent="0.2">
      <c r="C111" s="32" t="s">
        <v>1075</v>
      </c>
      <c r="E111" s="32" t="s">
        <v>10</v>
      </c>
      <c r="F111" s="430">
        <f t="shared" ref="F111:N111" si="18">SUM(F108:F110)</f>
        <v>6678954</v>
      </c>
      <c r="G111" s="430">
        <f t="shared" si="18"/>
        <v>5756196</v>
      </c>
      <c r="H111" s="430">
        <f t="shared" si="18"/>
        <v>6096346</v>
      </c>
      <c r="I111" s="430">
        <f t="shared" si="18"/>
        <v>5248744</v>
      </c>
      <c r="J111" s="430">
        <f t="shared" si="18"/>
        <v>4556788</v>
      </c>
      <c r="K111" s="430">
        <f t="shared" si="18"/>
        <v>3569491</v>
      </c>
      <c r="L111" s="430">
        <f t="shared" si="18"/>
        <v>2925297</v>
      </c>
      <c r="M111" s="430">
        <f t="shared" si="18"/>
        <v>2859421</v>
      </c>
      <c r="N111" s="430">
        <f t="shared" si="18"/>
        <v>3145935</v>
      </c>
      <c r="O111" s="430">
        <f>SUM(O108:O110)</f>
        <v>4405828</v>
      </c>
      <c r="P111" s="430">
        <f>SUM(P108:P110)</f>
        <v>6086833</v>
      </c>
      <c r="Q111" s="430">
        <f>SUM(Q108:Q110)</f>
        <v>6998517</v>
      </c>
      <c r="R111" s="430">
        <f>SUM(R108:R110)</f>
        <v>58328350</v>
      </c>
    </row>
    <row r="112" spans="1:20" s="336" customFormat="1" x14ac:dyDescent="0.2">
      <c r="B112" s="336" t="s">
        <v>74</v>
      </c>
      <c r="E112" s="336" t="s">
        <v>1076</v>
      </c>
      <c r="F112" s="421">
        <f>'JKP-3.1c - Rev Actual Rates'!F123</f>
        <v>345023.82</v>
      </c>
      <c r="G112" s="421">
        <f>'JKP-3.1c - Rev Actual Rates'!G123</f>
        <v>345483.82</v>
      </c>
      <c r="H112" s="421">
        <f>'JKP-3.1c - Rev Actual Rates'!H123</f>
        <v>343434.82</v>
      </c>
      <c r="I112" s="421">
        <f>'JKP-3.1c - Rev Actual Rates'!I123</f>
        <v>344454.82999999996</v>
      </c>
      <c r="J112" s="421">
        <f>'JKP-3.1c - Rev Actual Rates'!J123</f>
        <v>343545.81999999995</v>
      </c>
      <c r="K112" s="421">
        <f>'JKP-3.1c - Rev Actual Rates'!K123</f>
        <v>347633.82000000007</v>
      </c>
      <c r="L112" s="421">
        <f>'JKP-3.1c - Rev Actual Rates'!L123</f>
        <v>349911.64</v>
      </c>
      <c r="M112" s="421">
        <f>'JKP-3.1c - Rev Actual Rates'!M123</f>
        <v>346640</v>
      </c>
      <c r="N112" s="421">
        <f>'JKP-3.1c - Rev Actual Rates'!N123</f>
        <v>346444</v>
      </c>
      <c r="O112" s="421">
        <f>'JKP-3.1c - Rev Actual Rates'!O123</f>
        <v>339453</v>
      </c>
      <c r="P112" s="421">
        <f>'JKP-3.1c - Rev Actual Rates'!P123</f>
        <v>337940</v>
      </c>
      <c r="Q112" s="421">
        <f>'JKP-3.1c - Rev Actual Rates'!Q123</f>
        <v>335944</v>
      </c>
      <c r="R112" s="378">
        <f>SUM(F112:Q112)</f>
        <v>4125909.57</v>
      </c>
      <c r="S112" s="335"/>
      <c r="T112" s="415"/>
    </row>
    <row r="113" spans="1:20" s="336" customFormat="1" x14ac:dyDescent="0.2">
      <c r="B113" s="336" t="s">
        <v>1071</v>
      </c>
      <c r="E113" s="336" t="s">
        <v>67</v>
      </c>
      <c r="F113" s="398">
        <f t="shared" ref="F113:N113" si="19">F106</f>
        <v>1953</v>
      </c>
      <c r="G113" s="398">
        <f t="shared" si="19"/>
        <v>1949</v>
      </c>
      <c r="H113" s="398">
        <f t="shared" si="19"/>
        <v>1949</v>
      </c>
      <c r="I113" s="398">
        <f t="shared" si="19"/>
        <v>1951</v>
      </c>
      <c r="J113" s="398">
        <f t="shared" si="19"/>
        <v>1946</v>
      </c>
      <c r="K113" s="398">
        <f t="shared" si="19"/>
        <v>1952</v>
      </c>
      <c r="L113" s="398">
        <f t="shared" si="19"/>
        <v>1951</v>
      </c>
      <c r="M113" s="398">
        <f t="shared" si="19"/>
        <v>1936</v>
      </c>
      <c r="N113" s="398">
        <f t="shared" si="19"/>
        <v>1923</v>
      </c>
      <c r="O113" s="398">
        <f>O106</f>
        <v>1902</v>
      </c>
      <c r="P113" s="398">
        <f>P106</f>
        <v>1884</v>
      </c>
      <c r="Q113" s="398">
        <f>Q106</f>
        <v>1883</v>
      </c>
      <c r="R113" s="378">
        <f>SUM(F113:Q113)</f>
        <v>23179</v>
      </c>
      <c r="S113" s="335"/>
      <c r="T113" s="415"/>
    </row>
    <row r="114" spans="1:20" s="336" customFormat="1" x14ac:dyDescent="0.2">
      <c r="F114" s="380"/>
      <c r="G114" s="380"/>
      <c r="H114" s="380"/>
      <c r="I114" s="380"/>
      <c r="J114" s="380"/>
      <c r="K114" s="380"/>
      <c r="L114" s="380"/>
      <c r="M114" s="380"/>
      <c r="N114" s="380"/>
      <c r="O114" s="380"/>
      <c r="P114" s="380"/>
      <c r="Q114" s="380"/>
      <c r="R114" s="378"/>
      <c r="S114" s="335"/>
      <c r="T114" s="415"/>
    </row>
    <row r="115" spans="1:20" x14ac:dyDescent="0.2">
      <c r="B115" s="276" t="s">
        <v>985</v>
      </c>
      <c r="R115" s="277"/>
    </row>
    <row r="116" spans="1:20" x14ac:dyDescent="0.2">
      <c r="A116" s="32" t="s">
        <v>1054</v>
      </c>
      <c r="B116" s="32" t="s">
        <v>1059</v>
      </c>
      <c r="D116" s="32">
        <v>41</v>
      </c>
      <c r="F116" s="364">
        <f t="shared" ref="F116:N116" si="20">F93*F106</f>
        <v>209967.03</v>
      </c>
      <c r="G116" s="364">
        <f t="shared" si="20"/>
        <v>209536.99000000002</v>
      </c>
      <c r="H116" s="364">
        <f t="shared" si="20"/>
        <v>209536.99000000002</v>
      </c>
      <c r="I116" s="364">
        <f t="shared" si="20"/>
        <v>209752.01</v>
      </c>
      <c r="J116" s="364">
        <f t="shared" si="20"/>
        <v>209214.46000000002</v>
      </c>
      <c r="K116" s="364">
        <f t="shared" si="20"/>
        <v>209859.52000000002</v>
      </c>
      <c r="L116" s="364">
        <f t="shared" si="20"/>
        <v>209752.01</v>
      </c>
      <c r="M116" s="364">
        <f t="shared" si="20"/>
        <v>208139.36000000002</v>
      </c>
      <c r="N116" s="364">
        <f t="shared" si="20"/>
        <v>206741.73</v>
      </c>
      <c r="O116" s="364">
        <f>O93*O106</f>
        <v>204484.02000000002</v>
      </c>
      <c r="P116" s="364">
        <f>P93*P106</f>
        <v>202548.84</v>
      </c>
      <c r="Q116" s="364">
        <f>Q93*Q106</f>
        <v>202441.33000000002</v>
      </c>
      <c r="R116" s="341">
        <f>SUM(F116:Q116)</f>
        <v>2491974.29</v>
      </c>
    </row>
    <row r="117" spans="1:20" x14ac:dyDescent="0.2">
      <c r="B117" s="32" t="s">
        <v>1047</v>
      </c>
      <c r="F117" s="364"/>
      <c r="G117" s="364"/>
      <c r="H117" s="364"/>
      <c r="I117" s="364"/>
      <c r="J117" s="364"/>
      <c r="K117" s="364"/>
      <c r="L117" s="364"/>
      <c r="M117" s="364"/>
      <c r="N117" s="364"/>
      <c r="O117" s="364"/>
      <c r="P117" s="364"/>
      <c r="Q117" s="364"/>
      <c r="R117" s="341"/>
    </row>
    <row r="118" spans="1:20" x14ac:dyDescent="0.2">
      <c r="C118" s="32" t="s">
        <v>1073</v>
      </c>
      <c r="F118" s="350">
        <v>0</v>
      </c>
      <c r="G118" s="350">
        <v>0</v>
      </c>
      <c r="H118" s="350">
        <v>0</v>
      </c>
      <c r="I118" s="350">
        <v>0</v>
      </c>
      <c r="J118" s="350">
        <v>0</v>
      </c>
      <c r="K118" s="350">
        <v>0</v>
      </c>
      <c r="L118" s="350">
        <v>0</v>
      </c>
      <c r="M118" s="350">
        <v>0</v>
      </c>
      <c r="N118" s="350">
        <v>0</v>
      </c>
      <c r="O118" s="350">
        <v>0</v>
      </c>
      <c r="P118" s="350">
        <v>0</v>
      </c>
      <c r="Q118" s="350">
        <v>0</v>
      </c>
      <c r="R118" s="341">
        <f>SUM(F118:Q118)</f>
        <v>0</v>
      </c>
    </row>
    <row r="119" spans="1:20" x14ac:dyDescent="0.2">
      <c r="C119" s="32" t="s">
        <v>1074</v>
      </c>
      <c r="D119" s="32">
        <v>41</v>
      </c>
      <c r="F119" s="364">
        <f t="shared" ref="F119:Q120" si="21">F95*F109</f>
        <v>440535.10870000004</v>
      </c>
      <c r="G119" s="364">
        <f t="shared" si="21"/>
        <v>376327.73332000006</v>
      </c>
      <c r="H119" s="364">
        <f t="shared" si="21"/>
        <v>398795.39203000005</v>
      </c>
      <c r="I119" s="364">
        <f t="shared" si="21"/>
        <v>336700.21567000001</v>
      </c>
      <c r="J119" s="364">
        <f t="shared" si="21"/>
        <v>282038.13765000005</v>
      </c>
      <c r="K119" s="364">
        <f t="shared" si="21"/>
        <v>212739.44980000003</v>
      </c>
      <c r="L119" s="364">
        <f t="shared" si="21"/>
        <v>168098.66542</v>
      </c>
      <c r="M119" s="364">
        <f t="shared" si="21"/>
        <v>160443.70207000003</v>
      </c>
      <c r="N119" s="364">
        <f t="shared" si="21"/>
        <v>179064.36767000001</v>
      </c>
      <c r="O119" s="364">
        <f t="shared" si="21"/>
        <v>267342.51090000005</v>
      </c>
      <c r="P119" s="364">
        <f t="shared" si="21"/>
        <v>398102.90845000005</v>
      </c>
      <c r="Q119" s="364">
        <f t="shared" si="21"/>
        <v>456477.26105000003</v>
      </c>
      <c r="R119" s="341">
        <f>SUM(F119:Q119)</f>
        <v>3676665.4527300005</v>
      </c>
    </row>
    <row r="120" spans="1:20" x14ac:dyDescent="0.2">
      <c r="C120" s="32" t="s">
        <v>1066</v>
      </c>
      <c r="D120" s="32">
        <v>41</v>
      </c>
      <c r="F120" s="364">
        <f t="shared" si="21"/>
        <v>201188.11086000002</v>
      </c>
      <c r="G120" s="364">
        <f t="shared" si="21"/>
        <v>151946.55828</v>
      </c>
      <c r="H120" s="364">
        <f t="shared" si="21"/>
        <v>170574.66195000001</v>
      </c>
      <c r="I120" s="364">
        <f t="shared" si="21"/>
        <v>127874.25321000001</v>
      </c>
      <c r="J120" s="364">
        <f t="shared" si="21"/>
        <v>100635.579</v>
      </c>
      <c r="K120" s="364">
        <f t="shared" si="21"/>
        <v>66384.260250000007</v>
      </c>
      <c r="L120" s="364">
        <f t="shared" si="21"/>
        <v>55359.583620000005</v>
      </c>
      <c r="M120" s="364">
        <f t="shared" si="21"/>
        <v>57033.129780000003</v>
      </c>
      <c r="N120" s="364">
        <f t="shared" si="21"/>
        <v>59327.39142</v>
      </c>
      <c r="O120" s="364">
        <f t="shared" si="21"/>
        <v>102578.18439000001</v>
      </c>
      <c r="P120" s="364">
        <f t="shared" si="21"/>
        <v>177667.87797</v>
      </c>
      <c r="Q120" s="364">
        <f t="shared" si="21"/>
        <v>232527.04068000001</v>
      </c>
      <c r="R120" s="341">
        <f>SUM(F120:Q120)</f>
        <v>1503096.6314100001</v>
      </c>
    </row>
    <row r="121" spans="1:20" x14ac:dyDescent="0.2">
      <c r="A121" s="32" t="s">
        <v>1054</v>
      </c>
      <c r="C121" s="32" t="s">
        <v>1077</v>
      </c>
      <c r="F121" s="365">
        <f t="shared" ref="F121:N121" si="22">SUM(F118:F120)</f>
        <v>641723.21956000011</v>
      </c>
      <c r="G121" s="365">
        <f t="shared" si="22"/>
        <v>528274.29160000011</v>
      </c>
      <c r="H121" s="365">
        <f t="shared" si="22"/>
        <v>569370.05398000008</v>
      </c>
      <c r="I121" s="365">
        <f t="shared" si="22"/>
        <v>464574.46888</v>
      </c>
      <c r="J121" s="365">
        <f t="shared" si="22"/>
        <v>382673.71665000007</v>
      </c>
      <c r="K121" s="365">
        <f t="shared" si="22"/>
        <v>279123.71005000005</v>
      </c>
      <c r="L121" s="365">
        <f t="shared" si="22"/>
        <v>223458.24904000002</v>
      </c>
      <c r="M121" s="365">
        <f t="shared" si="22"/>
        <v>217476.83185000002</v>
      </c>
      <c r="N121" s="365">
        <f t="shared" si="22"/>
        <v>238391.75909000001</v>
      </c>
      <c r="O121" s="365">
        <f>SUM(O118:O120)</f>
        <v>369920.69529000006</v>
      </c>
      <c r="P121" s="365">
        <f>SUM(P118:P120)</f>
        <v>575770.78642000002</v>
      </c>
      <c r="Q121" s="365">
        <f>SUM(Q118:Q120)</f>
        <v>689004.30173000006</v>
      </c>
      <c r="R121" s="365">
        <f>SUM(R118:R120)</f>
        <v>5179762.0841400009</v>
      </c>
    </row>
    <row r="122" spans="1:20" x14ac:dyDescent="0.2">
      <c r="A122" s="32" t="s">
        <v>1056</v>
      </c>
      <c r="B122" s="415" t="s">
        <v>1057</v>
      </c>
      <c r="D122" s="32">
        <v>101</v>
      </c>
      <c r="F122" s="364">
        <f t="shared" ref="F122:N122" si="23">F97*F111</f>
        <v>4199592.6961200004</v>
      </c>
      <c r="G122" s="364">
        <f t="shared" si="23"/>
        <v>3619380.9208800001</v>
      </c>
      <c r="H122" s="364">
        <f t="shared" si="23"/>
        <v>3833260.4378800001</v>
      </c>
      <c r="I122" s="364">
        <f t="shared" si="23"/>
        <v>3300305.25232</v>
      </c>
      <c r="J122" s="364">
        <f t="shared" si="23"/>
        <v>2865217.15864</v>
      </c>
      <c r="K122" s="364">
        <f t="shared" si="23"/>
        <v>2244424.5509799998</v>
      </c>
      <c r="L122" s="364">
        <f t="shared" si="23"/>
        <v>1839368.2476600001</v>
      </c>
      <c r="M122" s="364">
        <f t="shared" si="23"/>
        <v>1797946.7363799999</v>
      </c>
      <c r="N122" s="364">
        <f t="shared" si="23"/>
        <v>1978101.0093</v>
      </c>
      <c r="O122" s="364">
        <f>O97*O111</f>
        <v>2770296.52984</v>
      </c>
      <c r="P122" s="364">
        <f>P97*P111</f>
        <v>3827278.8537400002</v>
      </c>
      <c r="Q122" s="364">
        <f>Q97*Q111</f>
        <v>4400527.5192600004</v>
      </c>
      <c r="R122" s="341">
        <f>SUM(F122:Q122)</f>
        <v>36675699.913000003</v>
      </c>
    </row>
    <row r="123" spans="1:20" x14ac:dyDescent="0.2">
      <c r="B123" s="32" t="s">
        <v>1068</v>
      </c>
      <c r="F123" s="364"/>
      <c r="G123" s="364"/>
      <c r="H123" s="364"/>
      <c r="I123" s="364"/>
      <c r="J123" s="364"/>
      <c r="K123" s="364"/>
      <c r="L123" s="364"/>
      <c r="M123" s="364"/>
      <c r="N123" s="364"/>
      <c r="O123" s="364"/>
      <c r="P123" s="364"/>
      <c r="Q123" s="364"/>
      <c r="R123" s="341"/>
    </row>
    <row r="124" spans="1:20" x14ac:dyDescent="0.2">
      <c r="A124" s="32" t="s">
        <v>1054</v>
      </c>
      <c r="C124" s="32" t="s">
        <v>1069</v>
      </c>
      <c r="D124" s="32">
        <v>41</v>
      </c>
      <c r="F124" s="364">
        <f t="shared" ref="F124:N124" si="24">F99*F112</f>
        <v>382976.44020000007</v>
      </c>
      <c r="G124" s="364">
        <f t="shared" si="24"/>
        <v>383487.04020000005</v>
      </c>
      <c r="H124" s="364">
        <f t="shared" si="24"/>
        <v>381212.65020000003</v>
      </c>
      <c r="I124" s="364">
        <f t="shared" si="24"/>
        <v>382344.86129999999</v>
      </c>
      <c r="J124" s="364">
        <f t="shared" si="24"/>
        <v>381335.8602</v>
      </c>
      <c r="K124" s="364">
        <f t="shared" si="24"/>
        <v>385873.5402000001</v>
      </c>
      <c r="L124" s="364">
        <f t="shared" si="24"/>
        <v>388401.92040000006</v>
      </c>
      <c r="M124" s="364">
        <f t="shared" si="24"/>
        <v>384770.4</v>
      </c>
      <c r="N124" s="364">
        <f t="shared" si="24"/>
        <v>384552.84</v>
      </c>
      <c r="O124" s="364">
        <f>O99*O112</f>
        <v>376792.83</v>
      </c>
      <c r="P124" s="364">
        <f>P99*P112</f>
        <v>375113.4</v>
      </c>
      <c r="Q124" s="364">
        <f>Q99*Q112</f>
        <v>372897.84</v>
      </c>
      <c r="R124" s="341">
        <f>SUM(F124:Q124)</f>
        <v>4579759.6227000002</v>
      </c>
    </row>
    <row r="125" spans="1:20" x14ac:dyDescent="0.2">
      <c r="A125" s="32" t="s">
        <v>1056</v>
      </c>
      <c r="C125" s="32" t="s">
        <v>1070</v>
      </c>
      <c r="D125" s="32">
        <v>101</v>
      </c>
      <c r="F125" s="364">
        <f t="shared" ref="F125:N125" si="25">F100*F112</f>
        <v>362275.011</v>
      </c>
      <c r="G125" s="364">
        <f t="shared" si="25"/>
        <v>362758.011</v>
      </c>
      <c r="H125" s="364">
        <f t="shared" si="25"/>
        <v>360606.56100000005</v>
      </c>
      <c r="I125" s="364">
        <f t="shared" si="25"/>
        <v>361677.57149999996</v>
      </c>
      <c r="J125" s="364">
        <f t="shared" si="25"/>
        <v>360723.11099999998</v>
      </c>
      <c r="K125" s="364">
        <f t="shared" si="25"/>
        <v>365015.51100000006</v>
      </c>
      <c r="L125" s="364">
        <f t="shared" si="25"/>
        <v>367407.22200000001</v>
      </c>
      <c r="M125" s="364">
        <f t="shared" si="25"/>
        <v>363972</v>
      </c>
      <c r="N125" s="364">
        <f t="shared" si="25"/>
        <v>363766.2</v>
      </c>
      <c r="O125" s="364">
        <f>O100*O112</f>
        <v>356425.65</v>
      </c>
      <c r="P125" s="364">
        <f>P100*P112</f>
        <v>354837</v>
      </c>
      <c r="Q125" s="364">
        <f>Q100*Q112</f>
        <v>352741.2</v>
      </c>
      <c r="R125" s="341">
        <f>SUM(F125:Q125)</f>
        <v>4332205.0485000005</v>
      </c>
    </row>
    <row r="126" spans="1:20" x14ac:dyDescent="0.2">
      <c r="C126" s="32" t="s">
        <v>1078</v>
      </c>
      <c r="F126" s="365">
        <f t="shared" ref="F126:N126" si="26">SUM(F124:F125)</f>
        <v>745251.45120000001</v>
      </c>
      <c r="G126" s="365">
        <f t="shared" si="26"/>
        <v>746245.0512000001</v>
      </c>
      <c r="H126" s="365">
        <f t="shared" si="26"/>
        <v>741819.21120000002</v>
      </c>
      <c r="I126" s="365">
        <f t="shared" si="26"/>
        <v>744022.43279999995</v>
      </c>
      <c r="J126" s="365">
        <f t="shared" si="26"/>
        <v>742058.97120000003</v>
      </c>
      <c r="K126" s="365">
        <f t="shared" si="26"/>
        <v>750889.0512000001</v>
      </c>
      <c r="L126" s="365">
        <f t="shared" si="26"/>
        <v>755809.14240000001</v>
      </c>
      <c r="M126" s="365">
        <f t="shared" si="26"/>
        <v>748742.4</v>
      </c>
      <c r="N126" s="365">
        <f t="shared" si="26"/>
        <v>748319.04</v>
      </c>
      <c r="O126" s="365">
        <f>SUM(O124:O125)</f>
        <v>733218.48</v>
      </c>
      <c r="P126" s="365">
        <f>SUM(P124:P125)</f>
        <v>729950.4</v>
      </c>
      <c r="Q126" s="365">
        <f>SUM(Q124:Q125)</f>
        <v>725639.04</v>
      </c>
      <c r="R126" s="365">
        <f>SUM(R124:R125)</f>
        <v>8911964.6711999997</v>
      </c>
    </row>
    <row r="127" spans="1:20" s="336" customFormat="1" x14ac:dyDescent="0.2">
      <c r="A127" s="336" t="s">
        <v>1054</v>
      </c>
      <c r="B127" s="336" t="s">
        <v>1071</v>
      </c>
      <c r="D127" s="336">
        <v>41</v>
      </c>
      <c r="F127" s="418">
        <f t="shared" ref="F127:N127" si="27">F106*F101</f>
        <v>242367.3</v>
      </c>
      <c r="G127" s="418">
        <f t="shared" si="27"/>
        <v>241870.9</v>
      </c>
      <c r="H127" s="418">
        <f t="shared" si="27"/>
        <v>241870.9</v>
      </c>
      <c r="I127" s="418">
        <f t="shared" si="27"/>
        <v>242119.09999999998</v>
      </c>
      <c r="J127" s="418">
        <f t="shared" si="27"/>
        <v>241498.59999999998</v>
      </c>
      <c r="K127" s="418">
        <f t="shared" si="27"/>
        <v>242243.19999999998</v>
      </c>
      <c r="L127" s="418">
        <f t="shared" si="27"/>
        <v>242119.09999999998</v>
      </c>
      <c r="M127" s="418">
        <f t="shared" si="27"/>
        <v>240257.59999999998</v>
      </c>
      <c r="N127" s="418">
        <f t="shared" si="27"/>
        <v>238644.3</v>
      </c>
      <c r="O127" s="418">
        <f>O106*O101</f>
        <v>236038.19999999998</v>
      </c>
      <c r="P127" s="418">
        <f>P106*P101</f>
        <v>233804.4</v>
      </c>
      <c r="Q127" s="418">
        <f>Q106*Q101</f>
        <v>233680.3</v>
      </c>
      <c r="R127" s="437">
        <f>SUM(F127:Q127)</f>
        <v>2876513.8999999994</v>
      </c>
      <c r="S127" s="335"/>
      <c r="T127" s="415"/>
    </row>
    <row r="128" spans="1:20" x14ac:dyDescent="0.2">
      <c r="B128" s="32" t="s">
        <v>1079</v>
      </c>
      <c r="F128" s="365">
        <f t="shared" ref="F128:N128" si="28">F122+F125</f>
        <v>4561867.7071200004</v>
      </c>
      <c r="G128" s="365">
        <f t="shared" si="28"/>
        <v>3982138.93188</v>
      </c>
      <c r="H128" s="365">
        <f t="shared" si="28"/>
        <v>4193866.9988800003</v>
      </c>
      <c r="I128" s="365">
        <f t="shared" si="28"/>
        <v>3661982.82382</v>
      </c>
      <c r="J128" s="365">
        <f t="shared" si="28"/>
        <v>3225940.2696400001</v>
      </c>
      <c r="K128" s="365">
        <f t="shared" si="28"/>
        <v>2609440.0619799998</v>
      </c>
      <c r="L128" s="365">
        <f t="shared" si="28"/>
        <v>2206775.4696599999</v>
      </c>
      <c r="M128" s="365">
        <f t="shared" si="28"/>
        <v>2161918.7363799997</v>
      </c>
      <c r="N128" s="365">
        <f t="shared" si="28"/>
        <v>2341867.2093000002</v>
      </c>
      <c r="O128" s="365">
        <f>O122+O125</f>
        <v>3126722.1798399999</v>
      </c>
      <c r="P128" s="365">
        <f>P122+P125</f>
        <v>4182115.8537400002</v>
      </c>
      <c r="Q128" s="365">
        <f>Q122+Q125</f>
        <v>4753268.7192600006</v>
      </c>
      <c r="R128" s="365">
        <f>R122+R125</f>
        <v>41007904.961500004</v>
      </c>
    </row>
    <row r="129" spans="1:20" x14ac:dyDescent="0.2">
      <c r="B129" s="32" t="s">
        <v>986</v>
      </c>
      <c r="F129" s="365">
        <f t="shared" ref="F129:N129" si="29">F116+F121+F122+F126+F127</f>
        <v>6038901.6968800006</v>
      </c>
      <c r="G129" s="365">
        <f t="shared" si="29"/>
        <v>5345308.1536800005</v>
      </c>
      <c r="H129" s="365">
        <f t="shared" si="29"/>
        <v>5595857.5930600008</v>
      </c>
      <c r="I129" s="365">
        <f t="shared" si="29"/>
        <v>4960773.2639999995</v>
      </c>
      <c r="J129" s="365">
        <f t="shared" si="29"/>
        <v>4440662.90649</v>
      </c>
      <c r="K129" s="365">
        <f t="shared" si="29"/>
        <v>3726540.03223</v>
      </c>
      <c r="L129" s="365">
        <f t="shared" si="29"/>
        <v>3270506.7491000001</v>
      </c>
      <c r="M129" s="365">
        <f t="shared" si="29"/>
        <v>3212562.9282299997</v>
      </c>
      <c r="N129" s="365">
        <f t="shared" si="29"/>
        <v>3410197.8383900002</v>
      </c>
      <c r="O129" s="365">
        <f>O116+O121+O122+O126+O127</f>
        <v>4313957.9251300003</v>
      </c>
      <c r="P129" s="365">
        <f>P116+P121+P122+P126+P127</f>
        <v>5569353.2801600005</v>
      </c>
      <c r="Q129" s="365">
        <f>Q116+Q121+Q122+Q126+Q127</f>
        <v>6251292.4909899998</v>
      </c>
      <c r="R129" s="365">
        <f>R116+R121+R122+R126+R127</f>
        <v>56135914.858340003</v>
      </c>
      <c r="T129" s="340"/>
    </row>
    <row r="130" spans="1:20" s="336" customFormat="1" x14ac:dyDescent="0.2">
      <c r="F130" s="418"/>
      <c r="G130" s="418"/>
      <c r="H130" s="418"/>
      <c r="I130" s="418"/>
      <c r="J130" s="418"/>
      <c r="K130" s="418"/>
      <c r="L130" s="418"/>
      <c r="M130" s="418"/>
      <c r="N130" s="418"/>
      <c r="O130" s="418"/>
      <c r="P130" s="418"/>
      <c r="Q130" s="418"/>
      <c r="R130" s="437"/>
      <c r="S130" s="335"/>
      <c r="T130" s="415"/>
    </row>
    <row r="131" spans="1:20" s="336" customFormat="1" x14ac:dyDescent="0.2">
      <c r="A131" s="32" t="s">
        <v>1058</v>
      </c>
      <c r="B131" s="32" t="s">
        <v>1050</v>
      </c>
      <c r="C131" s="32"/>
      <c r="F131" s="418">
        <f>F111*F102+F112*F103</f>
        <v>4363015.7568600001</v>
      </c>
      <c r="G131" s="418">
        <f t="shared" ref="G131:Q131" si="30">G111*G102+G112*G103</f>
        <v>3808353.7716399995</v>
      </c>
      <c r="H131" s="418">
        <f t="shared" si="30"/>
        <v>4010935.6101399995</v>
      </c>
      <c r="I131" s="418">
        <f t="shared" si="30"/>
        <v>3502046.7329599997</v>
      </c>
      <c r="J131" s="418">
        <f t="shared" si="30"/>
        <v>3084863.9129199996</v>
      </c>
      <c r="K131" s="418">
        <f t="shared" si="30"/>
        <v>2495003.9106900003</v>
      </c>
      <c r="L131" s="418">
        <f t="shared" si="30"/>
        <v>2109741.0622299998</v>
      </c>
      <c r="M131" s="418">
        <f t="shared" si="30"/>
        <v>2066839.0793899999</v>
      </c>
      <c r="N131" s="418">
        <f t="shared" si="30"/>
        <v>2239007.0366500001</v>
      </c>
      <c r="O131" s="418">
        <f t="shared" si="30"/>
        <v>2989955.0665199999</v>
      </c>
      <c r="P131" s="418">
        <f t="shared" si="30"/>
        <v>3999717.8644699999</v>
      </c>
      <c r="Q131" s="418">
        <f t="shared" si="30"/>
        <v>4546181.8420299999</v>
      </c>
      <c r="R131" s="437">
        <f>SUM(F131:Q131)</f>
        <v>39215661.646499991</v>
      </c>
      <c r="S131" s="335"/>
      <c r="T131" s="415"/>
    </row>
    <row r="132" spans="1:20" s="336" customFormat="1" x14ac:dyDescent="0.2">
      <c r="F132" s="418"/>
      <c r="G132" s="418"/>
      <c r="H132" s="418"/>
      <c r="I132" s="418"/>
      <c r="J132" s="418"/>
      <c r="K132" s="418"/>
      <c r="L132" s="418"/>
      <c r="M132" s="418"/>
      <c r="N132" s="418"/>
      <c r="O132" s="418"/>
      <c r="P132" s="418"/>
      <c r="Q132" s="418"/>
      <c r="R132" s="437"/>
      <c r="S132" s="335"/>
      <c r="T132" s="415"/>
    </row>
    <row r="133" spans="1:20" x14ac:dyDescent="0.2">
      <c r="B133" s="276" t="s">
        <v>1080</v>
      </c>
      <c r="C133" s="276"/>
      <c r="F133" s="390"/>
      <c r="G133" s="390"/>
      <c r="H133" s="390"/>
      <c r="I133" s="390"/>
      <c r="J133" s="390"/>
      <c r="S133" s="32"/>
      <c r="T133" s="32"/>
    </row>
    <row r="134" spans="1:20" x14ac:dyDescent="0.2">
      <c r="B134" s="276" t="s">
        <v>5</v>
      </c>
      <c r="C134" s="276"/>
      <c r="F134" s="390"/>
      <c r="G134" s="390"/>
      <c r="H134" s="390"/>
      <c r="I134" s="390"/>
      <c r="J134" s="390"/>
      <c r="S134" s="32"/>
      <c r="T134" s="32"/>
    </row>
    <row r="135" spans="1:20" x14ac:dyDescent="0.2">
      <c r="B135" s="32" t="s">
        <v>1059</v>
      </c>
      <c r="D135" s="444" t="s">
        <v>808</v>
      </c>
      <c r="E135" s="32" t="s">
        <v>976</v>
      </c>
      <c r="F135" s="500">
        <f>'JKP-3.1c - Rev Rates GRC09'!F135</f>
        <v>414.68</v>
      </c>
      <c r="G135" s="500">
        <f>'JKP-3.1c - Rev Rates GRC09'!G135</f>
        <v>414.68</v>
      </c>
      <c r="H135" s="500">
        <f>'JKP-3.1c - Rev Rates GRC09'!H135</f>
        <v>414.68</v>
      </c>
      <c r="I135" s="500">
        <f>'JKP-3.1c - Rev Rates GRC09'!I135</f>
        <v>414.68</v>
      </c>
      <c r="J135" s="500">
        <f>'JKP-3.1c - Rev Rates GRC09'!J135</f>
        <v>414.68</v>
      </c>
      <c r="K135" s="500">
        <f>'JKP-3.1c - Rev Rates GRC09'!K135</f>
        <v>414.68</v>
      </c>
      <c r="L135" s="500">
        <f>'JKP-3.1c - Rev Rates GRC09'!L135</f>
        <v>414.68</v>
      </c>
      <c r="M135" s="500">
        <f>'JKP-3.1c - Rev Rates GRC09'!M135</f>
        <v>414.68</v>
      </c>
      <c r="N135" s="500">
        <f>'JKP-3.1c - Rev Rates GRC09'!N135</f>
        <v>414.68</v>
      </c>
      <c r="O135" s="500">
        <f>'JKP-3.1c - Rev Rates GRC09'!O135</f>
        <v>414.68</v>
      </c>
      <c r="P135" s="500">
        <f>'JKP-3.1c - Rev Rates GRC09'!P135</f>
        <v>414.68</v>
      </c>
      <c r="Q135" s="500">
        <f>'JKP-3.1c - Rev Rates GRC09'!Q135</f>
        <v>414.68</v>
      </c>
      <c r="S135" s="32"/>
      <c r="T135" s="32"/>
    </row>
    <row r="136" spans="1:20" x14ac:dyDescent="0.2">
      <c r="B136" s="32" t="s">
        <v>1047</v>
      </c>
      <c r="D136" s="444"/>
      <c r="F136" s="495"/>
      <c r="G136" s="495"/>
      <c r="H136" s="495"/>
      <c r="I136" s="495"/>
      <c r="J136" s="495"/>
      <c r="K136" s="495"/>
      <c r="L136" s="495"/>
      <c r="M136" s="495"/>
      <c r="N136" s="495"/>
      <c r="O136" s="495"/>
      <c r="P136" s="495"/>
      <c r="Q136" s="495"/>
      <c r="S136" s="32"/>
      <c r="T136" s="32"/>
    </row>
    <row r="137" spans="1:20" x14ac:dyDescent="0.2">
      <c r="C137" s="32" t="s">
        <v>1065</v>
      </c>
      <c r="D137" s="444" t="s">
        <v>808</v>
      </c>
      <c r="E137" s="32" t="s">
        <v>957</v>
      </c>
      <c r="F137" s="495">
        <f>'JKP-3.1c - Rev Rates GRC09'!F137</f>
        <v>0.13789000000000001</v>
      </c>
      <c r="G137" s="495">
        <f>'JKP-3.1c - Rev Rates GRC09'!G137</f>
        <v>0.13789000000000001</v>
      </c>
      <c r="H137" s="495">
        <f>'JKP-3.1c - Rev Rates GRC09'!H137</f>
        <v>0.13789000000000001</v>
      </c>
      <c r="I137" s="495">
        <f>'JKP-3.1c - Rev Rates GRC09'!I137</f>
        <v>0.13789000000000001</v>
      </c>
      <c r="J137" s="495">
        <f>'JKP-3.1c - Rev Rates GRC09'!J137</f>
        <v>0.13789000000000001</v>
      </c>
      <c r="K137" s="495">
        <f>'JKP-3.1c - Rev Rates GRC09'!K137</f>
        <v>0.13789000000000001</v>
      </c>
      <c r="L137" s="495">
        <f>'JKP-3.1c - Rev Rates GRC09'!L137</f>
        <v>0.13789000000000001</v>
      </c>
      <c r="M137" s="495">
        <f>'JKP-3.1c - Rev Rates GRC09'!M137</f>
        <v>0.13789000000000001</v>
      </c>
      <c r="N137" s="495">
        <f>'JKP-3.1c - Rev Rates GRC09'!N137</f>
        <v>0.13789000000000001</v>
      </c>
      <c r="O137" s="495">
        <f>'JKP-3.1c - Rev Rates GRC09'!O137</f>
        <v>0.13789000000000001</v>
      </c>
      <c r="P137" s="495">
        <f>'JKP-3.1c - Rev Rates GRC09'!P137</f>
        <v>0.13789000000000001</v>
      </c>
      <c r="Q137" s="495">
        <f>'JKP-3.1c - Rev Rates GRC09'!Q137</f>
        <v>0.13789000000000001</v>
      </c>
      <c r="S137" s="32"/>
      <c r="T137" s="32"/>
    </row>
    <row r="138" spans="1:20" x14ac:dyDescent="0.2">
      <c r="C138" s="32" t="s">
        <v>1066</v>
      </c>
      <c r="D138" s="444" t="s">
        <v>808</v>
      </c>
      <c r="E138" s="32" t="s">
        <v>957</v>
      </c>
      <c r="F138" s="495">
        <f>'JKP-3.1c - Rev Rates GRC09'!F138</f>
        <v>0.11253000000000001</v>
      </c>
      <c r="G138" s="495">
        <f>'JKP-3.1c - Rev Rates GRC09'!G138</f>
        <v>0.11253000000000001</v>
      </c>
      <c r="H138" s="495">
        <f>'JKP-3.1c - Rev Rates GRC09'!H138</f>
        <v>0.11253000000000001</v>
      </c>
      <c r="I138" s="495">
        <f>'JKP-3.1c - Rev Rates GRC09'!I138</f>
        <v>0.11253000000000001</v>
      </c>
      <c r="J138" s="495">
        <f>'JKP-3.1c - Rev Rates GRC09'!J138</f>
        <v>0.11253000000000001</v>
      </c>
      <c r="K138" s="495">
        <f>'JKP-3.1c - Rev Rates GRC09'!K138</f>
        <v>0.11253000000000001</v>
      </c>
      <c r="L138" s="495">
        <f>'JKP-3.1c - Rev Rates GRC09'!L138</f>
        <v>0.11253000000000001</v>
      </c>
      <c r="M138" s="495">
        <f>'JKP-3.1c - Rev Rates GRC09'!M138</f>
        <v>0.11253000000000001</v>
      </c>
      <c r="N138" s="495">
        <f>'JKP-3.1c - Rev Rates GRC09'!N138</f>
        <v>0.11253000000000001</v>
      </c>
      <c r="O138" s="495">
        <f>'JKP-3.1c - Rev Rates GRC09'!O138</f>
        <v>0.11253000000000001</v>
      </c>
      <c r="P138" s="495">
        <f>'JKP-3.1c - Rev Rates GRC09'!P138</f>
        <v>0.11253000000000001</v>
      </c>
      <c r="Q138" s="495">
        <f>'JKP-3.1c - Rev Rates GRC09'!Q138</f>
        <v>0.11253000000000001</v>
      </c>
      <c r="S138" s="32"/>
      <c r="T138" s="32"/>
    </row>
    <row r="139" spans="1:20" x14ac:dyDescent="0.2">
      <c r="B139" s="336" t="s">
        <v>1081</v>
      </c>
      <c r="D139" s="444" t="s">
        <v>808</v>
      </c>
      <c r="E139" s="32" t="s">
        <v>957</v>
      </c>
      <c r="F139" s="395">
        <v>6.9999999999999999E-4</v>
      </c>
      <c r="G139" s="395">
        <v>6.9999999999999999E-4</v>
      </c>
      <c r="H139" s="395">
        <v>6.9999999999999999E-4</v>
      </c>
      <c r="I139" s="395">
        <v>6.9999999999999999E-4</v>
      </c>
      <c r="J139" s="395">
        <v>6.9999999999999999E-4</v>
      </c>
      <c r="K139" s="395">
        <v>6.9999999999999999E-4</v>
      </c>
      <c r="L139" s="395">
        <v>6.9999999999999999E-4</v>
      </c>
      <c r="M139" s="395">
        <v>6.9999999999999999E-4</v>
      </c>
      <c r="N139" s="395">
        <v>6.9999999999999999E-4</v>
      </c>
      <c r="O139" s="395">
        <v>6.9999999999999999E-4</v>
      </c>
      <c r="P139" s="395">
        <v>6.9999999999999999E-4</v>
      </c>
      <c r="Q139" s="395">
        <v>6.9999999999999999E-4</v>
      </c>
      <c r="S139" s="32"/>
      <c r="T139" s="32"/>
    </row>
    <row r="140" spans="1:20" x14ac:dyDescent="0.2">
      <c r="B140" s="32" t="s">
        <v>1082</v>
      </c>
      <c r="F140" s="495">
        <f>'JKP-3.1c - Rev Rates GRC09'!F140</f>
        <v>-5.0699999999999999E-3</v>
      </c>
      <c r="G140" s="495">
        <f>'JKP-3.1c - Rev Rates GRC09'!G140</f>
        <v>-5.0699999999999999E-3</v>
      </c>
      <c r="H140" s="495">
        <f>'JKP-3.1c - Rev Rates GRC09'!H140</f>
        <v>-5.0699999999999999E-3</v>
      </c>
      <c r="I140" s="495">
        <f>'JKP-3.1c - Rev Rates GRC09'!I140</f>
        <v>-5.0699999999999999E-3</v>
      </c>
      <c r="J140" s="495">
        <f>'JKP-3.1c - Rev Rates GRC09'!J140</f>
        <v>-5.0699999999999999E-3</v>
      </c>
      <c r="K140" s="495">
        <f>'JKP-3.1c - Rev Rates GRC09'!K140</f>
        <v>-5.0699999999999999E-3</v>
      </c>
      <c r="L140" s="495">
        <f>'JKP-3.1c - Rev Rates GRC09'!L140</f>
        <v>-5.0699999999999999E-3</v>
      </c>
      <c r="M140" s="495">
        <f>'JKP-3.1c - Rev Rates GRC09'!M140</f>
        <v>-5.0699999999999999E-3</v>
      </c>
      <c r="N140" s="495">
        <f>'JKP-3.1c - Rev Rates GRC09'!N140</f>
        <v>-5.0699999999999999E-3</v>
      </c>
      <c r="O140" s="495">
        <f>'JKP-3.1c - Rev Rates GRC09'!O140</f>
        <v>-5.0699999999999999E-3</v>
      </c>
      <c r="P140" s="495">
        <f>'JKP-3.1c - Rev Rates GRC09'!P140</f>
        <v>-5.0699999999999999E-3</v>
      </c>
      <c r="Q140" s="495">
        <f>'JKP-3.1c - Rev Rates GRC09'!Q140</f>
        <v>-5.0699999999999999E-3</v>
      </c>
      <c r="S140" s="32"/>
      <c r="T140" s="32"/>
    </row>
    <row r="141" spans="1:20" x14ac:dyDescent="0.2">
      <c r="A141" s="336"/>
      <c r="B141" s="32" t="s">
        <v>1069</v>
      </c>
      <c r="D141" s="444" t="s">
        <v>808</v>
      </c>
      <c r="E141" s="32" t="s">
        <v>957</v>
      </c>
      <c r="F141" s="500">
        <f>'JKP-3.1c - Rev Rates GRC09'!F141</f>
        <v>1.1100000000000001</v>
      </c>
      <c r="G141" s="500">
        <f>'JKP-3.1c - Rev Rates GRC09'!G141</f>
        <v>1.1100000000000001</v>
      </c>
      <c r="H141" s="500">
        <f>'JKP-3.1c - Rev Rates GRC09'!H141</f>
        <v>1.1100000000000001</v>
      </c>
      <c r="I141" s="500">
        <f>'JKP-3.1c - Rev Rates GRC09'!I141</f>
        <v>1.1100000000000001</v>
      </c>
      <c r="J141" s="500">
        <f>'JKP-3.1c - Rev Rates GRC09'!J141</f>
        <v>1.1100000000000001</v>
      </c>
      <c r="K141" s="500">
        <f>'JKP-3.1c - Rev Rates GRC09'!K141</f>
        <v>1.1100000000000001</v>
      </c>
      <c r="L141" s="500">
        <f>'JKP-3.1c - Rev Rates GRC09'!L141</f>
        <v>1.1100000000000001</v>
      </c>
      <c r="M141" s="500">
        <f>'JKP-3.1c - Rev Rates GRC09'!M141</f>
        <v>1.1100000000000001</v>
      </c>
      <c r="N141" s="500">
        <f>'JKP-3.1c - Rev Rates GRC09'!N141</f>
        <v>1.1100000000000001</v>
      </c>
      <c r="O141" s="500">
        <f>'JKP-3.1c - Rev Rates GRC09'!O141</f>
        <v>1.1100000000000001</v>
      </c>
      <c r="P141" s="500">
        <f>'JKP-3.1c - Rev Rates GRC09'!P141</f>
        <v>1.1100000000000001</v>
      </c>
      <c r="Q141" s="500">
        <f>'JKP-3.1c - Rev Rates GRC09'!Q141</f>
        <v>1.1100000000000001</v>
      </c>
      <c r="S141" s="32"/>
      <c r="T141" s="32"/>
    </row>
    <row r="142" spans="1:20" x14ac:dyDescent="0.2">
      <c r="B142" s="32" t="s">
        <v>1071</v>
      </c>
      <c r="D142" s="444" t="s">
        <v>808</v>
      </c>
      <c r="E142" s="32" t="s">
        <v>67</v>
      </c>
      <c r="F142" s="500">
        <f>'JKP-3.1c - Rev Rates GRC09'!F142</f>
        <v>124.1</v>
      </c>
      <c r="G142" s="500">
        <f>'JKP-3.1c - Rev Rates GRC09'!G142</f>
        <v>124.1</v>
      </c>
      <c r="H142" s="500">
        <f>'JKP-3.1c - Rev Rates GRC09'!H142</f>
        <v>124.1</v>
      </c>
      <c r="I142" s="500">
        <f>'JKP-3.1c - Rev Rates GRC09'!I142</f>
        <v>124.1</v>
      </c>
      <c r="J142" s="500">
        <f>'JKP-3.1c - Rev Rates GRC09'!J142</f>
        <v>124.1</v>
      </c>
      <c r="K142" s="500">
        <f>'JKP-3.1c - Rev Rates GRC09'!K142</f>
        <v>124.1</v>
      </c>
      <c r="L142" s="500">
        <f>'JKP-3.1c - Rev Rates GRC09'!L142</f>
        <v>124.1</v>
      </c>
      <c r="M142" s="500">
        <f>'JKP-3.1c - Rev Rates GRC09'!M142</f>
        <v>124.1</v>
      </c>
      <c r="N142" s="500">
        <f>'JKP-3.1c - Rev Rates GRC09'!N142</f>
        <v>124.1</v>
      </c>
      <c r="O142" s="500">
        <f>'JKP-3.1c - Rev Rates GRC09'!O142</f>
        <v>124.1</v>
      </c>
      <c r="P142" s="500">
        <f>'JKP-3.1c - Rev Rates GRC09'!P142</f>
        <v>124.1</v>
      </c>
      <c r="Q142" s="500">
        <f>'JKP-3.1c - Rev Rates GRC09'!Q142</f>
        <v>124.1</v>
      </c>
      <c r="S142" s="32"/>
      <c r="T142" s="32"/>
    </row>
    <row r="143" spans="1:20" x14ac:dyDescent="0.2">
      <c r="S143" s="32"/>
      <c r="T143" s="32"/>
    </row>
    <row r="144" spans="1:20" x14ac:dyDescent="0.2">
      <c r="B144" s="276" t="s">
        <v>1083</v>
      </c>
      <c r="S144" s="32"/>
      <c r="T144" s="32"/>
    </row>
    <row r="145" spans="1:20" x14ac:dyDescent="0.2">
      <c r="B145" s="32" t="s">
        <v>67</v>
      </c>
      <c r="E145" s="32" t="s">
        <v>67</v>
      </c>
      <c r="F145" s="397">
        <f>'JKP-3.1c - Data'!C143</f>
        <v>10</v>
      </c>
      <c r="G145" s="397">
        <f>'JKP-3.1c - Data'!D143</f>
        <v>10</v>
      </c>
      <c r="H145" s="397">
        <f>'JKP-3.1c - Data'!E143</f>
        <v>10</v>
      </c>
      <c r="I145" s="397">
        <f>'JKP-3.1c - Data'!F143</f>
        <v>10</v>
      </c>
      <c r="J145" s="397">
        <f>'JKP-3.1c - Data'!G143</f>
        <v>10</v>
      </c>
      <c r="K145" s="397">
        <f>'JKP-3.1c - Data'!H143</f>
        <v>10</v>
      </c>
      <c r="L145" s="397">
        <f>'JKP-3.1c - Data'!I143</f>
        <v>10</v>
      </c>
      <c r="M145" s="397">
        <f>'JKP-3.1c - Data'!J143</f>
        <v>10</v>
      </c>
      <c r="N145" s="397">
        <f>'JKP-3.1c - Data'!K143</f>
        <v>11</v>
      </c>
      <c r="O145" s="397">
        <f>'JKP-3.1c - Data'!L143</f>
        <v>12</v>
      </c>
      <c r="P145" s="397">
        <f>'JKP-3.1c - Data'!M143</f>
        <v>20</v>
      </c>
      <c r="Q145" s="397">
        <f>'JKP-3.1c - Data'!N143</f>
        <v>30</v>
      </c>
      <c r="R145" s="398">
        <f>SUM(F145:Q145)</f>
        <v>153</v>
      </c>
      <c r="S145" s="32"/>
      <c r="T145" s="32"/>
    </row>
    <row r="146" spans="1:20" x14ac:dyDescent="0.2">
      <c r="B146" s="32" t="s">
        <v>76</v>
      </c>
      <c r="D146" s="336"/>
      <c r="E146" s="336"/>
      <c r="F146" s="380"/>
      <c r="G146" s="380"/>
      <c r="H146" s="380"/>
      <c r="I146" s="380"/>
      <c r="J146" s="380"/>
      <c r="K146" s="380"/>
      <c r="L146" s="380"/>
      <c r="M146" s="380"/>
      <c r="N146" s="380"/>
      <c r="O146" s="380"/>
      <c r="P146" s="380"/>
      <c r="Q146" s="380"/>
      <c r="R146" s="378"/>
      <c r="S146" s="32"/>
      <c r="T146" s="32"/>
    </row>
    <row r="147" spans="1:20" x14ac:dyDescent="0.2">
      <c r="C147" s="32" t="s">
        <v>1073</v>
      </c>
      <c r="D147" s="444" t="s">
        <v>808</v>
      </c>
      <c r="E147" s="336" t="s">
        <v>10</v>
      </c>
      <c r="F147" s="421">
        <f>'JKP-3.1c - Rev Actual Rates'!F158</f>
        <v>9000</v>
      </c>
      <c r="G147" s="421">
        <f>'JKP-3.1c - Rev Actual Rates'!G158</f>
        <v>9000</v>
      </c>
      <c r="H147" s="421">
        <f>'JKP-3.1c - Rev Actual Rates'!H158</f>
        <v>9000</v>
      </c>
      <c r="I147" s="421">
        <f>'JKP-3.1c - Rev Actual Rates'!I158</f>
        <v>9000</v>
      </c>
      <c r="J147" s="421">
        <f>'JKP-3.1c - Rev Actual Rates'!J158</f>
        <v>9000</v>
      </c>
      <c r="K147" s="421">
        <f>'JKP-3.1c - Rev Actual Rates'!K158</f>
        <v>9000</v>
      </c>
      <c r="L147" s="421">
        <f>'JKP-3.1c - Rev Actual Rates'!L158</f>
        <v>9000</v>
      </c>
      <c r="M147" s="421">
        <f>'JKP-3.1c - Rev Actual Rates'!M158</f>
        <v>8730</v>
      </c>
      <c r="N147" s="421">
        <f>'JKP-3.1c - Rev Actual Rates'!N158</f>
        <v>10283</v>
      </c>
      <c r="O147" s="421">
        <f>'JKP-3.1c - Rev Actual Rates'!O158</f>
        <v>10800</v>
      </c>
      <c r="P147" s="421">
        <f>'JKP-3.1c - Rev Actual Rates'!P158</f>
        <v>18000</v>
      </c>
      <c r="Q147" s="421">
        <f>'JKP-3.1c - Rev Actual Rates'!Q158</f>
        <v>27000</v>
      </c>
      <c r="R147" s="378">
        <f t="shared" ref="R147:R152" si="31">SUM(F147:Q147)</f>
        <v>137813</v>
      </c>
      <c r="S147" s="32"/>
      <c r="T147" s="32"/>
    </row>
    <row r="148" spans="1:20" s="336" customFormat="1" x14ac:dyDescent="0.2">
      <c r="C148" s="32" t="s">
        <v>1074</v>
      </c>
      <c r="D148" s="444" t="s">
        <v>808</v>
      </c>
      <c r="E148" s="336" t="s">
        <v>10</v>
      </c>
      <c r="F148" s="421">
        <f>'JKP-3.1c - Rev Actual Rates'!F159</f>
        <v>33855</v>
      </c>
      <c r="G148" s="421">
        <f>'JKP-3.1c - Rev Actual Rates'!G159</f>
        <v>32604</v>
      </c>
      <c r="H148" s="421">
        <f>'JKP-3.1c - Rev Actual Rates'!H159</f>
        <v>33321</v>
      </c>
      <c r="I148" s="421">
        <f>'JKP-3.1c - Rev Actual Rates'!I159</f>
        <v>31834</v>
      </c>
      <c r="J148" s="421">
        <f>'JKP-3.1c - Rev Actual Rates'!J159</f>
        <v>31568</v>
      </c>
      <c r="K148" s="421">
        <f>'JKP-3.1c - Rev Actual Rates'!K159</f>
        <v>28419</v>
      </c>
      <c r="L148" s="421">
        <f>'JKP-3.1c - Rev Actual Rates'!L159</f>
        <v>27720</v>
      </c>
      <c r="M148" s="421">
        <f>'JKP-3.1c - Rev Actual Rates'!M159</f>
        <v>24993</v>
      </c>
      <c r="N148" s="421">
        <f>'JKP-3.1c - Rev Actual Rates'!N159</f>
        <v>32804</v>
      </c>
      <c r="O148" s="421">
        <f>'JKP-3.1c - Rev Actual Rates'!O159</f>
        <v>35856</v>
      </c>
      <c r="P148" s="421">
        <f>'JKP-3.1c - Rev Actual Rates'!P159</f>
        <v>71760</v>
      </c>
      <c r="Q148" s="421">
        <f>'JKP-3.1c - Rev Actual Rates'!Q159</f>
        <v>112844</v>
      </c>
      <c r="R148" s="378">
        <f t="shared" si="31"/>
        <v>497578</v>
      </c>
    </row>
    <row r="149" spans="1:20" s="336" customFormat="1" x14ac:dyDescent="0.2">
      <c r="C149" s="32" t="s">
        <v>1066</v>
      </c>
      <c r="D149" s="444" t="s">
        <v>808</v>
      </c>
      <c r="E149" s="336" t="s">
        <v>10</v>
      </c>
      <c r="F149" s="421">
        <f>'JKP-3.1c - Rev Actual Rates'!F160</f>
        <v>57836</v>
      </c>
      <c r="G149" s="421">
        <f>'JKP-3.1c - Rev Actual Rates'!G160</f>
        <v>55602</v>
      </c>
      <c r="H149" s="421">
        <f>'JKP-3.1c - Rev Actual Rates'!H160</f>
        <v>75339</v>
      </c>
      <c r="I149" s="421">
        <f>'JKP-3.1c - Rev Actual Rates'!I160</f>
        <v>73828</v>
      </c>
      <c r="J149" s="421">
        <f>'JKP-3.1c - Rev Actual Rates'!J160</f>
        <v>62393</v>
      </c>
      <c r="K149" s="421">
        <f>'JKP-3.1c - Rev Actual Rates'!K160</f>
        <v>52202</v>
      </c>
      <c r="L149" s="421">
        <f>'JKP-3.1c - Rev Actual Rates'!L160</f>
        <v>59668</v>
      </c>
      <c r="M149" s="421">
        <f>'JKP-3.1c - Rev Actual Rates'!M160</f>
        <v>56940</v>
      </c>
      <c r="N149" s="421">
        <f>'JKP-3.1c - Rev Actual Rates'!N160</f>
        <v>88560</v>
      </c>
      <c r="O149" s="421">
        <f>'JKP-3.1c - Rev Actual Rates'!O160</f>
        <v>90619</v>
      </c>
      <c r="P149" s="421">
        <f>'JKP-3.1c - Rev Actual Rates'!P160</f>
        <v>138545</v>
      </c>
      <c r="Q149" s="421">
        <f>'JKP-3.1c - Rev Actual Rates'!Q160</f>
        <v>178640</v>
      </c>
      <c r="R149" s="378">
        <f t="shared" si="31"/>
        <v>990172</v>
      </c>
    </row>
    <row r="150" spans="1:20" x14ac:dyDescent="0.2">
      <c r="C150" s="32" t="s">
        <v>1075</v>
      </c>
      <c r="D150" s="444" t="s">
        <v>808</v>
      </c>
      <c r="E150" s="32" t="s">
        <v>10</v>
      </c>
      <c r="F150" s="443">
        <f>'JKP-3.1c - Rev Actual Rates'!F161</f>
        <v>100691</v>
      </c>
      <c r="G150" s="443">
        <f>'JKP-3.1c - Rev Actual Rates'!G161</f>
        <v>97206</v>
      </c>
      <c r="H150" s="443">
        <f>'JKP-3.1c - Rev Actual Rates'!H161</f>
        <v>117660</v>
      </c>
      <c r="I150" s="443">
        <f>'JKP-3.1c - Rev Actual Rates'!I161</f>
        <v>114662</v>
      </c>
      <c r="J150" s="443">
        <f>'JKP-3.1c - Rev Actual Rates'!J161</f>
        <v>102961</v>
      </c>
      <c r="K150" s="443">
        <f>'JKP-3.1c - Rev Actual Rates'!K161</f>
        <v>89621</v>
      </c>
      <c r="L150" s="443">
        <f>'JKP-3.1c - Rev Actual Rates'!L161</f>
        <v>96388</v>
      </c>
      <c r="M150" s="443">
        <f>'JKP-3.1c - Rev Actual Rates'!M161</f>
        <v>90663</v>
      </c>
      <c r="N150" s="443">
        <f>'JKP-3.1c - Rev Actual Rates'!N161</f>
        <v>131647</v>
      </c>
      <c r="O150" s="443">
        <f>'JKP-3.1c - Rev Actual Rates'!O161</f>
        <v>137275</v>
      </c>
      <c r="P150" s="443">
        <f>'JKP-3.1c - Rev Actual Rates'!P161</f>
        <v>228305</v>
      </c>
      <c r="Q150" s="443">
        <f>'JKP-3.1c - Rev Actual Rates'!Q161</f>
        <v>318484</v>
      </c>
      <c r="R150" s="430">
        <f t="shared" si="31"/>
        <v>1625563</v>
      </c>
      <c r="S150" s="32"/>
      <c r="T150" s="32"/>
    </row>
    <row r="151" spans="1:20" s="336" customFormat="1" x14ac:dyDescent="0.2">
      <c r="B151" s="336" t="s">
        <v>74</v>
      </c>
      <c r="D151" s="444" t="s">
        <v>808</v>
      </c>
      <c r="E151" s="336" t="s">
        <v>1076</v>
      </c>
      <c r="F151" s="421">
        <f>'JKP-3.1c - Rev Actual Rates'!F162</f>
        <v>6680</v>
      </c>
      <c r="G151" s="421">
        <f>'JKP-3.1c - Rev Actual Rates'!G162</f>
        <v>6680</v>
      </c>
      <c r="H151" s="421">
        <f>'JKP-3.1c - Rev Actual Rates'!H162</f>
        <v>6680</v>
      </c>
      <c r="I151" s="421">
        <f>'JKP-3.1c - Rev Actual Rates'!I162</f>
        <v>6680</v>
      </c>
      <c r="J151" s="421">
        <f>'JKP-3.1c - Rev Actual Rates'!J162</f>
        <v>6679.9999999999991</v>
      </c>
      <c r="K151" s="421">
        <f>'JKP-3.1c - Rev Actual Rates'!K162</f>
        <v>6680</v>
      </c>
      <c r="L151" s="421">
        <f>'JKP-3.1c - Rev Actual Rates'!L162</f>
        <v>5996</v>
      </c>
      <c r="M151" s="421">
        <f>'JKP-3.1c - Rev Actual Rates'!M162</f>
        <v>5996</v>
      </c>
      <c r="N151" s="421">
        <f>'JKP-3.1c - Rev Actual Rates'!N162</f>
        <v>5996</v>
      </c>
      <c r="O151" s="421">
        <f>'JKP-3.1c - Rev Actual Rates'!O162</f>
        <v>8026</v>
      </c>
      <c r="P151" s="421">
        <f>'JKP-3.1c - Rev Actual Rates'!P162</f>
        <v>8026</v>
      </c>
      <c r="Q151" s="421">
        <f>'JKP-3.1c - Rev Actual Rates'!Q162</f>
        <v>12103</v>
      </c>
      <c r="R151" s="378">
        <f t="shared" si="31"/>
        <v>86223</v>
      </c>
    </row>
    <row r="152" spans="1:20" s="336" customFormat="1" x14ac:dyDescent="0.2">
      <c r="B152" s="336" t="s">
        <v>1071</v>
      </c>
      <c r="D152" s="444" t="s">
        <v>808</v>
      </c>
      <c r="E152" s="336" t="s">
        <v>67</v>
      </c>
      <c r="F152" s="398">
        <f t="shared" ref="F152:N152" si="32">F145</f>
        <v>10</v>
      </c>
      <c r="G152" s="398">
        <f t="shared" si="32"/>
        <v>10</v>
      </c>
      <c r="H152" s="398">
        <f t="shared" si="32"/>
        <v>10</v>
      </c>
      <c r="I152" s="398">
        <f t="shared" si="32"/>
        <v>10</v>
      </c>
      <c r="J152" s="398">
        <f t="shared" si="32"/>
        <v>10</v>
      </c>
      <c r="K152" s="398">
        <f t="shared" si="32"/>
        <v>10</v>
      </c>
      <c r="L152" s="398">
        <f t="shared" si="32"/>
        <v>10</v>
      </c>
      <c r="M152" s="398">
        <f t="shared" si="32"/>
        <v>10</v>
      </c>
      <c r="N152" s="398">
        <f t="shared" si="32"/>
        <v>11</v>
      </c>
      <c r="O152" s="398">
        <f>O145</f>
        <v>12</v>
      </c>
      <c r="P152" s="398">
        <f>P145</f>
        <v>20</v>
      </c>
      <c r="Q152" s="398">
        <f>Q145</f>
        <v>30</v>
      </c>
      <c r="R152" s="398">
        <f t="shared" si="31"/>
        <v>153</v>
      </c>
    </row>
    <row r="153" spans="1:20" x14ac:dyDescent="0.2">
      <c r="F153" s="279"/>
      <c r="G153" s="279"/>
      <c r="H153" s="279"/>
      <c r="I153" s="279"/>
      <c r="J153" s="279"/>
      <c r="K153" s="279"/>
      <c r="L153" s="279"/>
      <c r="M153" s="279"/>
      <c r="N153" s="279"/>
      <c r="O153" s="279"/>
      <c r="P153" s="279"/>
      <c r="Q153" s="279"/>
      <c r="R153" s="279"/>
      <c r="S153" s="32"/>
      <c r="T153" s="32"/>
    </row>
    <row r="154" spans="1:20" x14ac:dyDescent="0.2">
      <c r="B154" s="276" t="s">
        <v>1084</v>
      </c>
      <c r="S154" s="32"/>
      <c r="T154" s="32"/>
    </row>
    <row r="155" spans="1:20" x14ac:dyDescent="0.2">
      <c r="A155" s="32" t="s">
        <v>1054</v>
      </c>
      <c r="B155" s="32" t="s">
        <v>1059</v>
      </c>
      <c r="D155" s="444" t="s">
        <v>808</v>
      </c>
      <c r="F155" s="364">
        <f t="shared" ref="F155:Q155" si="33">F135*F145</f>
        <v>4146.8</v>
      </c>
      <c r="G155" s="364">
        <f t="shared" si="33"/>
        <v>4146.8</v>
      </c>
      <c r="H155" s="364">
        <f t="shared" si="33"/>
        <v>4146.8</v>
      </c>
      <c r="I155" s="364">
        <f t="shared" si="33"/>
        <v>4146.8</v>
      </c>
      <c r="J155" s="364">
        <f t="shared" si="33"/>
        <v>4146.8</v>
      </c>
      <c r="K155" s="364">
        <f t="shared" si="33"/>
        <v>4146.8</v>
      </c>
      <c r="L155" s="364">
        <f t="shared" si="33"/>
        <v>4146.8</v>
      </c>
      <c r="M155" s="364">
        <f t="shared" si="33"/>
        <v>4146.8</v>
      </c>
      <c r="N155" s="364">
        <f t="shared" si="33"/>
        <v>4561.4800000000005</v>
      </c>
      <c r="O155" s="364">
        <f t="shared" si="33"/>
        <v>4976.16</v>
      </c>
      <c r="P155" s="364">
        <f t="shared" si="33"/>
        <v>8293.6</v>
      </c>
      <c r="Q155" s="364">
        <f t="shared" si="33"/>
        <v>12440.4</v>
      </c>
      <c r="R155" s="364">
        <f>SUM(F155:Q155)</f>
        <v>63446.040000000008</v>
      </c>
      <c r="S155" s="32"/>
      <c r="T155" s="32"/>
    </row>
    <row r="156" spans="1:20" x14ac:dyDescent="0.2">
      <c r="B156" s="32" t="s">
        <v>1047</v>
      </c>
      <c r="F156" s="364"/>
      <c r="G156" s="364"/>
      <c r="H156" s="364"/>
      <c r="I156" s="364"/>
      <c r="J156" s="364"/>
      <c r="K156" s="364"/>
      <c r="L156" s="364"/>
      <c r="M156" s="364"/>
      <c r="N156" s="364"/>
      <c r="O156" s="364"/>
      <c r="P156" s="364"/>
      <c r="Q156" s="364"/>
      <c r="R156" s="364"/>
      <c r="S156" s="32"/>
      <c r="T156" s="32"/>
    </row>
    <row r="157" spans="1:20" x14ac:dyDescent="0.2">
      <c r="C157" s="32" t="s">
        <v>1073</v>
      </c>
      <c r="F157" s="350">
        <v>0</v>
      </c>
      <c r="G157" s="350">
        <v>0</v>
      </c>
      <c r="H157" s="350">
        <v>0</v>
      </c>
      <c r="I157" s="350">
        <v>0</v>
      </c>
      <c r="J157" s="350">
        <v>0</v>
      </c>
      <c r="K157" s="350">
        <v>0</v>
      </c>
      <c r="L157" s="350">
        <v>0</v>
      </c>
      <c r="M157" s="350">
        <v>0</v>
      </c>
      <c r="N157" s="350">
        <v>0</v>
      </c>
      <c r="O157" s="350">
        <v>0</v>
      </c>
      <c r="P157" s="350">
        <v>0</v>
      </c>
      <c r="Q157" s="350">
        <v>0</v>
      </c>
      <c r="R157" s="350">
        <f t="shared" ref="R157:R164" si="34">SUM(F157:Q157)</f>
        <v>0</v>
      </c>
      <c r="S157" s="32"/>
      <c r="T157" s="32"/>
    </row>
    <row r="158" spans="1:20" x14ac:dyDescent="0.2">
      <c r="C158" s="32" t="s">
        <v>1074</v>
      </c>
      <c r="D158" s="444" t="s">
        <v>808</v>
      </c>
      <c r="F158" s="364">
        <f t="shared" ref="F158:Q159" si="35">F137*F148</f>
        <v>4668.26595</v>
      </c>
      <c r="G158" s="364">
        <f t="shared" si="35"/>
        <v>4495.7655600000007</v>
      </c>
      <c r="H158" s="364">
        <f t="shared" si="35"/>
        <v>4594.6326900000004</v>
      </c>
      <c r="I158" s="364">
        <f t="shared" si="35"/>
        <v>4389.5902600000009</v>
      </c>
      <c r="J158" s="364">
        <f t="shared" si="35"/>
        <v>4352.9115200000006</v>
      </c>
      <c r="K158" s="364">
        <f t="shared" si="35"/>
        <v>3918.6959100000004</v>
      </c>
      <c r="L158" s="364">
        <f t="shared" si="35"/>
        <v>3822.3108000000002</v>
      </c>
      <c r="M158" s="364">
        <f t="shared" si="35"/>
        <v>3446.2847700000002</v>
      </c>
      <c r="N158" s="364">
        <f t="shared" si="35"/>
        <v>4523.3435600000003</v>
      </c>
      <c r="O158" s="364">
        <f t="shared" si="35"/>
        <v>4944.1838400000006</v>
      </c>
      <c r="P158" s="364">
        <f t="shared" si="35"/>
        <v>9894.9864000000016</v>
      </c>
      <c r="Q158" s="364">
        <f t="shared" si="35"/>
        <v>15560.059160000001</v>
      </c>
      <c r="R158" s="364">
        <f t="shared" si="34"/>
        <v>68611.03042000001</v>
      </c>
      <c r="S158" s="32"/>
      <c r="T158" s="32"/>
    </row>
    <row r="159" spans="1:20" x14ac:dyDescent="0.2">
      <c r="C159" s="32" t="s">
        <v>1066</v>
      </c>
      <c r="D159" s="444" t="s">
        <v>808</v>
      </c>
      <c r="F159" s="364">
        <f t="shared" si="35"/>
        <v>6508.2850800000006</v>
      </c>
      <c r="G159" s="364">
        <f t="shared" si="35"/>
        <v>6256.8930600000003</v>
      </c>
      <c r="H159" s="364">
        <f t="shared" si="35"/>
        <v>8477.8976700000003</v>
      </c>
      <c r="I159" s="364">
        <f t="shared" si="35"/>
        <v>8307.8648400000002</v>
      </c>
      <c r="J159" s="364">
        <f t="shared" si="35"/>
        <v>7021.0842900000007</v>
      </c>
      <c r="K159" s="364">
        <f t="shared" si="35"/>
        <v>5874.2910600000005</v>
      </c>
      <c r="L159" s="364">
        <f t="shared" si="35"/>
        <v>6714.4400400000004</v>
      </c>
      <c r="M159" s="364">
        <f t="shared" si="35"/>
        <v>6407.4582</v>
      </c>
      <c r="N159" s="364">
        <f t="shared" si="35"/>
        <v>9965.6568000000007</v>
      </c>
      <c r="O159" s="364">
        <f t="shared" si="35"/>
        <v>10197.35607</v>
      </c>
      <c r="P159" s="364">
        <f t="shared" si="35"/>
        <v>15590.468850000001</v>
      </c>
      <c r="Q159" s="364">
        <f t="shared" si="35"/>
        <v>20102.359200000003</v>
      </c>
      <c r="R159" s="364">
        <f t="shared" si="34"/>
        <v>111424.05516000002</v>
      </c>
      <c r="S159" s="32"/>
      <c r="T159" s="32"/>
    </row>
    <row r="160" spans="1:20" x14ac:dyDescent="0.2">
      <c r="A160" s="32" t="s">
        <v>1054</v>
      </c>
      <c r="C160" s="32" t="s">
        <v>1077</v>
      </c>
      <c r="F160" s="365">
        <f t="shared" ref="F160:L160" si="36">SUM(F157:F159)</f>
        <v>11176.551030000001</v>
      </c>
      <c r="G160" s="365">
        <f t="shared" si="36"/>
        <v>10752.658620000002</v>
      </c>
      <c r="H160" s="365">
        <f t="shared" si="36"/>
        <v>13072.530360000001</v>
      </c>
      <c r="I160" s="365">
        <f t="shared" si="36"/>
        <v>12697.455100000001</v>
      </c>
      <c r="J160" s="365">
        <f t="shared" si="36"/>
        <v>11373.99581</v>
      </c>
      <c r="K160" s="365">
        <f t="shared" si="36"/>
        <v>9792.9869700000017</v>
      </c>
      <c r="L160" s="365">
        <f t="shared" si="36"/>
        <v>10536.750840000001</v>
      </c>
      <c r="M160" s="365">
        <f>SUM(M157:M159)</f>
        <v>9853.7429699999993</v>
      </c>
      <c r="N160" s="365">
        <f>SUM(N157:N159)</f>
        <v>14489.000360000002</v>
      </c>
      <c r="O160" s="365">
        <f>SUM(O157:O159)</f>
        <v>15141.53991</v>
      </c>
      <c r="P160" s="365">
        <f>SUM(P157:P159)</f>
        <v>25485.455250000003</v>
      </c>
      <c r="Q160" s="365">
        <f>SUM(Q157:Q159)</f>
        <v>35662.418360000003</v>
      </c>
      <c r="R160" s="365">
        <f t="shared" si="34"/>
        <v>180035.08558000001</v>
      </c>
      <c r="S160" s="32"/>
      <c r="T160" s="32"/>
    </row>
    <row r="161" spans="1:20" x14ac:dyDescent="0.2">
      <c r="A161" s="32" t="s">
        <v>1056</v>
      </c>
      <c r="B161" s="336" t="s">
        <v>1081</v>
      </c>
      <c r="D161" s="444" t="s">
        <v>808</v>
      </c>
      <c r="F161" s="418">
        <f t="shared" ref="F161:Q161" si="37">F139*F150</f>
        <v>70.483699999999999</v>
      </c>
      <c r="G161" s="418">
        <f t="shared" si="37"/>
        <v>68.044200000000004</v>
      </c>
      <c r="H161" s="418">
        <f t="shared" si="37"/>
        <v>82.361999999999995</v>
      </c>
      <c r="I161" s="418">
        <f t="shared" si="37"/>
        <v>80.263400000000004</v>
      </c>
      <c r="J161" s="418">
        <f t="shared" si="37"/>
        <v>72.072699999999998</v>
      </c>
      <c r="K161" s="418">
        <f t="shared" si="37"/>
        <v>62.734699999999997</v>
      </c>
      <c r="L161" s="418">
        <f t="shared" si="37"/>
        <v>67.471599999999995</v>
      </c>
      <c r="M161" s="418">
        <f t="shared" si="37"/>
        <v>63.464100000000002</v>
      </c>
      <c r="N161" s="418">
        <f t="shared" si="37"/>
        <v>92.152900000000002</v>
      </c>
      <c r="O161" s="418">
        <f t="shared" si="37"/>
        <v>96.092500000000001</v>
      </c>
      <c r="P161" s="418">
        <f t="shared" si="37"/>
        <v>159.8135</v>
      </c>
      <c r="Q161" s="418">
        <f t="shared" si="37"/>
        <v>222.93879999999999</v>
      </c>
      <c r="R161" s="418">
        <f t="shared" si="34"/>
        <v>1137.8941</v>
      </c>
      <c r="S161" s="32"/>
      <c r="T161" s="32"/>
    </row>
    <row r="162" spans="1:20" x14ac:dyDescent="0.2">
      <c r="A162" s="32" t="s">
        <v>1054</v>
      </c>
      <c r="B162" s="32" t="s">
        <v>1082</v>
      </c>
      <c r="F162" s="418">
        <f t="shared" ref="F162:Q164" si="38">F140*F150</f>
        <v>-510.50336999999996</v>
      </c>
      <c r="G162" s="418">
        <f t="shared" si="38"/>
        <v>-492.83441999999997</v>
      </c>
      <c r="H162" s="418">
        <f t="shared" si="38"/>
        <v>-596.53620000000001</v>
      </c>
      <c r="I162" s="418">
        <f t="shared" si="38"/>
        <v>-581.33633999999995</v>
      </c>
      <c r="J162" s="418">
        <f t="shared" si="38"/>
        <v>-522.01226999999994</v>
      </c>
      <c r="K162" s="418">
        <f t="shared" si="38"/>
        <v>-454.37846999999999</v>
      </c>
      <c r="L162" s="418">
        <f t="shared" si="38"/>
        <v>-488.68716000000001</v>
      </c>
      <c r="M162" s="418">
        <f t="shared" si="38"/>
        <v>-459.66140999999999</v>
      </c>
      <c r="N162" s="418">
        <f t="shared" si="38"/>
        <v>-667.45029</v>
      </c>
      <c r="O162" s="418">
        <f t="shared" si="38"/>
        <v>-695.98424999999997</v>
      </c>
      <c r="P162" s="418">
        <f t="shared" si="38"/>
        <v>-1157.5063499999999</v>
      </c>
      <c r="Q162" s="418">
        <f t="shared" si="38"/>
        <v>-1614.71388</v>
      </c>
      <c r="R162" s="418">
        <f t="shared" si="34"/>
        <v>-8241.6044099999981</v>
      </c>
      <c r="S162" s="32"/>
      <c r="T162" s="32"/>
    </row>
    <row r="163" spans="1:20" x14ac:dyDescent="0.2">
      <c r="A163" s="32" t="s">
        <v>1054</v>
      </c>
      <c r="B163" s="32" t="s">
        <v>1069</v>
      </c>
      <c r="D163" s="444" t="s">
        <v>808</v>
      </c>
      <c r="F163" s="364">
        <f t="shared" si="38"/>
        <v>7414.8000000000011</v>
      </c>
      <c r="G163" s="364">
        <f t="shared" si="38"/>
        <v>7414.8000000000011</v>
      </c>
      <c r="H163" s="364">
        <f t="shared" si="38"/>
        <v>7414.8000000000011</v>
      </c>
      <c r="I163" s="364">
        <f t="shared" si="38"/>
        <v>7414.8000000000011</v>
      </c>
      <c r="J163" s="364">
        <f t="shared" si="38"/>
        <v>7414.7999999999993</v>
      </c>
      <c r="K163" s="364">
        <f t="shared" si="38"/>
        <v>7414.8000000000011</v>
      </c>
      <c r="L163" s="364">
        <f t="shared" si="38"/>
        <v>6655.56</v>
      </c>
      <c r="M163" s="364">
        <f t="shared" si="38"/>
        <v>6655.56</v>
      </c>
      <c r="N163" s="364">
        <f t="shared" si="38"/>
        <v>6655.56</v>
      </c>
      <c r="O163" s="364">
        <f t="shared" si="38"/>
        <v>8908.86</v>
      </c>
      <c r="P163" s="364">
        <f t="shared" si="38"/>
        <v>8908.86</v>
      </c>
      <c r="Q163" s="364">
        <f t="shared" si="38"/>
        <v>13434.330000000002</v>
      </c>
      <c r="R163" s="364">
        <f t="shared" si="34"/>
        <v>95707.53</v>
      </c>
      <c r="S163" s="32"/>
      <c r="T163" s="32"/>
    </row>
    <row r="164" spans="1:20" s="336" customFormat="1" x14ac:dyDescent="0.2">
      <c r="A164" s="336" t="s">
        <v>1054</v>
      </c>
      <c r="B164" s="336" t="s">
        <v>1071</v>
      </c>
      <c r="D164" s="444" t="s">
        <v>808</v>
      </c>
      <c r="F164" s="418">
        <f t="shared" si="38"/>
        <v>1241</v>
      </c>
      <c r="G164" s="418">
        <f t="shared" si="38"/>
        <v>1241</v>
      </c>
      <c r="H164" s="418">
        <f t="shared" si="38"/>
        <v>1241</v>
      </c>
      <c r="I164" s="418">
        <f t="shared" si="38"/>
        <v>1241</v>
      </c>
      <c r="J164" s="418">
        <f t="shared" si="38"/>
        <v>1241</v>
      </c>
      <c r="K164" s="418">
        <f t="shared" si="38"/>
        <v>1241</v>
      </c>
      <c r="L164" s="418">
        <f t="shared" si="38"/>
        <v>1241</v>
      </c>
      <c r="M164" s="418">
        <f>M142*M152</f>
        <v>1241</v>
      </c>
      <c r="N164" s="418">
        <f>N142*N152</f>
        <v>1365.1</v>
      </c>
      <c r="O164" s="418">
        <f>O142*O152</f>
        <v>1489.1999999999998</v>
      </c>
      <c r="P164" s="418">
        <f>P142*P152</f>
        <v>2482</v>
      </c>
      <c r="Q164" s="418">
        <f>Q142*Q152</f>
        <v>3723</v>
      </c>
      <c r="R164" s="418">
        <f t="shared" si="34"/>
        <v>18987.3</v>
      </c>
    </row>
    <row r="165" spans="1:20" x14ac:dyDescent="0.2">
      <c r="B165" s="32" t="s">
        <v>986</v>
      </c>
      <c r="F165" s="365">
        <f t="shared" ref="F165:R165" si="39">F155+F160+F163+F164+F161+F162</f>
        <v>23539.131360000003</v>
      </c>
      <c r="G165" s="365">
        <f t="shared" si="39"/>
        <v>23130.468400000002</v>
      </c>
      <c r="H165" s="365">
        <f t="shared" si="39"/>
        <v>25360.956160000005</v>
      </c>
      <c r="I165" s="365">
        <f t="shared" si="39"/>
        <v>24998.982160000003</v>
      </c>
      <c r="J165" s="365">
        <f t="shared" si="39"/>
        <v>23726.65624</v>
      </c>
      <c r="K165" s="365">
        <f t="shared" si="39"/>
        <v>22203.943200000005</v>
      </c>
      <c r="L165" s="365">
        <f t="shared" si="39"/>
        <v>22158.895280000001</v>
      </c>
      <c r="M165" s="365">
        <f t="shared" si="39"/>
        <v>21500.90566</v>
      </c>
      <c r="N165" s="365">
        <f t="shared" si="39"/>
        <v>26495.842970000002</v>
      </c>
      <c r="O165" s="365">
        <f t="shared" si="39"/>
        <v>29915.868159999998</v>
      </c>
      <c r="P165" s="365">
        <f t="shared" si="39"/>
        <v>44172.222399999999</v>
      </c>
      <c r="Q165" s="365">
        <f t="shared" si="39"/>
        <v>63868.373280000007</v>
      </c>
      <c r="R165" s="365">
        <f t="shared" si="39"/>
        <v>351072.24527000001</v>
      </c>
      <c r="S165" s="32"/>
      <c r="T165" s="32"/>
    </row>
    <row r="166" spans="1:20" x14ac:dyDescent="0.2">
      <c r="F166" s="364"/>
      <c r="G166" s="364"/>
      <c r="H166" s="364"/>
      <c r="I166" s="364"/>
      <c r="J166" s="364"/>
      <c r="K166" s="364"/>
      <c r="L166" s="364"/>
      <c r="M166" s="364"/>
      <c r="N166" s="364"/>
      <c r="O166" s="364"/>
      <c r="P166" s="364"/>
      <c r="Q166" s="364"/>
      <c r="S166" s="32"/>
      <c r="T166" s="32"/>
    </row>
    <row r="167" spans="1:20" x14ac:dyDescent="0.2">
      <c r="A167" s="32" t="s">
        <v>1058</v>
      </c>
      <c r="B167" s="32" t="s">
        <v>1050</v>
      </c>
      <c r="F167" s="364">
        <f>F161</f>
        <v>70.483699999999999</v>
      </c>
      <c r="G167" s="364">
        <f t="shared" ref="G167:Q167" si="40">G161</f>
        <v>68.044200000000004</v>
      </c>
      <c r="H167" s="364">
        <f t="shared" si="40"/>
        <v>82.361999999999995</v>
      </c>
      <c r="I167" s="364">
        <f t="shared" si="40"/>
        <v>80.263400000000004</v>
      </c>
      <c r="J167" s="364">
        <f t="shared" si="40"/>
        <v>72.072699999999998</v>
      </c>
      <c r="K167" s="364">
        <f t="shared" si="40"/>
        <v>62.734699999999997</v>
      </c>
      <c r="L167" s="364">
        <f t="shared" si="40"/>
        <v>67.471599999999995</v>
      </c>
      <c r="M167" s="364">
        <f t="shared" si="40"/>
        <v>63.464100000000002</v>
      </c>
      <c r="N167" s="364">
        <f t="shared" si="40"/>
        <v>92.152900000000002</v>
      </c>
      <c r="O167" s="364">
        <f t="shared" si="40"/>
        <v>96.092500000000001</v>
      </c>
      <c r="P167" s="364">
        <f t="shared" si="40"/>
        <v>159.8135</v>
      </c>
      <c r="Q167" s="364">
        <f t="shared" si="40"/>
        <v>222.93879999999999</v>
      </c>
      <c r="R167" s="364">
        <f>SUM(F167:Q167)</f>
        <v>1137.8941</v>
      </c>
      <c r="S167" s="32"/>
      <c r="T167" s="32"/>
    </row>
    <row r="168" spans="1:20" x14ac:dyDescent="0.2">
      <c r="F168" s="364"/>
      <c r="G168" s="364"/>
      <c r="H168" s="364"/>
      <c r="I168" s="364"/>
      <c r="J168" s="364"/>
      <c r="K168" s="364"/>
      <c r="L168" s="364"/>
      <c r="M168" s="364"/>
      <c r="N168" s="364"/>
      <c r="O168" s="364"/>
      <c r="P168" s="364"/>
      <c r="Q168" s="364"/>
      <c r="S168" s="32"/>
      <c r="T168" s="32"/>
    </row>
    <row r="169" spans="1:20" s="336" customFormat="1" x14ac:dyDescent="0.2">
      <c r="B169" s="182" t="s">
        <v>1085</v>
      </c>
      <c r="C169" s="182"/>
    </row>
    <row r="170" spans="1:20" x14ac:dyDescent="0.2">
      <c r="B170" s="276" t="s">
        <v>5</v>
      </c>
      <c r="C170" s="276"/>
      <c r="D170" s="444"/>
      <c r="S170" s="32"/>
      <c r="T170" s="32"/>
    </row>
    <row r="171" spans="1:20" x14ac:dyDescent="0.2">
      <c r="B171" s="32" t="s">
        <v>1059</v>
      </c>
      <c r="D171" s="444" t="s">
        <v>809</v>
      </c>
      <c r="E171" s="32" t="s">
        <v>976</v>
      </c>
      <c r="F171" s="500">
        <f>'JKP-3.1c - Rev Rates GRC09'!F171</f>
        <v>871.59</v>
      </c>
      <c r="G171" s="500">
        <f>'JKP-3.1c - Rev Rates GRC09'!G171</f>
        <v>871.59</v>
      </c>
      <c r="H171" s="500">
        <f>'JKP-3.1c - Rev Rates GRC09'!H171</f>
        <v>871.59</v>
      </c>
      <c r="I171" s="500">
        <f>'JKP-3.1c - Rev Rates GRC09'!I171</f>
        <v>871.59</v>
      </c>
      <c r="J171" s="500">
        <f>'JKP-3.1c - Rev Rates GRC09'!J171</f>
        <v>871.59</v>
      </c>
      <c r="K171" s="500">
        <f>'JKP-3.1c - Rev Rates GRC09'!K171</f>
        <v>871.59</v>
      </c>
      <c r="L171" s="500">
        <f>'JKP-3.1c - Rev Rates GRC09'!L171</f>
        <v>871.59</v>
      </c>
      <c r="M171" s="500">
        <f>'JKP-3.1c - Rev Rates GRC09'!M171</f>
        <v>871.59</v>
      </c>
      <c r="N171" s="500">
        <f>'JKP-3.1c - Rev Rates GRC09'!N171</f>
        <v>871.59</v>
      </c>
      <c r="O171" s="500">
        <f>'JKP-3.1c - Rev Rates GRC09'!O171</f>
        <v>871.59</v>
      </c>
      <c r="P171" s="500">
        <f>'JKP-3.1c - Rev Rates GRC09'!P171</f>
        <v>871.59</v>
      </c>
      <c r="Q171" s="500">
        <f>'JKP-3.1c - Rev Rates GRC09'!Q171</f>
        <v>871.59</v>
      </c>
      <c r="S171" s="32"/>
      <c r="T171" s="32"/>
    </row>
    <row r="172" spans="1:20" x14ac:dyDescent="0.2">
      <c r="B172" s="32" t="s">
        <v>1047</v>
      </c>
      <c r="D172" s="444"/>
      <c r="F172" s="495"/>
      <c r="G172" s="495"/>
      <c r="H172" s="495"/>
      <c r="I172" s="495"/>
      <c r="J172" s="495"/>
      <c r="K172" s="495"/>
      <c r="L172" s="495"/>
      <c r="M172" s="495"/>
      <c r="N172" s="495"/>
      <c r="O172" s="495"/>
      <c r="P172" s="495"/>
      <c r="Q172" s="495"/>
      <c r="S172" s="32"/>
      <c r="T172" s="32"/>
    </row>
    <row r="173" spans="1:20" x14ac:dyDescent="0.2">
      <c r="C173" s="32" t="s">
        <v>1086</v>
      </c>
      <c r="D173" s="444" t="s">
        <v>809</v>
      </c>
      <c r="E173" s="32" t="s">
        <v>957</v>
      </c>
      <c r="F173" s="496">
        <f>'JKP-3.1c - Rev Rates GRC09'!F173</f>
        <v>0.10229000000000001</v>
      </c>
      <c r="G173" s="496">
        <f>'JKP-3.1c - Rev Rates GRC09'!G173</f>
        <v>0.10229000000000001</v>
      </c>
      <c r="H173" s="496">
        <f>'JKP-3.1c - Rev Rates GRC09'!H173</f>
        <v>0.10229000000000001</v>
      </c>
      <c r="I173" s="496">
        <f>'JKP-3.1c - Rev Rates GRC09'!I173</f>
        <v>0.10229000000000001</v>
      </c>
      <c r="J173" s="496">
        <f>'JKP-3.1c - Rev Rates GRC09'!J173</f>
        <v>0.10229000000000001</v>
      </c>
      <c r="K173" s="496">
        <f>'JKP-3.1c - Rev Rates GRC09'!K173</f>
        <v>0.10229000000000001</v>
      </c>
      <c r="L173" s="496">
        <f>'JKP-3.1c - Rev Rates GRC09'!L173</f>
        <v>0.10229000000000001</v>
      </c>
      <c r="M173" s="496">
        <f>'JKP-3.1c - Rev Rates GRC09'!M173</f>
        <v>0.10229000000000001</v>
      </c>
      <c r="N173" s="496">
        <f>'JKP-3.1c - Rev Rates GRC09'!N173</f>
        <v>0.10229000000000001</v>
      </c>
      <c r="O173" s="496">
        <f>'JKP-3.1c - Rev Rates GRC09'!O173</f>
        <v>0.10229000000000001</v>
      </c>
      <c r="P173" s="496">
        <f>'JKP-3.1c - Rev Rates GRC09'!P173</f>
        <v>0.10229000000000001</v>
      </c>
      <c r="Q173" s="496">
        <f>'JKP-3.1c - Rev Rates GRC09'!Q173</f>
        <v>0.10229000000000001</v>
      </c>
      <c r="S173" s="32"/>
      <c r="T173" s="32"/>
    </row>
    <row r="174" spans="1:20" x14ac:dyDescent="0.2">
      <c r="C174" s="32" t="s">
        <v>1087</v>
      </c>
      <c r="D174" s="444" t="s">
        <v>809</v>
      </c>
      <c r="E174" s="32" t="s">
        <v>957</v>
      </c>
      <c r="F174" s="496">
        <f>'JKP-3.1c - Rev Rates GRC09'!F174</f>
        <v>5.2440000000000001E-2</v>
      </c>
      <c r="G174" s="496">
        <f>'JKP-3.1c - Rev Rates GRC09'!G174</f>
        <v>5.2440000000000001E-2</v>
      </c>
      <c r="H174" s="496">
        <f>'JKP-3.1c - Rev Rates GRC09'!H174</f>
        <v>5.2440000000000001E-2</v>
      </c>
      <c r="I174" s="496">
        <f>'JKP-3.1c - Rev Rates GRC09'!I174</f>
        <v>5.2440000000000001E-2</v>
      </c>
      <c r="J174" s="496">
        <f>'JKP-3.1c - Rev Rates GRC09'!J174</f>
        <v>5.2440000000000001E-2</v>
      </c>
      <c r="K174" s="496">
        <f>'JKP-3.1c - Rev Rates GRC09'!K174</f>
        <v>5.2440000000000001E-2</v>
      </c>
      <c r="L174" s="496">
        <f>'JKP-3.1c - Rev Rates GRC09'!L174</f>
        <v>5.2440000000000001E-2</v>
      </c>
      <c r="M174" s="496">
        <f>'JKP-3.1c - Rev Rates GRC09'!M174</f>
        <v>5.2440000000000001E-2</v>
      </c>
      <c r="N174" s="496">
        <f>'JKP-3.1c - Rev Rates GRC09'!N174</f>
        <v>5.2440000000000001E-2</v>
      </c>
      <c r="O174" s="496">
        <f>'JKP-3.1c - Rev Rates GRC09'!O174</f>
        <v>5.2440000000000001E-2</v>
      </c>
      <c r="P174" s="496">
        <f>'JKP-3.1c - Rev Rates GRC09'!P174</f>
        <v>5.2440000000000001E-2</v>
      </c>
      <c r="Q174" s="496">
        <f>'JKP-3.1c - Rev Rates GRC09'!Q174</f>
        <v>5.2440000000000001E-2</v>
      </c>
      <c r="S174" s="32"/>
      <c r="T174" s="32"/>
    </row>
    <row r="175" spans="1:20" x14ac:dyDescent="0.2">
      <c r="C175" s="32" t="s">
        <v>1088</v>
      </c>
      <c r="D175" s="444" t="s">
        <v>809</v>
      </c>
      <c r="E175" s="32" t="s">
        <v>957</v>
      </c>
      <c r="F175" s="496">
        <f>'JKP-3.1c - Rev Rates GRC09'!F175</f>
        <v>5.033E-2</v>
      </c>
      <c r="G175" s="496">
        <f>'JKP-3.1c - Rev Rates GRC09'!G175</f>
        <v>5.033E-2</v>
      </c>
      <c r="H175" s="496">
        <f>'JKP-3.1c - Rev Rates GRC09'!H175</f>
        <v>5.033E-2</v>
      </c>
      <c r="I175" s="496">
        <f>'JKP-3.1c - Rev Rates GRC09'!I175</f>
        <v>5.033E-2</v>
      </c>
      <c r="J175" s="496">
        <f>'JKP-3.1c - Rev Rates GRC09'!J175</f>
        <v>5.033E-2</v>
      </c>
      <c r="K175" s="496">
        <f>'JKP-3.1c - Rev Rates GRC09'!K175</f>
        <v>5.033E-2</v>
      </c>
      <c r="L175" s="496">
        <f>'JKP-3.1c - Rev Rates GRC09'!L175</f>
        <v>5.033E-2</v>
      </c>
      <c r="M175" s="496">
        <f>'JKP-3.1c - Rev Rates GRC09'!M175</f>
        <v>5.033E-2</v>
      </c>
      <c r="N175" s="496">
        <f>'JKP-3.1c - Rev Rates GRC09'!N175</f>
        <v>5.033E-2</v>
      </c>
      <c r="O175" s="496">
        <f>'JKP-3.1c - Rev Rates GRC09'!O175</f>
        <v>5.033E-2</v>
      </c>
      <c r="P175" s="496">
        <f>'JKP-3.1c - Rev Rates GRC09'!P175</f>
        <v>5.033E-2</v>
      </c>
      <c r="Q175" s="496">
        <f>'JKP-3.1c - Rev Rates GRC09'!Q175</f>
        <v>5.033E-2</v>
      </c>
      <c r="S175" s="32"/>
      <c r="T175" s="32"/>
    </row>
    <row r="176" spans="1:20" s="336" customFormat="1" x14ac:dyDescent="0.2">
      <c r="B176" s="336" t="s">
        <v>1081</v>
      </c>
      <c r="D176" s="382" t="s">
        <v>809</v>
      </c>
      <c r="E176" s="336" t="s">
        <v>957</v>
      </c>
      <c r="F176" s="440">
        <v>6.9999999999999999E-4</v>
      </c>
      <c r="G176" s="440">
        <v>6.9999999999999999E-4</v>
      </c>
      <c r="H176" s="440">
        <v>6.9999999999999999E-4</v>
      </c>
      <c r="I176" s="440">
        <v>6.9999999999999999E-4</v>
      </c>
      <c r="J176" s="440">
        <v>6.9999999999999999E-4</v>
      </c>
      <c r="K176" s="440">
        <v>6.9999999999999999E-4</v>
      </c>
      <c r="L176" s="440">
        <v>6.9999999999999999E-4</v>
      </c>
      <c r="M176" s="440">
        <v>6.9999999999999999E-4</v>
      </c>
      <c r="N176" s="440">
        <v>6.9999999999999999E-4</v>
      </c>
      <c r="O176" s="440">
        <v>6.9999999999999999E-4</v>
      </c>
      <c r="P176" s="440">
        <v>6.9999999999999999E-4</v>
      </c>
      <c r="Q176" s="440">
        <v>6.9999999999999999E-4</v>
      </c>
    </row>
    <row r="177" spans="1:18" s="336" customFormat="1" x14ac:dyDescent="0.2">
      <c r="B177" s="336" t="s">
        <v>1069</v>
      </c>
      <c r="D177" s="382" t="s">
        <v>809</v>
      </c>
      <c r="E177" s="336" t="s">
        <v>957</v>
      </c>
      <c r="F177" s="501">
        <f>'JKP-3.1c - Rev Rates GRC09'!F177</f>
        <v>1.1100000000000001</v>
      </c>
      <c r="G177" s="501">
        <f>'JKP-3.1c - Rev Rates GRC09'!G177</f>
        <v>1.1100000000000001</v>
      </c>
      <c r="H177" s="501">
        <f>'JKP-3.1c - Rev Rates GRC09'!H177</f>
        <v>1.1100000000000001</v>
      </c>
      <c r="I177" s="501">
        <f>'JKP-3.1c - Rev Rates GRC09'!I177</f>
        <v>1.1100000000000001</v>
      </c>
      <c r="J177" s="501">
        <f>'JKP-3.1c - Rev Rates GRC09'!J177</f>
        <v>1.1100000000000001</v>
      </c>
      <c r="K177" s="501">
        <f>'JKP-3.1c - Rev Rates GRC09'!K177</f>
        <v>1.1100000000000001</v>
      </c>
      <c r="L177" s="501">
        <f>'JKP-3.1c - Rev Rates GRC09'!L177</f>
        <v>1.1100000000000001</v>
      </c>
      <c r="M177" s="501">
        <f>'JKP-3.1c - Rev Rates GRC09'!M177</f>
        <v>1.1100000000000001</v>
      </c>
      <c r="N177" s="501">
        <f>'JKP-3.1c - Rev Rates GRC09'!N177</f>
        <v>1.1100000000000001</v>
      </c>
      <c r="O177" s="501">
        <f>'JKP-3.1c - Rev Rates GRC09'!O177</f>
        <v>1.1100000000000001</v>
      </c>
      <c r="P177" s="501">
        <f>'JKP-3.1c - Rev Rates GRC09'!P177</f>
        <v>1.1100000000000001</v>
      </c>
      <c r="Q177" s="501">
        <f>'JKP-3.1c - Rev Rates GRC09'!Q177</f>
        <v>1.1100000000000001</v>
      </c>
    </row>
    <row r="178" spans="1:18" s="336" customFormat="1" x14ac:dyDescent="0.2">
      <c r="B178" s="336" t="s">
        <v>1071</v>
      </c>
      <c r="D178" s="382" t="s">
        <v>809</v>
      </c>
      <c r="E178" s="336" t="s">
        <v>67</v>
      </c>
      <c r="F178" s="442"/>
      <c r="G178" s="442"/>
      <c r="H178" s="442"/>
      <c r="I178" s="442"/>
      <c r="J178" s="442"/>
      <c r="K178" s="442"/>
      <c r="L178" s="442"/>
      <c r="M178" s="442"/>
      <c r="N178" s="460"/>
      <c r="O178" s="460"/>
      <c r="P178" s="460"/>
      <c r="Q178" s="460"/>
    </row>
    <row r="179" spans="1:18" s="336" customFormat="1" x14ac:dyDescent="0.2"/>
    <row r="180" spans="1:18" s="336" customFormat="1" x14ac:dyDescent="0.2">
      <c r="B180" s="182" t="s">
        <v>982</v>
      </c>
    </row>
    <row r="181" spans="1:18" s="336" customFormat="1" x14ac:dyDescent="0.2">
      <c r="B181" s="336" t="s">
        <v>67</v>
      </c>
      <c r="D181" s="444" t="s">
        <v>809</v>
      </c>
      <c r="E181" s="336" t="s">
        <v>67</v>
      </c>
      <c r="F181" s="421">
        <f>'JKP-3.1c - Data'!C148</f>
        <v>35</v>
      </c>
      <c r="G181" s="421">
        <f>'JKP-3.1c - Data'!D148</f>
        <v>37</v>
      </c>
      <c r="H181" s="421">
        <f>'JKP-3.1c - Data'!E148</f>
        <v>36</v>
      </c>
      <c r="I181" s="421">
        <f>'JKP-3.1c - Data'!F148</f>
        <v>36</v>
      </c>
      <c r="J181" s="421">
        <f>'JKP-3.1c - Data'!G148</f>
        <v>37</v>
      </c>
      <c r="K181" s="421">
        <f>'JKP-3.1c - Data'!H148</f>
        <v>37</v>
      </c>
      <c r="L181" s="421">
        <f>'JKP-3.1c - Data'!I148</f>
        <v>37</v>
      </c>
      <c r="M181" s="421">
        <f>'JKP-3.1c - Data'!J148</f>
        <v>37</v>
      </c>
      <c r="N181" s="421">
        <f>'JKP-3.1c - Data'!K148</f>
        <v>37</v>
      </c>
      <c r="O181" s="421">
        <f>'JKP-3.1c - Data'!L148</f>
        <v>36</v>
      </c>
      <c r="P181" s="421">
        <f>'JKP-3.1c - Data'!M148</f>
        <v>35</v>
      </c>
      <c r="Q181" s="421">
        <f>'JKP-3.1c - Data'!N148</f>
        <v>35</v>
      </c>
      <c r="R181" s="362">
        <f>SUM(F181:Q181)</f>
        <v>435</v>
      </c>
    </row>
    <row r="182" spans="1:18" s="336" customFormat="1" x14ac:dyDescent="0.2">
      <c r="B182" s="336" t="s">
        <v>76</v>
      </c>
      <c r="F182" s="380"/>
      <c r="G182" s="380"/>
      <c r="H182" s="380"/>
      <c r="I182" s="380"/>
      <c r="J182" s="380"/>
      <c r="K182" s="380"/>
      <c r="L182" s="380"/>
      <c r="M182" s="380"/>
      <c r="N182" s="380"/>
      <c r="O182" s="380"/>
      <c r="P182" s="380"/>
      <c r="Q182" s="380"/>
    </row>
    <row r="183" spans="1:18" s="336" customFormat="1" x14ac:dyDescent="0.2">
      <c r="C183" s="336" t="s">
        <v>1086</v>
      </c>
      <c r="D183" s="444" t="s">
        <v>809</v>
      </c>
      <c r="E183" s="336" t="s">
        <v>10</v>
      </c>
      <c r="F183" s="421">
        <f>'JKP-3.1c - Rev Actual Rates'!F194</f>
        <v>835710</v>
      </c>
      <c r="G183" s="421">
        <f>'JKP-3.1c - Rev Actual Rates'!G194</f>
        <v>829317</v>
      </c>
      <c r="H183" s="421">
        <f>'JKP-3.1c - Rev Actual Rates'!H194</f>
        <v>856671</v>
      </c>
      <c r="I183" s="421">
        <f>'JKP-3.1c - Rev Actual Rates'!I194</f>
        <v>854188</v>
      </c>
      <c r="J183" s="421">
        <f>'JKP-3.1c - Rev Actual Rates'!J194</f>
        <v>842571</v>
      </c>
      <c r="K183" s="421">
        <f>'JKP-3.1c - Rev Actual Rates'!K194</f>
        <v>839353</v>
      </c>
      <c r="L183" s="421">
        <f>'JKP-3.1c - Rev Actual Rates'!L194</f>
        <v>831109</v>
      </c>
      <c r="M183" s="421">
        <f>'JKP-3.1c - Rev Actual Rates'!M194</f>
        <v>840441</v>
      </c>
      <c r="N183" s="421">
        <f>'JKP-3.1c - Rev Actual Rates'!N194</f>
        <v>825435</v>
      </c>
      <c r="O183" s="421">
        <f>'JKP-3.1c - Rev Actual Rates'!O194</f>
        <v>826176</v>
      </c>
      <c r="P183" s="421">
        <f>'JKP-3.1c - Rev Actual Rates'!P194</f>
        <v>832441</v>
      </c>
      <c r="Q183" s="421">
        <f>'JKP-3.1c - Rev Actual Rates'!Q194</f>
        <v>797486</v>
      </c>
      <c r="R183" s="362">
        <f>SUM(F183:Q183)</f>
        <v>10010898</v>
      </c>
    </row>
    <row r="184" spans="1:18" s="336" customFormat="1" x14ac:dyDescent="0.2">
      <c r="C184" s="336" t="s">
        <v>1087</v>
      </c>
      <c r="D184" s="444" t="s">
        <v>809</v>
      </c>
      <c r="E184" s="336" t="s">
        <v>10</v>
      </c>
      <c r="F184" s="421">
        <f>'JKP-3.1c - Rev Actual Rates'!F195</f>
        <v>562708</v>
      </c>
      <c r="G184" s="421">
        <f>'JKP-3.1c - Rev Actual Rates'!G195</f>
        <v>542564</v>
      </c>
      <c r="H184" s="421">
        <f>'JKP-3.1c - Rev Actual Rates'!H195</f>
        <v>572338</v>
      </c>
      <c r="I184" s="421">
        <f>'JKP-3.1c - Rev Actual Rates'!I195</f>
        <v>560929</v>
      </c>
      <c r="J184" s="421">
        <f>'JKP-3.1c - Rev Actual Rates'!J195</f>
        <v>542145</v>
      </c>
      <c r="K184" s="421">
        <f>'JKP-3.1c - Rev Actual Rates'!K195</f>
        <v>532842</v>
      </c>
      <c r="L184" s="421">
        <f>'JKP-3.1c - Rev Actual Rates'!L195</f>
        <v>501530</v>
      </c>
      <c r="M184" s="421">
        <f>'JKP-3.1c - Rev Actual Rates'!M195</f>
        <v>522712</v>
      </c>
      <c r="N184" s="421">
        <f>'JKP-3.1c - Rev Actual Rates'!N195</f>
        <v>504320</v>
      </c>
      <c r="O184" s="421">
        <f>'JKP-3.1c - Rev Actual Rates'!O195</f>
        <v>546949</v>
      </c>
      <c r="P184" s="421">
        <f>'JKP-3.1c - Rev Actual Rates'!P195</f>
        <v>561163</v>
      </c>
      <c r="Q184" s="421">
        <f>'JKP-3.1c - Rev Actual Rates'!Q195</f>
        <v>573133</v>
      </c>
      <c r="R184" s="362">
        <f>SUM(F184:Q184)</f>
        <v>6523333</v>
      </c>
    </row>
    <row r="185" spans="1:18" s="336" customFormat="1" x14ac:dyDescent="0.2">
      <c r="C185" s="336" t="s">
        <v>1088</v>
      </c>
      <c r="D185" s="444" t="s">
        <v>809</v>
      </c>
      <c r="E185" s="336" t="s">
        <v>10</v>
      </c>
      <c r="F185" s="421">
        <f>'JKP-3.1c - Rev Actual Rates'!F196</f>
        <v>724575</v>
      </c>
      <c r="G185" s="421">
        <f>'JKP-3.1c - Rev Actual Rates'!G196</f>
        <v>540280</v>
      </c>
      <c r="H185" s="421">
        <f>'JKP-3.1c - Rev Actual Rates'!H196</f>
        <v>722420</v>
      </c>
      <c r="I185" s="421">
        <f>'JKP-3.1c - Rev Actual Rates'!I196</f>
        <v>566337</v>
      </c>
      <c r="J185" s="421">
        <f>'JKP-3.1c - Rev Actual Rates'!J196</f>
        <v>501703</v>
      </c>
      <c r="K185" s="421">
        <f>'JKP-3.1c - Rev Actual Rates'!K196</f>
        <v>398410</v>
      </c>
      <c r="L185" s="421">
        <f>'JKP-3.1c - Rev Actual Rates'!L196</f>
        <v>331802</v>
      </c>
      <c r="M185" s="421">
        <f>'JKP-3.1c - Rev Actual Rates'!M196</f>
        <v>358067</v>
      </c>
      <c r="N185" s="421">
        <f>'JKP-3.1c - Rev Actual Rates'!N196</f>
        <v>372450</v>
      </c>
      <c r="O185" s="421">
        <f>'JKP-3.1c - Rev Actual Rates'!O196</f>
        <v>567828</v>
      </c>
      <c r="P185" s="421">
        <f>'JKP-3.1c - Rev Actual Rates'!P196</f>
        <v>696923</v>
      </c>
      <c r="Q185" s="421">
        <f>'JKP-3.1c - Rev Actual Rates'!Q196</f>
        <v>826761</v>
      </c>
      <c r="R185" s="362">
        <f>SUM(F185:Q185)</f>
        <v>6607556</v>
      </c>
    </row>
    <row r="186" spans="1:18" s="336" customFormat="1" x14ac:dyDescent="0.2">
      <c r="C186" s="336" t="s">
        <v>1075</v>
      </c>
      <c r="D186" s="444" t="s">
        <v>809</v>
      </c>
      <c r="E186" s="336" t="s">
        <v>10</v>
      </c>
      <c r="F186" s="436">
        <f t="shared" ref="F186:N186" si="41">SUM(F183:F185)</f>
        <v>2122993</v>
      </c>
      <c r="G186" s="436">
        <f t="shared" si="41"/>
        <v>1912161</v>
      </c>
      <c r="H186" s="436">
        <f t="shared" si="41"/>
        <v>2151429</v>
      </c>
      <c r="I186" s="436">
        <f t="shared" si="41"/>
        <v>1981454</v>
      </c>
      <c r="J186" s="436">
        <f t="shared" si="41"/>
        <v>1886419</v>
      </c>
      <c r="K186" s="436">
        <f t="shared" si="41"/>
        <v>1770605</v>
      </c>
      <c r="L186" s="436">
        <f t="shared" si="41"/>
        <v>1664441</v>
      </c>
      <c r="M186" s="436">
        <f t="shared" si="41"/>
        <v>1721220</v>
      </c>
      <c r="N186" s="436">
        <f t="shared" si="41"/>
        <v>1702205</v>
      </c>
      <c r="O186" s="436">
        <f>SUM(O183:O185)</f>
        <v>1940953</v>
      </c>
      <c r="P186" s="436">
        <f>SUM(P183:P185)</f>
        <v>2090527</v>
      </c>
      <c r="Q186" s="436">
        <f>SUM(Q183:Q185)</f>
        <v>2197380</v>
      </c>
      <c r="R186" s="436">
        <f>SUM(F186:Q186)</f>
        <v>23141787</v>
      </c>
    </row>
    <row r="187" spans="1:18" s="336" customFormat="1" x14ac:dyDescent="0.2">
      <c r="B187" s="336" t="s">
        <v>74</v>
      </c>
      <c r="D187" s="444" t="s">
        <v>809</v>
      </c>
      <c r="E187" s="336" t="s">
        <v>1076</v>
      </c>
      <c r="F187" s="421">
        <f>'JKP-3.1c - Rev Actual Rates'!F198</f>
        <v>22456</v>
      </c>
      <c r="G187" s="421">
        <f>'JKP-3.1c - Rev Actual Rates'!G198</f>
        <v>24856</v>
      </c>
      <c r="H187" s="421">
        <f>'JKP-3.1c - Rev Actual Rates'!H198</f>
        <v>23656</v>
      </c>
      <c r="I187" s="421">
        <f>'JKP-3.1c - Rev Actual Rates'!I198</f>
        <v>23656</v>
      </c>
      <c r="J187" s="421">
        <f>'JKP-3.1c - Rev Actual Rates'!J198</f>
        <v>23656</v>
      </c>
      <c r="K187" s="421">
        <f>'JKP-3.1c - Rev Actual Rates'!K198</f>
        <v>23656</v>
      </c>
      <c r="L187" s="421">
        <f>'JKP-3.1c - Rev Actual Rates'!L198</f>
        <v>23656</v>
      </c>
      <c r="M187" s="421">
        <f>'JKP-3.1c - Rev Actual Rates'!M198</f>
        <v>23656</v>
      </c>
      <c r="N187" s="421">
        <f>'JKP-3.1c - Rev Actual Rates'!N198</f>
        <v>23656</v>
      </c>
      <c r="O187" s="421">
        <f>'JKP-3.1c - Rev Actual Rates'!O198</f>
        <v>21156</v>
      </c>
      <c r="P187" s="421">
        <f>'JKP-3.1c - Rev Actual Rates'!P198</f>
        <v>19656</v>
      </c>
      <c r="Q187" s="421">
        <f>'JKP-3.1c - Rev Actual Rates'!Q198</f>
        <v>19356</v>
      </c>
      <c r="R187" s="362">
        <f>SUM(F187:Q187)</f>
        <v>273072</v>
      </c>
    </row>
    <row r="188" spans="1:18" s="336" customFormat="1" x14ac:dyDescent="0.2">
      <c r="B188" s="336" t="s">
        <v>1071</v>
      </c>
      <c r="F188" s="380"/>
      <c r="G188" s="380"/>
      <c r="H188" s="380"/>
      <c r="I188" s="380"/>
      <c r="J188" s="380"/>
      <c r="K188" s="380"/>
      <c r="L188" s="380"/>
      <c r="M188" s="380"/>
      <c r="N188" s="380"/>
      <c r="O188" s="380"/>
      <c r="P188" s="380"/>
      <c r="Q188" s="380"/>
    </row>
    <row r="189" spans="1:18" s="336" customFormat="1" x14ac:dyDescent="0.2"/>
    <row r="190" spans="1:18" s="336" customFormat="1" x14ac:dyDescent="0.2">
      <c r="B190" s="182" t="s">
        <v>1084</v>
      </c>
    </row>
    <row r="191" spans="1:18" s="336" customFormat="1" x14ac:dyDescent="0.2">
      <c r="A191" s="336" t="s">
        <v>1054</v>
      </c>
      <c r="B191" s="336" t="s">
        <v>1059</v>
      </c>
      <c r="D191" s="382" t="s">
        <v>809</v>
      </c>
      <c r="F191" s="418">
        <f t="shared" ref="F191:Q191" si="42">F171*F181</f>
        <v>30505.65</v>
      </c>
      <c r="G191" s="418">
        <f t="shared" si="42"/>
        <v>32248.83</v>
      </c>
      <c r="H191" s="418">
        <f t="shared" si="42"/>
        <v>31377.24</v>
      </c>
      <c r="I191" s="418">
        <f t="shared" si="42"/>
        <v>31377.24</v>
      </c>
      <c r="J191" s="418">
        <f t="shared" si="42"/>
        <v>32248.83</v>
      </c>
      <c r="K191" s="418">
        <f t="shared" si="42"/>
        <v>32248.83</v>
      </c>
      <c r="L191" s="418">
        <f t="shared" si="42"/>
        <v>32248.83</v>
      </c>
      <c r="M191" s="418">
        <f t="shared" si="42"/>
        <v>32248.83</v>
      </c>
      <c r="N191" s="418">
        <f t="shared" si="42"/>
        <v>32248.83</v>
      </c>
      <c r="O191" s="418">
        <f t="shared" si="42"/>
        <v>31377.24</v>
      </c>
      <c r="P191" s="418">
        <f t="shared" si="42"/>
        <v>30505.65</v>
      </c>
      <c r="Q191" s="418">
        <f t="shared" si="42"/>
        <v>30505.65</v>
      </c>
      <c r="R191" s="418">
        <f>SUM(F191:Q191)</f>
        <v>379141.65000000008</v>
      </c>
    </row>
    <row r="192" spans="1:18" s="336" customFormat="1" x14ac:dyDescent="0.2">
      <c r="B192" s="336" t="s">
        <v>1047</v>
      </c>
      <c r="F192" s="418"/>
      <c r="G192" s="418"/>
      <c r="H192" s="418"/>
      <c r="I192" s="418"/>
      <c r="J192" s="418"/>
      <c r="K192" s="418"/>
      <c r="L192" s="418"/>
      <c r="M192" s="418"/>
      <c r="N192" s="418"/>
      <c r="O192" s="418"/>
      <c r="P192" s="418"/>
      <c r="Q192" s="418"/>
      <c r="R192" s="418"/>
    </row>
    <row r="193" spans="1:20" s="336" customFormat="1" x14ac:dyDescent="0.2">
      <c r="C193" s="336" t="s">
        <v>1086</v>
      </c>
      <c r="D193" s="382" t="s">
        <v>809</v>
      </c>
      <c r="F193" s="418">
        <f t="shared" ref="F193:Q195" si="43">F173*F183</f>
        <v>85484.775900000008</v>
      </c>
      <c r="G193" s="418">
        <f t="shared" si="43"/>
        <v>84830.835930000001</v>
      </c>
      <c r="H193" s="418">
        <f t="shared" si="43"/>
        <v>87628.87659</v>
      </c>
      <c r="I193" s="418">
        <f t="shared" si="43"/>
        <v>87374.890520000001</v>
      </c>
      <c r="J193" s="418">
        <f t="shared" si="43"/>
        <v>86186.58759000001</v>
      </c>
      <c r="K193" s="418">
        <f t="shared" si="43"/>
        <v>85857.418369999999</v>
      </c>
      <c r="L193" s="418">
        <f t="shared" si="43"/>
        <v>85014.139609999998</v>
      </c>
      <c r="M193" s="418">
        <f t="shared" si="43"/>
        <v>85968.709889999998</v>
      </c>
      <c r="N193" s="418">
        <f t="shared" si="43"/>
        <v>84433.746150000006</v>
      </c>
      <c r="O193" s="418">
        <f t="shared" si="43"/>
        <v>84509.543040000004</v>
      </c>
      <c r="P193" s="418">
        <f t="shared" si="43"/>
        <v>85150.389890000006</v>
      </c>
      <c r="Q193" s="418">
        <f t="shared" si="43"/>
        <v>81574.842940000002</v>
      </c>
      <c r="R193" s="418">
        <f t="shared" ref="R193:R199" si="44">SUM(F193:Q193)</f>
        <v>1024014.75642</v>
      </c>
    </row>
    <row r="194" spans="1:20" s="336" customFormat="1" x14ac:dyDescent="0.2">
      <c r="C194" s="336" t="s">
        <v>1087</v>
      </c>
      <c r="D194" s="382" t="s">
        <v>809</v>
      </c>
      <c r="F194" s="418">
        <f t="shared" si="43"/>
        <v>29508.407520000001</v>
      </c>
      <c r="G194" s="418">
        <f t="shared" si="43"/>
        <v>28452.05616</v>
      </c>
      <c r="H194" s="418">
        <f t="shared" si="43"/>
        <v>30013.404719999999</v>
      </c>
      <c r="I194" s="418">
        <f t="shared" si="43"/>
        <v>29415.116760000001</v>
      </c>
      <c r="J194" s="418">
        <f t="shared" si="43"/>
        <v>28430.0838</v>
      </c>
      <c r="K194" s="418">
        <f t="shared" si="43"/>
        <v>27942.234479999999</v>
      </c>
      <c r="L194" s="418">
        <f t="shared" si="43"/>
        <v>26300.233199999999</v>
      </c>
      <c r="M194" s="418">
        <f t="shared" si="43"/>
        <v>27411.01728</v>
      </c>
      <c r="N194" s="418">
        <f t="shared" si="43"/>
        <v>26446.540799999999</v>
      </c>
      <c r="O194" s="418">
        <f t="shared" si="43"/>
        <v>28682.005560000001</v>
      </c>
      <c r="P194" s="418">
        <f t="shared" si="43"/>
        <v>29427.387719999999</v>
      </c>
      <c r="Q194" s="418">
        <f t="shared" si="43"/>
        <v>30055.094519999999</v>
      </c>
      <c r="R194" s="418">
        <f t="shared" si="44"/>
        <v>342083.58251999994</v>
      </c>
    </row>
    <row r="195" spans="1:20" x14ac:dyDescent="0.2">
      <c r="C195" s="32" t="s">
        <v>1088</v>
      </c>
      <c r="D195" s="382" t="s">
        <v>809</v>
      </c>
      <c r="F195" s="364">
        <f t="shared" si="43"/>
        <v>36467.859750000003</v>
      </c>
      <c r="G195" s="364">
        <f t="shared" si="43"/>
        <v>27192.292399999998</v>
      </c>
      <c r="H195" s="364">
        <f t="shared" si="43"/>
        <v>36359.3986</v>
      </c>
      <c r="I195" s="364">
        <f t="shared" si="43"/>
        <v>28503.74121</v>
      </c>
      <c r="J195" s="364">
        <f t="shared" si="43"/>
        <v>25250.71199</v>
      </c>
      <c r="K195" s="364">
        <f t="shared" si="43"/>
        <v>20051.975299999998</v>
      </c>
      <c r="L195" s="364">
        <f t="shared" si="43"/>
        <v>16699.594659999999</v>
      </c>
      <c r="M195" s="364">
        <f t="shared" si="43"/>
        <v>18021.51211</v>
      </c>
      <c r="N195" s="364">
        <f t="shared" si="43"/>
        <v>18745.408500000001</v>
      </c>
      <c r="O195" s="364">
        <f t="shared" si="43"/>
        <v>28578.783240000001</v>
      </c>
      <c r="P195" s="364">
        <f t="shared" si="43"/>
        <v>35076.134590000001</v>
      </c>
      <c r="Q195" s="364">
        <f t="shared" si="43"/>
        <v>41610.881130000002</v>
      </c>
      <c r="R195" s="364">
        <f t="shared" si="44"/>
        <v>332558.29347999999</v>
      </c>
      <c r="S195" s="32"/>
      <c r="T195" s="32"/>
    </row>
    <row r="196" spans="1:20" x14ac:dyDescent="0.2">
      <c r="A196" s="32" t="s">
        <v>1054</v>
      </c>
      <c r="C196" s="32" t="s">
        <v>1077</v>
      </c>
      <c r="F196" s="365">
        <f t="shared" ref="F196:M196" si="45">SUM(F193:F195)</f>
        <v>151461.04317000002</v>
      </c>
      <c r="G196" s="365">
        <f t="shared" si="45"/>
        <v>140475.18449000001</v>
      </c>
      <c r="H196" s="365">
        <f t="shared" si="45"/>
        <v>154001.67991000001</v>
      </c>
      <c r="I196" s="365">
        <f t="shared" si="45"/>
        <v>145293.74849</v>
      </c>
      <c r="J196" s="365">
        <f t="shared" si="45"/>
        <v>139867.38338000001</v>
      </c>
      <c r="K196" s="365">
        <f t="shared" si="45"/>
        <v>133851.62815</v>
      </c>
      <c r="L196" s="365">
        <f t="shared" si="45"/>
        <v>128013.96747</v>
      </c>
      <c r="M196" s="365">
        <f t="shared" si="45"/>
        <v>131401.23928000001</v>
      </c>
      <c r="N196" s="365">
        <f>SUM(N193:N195)</f>
        <v>129625.69545000001</v>
      </c>
      <c r="O196" s="365">
        <f>SUM(O193:O195)</f>
        <v>141770.33184</v>
      </c>
      <c r="P196" s="365">
        <f>SUM(P193:P195)</f>
        <v>149653.91220000002</v>
      </c>
      <c r="Q196" s="365">
        <f>SUM(Q193:Q195)</f>
        <v>153240.81859000001</v>
      </c>
      <c r="R196" s="365">
        <f t="shared" si="44"/>
        <v>1698656.6324200004</v>
      </c>
      <c r="S196" s="32"/>
      <c r="T196" s="32"/>
    </row>
    <row r="197" spans="1:20" x14ac:dyDescent="0.2">
      <c r="A197" s="32" t="s">
        <v>1056</v>
      </c>
      <c r="B197" s="336" t="s">
        <v>1081</v>
      </c>
      <c r="D197" s="382" t="s">
        <v>809</v>
      </c>
      <c r="F197" s="446">
        <f t="shared" ref="F197:Q198" si="46">F176*F186</f>
        <v>1486.0951</v>
      </c>
      <c r="G197" s="446">
        <f t="shared" si="46"/>
        <v>1338.5127</v>
      </c>
      <c r="H197" s="446">
        <f t="shared" si="46"/>
        <v>1506.0002999999999</v>
      </c>
      <c r="I197" s="446">
        <f t="shared" si="46"/>
        <v>1387.0178000000001</v>
      </c>
      <c r="J197" s="446">
        <f t="shared" si="46"/>
        <v>1320.4933000000001</v>
      </c>
      <c r="K197" s="446">
        <f t="shared" si="46"/>
        <v>1239.4234999999999</v>
      </c>
      <c r="L197" s="446">
        <f t="shared" si="46"/>
        <v>1165.1087</v>
      </c>
      <c r="M197" s="446">
        <f t="shared" si="46"/>
        <v>1204.854</v>
      </c>
      <c r="N197" s="446">
        <f t="shared" si="46"/>
        <v>1191.5435</v>
      </c>
      <c r="O197" s="446">
        <f t="shared" si="46"/>
        <v>1358.6670999999999</v>
      </c>
      <c r="P197" s="446">
        <f t="shared" si="46"/>
        <v>1463.3688999999999</v>
      </c>
      <c r="Q197" s="446">
        <f t="shared" si="46"/>
        <v>1538.1659999999999</v>
      </c>
      <c r="R197" s="446">
        <f t="shared" si="44"/>
        <v>16199.250899999997</v>
      </c>
      <c r="S197" s="32"/>
      <c r="T197" s="32"/>
    </row>
    <row r="198" spans="1:20" x14ac:dyDescent="0.2">
      <c r="A198" s="32" t="s">
        <v>1054</v>
      </c>
      <c r="B198" s="32" t="s">
        <v>1069</v>
      </c>
      <c r="D198" s="382" t="s">
        <v>809</v>
      </c>
      <c r="F198" s="364">
        <f t="shared" si="46"/>
        <v>24926.160000000003</v>
      </c>
      <c r="G198" s="364">
        <f t="shared" si="46"/>
        <v>27590.160000000003</v>
      </c>
      <c r="H198" s="364">
        <f t="shared" si="46"/>
        <v>26258.160000000003</v>
      </c>
      <c r="I198" s="364">
        <f t="shared" si="46"/>
        <v>26258.160000000003</v>
      </c>
      <c r="J198" s="364">
        <f t="shared" si="46"/>
        <v>26258.160000000003</v>
      </c>
      <c r="K198" s="364">
        <f t="shared" si="46"/>
        <v>26258.160000000003</v>
      </c>
      <c r="L198" s="364">
        <f t="shared" si="46"/>
        <v>26258.160000000003</v>
      </c>
      <c r="M198" s="364">
        <f t="shared" si="46"/>
        <v>26258.160000000003</v>
      </c>
      <c r="N198" s="364">
        <f t="shared" si="46"/>
        <v>26258.160000000003</v>
      </c>
      <c r="O198" s="364">
        <f t="shared" si="46"/>
        <v>23483.160000000003</v>
      </c>
      <c r="P198" s="364">
        <f t="shared" si="46"/>
        <v>21818.160000000003</v>
      </c>
      <c r="Q198" s="364">
        <f t="shared" si="46"/>
        <v>21485.160000000003</v>
      </c>
      <c r="R198" s="364">
        <f t="shared" si="44"/>
        <v>303109.92000000004</v>
      </c>
      <c r="S198" s="32"/>
      <c r="T198" s="32"/>
    </row>
    <row r="199" spans="1:20" s="336" customFormat="1" x14ac:dyDescent="0.2">
      <c r="A199" s="336" t="s">
        <v>1054</v>
      </c>
      <c r="B199" s="336" t="s">
        <v>1071</v>
      </c>
      <c r="D199" s="382" t="s">
        <v>809</v>
      </c>
      <c r="F199" s="447">
        <f>'JKP-3.1c - Rev Actual Rates'!F210</f>
        <v>0</v>
      </c>
      <c r="G199" s="447">
        <f>'JKP-3.1c - Rev Actual Rates'!G210</f>
        <v>0</v>
      </c>
      <c r="H199" s="447">
        <f>'JKP-3.1c - Rev Actual Rates'!H210</f>
        <v>9926.75</v>
      </c>
      <c r="I199" s="447">
        <f>'JKP-3.1c - Rev Actual Rates'!I210</f>
        <v>0</v>
      </c>
      <c r="J199" s="447">
        <f>'JKP-3.1c - Rev Actual Rates'!J210</f>
        <v>0</v>
      </c>
      <c r="K199" s="447">
        <f>'JKP-3.1c - Rev Actual Rates'!K210</f>
        <v>19921.75</v>
      </c>
      <c r="L199" s="447">
        <f>'JKP-3.1c - Rev Actual Rates'!L210</f>
        <v>0</v>
      </c>
      <c r="M199" s="447">
        <f>'JKP-3.1c - Rev Actual Rates'!M210</f>
        <v>0</v>
      </c>
      <c r="N199" s="447">
        <f>'JKP-3.1c - Rev Actual Rates'!N210</f>
        <v>0</v>
      </c>
      <c r="O199" s="447">
        <f>'JKP-3.1c - Rev Actual Rates'!O210</f>
        <v>0</v>
      </c>
      <c r="P199" s="447">
        <f>'JKP-3.1c - Rev Actual Rates'!P210</f>
        <v>442.69</v>
      </c>
      <c r="Q199" s="447">
        <f>'JKP-3.1c - Rev Actual Rates'!Q210</f>
        <v>0</v>
      </c>
      <c r="R199" s="437">
        <f t="shared" si="44"/>
        <v>30291.19</v>
      </c>
    </row>
    <row r="200" spans="1:20" x14ac:dyDescent="0.2">
      <c r="B200" s="32" t="s">
        <v>986</v>
      </c>
      <c r="F200" s="365">
        <f>F191+F196+F197+F198+F199</f>
        <v>208378.94827000002</v>
      </c>
      <c r="G200" s="365">
        <f t="shared" ref="G200:R200" si="47">G191+G196+G197+G198+G199</f>
        <v>201652.68719000003</v>
      </c>
      <c r="H200" s="365">
        <f t="shared" si="47"/>
        <v>223069.83021000001</v>
      </c>
      <c r="I200" s="365">
        <f t="shared" si="47"/>
        <v>204316.16628999999</v>
      </c>
      <c r="J200" s="365">
        <f t="shared" si="47"/>
        <v>199694.86668000004</v>
      </c>
      <c r="K200" s="365">
        <f t="shared" si="47"/>
        <v>213519.79165000003</v>
      </c>
      <c r="L200" s="365">
        <f t="shared" si="47"/>
        <v>187686.06617000001</v>
      </c>
      <c r="M200" s="365">
        <f t="shared" si="47"/>
        <v>191113.08327999999</v>
      </c>
      <c r="N200" s="365">
        <f t="shared" si="47"/>
        <v>189324.22895000002</v>
      </c>
      <c r="O200" s="365">
        <f t="shared" si="47"/>
        <v>197989.39893999998</v>
      </c>
      <c r="P200" s="365">
        <f t="shared" si="47"/>
        <v>203883.78110000002</v>
      </c>
      <c r="Q200" s="365">
        <f t="shared" si="47"/>
        <v>206769.79459</v>
      </c>
      <c r="R200" s="365">
        <f t="shared" si="47"/>
        <v>2427398.6433200007</v>
      </c>
      <c r="S200" s="32"/>
      <c r="T200" s="32"/>
    </row>
    <row r="201" spans="1:20" s="336" customFormat="1" x14ac:dyDescent="0.2">
      <c r="F201" s="418"/>
      <c r="G201" s="418"/>
      <c r="H201" s="418"/>
      <c r="I201" s="418"/>
      <c r="J201" s="418"/>
      <c r="K201" s="418"/>
      <c r="L201" s="418"/>
      <c r="M201" s="418"/>
      <c r="N201" s="418"/>
      <c r="O201" s="418"/>
      <c r="P201" s="418"/>
      <c r="Q201" s="418"/>
      <c r="R201" s="418">
        <f>SUM(F201:Q201)</f>
        <v>0</v>
      </c>
    </row>
    <row r="202" spans="1:20" s="336" customFormat="1" x14ac:dyDescent="0.2">
      <c r="A202" s="336" t="s">
        <v>1058</v>
      </c>
      <c r="B202" s="336" t="s">
        <v>1050</v>
      </c>
      <c r="F202" s="418">
        <f>F197</f>
        <v>1486.0951</v>
      </c>
      <c r="G202" s="418">
        <f t="shared" ref="G202:Q202" si="48">G197</f>
        <v>1338.5127</v>
      </c>
      <c r="H202" s="418">
        <f t="shared" si="48"/>
        <v>1506.0002999999999</v>
      </c>
      <c r="I202" s="418">
        <f t="shared" si="48"/>
        <v>1387.0178000000001</v>
      </c>
      <c r="J202" s="418">
        <f t="shared" si="48"/>
        <v>1320.4933000000001</v>
      </c>
      <c r="K202" s="418">
        <f t="shared" si="48"/>
        <v>1239.4234999999999</v>
      </c>
      <c r="L202" s="418">
        <f t="shared" si="48"/>
        <v>1165.1087</v>
      </c>
      <c r="M202" s="418">
        <f t="shared" si="48"/>
        <v>1204.854</v>
      </c>
      <c r="N202" s="418">
        <f t="shared" si="48"/>
        <v>1191.5435</v>
      </c>
      <c r="O202" s="418">
        <f t="shared" si="48"/>
        <v>1358.6670999999999</v>
      </c>
      <c r="P202" s="418">
        <f t="shared" si="48"/>
        <v>1463.3688999999999</v>
      </c>
      <c r="Q202" s="418">
        <f t="shared" si="48"/>
        <v>1538.1659999999999</v>
      </c>
      <c r="R202" s="418">
        <f>SUM(F202:Q202)</f>
        <v>16199.250899999997</v>
      </c>
    </row>
    <row r="203" spans="1:20" s="336" customFormat="1" x14ac:dyDescent="0.2">
      <c r="F203" s="418"/>
      <c r="G203" s="418"/>
      <c r="H203" s="418"/>
      <c r="I203" s="418"/>
      <c r="J203" s="418"/>
      <c r="K203" s="418"/>
      <c r="L203" s="418"/>
      <c r="M203" s="418"/>
      <c r="N203" s="418"/>
      <c r="O203" s="418"/>
      <c r="P203" s="418"/>
      <c r="Q203" s="418"/>
      <c r="R203" s="418"/>
    </row>
    <row r="204" spans="1:20" s="336" customFormat="1" x14ac:dyDescent="0.2">
      <c r="B204" s="182" t="s">
        <v>1089</v>
      </c>
      <c r="C204" s="182"/>
    </row>
    <row r="205" spans="1:20" s="336" customFormat="1" x14ac:dyDescent="0.2">
      <c r="B205" s="182" t="s">
        <v>5</v>
      </c>
      <c r="C205" s="182"/>
    </row>
    <row r="206" spans="1:20" s="336" customFormat="1" x14ac:dyDescent="0.2">
      <c r="B206" s="336" t="s">
        <v>1059</v>
      </c>
      <c r="D206" s="382" t="s">
        <v>811</v>
      </c>
      <c r="E206" s="336" t="s">
        <v>976</v>
      </c>
      <c r="F206" s="501">
        <f>'JKP-3.1c - Rev Rates GRC09'!F206</f>
        <v>871.85</v>
      </c>
      <c r="G206" s="501">
        <f>'JKP-3.1c - Rev Rates GRC09'!G206</f>
        <v>871.85</v>
      </c>
      <c r="H206" s="501">
        <f>'JKP-3.1c - Rev Rates GRC09'!H206</f>
        <v>871.85</v>
      </c>
      <c r="I206" s="501">
        <f>'JKP-3.1c - Rev Rates GRC09'!I206</f>
        <v>871.85</v>
      </c>
      <c r="J206" s="501">
        <f>'JKP-3.1c - Rev Rates GRC09'!J206</f>
        <v>871.85</v>
      </c>
      <c r="K206" s="501">
        <f>'JKP-3.1c - Rev Rates GRC09'!K206</f>
        <v>871.85</v>
      </c>
      <c r="L206" s="501">
        <f>'JKP-3.1c - Rev Rates GRC09'!L206</f>
        <v>871.85</v>
      </c>
      <c r="M206" s="501">
        <f>'JKP-3.1c - Rev Rates GRC09'!M206</f>
        <v>871.85</v>
      </c>
      <c r="N206" s="501">
        <f>'JKP-3.1c - Rev Rates GRC09'!N206</f>
        <v>871.85</v>
      </c>
      <c r="O206" s="501">
        <f>'JKP-3.1c - Rev Rates GRC09'!O206</f>
        <v>871.85</v>
      </c>
      <c r="P206" s="501">
        <f>'JKP-3.1c - Rev Rates GRC09'!P206</f>
        <v>871.85</v>
      </c>
      <c r="Q206" s="501">
        <f>'JKP-3.1c - Rev Rates GRC09'!Q206</f>
        <v>871.85</v>
      </c>
    </row>
    <row r="207" spans="1:20" s="336" customFormat="1" x14ac:dyDescent="0.2">
      <c r="C207" s="336" t="s">
        <v>1047</v>
      </c>
      <c r="F207" s="496"/>
      <c r="G207" s="496"/>
      <c r="H207" s="496"/>
      <c r="I207" s="496"/>
      <c r="J207" s="496"/>
      <c r="K207" s="496"/>
      <c r="L207" s="496"/>
      <c r="M207" s="496"/>
      <c r="N207" s="496"/>
      <c r="O207" s="496"/>
      <c r="P207" s="496"/>
      <c r="Q207" s="496"/>
    </row>
    <row r="208" spans="1:20" s="336" customFormat="1" x14ac:dyDescent="0.2">
      <c r="C208" s="336" t="s">
        <v>1086</v>
      </c>
      <c r="D208" s="382" t="s">
        <v>811</v>
      </c>
      <c r="E208" s="336" t="s">
        <v>957</v>
      </c>
      <c r="F208" s="496">
        <f>'JKP-3.1c - Rev Rates GRC09'!F208</f>
        <v>0.13815</v>
      </c>
      <c r="G208" s="496">
        <f>'JKP-3.1c - Rev Rates GRC09'!G208</f>
        <v>0.13815</v>
      </c>
      <c r="H208" s="496">
        <f>'JKP-3.1c - Rev Rates GRC09'!H208</f>
        <v>0.13815</v>
      </c>
      <c r="I208" s="496">
        <f>'JKP-3.1c - Rev Rates GRC09'!I208</f>
        <v>0.13815</v>
      </c>
      <c r="J208" s="496">
        <f>'JKP-3.1c - Rev Rates GRC09'!J208</f>
        <v>0.13815</v>
      </c>
      <c r="K208" s="496">
        <f>'JKP-3.1c - Rev Rates GRC09'!K208</f>
        <v>0.13815</v>
      </c>
      <c r="L208" s="496">
        <f>'JKP-3.1c - Rev Rates GRC09'!L208</f>
        <v>0.13815</v>
      </c>
      <c r="M208" s="496">
        <f>'JKP-3.1c - Rev Rates GRC09'!M208</f>
        <v>0.13815</v>
      </c>
      <c r="N208" s="496">
        <f>'JKP-3.1c - Rev Rates GRC09'!N208</f>
        <v>0.13815</v>
      </c>
      <c r="O208" s="496">
        <f>'JKP-3.1c - Rev Rates GRC09'!O208</f>
        <v>0.13815</v>
      </c>
      <c r="P208" s="496">
        <f>'JKP-3.1c - Rev Rates GRC09'!P208</f>
        <v>0.13815</v>
      </c>
      <c r="Q208" s="496">
        <f>'JKP-3.1c - Rev Rates GRC09'!Q208</f>
        <v>0.13815</v>
      </c>
    </row>
    <row r="209" spans="2:20" s="336" customFormat="1" x14ac:dyDescent="0.2">
      <c r="C209" s="336" t="s">
        <v>1087</v>
      </c>
      <c r="D209" s="382" t="s">
        <v>811</v>
      </c>
      <c r="E209" s="336" t="s">
        <v>957</v>
      </c>
      <c r="F209" s="496">
        <f>'JKP-3.1c - Rev Rates GRC09'!F209</f>
        <v>8.4349999999999994E-2</v>
      </c>
      <c r="G209" s="496">
        <f>'JKP-3.1c - Rev Rates GRC09'!G209</f>
        <v>8.4349999999999994E-2</v>
      </c>
      <c r="H209" s="496">
        <f>'JKP-3.1c - Rev Rates GRC09'!H209</f>
        <v>8.4349999999999994E-2</v>
      </c>
      <c r="I209" s="496">
        <f>'JKP-3.1c - Rev Rates GRC09'!I209</f>
        <v>8.4349999999999994E-2</v>
      </c>
      <c r="J209" s="496">
        <f>'JKP-3.1c - Rev Rates GRC09'!J209</f>
        <v>8.4349999999999994E-2</v>
      </c>
      <c r="K209" s="496">
        <f>'JKP-3.1c - Rev Rates GRC09'!K209</f>
        <v>8.4349999999999994E-2</v>
      </c>
      <c r="L209" s="496">
        <f>'JKP-3.1c - Rev Rates GRC09'!L209</f>
        <v>8.4349999999999994E-2</v>
      </c>
      <c r="M209" s="496">
        <f>'JKP-3.1c - Rev Rates GRC09'!M209</f>
        <v>8.4349999999999994E-2</v>
      </c>
      <c r="N209" s="496">
        <f>'JKP-3.1c - Rev Rates GRC09'!N209</f>
        <v>8.4349999999999994E-2</v>
      </c>
      <c r="O209" s="496">
        <f>'JKP-3.1c - Rev Rates GRC09'!O209</f>
        <v>8.4349999999999994E-2</v>
      </c>
      <c r="P209" s="496">
        <f>'JKP-3.1c - Rev Rates GRC09'!P209</f>
        <v>8.4349999999999994E-2</v>
      </c>
      <c r="Q209" s="496">
        <f>'JKP-3.1c - Rev Rates GRC09'!Q209</f>
        <v>8.4349999999999994E-2</v>
      </c>
    </row>
    <row r="210" spans="2:20" s="336" customFormat="1" x14ac:dyDescent="0.2">
      <c r="C210" s="336" t="s">
        <v>1090</v>
      </c>
      <c r="D210" s="382" t="s">
        <v>811</v>
      </c>
      <c r="E210" s="336" t="s">
        <v>957</v>
      </c>
      <c r="F210" s="496">
        <f>'JKP-3.1c - Rev Rates GRC09'!F210</f>
        <v>5.4460000000000001E-2</v>
      </c>
      <c r="G210" s="496">
        <f>'JKP-3.1c - Rev Rates GRC09'!G210</f>
        <v>5.4460000000000001E-2</v>
      </c>
      <c r="H210" s="496">
        <f>'JKP-3.1c - Rev Rates GRC09'!H210</f>
        <v>5.4460000000000001E-2</v>
      </c>
      <c r="I210" s="496">
        <f>'JKP-3.1c - Rev Rates GRC09'!I210</f>
        <v>5.4460000000000001E-2</v>
      </c>
      <c r="J210" s="496">
        <f>'JKP-3.1c - Rev Rates GRC09'!J210</f>
        <v>5.4460000000000001E-2</v>
      </c>
      <c r="K210" s="496">
        <f>'JKP-3.1c - Rev Rates GRC09'!K210</f>
        <v>5.4460000000000001E-2</v>
      </c>
      <c r="L210" s="496">
        <f>'JKP-3.1c - Rev Rates GRC09'!L210</f>
        <v>5.4460000000000001E-2</v>
      </c>
      <c r="M210" s="496">
        <f>'JKP-3.1c - Rev Rates GRC09'!M210</f>
        <v>5.4460000000000001E-2</v>
      </c>
      <c r="N210" s="496">
        <f>'JKP-3.1c - Rev Rates GRC09'!N210</f>
        <v>5.4460000000000001E-2</v>
      </c>
      <c r="O210" s="496">
        <f>'JKP-3.1c - Rev Rates GRC09'!O210</f>
        <v>5.4460000000000001E-2</v>
      </c>
      <c r="P210" s="496">
        <f>'JKP-3.1c - Rev Rates GRC09'!P210</f>
        <v>5.4460000000000001E-2</v>
      </c>
      <c r="Q210" s="496">
        <f>'JKP-3.1c - Rev Rates GRC09'!Q210</f>
        <v>5.4460000000000001E-2</v>
      </c>
    </row>
    <row r="211" spans="2:20" s="336" customFormat="1" x14ac:dyDescent="0.2">
      <c r="C211" s="336" t="s">
        <v>1091</v>
      </c>
      <c r="D211" s="382" t="s">
        <v>811</v>
      </c>
      <c r="E211" s="336" t="s">
        <v>957</v>
      </c>
      <c r="F211" s="496">
        <f>'JKP-3.1c - Rev Rates GRC09'!F211</f>
        <v>3.5700000000000003E-2</v>
      </c>
      <c r="G211" s="496">
        <f>'JKP-3.1c - Rev Rates GRC09'!G211</f>
        <v>3.5700000000000003E-2</v>
      </c>
      <c r="H211" s="496">
        <f>'JKP-3.1c - Rev Rates GRC09'!H211</f>
        <v>3.5700000000000003E-2</v>
      </c>
      <c r="I211" s="496">
        <f>'JKP-3.1c - Rev Rates GRC09'!I211</f>
        <v>3.5700000000000003E-2</v>
      </c>
      <c r="J211" s="496">
        <f>'JKP-3.1c - Rev Rates GRC09'!J211</f>
        <v>3.5700000000000003E-2</v>
      </c>
      <c r="K211" s="496">
        <f>'JKP-3.1c - Rev Rates GRC09'!K211</f>
        <v>3.5700000000000003E-2</v>
      </c>
      <c r="L211" s="496">
        <f>'JKP-3.1c - Rev Rates GRC09'!L211</f>
        <v>3.5700000000000003E-2</v>
      </c>
      <c r="M211" s="496">
        <f>'JKP-3.1c - Rev Rates GRC09'!M211</f>
        <v>3.5700000000000003E-2</v>
      </c>
      <c r="N211" s="496">
        <f>'JKP-3.1c - Rev Rates GRC09'!N211</f>
        <v>3.5700000000000003E-2</v>
      </c>
      <c r="O211" s="496">
        <f>'JKP-3.1c - Rev Rates GRC09'!O211</f>
        <v>3.5700000000000003E-2</v>
      </c>
      <c r="P211" s="496">
        <f>'JKP-3.1c - Rev Rates GRC09'!P211</f>
        <v>3.5700000000000003E-2</v>
      </c>
      <c r="Q211" s="496">
        <f>'JKP-3.1c - Rev Rates GRC09'!Q211</f>
        <v>3.5700000000000003E-2</v>
      </c>
    </row>
    <row r="212" spans="2:20" s="336" customFormat="1" x14ac:dyDescent="0.2">
      <c r="C212" s="336" t="s">
        <v>1092</v>
      </c>
      <c r="D212" s="382" t="s">
        <v>811</v>
      </c>
      <c r="E212" s="336" t="s">
        <v>957</v>
      </c>
      <c r="F212" s="496">
        <f>'JKP-3.1c - Rev Rates GRC09'!F212</f>
        <v>2.63E-2</v>
      </c>
      <c r="G212" s="496">
        <f>'JKP-3.1c - Rev Rates GRC09'!G212</f>
        <v>2.63E-2</v>
      </c>
      <c r="H212" s="496">
        <f>'JKP-3.1c - Rev Rates GRC09'!H212</f>
        <v>2.63E-2</v>
      </c>
      <c r="I212" s="496">
        <f>'JKP-3.1c - Rev Rates GRC09'!I212</f>
        <v>2.63E-2</v>
      </c>
      <c r="J212" s="496">
        <f>'JKP-3.1c - Rev Rates GRC09'!J212</f>
        <v>2.63E-2</v>
      </c>
      <c r="K212" s="496">
        <f>'JKP-3.1c - Rev Rates GRC09'!K212</f>
        <v>2.63E-2</v>
      </c>
      <c r="L212" s="496">
        <f>'JKP-3.1c - Rev Rates GRC09'!L212</f>
        <v>2.63E-2</v>
      </c>
      <c r="M212" s="496">
        <f>'JKP-3.1c - Rev Rates GRC09'!M212</f>
        <v>2.63E-2</v>
      </c>
      <c r="N212" s="496">
        <f>'JKP-3.1c - Rev Rates GRC09'!N212</f>
        <v>2.63E-2</v>
      </c>
      <c r="O212" s="496">
        <f>'JKP-3.1c - Rev Rates GRC09'!O212</f>
        <v>2.63E-2</v>
      </c>
      <c r="P212" s="496">
        <f>'JKP-3.1c - Rev Rates GRC09'!P212</f>
        <v>2.63E-2</v>
      </c>
      <c r="Q212" s="496">
        <f>'JKP-3.1c - Rev Rates GRC09'!Q212</f>
        <v>2.63E-2</v>
      </c>
    </row>
    <row r="213" spans="2:20" s="336" customFormat="1" x14ac:dyDescent="0.2">
      <c r="C213" s="336" t="s">
        <v>1093</v>
      </c>
      <c r="D213" s="382" t="s">
        <v>811</v>
      </c>
      <c r="E213" s="336" t="s">
        <v>957</v>
      </c>
      <c r="F213" s="496">
        <f>'JKP-3.1c - Rev Rates GRC09'!F213</f>
        <v>2.077E-2</v>
      </c>
      <c r="G213" s="496">
        <f>'JKP-3.1c - Rev Rates GRC09'!G213</f>
        <v>2.077E-2</v>
      </c>
      <c r="H213" s="496">
        <f>'JKP-3.1c - Rev Rates GRC09'!H213</f>
        <v>2.077E-2</v>
      </c>
      <c r="I213" s="496">
        <f>'JKP-3.1c - Rev Rates GRC09'!I213</f>
        <v>2.077E-2</v>
      </c>
      <c r="J213" s="496">
        <f>'JKP-3.1c - Rev Rates GRC09'!J213</f>
        <v>2.077E-2</v>
      </c>
      <c r="K213" s="496">
        <f>'JKP-3.1c - Rev Rates GRC09'!K213</f>
        <v>2.077E-2</v>
      </c>
      <c r="L213" s="496">
        <f>'JKP-3.1c - Rev Rates GRC09'!L213</f>
        <v>2.077E-2</v>
      </c>
      <c r="M213" s="496">
        <f>'JKP-3.1c - Rev Rates GRC09'!M213</f>
        <v>2.077E-2</v>
      </c>
      <c r="N213" s="496">
        <f>'JKP-3.1c - Rev Rates GRC09'!N213</f>
        <v>2.077E-2</v>
      </c>
      <c r="O213" s="496">
        <f>'JKP-3.1c - Rev Rates GRC09'!O213</f>
        <v>2.077E-2</v>
      </c>
      <c r="P213" s="496">
        <f>'JKP-3.1c - Rev Rates GRC09'!P213</f>
        <v>2.077E-2</v>
      </c>
      <c r="Q213" s="496">
        <f>'JKP-3.1c - Rev Rates GRC09'!Q213</f>
        <v>2.077E-2</v>
      </c>
    </row>
    <row r="214" spans="2:20" s="336" customFormat="1" x14ac:dyDescent="0.2">
      <c r="B214" s="336" t="s">
        <v>1081</v>
      </c>
      <c r="D214" s="382" t="s">
        <v>811</v>
      </c>
      <c r="E214" s="336" t="s">
        <v>957</v>
      </c>
      <c r="F214" s="440">
        <v>6.9999999999999999E-4</v>
      </c>
      <c r="G214" s="440">
        <v>6.9999999999999999E-4</v>
      </c>
      <c r="H214" s="440">
        <v>6.9999999999999999E-4</v>
      </c>
      <c r="I214" s="440">
        <v>6.9999999999999999E-4</v>
      </c>
      <c r="J214" s="440">
        <v>6.9999999999999999E-4</v>
      </c>
      <c r="K214" s="440">
        <v>6.9999999999999999E-4</v>
      </c>
      <c r="L214" s="440">
        <v>6.9999999999999999E-4</v>
      </c>
      <c r="M214" s="440">
        <v>6.9999999999999999E-4</v>
      </c>
      <c r="N214" s="440">
        <v>6.9999999999999999E-4</v>
      </c>
      <c r="O214" s="440">
        <v>6.9999999999999999E-4</v>
      </c>
      <c r="P214" s="440">
        <v>6.9999999999999999E-4</v>
      </c>
      <c r="Q214" s="440">
        <v>6.9999999999999999E-4</v>
      </c>
    </row>
    <row r="215" spans="2:20" s="336" customFormat="1" x14ac:dyDescent="0.2">
      <c r="B215" s="336" t="s">
        <v>1069</v>
      </c>
      <c r="D215" s="382" t="s">
        <v>811</v>
      </c>
      <c r="E215" s="336" t="s">
        <v>957</v>
      </c>
      <c r="F215" s="501">
        <f>'JKP-3.1c - Rev Rates GRC09'!F215</f>
        <v>1.1100000000000001</v>
      </c>
      <c r="G215" s="501">
        <f>'JKP-3.1c - Rev Rates GRC09'!G215</f>
        <v>1.1100000000000001</v>
      </c>
      <c r="H215" s="501">
        <f>'JKP-3.1c - Rev Rates GRC09'!H215</f>
        <v>1.1100000000000001</v>
      </c>
      <c r="I215" s="501">
        <f>'JKP-3.1c - Rev Rates GRC09'!I215</f>
        <v>1.1100000000000001</v>
      </c>
      <c r="J215" s="501">
        <f>'JKP-3.1c - Rev Rates GRC09'!J215</f>
        <v>1.1100000000000001</v>
      </c>
      <c r="K215" s="501">
        <f>'JKP-3.1c - Rev Rates GRC09'!K215</f>
        <v>1.1100000000000001</v>
      </c>
      <c r="L215" s="501">
        <f>'JKP-3.1c - Rev Rates GRC09'!L215</f>
        <v>1.1100000000000001</v>
      </c>
      <c r="M215" s="501">
        <f>'JKP-3.1c - Rev Rates GRC09'!M215</f>
        <v>1.1100000000000001</v>
      </c>
      <c r="N215" s="501">
        <f>'JKP-3.1c - Rev Rates GRC09'!N215</f>
        <v>1.1100000000000001</v>
      </c>
      <c r="O215" s="501">
        <f>'JKP-3.1c - Rev Rates GRC09'!O215</f>
        <v>1.1100000000000001</v>
      </c>
      <c r="P215" s="501">
        <f>'JKP-3.1c - Rev Rates GRC09'!P215</f>
        <v>1.1100000000000001</v>
      </c>
      <c r="Q215" s="501">
        <f>'JKP-3.1c - Rev Rates GRC09'!Q215</f>
        <v>1.1100000000000001</v>
      </c>
    </row>
    <row r="216" spans="2:20" s="336" customFormat="1" x14ac:dyDescent="0.2">
      <c r="B216" s="336" t="s">
        <v>1071</v>
      </c>
      <c r="D216" s="382" t="s">
        <v>811</v>
      </c>
      <c r="E216" s="336" t="s">
        <v>67</v>
      </c>
      <c r="F216" s="442"/>
      <c r="G216" s="442"/>
      <c r="H216" s="442"/>
      <c r="I216" s="442"/>
      <c r="J216" s="442"/>
      <c r="K216" s="442"/>
      <c r="L216" s="442"/>
      <c r="M216" s="442"/>
      <c r="N216" s="442"/>
      <c r="O216" s="442"/>
      <c r="P216" s="442"/>
      <c r="Q216" s="442"/>
    </row>
    <row r="217" spans="2:20" s="336" customFormat="1" x14ac:dyDescent="0.2"/>
    <row r="218" spans="2:20" x14ac:dyDescent="0.2">
      <c r="B218" s="276" t="s">
        <v>1083</v>
      </c>
      <c r="S218" s="32"/>
      <c r="T218" s="32"/>
    </row>
    <row r="219" spans="2:20" x14ac:dyDescent="0.2">
      <c r="B219" s="32" t="s">
        <v>67</v>
      </c>
      <c r="D219" s="382" t="s">
        <v>811</v>
      </c>
      <c r="E219" s="32" t="s">
        <v>67</v>
      </c>
      <c r="F219" s="397">
        <f>'JKP-3.1c - Data'!C155</f>
        <v>2</v>
      </c>
      <c r="G219" s="397">
        <f>'JKP-3.1c - Data'!D155</f>
        <v>2</v>
      </c>
      <c r="H219" s="397">
        <f>'JKP-3.1c - Data'!E155</f>
        <v>2</v>
      </c>
      <c r="I219" s="397">
        <f>'JKP-3.1c - Data'!F155</f>
        <v>2</v>
      </c>
      <c r="J219" s="397">
        <f>'JKP-3.1c - Data'!G155</f>
        <v>2</v>
      </c>
      <c r="K219" s="397">
        <f>'JKP-3.1c - Data'!H155</f>
        <v>2</v>
      </c>
      <c r="L219" s="397">
        <f>'JKP-3.1c - Data'!I155</f>
        <v>2</v>
      </c>
      <c r="M219" s="397">
        <f>'JKP-3.1c - Data'!J155</f>
        <v>2</v>
      </c>
      <c r="N219" s="397">
        <f>'JKP-3.1c - Data'!K155</f>
        <v>2</v>
      </c>
      <c r="O219" s="397">
        <f>'JKP-3.1c - Data'!L155</f>
        <v>2</v>
      </c>
      <c r="P219" s="397">
        <f>'JKP-3.1c - Data'!M155</f>
        <v>2</v>
      </c>
      <c r="Q219" s="397">
        <f>'JKP-3.1c - Data'!N155</f>
        <v>2</v>
      </c>
      <c r="R219" s="279">
        <f t="shared" ref="R219:R228" si="49">SUM(F219:Q219)</f>
        <v>24</v>
      </c>
      <c r="S219" s="32"/>
      <c r="T219" s="32"/>
    </row>
    <row r="220" spans="2:20" s="336" customFormat="1" x14ac:dyDescent="0.2">
      <c r="B220" s="336" t="s">
        <v>76</v>
      </c>
      <c r="F220" s="380"/>
      <c r="G220" s="380"/>
      <c r="H220" s="380"/>
      <c r="I220" s="380"/>
      <c r="J220" s="380"/>
      <c r="K220" s="380"/>
      <c r="L220" s="380"/>
      <c r="M220" s="380"/>
      <c r="N220" s="380"/>
      <c r="O220" s="380"/>
      <c r="P220" s="380"/>
      <c r="Q220" s="380"/>
      <c r="R220" s="279">
        <f t="shared" si="49"/>
        <v>0</v>
      </c>
    </row>
    <row r="221" spans="2:20" s="336" customFormat="1" x14ac:dyDescent="0.2">
      <c r="C221" s="336" t="s">
        <v>1086</v>
      </c>
      <c r="D221" s="382" t="s">
        <v>811</v>
      </c>
      <c r="E221" s="336" t="s">
        <v>10</v>
      </c>
      <c r="F221" s="421">
        <f>'JKP-3.1c - Rev Actual Rates'!F232</f>
        <v>50000</v>
      </c>
      <c r="G221" s="421">
        <f>'JKP-3.1c - Rev Actual Rates'!G232</f>
        <v>50000</v>
      </c>
      <c r="H221" s="421">
        <f>'JKP-3.1c - Rev Actual Rates'!H232</f>
        <v>50000</v>
      </c>
      <c r="I221" s="421">
        <f>'JKP-3.1c - Rev Actual Rates'!I232</f>
        <v>50000</v>
      </c>
      <c r="J221" s="421">
        <f>'JKP-3.1c - Rev Actual Rates'!J232</f>
        <v>50000</v>
      </c>
      <c r="K221" s="421">
        <f>'JKP-3.1c - Rev Actual Rates'!K232</f>
        <v>50000</v>
      </c>
      <c r="L221" s="421">
        <f>'JKP-3.1c - Rev Actual Rates'!L232</f>
        <v>50000</v>
      </c>
      <c r="M221" s="421">
        <f>'JKP-3.1c - Rev Actual Rates'!M232</f>
        <v>50000</v>
      </c>
      <c r="N221" s="421">
        <f>'JKP-3.1c - Rev Actual Rates'!N232</f>
        <v>50000</v>
      </c>
      <c r="O221" s="421">
        <f>'JKP-3.1c - Rev Actual Rates'!O232</f>
        <v>50000</v>
      </c>
      <c r="P221" s="421">
        <f>'JKP-3.1c - Rev Actual Rates'!P232</f>
        <v>50000</v>
      </c>
      <c r="Q221" s="421">
        <f>'JKP-3.1c - Rev Actual Rates'!Q232</f>
        <v>50000</v>
      </c>
      <c r="R221" s="279">
        <f t="shared" si="49"/>
        <v>600000</v>
      </c>
    </row>
    <row r="222" spans="2:20" s="336" customFormat="1" x14ac:dyDescent="0.2">
      <c r="C222" s="336" t="s">
        <v>1087</v>
      </c>
      <c r="D222" s="382" t="s">
        <v>811</v>
      </c>
      <c r="E222" s="336" t="s">
        <v>10</v>
      </c>
      <c r="F222" s="421">
        <f>'JKP-3.1c - Rev Actual Rates'!F233</f>
        <v>50000</v>
      </c>
      <c r="G222" s="421">
        <f>'JKP-3.1c - Rev Actual Rates'!G233</f>
        <v>50000</v>
      </c>
      <c r="H222" s="421">
        <f>'JKP-3.1c - Rev Actual Rates'!H233</f>
        <v>50000</v>
      </c>
      <c r="I222" s="421">
        <f>'JKP-3.1c - Rev Actual Rates'!I233</f>
        <v>50000</v>
      </c>
      <c r="J222" s="421">
        <f>'JKP-3.1c - Rev Actual Rates'!J233</f>
        <v>50000</v>
      </c>
      <c r="K222" s="421">
        <f>'JKP-3.1c - Rev Actual Rates'!K233</f>
        <v>50000</v>
      </c>
      <c r="L222" s="421">
        <f>'JKP-3.1c - Rev Actual Rates'!L233</f>
        <v>50000</v>
      </c>
      <c r="M222" s="421">
        <f>'JKP-3.1c - Rev Actual Rates'!M233</f>
        <v>50000</v>
      </c>
      <c r="N222" s="421">
        <f>'JKP-3.1c - Rev Actual Rates'!N233</f>
        <v>50000</v>
      </c>
      <c r="O222" s="421">
        <f>'JKP-3.1c - Rev Actual Rates'!O233</f>
        <v>50000</v>
      </c>
      <c r="P222" s="421">
        <f>'JKP-3.1c - Rev Actual Rates'!P233</f>
        <v>50000</v>
      </c>
      <c r="Q222" s="421">
        <f>'JKP-3.1c - Rev Actual Rates'!Q233</f>
        <v>50000</v>
      </c>
      <c r="R222" s="279">
        <f t="shared" si="49"/>
        <v>600000</v>
      </c>
    </row>
    <row r="223" spans="2:20" s="336" customFormat="1" x14ac:dyDescent="0.2">
      <c r="C223" s="336" t="s">
        <v>1090</v>
      </c>
      <c r="D223" s="382" t="s">
        <v>811</v>
      </c>
      <c r="E223" s="336" t="s">
        <v>10</v>
      </c>
      <c r="F223" s="421">
        <f>'JKP-3.1c - Rev Actual Rates'!F234</f>
        <v>100000</v>
      </c>
      <c r="G223" s="421">
        <f>'JKP-3.1c - Rev Actual Rates'!G234</f>
        <v>100000</v>
      </c>
      <c r="H223" s="421">
        <f>'JKP-3.1c - Rev Actual Rates'!H234</f>
        <v>100000</v>
      </c>
      <c r="I223" s="421">
        <f>'JKP-3.1c - Rev Actual Rates'!I234</f>
        <v>100000</v>
      </c>
      <c r="J223" s="421">
        <f>'JKP-3.1c - Rev Actual Rates'!J234</f>
        <v>100000</v>
      </c>
      <c r="K223" s="421">
        <f>'JKP-3.1c - Rev Actual Rates'!K234</f>
        <v>100000</v>
      </c>
      <c r="L223" s="421">
        <f>'JKP-3.1c - Rev Actual Rates'!L234</f>
        <v>100000</v>
      </c>
      <c r="M223" s="421">
        <f>'JKP-3.1c - Rev Actual Rates'!M234</f>
        <v>100000</v>
      </c>
      <c r="N223" s="421">
        <f>'JKP-3.1c - Rev Actual Rates'!N234</f>
        <v>100000</v>
      </c>
      <c r="O223" s="421">
        <f>'JKP-3.1c - Rev Actual Rates'!O234</f>
        <v>100000</v>
      </c>
      <c r="P223" s="421">
        <f>'JKP-3.1c - Rev Actual Rates'!P234</f>
        <v>100000</v>
      </c>
      <c r="Q223" s="421">
        <f>'JKP-3.1c - Rev Actual Rates'!Q234</f>
        <v>100000</v>
      </c>
      <c r="R223" s="279">
        <f t="shared" si="49"/>
        <v>1200000</v>
      </c>
    </row>
    <row r="224" spans="2:20" s="336" customFormat="1" x14ac:dyDescent="0.2">
      <c r="C224" s="336" t="s">
        <v>1091</v>
      </c>
      <c r="D224" s="382" t="s">
        <v>811</v>
      </c>
      <c r="E224" s="336" t="s">
        <v>10</v>
      </c>
      <c r="F224" s="421">
        <f>'JKP-3.1c - Rev Actual Rates'!F235</f>
        <v>200000</v>
      </c>
      <c r="G224" s="421">
        <f>'JKP-3.1c - Rev Actual Rates'!G235</f>
        <v>200000</v>
      </c>
      <c r="H224" s="421">
        <f>'JKP-3.1c - Rev Actual Rates'!H235</f>
        <v>200000</v>
      </c>
      <c r="I224" s="421">
        <f>'JKP-3.1c - Rev Actual Rates'!I235</f>
        <v>200000</v>
      </c>
      <c r="J224" s="421">
        <f>'JKP-3.1c - Rev Actual Rates'!J235</f>
        <v>200000</v>
      </c>
      <c r="K224" s="421">
        <f>'JKP-3.1c - Rev Actual Rates'!K235</f>
        <v>200000</v>
      </c>
      <c r="L224" s="421">
        <f>'JKP-3.1c - Rev Actual Rates'!L235</f>
        <v>200000</v>
      </c>
      <c r="M224" s="421">
        <f>'JKP-3.1c - Rev Actual Rates'!M235</f>
        <v>200000</v>
      </c>
      <c r="N224" s="421">
        <f>'JKP-3.1c - Rev Actual Rates'!N235</f>
        <v>200000</v>
      </c>
      <c r="O224" s="421">
        <f>'JKP-3.1c - Rev Actual Rates'!O235</f>
        <v>200000</v>
      </c>
      <c r="P224" s="421">
        <f>'JKP-3.1c - Rev Actual Rates'!P235</f>
        <v>200000</v>
      </c>
      <c r="Q224" s="421">
        <f>'JKP-3.1c - Rev Actual Rates'!Q235</f>
        <v>200000</v>
      </c>
      <c r="R224" s="279">
        <f t="shared" si="49"/>
        <v>2400000</v>
      </c>
    </row>
    <row r="225" spans="1:20" s="336" customFormat="1" x14ac:dyDescent="0.2">
      <c r="C225" s="336" t="s">
        <v>1092</v>
      </c>
      <c r="D225" s="382" t="s">
        <v>811</v>
      </c>
      <c r="E225" s="336" t="s">
        <v>10</v>
      </c>
      <c r="F225" s="421">
        <f>'JKP-3.1c - Rev Actual Rates'!F236</f>
        <v>382651</v>
      </c>
      <c r="G225" s="421">
        <f>'JKP-3.1c - Rev Actual Rates'!G236</f>
        <v>364894</v>
      </c>
      <c r="H225" s="421">
        <f>'JKP-3.1c - Rev Actual Rates'!H236</f>
        <v>402729</v>
      </c>
      <c r="I225" s="421">
        <f>'JKP-3.1c - Rev Actual Rates'!I236</f>
        <v>390552</v>
      </c>
      <c r="J225" s="421">
        <f>'JKP-3.1c - Rev Actual Rates'!J236</f>
        <v>385110</v>
      </c>
      <c r="K225" s="421">
        <f>'JKP-3.1c - Rev Actual Rates'!K236</f>
        <v>396126</v>
      </c>
      <c r="L225" s="421">
        <f>'JKP-3.1c - Rev Actual Rates'!L236</f>
        <v>396365</v>
      </c>
      <c r="M225" s="421">
        <f>'JKP-3.1c - Rev Actual Rates'!M236</f>
        <v>399724</v>
      </c>
      <c r="N225" s="421">
        <f>'JKP-3.1c - Rev Actual Rates'!N236</f>
        <v>400295</v>
      </c>
      <c r="O225" s="421">
        <f>'JKP-3.1c - Rev Actual Rates'!O236</f>
        <v>393470</v>
      </c>
      <c r="P225" s="421">
        <f>'JKP-3.1c - Rev Actual Rates'!P236</f>
        <v>381020</v>
      </c>
      <c r="Q225" s="421">
        <f>'JKP-3.1c - Rev Actual Rates'!Q236</f>
        <v>394288</v>
      </c>
      <c r="R225" s="279">
        <f t="shared" si="49"/>
        <v>4687224</v>
      </c>
    </row>
    <row r="226" spans="1:20" s="336" customFormat="1" x14ac:dyDescent="0.2">
      <c r="C226" s="336" t="s">
        <v>1093</v>
      </c>
      <c r="D226" s="382" t="s">
        <v>811</v>
      </c>
      <c r="E226" s="336" t="s">
        <v>10</v>
      </c>
      <c r="F226" s="421">
        <f>'JKP-3.1c - Rev Actual Rates'!F237</f>
        <v>1155301</v>
      </c>
      <c r="G226" s="421">
        <f>'JKP-3.1c - Rev Actual Rates'!G237</f>
        <v>942918</v>
      </c>
      <c r="H226" s="421">
        <f>'JKP-3.1c - Rev Actual Rates'!H237</f>
        <v>1018640</v>
      </c>
      <c r="I226" s="421">
        <f>'JKP-3.1c - Rev Actual Rates'!I237</f>
        <v>888255</v>
      </c>
      <c r="J226" s="421">
        <f>'JKP-3.1c - Rev Actual Rates'!J237</f>
        <v>759568</v>
      </c>
      <c r="K226" s="421">
        <f>'JKP-3.1c - Rev Actual Rates'!K237</f>
        <v>498303</v>
      </c>
      <c r="L226" s="421">
        <f>'JKP-3.1c - Rev Actual Rates'!L237</f>
        <v>400327</v>
      </c>
      <c r="M226" s="421">
        <f>'JKP-3.1c - Rev Actual Rates'!M237</f>
        <v>365087</v>
      </c>
      <c r="N226" s="421">
        <f>'JKP-3.1c - Rev Actual Rates'!N237</f>
        <v>437462</v>
      </c>
      <c r="O226" s="421">
        <f>'JKP-3.1c - Rev Actual Rates'!O237</f>
        <v>693649</v>
      </c>
      <c r="P226" s="421">
        <f>'JKP-3.1c - Rev Actual Rates'!P237</f>
        <v>1200237</v>
      </c>
      <c r="Q226" s="421">
        <f>'JKP-3.1c - Rev Actual Rates'!Q237</f>
        <v>1196610</v>
      </c>
      <c r="R226" s="279">
        <f t="shared" si="49"/>
        <v>9556357</v>
      </c>
    </row>
    <row r="227" spans="1:20" s="336" customFormat="1" x14ac:dyDescent="0.2">
      <c r="C227" s="336" t="s">
        <v>1075</v>
      </c>
      <c r="D227" s="382" t="s">
        <v>811</v>
      </c>
      <c r="E227" s="336" t="s">
        <v>10</v>
      </c>
      <c r="F227" s="436">
        <f>'JKP-3.1c - Rev Actual Rates'!F238</f>
        <v>1937952</v>
      </c>
      <c r="G227" s="436">
        <f>'JKP-3.1c - Rev Actual Rates'!G238</f>
        <v>1707812</v>
      </c>
      <c r="H227" s="436">
        <f>'JKP-3.1c - Rev Actual Rates'!H238</f>
        <v>1821369</v>
      </c>
      <c r="I227" s="436">
        <f>'JKP-3.1c - Rev Actual Rates'!I238</f>
        <v>1678807</v>
      </c>
      <c r="J227" s="436">
        <f>'JKP-3.1c - Rev Actual Rates'!J238</f>
        <v>1544678</v>
      </c>
      <c r="K227" s="436">
        <f>'JKP-3.1c - Rev Actual Rates'!K238</f>
        <v>1294429</v>
      </c>
      <c r="L227" s="436">
        <f>'JKP-3.1c - Rev Actual Rates'!L238</f>
        <v>1196692</v>
      </c>
      <c r="M227" s="436">
        <f>'JKP-3.1c - Rev Actual Rates'!M238</f>
        <v>1164811</v>
      </c>
      <c r="N227" s="436">
        <f>'JKP-3.1c - Rev Actual Rates'!N238</f>
        <v>1237757</v>
      </c>
      <c r="O227" s="436">
        <f>'JKP-3.1c - Rev Actual Rates'!O238</f>
        <v>1487119</v>
      </c>
      <c r="P227" s="436">
        <f>'JKP-3.1c - Rev Actual Rates'!P238</f>
        <v>1981257</v>
      </c>
      <c r="Q227" s="436">
        <f>'JKP-3.1c - Rev Actual Rates'!Q238</f>
        <v>1990898</v>
      </c>
      <c r="R227" s="436">
        <f t="shared" si="49"/>
        <v>19043581</v>
      </c>
    </row>
    <row r="228" spans="1:20" s="336" customFormat="1" x14ac:dyDescent="0.2">
      <c r="B228" s="336" t="s">
        <v>74</v>
      </c>
      <c r="D228" s="382" t="s">
        <v>811</v>
      </c>
      <c r="E228" s="336" t="s">
        <v>1076</v>
      </c>
      <c r="F228" s="421">
        <f>'JKP-3.1c - Rev Actual Rates'!F239</f>
        <v>2</v>
      </c>
      <c r="G228" s="421">
        <f>'JKP-3.1c - Rev Actual Rates'!G239</f>
        <v>2</v>
      </c>
      <c r="H228" s="421">
        <f>'JKP-3.1c - Rev Actual Rates'!H239</f>
        <v>2</v>
      </c>
      <c r="I228" s="421">
        <f>'JKP-3.1c - Rev Actual Rates'!I239</f>
        <v>2</v>
      </c>
      <c r="J228" s="421">
        <f>'JKP-3.1c - Rev Actual Rates'!J239</f>
        <v>2</v>
      </c>
      <c r="K228" s="421">
        <f>'JKP-3.1c - Rev Actual Rates'!K239</f>
        <v>2</v>
      </c>
      <c r="L228" s="421">
        <f>'JKP-3.1c - Rev Actual Rates'!L239</f>
        <v>2</v>
      </c>
      <c r="M228" s="421">
        <f>'JKP-3.1c - Rev Actual Rates'!M239</f>
        <v>2</v>
      </c>
      <c r="N228" s="421">
        <f>'JKP-3.1c - Rev Actual Rates'!N239</f>
        <v>2</v>
      </c>
      <c r="O228" s="421">
        <f>'JKP-3.1c - Rev Actual Rates'!O239</f>
        <v>2</v>
      </c>
      <c r="P228" s="421">
        <f>'JKP-3.1c - Rev Actual Rates'!P239</f>
        <v>2</v>
      </c>
      <c r="Q228" s="421">
        <f>'JKP-3.1c - Rev Actual Rates'!Q239</f>
        <v>2</v>
      </c>
      <c r="R228" s="279">
        <f t="shared" si="49"/>
        <v>24</v>
      </c>
    </row>
    <row r="229" spans="1:20" s="336" customFormat="1" x14ac:dyDescent="0.2">
      <c r="B229" s="336" t="s">
        <v>1071</v>
      </c>
      <c r="F229" s="380"/>
      <c r="G229" s="380"/>
      <c r="H229" s="380"/>
      <c r="I229" s="380"/>
      <c r="J229" s="380"/>
      <c r="K229" s="380"/>
      <c r="L229" s="380"/>
      <c r="M229" s="380"/>
      <c r="N229" s="380"/>
      <c r="O229" s="380"/>
      <c r="P229" s="380"/>
      <c r="Q229" s="380"/>
    </row>
    <row r="230" spans="1:20" s="336" customFormat="1" x14ac:dyDescent="0.2"/>
    <row r="231" spans="1:20" s="336" customFormat="1" x14ac:dyDescent="0.2">
      <c r="B231" s="182" t="s">
        <v>1084</v>
      </c>
    </row>
    <row r="232" spans="1:20" s="336" customFormat="1" x14ac:dyDescent="0.2">
      <c r="A232" s="336" t="s">
        <v>1054</v>
      </c>
      <c r="B232" s="336" t="s">
        <v>1059</v>
      </c>
      <c r="D232" s="382" t="s">
        <v>811</v>
      </c>
      <c r="F232" s="418">
        <f t="shared" ref="F232:Q232" si="50">F206*F219</f>
        <v>1743.7</v>
      </c>
      <c r="G232" s="418">
        <f t="shared" si="50"/>
        <v>1743.7</v>
      </c>
      <c r="H232" s="418">
        <f t="shared" si="50"/>
        <v>1743.7</v>
      </c>
      <c r="I232" s="418">
        <f t="shared" si="50"/>
        <v>1743.7</v>
      </c>
      <c r="J232" s="418">
        <f t="shared" si="50"/>
        <v>1743.7</v>
      </c>
      <c r="K232" s="418">
        <f t="shared" si="50"/>
        <v>1743.7</v>
      </c>
      <c r="L232" s="418">
        <f t="shared" si="50"/>
        <v>1743.7</v>
      </c>
      <c r="M232" s="418">
        <f t="shared" si="50"/>
        <v>1743.7</v>
      </c>
      <c r="N232" s="418">
        <f t="shared" si="50"/>
        <v>1743.7</v>
      </c>
      <c r="O232" s="418">
        <f t="shared" si="50"/>
        <v>1743.7</v>
      </c>
      <c r="P232" s="418">
        <f t="shared" si="50"/>
        <v>1743.7</v>
      </c>
      <c r="Q232" s="418">
        <f t="shared" si="50"/>
        <v>1743.7</v>
      </c>
      <c r="R232" s="418">
        <f t="shared" ref="R232:R242" si="51">SUM(F232:Q232)</f>
        <v>20924.400000000005</v>
      </c>
    </row>
    <row r="233" spans="1:20" s="336" customFormat="1" x14ac:dyDescent="0.2">
      <c r="B233" s="336" t="s">
        <v>1047</v>
      </c>
      <c r="F233" s="418"/>
      <c r="G233" s="418"/>
      <c r="H233" s="418"/>
      <c r="I233" s="418"/>
      <c r="J233" s="418"/>
      <c r="K233" s="418"/>
      <c r="L233" s="418"/>
      <c r="M233" s="418"/>
      <c r="N233" s="418"/>
      <c r="O233" s="418"/>
      <c r="P233" s="418"/>
      <c r="Q233" s="418"/>
      <c r="R233" s="418">
        <f t="shared" si="51"/>
        <v>0</v>
      </c>
    </row>
    <row r="234" spans="1:20" s="336" customFormat="1" x14ac:dyDescent="0.2">
      <c r="C234" s="336" t="s">
        <v>1086</v>
      </c>
      <c r="D234" s="382" t="s">
        <v>811</v>
      </c>
      <c r="F234" s="418">
        <f t="shared" ref="F234:Q239" si="52">F208*F221</f>
        <v>6907.5</v>
      </c>
      <c r="G234" s="418">
        <f t="shared" si="52"/>
        <v>6907.5</v>
      </c>
      <c r="H234" s="418">
        <f t="shared" si="52"/>
        <v>6907.5</v>
      </c>
      <c r="I234" s="418">
        <f t="shared" si="52"/>
        <v>6907.5</v>
      </c>
      <c r="J234" s="418">
        <f t="shared" si="52"/>
        <v>6907.5</v>
      </c>
      <c r="K234" s="418">
        <f t="shared" si="52"/>
        <v>6907.5</v>
      </c>
      <c r="L234" s="418">
        <f t="shared" si="52"/>
        <v>6907.5</v>
      </c>
      <c r="M234" s="418">
        <f t="shared" si="52"/>
        <v>6907.5</v>
      </c>
      <c r="N234" s="418">
        <f t="shared" si="52"/>
        <v>6907.5</v>
      </c>
      <c r="O234" s="418">
        <f t="shared" si="52"/>
        <v>6907.5</v>
      </c>
      <c r="P234" s="418">
        <f t="shared" si="52"/>
        <v>6907.5</v>
      </c>
      <c r="Q234" s="418">
        <f t="shared" si="52"/>
        <v>6907.5</v>
      </c>
      <c r="R234" s="418">
        <f t="shared" si="51"/>
        <v>82890</v>
      </c>
    </row>
    <row r="235" spans="1:20" s="336" customFormat="1" x14ac:dyDescent="0.2">
      <c r="C235" s="336" t="s">
        <v>1087</v>
      </c>
      <c r="D235" s="382" t="s">
        <v>811</v>
      </c>
      <c r="F235" s="418">
        <f t="shared" si="52"/>
        <v>4217.5</v>
      </c>
      <c r="G235" s="418">
        <f t="shared" si="52"/>
        <v>4217.5</v>
      </c>
      <c r="H235" s="418">
        <f t="shared" si="52"/>
        <v>4217.5</v>
      </c>
      <c r="I235" s="418">
        <f t="shared" si="52"/>
        <v>4217.5</v>
      </c>
      <c r="J235" s="418">
        <f t="shared" si="52"/>
        <v>4217.5</v>
      </c>
      <c r="K235" s="418">
        <f t="shared" si="52"/>
        <v>4217.5</v>
      </c>
      <c r="L235" s="418">
        <f t="shared" si="52"/>
        <v>4217.5</v>
      </c>
      <c r="M235" s="418">
        <f t="shared" si="52"/>
        <v>4217.5</v>
      </c>
      <c r="N235" s="418">
        <f t="shared" si="52"/>
        <v>4217.5</v>
      </c>
      <c r="O235" s="418">
        <f t="shared" si="52"/>
        <v>4217.5</v>
      </c>
      <c r="P235" s="418">
        <f t="shared" si="52"/>
        <v>4217.5</v>
      </c>
      <c r="Q235" s="418">
        <f t="shared" si="52"/>
        <v>4217.5</v>
      </c>
      <c r="R235" s="418">
        <f t="shared" si="51"/>
        <v>50610</v>
      </c>
    </row>
    <row r="236" spans="1:20" s="336" customFormat="1" x14ac:dyDescent="0.2">
      <c r="C236" s="336" t="s">
        <v>1090</v>
      </c>
      <c r="D236" s="382" t="s">
        <v>811</v>
      </c>
      <c r="F236" s="418">
        <f t="shared" si="52"/>
        <v>5446</v>
      </c>
      <c r="G236" s="418">
        <f t="shared" si="52"/>
        <v>5446</v>
      </c>
      <c r="H236" s="418">
        <f t="shared" si="52"/>
        <v>5446</v>
      </c>
      <c r="I236" s="418">
        <f t="shared" si="52"/>
        <v>5446</v>
      </c>
      <c r="J236" s="418">
        <f t="shared" si="52"/>
        <v>5446</v>
      </c>
      <c r="K236" s="418">
        <f t="shared" si="52"/>
        <v>5446</v>
      </c>
      <c r="L236" s="418">
        <f t="shared" si="52"/>
        <v>5446</v>
      </c>
      <c r="M236" s="418">
        <f t="shared" si="52"/>
        <v>5446</v>
      </c>
      <c r="N236" s="418">
        <f t="shared" si="52"/>
        <v>5446</v>
      </c>
      <c r="O236" s="418">
        <f t="shared" si="52"/>
        <v>5446</v>
      </c>
      <c r="P236" s="418">
        <f t="shared" si="52"/>
        <v>5446</v>
      </c>
      <c r="Q236" s="418">
        <f t="shared" si="52"/>
        <v>5446</v>
      </c>
      <c r="R236" s="418">
        <f t="shared" si="51"/>
        <v>65352</v>
      </c>
    </row>
    <row r="237" spans="1:20" x14ac:dyDescent="0.2">
      <c r="C237" s="32" t="s">
        <v>1091</v>
      </c>
      <c r="D237" s="382" t="s">
        <v>811</v>
      </c>
      <c r="F237" s="364">
        <f t="shared" si="52"/>
        <v>7140.0000000000009</v>
      </c>
      <c r="G237" s="364">
        <f t="shared" si="52"/>
        <v>7140.0000000000009</v>
      </c>
      <c r="H237" s="364">
        <f t="shared" si="52"/>
        <v>7140.0000000000009</v>
      </c>
      <c r="I237" s="364">
        <f t="shared" si="52"/>
        <v>7140.0000000000009</v>
      </c>
      <c r="J237" s="364">
        <f t="shared" si="52"/>
        <v>7140.0000000000009</v>
      </c>
      <c r="K237" s="364">
        <f t="shared" si="52"/>
        <v>7140.0000000000009</v>
      </c>
      <c r="L237" s="364">
        <f t="shared" si="52"/>
        <v>7140.0000000000009</v>
      </c>
      <c r="M237" s="364">
        <f t="shared" si="52"/>
        <v>7140.0000000000009</v>
      </c>
      <c r="N237" s="364">
        <f t="shared" si="52"/>
        <v>7140.0000000000009</v>
      </c>
      <c r="O237" s="364">
        <f t="shared" si="52"/>
        <v>7140.0000000000009</v>
      </c>
      <c r="P237" s="364">
        <f t="shared" si="52"/>
        <v>7140.0000000000009</v>
      </c>
      <c r="Q237" s="364">
        <f t="shared" si="52"/>
        <v>7140.0000000000009</v>
      </c>
      <c r="R237" s="364">
        <f t="shared" si="51"/>
        <v>85680.000000000015</v>
      </c>
      <c r="S237" s="32"/>
      <c r="T237" s="32"/>
    </row>
    <row r="238" spans="1:20" x14ac:dyDescent="0.2">
      <c r="C238" s="32" t="s">
        <v>1092</v>
      </c>
      <c r="D238" s="382" t="s">
        <v>811</v>
      </c>
      <c r="F238" s="364">
        <f t="shared" si="52"/>
        <v>10063.721300000001</v>
      </c>
      <c r="G238" s="364">
        <f t="shared" si="52"/>
        <v>9596.7121999999999</v>
      </c>
      <c r="H238" s="364">
        <f t="shared" si="52"/>
        <v>10591.7727</v>
      </c>
      <c r="I238" s="364">
        <f t="shared" si="52"/>
        <v>10271.517600000001</v>
      </c>
      <c r="J238" s="364">
        <f t="shared" si="52"/>
        <v>10128.393</v>
      </c>
      <c r="K238" s="364">
        <f t="shared" si="52"/>
        <v>10418.113800000001</v>
      </c>
      <c r="L238" s="364">
        <f t="shared" si="52"/>
        <v>10424.3995</v>
      </c>
      <c r="M238" s="364">
        <f t="shared" si="52"/>
        <v>10512.7412</v>
      </c>
      <c r="N238" s="364">
        <f t="shared" si="52"/>
        <v>10527.7585</v>
      </c>
      <c r="O238" s="364">
        <f t="shared" si="52"/>
        <v>10348.261</v>
      </c>
      <c r="P238" s="364">
        <f t="shared" si="52"/>
        <v>10020.826000000001</v>
      </c>
      <c r="Q238" s="364">
        <f t="shared" si="52"/>
        <v>10369.7744</v>
      </c>
      <c r="R238" s="364">
        <f t="shared" si="51"/>
        <v>123273.9912</v>
      </c>
      <c r="S238" s="32"/>
      <c r="T238" s="32"/>
    </row>
    <row r="239" spans="1:20" x14ac:dyDescent="0.2">
      <c r="C239" s="32" t="s">
        <v>1093</v>
      </c>
      <c r="D239" s="382" t="s">
        <v>811</v>
      </c>
      <c r="F239" s="364">
        <f t="shared" si="52"/>
        <v>23995.601770000001</v>
      </c>
      <c r="G239" s="364">
        <f t="shared" si="52"/>
        <v>19584.406859999999</v>
      </c>
      <c r="H239" s="364">
        <f t="shared" si="52"/>
        <v>21157.1528</v>
      </c>
      <c r="I239" s="364">
        <f t="shared" si="52"/>
        <v>18449.056349999999</v>
      </c>
      <c r="J239" s="364">
        <f t="shared" si="52"/>
        <v>15776.227360000001</v>
      </c>
      <c r="K239" s="364">
        <f t="shared" si="52"/>
        <v>10349.75331</v>
      </c>
      <c r="L239" s="364">
        <f t="shared" si="52"/>
        <v>8314.7917899999993</v>
      </c>
      <c r="M239" s="364">
        <f t="shared" si="52"/>
        <v>7582.8569900000002</v>
      </c>
      <c r="N239" s="364">
        <f t="shared" si="52"/>
        <v>9086.0857400000004</v>
      </c>
      <c r="O239" s="364">
        <f t="shared" si="52"/>
        <v>14407.08973</v>
      </c>
      <c r="P239" s="364">
        <f t="shared" si="52"/>
        <v>24928.922490000001</v>
      </c>
      <c r="Q239" s="364">
        <f t="shared" si="52"/>
        <v>24853.5897</v>
      </c>
      <c r="R239" s="364">
        <f t="shared" si="51"/>
        <v>198485.53489000001</v>
      </c>
      <c r="S239" s="32"/>
      <c r="T239" s="32"/>
    </row>
    <row r="240" spans="1:20" x14ac:dyDescent="0.2">
      <c r="A240" s="32" t="s">
        <v>1054</v>
      </c>
      <c r="C240" s="32" t="s">
        <v>1077</v>
      </c>
      <c r="F240" s="365">
        <f t="shared" ref="F240:M240" si="53">SUM(F234:F239)</f>
        <v>57770.323070000006</v>
      </c>
      <c r="G240" s="365">
        <f t="shared" si="53"/>
        <v>52892.119059999997</v>
      </c>
      <c r="H240" s="365">
        <f t="shared" si="53"/>
        <v>55459.925499999998</v>
      </c>
      <c r="I240" s="365">
        <f t="shared" si="53"/>
        <v>52431.573949999998</v>
      </c>
      <c r="J240" s="365">
        <f t="shared" si="53"/>
        <v>49615.620360000001</v>
      </c>
      <c r="K240" s="365">
        <f t="shared" si="53"/>
        <v>44478.867109999999</v>
      </c>
      <c r="L240" s="365">
        <f t="shared" si="53"/>
        <v>42450.191290000002</v>
      </c>
      <c r="M240" s="365">
        <f t="shared" si="53"/>
        <v>41806.598190000004</v>
      </c>
      <c r="N240" s="365">
        <f>SUM(N234:N239)</f>
        <v>43324.844239999999</v>
      </c>
      <c r="O240" s="365">
        <f>SUM(O234:O239)</f>
        <v>48466.350729999998</v>
      </c>
      <c r="P240" s="365">
        <f>SUM(P234:P239)</f>
        <v>58660.748489999998</v>
      </c>
      <c r="Q240" s="365">
        <f>SUM(Q234:Q239)</f>
        <v>58934.364100000006</v>
      </c>
      <c r="R240" s="365">
        <f t="shared" si="51"/>
        <v>606291.52608999994</v>
      </c>
      <c r="S240" s="32"/>
      <c r="T240" s="32"/>
    </row>
    <row r="241" spans="1:20" x14ac:dyDescent="0.2">
      <c r="A241" s="32" t="s">
        <v>1056</v>
      </c>
      <c r="B241" s="336" t="s">
        <v>1081</v>
      </c>
      <c r="D241" s="382" t="s">
        <v>811</v>
      </c>
      <c r="F241" s="365">
        <f t="shared" ref="F241:Q242" si="54">F214*F227</f>
        <v>1356.5663999999999</v>
      </c>
      <c r="G241" s="365">
        <f t="shared" si="54"/>
        <v>1195.4684</v>
      </c>
      <c r="H241" s="365">
        <f t="shared" si="54"/>
        <v>1274.9583</v>
      </c>
      <c r="I241" s="365">
        <f t="shared" si="54"/>
        <v>1175.1649</v>
      </c>
      <c r="J241" s="365">
        <f t="shared" si="54"/>
        <v>1081.2746</v>
      </c>
      <c r="K241" s="365">
        <f t="shared" si="54"/>
        <v>906.10029999999995</v>
      </c>
      <c r="L241" s="365">
        <f t="shared" si="54"/>
        <v>837.68439999999998</v>
      </c>
      <c r="M241" s="365">
        <f t="shared" si="54"/>
        <v>815.36770000000001</v>
      </c>
      <c r="N241" s="365">
        <f t="shared" si="54"/>
        <v>866.42989999999998</v>
      </c>
      <c r="O241" s="365">
        <f t="shared" si="54"/>
        <v>1040.9833000000001</v>
      </c>
      <c r="P241" s="365">
        <f t="shared" si="54"/>
        <v>1386.8798999999999</v>
      </c>
      <c r="Q241" s="365">
        <f t="shared" si="54"/>
        <v>1393.6286</v>
      </c>
      <c r="R241" s="365">
        <f t="shared" si="51"/>
        <v>13330.506699999998</v>
      </c>
      <c r="S241" s="32"/>
      <c r="T241" s="32"/>
    </row>
    <row r="242" spans="1:20" x14ac:dyDescent="0.2">
      <c r="A242" s="32" t="s">
        <v>1054</v>
      </c>
      <c r="B242" s="32" t="s">
        <v>1069</v>
      </c>
      <c r="D242" s="382" t="s">
        <v>811</v>
      </c>
      <c r="F242" s="364">
        <f t="shared" si="54"/>
        <v>2.2200000000000002</v>
      </c>
      <c r="G242" s="364">
        <f t="shared" si="54"/>
        <v>2.2200000000000002</v>
      </c>
      <c r="H242" s="364">
        <f t="shared" si="54"/>
        <v>2.2200000000000002</v>
      </c>
      <c r="I242" s="364">
        <f t="shared" si="54"/>
        <v>2.2200000000000002</v>
      </c>
      <c r="J242" s="364">
        <f t="shared" si="54"/>
        <v>2.2200000000000002</v>
      </c>
      <c r="K242" s="364">
        <f t="shared" si="54"/>
        <v>2.2200000000000002</v>
      </c>
      <c r="L242" s="364">
        <f t="shared" si="54"/>
        <v>2.2200000000000002</v>
      </c>
      <c r="M242" s="364">
        <f t="shared" si="54"/>
        <v>2.2200000000000002</v>
      </c>
      <c r="N242" s="364">
        <f t="shared" si="54"/>
        <v>2.2200000000000002</v>
      </c>
      <c r="O242" s="364">
        <f t="shared" si="54"/>
        <v>2.2200000000000002</v>
      </c>
      <c r="P242" s="364">
        <f t="shared" si="54"/>
        <v>2.2200000000000002</v>
      </c>
      <c r="Q242" s="364">
        <f t="shared" si="54"/>
        <v>2.2200000000000002</v>
      </c>
      <c r="R242" s="364">
        <f t="shared" si="51"/>
        <v>26.639999999999997</v>
      </c>
      <c r="S242" s="32"/>
      <c r="T242" s="32"/>
    </row>
    <row r="243" spans="1:20" s="336" customFormat="1" x14ac:dyDescent="0.2">
      <c r="A243" s="336" t="s">
        <v>1054</v>
      </c>
      <c r="B243" s="336" t="s">
        <v>1071</v>
      </c>
      <c r="D243" s="382" t="s">
        <v>811</v>
      </c>
      <c r="F243" s="447">
        <f>'JKP-3.1c - Rev Actual Rates'!F254</f>
        <v>0</v>
      </c>
      <c r="G243" s="447">
        <f>'JKP-3.1c - Rev Actual Rates'!G254</f>
        <v>0</v>
      </c>
      <c r="H243" s="447">
        <f>'JKP-3.1c - Rev Actual Rates'!H254</f>
        <v>0</v>
      </c>
      <c r="I243" s="447">
        <f>'JKP-3.1c - Rev Actual Rates'!I254</f>
        <v>0</v>
      </c>
      <c r="J243" s="447">
        <f>'JKP-3.1c - Rev Actual Rates'!J254</f>
        <v>0</v>
      </c>
      <c r="K243" s="447">
        <f>'JKP-3.1c - Rev Actual Rates'!K254</f>
        <v>0</v>
      </c>
      <c r="L243" s="447">
        <f>'JKP-3.1c - Rev Actual Rates'!L254</f>
        <v>0</v>
      </c>
      <c r="M243" s="447">
        <f>'JKP-3.1c - Rev Actual Rates'!M254</f>
        <v>0</v>
      </c>
      <c r="N243" s="447">
        <f>'JKP-3.1c - Rev Actual Rates'!N254</f>
        <v>0</v>
      </c>
      <c r="O243" s="447">
        <f>'JKP-3.1c - Rev Actual Rates'!O254</f>
        <v>0</v>
      </c>
      <c r="P243" s="447">
        <f>'JKP-3.1c - Rev Actual Rates'!P254</f>
        <v>0</v>
      </c>
      <c r="Q243" s="447">
        <f>'JKP-3.1c - Rev Actual Rates'!Q254</f>
        <v>0</v>
      </c>
      <c r="R243" s="437">
        <f>SUM(F243:Q243)</f>
        <v>0</v>
      </c>
    </row>
    <row r="244" spans="1:20" s="336" customFormat="1" x14ac:dyDescent="0.2">
      <c r="B244" s="336" t="s">
        <v>986</v>
      </c>
      <c r="F244" s="339">
        <f>F232+F240+F241+F242+F243</f>
        <v>60872.809470000007</v>
      </c>
      <c r="G244" s="339">
        <f t="shared" ref="G244:R244" si="55">G232+G240+G241+G242+G243</f>
        <v>55833.507459999993</v>
      </c>
      <c r="H244" s="339">
        <f t="shared" si="55"/>
        <v>58480.803799999994</v>
      </c>
      <c r="I244" s="339">
        <f t="shared" si="55"/>
        <v>55352.65885</v>
      </c>
      <c r="J244" s="339">
        <f t="shared" si="55"/>
        <v>52442.814959999996</v>
      </c>
      <c r="K244" s="339">
        <f t="shared" si="55"/>
        <v>47130.887409999996</v>
      </c>
      <c r="L244" s="339">
        <f t="shared" si="55"/>
        <v>45033.795689999999</v>
      </c>
      <c r="M244" s="339">
        <f t="shared" si="55"/>
        <v>44367.885890000005</v>
      </c>
      <c r="N244" s="339">
        <f t="shared" si="55"/>
        <v>45937.19414</v>
      </c>
      <c r="O244" s="339">
        <f t="shared" si="55"/>
        <v>51253.254029999996</v>
      </c>
      <c r="P244" s="339">
        <f t="shared" si="55"/>
        <v>61793.548389999996</v>
      </c>
      <c r="Q244" s="339">
        <f t="shared" si="55"/>
        <v>62073.912700000001</v>
      </c>
      <c r="R244" s="339">
        <f t="shared" si="55"/>
        <v>640573.07279000001</v>
      </c>
    </row>
    <row r="245" spans="1:20" s="336" customFormat="1" x14ac:dyDescent="0.2">
      <c r="F245" s="415"/>
      <c r="G245" s="415"/>
      <c r="H245" s="415"/>
      <c r="I245" s="415"/>
      <c r="J245" s="415"/>
    </row>
    <row r="246" spans="1:20" s="336" customFormat="1" x14ac:dyDescent="0.2">
      <c r="A246" s="336" t="s">
        <v>1058</v>
      </c>
      <c r="B246" s="336" t="s">
        <v>1050</v>
      </c>
      <c r="F246" s="340">
        <f>F241</f>
        <v>1356.5663999999999</v>
      </c>
      <c r="G246" s="340">
        <f t="shared" ref="G246:Q246" si="56">G241</f>
        <v>1195.4684</v>
      </c>
      <c r="H246" s="340">
        <f t="shared" si="56"/>
        <v>1274.9583</v>
      </c>
      <c r="I246" s="340">
        <f t="shared" si="56"/>
        <v>1175.1649</v>
      </c>
      <c r="J246" s="340">
        <f t="shared" si="56"/>
        <v>1081.2746</v>
      </c>
      <c r="K246" s="340">
        <f t="shared" si="56"/>
        <v>906.10029999999995</v>
      </c>
      <c r="L246" s="340">
        <f t="shared" si="56"/>
        <v>837.68439999999998</v>
      </c>
      <c r="M246" s="340">
        <f t="shared" si="56"/>
        <v>815.36770000000001</v>
      </c>
      <c r="N246" s="340">
        <f t="shared" si="56"/>
        <v>866.42989999999998</v>
      </c>
      <c r="O246" s="340">
        <f t="shared" si="56"/>
        <v>1040.9833000000001</v>
      </c>
      <c r="P246" s="340">
        <f t="shared" si="56"/>
        <v>1386.8798999999999</v>
      </c>
      <c r="Q246" s="340">
        <f t="shared" si="56"/>
        <v>1393.6286</v>
      </c>
      <c r="R246" s="418">
        <f>SUM(F246:Q246)</f>
        <v>13330.506699999998</v>
      </c>
    </row>
    <row r="247" spans="1:20" s="336" customFormat="1" x14ac:dyDescent="0.2">
      <c r="F247" s="415"/>
      <c r="G247" s="415"/>
      <c r="H247" s="415"/>
      <c r="I247" s="415"/>
      <c r="J247" s="415"/>
    </row>
    <row r="248" spans="1:20" x14ac:dyDescent="0.2">
      <c r="B248" s="276" t="s">
        <v>1094</v>
      </c>
    </row>
    <row r="249" spans="1:20" x14ac:dyDescent="0.2">
      <c r="B249" s="276" t="s">
        <v>5</v>
      </c>
    </row>
    <row r="250" spans="1:20" x14ac:dyDescent="0.2">
      <c r="B250" s="32" t="s">
        <v>1063</v>
      </c>
      <c r="D250" s="32">
        <v>61</v>
      </c>
      <c r="E250" s="32" t="s">
        <v>1064</v>
      </c>
      <c r="F250" s="414">
        <v>0.1</v>
      </c>
      <c r="G250" s="414">
        <v>0.1</v>
      </c>
      <c r="H250" s="414">
        <v>0.1</v>
      </c>
      <c r="I250" s="414">
        <v>0.1</v>
      </c>
      <c r="J250" s="414">
        <v>0.1</v>
      </c>
      <c r="K250" s="414">
        <v>0.1</v>
      </c>
      <c r="L250" s="414">
        <v>0.1</v>
      </c>
      <c r="M250" s="414">
        <v>0.1</v>
      </c>
      <c r="N250" s="414">
        <v>0.1</v>
      </c>
      <c r="O250" s="414">
        <v>0.1</v>
      </c>
      <c r="P250" s="414">
        <v>0.1</v>
      </c>
      <c r="Q250" s="414">
        <v>0.1</v>
      </c>
    </row>
    <row r="252" spans="1:20" x14ac:dyDescent="0.2">
      <c r="B252" s="276" t="s">
        <v>982</v>
      </c>
    </row>
    <row r="253" spans="1:20" s="336" customFormat="1" x14ac:dyDescent="0.2">
      <c r="B253" s="336" t="s">
        <v>74</v>
      </c>
      <c r="F253" s="421">
        <f>'JKP-3.1c - Data'!C129</f>
        <v>88936</v>
      </c>
      <c r="G253" s="421">
        <f>'JKP-3.1c - Data'!D129</f>
        <v>88936</v>
      </c>
      <c r="H253" s="421">
        <f>'JKP-3.1c - Data'!E129</f>
        <v>89191</v>
      </c>
      <c r="I253" s="421">
        <f>'JKP-3.1c - Data'!F129</f>
        <v>88936</v>
      </c>
      <c r="J253" s="421">
        <f>'JKP-3.1c - Data'!G129</f>
        <v>91309</v>
      </c>
      <c r="K253" s="421">
        <f>'JKP-3.1c - Data'!H129</f>
        <v>90116</v>
      </c>
      <c r="L253" s="421">
        <f>'JKP-3.1c - Data'!I129</f>
        <v>92111</v>
      </c>
      <c r="M253" s="421">
        <f>'JKP-3.1c - Data'!J129</f>
        <v>93269</v>
      </c>
      <c r="N253" s="421">
        <f>'JKP-3.1c - Data'!K129</f>
        <v>92656</v>
      </c>
      <c r="O253" s="421">
        <f>'JKP-3.1c - Data'!L129</f>
        <v>92656</v>
      </c>
      <c r="P253" s="421">
        <f>'JKP-3.1c - Data'!M129</f>
        <v>92656</v>
      </c>
      <c r="Q253" s="421">
        <f>'JKP-3.1c - Data'!N129</f>
        <v>92656</v>
      </c>
      <c r="R253" s="378">
        <f>SUM(F253:Q253)</f>
        <v>1093428</v>
      </c>
      <c r="S253" s="335"/>
      <c r="T253" s="415"/>
    </row>
    <row r="255" spans="1:20" x14ac:dyDescent="0.2">
      <c r="B255" s="276" t="s">
        <v>985</v>
      </c>
    </row>
    <row r="256" spans="1:20" x14ac:dyDescent="0.2">
      <c r="A256" s="32" t="s">
        <v>1054</v>
      </c>
      <c r="B256" s="32" t="s">
        <v>1063</v>
      </c>
      <c r="F256" s="364">
        <f t="shared" ref="F256:N256" si="57">F250*F253</f>
        <v>8893.6</v>
      </c>
      <c r="G256" s="364">
        <f t="shared" si="57"/>
        <v>8893.6</v>
      </c>
      <c r="H256" s="364">
        <f t="shared" si="57"/>
        <v>8919.1</v>
      </c>
      <c r="I256" s="364">
        <f t="shared" si="57"/>
        <v>8893.6</v>
      </c>
      <c r="J256" s="364">
        <f t="shared" si="57"/>
        <v>9130.9</v>
      </c>
      <c r="K256" s="364">
        <f t="shared" si="57"/>
        <v>9011.6</v>
      </c>
      <c r="L256" s="364">
        <f t="shared" si="57"/>
        <v>9211.1</v>
      </c>
      <c r="M256" s="364">
        <f t="shared" si="57"/>
        <v>9326.9</v>
      </c>
      <c r="N256" s="364">
        <f t="shared" si="57"/>
        <v>9265.6</v>
      </c>
      <c r="O256" s="364">
        <f>O250*O253</f>
        <v>9265.6</v>
      </c>
      <c r="P256" s="364">
        <f>P250*P253</f>
        <v>9265.6</v>
      </c>
      <c r="Q256" s="364">
        <f>Q250*Q253</f>
        <v>9265.6</v>
      </c>
      <c r="R256" s="364">
        <f>SUM(F256:Q256)</f>
        <v>109342.80000000002</v>
      </c>
    </row>
    <row r="257" spans="2:20" x14ac:dyDescent="0.2">
      <c r="F257" s="364"/>
      <c r="G257" s="364"/>
      <c r="H257" s="364"/>
      <c r="I257" s="364"/>
      <c r="J257" s="364"/>
      <c r="K257" s="364"/>
      <c r="L257" s="364"/>
      <c r="M257" s="364"/>
      <c r="N257" s="364"/>
      <c r="O257" s="364"/>
      <c r="P257" s="364"/>
      <c r="Q257" s="364"/>
      <c r="R257" s="364"/>
    </row>
    <row r="259" spans="2:20" s="336" customFormat="1" x14ac:dyDescent="0.2">
      <c r="B259" s="182" t="s">
        <v>1095</v>
      </c>
      <c r="C259" s="182"/>
      <c r="S259" s="335"/>
      <c r="T259" s="415"/>
    </row>
    <row r="260" spans="2:20" x14ac:dyDescent="0.2">
      <c r="B260" s="276" t="s">
        <v>5</v>
      </c>
      <c r="C260" s="276"/>
    </row>
    <row r="261" spans="2:20" x14ac:dyDescent="0.2">
      <c r="B261" s="32" t="s">
        <v>1059</v>
      </c>
      <c r="D261" s="32">
        <v>85</v>
      </c>
      <c r="E261" s="32" t="s">
        <v>976</v>
      </c>
      <c r="F261" s="500">
        <f>'JKP-3.1c - Rev Rates GRC09'!F261</f>
        <v>544.75</v>
      </c>
      <c r="G261" s="500">
        <f>'JKP-3.1c - Rev Rates GRC09'!G261</f>
        <v>544.75</v>
      </c>
      <c r="H261" s="500">
        <f>'JKP-3.1c - Rev Rates GRC09'!H261</f>
        <v>544.75</v>
      </c>
      <c r="I261" s="500">
        <f>'JKP-3.1c - Rev Rates GRC09'!I261</f>
        <v>544.75</v>
      </c>
      <c r="J261" s="500">
        <f>'JKP-3.1c - Rev Rates GRC09'!J261</f>
        <v>544.75</v>
      </c>
      <c r="K261" s="500">
        <f>'JKP-3.1c - Rev Rates GRC09'!K261</f>
        <v>544.75</v>
      </c>
      <c r="L261" s="500">
        <f>'JKP-3.1c - Rev Rates GRC09'!L261</f>
        <v>544.75</v>
      </c>
      <c r="M261" s="500">
        <f>'JKP-3.1c - Rev Rates GRC09'!M261</f>
        <v>544.75</v>
      </c>
      <c r="N261" s="500">
        <f>'JKP-3.1c - Rev Rates GRC09'!N261</f>
        <v>544.75</v>
      </c>
      <c r="O261" s="500">
        <f>'JKP-3.1c - Rev Rates GRC09'!O261</f>
        <v>544.75</v>
      </c>
      <c r="P261" s="500">
        <f>'JKP-3.1c - Rev Rates GRC09'!P261</f>
        <v>544.75</v>
      </c>
      <c r="Q261" s="500">
        <f>'JKP-3.1c - Rev Rates GRC09'!Q261</f>
        <v>544.75</v>
      </c>
      <c r="R261" s="439"/>
    </row>
    <row r="262" spans="2:20" x14ac:dyDescent="0.2">
      <c r="B262" s="32" t="s">
        <v>1047</v>
      </c>
      <c r="F262" s="495"/>
      <c r="G262" s="495"/>
      <c r="H262" s="495"/>
      <c r="I262" s="495"/>
      <c r="J262" s="495"/>
      <c r="K262" s="495"/>
      <c r="L262" s="495"/>
      <c r="M262" s="495"/>
      <c r="N262" s="495"/>
      <c r="O262" s="495"/>
      <c r="P262" s="495"/>
      <c r="Q262" s="495"/>
      <c r="R262" s="394"/>
    </row>
    <row r="263" spans="2:20" x14ac:dyDescent="0.2">
      <c r="C263" s="32" t="s">
        <v>1086</v>
      </c>
      <c r="D263" s="32">
        <v>85</v>
      </c>
      <c r="E263" s="32" t="s">
        <v>957</v>
      </c>
      <c r="F263" s="496">
        <f>'JKP-3.1c - Rev Rates GRC09'!F263</f>
        <v>0.10229000000000001</v>
      </c>
      <c r="G263" s="496">
        <f>'JKP-3.1c - Rev Rates GRC09'!G263</f>
        <v>0.10229000000000001</v>
      </c>
      <c r="H263" s="496">
        <f>'JKP-3.1c - Rev Rates GRC09'!H263</f>
        <v>0.10229000000000001</v>
      </c>
      <c r="I263" s="496">
        <f>'JKP-3.1c - Rev Rates GRC09'!I263</f>
        <v>0.10229000000000001</v>
      </c>
      <c r="J263" s="496">
        <f>'JKP-3.1c - Rev Rates GRC09'!J263</f>
        <v>0.10229000000000001</v>
      </c>
      <c r="K263" s="496">
        <f>'JKP-3.1c - Rev Rates GRC09'!K263</f>
        <v>0.10229000000000001</v>
      </c>
      <c r="L263" s="496">
        <f>'JKP-3.1c - Rev Rates GRC09'!L263</f>
        <v>0.10229000000000001</v>
      </c>
      <c r="M263" s="496">
        <f>'JKP-3.1c - Rev Rates GRC09'!M263</f>
        <v>0.10229000000000001</v>
      </c>
      <c r="N263" s="496">
        <f>'JKP-3.1c - Rev Rates GRC09'!N263</f>
        <v>0.10229000000000001</v>
      </c>
      <c r="O263" s="496">
        <f>'JKP-3.1c - Rev Rates GRC09'!O263</f>
        <v>0.10229000000000001</v>
      </c>
      <c r="P263" s="496">
        <f>'JKP-3.1c - Rev Rates GRC09'!P263</f>
        <v>0.10229000000000001</v>
      </c>
      <c r="Q263" s="496">
        <f>'JKP-3.1c - Rev Rates GRC09'!Q263</f>
        <v>0.10229000000000001</v>
      </c>
      <c r="R263" s="394"/>
    </row>
    <row r="264" spans="2:20" x14ac:dyDescent="0.2">
      <c r="C264" s="32" t="s">
        <v>1087</v>
      </c>
      <c r="D264" s="32">
        <v>85</v>
      </c>
      <c r="E264" s="32" t="s">
        <v>957</v>
      </c>
      <c r="F264" s="496">
        <f>'JKP-3.1c - Rev Rates GRC09'!F264</f>
        <v>5.2440000000000001E-2</v>
      </c>
      <c r="G264" s="496">
        <f>'JKP-3.1c - Rev Rates GRC09'!G264</f>
        <v>5.2440000000000001E-2</v>
      </c>
      <c r="H264" s="496">
        <f>'JKP-3.1c - Rev Rates GRC09'!H264</f>
        <v>5.2440000000000001E-2</v>
      </c>
      <c r="I264" s="496">
        <f>'JKP-3.1c - Rev Rates GRC09'!I264</f>
        <v>5.2440000000000001E-2</v>
      </c>
      <c r="J264" s="496">
        <f>'JKP-3.1c - Rev Rates GRC09'!J264</f>
        <v>5.2440000000000001E-2</v>
      </c>
      <c r="K264" s="496">
        <f>'JKP-3.1c - Rev Rates GRC09'!K264</f>
        <v>5.2440000000000001E-2</v>
      </c>
      <c r="L264" s="496">
        <f>'JKP-3.1c - Rev Rates GRC09'!L264</f>
        <v>5.2440000000000001E-2</v>
      </c>
      <c r="M264" s="496">
        <f>'JKP-3.1c - Rev Rates GRC09'!M264</f>
        <v>5.2440000000000001E-2</v>
      </c>
      <c r="N264" s="496">
        <f>'JKP-3.1c - Rev Rates GRC09'!N264</f>
        <v>5.2440000000000001E-2</v>
      </c>
      <c r="O264" s="496">
        <f>'JKP-3.1c - Rev Rates GRC09'!O264</f>
        <v>5.2440000000000001E-2</v>
      </c>
      <c r="P264" s="496">
        <f>'JKP-3.1c - Rev Rates GRC09'!P264</f>
        <v>5.2440000000000001E-2</v>
      </c>
      <c r="Q264" s="496">
        <f>'JKP-3.1c - Rev Rates GRC09'!Q264</f>
        <v>5.2440000000000001E-2</v>
      </c>
      <c r="R264" s="394"/>
    </row>
    <row r="265" spans="2:20" x14ac:dyDescent="0.2">
      <c r="C265" s="32" t="s">
        <v>1088</v>
      </c>
      <c r="D265" s="32">
        <v>85</v>
      </c>
      <c r="E265" s="32" t="s">
        <v>957</v>
      </c>
      <c r="F265" s="496">
        <f>'JKP-3.1c - Rev Rates GRC09'!F265</f>
        <v>5.033E-2</v>
      </c>
      <c r="G265" s="496">
        <f>'JKP-3.1c - Rev Rates GRC09'!G265</f>
        <v>5.033E-2</v>
      </c>
      <c r="H265" s="496">
        <f>'JKP-3.1c - Rev Rates GRC09'!H265</f>
        <v>5.033E-2</v>
      </c>
      <c r="I265" s="496">
        <f>'JKP-3.1c - Rev Rates GRC09'!I265</f>
        <v>5.033E-2</v>
      </c>
      <c r="J265" s="496">
        <f>'JKP-3.1c - Rev Rates GRC09'!J265</f>
        <v>5.033E-2</v>
      </c>
      <c r="K265" s="496">
        <f>'JKP-3.1c - Rev Rates GRC09'!K265</f>
        <v>5.033E-2</v>
      </c>
      <c r="L265" s="496">
        <f>'JKP-3.1c - Rev Rates GRC09'!L265</f>
        <v>5.033E-2</v>
      </c>
      <c r="M265" s="496">
        <f>'JKP-3.1c - Rev Rates GRC09'!M265</f>
        <v>5.033E-2</v>
      </c>
      <c r="N265" s="496">
        <f>'JKP-3.1c - Rev Rates GRC09'!N265</f>
        <v>5.033E-2</v>
      </c>
      <c r="O265" s="496">
        <f>'JKP-3.1c - Rev Rates GRC09'!O265</f>
        <v>5.033E-2</v>
      </c>
      <c r="P265" s="496">
        <f>'JKP-3.1c - Rev Rates GRC09'!P265</f>
        <v>5.033E-2</v>
      </c>
      <c r="Q265" s="496">
        <f>'JKP-3.1c - Rev Rates GRC09'!Q265</f>
        <v>5.033E-2</v>
      </c>
      <c r="R265" s="394"/>
    </row>
    <row r="266" spans="2:20" x14ac:dyDescent="0.2">
      <c r="B266" s="415" t="s">
        <v>1067</v>
      </c>
      <c r="D266" s="32">
        <v>101</v>
      </c>
      <c r="E266" s="32" t="s">
        <v>957</v>
      </c>
      <c r="F266" s="395">
        <v>0.66125</v>
      </c>
      <c r="G266" s="395">
        <v>0.66125</v>
      </c>
      <c r="H266" s="395">
        <v>0.66125</v>
      </c>
      <c r="I266" s="395">
        <v>0.66125</v>
      </c>
      <c r="J266" s="395">
        <v>0.66125</v>
      </c>
      <c r="K266" s="395">
        <v>0.66125</v>
      </c>
      <c r="L266" s="395">
        <v>0.66125</v>
      </c>
      <c r="M266" s="395">
        <v>0.66125</v>
      </c>
      <c r="N266" s="395">
        <v>0.66125</v>
      </c>
      <c r="O266" s="395">
        <v>0.66125</v>
      </c>
      <c r="P266" s="395">
        <v>0.66125</v>
      </c>
      <c r="Q266" s="395">
        <v>0.66125</v>
      </c>
      <c r="R266" s="394"/>
    </row>
    <row r="267" spans="2:20" s="336" customFormat="1" x14ac:dyDescent="0.2">
      <c r="B267" s="336" t="s">
        <v>1096</v>
      </c>
      <c r="D267" s="382">
        <v>85</v>
      </c>
      <c r="E267" s="336" t="s">
        <v>957</v>
      </c>
      <c r="F267" s="496">
        <f>'JKP-3.1c - Rev Rates GRC09'!F267</f>
        <v>6.5900000000000004E-3</v>
      </c>
      <c r="G267" s="496">
        <f>'JKP-3.1c - Rev Rates GRC09'!G267</f>
        <v>6.5900000000000004E-3</v>
      </c>
      <c r="H267" s="496">
        <f>'JKP-3.1c - Rev Rates GRC09'!H267</f>
        <v>6.5900000000000004E-3</v>
      </c>
      <c r="I267" s="496">
        <f>'JKP-3.1c - Rev Rates GRC09'!I267</f>
        <v>6.5900000000000004E-3</v>
      </c>
      <c r="J267" s="496">
        <f>'JKP-3.1c - Rev Rates GRC09'!J267</f>
        <v>6.5900000000000004E-3</v>
      </c>
      <c r="K267" s="496">
        <f>'JKP-3.1c - Rev Rates GRC09'!K267</f>
        <v>6.5900000000000004E-3</v>
      </c>
      <c r="L267" s="496">
        <f>'JKP-3.1c - Rev Rates GRC09'!L267</f>
        <v>6.5900000000000004E-3</v>
      </c>
      <c r="M267" s="496">
        <f>'JKP-3.1c - Rev Rates GRC09'!M267</f>
        <v>6.5900000000000004E-3</v>
      </c>
      <c r="N267" s="496">
        <f>'JKP-3.1c - Rev Rates GRC09'!N267</f>
        <v>6.5900000000000004E-3</v>
      </c>
      <c r="O267" s="496">
        <f>'JKP-3.1c - Rev Rates GRC09'!O267</f>
        <v>6.5900000000000004E-3</v>
      </c>
      <c r="P267" s="496">
        <f>'JKP-3.1c - Rev Rates GRC09'!P267</f>
        <v>6.5900000000000004E-3</v>
      </c>
      <c r="Q267" s="496">
        <f>'JKP-3.1c - Rev Rates GRC09'!Q267</f>
        <v>6.5900000000000004E-3</v>
      </c>
      <c r="R267" s="441"/>
      <c r="S267" s="335"/>
      <c r="T267" s="415"/>
    </row>
    <row r="268" spans="2:20" s="336" customFormat="1" x14ac:dyDescent="0.2">
      <c r="B268" s="336" t="s">
        <v>1068</v>
      </c>
      <c r="F268" s="441"/>
      <c r="G268" s="441"/>
      <c r="H268" s="441"/>
      <c r="I268" s="441"/>
      <c r="J268" s="441"/>
      <c r="K268" s="441"/>
      <c r="L268" s="441"/>
      <c r="M268" s="441"/>
      <c r="N268" s="441"/>
      <c r="O268" s="441"/>
      <c r="P268" s="441"/>
      <c r="Q268" s="441"/>
      <c r="R268" s="441"/>
      <c r="S268" s="335"/>
      <c r="T268" s="415"/>
    </row>
    <row r="269" spans="2:20" s="336" customFormat="1" x14ac:dyDescent="0.2">
      <c r="C269" s="336" t="s">
        <v>1069</v>
      </c>
      <c r="D269" s="336">
        <v>85</v>
      </c>
      <c r="E269" s="336" t="s">
        <v>957</v>
      </c>
      <c r="F269" s="501">
        <f>'JKP-3.1c - Rev Rates GRC09'!F269</f>
        <v>1.1100000000000001</v>
      </c>
      <c r="G269" s="501">
        <f>'JKP-3.1c - Rev Rates GRC09'!G269</f>
        <v>1.1100000000000001</v>
      </c>
      <c r="H269" s="501">
        <f>'JKP-3.1c - Rev Rates GRC09'!H269</f>
        <v>1.1100000000000001</v>
      </c>
      <c r="I269" s="501">
        <f>'JKP-3.1c - Rev Rates GRC09'!I269</f>
        <v>1.1100000000000001</v>
      </c>
      <c r="J269" s="501">
        <f>'JKP-3.1c - Rev Rates GRC09'!J269</f>
        <v>1.1100000000000001</v>
      </c>
      <c r="K269" s="501">
        <f>'JKP-3.1c - Rev Rates GRC09'!K269</f>
        <v>1.1100000000000001</v>
      </c>
      <c r="L269" s="501">
        <f>'JKP-3.1c - Rev Rates GRC09'!L269</f>
        <v>1.1100000000000001</v>
      </c>
      <c r="M269" s="501">
        <f>'JKP-3.1c - Rev Rates GRC09'!M269</f>
        <v>1.1100000000000001</v>
      </c>
      <c r="N269" s="501">
        <f>'JKP-3.1c - Rev Rates GRC09'!N269</f>
        <v>1.1100000000000001</v>
      </c>
      <c r="O269" s="501">
        <f>'JKP-3.1c - Rev Rates GRC09'!O269</f>
        <v>1.1100000000000001</v>
      </c>
      <c r="P269" s="501">
        <f>'JKP-3.1c - Rev Rates GRC09'!P269</f>
        <v>1.1100000000000001</v>
      </c>
      <c r="Q269" s="501">
        <f>'JKP-3.1c - Rev Rates GRC09'!Q269</f>
        <v>1.1100000000000001</v>
      </c>
      <c r="R269" s="441"/>
      <c r="S269" s="335"/>
      <c r="T269" s="415"/>
    </row>
    <row r="270" spans="2:20" s="336" customFormat="1" x14ac:dyDescent="0.2">
      <c r="C270" s="336" t="s">
        <v>1070</v>
      </c>
      <c r="D270" s="336">
        <v>101</v>
      </c>
      <c r="E270" s="336" t="s">
        <v>957</v>
      </c>
      <c r="F270" s="442">
        <v>1.05</v>
      </c>
      <c r="G270" s="442">
        <v>1.05</v>
      </c>
      <c r="H270" s="442">
        <v>1.05</v>
      </c>
      <c r="I270" s="442">
        <v>1.05</v>
      </c>
      <c r="J270" s="442">
        <v>1.05</v>
      </c>
      <c r="K270" s="442">
        <v>1.05</v>
      </c>
      <c r="L270" s="442">
        <v>1.05</v>
      </c>
      <c r="M270" s="442">
        <v>1.05</v>
      </c>
      <c r="N270" s="442">
        <v>1.05</v>
      </c>
      <c r="O270" s="442">
        <v>1.05</v>
      </c>
      <c r="P270" s="442">
        <v>1.05</v>
      </c>
      <c r="Q270" s="442">
        <v>1.05</v>
      </c>
      <c r="R270" s="441"/>
      <c r="S270" s="335"/>
      <c r="T270" s="415"/>
    </row>
    <row r="271" spans="2:20" s="336" customFormat="1" x14ac:dyDescent="0.2">
      <c r="B271" s="336" t="s">
        <v>1071</v>
      </c>
      <c r="D271" s="336">
        <v>85</v>
      </c>
      <c r="E271" s="336" t="s">
        <v>67</v>
      </c>
      <c r="F271" s="450"/>
      <c r="G271" s="450"/>
      <c r="H271" s="442"/>
      <c r="I271" s="450"/>
      <c r="J271" s="450"/>
      <c r="K271" s="450"/>
      <c r="L271" s="450"/>
      <c r="M271" s="450"/>
      <c r="N271" s="450"/>
      <c r="O271" s="450"/>
      <c r="P271" s="450"/>
      <c r="Q271" s="450"/>
      <c r="R271" s="441"/>
      <c r="S271" s="335"/>
      <c r="T271" s="415"/>
    </row>
    <row r="272" spans="2:20" s="336" customFormat="1" x14ac:dyDescent="0.2">
      <c r="B272" s="415" t="s">
        <v>1197</v>
      </c>
      <c r="F272" s="395">
        <v>0.63265000000000005</v>
      </c>
      <c r="G272" s="395">
        <v>0.63265000000000005</v>
      </c>
      <c r="H272" s="395">
        <v>0.63265000000000005</v>
      </c>
      <c r="I272" s="395">
        <v>0.63265000000000005</v>
      </c>
      <c r="J272" s="395">
        <v>0.63265000000000005</v>
      </c>
      <c r="K272" s="395">
        <v>0.63265000000000005</v>
      </c>
      <c r="L272" s="395">
        <v>0.63265000000000005</v>
      </c>
      <c r="M272" s="395">
        <v>0.63265000000000005</v>
      </c>
      <c r="N272" s="395">
        <v>0.63265000000000005</v>
      </c>
      <c r="O272" s="395">
        <v>0.63265000000000005</v>
      </c>
      <c r="P272" s="395">
        <v>0.63265000000000005</v>
      </c>
      <c r="Q272" s="395">
        <v>0.63265000000000005</v>
      </c>
      <c r="S272" s="335"/>
      <c r="T272" s="415"/>
    </row>
    <row r="273" spans="1:20" s="336" customFormat="1" x14ac:dyDescent="0.2">
      <c r="B273" s="415" t="s">
        <v>1072</v>
      </c>
      <c r="F273" s="501">
        <f>'JKP-3.1c - Rev Rates GRC09'!F273</f>
        <v>1</v>
      </c>
      <c r="G273" s="501">
        <f>'JKP-3.1c - Rev Rates GRC09'!G273</f>
        <v>1</v>
      </c>
      <c r="H273" s="501">
        <f>'JKP-3.1c - Rev Rates GRC09'!H273</f>
        <v>1</v>
      </c>
      <c r="I273" s="501">
        <f>'JKP-3.1c - Rev Rates GRC09'!I273</f>
        <v>1</v>
      </c>
      <c r="J273" s="501">
        <f>'JKP-3.1c - Rev Rates GRC09'!J273</f>
        <v>1</v>
      </c>
      <c r="K273" s="501">
        <f>'JKP-3.1c - Rev Rates GRC09'!K273</f>
        <v>1</v>
      </c>
      <c r="L273" s="501">
        <f>'JKP-3.1c - Rev Rates GRC09'!L273</f>
        <v>1</v>
      </c>
      <c r="M273" s="501">
        <f>'JKP-3.1c - Rev Rates GRC09'!M273</f>
        <v>1</v>
      </c>
      <c r="N273" s="501">
        <f>'JKP-3.1c - Rev Rates GRC09'!N273</f>
        <v>1</v>
      </c>
      <c r="O273" s="501">
        <f>'JKP-3.1c - Rev Rates GRC09'!O273</f>
        <v>1</v>
      </c>
      <c r="P273" s="501">
        <f>'JKP-3.1c - Rev Rates GRC09'!P273</f>
        <v>1</v>
      </c>
      <c r="Q273" s="501">
        <f>'JKP-3.1c - Rev Rates GRC09'!Q273</f>
        <v>1</v>
      </c>
      <c r="S273" s="335"/>
      <c r="T273" s="415"/>
    </row>
    <row r="274" spans="1:20" s="336" customFormat="1" x14ac:dyDescent="0.2">
      <c r="S274" s="335"/>
      <c r="T274" s="415"/>
    </row>
    <row r="275" spans="1:20" s="336" customFormat="1" x14ac:dyDescent="0.2">
      <c r="B275" s="182" t="s">
        <v>982</v>
      </c>
      <c r="S275" s="335"/>
      <c r="T275" s="415"/>
    </row>
    <row r="276" spans="1:20" s="336" customFormat="1" x14ac:dyDescent="0.2">
      <c r="B276" s="336" t="s">
        <v>67</v>
      </c>
      <c r="E276" s="336" t="s">
        <v>67</v>
      </c>
      <c r="F276" s="421">
        <f>'JKP-3.1c - Data'!C146</f>
        <v>25</v>
      </c>
      <c r="G276" s="421">
        <f>'JKP-3.1c - Data'!D146</f>
        <v>25</v>
      </c>
      <c r="H276" s="421">
        <f>'JKP-3.1c - Data'!E146</f>
        <v>27</v>
      </c>
      <c r="I276" s="421">
        <f>'JKP-3.1c - Data'!F146</f>
        <v>27</v>
      </c>
      <c r="J276" s="421">
        <f>'JKP-3.1c - Data'!G146</f>
        <v>27</v>
      </c>
      <c r="K276" s="421">
        <f>'JKP-3.1c - Data'!H146</f>
        <v>27</v>
      </c>
      <c r="L276" s="421">
        <f>'JKP-3.1c - Data'!I146</f>
        <v>27</v>
      </c>
      <c r="M276" s="421">
        <f>'JKP-3.1c - Data'!J146</f>
        <v>28</v>
      </c>
      <c r="N276" s="421">
        <f>'JKP-3.1c - Data'!K146</f>
        <v>27</v>
      </c>
      <c r="O276" s="421">
        <f>'JKP-3.1c - Data'!L146</f>
        <v>27</v>
      </c>
      <c r="P276" s="421">
        <f>'JKP-3.1c - Data'!M146</f>
        <v>27</v>
      </c>
      <c r="Q276" s="421">
        <f>'JKP-3.1c - Data'!N146</f>
        <v>27</v>
      </c>
      <c r="R276" s="378">
        <f>SUM(F276:Q276)</f>
        <v>321</v>
      </c>
      <c r="S276" s="335"/>
      <c r="T276" s="415"/>
    </row>
    <row r="277" spans="1:20" s="336" customFormat="1" x14ac:dyDescent="0.2">
      <c r="B277" s="336" t="s">
        <v>76</v>
      </c>
      <c r="F277" s="380"/>
      <c r="G277" s="380"/>
      <c r="H277" s="380"/>
      <c r="I277" s="380"/>
      <c r="J277" s="380"/>
      <c r="K277" s="380"/>
      <c r="L277" s="380"/>
      <c r="M277" s="380"/>
      <c r="N277" s="380"/>
      <c r="O277" s="380"/>
      <c r="P277" s="380"/>
      <c r="Q277" s="380"/>
      <c r="R277" s="378"/>
      <c r="S277" s="335"/>
      <c r="T277" s="415"/>
    </row>
    <row r="278" spans="1:20" s="336" customFormat="1" x14ac:dyDescent="0.2">
      <c r="C278" s="336" t="s">
        <v>1086</v>
      </c>
      <c r="E278" s="336" t="s">
        <v>10</v>
      </c>
      <c r="F278" s="421">
        <f>'JKP-3.1c - Rev Actual Rates'!F289</f>
        <v>579204</v>
      </c>
      <c r="G278" s="421">
        <f>'JKP-3.1c - Rev Actual Rates'!G289</f>
        <v>571053</v>
      </c>
      <c r="H278" s="421">
        <f>'JKP-3.1c - Rev Actual Rates'!H289</f>
        <v>627459</v>
      </c>
      <c r="I278" s="421">
        <f>'JKP-3.1c - Rev Actual Rates'!I289</f>
        <v>616245</v>
      </c>
      <c r="J278" s="421">
        <f>'JKP-3.1c - Rev Actual Rates'!J289</f>
        <v>589190</v>
      </c>
      <c r="K278" s="421">
        <f>'JKP-3.1c - Rev Actual Rates'!K289</f>
        <v>532748</v>
      </c>
      <c r="L278" s="421">
        <f>'JKP-3.1c - Rev Actual Rates'!L289</f>
        <v>489709</v>
      </c>
      <c r="M278" s="421">
        <f>'JKP-3.1c - Rev Actual Rates'!M289</f>
        <v>482494</v>
      </c>
      <c r="N278" s="421">
        <f>'JKP-3.1c - Rev Actual Rates'!N289</f>
        <v>496035</v>
      </c>
      <c r="O278" s="421">
        <f>'JKP-3.1c - Rev Actual Rates'!O289</f>
        <v>576969</v>
      </c>
      <c r="P278" s="421">
        <f>'JKP-3.1c - Rev Actual Rates'!P289</f>
        <v>621973</v>
      </c>
      <c r="Q278" s="421">
        <f>'JKP-3.1c - Rev Actual Rates'!Q289</f>
        <v>643793</v>
      </c>
      <c r="R278" s="378">
        <f>SUM(F278:Q278)</f>
        <v>6826872</v>
      </c>
      <c r="S278" s="335"/>
      <c r="T278" s="415"/>
    </row>
    <row r="279" spans="1:20" s="336" customFormat="1" x14ac:dyDescent="0.2">
      <c r="C279" s="336" t="s">
        <v>1087</v>
      </c>
      <c r="E279" s="336" t="s">
        <v>10</v>
      </c>
      <c r="F279" s="421">
        <f>'JKP-3.1c - Rev Actual Rates'!F290</f>
        <v>316044</v>
      </c>
      <c r="G279" s="421">
        <f>'JKP-3.1c - Rev Actual Rates'!G290</f>
        <v>266208</v>
      </c>
      <c r="H279" s="421">
        <f>'JKP-3.1c - Rev Actual Rates'!H290</f>
        <v>328534</v>
      </c>
      <c r="I279" s="421">
        <f>'JKP-3.1c - Rev Actual Rates'!I290</f>
        <v>286112</v>
      </c>
      <c r="J279" s="421">
        <f>'JKP-3.1c - Rev Actual Rates'!J290</f>
        <v>232846</v>
      </c>
      <c r="K279" s="421">
        <f>'JKP-3.1c - Rev Actual Rates'!K290</f>
        <v>196378</v>
      </c>
      <c r="L279" s="421">
        <f>'JKP-3.1c - Rev Actual Rates'!L290</f>
        <v>177019</v>
      </c>
      <c r="M279" s="421">
        <f>'JKP-3.1c - Rev Actual Rates'!M290</f>
        <v>177009</v>
      </c>
      <c r="N279" s="421">
        <f>'JKP-3.1c - Rev Actual Rates'!N290</f>
        <v>183789</v>
      </c>
      <c r="O279" s="421">
        <f>'JKP-3.1c - Rev Actual Rates'!O290</f>
        <v>253149</v>
      </c>
      <c r="P279" s="421">
        <f>'JKP-3.1c - Rev Actual Rates'!P290</f>
        <v>336943</v>
      </c>
      <c r="Q279" s="421">
        <f>'JKP-3.1c - Rev Actual Rates'!Q290</f>
        <v>381036</v>
      </c>
      <c r="R279" s="378">
        <f>SUM(F279:Q279)</f>
        <v>3135067</v>
      </c>
      <c r="S279" s="335"/>
      <c r="T279" s="415"/>
    </row>
    <row r="280" spans="1:20" s="336" customFormat="1" x14ac:dyDescent="0.2">
      <c r="C280" s="336" t="s">
        <v>1088</v>
      </c>
      <c r="E280" s="336" t="s">
        <v>10</v>
      </c>
      <c r="F280" s="421">
        <f>'JKP-3.1c - Rev Actual Rates'!F291</f>
        <v>645280</v>
      </c>
      <c r="G280" s="421">
        <f>'JKP-3.1c - Rev Actual Rates'!G291</f>
        <v>528649</v>
      </c>
      <c r="H280" s="421">
        <f>'JKP-3.1c - Rev Actual Rates'!H291</f>
        <v>587049</v>
      </c>
      <c r="I280" s="421">
        <f>'JKP-3.1c - Rev Actual Rates'!I291</f>
        <v>449290</v>
      </c>
      <c r="J280" s="421">
        <f>'JKP-3.1c - Rev Actual Rates'!J291</f>
        <v>320771</v>
      </c>
      <c r="K280" s="421">
        <f>'JKP-3.1c - Rev Actual Rates'!K291</f>
        <v>132163</v>
      </c>
      <c r="L280" s="421">
        <f>'JKP-3.1c - Rev Actual Rates'!L291</f>
        <v>52731</v>
      </c>
      <c r="M280" s="421">
        <f>'JKP-3.1c - Rev Actual Rates'!M291</f>
        <v>22848</v>
      </c>
      <c r="N280" s="421">
        <f>'JKP-3.1c - Rev Actual Rates'!N291</f>
        <v>58092</v>
      </c>
      <c r="O280" s="421">
        <f>'JKP-3.1c - Rev Actual Rates'!O291</f>
        <v>258373</v>
      </c>
      <c r="P280" s="421">
        <f>'JKP-3.1c - Rev Actual Rates'!P291</f>
        <v>511067</v>
      </c>
      <c r="Q280" s="421">
        <f>'JKP-3.1c - Rev Actual Rates'!Q291</f>
        <v>542545</v>
      </c>
      <c r="R280" s="378">
        <f>SUM(F280:Q280)</f>
        <v>4108858</v>
      </c>
      <c r="S280" s="335"/>
      <c r="T280" s="415"/>
    </row>
    <row r="281" spans="1:20" s="336" customFormat="1" x14ac:dyDescent="0.2">
      <c r="C281" s="336" t="s">
        <v>1075</v>
      </c>
      <c r="E281" s="336" t="s">
        <v>10</v>
      </c>
      <c r="F281" s="436">
        <f t="shared" ref="F281:N281" si="58">SUM(F278:F280)</f>
        <v>1540528</v>
      </c>
      <c r="G281" s="436">
        <f t="shared" si="58"/>
        <v>1365910</v>
      </c>
      <c r="H281" s="436">
        <f t="shared" si="58"/>
        <v>1543042</v>
      </c>
      <c r="I281" s="436">
        <f t="shared" si="58"/>
        <v>1351647</v>
      </c>
      <c r="J281" s="436">
        <f t="shared" si="58"/>
        <v>1142807</v>
      </c>
      <c r="K281" s="436">
        <f t="shared" si="58"/>
        <v>861289</v>
      </c>
      <c r="L281" s="436">
        <f t="shared" si="58"/>
        <v>719459</v>
      </c>
      <c r="M281" s="436">
        <f t="shared" si="58"/>
        <v>682351</v>
      </c>
      <c r="N281" s="436">
        <f t="shared" si="58"/>
        <v>737916</v>
      </c>
      <c r="O281" s="436">
        <f>SUM(O278:O280)</f>
        <v>1088491</v>
      </c>
      <c r="P281" s="436">
        <f>SUM(P278:P280)</f>
        <v>1469983</v>
      </c>
      <c r="Q281" s="436">
        <f>SUM(Q278:Q280)</f>
        <v>1567374</v>
      </c>
      <c r="R281" s="436">
        <f>SUM(R278:R280)</f>
        <v>14070797</v>
      </c>
      <c r="S281" s="335"/>
      <c r="T281" s="415"/>
    </row>
    <row r="282" spans="1:20" s="336" customFormat="1" x14ac:dyDescent="0.2">
      <c r="B282" s="336" t="s">
        <v>74</v>
      </c>
      <c r="E282" s="336" t="s">
        <v>1076</v>
      </c>
      <c r="F282" s="421">
        <f>'JKP-3.1c - Rev Actual Rates'!F293</f>
        <v>7593</v>
      </c>
      <c r="G282" s="421">
        <f>'JKP-3.1c - Rev Actual Rates'!G293</f>
        <v>7593</v>
      </c>
      <c r="H282" s="421">
        <f>'JKP-3.1c - Rev Actual Rates'!H293</f>
        <v>7593</v>
      </c>
      <c r="I282" s="421">
        <f>'JKP-3.1c - Rev Actual Rates'!I293</f>
        <v>7593</v>
      </c>
      <c r="J282" s="421">
        <f>'JKP-3.1c - Rev Actual Rates'!J293</f>
        <v>7593</v>
      </c>
      <c r="K282" s="421">
        <f>'JKP-3.1c - Rev Actual Rates'!K293</f>
        <v>7593</v>
      </c>
      <c r="L282" s="421">
        <f>'JKP-3.1c - Rev Actual Rates'!L293</f>
        <v>7593</v>
      </c>
      <c r="M282" s="421">
        <f>'JKP-3.1c - Rev Actual Rates'!M293</f>
        <v>7661</v>
      </c>
      <c r="N282" s="421">
        <f>'JKP-3.1c - Rev Actual Rates'!N293</f>
        <v>7593</v>
      </c>
      <c r="O282" s="421">
        <f>'JKP-3.1c - Rev Actual Rates'!O293</f>
        <v>7593</v>
      </c>
      <c r="P282" s="421">
        <f>'JKP-3.1c - Rev Actual Rates'!P293</f>
        <v>7593</v>
      </c>
      <c r="Q282" s="421">
        <f>'JKP-3.1c - Rev Actual Rates'!Q293</f>
        <v>7593</v>
      </c>
      <c r="R282" s="378">
        <f>SUM(F282:Q282)</f>
        <v>91184</v>
      </c>
      <c r="S282" s="335"/>
      <c r="T282" s="415"/>
    </row>
    <row r="283" spans="1:20" s="336" customFormat="1" x14ac:dyDescent="0.2">
      <c r="B283" s="336" t="s">
        <v>1071</v>
      </c>
      <c r="F283" s="380"/>
      <c r="G283" s="380"/>
      <c r="H283" s="380"/>
      <c r="I283" s="380"/>
      <c r="J283" s="380"/>
      <c r="K283" s="380"/>
      <c r="L283" s="380"/>
      <c r="M283" s="380"/>
      <c r="N283" s="380"/>
      <c r="O283" s="380"/>
      <c r="P283" s="380"/>
      <c r="Q283" s="380"/>
      <c r="R283" s="378"/>
      <c r="S283" s="335"/>
      <c r="T283" s="415"/>
    </row>
    <row r="284" spans="1:20" s="336" customFormat="1" x14ac:dyDescent="0.2">
      <c r="R284" s="179"/>
      <c r="S284" s="335"/>
      <c r="T284" s="415"/>
    </row>
    <row r="285" spans="1:20" s="336" customFormat="1" x14ac:dyDescent="0.2">
      <c r="B285" s="182" t="s">
        <v>985</v>
      </c>
      <c r="R285" s="179"/>
      <c r="S285" s="335"/>
      <c r="T285" s="415"/>
    </row>
    <row r="286" spans="1:20" s="336" customFormat="1" x14ac:dyDescent="0.2">
      <c r="A286" s="336" t="s">
        <v>1054</v>
      </c>
      <c r="B286" s="336" t="s">
        <v>1059</v>
      </c>
      <c r="D286" s="336">
        <v>85</v>
      </c>
      <c r="F286" s="418">
        <f t="shared" ref="F286:Q286" si="59">F261*F276</f>
        <v>13618.75</v>
      </c>
      <c r="G286" s="418">
        <f t="shared" si="59"/>
        <v>13618.75</v>
      </c>
      <c r="H286" s="418">
        <f t="shared" si="59"/>
        <v>14708.25</v>
      </c>
      <c r="I286" s="418">
        <f t="shared" si="59"/>
        <v>14708.25</v>
      </c>
      <c r="J286" s="418">
        <f t="shared" si="59"/>
        <v>14708.25</v>
      </c>
      <c r="K286" s="418">
        <f t="shared" si="59"/>
        <v>14708.25</v>
      </c>
      <c r="L286" s="418">
        <f t="shared" si="59"/>
        <v>14708.25</v>
      </c>
      <c r="M286" s="418">
        <f t="shared" si="59"/>
        <v>15253</v>
      </c>
      <c r="N286" s="418">
        <f t="shared" si="59"/>
        <v>14708.25</v>
      </c>
      <c r="O286" s="418">
        <f t="shared" si="59"/>
        <v>14708.25</v>
      </c>
      <c r="P286" s="418">
        <f t="shared" si="59"/>
        <v>14708.25</v>
      </c>
      <c r="Q286" s="418">
        <f t="shared" si="59"/>
        <v>14708.25</v>
      </c>
      <c r="R286" s="437">
        <f>SUM(F286:Q286)</f>
        <v>174864.75</v>
      </c>
      <c r="S286" s="335"/>
      <c r="T286" s="415"/>
    </row>
    <row r="287" spans="1:20" s="336" customFormat="1" x14ac:dyDescent="0.2">
      <c r="B287" s="336" t="s">
        <v>1047</v>
      </c>
      <c r="F287" s="418"/>
      <c r="G287" s="418"/>
      <c r="H287" s="418"/>
      <c r="I287" s="418"/>
      <c r="J287" s="418"/>
      <c r="K287" s="418"/>
      <c r="L287" s="418"/>
      <c r="M287" s="418"/>
      <c r="N287" s="418"/>
      <c r="O287" s="418"/>
      <c r="P287" s="418"/>
      <c r="Q287" s="418"/>
      <c r="R287" s="437"/>
      <c r="S287" s="335"/>
      <c r="T287" s="415"/>
    </row>
    <row r="288" spans="1:20" s="336" customFormat="1" x14ac:dyDescent="0.2">
      <c r="C288" s="336" t="s">
        <v>1086</v>
      </c>
      <c r="D288" s="336">
        <v>85</v>
      </c>
      <c r="F288" s="418">
        <f t="shared" ref="F288:Q290" si="60">F263*F278</f>
        <v>59246.777160000005</v>
      </c>
      <c r="G288" s="418">
        <f t="shared" si="60"/>
        <v>58413.01137</v>
      </c>
      <c r="H288" s="418">
        <f t="shared" si="60"/>
        <v>64182.781110000004</v>
      </c>
      <c r="I288" s="418">
        <f t="shared" si="60"/>
        <v>63035.701050000003</v>
      </c>
      <c r="J288" s="418">
        <f t="shared" si="60"/>
        <v>60268.2451</v>
      </c>
      <c r="K288" s="418">
        <f t="shared" si="60"/>
        <v>54494.79292</v>
      </c>
      <c r="L288" s="418">
        <f t="shared" si="60"/>
        <v>50092.333610000001</v>
      </c>
      <c r="M288" s="418">
        <f t="shared" si="60"/>
        <v>49354.311260000002</v>
      </c>
      <c r="N288" s="418">
        <f t="shared" si="60"/>
        <v>50739.420150000005</v>
      </c>
      <c r="O288" s="418">
        <f t="shared" si="60"/>
        <v>59018.159010000003</v>
      </c>
      <c r="P288" s="418">
        <f t="shared" si="60"/>
        <v>63621.618170000002</v>
      </c>
      <c r="Q288" s="418">
        <f t="shared" si="60"/>
        <v>65853.58597</v>
      </c>
      <c r="R288" s="437">
        <f>SUM(F288:Q288)</f>
        <v>698320.73687999998</v>
      </c>
      <c r="S288" s="335"/>
      <c r="T288" s="415"/>
    </row>
    <row r="289" spans="1:20" s="336" customFormat="1" x14ac:dyDescent="0.2">
      <c r="C289" s="336" t="s">
        <v>1087</v>
      </c>
      <c r="D289" s="336">
        <v>85</v>
      </c>
      <c r="F289" s="418">
        <f t="shared" si="60"/>
        <v>16573.34736</v>
      </c>
      <c r="G289" s="418">
        <f t="shared" si="60"/>
        <v>13959.94752</v>
      </c>
      <c r="H289" s="418">
        <f t="shared" si="60"/>
        <v>17228.322960000001</v>
      </c>
      <c r="I289" s="418">
        <f t="shared" si="60"/>
        <v>15003.71328</v>
      </c>
      <c r="J289" s="418">
        <f t="shared" si="60"/>
        <v>12210.444240000001</v>
      </c>
      <c r="K289" s="418">
        <f t="shared" si="60"/>
        <v>10298.062320000001</v>
      </c>
      <c r="L289" s="418">
        <f t="shared" si="60"/>
        <v>9282.8763600000002</v>
      </c>
      <c r="M289" s="418">
        <f t="shared" si="60"/>
        <v>9282.35196</v>
      </c>
      <c r="N289" s="418">
        <f t="shared" si="60"/>
        <v>9637.89516</v>
      </c>
      <c r="O289" s="418">
        <f t="shared" si="60"/>
        <v>13275.13356</v>
      </c>
      <c r="P289" s="418">
        <f t="shared" si="60"/>
        <v>17669.290919999999</v>
      </c>
      <c r="Q289" s="418">
        <f t="shared" si="60"/>
        <v>19981.527839999999</v>
      </c>
      <c r="R289" s="437">
        <f>SUM(F289:Q289)</f>
        <v>164402.91347999999</v>
      </c>
      <c r="S289" s="335"/>
      <c r="T289" s="415"/>
    </row>
    <row r="290" spans="1:20" x14ac:dyDescent="0.2">
      <c r="C290" s="32" t="s">
        <v>1088</v>
      </c>
      <c r="D290" s="32">
        <v>85</v>
      </c>
      <c r="F290" s="364">
        <f t="shared" si="60"/>
        <v>32476.9424</v>
      </c>
      <c r="G290" s="364">
        <f t="shared" si="60"/>
        <v>26606.904170000002</v>
      </c>
      <c r="H290" s="364">
        <f t="shared" si="60"/>
        <v>29546.176169999999</v>
      </c>
      <c r="I290" s="364">
        <f t="shared" si="60"/>
        <v>22612.7657</v>
      </c>
      <c r="J290" s="364">
        <f t="shared" si="60"/>
        <v>16144.404430000001</v>
      </c>
      <c r="K290" s="364">
        <f t="shared" si="60"/>
        <v>6651.76379</v>
      </c>
      <c r="L290" s="364">
        <f t="shared" si="60"/>
        <v>2653.9512300000001</v>
      </c>
      <c r="M290" s="364">
        <f t="shared" si="60"/>
        <v>1149.93984</v>
      </c>
      <c r="N290" s="364">
        <f t="shared" si="60"/>
        <v>2923.77036</v>
      </c>
      <c r="O290" s="364">
        <f t="shared" si="60"/>
        <v>13003.91309</v>
      </c>
      <c r="P290" s="364">
        <f t="shared" si="60"/>
        <v>25722.002110000001</v>
      </c>
      <c r="Q290" s="364">
        <f t="shared" si="60"/>
        <v>27306.289850000001</v>
      </c>
      <c r="R290" s="341">
        <f>SUM(F290:Q290)</f>
        <v>206798.82313999999</v>
      </c>
    </row>
    <row r="291" spans="1:20" x14ac:dyDescent="0.2">
      <c r="A291" s="32" t="s">
        <v>1054</v>
      </c>
      <c r="C291" s="32" t="s">
        <v>1077</v>
      </c>
      <c r="F291" s="365">
        <f t="shared" ref="F291:N291" si="61">SUM(F288:F290)</f>
        <v>108297.06692000001</v>
      </c>
      <c r="G291" s="365">
        <f t="shared" si="61"/>
        <v>98979.863060000003</v>
      </c>
      <c r="H291" s="365">
        <f t="shared" si="61"/>
        <v>110957.28023999999</v>
      </c>
      <c r="I291" s="365">
        <f t="shared" si="61"/>
        <v>100652.18003</v>
      </c>
      <c r="J291" s="365">
        <f t="shared" si="61"/>
        <v>88623.093769999992</v>
      </c>
      <c r="K291" s="365">
        <f t="shared" si="61"/>
        <v>71444.619030000002</v>
      </c>
      <c r="L291" s="365">
        <f t="shared" si="61"/>
        <v>62029.161200000002</v>
      </c>
      <c r="M291" s="365">
        <f t="shared" si="61"/>
        <v>59786.603060000001</v>
      </c>
      <c r="N291" s="365">
        <f t="shared" si="61"/>
        <v>63301.085670000008</v>
      </c>
      <c r="O291" s="365">
        <f>SUM(O288:O290)</f>
        <v>85297.205660000007</v>
      </c>
      <c r="P291" s="365">
        <f>SUM(P288:P290)</f>
        <v>107012.9112</v>
      </c>
      <c r="Q291" s="365">
        <f>SUM(Q288:Q290)</f>
        <v>113141.40366</v>
      </c>
      <c r="R291" s="365">
        <f>SUM(R288:R290)</f>
        <v>1069522.4734999998</v>
      </c>
    </row>
    <row r="292" spans="1:20" x14ac:dyDescent="0.2">
      <c r="A292" s="32" t="s">
        <v>1056</v>
      </c>
      <c r="B292" s="415" t="s">
        <v>1057</v>
      </c>
      <c r="D292" s="32">
        <v>101</v>
      </c>
      <c r="F292" s="364">
        <f t="shared" ref="F292:Q292" si="62">F266*F281</f>
        <v>1018674.14</v>
      </c>
      <c r="G292" s="364">
        <f t="shared" si="62"/>
        <v>903207.98750000005</v>
      </c>
      <c r="H292" s="364">
        <f t="shared" si="62"/>
        <v>1020336.5225</v>
      </c>
      <c r="I292" s="364">
        <f t="shared" si="62"/>
        <v>893776.57874999999</v>
      </c>
      <c r="J292" s="364">
        <f t="shared" si="62"/>
        <v>755681.12875000003</v>
      </c>
      <c r="K292" s="364">
        <f t="shared" si="62"/>
        <v>569527.35124999995</v>
      </c>
      <c r="L292" s="364">
        <f t="shared" si="62"/>
        <v>475742.26374999998</v>
      </c>
      <c r="M292" s="364">
        <f t="shared" si="62"/>
        <v>451204.59875</v>
      </c>
      <c r="N292" s="364">
        <f t="shared" si="62"/>
        <v>487946.95500000002</v>
      </c>
      <c r="O292" s="364">
        <f t="shared" si="62"/>
        <v>719764.67374999996</v>
      </c>
      <c r="P292" s="364">
        <f t="shared" si="62"/>
        <v>972026.25875000004</v>
      </c>
      <c r="Q292" s="364">
        <f t="shared" si="62"/>
        <v>1036426.0575</v>
      </c>
      <c r="R292" s="341">
        <f>SUM(F292:Q292)</f>
        <v>9304314.5162499994</v>
      </c>
    </row>
    <row r="293" spans="1:20" x14ac:dyDescent="0.2">
      <c r="A293" s="32" t="s">
        <v>1054</v>
      </c>
      <c r="B293" s="32" t="s">
        <v>1096</v>
      </c>
      <c r="D293" s="444">
        <v>85</v>
      </c>
      <c r="F293" s="446">
        <f t="shared" ref="F293:Q293" si="63">F267*F281</f>
        <v>10152.079520000001</v>
      </c>
      <c r="G293" s="446">
        <f t="shared" si="63"/>
        <v>9001.3469000000005</v>
      </c>
      <c r="H293" s="446">
        <f t="shared" si="63"/>
        <v>10168.646780000001</v>
      </c>
      <c r="I293" s="446">
        <f t="shared" si="63"/>
        <v>8907.3537300000007</v>
      </c>
      <c r="J293" s="446">
        <f t="shared" si="63"/>
        <v>7531.0981300000003</v>
      </c>
      <c r="K293" s="446">
        <f t="shared" si="63"/>
        <v>5675.8945100000001</v>
      </c>
      <c r="L293" s="446">
        <f t="shared" si="63"/>
        <v>4741.2348099999999</v>
      </c>
      <c r="M293" s="446">
        <f t="shared" si="63"/>
        <v>4496.6930900000007</v>
      </c>
      <c r="N293" s="446">
        <f t="shared" si="63"/>
        <v>4862.8664400000007</v>
      </c>
      <c r="O293" s="446">
        <f t="shared" si="63"/>
        <v>7173.1556900000005</v>
      </c>
      <c r="P293" s="446">
        <f t="shared" si="63"/>
        <v>9687.1879700000009</v>
      </c>
      <c r="Q293" s="446">
        <f t="shared" si="63"/>
        <v>10328.99466</v>
      </c>
      <c r="R293" s="451">
        <f>SUM(F293:Q293)</f>
        <v>92726.552230000001</v>
      </c>
    </row>
    <row r="294" spans="1:20" x14ac:dyDescent="0.2">
      <c r="B294" s="32" t="s">
        <v>1068</v>
      </c>
      <c r="F294" s="364"/>
      <c r="G294" s="364"/>
      <c r="H294" s="364"/>
      <c r="I294" s="364"/>
      <c r="J294" s="364"/>
      <c r="K294" s="364"/>
      <c r="L294" s="364"/>
      <c r="M294" s="364"/>
      <c r="N294" s="364"/>
      <c r="O294" s="364"/>
      <c r="P294" s="364"/>
      <c r="Q294" s="364"/>
      <c r="R294" s="341"/>
    </row>
    <row r="295" spans="1:20" x14ac:dyDescent="0.2">
      <c r="A295" s="32" t="s">
        <v>1054</v>
      </c>
      <c r="C295" s="32" t="s">
        <v>1069</v>
      </c>
      <c r="D295" s="32">
        <v>85</v>
      </c>
      <c r="F295" s="364">
        <f t="shared" ref="F295:Q295" si="64">F269*F282</f>
        <v>8428.2300000000014</v>
      </c>
      <c r="G295" s="364">
        <f t="shared" si="64"/>
        <v>8428.2300000000014</v>
      </c>
      <c r="H295" s="364">
        <f t="shared" si="64"/>
        <v>8428.2300000000014</v>
      </c>
      <c r="I295" s="364">
        <f t="shared" si="64"/>
        <v>8428.2300000000014</v>
      </c>
      <c r="J295" s="364">
        <f t="shared" si="64"/>
        <v>8428.2300000000014</v>
      </c>
      <c r="K295" s="364">
        <f t="shared" si="64"/>
        <v>8428.2300000000014</v>
      </c>
      <c r="L295" s="364">
        <f t="shared" si="64"/>
        <v>8428.2300000000014</v>
      </c>
      <c r="M295" s="364">
        <f t="shared" si="64"/>
        <v>8503.7100000000009</v>
      </c>
      <c r="N295" s="364">
        <f t="shared" si="64"/>
        <v>8428.2300000000014</v>
      </c>
      <c r="O295" s="364">
        <f t="shared" si="64"/>
        <v>8428.2300000000014</v>
      </c>
      <c r="P295" s="364">
        <f t="shared" si="64"/>
        <v>8428.2300000000014</v>
      </c>
      <c r="Q295" s="364">
        <f t="shared" si="64"/>
        <v>8428.2300000000014</v>
      </c>
      <c r="R295" s="341">
        <f>SUM(F295:Q295)</f>
        <v>101214.24</v>
      </c>
    </row>
    <row r="296" spans="1:20" x14ac:dyDescent="0.2">
      <c r="A296" s="32" t="s">
        <v>1056</v>
      </c>
      <c r="C296" s="32" t="s">
        <v>1070</v>
      </c>
      <c r="D296" s="32">
        <v>101</v>
      </c>
      <c r="F296" s="364">
        <f t="shared" ref="F296:Q296" si="65">F270*F282</f>
        <v>7972.6500000000005</v>
      </c>
      <c r="G296" s="364">
        <f t="shared" si="65"/>
        <v>7972.6500000000005</v>
      </c>
      <c r="H296" s="364">
        <f t="shared" si="65"/>
        <v>7972.6500000000005</v>
      </c>
      <c r="I296" s="364">
        <f t="shared" si="65"/>
        <v>7972.6500000000005</v>
      </c>
      <c r="J296" s="364">
        <f t="shared" si="65"/>
        <v>7972.6500000000005</v>
      </c>
      <c r="K296" s="364">
        <f t="shared" si="65"/>
        <v>7972.6500000000005</v>
      </c>
      <c r="L296" s="364">
        <f t="shared" si="65"/>
        <v>7972.6500000000005</v>
      </c>
      <c r="M296" s="364">
        <f t="shared" si="65"/>
        <v>8044.05</v>
      </c>
      <c r="N296" s="364">
        <f t="shared" si="65"/>
        <v>7972.6500000000005</v>
      </c>
      <c r="O296" s="364">
        <f t="shared" si="65"/>
        <v>7972.6500000000005</v>
      </c>
      <c r="P296" s="364">
        <f t="shared" si="65"/>
        <v>7972.6500000000005</v>
      </c>
      <c r="Q296" s="364">
        <f t="shared" si="65"/>
        <v>7972.6500000000005</v>
      </c>
      <c r="R296" s="341">
        <f>SUM(F296:Q296)</f>
        <v>95743.199999999983</v>
      </c>
    </row>
    <row r="297" spans="1:20" x14ac:dyDescent="0.2">
      <c r="C297" s="32" t="s">
        <v>1078</v>
      </c>
      <c r="F297" s="365">
        <f t="shared" ref="F297:N297" si="66">SUM(F295:F296)</f>
        <v>16400.88</v>
      </c>
      <c r="G297" s="365">
        <f t="shared" si="66"/>
        <v>16400.88</v>
      </c>
      <c r="H297" s="365">
        <f t="shared" si="66"/>
        <v>16400.88</v>
      </c>
      <c r="I297" s="365">
        <f t="shared" si="66"/>
        <v>16400.88</v>
      </c>
      <c r="J297" s="365">
        <f t="shared" si="66"/>
        <v>16400.88</v>
      </c>
      <c r="K297" s="365">
        <f t="shared" si="66"/>
        <v>16400.88</v>
      </c>
      <c r="L297" s="365">
        <f t="shared" si="66"/>
        <v>16400.88</v>
      </c>
      <c r="M297" s="365">
        <f t="shared" si="66"/>
        <v>16547.760000000002</v>
      </c>
      <c r="N297" s="365">
        <f t="shared" si="66"/>
        <v>16400.88</v>
      </c>
      <c r="O297" s="365">
        <f>SUM(O295:O296)</f>
        <v>16400.88</v>
      </c>
      <c r="P297" s="365">
        <f>SUM(P295:P296)</f>
        <v>16400.88</v>
      </c>
      <c r="Q297" s="365">
        <f>SUM(Q295:Q296)</f>
        <v>16400.88</v>
      </c>
      <c r="R297" s="365">
        <f>SUM(R295:R296)</f>
        <v>196957.44</v>
      </c>
    </row>
    <row r="298" spans="1:20" s="336" customFormat="1" x14ac:dyDescent="0.2">
      <c r="A298" s="336" t="s">
        <v>1054</v>
      </c>
      <c r="B298" s="336" t="s">
        <v>1071</v>
      </c>
      <c r="D298" s="336">
        <v>85</v>
      </c>
      <c r="F298" s="447">
        <f>'JKP-3.1c - Rev Actual Rates'!F309</f>
        <v>3471.6600000000035</v>
      </c>
      <c r="G298" s="447">
        <f>'JKP-3.1c - Rev Actual Rates'!G309</f>
        <v>0</v>
      </c>
      <c r="H298" s="447">
        <f>'JKP-3.1c - Rev Actual Rates'!H309</f>
        <v>0</v>
      </c>
      <c r="I298" s="447">
        <f>'JKP-3.1c - Rev Actual Rates'!I309</f>
        <v>0</v>
      </c>
      <c r="J298" s="447">
        <f>'JKP-3.1c - Rev Actual Rates'!J309</f>
        <v>0</v>
      </c>
      <c r="K298" s="447">
        <f>'JKP-3.1c - Rev Actual Rates'!K309</f>
        <v>1102.1300000000001</v>
      </c>
      <c r="L298" s="447">
        <f>'JKP-3.1c - Rev Actual Rates'!L309</f>
        <v>0</v>
      </c>
      <c r="M298" s="447">
        <f>'JKP-3.1c - Rev Actual Rates'!M309</f>
        <v>2939.99</v>
      </c>
      <c r="N298" s="447">
        <f>'JKP-3.1c - Rev Actual Rates'!N309</f>
        <v>2856.66</v>
      </c>
      <c r="O298" s="447">
        <f>'JKP-3.1c - Rev Actual Rates'!O309</f>
        <v>0</v>
      </c>
      <c r="P298" s="447">
        <f>'JKP-3.1c - Rev Actual Rates'!P309</f>
        <v>0</v>
      </c>
      <c r="Q298" s="447">
        <f>'JKP-3.1c - Rev Actual Rates'!Q309</f>
        <v>9865.4599999999991</v>
      </c>
      <c r="R298" s="437">
        <f>SUM(F298:Q298)</f>
        <v>20235.900000000001</v>
      </c>
      <c r="S298" s="335"/>
      <c r="T298" s="415"/>
    </row>
    <row r="299" spans="1:20" x14ac:dyDescent="0.2">
      <c r="B299" s="32" t="s">
        <v>1079</v>
      </c>
      <c r="F299" s="417">
        <f t="shared" ref="F299:N299" si="67">F292+F296</f>
        <v>1026646.79</v>
      </c>
      <c r="G299" s="417">
        <f t="shared" si="67"/>
        <v>911180.63750000007</v>
      </c>
      <c r="H299" s="417">
        <f t="shared" si="67"/>
        <v>1028309.1725</v>
      </c>
      <c r="I299" s="417">
        <f t="shared" si="67"/>
        <v>901749.22875000001</v>
      </c>
      <c r="J299" s="417">
        <f t="shared" si="67"/>
        <v>763653.77875000006</v>
      </c>
      <c r="K299" s="417">
        <f t="shared" si="67"/>
        <v>577500.00124999997</v>
      </c>
      <c r="L299" s="417">
        <f t="shared" si="67"/>
        <v>483714.91375000001</v>
      </c>
      <c r="M299" s="417">
        <f t="shared" si="67"/>
        <v>459248.64874999999</v>
      </c>
      <c r="N299" s="417">
        <f t="shared" si="67"/>
        <v>495919.60500000004</v>
      </c>
      <c r="O299" s="417">
        <f>O292+O296</f>
        <v>727737.32374999998</v>
      </c>
      <c r="P299" s="417">
        <f>P292+P296</f>
        <v>979998.90875000006</v>
      </c>
      <c r="Q299" s="417">
        <f>Q292+Q296</f>
        <v>1044398.7075</v>
      </c>
      <c r="R299" s="417">
        <f>R292+R296</f>
        <v>9400057.7162499987</v>
      </c>
    </row>
    <row r="300" spans="1:20" x14ac:dyDescent="0.2">
      <c r="B300" s="32" t="s">
        <v>986</v>
      </c>
      <c r="F300" s="365">
        <f t="shared" ref="F300:N300" si="68">F286+F291+F292+F293+F297+F298</f>
        <v>1170614.5764399997</v>
      </c>
      <c r="G300" s="365">
        <f t="shared" si="68"/>
        <v>1041208.8274600001</v>
      </c>
      <c r="H300" s="365">
        <f t="shared" si="68"/>
        <v>1172571.5795199999</v>
      </c>
      <c r="I300" s="365">
        <f t="shared" si="68"/>
        <v>1034445.24251</v>
      </c>
      <c r="J300" s="365">
        <f t="shared" si="68"/>
        <v>882944.45065000013</v>
      </c>
      <c r="K300" s="365">
        <f t="shared" si="68"/>
        <v>678859.12479000003</v>
      </c>
      <c r="L300" s="365">
        <f t="shared" si="68"/>
        <v>573621.78976000007</v>
      </c>
      <c r="M300" s="365">
        <f t="shared" si="68"/>
        <v>550228.64489999996</v>
      </c>
      <c r="N300" s="365">
        <f t="shared" si="68"/>
        <v>590076.69711000007</v>
      </c>
      <c r="O300" s="365">
        <f>O286+O291+O292+O293+O297+O298</f>
        <v>843344.16509999998</v>
      </c>
      <c r="P300" s="365">
        <f>P286+P291+P292+P293+P297+P298</f>
        <v>1119835.48792</v>
      </c>
      <c r="Q300" s="365">
        <f>Q286+Q291+Q292+Q293+Q297+Q298</f>
        <v>1200871.0458199999</v>
      </c>
      <c r="R300" s="365">
        <f>R286+R291+R292+R293+R297+R298</f>
        <v>10858621.63198</v>
      </c>
      <c r="T300" s="340"/>
    </row>
    <row r="301" spans="1:20" x14ac:dyDescent="0.2">
      <c r="F301" s="364"/>
      <c r="G301" s="364"/>
      <c r="H301" s="364"/>
      <c r="I301" s="364"/>
      <c r="J301" s="364"/>
      <c r="K301" s="364"/>
      <c r="L301" s="364"/>
      <c r="M301" s="364"/>
      <c r="N301" s="364"/>
      <c r="O301" s="364"/>
      <c r="P301" s="364"/>
      <c r="Q301" s="364"/>
      <c r="R301" s="341"/>
      <c r="T301" s="415"/>
    </row>
    <row r="302" spans="1:20" x14ac:dyDescent="0.2">
      <c r="A302" s="32" t="s">
        <v>1058</v>
      </c>
      <c r="B302" s="32" t="s">
        <v>1050</v>
      </c>
      <c r="F302" s="364">
        <f>F272*F281+F282*F273</f>
        <v>982208.03920000012</v>
      </c>
      <c r="G302" s="364">
        <f t="shared" ref="G302:Q302" si="69">G272*G281+G282*G273</f>
        <v>871735.96150000009</v>
      </c>
      <c r="H302" s="364">
        <f t="shared" si="69"/>
        <v>983798.52130000002</v>
      </c>
      <c r="I302" s="364">
        <f t="shared" si="69"/>
        <v>862712.47455000004</v>
      </c>
      <c r="J302" s="364">
        <f t="shared" si="69"/>
        <v>730589.84855</v>
      </c>
      <c r="K302" s="364">
        <f t="shared" si="69"/>
        <v>552487.48585000006</v>
      </c>
      <c r="L302" s="364">
        <f t="shared" si="69"/>
        <v>462758.73635000002</v>
      </c>
      <c r="M302" s="364">
        <f t="shared" si="69"/>
        <v>439350.36015000002</v>
      </c>
      <c r="N302" s="364">
        <f t="shared" si="69"/>
        <v>474435.55740000005</v>
      </c>
      <c r="O302" s="364">
        <f t="shared" si="69"/>
        <v>696226.8311500001</v>
      </c>
      <c r="P302" s="364">
        <f t="shared" si="69"/>
        <v>937577.74495000008</v>
      </c>
      <c r="Q302" s="364">
        <f t="shared" si="69"/>
        <v>999192.16110000003</v>
      </c>
      <c r="R302" s="341">
        <f>SUM(F302:Q302)</f>
        <v>8993073.72205</v>
      </c>
      <c r="T302" s="415"/>
    </row>
    <row r="303" spans="1:20" x14ac:dyDescent="0.2">
      <c r="F303" s="364"/>
      <c r="G303" s="364"/>
      <c r="H303" s="364"/>
      <c r="I303" s="364"/>
      <c r="J303" s="364"/>
      <c r="K303" s="364"/>
      <c r="L303" s="364"/>
      <c r="M303" s="364"/>
      <c r="N303" s="364"/>
      <c r="O303" s="364"/>
      <c r="P303" s="364"/>
      <c r="Q303" s="364"/>
      <c r="R303" s="341"/>
      <c r="T303" s="415"/>
    </row>
    <row r="304" spans="1:20" s="336" customFormat="1" x14ac:dyDescent="0.2">
      <c r="B304" s="182" t="s">
        <v>1097</v>
      </c>
      <c r="C304" s="182"/>
      <c r="S304" s="335"/>
      <c r="T304" s="415"/>
    </row>
    <row r="305" spans="1:20" x14ac:dyDescent="0.2">
      <c r="B305" s="276" t="s">
        <v>5</v>
      </c>
      <c r="C305" s="276"/>
    </row>
    <row r="306" spans="1:20" x14ac:dyDescent="0.2">
      <c r="B306" s="32" t="s">
        <v>1059</v>
      </c>
      <c r="D306" s="444">
        <v>86</v>
      </c>
      <c r="E306" s="32" t="s">
        <v>976</v>
      </c>
      <c r="F306" s="500">
        <f>'JKP-3.1c - Rev Rates GRC09'!F306</f>
        <v>139.37</v>
      </c>
      <c r="G306" s="500">
        <f>'JKP-3.1c - Rev Rates GRC09'!G306</f>
        <v>139.37</v>
      </c>
      <c r="H306" s="500">
        <f>'JKP-3.1c - Rev Rates GRC09'!H306</f>
        <v>139.37</v>
      </c>
      <c r="I306" s="500">
        <f>'JKP-3.1c - Rev Rates GRC09'!I306</f>
        <v>139.37</v>
      </c>
      <c r="J306" s="500">
        <f>'JKP-3.1c - Rev Rates GRC09'!J306</f>
        <v>139.37</v>
      </c>
      <c r="K306" s="500">
        <f>'JKP-3.1c - Rev Rates GRC09'!K306</f>
        <v>139.37</v>
      </c>
      <c r="L306" s="500">
        <f>'JKP-3.1c - Rev Rates GRC09'!L306</f>
        <v>139.37</v>
      </c>
      <c r="M306" s="500">
        <f>'JKP-3.1c - Rev Rates GRC09'!M306</f>
        <v>139.37</v>
      </c>
      <c r="N306" s="500">
        <f>'JKP-3.1c - Rev Rates GRC09'!N306</f>
        <v>139.37</v>
      </c>
      <c r="O306" s="500">
        <f>'JKP-3.1c - Rev Rates GRC09'!O306</f>
        <v>139.37</v>
      </c>
      <c r="P306" s="500">
        <f>'JKP-3.1c - Rev Rates GRC09'!P306</f>
        <v>139.37</v>
      </c>
      <c r="Q306" s="500">
        <f>'JKP-3.1c - Rev Rates GRC09'!Q306</f>
        <v>139.37</v>
      </c>
      <c r="R306" s="439"/>
    </row>
    <row r="307" spans="1:20" x14ac:dyDescent="0.2">
      <c r="B307" s="32" t="s">
        <v>1047</v>
      </c>
      <c r="F307" s="495"/>
      <c r="G307" s="495"/>
      <c r="H307" s="495"/>
      <c r="I307" s="495"/>
      <c r="J307" s="495"/>
      <c r="K307" s="495"/>
      <c r="L307" s="495"/>
      <c r="M307" s="495"/>
      <c r="N307" s="495"/>
      <c r="O307" s="495"/>
      <c r="P307" s="495"/>
      <c r="Q307" s="495"/>
      <c r="R307" s="394"/>
    </row>
    <row r="308" spans="1:20" x14ac:dyDescent="0.2">
      <c r="C308" s="32" t="s">
        <v>1098</v>
      </c>
      <c r="D308" s="444">
        <v>86</v>
      </c>
      <c r="E308" s="32" t="s">
        <v>957</v>
      </c>
      <c r="F308" s="495">
        <f>'JKP-3.1c - Rev Rates GRC09'!F308</f>
        <v>0.19819999999999999</v>
      </c>
      <c r="G308" s="495">
        <f>'JKP-3.1c - Rev Rates GRC09'!G308</f>
        <v>0.19819999999999999</v>
      </c>
      <c r="H308" s="495">
        <f>'JKP-3.1c - Rev Rates GRC09'!H308</f>
        <v>0.19819999999999999</v>
      </c>
      <c r="I308" s="495">
        <f>'JKP-3.1c - Rev Rates GRC09'!I308</f>
        <v>0.19819999999999999</v>
      </c>
      <c r="J308" s="495">
        <f>'JKP-3.1c - Rev Rates GRC09'!J308</f>
        <v>0.19819999999999999</v>
      </c>
      <c r="K308" s="495">
        <f>'JKP-3.1c - Rev Rates GRC09'!K308</f>
        <v>0.19819999999999999</v>
      </c>
      <c r="L308" s="495">
        <f>'JKP-3.1c - Rev Rates GRC09'!L308</f>
        <v>0.19819999999999999</v>
      </c>
      <c r="M308" s="495">
        <f>'JKP-3.1c - Rev Rates GRC09'!M308</f>
        <v>0.19819999999999999</v>
      </c>
      <c r="N308" s="495">
        <f>'JKP-3.1c - Rev Rates GRC09'!N308</f>
        <v>0.19819999999999999</v>
      </c>
      <c r="O308" s="495">
        <f>'JKP-3.1c - Rev Rates GRC09'!O308</f>
        <v>0.19819999999999999</v>
      </c>
      <c r="P308" s="495">
        <f>'JKP-3.1c - Rev Rates GRC09'!P308</f>
        <v>0.19819999999999999</v>
      </c>
      <c r="Q308" s="495">
        <f>'JKP-3.1c - Rev Rates GRC09'!Q308</f>
        <v>0.19819999999999999</v>
      </c>
      <c r="R308" s="394"/>
    </row>
    <row r="309" spans="1:20" x14ac:dyDescent="0.2">
      <c r="C309" s="32" t="s">
        <v>1099</v>
      </c>
      <c r="D309" s="444">
        <v>86</v>
      </c>
      <c r="E309" s="32" t="s">
        <v>957</v>
      </c>
      <c r="F309" s="495">
        <f>'JKP-3.1c - Rev Rates GRC09'!F309</f>
        <v>0.1421</v>
      </c>
      <c r="G309" s="495">
        <f>'JKP-3.1c - Rev Rates GRC09'!G309</f>
        <v>0.1421</v>
      </c>
      <c r="H309" s="495">
        <f>'JKP-3.1c - Rev Rates GRC09'!H309</f>
        <v>0.1421</v>
      </c>
      <c r="I309" s="495">
        <f>'JKP-3.1c - Rev Rates GRC09'!I309</f>
        <v>0.1421</v>
      </c>
      <c r="J309" s="495">
        <f>'JKP-3.1c - Rev Rates GRC09'!J309</f>
        <v>0.1421</v>
      </c>
      <c r="K309" s="495">
        <f>'JKP-3.1c - Rev Rates GRC09'!K309</f>
        <v>0.1421</v>
      </c>
      <c r="L309" s="495">
        <f>'JKP-3.1c - Rev Rates GRC09'!L309</f>
        <v>0.1421</v>
      </c>
      <c r="M309" s="495">
        <f>'JKP-3.1c - Rev Rates GRC09'!M309</f>
        <v>0.1421</v>
      </c>
      <c r="N309" s="495">
        <f>'JKP-3.1c - Rev Rates GRC09'!N309</f>
        <v>0.1421</v>
      </c>
      <c r="O309" s="495">
        <f>'JKP-3.1c - Rev Rates GRC09'!O309</f>
        <v>0.1421</v>
      </c>
      <c r="P309" s="495">
        <f>'JKP-3.1c - Rev Rates GRC09'!P309</f>
        <v>0.1421</v>
      </c>
      <c r="Q309" s="495">
        <f>'JKP-3.1c - Rev Rates GRC09'!Q309</f>
        <v>0.1421</v>
      </c>
      <c r="R309" s="394"/>
    </row>
    <row r="310" spans="1:20" x14ac:dyDescent="0.2">
      <c r="B310" s="415" t="s">
        <v>1067</v>
      </c>
      <c r="D310" s="32">
        <v>101</v>
      </c>
      <c r="E310" s="32" t="s">
        <v>957</v>
      </c>
      <c r="F310" s="395">
        <v>0.66556999999999999</v>
      </c>
      <c r="G310" s="395">
        <v>0.66556999999999999</v>
      </c>
      <c r="H310" s="395">
        <v>0.66556999999999999</v>
      </c>
      <c r="I310" s="395">
        <v>0.66556999999999999</v>
      </c>
      <c r="J310" s="395">
        <v>0.66556999999999999</v>
      </c>
      <c r="K310" s="395">
        <v>0.66556999999999999</v>
      </c>
      <c r="L310" s="395">
        <v>0.66556999999999999</v>
      </c>
      <c r="M310" s="395">
        <v>0.66556999999999999</v>
      </c>
      <c r="N310" s="395">
        <v>0.66556999999999999</v>
      </c>
      <c r="O310" s="395">
        <v>0.66556999999999999</v>
      </c>
      <c r="P310" s="395">
        <v>0.66556999999999999</v>
      </c>
      <c r="Q310" s="395">
        <v>0.66556999999999999</v>
      </c>
      <c r="R310" s="394"/>
    </row>
    <row r="311" spans="1:20" s="336" customFormat="1" x14ac:dyDescent="0.2">
      <c r="B311" s="336" t="s">
        <v>1096</v>
      </c>
      <c r="D311" s="382">
        <v>86</v>
      </c>
      <c r="E311" s="336" t="s">
        <v>957</v>
      </c>
      <c r="F311" s="495">
        <f>'JKP-3.1c - Rev Rates GRC09'!F311</f>
        <v>6.5900000000000004E-3</v>
      </c>
      <c r="G311" s="495">
        <f>'JKP-3.1c - Rev Rates GRC09'!G311</f>
        <v>6.5900000000000004E-3</v>
      </c>
      <c r="H311" s="495">
        <f>'JKP-3.1c - Rev Rates GRC09'!H311</f>
        <v>6.5900000000000004E-3</v>
      </c>
      <c r="I311" s="495">
        <f>'JKP-3.1c - Rev Rates GRC09'!I311</f>
        <v>6.5900000000000004E-3</v>
      </c>
      <c r="J311" s="495">
        <f>'JKP-3.1c - Rev Rates GRC09'!J311</f>
        <v>6.5900000000000004E-3</v>
      </c>
      <c r="K311" s="495">
        <f>'JKP-3.1c - Rev Rates GRC09'!K311</f>
        <v>6.5900000000000004E-3</v>
      </c>
      <c r="L311" s="495">
        <f>'JKP-3.1c - Rev Rates GRC09'!L311</f>
        <v>6.5900000000000004E-3</v>
      </c>
      <c r="M311" s="495">
        <f>'JKP-3.1c - Rev Rates GRC09'!M311</f>
        <v>6.5900000000000004E-3</v>
      </c>
      <c r="N311" s="495">
        <f>'JKP-3.1c - Rev Rates GRC09'!N311</f>
        <v>6.5900000000000004E-3</v>
      </c>
      <c r="O311" s="495">
        <f>'JKP-3.1c - Rev Rates GRC09'!O311</f>
        <v>6.5900000000000004E-3</v>
      </c>
      <c r="P311" s="495">
        <f>'JKP-3.1c - Rev Rates GRC09'!P311</f>
        <v>6.5900000000000004E-3</v>
      </c>
      <c r="Q311" s="495">
        <f>'JKP-3.1c - Rev Rates GRC09'!Q311</f>
        <v>6.5900000000000004E-3</v>
      </c>
      <c r="R311" s="441"/>
      <c r="S311" s="335"/>
      <c r="T311" s="415"/>
    </row>
    <row r="312" spans="1:20" s="336" customFormat="1" x14ac:dyDescent="0.2">
      <c r="B312" s="336" t="s">
        <v>1068</v>
      </c>
      <c r="F312" s="497"/>
      <c r="G312" s="497"/>
      <c r="H312" s="497"/>
      <c r="I312" s="497"/>
      <c r="J312" s="497"/>
      <c r="K312" s="497"/>
      <c r="L312" s="497"/>
      <c r="M312" s="497"/>
      <c r="N312" s="497"/>
      <c r="O312" s="497"/>
      <c r="P312" s="497"/>
      <c r="Q312" s="497"/>
      <c r="R312" s="441"/>
      <c r="S312" s="335"/>
      <c r="T312" s="415"/>
    </row>
    <row r="313" spans="1:20" s="336" customFormat="1" x14ac:dyDescent="0.2">
      <c r="C313" s="336" t="s">
        <v>1069</v>
      </c>
      <c r="D313" s="336">
        <v>86</v>
      </c>
      <c r="E313" s="336" t="s">
        <v>957</v>
      </c>
      <c r="F313" s="501">
        <f>'JKP-3.1c - Rev Rates GRC09'!F313</f>
        <v>1.1100000000000001</v>
      </c>
      <c r="G313" s="501">
        <f>'JKP-3.1c - Rev Rates GRC09'!G313</f>
        <v>1.1100000000000001</v>
      </c>
      <c r="H313" s="501">
        <f>'JKP-3.1c - Rev Rates GRC09'!H313</f>
        <v>1.1100000000000001</v>
      </c>
      <c r="I313" s="501">
        <f>'JKP-3.1c - Rev Rates GRC09'!I313</f>
        <v>1.1100000000000001</v>
      </c>
      <c r="J313" s="501">
        <f>'JKP-3.1c - Rev Rates GRC09'!J313</f>
        <v>1.1100000000000001</v>
      </c>
      <c r="K313" s="501">
        <f>'JKP-3.1c - Rev Rates GRC09'!K313</f>
        <v>1.1100000000000001</v>
      </c>
      <c r="L313" s="501">
        <f>'JKP-3.1c - Rev Rates GRC09'!L313</f>
        <v>1.1100000000000001</v>
      </c>
      <c r="M313" s="501">
        <f>'JKP-3.1c - Rev Rates GRC09'!M313</f>
        <v>1.1100000000000001</v>
      </c>
      <c r="N313" s="501">
        <f>'JKP-3.1c - Rev Rates GRC09'!N313</f>
        <v>1.1100000000000001</v>
      </c>
      <c r="O313" s="501">
        <f>'JKP-3.1c - Rev Rates GRC09'!O313</f>
        <v>1.1100000000000001</v>
      </c>
      <c r="P313" s="501">
        <f>'JKP-3.1c - Rev Rates GRC09'!P313</f>
        <v>1.1100000000000001</v>
      </c>
      <c r="Q313" s="501">
        <f>'JKP-3.1c - Rev Rates GRC09'!Q313</f>
        <v>1.1100000000000001</v>
      </c>
      <c r="R313" s="441"/>
      <c r="S313" s="335"/>
      <c r="T313" s="415"/>
    </row>
    <row r="314" spans="1:20" s="336" customFormat="1" x14ac:dyDescent="0.2">
      <c r="A314" s="32"/>
      <c r="C314" s="336" t="s">
        <v>1070</v>
      </c>
      <c r="D314" s="336">
        <v>101</v>
      </c>
      <c r="E314" s="336" t="s">
        <v>957</v>
      </c>
      <c r="F314" s="442">
        <v>1.05</v>
      </c>
      <c r="G314" s="442">
        <v>1.05</v>
      </c>
      <c r="H314" s="442">
        <v>1.05</v>
      </c>
      <c r="I314" s="442">
        <v>1.05</v>
      </c>
      <c r="J314" s="442">
        <v>1.05</v>
      </c>
      <c r="K314" s="442">
        <v>1.05</v>
      </c>
      <c r="L314" s="442">
        <v>1.05</v>
      </c>
      <c r="M314" s="442">
        <v>1.05</v>
      </c>
      <c r="N314" s="442">
        <v>1.05</v>
      </c>
      <c r="O314" s="442">
        <v>1.05</v>
      </c>
      <c r="P314" s="442">
        <v>1.05</v>
      </c>
      <c r="Q314" s="442">
        <v>1.05</v>
      </c>
      <c r="R314" s="441"/>
      <c r="S314" s="335"/>
      <c r="T314" s="415"/>
    </row>
    <row r="315" spans="1:20" s="336" customFormat="1" x14ac:dyDescent="0.2">
      <c r="B315" s="336" t="s">
        <v>1071</v>
      </c>
      <c r="D315" s="382">
        <v>86</v>
      </c>
      <c r="E315" s="336" t="s">
        <v>67</v>
      </c>
      <c r="F315" s="450"/>
      <c r="G315" s="450"/>
      <c r="H315" s="442"/>
      <c r="I315" s="450"/>
      <c r="J315" s="450"/>
      <c r="K315" s="450"/>
      <c r="L315" s="450"/>
      <c r="M315" s="450"/>
      <c r="N315" s="450"/>
      <c r="O315" s="450"/>
      <c r="P315" s="450"/>
      <c r="Q315" s="450"/>
      <c r="R315" s="441"/>
      <c r="S315" s="335"/>
      <c r="T315" s="415"/>
    </row>
    <row r="316" spans="1:20" s="336" customFormat="1" x14ac:dyDescent="0.2">
      <c r="B316" s="336" t="s">
        <v>1050</v>
      </c>
      <c r="D316" s="382"/>
      <c r="F316" s="395">
        <v>0.63678999999999997</v>
      </c>
      <c r="G316" s="395">
        <v>0.63678999999999997</v>
      </c>
      <c r="H316" s="395">
        <v>0.63678999999999997</v>
      </c>
      <c r="I316" s="395">
        <v>0.63678999999999997</v>
      </c>
      <c r="J316" s="395">
        <v>0.63678999999999997</v>
      </c>
      <c r="K316" s="395">
        <v>0.63678999999999997</v>
      </c>
      <c r="L316" s="395">
        <v>0.63678999999999997</v>
      </c>
      <c r="M316" s="395">
        <v>0.63678999999999997</v>
      </c>
      <c r="N316" s="395">
        <v>0.63678999999999997</v>
      </c>
      <c r="O316" s="395">
        <v>0.63678999999999997</v>
      </c>
      <c r="P316" s="395">
        <v>0.63678999999999997</v>
      </c>
      <c r="Q316" s="395">
        <v>0.63678999999999997</v>
      </c>
      <c r="R316" s="441"/>
      <c r="S316" s="335"/>
      <c r="T316" s="415"/>
    </row>
    <row r="317" spans="1:20" s="336" customFormat="1" x14ac:dyDescent="0.2">
      <c r="B317" s="336" t="s">
        <v>1072</v>
      </c>
      <c r="D317" s="382"/>
      <c r="F317" s="442">
        <v>1</v>
      </c>
      <c r="G317" s="442">
        <v>1</v>
      </c>
      <c r="H317" s="442">
        <v>1</v>
      </c>
      <c r="I317" s="442">
        <v>1</v>
      </c>
      <c r="J317" s="442">
        <v>1</v>
      </c>
      <c r="K317" s="442">
        <v>1</v>
      </c>
      <c r="L317" s="442">
        <v>1</v>
      </c>
      <c r="M317" s="442">
        <v>1</v>
      </c>
      <c r="N317" s="442">
        <v>1</v>
      </c>
      <c r="O317" s="442">
        <v>1</v>
      </c>
      <c r="P317" s="442">
        <v>1</v>
      </c>
      <c r="Q317" s="442">
        <v>1</v>
      </c>
      <c r="R317" s="441"/>
      <c r="S317" s="335"/>
      <c r="T317" s="415"/>
    </row>
    <row r="318" spans="1:20" s="336" customFormat="1" x14ac:dyDescent="0.2">
      <c r="S318" s="335"/>
      <c r="T318" s="415"/>
    </row>
    <row r="319" spans="1:20" s="336" customFormat="1" x14ac:dyDescent="0.2">
      <c r="B319" s="182" t="s">
        <v>982</v>
      </c>
      <c r="S319" s="335"/>
      <c r="T319" s="415"/>
    </row>
    <row r="320" spans="1:20" s="336" customFormat="1" x14ac:dyDescent="0.2">
      <c r="B320" s="336" t="s">
        <v>67</v>
      </c>
      <c r="E320" s="336" t="s">
        <v>67</v>
      </c>
      <c r="F320" s="421">
        <f>'JKP-3.1c - Data'!C150</f>
        <v>334</v>
      </c>
      <c r="G320" s="421">
        <f>'JKP-3.1c - Data'!D150</f>
        <v>334</v>
      </c>
      <c r="H320" s="421">
        <f>'JKP-3.1c - Data'!E150</f>
        <v>330</v>
      </c>
      <c r="I320" s="421">
        <f>'JKP-3.1c - Data'!F150</f>
        <v>327</v>
      </c>
      <c r="J320" s="421">
        <f>'JKP-3.1c - Data'!G150</f>
        <v>329</v>
      </c>
      <c r="K320" s="421">
        <f>'JKP-3.1c - Data'!H150</f>
        <v>329</v>
      </c>
      <c r="L320" s="421">
        <f>'JKP-3.1c - Data'!I150</f>
        <v>326</v>
      </c>
      <c r="M320" s="421">
        <f>'JKP-3.1c - Data'!J150</f>
        <v>324</v>
      </c>
      <c r="N320" s="421">
        <f>'JKP-3.1c - Data'!K150</f>
        <v>320</v>
      </c>
      <c r="O320" s="421">
        <f>'JKP-3.1c - Data'!L150</f>
        <v>317</v>
      </c>
      <c r="P320" s="421">
        <f>'JKP-3.1c - Data'!M150</f>
        <v>318</v>
      </c>
      <c r="Q320" s="421">
        <f>'JKP-3.1c - Data'!N150</f>
        <v>317</v>
      </c>
      <c r="R320" s="378">
        <f>SUM(F320:Q320)</f>
        <v>3905</v>
      </c>
      <c r="S320" s="335"/>
      <c r="T320" s="415"/>
    </row>
    <row r="321" spans="1:20" s="336" customFormat="1" x14ac:dyDescent="0.2">
      <c r="B321" s="336" t="s">
        <v>76</v>
      </c>
      <c r="F321" s="380"/>
      <c r="G321" s="380"/>
      <c r="H321" s="380"/>
      <c r="I321" s="380"/>
      <c r="J321" s="380"/>
      <c r="K321" s="380"/>
      <c r="L321" s="380"/>
      <c r="M321" s="380"/>
      <c r="N321" s="380"/>
      <c r="O321" s="380"/>
      <c r="P321" s="380"/>
      <c r="Q321" s="380"/>
      <c r="R321" s="378"/>
      <c r="S321" s="335"/>
      <c r="T321" s="415"/>
    </row>
    <row r="322" spans="1:20" s="336" customFormat="1" x14ac:dyDescent="0.2">
      <c r="C322" s="336" t="s">
        <v>1098</v>
      </c>
      <c r="E322" s="336" t="s">
        <v>10</v>
      </c>
      <c r="F322" s="421">
        <f>'JKP-3.1c - Rev Actual Rates'!F333</f>
        <v>317200</v>
      </c>
      <c r="G322" s="421">
        <f>'JKP-3.1c - Rev Actual Rates'!G333</f>
        <v>312703</v>
      </c>
      <c r="H322" s="421">
        <f>'JKP-3.1c - Rev Actual Rates'!H333</f>
        <v>312470</v>
      </c>
      <c r="I322" s="421">
        <f>'JKP-3.1c - Rev Actual Rates'!I333</f>
        <v>309585</v>
      </c>
      <c r="J322" s="421">
        <f>'JKP-3.1c - Rev Actual Rates'!J333</f>
        <v>289084</v>
      </c>
      <c r="K322" s="421">
        <f>'JKP-3.1c - Rev Actual Rates'!K333</f>
        <v>229972</v>
      </c>
      <c r="L322" s="421">
        <f>'JKP-3.1c - Rev Actual Rates'!L333</f>
        <v>138603</v>
      </c>
      <c r="M322" s="421">
        <f>'JKP-3.1c - Rev Actual Rates'!M333</f>
        <v>134877</v>
      </c>
      <c r="N322" s="421">
        <f>'JKP-3.1c - Rev Actual Rates'!N333</f>
        <v>195782</v>
      </c>
      <c r="O322" s="421">
        <f>'JKP-3.1c - Rev Actual Rates'!O333</f>
        <v>278396</v>
      </c>
      <c r="P322" s="421">
        <f>'JKP-3.1c - Rev Actual Rates'!P333</f>
        <v>315100</v>
      </c>
      <c r="Q322" s="421">
        <f>'JKP-3.1c - Rev Actual Rates'!Q333</f>
        <v>302539</v>
      </c>
      <c r="R322" s="378">
        <f>SUM(F322:Q322)</f>
        <v>3136311</v>
      </c>
      <c r="S322" s="335"/>
      <c r="T322" s="415"/>
    </row>
    <row r="323" spans="1:20" s="336" customFormat="1" x14ac:dyDescent="0.2">
      <c r="C323" s="336" t="s">
        <v>1099</v>
      </c>
      <c r="E323" s="336" t="s">
        <v>10</v>
      </c>
      <c r="F323" s="421">
        <f>'JKP-3.1c - Rev Actual Rates'!F334</f>
        <v>1346579</v>
      </c>
      <c r="G323" s="421">
        <f>'JKP-3.1c - Rev Actual Rates'!G334</f>
        <v>1096766</v>
      </c>
      <c r="H323" s="421">
        <f>'JKP-3.1c - Rev Actual Rates'!H334</f>
        <v>1149541</v>
      </c>
      <c r="I323" s="421">
        <f>'JKP-3.1c - Rev Actual Rates'!I334</f>
        <v>910372</v>
      </c>
      <c r="J323" s="421">
        <f>'JKP-3.1c - Rev Actual Rates'!J334</f>
        <v>690814</v>
      </c>
      <c r="K323" s="421">
        <f>'JKP-3.1c - Rev Actual Rates'!K334</f>
        <v>396709</v>
      </c>
      <c r="L323" s="421">
        <f>'JKP-3.1c - Rev Actual Rates'!L334</f>
        <v>224236</v>
      </c>
      <c r="M323" s="421">
        <f>'JKP-3.1c - Rev Actual Rates'!M334</f>
        <v>203654</v>
      </c>
      <c r="N323" s="421">
        <f>'JKP-3.1c - Rev Actual Rates'!N334</f>
        <v>298614</v>
      </c>
      <c r="O323" s="421">
        <f>'JKP-3.1c - Rev Actual Rates'!O334</f>
        <v>649108</v>
      </c>
      <c r="P323" s="421">
        <f>'JKP-3.1c - Rev Actual Rates'!P334</f>
        <v>1179847</v>
      </c>
      <c r="Q323" s="421">
        <f>'JKP-3.1c - Rev Actual Rates'!Q334</f>
        <v>1404490</v>
      </c>
      <c r="R323" s="378">
        <f>SUM(F323:Q323)</f>
        <v>9550730</v>
      </c>
      <c r="S323" s="335"/>
      <c r="T323" s="415"/>
    </row>
    <row r="324" spans="1:20" s="336" customFormat="1" x14ac:dyDescent="0.2">
      <c r="C324" s="336" t="s">
        <v>1075</v>
      </c>
      <c r="E324" s="336" t="s">
        <v>10</v>
      </c>
      <c r="F324" s="436">
        <f t="shared" ref="F324:N324" si="70">SUM(F322:F323)</f>
        <v>1663779</v>
      </c>
      <c r="G324" s="436">
        <f t="shared" si="70"/>
        <v>1409469</v>
      </c>
      <c r="H324" s="436">
        <f t="shared" si="70"/>
        <v>1462011</v>
      </c>
      <c r="I324" s="436">
        <f t="shared" si="70"/>
        <v>1219957</v>
      </c>
      <c r="J324" s="436">
        <f t="shared" si="70"/>
        <v>979898</v>
      </c>
      <c r="K324" s="436">
        <f t="shared" si="70"/>
        <v>626681</v>
      </c>
      <c r="L324" s="436">
        <f t="shared" si="70"/>
        <v>362839</v>
      </c>
      <c r="M324" s="436">
        <f t="shared" si="70"/>
        <v>338531</v>
      </c>
      <c r="N324" s="436">
        <f t="shared" si="70"/>
        <v>494396</v>
      </c>
      <c r="O324" s="436">
        <f>SUM(O322:O323)</f>
        <v>927504</v>
      </c>
      <c r="P324" s="436">
        <f>SUM(P322:P323)</f>
        <v>1494947</v>
      </c>
      <c r="Q324" s="436">
        <f>SUM(Q322:Q323)</f>
        <v>1707029</v>
      </c>
      <c r="R324" s="436">
        <f>SUM(R322:R323)</f>
        <v>12687041</v>
      </c>
      <c r="S324" s="335"/>
      <c r="T324" s="415"/>
    </row>
    <row r="325" spans="1:20" s="336" customFormat="1" x14ac:dyDescent="0.2">
      <c r="B325" s="336" t="s">
        <v>74</v>
      </c>
      <c r="E325" s="336" t="s">
        <v>1076</v>
      </c>
      <c r="F325" s="421">
        <f>'JKP-3.1c - Rev Actual Rates'!F336</f>
        <v>9510</v>
      </c>
      <c r="G325" s="421">
        <f>'JKP-3.1c - Rev Actual Rates'!G336</f>
        <v>9429</v>
      </c>
      <c r="H325" s="421">
        <f>'JKP-3.1c - Rev Actual Rates'!H336</f>
        <v>9258</v>
      </c>
      <c r="I325" s="421">
        <f>'JKP-3.1c - Rev Actual Rates'!I336</f>
        <v>9188</v>
      </c>
      <c r="J325" s="421">
        <f>'JKP-3.1c - Rev Actual Rates'!J336</f>
        <v>9260</v>
      </c>
      <c r="K325" s="421">
        <f>'JKP-3.1c - Rev Actual Rates'!K336</f>
        <v>9258</v>
      </c>
      <c r="L325" s="421">
        <f>'JKP-3.1c - Rev Actual Rates'!L336</f>
        <v>9136</v>
      </c>
      <c r="M325" s="421">
        <f>'JKP-3.1c - Rev Actual Rates'!M336</f>
        <v>8867</v>
      </c>
      <c r="N325" s="421">
        <f>'JKP-3.1c - Rev Actual Rates'!N336</f>
        <v>8570</v>
      </c>
      <c r="O325" s="421">
        <f>'JKP-3.1c - Rev Actual Rates'!O336</f>
        <v>8457</v>
      </c>
      <c r="P325" s="421">
        <f>'JKP-3.1c - Rev Actual Rates'!P336</f>
        <v>8504</v>
      </c>
      <c r="Q325" s="421">
        <f>'JKP-3.1c - Rev Actual Rates'!Q336</f>
        <v>8244</v>
      </c>
      <c r="R325" s="378">
        <f>SUM(F325:Q325)</f>
        <v>107681</v>
      </c>
      <c r="S325" s="335"/>
      <c r="T325" s="415"/>
    </row>
    <row r="326" spans="1:20" s="336" customFormat="1" x14ac:dyDescent="0.2">
      <c r="B326" s="336" t="s">
        <v>1071</v>
      </c>
      <c r="F326" s="380"/>
      <c r="G326" s="380"/>
      <c r="H326" s="380"/>
      <c r="I326" s="380"/>
      <c r="J326" s="380"/>
      <c r="K326" s="380"/>
      <c r="L326" s="380"/>
      <c r="M326" s="380"/>
      <c r="N326" s="380"/>
      <c r="O326" s="380"/>
      <c r="P326" s="380"/>
      <c r="Q326" s="380"/>
      <c r="R326" s="378"/>
      <c r="S326" s="335"/>
      <c r="T326" s="415"/>
    </row>
    <row r="327" spans="1:20" s="336" customFormat="1" x14ac:dyDescent="0.2">
      <c r="R327" s="179"/>
      <c r="S327" s="335"/>
      <c r="T327" s="415"/>
    </row>
    <row r="328" spans="1:20" s="336" customFormat="1" x14ac:dyDescent="0.2">
      <c r="B328" s="182" t="s">
        <v>985</v>
      </c>
      <c r="R328" s="179"/>
      <c r="S328" s="335"/>
      <c r="T328" s="415"/>
    </row>
    <row r="329" spans="1:20" s="336" customFormat="1" x14ac:dyDescent="0.2">
      <c r="A329" s="336" t="s">
        <v>1054</v>
      </c>
      <c r="B329" s="336" t="s">
        <v>1059</v>
      </c>
      <c r="D329" s="336">
        <v>86</v>
      </c>
      <c r="F329" s="418">
        <f t="shared" ref="F329:N329" si="71">F306*F320</f>
        <v>46549.58</v>
      </c>
      <c r="G329" s="418">
        <f t="shared" si="71"/>
        <v>46549.58</v>
      </c>
      <c r="H329" s="418">
        <f t="shared" si="71"/>
        <v>45992.1</v>
      </c>
      <c r="I329" s="418">
        <f t="shared" si="71"/>
        <v>45573.99</v>
      </c>
      <c r="J329" s="418">
        <f t="shared" si="71"/>
        <v>45852.73</v>
      </c>
      <c r="K329" s="418">
        <f t="shared" si="71"/>
        <v>45852.73</v>
      </c>
      <c r="L329" s="418">
        <f t="shared" si="71"/>
        <v>45434.62</v>
      </c>
      <c r="M329" s="418">
        <f t="shared" si="71"/>
        <v>45155.880000000005</v>
      </c>
      <c r="N329" s="418">
        <f t="shared" si="71"/>
        <v>44598.400000000001</v>
      </c>
      <c r="O329" s="418">
        <f>O306*O320</f>
        <v>44180.29</v>
      </c>
      <c r="P329" s="418">
        <f>P306*P320</f>
        <v>44319.66</v>
      </c>
      <c r="Q329" s="418">
        <f>Q306*Q320</f>
        <v>44180.29</v>
      </c>
      <c r="R329" s="437">
        <f>SUM(F329:Q329)</f>
        <v>544239.85000000009</v>
      </c>
      <c r="S329" s="335"/>
      <c r="T329" s="415"/>
    </row>
    <row r="330" spans="1:20" x14ac:dyDescent="0.2">
      <c r="B330" s="32" t="s">
        <v>1047</v>
      </c>
      <c r="F330" s="364"/>
      <c r="G330" s="364"/>
      <c r="H330" s="364"/>
      <c r="I330" s="364"/>
      <c r="J330" s="364"/>
      <c r="K330" s="364"/>
      <c r="L330" s="364"/>
      <c r="M330" s="364"/>
      <c r="N330" s="364"/>
      <c r="O330" s="364"/>
      <c r="P330" s="364"/>
      <c r="Q330" s="364"/>
      <c r="R330" s="341"/>
    </row>
    <row r="331" spans="1:20" x14ac:dyDescent="0.2">
      <c r="C331" s="32" t="s">
        <v>1098</v>
      </c>
      <c r="D331" s="32">
        <v>86</v>
      </c>
      <c r="F331" s="364">
        <f t="shared" ref="F331:Q332" si="72">F308*F322</f>
        <v>62869.039999999994</v>
      </c>
      <c r="G331" s="364">
        <f t="shared" si="72"/>
        <v>61977.734599999996</v>
      </c>
      <c r="H331" s="364">
        <f t="shared" si="72"/>
        <v>61931.553999999996</v>
      </c>
      <c r="I331" s="364">
        <f t="shared" si="72"/>
        <v>61359.746999999996</v>
      </c>
      <c r="J331" s="364">
        <f t="shared" si="72"/>
        <v>57296.448799999998</v>
      </c>
      <c r="K331" s="364">
        <f t="shared" si="72"/>
        <v>45580.450399999994</v>
      </c>
      <c r="L331" s="364">
        <f t="shared" si="72"/>
        <v>27471.114599999997</v>
      </c>
      <c r="M331" s="364">
        <f t="shared" si="72"/>
        <v>26732.6214</v>
      </c>
      <c r="N331" s="364">
        <f t="shared" si="72"/>
        <v>38803.992399999996</v>
      </c>
      <c r="O331" s="364">
        <f t="shared" si="72"/>
        <v>55178.087199999994</v>
      </c>
      <c r="P331" s="364">
        <f t="shared" si="72"/>
        <v>62452.819999999992</v>
      </c>
      <c r="Q331" s="364">
        <f t="shared" si="72"/>
        <v>59963.229799999994</v>
      </c>
      <c r="R331" s="341">
        <f>SUM(F331:Q331)</f>
        <v>621616.84019999986</v>
      </c>
    </row>
    <row r="332" spans="1:20" x14ac:dyDescent="0.2">
      <c r="C332" s="32" t="s">
        <v>1099</v>
      </c>
      <c r="D332" s="32">
        <v>86</v>
      </c>
      <c r="F332" s="364">
        <f t="shared" si="72"/>
        <v>191348.87590000001</v>
      </c>
      <c r="G332" s="364">
        <f t="shared" si="72"/>
        <v>155850.4486</v>
      </c>
      <c r="H332" s="364">
        <f t="shared" si="72"/>
        <v>163349.77610000002</v>
      </c>
      <c r="I332" s="364">
        <f t="shared" si="72"/>
        <v>129363.8612</v>
      </c>
      <c r="J332" s="364">
        <f t="shared" si="72"/>
        <v>98164.669399999999</v>
      </c>
      <c r="K332" s="364">
        <f t="shared" si="72"/>
        <v>56372.348900000005</v>
      </c>
      <c r="L332" s="364">
        <f t="shared" si="72"/>
        <v>31863.935600000001</v>
      </c>
      <c r="M332" s="364">
        <f t="shared" si="72"/>
        <v>28939.233400000001</v>
      </c>
      <c r="N332" s="364">
        <f t="shared" si="72"/>
        <v>42433.049400000004</v>
      </c>
      <c r="O332" s="364">
        <f t="shared" si="72"/>
        <v>92238.246800000008</v>
      </c>
      <c r="P332" s="364">
        <f t="shared" si="72"/>
        <v>167656.25870000001</v>
      </c>
      <c r="Q332" s="364">
        <f t="shared" si="72"/>
        <v>199578.02900000001</v>
      </c>
      <c r="R332" s="341">
        <f>SUM(F332:Q332)</f>
        <v>1357158.733</v>
      </c>
    </row>
    <row r="333" spans="1:20" x14ac:dyDescent="0.2">
      <c r="A333" s="32" t="s">
        <v>1054</v>
      </c>
      <c r="C333" s="32" t="s">
        <v>1077</v>
      </c>
      <c r="F333" s="365">
        <f t="shared" ref="F333:N333" si="73">SUM(F331:F332)</f>
        <v>254217.91590000002</v>
      </c>
      <c r="G333" s="365">
        <f t="shared" si="73"/>
        <v>217828.1832</v>
      </c>
      <c r="H333" s="365">
        <f t="shared" si="73"/>
        <v>225281.33010000002</v>
      </c>
      <c r="I333" s="365">
        <f t="shared" si="73"/>
        <v>190723.60819999999</v>
      </c>
      <c r="J333" s="365">
        <f t="shared" si="73"/>
        <v>155461.1182</v>
      </c>
      <c r="K333" s="365">
        <f t="shared" si="73"/>
        <v>101952.7993</v>
      </c>
      <c r="L333" s="365">
        <f t="shared" si="73"/>
        <v>59335.050199999998</v>
      </c>
      <c r="M333" s="365">
        <f t="shared" si="73"/>
        <v>55671.854800000001</v>
      </c>
      <c r="N333" s="365">
        <f t="shared" si="73"/>
        <v>81237.041800000006</v>
      </c>
      <c r="O333" s="365">
        <f>SUM(O331:O332)</f>
        <v>147416.334</v>
      </c>
      <c r="P333" s="365">
        <f>SUM(P331:P332)</f>
        <v>230109.07870000001</v>
      </c>
      <c r="Q333" s="365">
        <f>SUM(Q331:Q332)</f>
        <v>259541.25880000001</v>
      </c>
      <c r="R333" s="365">
        <f>SUM(R331:R332)</f>
        <v>1978775.5732</v>
      </c>
    </row>
    <row r="334" spans="1:20" x14ac:dyDescent="0.2">
      <c r="A334" s="336" t="s">
        <v>1056</v>
      </c>
      <c r="B334" s="415" t="s">
        <v>1057</v>
      </c>
      <c r="D334" s="32">
        <v>101</v>
      </c>
      <c r="F334" s="364">
        <f t="shared" ref="F334:N334" si="74">F310*F324</f>
        <v>1107361.38903</v>
      </c>
      <c r="G334" s="364">
        <f t="shared" si="74"/>
        <v>938100.28232999996</v>
      </c>
      <c r="H334" s="364">
        <f t="shared" si="74"/>
        <v>973070.66127000004</v>
      </c>
      <c r="I334" s="364">
        <f t="shared" si="74"/>
        <v>811966.78049000003</v>
      </c>
      <c r="J334" s="364">
        <f t="shared" si="74"/>
        <v>652190.71186000004</v>
      </c>
      <c r="K334" s="364">
        <f t="shared" si="74"/>
        <v>417100.07316999999</v>
      </c>
      <c r="L334" s="364">
        <f t="shared" si="74"/>
        <v>241494.75323</v>
      </c>
      <c r="M334" s="364">
        <f t="shared" si="74"/>
        <v>225316.07767</v>
      </c>
      <c r="N334" s="364">
        <f t="shared" si="74"/>
        <v>329055.14571999997</v>
      </c>
      <c r="O334" s="364">
        <f>O310*O324</f>
        <v>617318.83727999998</v>
      </c>
      <c r="P334" s="364">
        <f>P310*P324</f>
        <v>994991.87479000003</v>
      </c>
      <c r="Q334" s="364">
        <f>Q310*Q324</f>
        <v>1136147.29153</v>
      </c>
      <c r="R334" s="341">
        <f>SUM(F334:Q334)</f>
        <v>8444113.8783699982</v>
      </c>
    </row>
    <row r="335" spans="1:20" x14ac:dyDescent="0.2">
      <c r="A335" s="32" t="s">
        <v>1054</v>
      </c>
      <c r="B335" s="32" t="s">
        <v>1096</v>
      </c>
      <c r="D335" s="444"/>
      <c r="F335" s="365">
        <f t="shared" ref="F335:N335" si="75">F311*F324</f>
        <v>10964.303610000001</v>
      </c>
      <c r="G335" s="365">
        <f t="shared" si="75"/>
        <v>9288.4007099999999</v>
      </c>
      <c r="H335" s="365">
        <f t="shared" si="75"/>
        <v>9634.6524900000004</v>
      </c>
      <c r="I335" s="365">
        <f t="shared" si="75"/>
        <v>8039.5166300000001</v>
      </c>
      <c r="J335" s="365">
        <f t="shared" si="75"/>
        <v>6457.5278200000002</v>
      </c>
      <c r="K335" s="365">
        <f t="shared" si="75"/>
        <v>4129.8277900000003</v>
      </c>
      <c r="L335" s="365">
        <f t="shared" si="75"/>
        <v>2391.1090100000001</v>
      </c>
      <c r="M335" s="365">
        <f t="shared" si="75"/>
        <v>2230.9192900000003</v>
      </c>
      <c r="N335" s="365">
        <f t="shared" si="75"/>
        <v>3258.0696400000002</v>
      </c>
      <c r="O335" s="365">
        <f>O311*O324</f>
        <v>6112.2513600000002</v>
      </c>
      <c r="P335" s="365">
        <f>P311*P324</f>
        <v>9851.7007300000005</v>
      </c>
      <c r="Q335" s="365">
        <f>Q311*Q324</f>
        <v>11249.321110000001</v>
      </c>
      <c r="R335" s="365">
        <f>SUM(F335:Q335)</f>
        <v>83607.600190000012</v>
      </c>
    </row>
    <row r="336" spans="1:20" x14ac:dyDescent="0.2">
      <c r="B336" s="32" t="s">
        <v>1068</v>
      </c>
      <c r="F336" s="364"/>
      <c r="G336" s="364"/>
      <c r="H336" s="364"/>
      <c r="I336" s="364"/>
      <c r="J336" s="364"/>
      <c r="K336" s="364"/>
      <c r="L336" s="364"/>
      <c r="M336" s="364"/>
      <c r="N336" s="364"/>
      <c r="O336" s="364"/>
      <c r="P336" s="364"/>
      <c r="Q336" s="364"/>
      <c r="R336" s="341"/>
    </row>
    <row r="337" spans="1:20" x14ac:dyDescent="0.2">
      <c r="A337" s="32" t="s">
        <v>1054</v>
      </c>
      <c r="C337" s="32" t="s">
        <v>1069</v>
      </c>
      <c r="D337" s="32">
        <v>86</v>
      </c>
      <c r="F337" s="364">
        <f t="shared" ref="F337:N337" si="76">F313*F325</f>
        <v>10556.1</v>
      </c>
      <c r="G337" s="364">
        <f t="shared" si="76"/>
        <v>10466.19</v>
      </c>
      <c r="H337" s="364">
        <f t="shared" si="76"/>
        <v>10276.380000000001</v>
      </c>
      <c r="I337" s="364">
        <f t="shared" si="76"/>
        <v>10198.68</v>
      </c>
      <c r="J337" s="364">
        <f t="shared" si="76"/>
        <v>10278.6</v>
      </c>
      <c r="K337" s="364">
        <f t="shared" si="76"/>
        <v>10276.380000000001</v>
      </c>
      <c r="L337" s="364">
        <f t="shared" si="76"/>
        <v>10140.960000000001</v>
      </c>
      <c r="M337" s="364">
        <f t="shared" si="76"/>
        <v>9842.3700000000008</v>
      </c>
      <c r="N337" s="364">
        <f t="shared" si="76"/>
        <v>9512.7000000000007</v>
      </c>
      <c r="O337" s="364">
        <f>O313*O325</f>
        <v>9387.27</v>
      </c>
      <c r="P337" s="364">
        <f>P313*P325</f>
        <v>9439.44</v>
      </c>
      <c r="Q337" s="364">
        <f>Q313*Q325</f>
        <v>9150.84</v>
      </c>
      <c r="R337" s="341">
        <f>SUM(F337:Q337)</f>
        <v>119525.91</v>
      </c>
    </row>
    <row r="338" spans="1:20" s="336" customFormat="1" x14ac:dyDescent="0.2">
      <c r="A338" s="336" t="s">
        <v>1056</v>
      </c>
      <c r="C338" s="336" t="s">
        <v>1070</v>
      </c>
      <c r="D338" s="336">
        <v>101</v>
      </c>
      <c r="F338" s="418">
        <f t="shared" ref="F338:N338" si="77">F314*F325</f>
        <v>9985.5</v>
      </c>
      <c r="G338" s="418">
        <f t="shared" si="77"/>
        <v>9900.4500000000007</v>
      </c>
      <c r="H338" s="418">
        <f t="shared" si="77"/>
        <v>9720.9</v>
      </c>
      <c r="I338" s="418">
        <f t="shared" si="77"/>
        <v>9647.4</v>
      </c>
      <c r="J338" s="418">
        <f t="shared" si="77"/>
        <v>9723</v>
      </c>
      <c r="K338" s="418">
        <f t="shared" si="77"/>
        <v>9720.9</v>
      </c>
      <c r="L338" s="418">
        <f t="shared" si="77"/>
        <v>9592.8000000000011</v>
      </c>
      <c r="M338" s="418">
        <f t="shared" si="77"/>
        <v>9310.35</v>
      </c>
      <c r="N338" s="418">
        <f t="shared" si="77"/>
        <v>8998.5</v>
      </c>
      <c r="O338" s="418">
        <f>O314*O325</f>
        <v>8879.85</v>
      </c>
      <c r="P338" s="418">
        <f>P314*P325</f>
        <v>8929.2000000000007</v>
      </c>
      <c r="Q338" s="418">
        <f>Q314*Q325</f>
        <v>8656.2000000000007</v>
      </c>
      <c r="R338" s="437">
        <f>SUM(F338:Q338)</f>
        <v>113065.05</v>
      </c>
      <c r="S338" s="335"/>
      <c r="T338" s="415"/>
    </row>
    <row r="339" spans="1:20" s="336" customFormat="1" x14ac:dyDescent="0.2">
      <c r="C339" s="336" t="s">
        <v>1078</v>
      </c>
      <c r="F339" s="339">
        <f t="shared" ref="F339:N339" si="78">SUM(F337:F338)</f>
        <v>20541.599999999999</v>
      </c>
      <c r="G339" s="339">
        <f t="shared" si="78"/>
        <v>20366.64</v>
      </c>
      <c r="H339" s="339">
        <f t="shared" si="78"/>
        <v>19997.28</v>
      </c>
      <c r="I339" s="339">
        <f t="shared" si="78"/>
        <v>19846.080000000002</v>
      </c>
      <c r="J339" s="339">
        <f t="shared" si="78"/>
        <v>20001.599999999999</v>
      </c>
      <c r="K339" s="339">
        <f t="shared" si="78"/>
        <v>19997.28</v>
      </c>
      <c r="L339" s="339">
        <f t="shared" si="78"/>
        <v>19733.760000000002</v>
      </c>
      <c r="M339" s="339">
        <f t="shared" si="78"/>
        <v>19152.72</v>
      </c>
      <c r="N339" s="339">
        <f t="shared" si="78"/>
        <v>18511.2</v>
      </c>
      <c r="O339" s="339">
        <f>SUM(O337:O338)</f>
        <v>18267.120000000003</v>
      </c>
      <c r="P339" s="339">
        <f>SUM(P337:P338)</f>
        <v>18368.64</v>
      </c>
      <c r="Q339" s="339">
        <f>SUM(Q337:Q338)</f>
        <v>17807.04</v>
      </c>
      <c r="R339" s="339">
        <f>SUM(R337:R338)</f>
        <v>232590.96000000002</v>
      </c>
      <c r="S339" s="335"/>
      <c r="T339" s="415"/>
    </row>
    <row r="340" spans="1:20" s="336" customFormat="1" x14ac:dyDescent="0.2">
      <c r="A340" s="336" t="s">
        <v>1054</v>
      </c>
      <c r="B340" s="336" t="s">
        <v>1071</v>
      </c>
      <c r="D340" s="336">
        <v>86</v>
      </c>
      <c r="F340" s="447">
        <f>'JKP-3.1c - Rev Actual Rates'!F351</f>
        <v>0</v>
      </c>
      <c r="G340" s="447">
        <f>'JKP-3.1c - Rev Actual Rates'!G351</f>
        <v>1587.1599999999999</v>
      </c>
      <c r="H340" s="447">
        <f>'JKP-3.1c - Rev Actual Rates'!H351</f>
        <v>0</v>
      </c>
      <c r="I340" s="447">
        <f>'JKP-3.1c - Rev Actual Rates'!I351</f>
        <v>0</v>
      </c>
      <c r="J340" s="447">
        <f>'JKP-3.1c - Rev Actual Rates'!J351</f>
        <v>0</v>
      </c>
      <c r="K340" s="447">
        <f>'JKP-3.1c - Rev Actual Rates'!K351</f>
        <v>0</v>
      </c>
      <c r="L340" s="447">
        <f>'JKP-3.1c - Rev Actual Rates'!L351</f>
        <v>116.15</v>
      </c>
      <c r="M340" s="447">
        <f>'JKP-3.1c - Rev Actual Rates'!M351</f>
        <v>1787.29</v>
      </c>
      <c r="N340" s="447">
        <f>'JKP-3.1c - Rev Actual Rates'!N351</f>
        <v>23486.960000000003</v>
      </c>
      <c r="O340" s="447">
        <f>'JKP-3.1c - Rev Actual Rates'!O351</f>
        <v>0</v>
      </c>
      <c r="P340" s="447">
        <f>'JKP-3.1c - Rev Actual Rates'!P351</f>
        <v>0</v>
      </c>
      <c r="Q340" s="447">
        <f>'JKP-3.1c - Rev Actual Rates'!Q351</f>
        <v>0</v>
      </c>
      <c r="R340" s="437">
        <f>SUM(F340:Q340)</f>
        <v>26977.56</v>
      </c>
      <c r="S340" s="335"/>
      <c r="T340" s="415"/>
    </row>
    <row r="341" spans="1:20" s="336" customFormat="1" x14ac:dyDescent="0.2">
      <c r="B341" s="336" t="s">
        <v>1079</v>
      </c>
      <c r="F341" s="339">
        <f t="shared" ref="F341:N341" si="79">F334+F338</f>
        <v>1117346.88903</v>
      </c>
      <c r="G341" s="339">
        <f t="shared" si="79"/>
        <v>948000.73232999991</v>
      </c>
      <c r="H341" s="339">
        <f t="shared" si="79"/>
        <v>982791.56127000006</v>
      </c>
      <c r="I341" s="339">
        <f t="shared" si="79"/>
        <v>821614.18049000006</v>
      </c>
      <c r="J341" s="339">
        <f t="shared" si="79"/>
        <v>661913.71186000004</v>
      </c>
      <c r="K341" s="339">
        <f t="shared" si="79"/>
        <v>426820.97317000001</v>
      </c>
      <c r="L341" s="339">
        <f t="shared" si="79"/>
        <v>251087.55322999999</v>
      </c>
      <c r="M341" s="339">
        <f t="shared" si="79"/>
        <v>234626.42767</v>
      </c>
      <c r="N341" s="339">
        <f t="shared" si="79"/>
        <v>338053.64571999997</v>
      </c>
      <c r="O341" s="339">
        <f>O334+O338</f>
        <v>626198.68727999995</v>
      </c>
      <c r="P341" s="339">
        <f>P334+P338</f>
        <v>1003921.07479</v>
      </c>
      <c r="Q341" s="339">
        <f>Q334+Q338</f>
        <v>1144803.49153</v>
      </c>
      <c r="R341" s="339">
        <f>R334+R338</f>
        <v>8557178.9283699989</v>
      </c>
      <c r="S341" s="335"/>
      <c r="T341" s="415"/>
    </row>
    <row r="342" spans="1:20" s="336" customFormat="1" x14ac:dyDescent="0.2">
      <c r="B342" s="336" t="s">
        <v>986</v>
      </c>
      <c r="F342" s="339">
        <f t="shared" ref="F342:N342" si="80">F329+F333+F334+F335+F339+F340</f>
        <v>1439634.7885400001</v>
      </c>
      <c r="G342" s="339">
        <f t="shared" si="80"/>
        <v>1233720.2462399998</v>
      </c>
      <c r="H342" s="339">
        <f t="shared" si="80"/>
        <v>1273976.0238600001</v>
      </c>
      <c r="I342" s="339">
        <f t="shared" si="80"/>
        <v>1076149.9753200002</v>
      </c>
      <c r="J342" s="339">
        <f t="shared" si="80"/>
        <v>879963.68787999998</v>
      </c>
      <c r="K342" s="339">
        <f t="shared" si="80"/>
        <v>589032.71026000008</v>
      </c>
      <c r="L342" s="339">
        <f t="shared" si="80"/>
        <v>368505.44244000001</v>
      </c>
      <c r="M342" s="339">
        <f t="shared" si="80"/>
        <v>349314.74175999995</v>
      </c>
      <c r="N342" s="339">
        <f t="shared" si="80"/>
        <v>500146.81715999998</v>
      </c>
      <c r="O342" s="339">
        <f>O329+O333+O334+O335+O339+O340</f>
        <v>833294.83263999992</v>
      </c>
      <c r="P342" s="339">
        <f>P329+P333+P334+P335+P339+P340</f>
        <v>1297640.9542199997</v>
      </c>
      <c r="Q342" s="339">
        <f>Q329+Q333+Q334+Q335+Q339+Q340</f>
        <v>1468925.20144</v>
      </c>
      <c r="R342" s="339">
        <f>R329+R333+R334+R335+R339+R340</f>
        <v>11310305.42176</v>
      </c>
      <c r="S342" s="335"/>
      <c r="T342" s="340"/>
    </row>
    <row r="343" spans="1:20" s="336" customFormat="1" x14ac:dyDescent="0.2">
      <c r="F343" s="418"/>
      <c r="G343" s="418"/>
      <c r="H343" s="418"/>
      <c r="I343" s="418"/>
      <c r="J343" s="418"/>
      <c r="K343" s="418"/>
      <c r="L343" s="418"/>
      <c r="M343" s="418"/>
      <c r="N343" s="418"/>
      <c r="O343" s="418"/>
      <c r="P343" s="418"/>
      <c r="Q343" s="418"/>
      <c r="R343" s="437"/>
      <c r="S343" s="335"/>
      <c r="T343" s="415"/>
    </row>
    <row r="344" spans="1:20" s="336" customFormat="1" x14ac:dyDescent="0.2">
      <c r="A344" s="32" t="s">
        <v>1058</v>
      </c>
      <c r="B344" s="32" t="s">
        <v>1050</v>
      </c>
      <c r="C344" s="32"/>
      <c r="F344" s="418">
        <f>F316*F324+F325*F317</f>
        <v>1068987.82941</v>
      </c>
      <c r="G344" s="418">
        <f t="shared" ref="G344:Q344" si="81">G316*G324+G325*G317</f>
        <v>906964.76451000001</v>
      </c>
      <c r="H344" s="418">
        <f t="shared" si="81"/>
        <v>940251.98468999995</v>
      </c>
      <c r="I344" s="418">
        <f t="shared" si="81"/>
        <v>786044.41802999994</v>
      </c>
      <c r="J344" s="418">
        <f t="shared" si="81"/>
        <v>633249.24741999991</v>
      </c>
      <c r="K344" s="418">
        <f t="shared" si="81"/>
        <v>408322.19399</v>
      </c>
      <c r="L344" s="418">
        <f t="shared" si="81"/>
        <v>240188.24680999998</v>
      </c>
      <c r="M344" s="418">
        <f t="shared" si="81"/>
        <v>224440.15548999998</v>
      </c>
      <c r="N344" s="418">
        <f t="shared" si="81"/>
        <v>323396.42884000001</v>
      </c>
      <c r="O344" s="418">
        <f t="shared" si="81"/>
        <v>599082.27215999993</v>
      </c>
      <c r="P344" s="418">
        <f t="shared" si="81"/>
        <v>960471.30012999999</v>
      </c>
      <c r="Q344" s="418">
        <f t="shared" si="81"/>
        <v>1095262.99691</v>
      </c>
      <c r="R344" s="437">
        <f>SUM(F344:Q344)</f>
        <v>8186661.8383900002</v>
      </c>
      <c r="S344" s="335"/>
      <c r="T344" s="415"/>
    </row>
    <row r="345" spans="1:20" s="336" customFormat="1" x14ac:dyDescent="0.2">
      <c r="F345" s="418"/>
      <c r="G345" s="418"/>
      <c r="H345" s="418"/>
      <c r="I345" s="418"/>
      <c r="J345" s="418"/>
      <c r="K345" s="418"/>
      <c r="L345" s="418"/>
      <c r="M345" s="418"/>
      <c r="N345" s="418"/>
      <c r="O345" s="418"/>
      <c r="P345" s="418"/>
      <c r="Q345" s="418"/>
      <c r="R345" s="437"/>
      <c r="S345" s="335"/>
      <c r="T345" s="415"/>
    </row>
    <row r="346" spans="1:20" s="336" customFormat="1" x14ac:dyDescent="0.2">
      <c r="B346" s="182" t="s">
        <v>1100</v>
      </c>
      <c r="C346" s="182"/>
      <c r="S346" s="335"/>
      <c r="T346" s="415"/>
    </row>
    <row r="347" spans="1:20" s="336" customFormat="1" x14ac:dyDescent="0.2">
      <c r="B347" s="182" t="s">
        <v>5</v>
      </c>
      <c r="C347" s="182"/>
      <c r="S347" s="335"/>
      <c r="T347" s="415"/>
    </row>
    <row r="348" spans="1:20" s="336" customFormat="1" x14ac:dyDescent="0.2">
      <c r="B348" s="336" t="s">
        <v>1059</v>
      </c>
      <c r="D348" s="336">
        <v>87</v>
      </c>
      <c r="E348" s="336" t="s">
        <v>976</v>
      </c>
      <c r="F348" s="501">
        <f>'JKP-3.1c - Rev Rates GRC09'!F348</f>
        <v>544.91</v>
      </c>
      <c r="G348" s="501">
        <f>'JKP-3.1c - Rev Rates GRC09'!G348</f>
        <v>544.91</v>
      </c>
      <c r="H348" s="501">
        <f>'JKP-3.1c - Rev Rates GRC09'!H348</f>
        <v>544.91</v>
      </c>
      <c r="I348" s="501">
        <f>'JKP-3.1c - Rev Rates GRC09'!I348</f>
        <v>544.91</v>
      </c>
      <c r="J348" s="501">
        <f>'JKP-3.1c - Rev Rates GRC09'!J348</f>
        <v>544.91</v>
      </c>
      <c r="K348" s="501">
        <f>'JKP-3.1c - Rev Rates GRC09'!K348</f>
        <v>544.91</v>
      </c>
      <c r="L348" s="501">
        <f>'JKP-3.1c - Rev Rates GRC09'!L348</f>
        <v>544.91</v>
      </c>
      <c r="M348" s="501">
        <f>'JKP-3.1c - Rev Rates GRC09'!M348</f>
        <v>544.91</v>
      </c>
      <c r="N348" s="501">
        <f>'JKP-3.1c - Rev Rates GRC09'!N348</f>
        <v>544.91</v>
      </c>
      <c r="O348" s="501">
        <f>'JKP-3.1c - Rev Rates GRC09'!O348</f>
        <v>544.91</v>
      </c>
      <c r="P348" s="501">
        <f>'JKP-3.1c - Rev Rates GRC09'!P348</f>
        <v>544.91</v>
      </c>
      <c r="Q348" s="501">
        <f>'JKP-3.1c - Rev Rates GRC09'!Q348</f>
        <v>544.91</v>
      </c>
      <c r="R348" s="435"/>
      <c r="S348" s="335"/>
      <c r="T348" s="415"/>
    </row>
    <row r="349" spans="1:20" s="336" customFormat="1" x14ac:dyDescent="0.2">
      <c r="B349" s="336" t="s">
        <v>1047</v>
      </c>
      <c r="F349" s="496"/>
      <c r="G349" s="496"/>
      <c r="H349" s="496"/>
      <c r="I349" s="496"/>
      <c r="J349" s="496"/>
      <c r="K349" s="496"/>
      <c r="L349" s="496"/>
      <c r="M349" s="496"/>
      <c r="N349" s="496"/>
      <c r="O349" s="496"/>
      <c r="P349" s="496"/>
      <c r="Q349" s="496"/>
      <c r="R349" s="441"/>
      <c r="S349" s="335"/>
      <c r="T349" s="415"/>
    </row>
    <row r="350" spans="1:20" s="336" customFormat="1" x14ac:dyDescent="0.2">
      <c r="C350" s="336" t="s">
        <v>1086</v>
      </c>
      <c r="D350" s="336">
        <v>87</v>
      </c>
      <c r="E350" s="336" t="s">
        <v>957</v>
      </c>
      <c r="F350" s="496">
        <f>'JKP-3.1c - Rev Rates GRC09'!F350</f>
        <v>0.13815</v>
      </c>
      <c r="G350" s="496">
        <f>'JKP-3.1c - Rev Rates GRC09'!G350</f>
        <v>0.13815</v>
      </c>
      <c r="H350" s="496">
        <f>'JKP-3.1c - Rev Rates GRC09'!H350</f>
        <v>0.13815</v>
      </c>
      <c r="I350" s="496">
        <f>'JKP-3.1c - Rev Rates GRC09'!I350</f>
        <v>0.13815</v>
      </c>
      <c r="J350" s="496">
        <f>'JKP-3.1c - Rev Rates GRC09'!J350</f>
        <v>0.13815</v>
      </c>
      <c r="K350" s="496">
        <f>'JKP-3.1c - Rev Rates GRC09'!K350</f>
        <v>0.13815</v>
      </c>
      <c r="L350" s="496">
        <f>'JKP-3.1c - Rev Rates GRC09'!L350</f>
        <v>0.13815</v>
      </c>
      <c r="M350" s="496">
        <f>'JKP-3.1c - Rev Rates GRC09'!M350</f>
        <v>0.13815</v>
      </c>
      <c r="N350" s="496">
        <f>'JKP-3.1c - Rev Rates GRC09'!N350</f>
        <v>0.13815</v>
      </c>
      <c r="O350" s="496">
        <f>'JKP-3.1c - Rev Rates GRC09'!O350</f>
        <v>0.13815</v>
      </c>
      <c r="P350" s="496">
        <f>'JKP-3.1c - Rev Rates GRC09'!P350</f>
        <v>0.13815</v>
      </c>
      <c r="Q350" s="496">
        <f>'JKP-3.1c - Rev Rates GRC09'!Q350</f>
        <v>0.13815</v>
      </c>
      <c r="R350" s="441"/>
      <c r="S350" s="335"/>
      <c r="T350" s="415"/>
    </row>
    <row r="351" spans="1:20" s="336" customFormat="1" x14ac:dyDescent="0.2">
      <c r="C351" s="336" t="s">
        <v>1087</v>
      </c>
      <c r="D351" s="336">
        <v>87</v>
      </c>
      <c r="E351" s="336" t="s">
        <v>957</v>
      </c>
      <c r="F351" s="496">
        <f>'JKP-3.1c - Rev Rates GRC09'!F351</f>
        <v>8.4349999999999994E-2</v>
      </c>
      <c r="G351" s="496">
        <f>'JKP-3.1c - Rev Rates GRC09'!G351</f>
        <v>8.4349999999999994E-2</v>
      </c>
      <c r="H351" s="496">
        <f>'JKP-3.1c - Rev Rates GRC09'!H351</f>
        <v>8.4349999999999994E-2</v>
      </c>
      <c r="I351" s="496">
        <f>'JKP-3.1c - Rev Rates GRC09'!I351</f>
        <v>8.4349999999999994E-2</v>
      </c>
      <c r="J351" s="496">
        <f>'JKP-3.1c - Rev Rates GRC09'!J351</f>
        <v>8.4349999999999994E-2</v>
      </c>
      <c r="K351" s="496">
        <f>'JKP-3.1c - Rev Rates GRC09'!K351</f>
        <v>8.4349999999999994E-2</v>
      </c>
      <c r="L351" s="496">
        <f>'JKP-3.1c - Rev Rates GRC09'!L351</f>
        <v>8.4349999999999994E-2</v>
      </c>
      <c r="M351" s="496">
        <f>'JKP-3.1c - Rev Rates GRC09'!M351</f>
        <v>8.4349999999999994E-2</v>
      </c>
      <c r="N351" s="496">
        <f>'JKP-3.1c - Rev Rates GRC09'!N351</f>
        <v>8.4349999999999994E-2</v>
      </c>
      <c r="O351" s="496">
        <f>'JKP-3.1c - Rev Rates GRC09'!O351</f>
        <v>8.4349999999999994E-2</v>
      </c>
      <c r="P351" s="496">
        <f>'JKP-3.1c - Rev Rates GRC09'!P351</f>
        <v>8.4349999999999994E-2</v>
      </c>
      <c r="Q351" s="496">
        <f>'JKP-3.1c - Rev Rates GRC09'!Q351</f>
        <v>8.4349999999999994E-2</v>
      </c>
      <c r="R351" s="441"/>
      <c r="S351" s="335"/>
      <c r="T351" s="415"/>
    </row>
    <row r="352" spans="1:20" s="336" customFormat="1" x14ac:dyDescent="0.2">
      <c r="C352" s="336" t="s">
        <v>1090</v>
      </c>
      <c r="D352" s="336">
        <v>87</v>
      </c>
      <c r="E352" s="336" t="s">
        <v>957</v>
      </c>
      <c r="F352" s="496">
        <f>'JKP-3.1c - Rev Rates GRC09'!F352</f>
        <v>5.4460000000000001E-2</v>
      </c>
      <c r="G352" s="496">
        <f>'JKP-3.1c - Rev Rates GRC09'!G352</f>
        <v>5.4460000000000001E-2</v>
      </c>
      <c r="H352" s="496">
        <f>'JKP-3.1c - Rev Rates GRC09'!H352</f>
        <v>5.4460000000000001E-2</v>
      </c>
      <c r="I352" s="496">
        <f>'JKP-3.1c - Rev Rates GRC09'!I352</f>
        <v>5.4460000000000001E-2</v>
      </c>
      <c r="J352" s="496">
        <f>'JKP-3.1c - Rev Rates GRC09'!J352</f>
        <v>5.4460000000000001E-2</v>
      </c>
      <c r="K352" s="496">
        <f>'JKP-3.1c - Rev Rates GRC09'!K352</f>
        <v>5.4460000000000001E-2</v>
      </c>
      <c r="L352" s="496">
        <f>'JKP-3.1c - Rev Rates GRC09'!L352</f>
        <v>5.4460000000000001E-2</v>
      </c>
      <c r="M352" s="496">
        <f>'JKP-3.1c - Rev Rates GRC09'!M352</f>
        <v>5.4460000000000001E-2</v>
      </c>
      <c r="N352" s="496">
        <f>'JKP-3.1c - Rev Rates GRC09'!N352</f>
        <v>5.4460000000000001E-2</v>
      </c>
      <c r="O352" s="496">
        <f>'JKP-3.1c - Rev Rates GRC09'!O352</f>
        <v>5.4460000000000001E-2</v>
      </c>
      <c r="P352" s="496">
        <f>'JKP-3.1c - Rev Rates GRC09'!P352</f>
        <v>5.4460000000000001E-2</v>
      </c>
      <c r="Q352" s="496">
        <f>'JKP-3.1c - Rev Rates GRC09'!Q352</f>
        <v>5.4460000000000001E-2</v>
      </c>
      <c r="R352" s="441"/>
      <c r="S352" s="335"/>
      <c r="T352" s="415"/>
    </row>
    <row r="353" spans="2:20" s="336" customFormat="1" x14ac:dyDescent="0.2">
      <c r="C353" s="336" t="s">
        <v>1091</v>
      </c>
      <c r="D353" s="336">
        <v>87</v>
      </c>
      <c r="E353" s="336" t="s">
        <v>957</v>
      </c>
      <c r="F353" s="496">
        <f>'JKP-3.1c - Rev Rates GRC09'!F353</f>
        <v>3.5700000000000003E-2</v>
      </c>
      <c r="G353" s="496">
        <f>'JKP-3.1c - Rev Rates GRC09'!G353</f>
        <v>3.5700000000000003E-2</v>
      </c>
      <c r="H353" s="496">
        <f>'JKP-3.1c - Rev Rates GRC09'!H353</f>
        <v>3.5700000000000003E-2</v>
      </c>
      <c r="I353" s="496">
        <f>'JKP-3.1c - Rev Rates GRC09'!I353</f>
        <v>3.5700000000000003E-2</v>
      </c>
      <c r="J353" s="496">
        <f>'JKP-3.1c - Rev Rates GRC09'!J353</f>
        <v>3.5700000000000003E-2</v>
      </c>
      <c r="K353" s="496">
        <f>'JKP-3.1c - Rev Rates GRC09'!K353</f>
        <v>3.5700000000000003E-2</v>
      </c>
      <c r="L353" s="496">
        <f>'JKP-3.1c - Rev Rates GRC09'!L353</f>
        <v>3.5700000000000003E-2</v>
      </c>
      <c r="M353" s="496">
        <f>'JKP-3.1c - Rev Rates GRC09'!M353</f>
        <v>3.5700000000000003E-2</v>
      </c>
      <c r="N353" s="496">
        <f>'JKP-3.1c - Rev Rates GRC09'!N353</f>
        <v>3.5700000000000003E-2</v>
      </c>
      <c r="O353" s="496">
        <f>'JKP-3.1c - Rev Rates GRC09'!O353</f>
        <v>3.5700000000000003E-2</v>
      </c>
      <c r="P353" s="496">
        <f>'JKP-3.1c - Rev Rates GRC09'!P353</f>
        <v>3.5700000000000003E-2</v>
      </c>
      <c r="Q353" s="496">
        <f>'JKP-3.1c - Rev Rates GRC09'!Q353</f>
        <v>3.5700000000000003E-2</v>
      </c>
      <c r="R353" s="441"/>
      <c r="S353" s="335"/>
      <c r="T353" s="415"/>
    </row>
    <row r="354" spans="2:20" s="336" customFormat="1" x14ac:dyDescent="0.2">
      <c r="C354" s="336" t="s">
        <v>1092</v>
      </c>
      <c r="D354" s="336">
        <v>87</v>
      </c>
      <c r="E354" s="336" t="s">
        <v>957</v>
      </c>
      <c r="F354" s="496">
        <f>'JKP-3.1c - Rev Rates GRC09'!F354</f>
        <v>2.63E-2</v>
      </c>
      <c r="G354" s="496">
        <f>'JKP-3.1c - Rev Rates GRC09'!G354</f>
        <v>2.63E-2</v>
      </c>
      <c r="H354" s="496">
        <f>'JKP-3.1c - Rev Rates GRC09'!H354</f>
        <v>2.63E-2</v>
      </c>
      <c r="I354" s="496">
        <f>'JKP-3.1c - Rev Rates GRC09'!I354</f>
        <v>2.63E-2</v>
      </c>
      <c r="J354" s="496">
        <f>'JKP-3.1c - Rev Rates GRC09'!J354</f>
        <v>2.63E-2</v>
      </c>
      <c r="K354" s="496">
        <f>'JKP-3.1c - Rev Rates GRC09'!K354</f>
        <v>2.63E-2</v>
      </c>
      <c r="L354" s="496">
        <f>'JKP-3.1c - Rev Rates GRC09'!L354</f>
        <v>2.63E-2</v>
      </c>
      <c r="M354" s="496">
        <f>'JKP-3.1c - Rev Rates GRC09'!M354</f>
        <v>2.63E-2</v>
      </c>
      <c r="N354" s="496">
        <f>'JKP-3.1c - Rev Rates GRC09'!N354</f>
        <v>2.63E-2</v>
      </c>
      <c r="O354" s="496">
        <f>'JKP-3.1c - Rev Rates GRC09'!O354</f>
        <v>2.63E-2</v>
      </c>
      <c r="P354" s="496">
        <f>'JKP-3.1c - Rev Rates GRC09'!P354</f>
        <v>2.63E-2</v>
      </c>
      <c r="Q354" s="496">
        <f>'JKP-3.1c - Rev Rates GRC09'!Q354</f>
        <v>2.63E-2</v>
      </c>
      <c r="R354" s="441"/>
      <c r="S354" s="335"/>
      <c r="T354" s="415"/>
    </row>
    <row r="355" spans="2:20" s="336" customFormat="1" x14ac:dyDescent="0.2">
      <c r="C355" s="336" t="s">
        <v>1093</v>
      </c>
      <c r="D355" s="336">
        <v>87</v>
      </c>
      <c r="E355" s="336" t="s">
        <v>957</v>
      </c>
      <c r="F355" s="496">
        <f>'JKP-3.1c - Rev Rates GRC09'!F355</f>
        <v>2.077E-2</v>
      </c>
      <c r="G355" s="496">
        <f>'JKP-3.1c - Rev Rates GRC09'!G355</f>
        <v>2.077E-2</v>
      </c>
      <c r="H355" s="496">
        <f>'JKP-3.1c - Rev Rates GRC09'!H355</f>
        <v>2.077E-2</v>
      </c>
      <c r="I355" s="496">
        <f>'JKP-3.1c - Rev Rates GRC09'!I355</f>
        <v>2.077E-2</v>
      </c>
      <c r="J355" s="496">
        <f>'JKP-3.1c - Rev Rates GRC09'!J355</f>
        <v>2.077E-2</v>
      </c>
      <c r="K355" s="496">
        <f>'JKP-3.1c - Rev Rates GRC09'!K355</f>
        <v>2.077E-2</v>
      </c>
      <c r="L355" s="496">
        <f>'JKP-3.1c - Rev Rates GRC09'!L355</f>
        <v>2.077E-2</v>
      </c>
      <c r="M355" s="496">
        <f>'JKP-3.1c - Rev Rates GRC09'!M355</f>
        <v>2.077E-2</v>
      </c>
      <c r="N355" s="496">
        <f>'JKP-3.1c - Rev Rates GRC09'!N355</f>
        <v>2.077E-2</v>
      </c>
      <c r="O355" s="496">
        <f>'JKP-3.1c - Rev Rates GRC09'!O355</f>
        <v>2.077E-2</v>
      </c>
      <c r="P355" s="496">
        <f>'JKP-3.1c - Rev Rates GRC09'!P355</f>
        <v>2.077E-2</v>
      </c>
      <c r="Q355" s="496">
        <f>'JKP-3.1c - Rev Rates GRC09'!Q355</f>
        <v>2.077E-2</v>
      </c>
      <c r="R355" s="441"/>
      <c r="S355" s="335"/>
      <c r="T355" s="415"/>
    </row>
    <row r="356" spans="2:20" s="336" customFormat="1" x14ac:dyDescent="0.2">
      <c r="B356" s="415" t="s">
        <v>1067</v>
      </c>
      <c r="D356" s="336">
        <v>101</v>
      </c>
      <c r="E356" s="336" t="s">
        <v>957</v>
      </c>
      <c r="F356" s="440">
        <v>0.65951000000000004</v>
      </c>
      <c r="G356" s="440">
        <v>0.65951000000000004</v>
      </c>
      <c r="H356" s="440">
        <v>0.65951000000000004</v>
      </c>
      <c r="I356" s="440">
        <v>0.65951000000000004</v>
      </c>
      <c r="J356" s="440">
        <v>0.65951000000000004</v>
      </c>
      <c r="K356" s="440">
        <v>0.65951000000000004</v>
      </c>
      <c r="L356" s="440">
        <v>0.65951000000000004</v>
      </c>
      <c r="M356" s="440">
        <v>0.65951000000000004</v>
      </c>
      <c r="N356" s="440">
        <v>0.65951000000000004</v>
      </c>
      <c r="O356" s="440">
        <v>0.65951000000000004</v>
      </c>
      <c r="P356" s="440">
        <v>0.65951000000000004</v>
      </c>
      <c r="Q356" s="440">
        <v>0.65951000000000004</v>
      </c>
      <c r="R356" s="441"/>
      <c r="S356" s="335"/>
      <c r="T356" s="415"/>
    </row>
    <row r="357" spans="2:20" s="336" customFormat="1" x14ac:dyDescent="0.2">
      <c r="B357" s="336" t="s">
        <v>1096</v>
      </c>
      <c r="D357" s="382">
        <v>87</v>
      </c>
      <c r="E357" s="336" t="s">
        <v>957</v>
      </c>
      <c r="F357" s="496">
        <f>'JKP-3.1c - Rev Rates GRC09'!F357</f>
        <v>5.0699999999999999E-3</v>
      </c>
      <c r="G357" s="496">
        <f>'JKP-3.1c - Rev Rates GRC09'!G357</f>
        <v>5.0699999999999999E-3</v>
      </c>
      <c r="H357" s="496">
        <f>'JKP-3.1c - Rev Rates GRC09'!H357</f>
        <v>5.0699999999999999E-3</v>
      </c>
      <c r="I357" s="496">
        <f>'JKP-3.1c - Rev Rates GRC09'!I357</f>
        <v>5.0699999999999999E-3</v>
      </c>
      <c r="J357" s="496">
        <f>'JKP-3.1c - Rev Rates GRC09'!J357</f>
        <v>5.0699999999999999E-3</v>
      </c>
      <c r="K357" s="496">
        <f>'JKP-3.1c - Rev Rates GRC09'!K357</f>
        <v>5.0699999999999999E-3</v>
      </c>
      <c r="L357" s="496">
        <f>'JKP-3.1c - Rev Rates GRC09'!L357</f>
        <v>5.0699999999999999E-3</v>
      </c>
      <c r="M357" s="496">
        <f>'JKP-3.1c - Rev Rates GRC09'!M357</f>
        <v>5.0699999999999999E-3</v>
      </c>
      <c r="N357" s="496">
        <f>'JKP-3.1c - Rev Rates GRC09'!N357</f>
        <v>5.0699999999999999E-3</v>
      </c>
      <c r="O357" s="496">
        <f>'JKP-3.1c - Rev Rates GRC09'!O357</f>
        <v>5.0699999999999999E-3</v>
      </c>
      <c r="P357" s="496">
        <f>'JKP-3.1c - Rev Rates GRC09'!P357</f>
        <v>5.0699999999999999E-3</v>
      </c>
      <c r="Q357" s="496">
        <f>'JKP-3.1c - Rev Rates GRC09'!Q357</f>
        <v>5.0699999999999999E-3</v>
      </c>
      <c r="R357" s="441"/>
      <c r="S357" s="335"/>
      <c r="T357" s="415"/>
    </row>
    <row r="358" spans="2:20" s="336" customFormat="1" x14ac:dyDescent="0.2">
      <c r="B358" s="336" t="s">
        <v>1068</v>
      </c>
      <c r="F358" s="441"/>
      <c r="G358" s="441"/>
      <c r="H358" s="441"/>
      <c r="I358" s="441"/>
      <c r="J358" s="441"/>
      <c r="K358" s="441"/>
      <c r="L358" s="441"/>
      <c r="M358" s="441"/>
      <c r="N358" s="441"/>
      <c r="O358" s="441"/>
      <c r="P358" s="441"/>
      <c r="Q358" s="441"/>
      <c r="R358" s="441"/>
      <c r="S358" s="335"/>
      <c r="T358" s="415"/>
    </row>
    <row r="359" spans="2:20" s="336" customFormat="1" x14ac:dyDescent="0.2">
      <c r="C359" s="336" t="s">
        <v>1069</v>
      </c>
      <c r="D359" s="336">
        <v>87</v>
      </c>
      <c r="E359" s="336" t="s">
        <v>957</v>
      </c>
      <c r="F359" s="501">
        <f>'JKP-3.1c - Rev Rates GRC09'!F359</f>
        <v>1.1100000000000001</v>
      </c>
      <c r="G359" s="501">
        <f>'JKP-3.1c - Rev Rates GRC09'!G359</f>
        <v>1.1100000000000001</v>
      </c>
      <c r="H359" s="501">
        <f>'JKP-3.1c - Rev Rates GRC09'!H359</f>
        <v>1.1100000000000001</v>
      </c>
      <c r="I359" s="501">
        <f>'JKP-3.1c - Rev Rates GRC09'!I359</f>
        <v>1.1100000000000001</v>
      </c>
      <c r="J359" s="501">
        <f>'JKP-3.1c - Rev Rates GRC09'!J359</f>
        <v>1.1100000000000001</v>
      </c>
      <c r="K359" s="501">
        <f>'JKP-3.1c - Rev Rates GRC09'!K359</f>
        <v>1.1100000000000001</v>
      </c>
      <c r="L359" s="501">
        <f>'JKP-3.1c - Rev Rates GRC09'!L359</f>
        <v>1.1100000000000001</v>
      </c>
      <c r="M359" s="501">
        <f>'JKP-3.1c - Rev Rates GRC09'!M359</f>
        <v>1.1100000000000001</v>
      </c>
      <c r="N359" s="501">
        <f>'JKP-3.1c - Rev Rates GRC09'!N359</f>
        <v>1.1100000000000001</v>
      </c>
      <c r="O359" s="501">
        <f>'JKP-3.1c - Rev Rates GRC09'!O359</f>
        <v>1.1100000000000001</v>
      </c>
      <c r="P359" s="501">
        <f>'JKP-3.1c - Rev Rates GRC09'!P359</f>
        <v>1.1100000000000001</v>
      </c>
      <c r="Q359" s="501">
        <f>'JKP-3.1c - Rev Rates GRC09'!Q359</f>
        <v>1.1100000000000001</v>
      </c>
      <c r="R359" s="441"/>
      <c r="S359" s="335"/>
      <c r="T359" s="415"/>
    </row>
    <row r="360" spans="2:20" s="336" customFormat="1" x14ac:dyDescent="0.2">
      <c r="C360" s="336" t="s">
        <v>1070</v>
      </c>
      <c r="D360" s="336">
        <v>101</v>
      </c>
      <c r="E360" s="336" t="s">
        <v>957</v>
      </c>
      <c r="F360" s="442">
        <v>1.05</v>
      </c>
      <c r="G360" s="442">
        <v>1.05</v>
      </c>
      <c r="H360" s="442">
        <v>1.05</v>
      </c>
      <c r="I360" s="442">
        <v>1.05</v>
      </c>
      <c r="J360" s="442">
        <v>1.05</v>
      </c>
      <c r="K360" s="442">
        <v>1.05</v>
      </c>
      <c r="L360" s="442">
        <v>1.05</v>
      </c>
      <c r="M360" s="442">
        <v>1.05</v>
      </c>
      <c r="N360" s="442">
        <v>1.05</v>
      </c>
      <c r="O360" s="442">
        <v>1.05</v>
      </c>
      <c r="P360" s="442">
        <v>1.05</v>
      </c>
      <c r="Q360" s="442">
        <v>1.05</v>
      </c>
      <c r="R360" s="441"/>
      <c r="S360" s="335"/>
      <c r="T360" s="415"/>
    </row>
    <row r="361" spans="2:20" s="336" customFormat="1" x14ac:dyDescent="0.2">
      <c r="B361" s="336" t="s">
        <v>1071</v>
      </c>
      <c r="D361" s="336">
        <v>87</v>
      </c>
      <c r="E361" s="336" t="s">
        <v>67</v>
      </c>
      <c r="F361" s="450"/>
      <c r="G361" s="450"/>
      <c r="H361" s="442"/>
      <c r="I361" s="450"/>
      <c r="J361" s="450"/>
      <c r="K361" s="450"/>
      <c r="L361" s="450"/>
      <c r="M361" s="450"/>
      <c r="N361" s="450"/>
      <c r="O361" s="450"/>
      <c r="P361" s="450"/>
      <c r="Q361" s="450"/>
      <c r="R361" s="441"/>
      <c r="S361" s="335"/>
      <c r="T361" s="415"/>
    </row>
    <row r="362" spans="2:20" s="336" customFormat="1" x14ac:dyDescent="0.2">
      <c r="B362" s="336" t="s">
        <v>1050</v>
      </c>
      <c r="F362" s="440">
        <v>0.63099000000000005</v>
      </c>
      <c r="G362" s="440">
        <v>0.63099000000000005</v>
      </c>
      <c r="H362" s="440">
        <v>0.63099000000000005</v>
      </c>
      <c r="I362" s="440">
        <v>0.63099000000000005</v>
      </c>
      <c r="J362" s="440">
        <v>0.63099000000000005</v>
      </c>
      <c r="K362" s="440">
        <v>0.63099000000000005</v>
      </c>
      <c r="L362" s="440">
        <v>0.63099000000000005</v>
      </c>
      <c r="M362" s="440">
        <v>0.63099000000000005</v>
      </c>
      <c r="N362" s="440">
        <v>0.63099000000000005</v>
      </c>
      <c r="O362" s="440">
        <v>0.63099000000000005</v>
      </c>
      <c r="P362" s="440">
        <v>0.63099000000000005</v>
      </c>
      <c r="Q362" s="440">
        <v>0.63099000000000005</v>
      </c>
      <c r="R362" s="441"/>
      <c r="S362" s="335"/>
      <c r="T362" s="415"/>
    </row>
    <row r="363" spans="2:20" s="336" customFormat="1" x14ac:dyDescent="0.2">
      <c r="B363" s="336" t="s">
        <v>1072</v>
      </c>
      <c r="F363" s="442">
        <v>1</v>
      </c>
      <c r="G363" s="442">
        <v>1</v>
      </c>
      <c r="H363" s="442">
        <v>1</v>
      </c>
      <c r="I363" s="442">
        <v>1</v>
      </c>
      <c r="J363" s="442">
        <v>1</v>
      </c>
      <c r="K363" s="442">
        <v>1</v>
      </c>
      <c r="L363" s="442">
        <v>1</v>
      </c>
      <c r="M363" s="442">
        <v>1</v>
      </c>
      <c r="N363" s="442">
        <v>1</v>
      </c>
      <c r="O363" s="442">
        <v>1</v>
      </c>
      <c r="P363" s="442">
        <v>1</v>
      </c>
      <c r="Q363" s="442">
        <v>1</v>
      </c>
      <c r="R363" s="441"/>
      <c r="S363" s="335"/>
      <c r="T363" s="415"/>
    </row>
    <row r="364" spans="2:20" s="336" customFormat="1" x14ac:dyDescent="0.2">
      <c r="S364" s="335"/>
      <c r="T364" s="415"/>
    </row>
    <row r="365" spans="2:20" x14ac:dyDescent="0.2">
      <c r="B365" s="276" t="s">
        <v>982</v>
      </c>
    </row>
    <row r="366" spans="2:20" x14ac:dyDescent="0.2">
      <c r="B366" s="32" t="s">
        <v>67</v>
      </c>
      <c r="E366" s="32" t="s">
        <v>67</v>
      </c>
      <c r="F366" s="397">
        <f>'JKP-3.1c - Data'!C153</f>
        <v>8</v>
      </c>
      <c r="G366" s="397">
        <f>'JKP-3.1c - Data'!D153</f>
        <v>8</v>
      </c>
      <c r="H366" s="397">
        <f>'JKP-3.1c - Data'!E153</f>
        <v>8</v>
      </c>
      <c r="I366" s="397">
        <f>'JKP-3.1c - Data'!F153</f>
        <v>8</v>
      </c>
      <c r="J366" s="397">
        <f>'JKP-3.1c - Data'!G153</f>
        <v>8</v>
      </c>
      <c r="K366" s="397">
        <f>'JKP-3.1c - Data'!H153</f>
        <v>8</v>
      </c>
      <c r="L366" s="397">
        <f>'JKP-3.1c - Data'!I153</f>
        <v>8</v>
      </c>
      <c r="M366" s="397">
        <f>'JKP-3.1c - Data'!J153</f>
        <v>8</v>
      </c>
      <c r="N366" s="397">
        <f>'JKP-3.1c - Data'!K153</f>
        <v>8</v>
      </c>
      <c r="O366" s="397">
        <f>'JKP-3.1c - Data'!L153</f>
        <v>8</v>
      </c>
      <c r="P366" s="397">
        <f>'JKP-3.1c - Data'!M153</f>
        <v>8</v>
      </c>
      <c r="Q366" s="397">
        <f>'JKP-3.1c - Data'!N153</f>
        <v>8</v>
      </c>
      <c r="R366" s="378">
        <f>SUM(F366:Q366)</f>
        <v>96</v>
      </c>
    </row>
    <row r="367" spans="2:20" s="336" customFormat="1" x14ac:dyDescent="0.2">
      <c r="B367" s="336" t="s">
        <v>76</v>
      </c>
      <c r="F367" s="380"/>
      <c r="G367" s="380"/>
      <c r="H367" s="380"/>
      <c r="I367" s="380"/>
      <c r="J367" s="380"/>
      <c r="K367" s="380"/>
      <c r="L367" s="380"/>
      <c r="M367" s="380"/>
      <c r="N367" s="380"/>
      <c r="O367" s="380"/>
      <c r="P367" s="380"/>
      <c r="Q367" s="380"/>
      <c r="R367" s="378"/>
      <c r="S367" s="335"/>
      <c r="T367" s="415"/>
    </row>
    <row r="368" spans="2:20" s="336" customFormat="1" x14ac:dyDescent="0.2">
      <c r="C368" s="336" t="s">
        <v>1086</v>
      </c>
      <c r="E368" s="336" t="s">
        <v>10</v>
      </c>
      <c r="F368" s="421">
        <f>'JKP-3.1c - Rev Actual Rates'!F379</f>
        <v>200000</v>
      </c>
      <c r="G368" s="421">
        <f>'JKP-3.1c - Rev Actual Rates'!G379</f>
        <v>200000</v>
      </c>
      <c r="H368" s="421">
        <f>'JKP-3.1c - Rev Actual Rates'!H379</f>
        <v>200000</v>
      </c>
      <c r="I368" s="421">
        <f>'JKP-3.1c - Rev Actual Rates'!I379</f>
        <v>200000</v>
      </c>
      <c r="J368" s="421">
        <f>'JKP-3.1c - Rev Actual Rates'!J379</f>
        <v>200000</v>
      </c>
      <c r="K368" s="421">
        <f>'JKP-3.1c - Rev Actual Rates'!K379</f>
        <v>200000</v>
      </c>
      <c r="L368" s="421">
        <f>'JKP-3.1c - Rev Actual Rates'!L379</f>
        <v>200000</v>
      </c>
      <c r="M368" s="421">
        <f>'JKP-3.1c - Rev Actual Rates'!M379</f>
        <v>200000</v>
      </c>
      <c r="N368" s="421">
        <f>'JKP-3.1c - Rev Actual Rates'!N379</f>
        <v>200000</v>
      </c>
      <c r="O368" s="421">
        <f>'JKP-3.1c - Rev Actual Rates'!O379</f>
        <v>200000</v>
      </c>
      <c r="P368" s="421">
        <f>'JKP-3.1c - Rev Actual Rates'!P379</f>
        <v>200000</v>
      </c>
      <c r="Q368" s="421">
        <f>'JKP-3.1c - Rev Actual Rates'!Q379</f>
        <v>200000</v>
      </c>
      <c r="R368" s="378">
        <f t="shared" ref="R368:R373" si="82">SUM(F368:Q368)</f>
        <v>2400000</v>
      </c>
      <c r="S368" s="335"/>
      <c r="T368" s="415"/>
    </row>
    <row r="369" spans="1:20" s="336" customFormat="1" x14ac:dyDescent="0.2">
      <c r="C369" s="336" t="s">
        <v>1087</v>
      </c>
      <c r="E369" s="336" t="s">
        <v>10</v>
      </c>
      <c r="F369" s="421">
        <f>'JKP-3.1c - Rev Actual Rates'!F380</f>
        <v>200000</v>
      </c>
      <c r="G369" s="421">
        <f>'JKP-3.1c - Rev Actual Rates'!G380</f>
        <v>200000</v>
      </c>
      <c r="H369" s="421">
        <f>'JKP-3.1c - Rev Actual Rates'!H380</f>
        <v>200000</v>
      </c>
      <c r="I369" s="421">
        <f>'JKP-3.1c - Rev Actual Rates'!I380</f>
        <v>200000</v>
      </c>
      <c r="J369" s="421">
        <f>'JKP-3.1c - Rev Actual Rates'!J380</f>
        <v>200000</v>
      </c>
      <c r="K369" s="421">
        <f>'JKP-3.1c - Rev Actual Rates'!K380</f>
        <v>195699</v>
      </c>
      <c r="L369" s="421">
        <f>'JKP-3.1c - Rev Actual Rates'!L380</f>
        <v>186566</v>
      </c>
      <c r="M369" s="421">
        <f>'JKP-3.1c - Rev Actual Rates'!M380</f>
        <v>184560</v>
      </c>
      <c r="N369" s="421">
        <f>'JKP-3.1c - Rev Actual Rates'!N380</f>
        <v>191740</v>
      </c>
      <c r="O369" s="421">
        <f>'JKP-3.1c - Rev Actual Rates'!O380</f>
        <v>200000</v>
      </c>
      <c r="P369" s="421">
        <f>'JKP-3.1c - Rev Actual Rates'!P380</f>
        <v>200000</v>
      </c>
      <c r="Q369" s="421">
        <f>'JKP-3.1c - Rev Actual Rates'!Q380</f>
        <v>200000</v>
      </c>
      <c r="R369" s="378">
        <f t="shared" si="82"/>
        <v>2358565</v>
      </c>
      <c r="S369" s="335"/>
      <c r="T369" s="415"/>
    </row>
    <row r="370" spans="1:20" s="336" customFormat="1" x14ac:dyDescent="0.2">
      <c r="C370" s="336" t="s">
        <v>1090</v>
      </c>
      <c r="E370" s="336" t="s">
        <v>10</v>
      </c>
      <c r="F370" s="421">
        <f>'JKP-3.1c - Rev Actual Rates'!F381</f>
        <v>400000</v>
      </c>
      <c r="G370" s="421">
        <f>'JKP-3.1c - Rev Actual Rates'!G381</f>
        <v>374635</v>
      </c>
      <c r="H370" s="421">
        <f>'JKP-3.1c - Rev Actual Rates'!H381</f>
        <v>392434</v>
      </c>
      <c r="I370" s="421">
        <f>'JKP-3.1c - Rev Actual Rates'!I381</f>
        <v>373808</v>
      </c>
      <c r="J370" s="421">
        <f>'JKP-3.1c - Rev Actual Rates'!J381</f>
        <v>339785</v>
      </c>
      <c r="K370" s="421">
        <f>'JKP-3.1c - Rev Actual Rates'!K381</f>
        <v>310346</v>
      </c>
      <c r="L370" s="421">
        <f>'JKP-3.1c - Rev Actual Rates'!L381</f>
        <v>286477</v>
      </c>
      <c r="M370" s="421">
        <f>'JKP-3.1c - Rev Actual Rates'!M381</f>
        <v>268194</v>
      </c>
      <c r="N370" s="421">
        <f>'JKP-3.1c - Rev Actual Rates'!N381</f>
        <v>291399</v>
      </c>
      <c r="O370" s="421">
        <f>'JKP-3.1c - Rev Actual Rates'!O381</f>
        <v>340058</v>
      </c>
      <c r="P370" s="421">
        <f>'JKP-3.1c - Rev Actual Rates'!P381</f>
        <v>390038</v>
      </c>
      <c r="Q370" s="421">
        <f>'JKP-3.1c - Rev Actual Rates'!Q381</f>
        <v>385191</v>
      </c>
      <c r="R370" s="378">
        <f t="shared" si="82"/>
        <v>4152365</v>
      </c>
      <c r="S370" s="335"/>
      <c r="T370" s="415"/>
    </row>
    <row r="371" spans="1:20" s="336" customFormat="1" x14ac:dyDescent="0.2">
      <c r="C371" s="336" t="s">
        <v>1091</v>
      </c>
      <c r="E371" s="336" t="s">
        <v>10</v>
      </c>
      <c r="F371" s="421">
        <f>'JKP-3.1c - Rev Actual Rates'!F382</f>
        <v>602411</v>
      </c>
      <c r="G371" s="421">
        <f>'JKP-3.1c - Rev Actual Rates'!G382</f>
        <v>518545</v>
      </c>
      <c r="H371" s="421">
        <f>'JKP-3.1c - Rev Actual Rates'!H382</f>
        <v>546752</v>
      </c>
      <c r="I371" s="421">
        <f>'JKP-3.1c - Rev Actual Rates'!I382</f>
        <v>493433</v>
      </c>
      <c r="J371" s="421">
        <f>'JKP-3.1c - Rev Actual Rates'!J382</f>
        <v>443750</v>
      </c>
      <c r="K371" s="421">
        <f>'JKP-3.1c - Rev Actual Rates'!K382</f>
        <v>333966</v>
      </c>
      <c r="L371" s="421">
        <f>'JKP-3.1c - Rev Actual Rates'!L382</f>
        <v>253590</v>
      </c>
      <c r="M371" s="421">
        <f>'JKP-3.1c - Rev Actual Rates'!M382</f>
        <v>224223</v>
      </c>
      <c r="N371" s="421">
        <f>'JKP-3.1c - Rev Actual Rates'!N382</f>
        <v>241817</v>
      </c>
      <c r="O371" s="421">
        <f>'JKP-3.1c - Rev Actual Rates'!O382</f>
        <v>455596</v>
      </c>
      <c r="P371" s="421">
        <f>'JKP-3.1c - Rev Actual Rates'!P382</f>
        <v>566933</v>
      </c>
      <c r="Q371" s="421">
        <f>'JKP-3.1c - Rev Actual Rates'!Q382</f>
        <v>615230</v>
      </c>
      <c r="R371" s="378">
        <f t="shared" si="82"/>
        <v>5296246</v>
      </c>
      <c r="S371" s="335"/>
      <c r="T371" s="415"/>
    </row>
    <row r="372" spans="1:20" s="336" customFormat="1" x14ac:dyDescent="0.2">
      <c r="C372" s="336" t="s">
        <v>1092</v>
      </c>
      <c r="E372" s="336" t="s">
        <v>10</v>
      </c>
      <c r="F372" s="421">
        <f>'JKP-3.1c - Rev Actual Rates'!F383</f>
        <v>492049</v>
      </c>
      <c r="G372" s="421">
        <f>'JKP-3.1c - Rev Actual Rates'!G383</f>
        <v>410145</v>
      </c>
      <c r="H372" s="421">
        <f>'JKP-3.1c - Rev Actual Rates'!H383</f>
        <v>431231</v>
      </c>
      <c r="I372" s="421">
        <f>'JKP-3.1c - Rev Actual Rates'!I383</f>
        <v>374849</v>
      </c>
      <c r="J372" s="421">
        <f>'JKP-3.1c - Rev Actual Rates'!J383</f>
        <v>327086</v>
      </c>
      <c r="K372" s="421">
        <f>'JKP-3.1c - Rev Actual Rates'!K383</f>
        <v>300000</v>
      </c>
      <c r="L372" s="421">
        <f>'JKP-3.1c - Rev Actual Rates'!L383</f>
        <v>300000</v>
      </c>
      <c r="M372" s="421">
        <f>'JKP-3.1c - Rev Actual Rates'!M383</f>
        <v>300000</v>
      </c>
      <c r="N372" s="421">
        <f>'JKP-3.1c - Rev Actual Rates'!N383</f>
        <v>300000</v>
      </c>
      <c r="O372" s="421">
        <f>'JKP-3.1c - Rev Actual Rates'!O383</f>
        <v>310252</v>
      </c>
      <c r="P372" s="421">
        <f>'JKP-3.1c - Rev Actual Rates'!P383</f>
        <v>485655</v>
      </c>
      <c r="Q372" s="421">
        <f>'JKP-3.1c - Rev Actual Rates'!Q383</f>
        <v>573924</v>
      </c>
      <c r="R372" s="378">
        <f t="shared" si="82"/>
        <v>4605191</v>
      </c>
      <c r="S372" s="335"/>
      <c r="T372" s="415"/>
    </row>
    <row r="373" spans="1:20" s="336" customFormat="1" x14ac:dyDescent="0.2">
      <c r="C373" s="336" t="s">
        <v>1093</v>
      </c>
      <c r="E373" s="336" t="s">
        <v>10</v>
      </c>
      <c r="F373" s="421">
        <f>'JKP-3.1c - Rev Actual Rates'!F384</f>
        <v>1097684</v>
      </c>
      <c r="G373" s="421">
        <f>'JKP-3.1c - Rev Actual Rates'!G384</f>
        <v>933206</v>
      </c>
      <c r="H373" s="421">
        <f>'JKP-3.1c - Rev Actual Rates'!H384</f>
        <v>999161</v>
      </c>
      <c r="I373" s="421">
        <f>'JKP-3.1c - Rev Actual Rates'!I384</f>
        <v>837145</v>
      </c>
      <c r="J373" s="421">
        <f>'JKP-3.1c - Rev Actual Rates'!J384</f>
        <v>745732</v>
      </c>
      <c r="K373" s="421">
        <f>'JKP-3.1c - Rev Actual Rates'!K384</f>
        <v>532592</v>
      </c>
      <c r="L373" s="421">
        <f>'JKP-3.1c - Rev Actual Rates'!L384</f>
        <v>338959</v>
      </c>
      <c r="M373" s="421">
        <f>'JKP-3.1c - Rev Actual Rates'!M384</f>
        <v>246873</v>
      </c>
      <c r="N373" s="421">
        <f>'JKP-3.1c - Rev Actual Rates'!N384</f>
        <v>304576</v>
      </c>
      <c r="O373" s="421">
        <f>'JKP-3.1c - Rev Actual Rates'!O384</f>
        <v>636811</v>
      </c>
      <c r="P373" s="421">
        <f>'JKP-3.1c - Rev Actual Rates'!P384</f>
        <v>964890</v>
      </c>
      <c r="Q373" s="421">
        <f>'JKP-3.1c - Rev Actual Rates'!Q384</f>
        <v>1281536</v>
      </c>
      <c r="R373" s="378">
        <f t="shared" si="82"/>
        <v>8919165</v>
      </c>
      <c r="S373" s="335"/>
      <c r="T373" s="415"/>
    </row>
    <row r="374" spans="1:20" s="336" customFormat="1" x14ac:dyDescent="0.2">
      <c r="C374" s="336" t="s">
        <v>1075</v>
      </c>
      <c r="E374" s="336" t="s">
        <v>10</v>
      </c>
      <c r="F374" s="436">
        <f t="shared" ref="F374:N374" si="83">SUM(F368:F373)</f>
        <v>2992144</v>
      </c>
      <c r="G374" s="436">
        <f t="shared" si="83"/>
        <v>2636531</v>
      </c>
      <c r="H374" s="436">
        <f t="shared" si="83"/>
        <v>2769578</v>
      </c>
      <c r="I374" s="436">
        <f t="shared" si="83"/>
        <v>2479235</v>
      </c>
      <c r="J374" s="436">
        <f t="shared" si="83"/>
        <v>2256353</v>
      </c>
      <c r="K374" s="436">
        <f t="shared" si="83"/>
        <v>1872603</v>
      </c>
      <c r="L374" s="436">
        <f t="shared" si="83"/>
        <v>1565592</v>
      </c>
      <c r="M374" s="436">
        <f t="shared" si="83"/>
        <v>1423850</v>
      </c>
      <c r="N374" s="436">
        <f t="shared" si="83"/>
        <v>1529532</v>
      </c>
      <c r="O374" s="436">
        <f>SUM(O368:O373)</f>
        <v>2142717</v>
      </c>
      <c r="P374" s="436">
        <f>SUM(P368:P373)</f>
        <v>2807516</v>
      </c>
      <c r="Q374" s="436">
        <f>SUM(Q368:Q373)</f>
        <v>3255881</v>
      </c>
      <c r="R374" s="436">
        <f>SUM(R368:R373)</f>
        <v>27731532</v>
      </c>
      <c r="S374" s="335"/>
      <c r="T374" s="415"/>
    </row>
    <row r="375" spans="1:20" s="336" customFormat="1" x14ac:dyDescent="0.2">
      <c r="B375" s="336" t="s">
        <v>74</v>
      </c>
      <c r="E375" s="336" t="s">
        <v>1076</v>
      </c>
      <c r="F375" s="421">
        <f>'JKP-3.1c - Rev Actual Rates'!F386</f>
        <v>532</v>
      </c>
      <c r="G375" s="421">
        <f>'JKP-3.1c - Rev Actual Rates'!G386</f>
        <v>532</v>
      </c>
      <c r="H375" s="421">
        <f>'JKP-3.1c - Rev Actual Rates'!H386</f>
        <v>532</v>
      </c>
      <c r="I375" s="421">
        <f>'JKP-3.1c - Rev Actual Rates'!I386</f>
        <v>532</v>
      </c>
      <c r="J375" s="421">
        <f>'JKP-3.1c - Rev Actual Rates'!J386</f>
        <v>532</v>
      </c>
      <c r="K375" s="421">
        <f>'JKP-3.1c - Rev Actual Rates'!K386</f>
        <v>532</v>
      </c>
      <c r="L375" s="421">
        <f>'JKP-3.1c - Rev Actual Rates'!L386</f>
        <v>532</v>
      </c>
      <c r="M375" s="421">
        <f>'JKP-3.1c - Rev Actual Rates'!M386</f>
        <v>532</v>
      </c>
      <c r="N375" s="421">
        <f>'JKP-3.1c - Rev Actual Rates'!N386</f>
        <v>532</v>
      </c>
      <c r="O375" s="421">
        <f>'JKP-3.1c - Rev Actual Rates'!O386</f>
        <v>532</v>
      </c>
      <c r="P375" s="421">
        <f>'JKP-3.1c - Rev Actual Rates'!P386</f>
        <v>532</v>
      </c>
      <c r="Q375" s="421">
        <f>'JKP-3.1c - Rev Actual Rates'!Q386</f>
        <v>532</v>
      </c>
      <c r="R375" s="378">
        <f>SUM(F375:Q375)</f>
        <v>6384</v>
      </c>
      <c r="S375" s="335"/>
      <c r="T375" s="415"/>
    </row>
    <row r="376" spans="1:20" s="336" customFormat="1" x14ac:dyDescent="0.2">
      <c r="B376" s="336" t="s">
        <v>1071</v>
      </c>
      <c r="F376" s="380"/>
      <c r="G376" s="380"/>
      <c r="H376" s="380"/>
      <c r="I376" s="380"/>
      <c r="J376" s="380"/>
      <c r="K376" s="380"/>
      <c r="L376" s="380"/>
      <c r="M376" s="380"/>
      <c r="N376" s="380"/>
      <c r="O376" s="380"/>
      <c r="P376" s="380"/>
      <c r="Q376" s="380"/>
      <c r="R376" s="378"/>
      <c r="S376" s="335"/>
      <c r="T376" s="415"/>
    </row>
    <row r="377" spans="1:20" s="336" customFormat="1" x14ac:dyDescent="0.2">
      <c r="R377" s="179"/>
      <c r="S377" s="335"/>
      <c r="T377" s="415"/>
    </row>
    <row r="378" spans="1:20" s="336" customFormat="1" x14ac:dyDescent="0.2">
      <c r="B378" s="182" t="s">
        <v>985</v>
      </c>
      <c r="R378" s="179"/>
      <c r="S378" s="335"/>
      <c r="T378" s="415"/>
    </row>
    <row r="379" spans="1:20" s="336" customFormat="1" x14ac:dyDescent="0.2">
      <c r="A379" s="336" t="s">
        <v>1054</v>
      </c>
      <c r="B379" s="336" t="s">
        <v>1059</v>
      </c>
      <c r="D379" s="336">
        <v>87</v>
      </c>
      <c r="F379" s="418">
        <f t="shared" ref="F379:N379" si="84">F348*F366</f>
        <v>4359.28</v>
      </c>
      <c r="G379" s="418">
        <f t="shared" si="84"/>
        <v>4359.28</v>
      </c>
      <c r="H379" s="418">
        <f t="shared" si="84"/>
        <v>4359.28</v>
      </c>
      <c r="I379" s="418">
        <f t="shared" si="84"/>
        <v>4359.28</v>
      </c>
      <c r="J379" s="418">
        <f t="shared" si="84"/>
        <v>4359.28</v>
      </c>
      <c r="K379" s="418">
        <f t="shared" si="84"/>
        <v>4359.28</v>
      </c>
      <c r="L379" s="418">
        <f t="shared" si="84"/>
        <v>4359.28</v>
      </c>
      <c r="M379" s="418">
        <f t="shared" si="84"/>
        <v>4359.28</v>
      </c>
      <c r="N379" s="418">
        <f t="shared" si="84"/>
        <v>4359.28</v>
      </c>
      <c r="O379" s="418">
        <f>O348*O366</f>
        <v>4359.28</v>
      </c>
      <c r="P379" s="418">
        <f>P348*P366</f>
        <v>4359.28</v>
      </c>
      <c r="Q379" s="418">
        <f>Q348*Q366</f>
        <v>4359.28</v>
      </c>
      <c r="R379" s="437">
        <f>SUM(F379:Q379)</f>
        <v>52311.359999999993</v>
      </c>
      <c r="S379" s="335"/>
      <c r="T379" s="415"/>
    </row>
    <row r="380" spans="1:20" s="336" customFormat="1" x14ac:dyDescent="0.2">
      <c r="B380" s="336" t="s">
        <v>1047</v>
      </c>
      <c r="F380" s="418"/>
      <c r="G380" s="418"/>
      <c r="H380" s="418"/>
      <c r="I380" s="418"/>
      <c r="J380" s="418"/>
      <c r="K380" s="418"/>
      <c r="L380" s="418"/>
      <c r="M380" s="418"/>
      <c r="N380" s="418"/>
      <c r="O380" s="418"/>
      <c r="P380" s="418"/>
      <c r="Q380" s="418"/>
      <c r="R380" s="437"/>
      <c r="S380" s="335"/>
      <c r="T380" s="415"/>
    </row>
    <row r="381" spans="1:20" s="336" customFormat="1" x14ac:dyDescent="0.2">
      <c r="C381" s="336" t="s">
        <v>1086</v>
      </c>
      <c r="D381" s="336">
        <v>87</v>
      </c>
      <c r="F381" s="418">
        <f t="shared" ref="F381:Q386" si="85">F350*F368</f>
        <v>27630</v>
      </c>
      <c r="G381" s="418">
        <f t="shared" si="85"/>
        <v>27630</v>
      </c>
      <c r="H381" s="418">
        <f t="shared" si="85"/>
        <v>27630</v>
      </c>
      <c r="I381" s="418">
        <f t="shared" si="85"/>
        <v>27630</v>
      </c>
      <c r="J381" s="418">
        <f t="shared" si="85"/>
        <v>27630</v>
      </c>
      <c r="K381" s="418">
        <f t="shared" si="85"/>
        <v>27630</v>
      </c>
      <c r="L381" s="418">
        <f t="shared" si="85"/>
        <v>27630</v>
      </c>
      <c r="M381" s="418">
        <f t="shared" si="85"/>
        <v>27630</v>
      </c>
      <c r="N381" s="418">
        <f t="shared" si="85"/>
        <v>27630</v>
      </c>
      <c r="O381" s="418">
        <f t="shared" si="85"/>
        <v>27630</v>
      </c>
      <c r="P381" s="418">
        <f t="shared" si="85"/>
        <v>27630</v>
      </c>
      <c r="Q381" s="418">
        <f t="shared" si="85"/>
        <v>27630</v>
      </c>
      <c r="R381" s="437">
        <f t="shared" ref="R381:R386" si="86">SUM(F381:Q381)</f>
        <v>331560</v>
      </c>
      <c r="S381" s="335"/>
      <c r="T381" s="415"/>
    </row>
    <row r="382" spans="1:20" s="336" customFormat="1" x14ac:dyDescent="0.2">
      <c r="C382" s="336" t="s">
        <v>1087</v>
      </c>
      <c r="D382" s="336">
        <v>87</v>
      </c>
      <c r="F382" s="418">
        <f t="shared" si="85"/>
        <v>16870</v>
      </c>
      <c r="G382" s="418">
        <f t="shared" si="85"/>
        <v>16870</v>
      </c>
      <c r="H382" s="418">
        <f t="shared" si="85"/>
        <v>16870</v>
      </c>
      <c r="I382" s="418">
        <f t="shared" si="85"/>
        <v>16870</v>
      </c>
      <c r="J382" s="418">
        <f t="shared" si="85"/>
        <v>16870</v>
      </c>
      <c r="K382" s="418">
        <f t="shared" si="85"/>
        <v>16507.210649999997</v>
      </c>
      <c r="L382" s="418">
        <f t="shared" si="85"/>
        <v>15736.8421</v>
      </c>
      <c r="M382" s="418">
        <f t="shared" si="85"/>
        <v>15567.635999999999</v>
      </c>
      <c r="N382" s="418">
        <f t="shared" si="85"/>
        <v>16173.268999999998</v>
      </c>
      <c r="O382" s="418">
        <f t="shared" si="85"/>
        <v>16870</v>
      </c>
      <c r="P382" s="418">
        <f t="shared" si="85"/>
        <v>16870</v>
      </c>
      <c r="Q382" s="418">
        <f t="shared" si="85"/>
        <v>16870</v>
      </c>
      <c r="R382" s="437">
        <f t="shared" si="86"/>
        <v>198944.95774999997</v>
      </c>
      <c r="S382" s="335"/>
      <c r="T382" s="415"/>
    </row>
    <row r="383" spans="1:20" s="336" customFormat="1" x14ac:dyDescent="0.2">
      <c r="C383" s="336" t="s">
        <v>1090</v>
      </c>
      <c r="D383" s="336">
        <v>87</v>
      </c>
      <c r="F383" s="418">
        <f t="shared" si="85"/>
        <v>21784</v>
      </c>
      <c r="G383" s="418">
        <f t="shared" si="85"/>
        <v>20402.622100000001</v>
      </c>
      <c r="H383" s="418">
        <f t="shared" si="85"/>
        <v>21371.95564</v>
      </c>
      <c r="I383" s="418">
        <f t="shared" si="85"/>
        <v>20357.58368</v>
      </c>
      <c r="J383" s="418">
        <f t="shared" si="85"/>
        <v>18504.6911</v>
      </c>
      <c r="K383" s="418">
        <f t="shared" si="85"/>
        <v>16901.443159999999</v>
      </c>
      <c r="L383" s="418">
        <f t="shared" si="85"/>
        <v>15601.537420000001</v>
      </c>
      <c r="M383" s="418">
        <f t="shared" si="85"/>
        <v>14605.845240000001</v>
      </c>
      <c r="N383" s="418">
        <f t="shared" si="85"/>
        <v>15869.589540000001</v>
      </c>
      <c r="O383" s="418">
        <f t="shared" si="85"/>
        <v>18519.558680000002</v>
      </c>
      <c r="P383" s="418">
        <f t="shared" si="85"/>
        <v>21241.46948</v>
      </c>
      <c r="Q383" s="418">
        <f t="shared" si="85"/>
        <v>20977.50186</v>
      </c>
      <c r="R383" s="437">
        <f t="shared" si="86"/>
        <v>226137.79790000001</v>
      </c>
      <c r="S383" s="335"/>
      <c r="T383" s="415"/>
    </row>
    <row r="384" spans="1:20" x14ac:dyDescent="0.2">
      <c r="C384" s="32" t="s">
        <v>1091</v>
      </c>
      <c r="D384" s="32">
        <v>87</v>
      </c>
      <c r="F384" s="364">
        <f t="shared" si="85"/>
        <v>21506.072700000001</v>
      </c>
      <c r="G384" s="364">
        <f t="shared" si="85"/>
        <v>18512.056500000002</v>
      </c>
      <c r="H384" s="364">
        <f t="shared" si="85"/>
        <v>19519.046400000003</v>
      </c>
      <c r="I384" s="364">
        <f t="shared" si="85"/>
        <v>17615.558100000002</v>
      </c>
      <c r="J384" s="364">
        <f t="shared" si="85"/>
        <v>15841.875000000002</v>
      </c>
      <c r="K384" s="364">
        <f t="shared" si="85"/>
        <v>11922.586200000002</v>
      </c>
      <c r="L384" s="364">
        <f t="shared" si="85"/>
        <v>9053.1630000000005</v>
      </c>
      <c r="M384" s="364">
        <f t="shared" si="85"/>
        <v>8004.7611000000006</v>
      </c>
      <c r="N384" s="364">
        <f t="shared" si="85"/>
        <v>8632.8669000000009</v>
      </c>
      <c r="O384" s="364">
        <f t="shared" si="85"/>
        <v>16264.7772</v>
      </c>
      <c r="P384" s="364">
        <f t="shared" si="85"/>
        <v>20239.508100000003</v>
      </c>
      <c r="Q384" s="364">
        <f t="shared" si="85"/>
        <v>21963.711000000003</v>
      </c>
      <c r="R384" s="341">
        <f t="shared" si="86"/>
        <v>189075.98220000006</v>
      </c>
    </row>
    <row r="385" spans="1:20" x14ac:dyDescent="0.2">
      <c r="C385" s="32" t="s">
        <v>1092</v>
      </c>
      <c r="D385" s="32">
        <v>87</v>
      </c>
      <c r="F385" s="364">
        <f t="shared" si="85"/>
        <v>12940.8887</v>
      </c>
      <c r="G385" s="364">
        <f t="shared" si="85"/>
        <v>10786.8135</v>
      </c>
      <c r="H385" s="364">
        <f t="shared" si="85"/>
        <v>11341.3753</v>
      </c>
      <c r="I385" s="364">
        <f t="shared" si="85"/>
        <v>9858.5287000000008</v>
      </c>
      <c r="J385" s="364">
        <f t="shared" si="85"/>
        <v>8602.3618000000006</v>
      </c>
      <c r="K385" s="364">
        <f t="shared" si="85"/>
        <v>7890</v>
      </c>
      <c r="L385" s="364">
        <f t="shared" si="85"/>
        <v>7890</v>
      </c>
      <c r="M385" s="364">
        <f t="shared" si="85"/>
        <v>7890</v>
      </c>
      <c r="N385" s="364">
        <f t="shared" si="85"/>
        <v>7890</v>
      </c>
      <c r="O385" s="364">
        <f t="shared" si="85"/>
        <v>8159.6275999999998</v>
      </c>
      <c r="P385" s="364">
        <f t="shared" si="85"/>
        <v>12772.726500000001</v>
      </c>
      <c r="Q385" s="364">
        <f t="shared" si="85"/>
        <v>15094.2012</v>
      </c>
      <c r="R385" s="341">
        <f t="shared" si="86"/>
        <v>121116.5233</v>
      </c>
    </row>
    <row r="386" spans="1:20" x14ac:dyDescent="0.2">
      <c r="C386" s="32" t="s">
        <v>1093</v>
      </c>
      <c r="D386" s="32">
        <v>87</v>
      </c>
      <c r="F386" s="364">
        <f t="shared" si="85"/>
        <v>22798.896680000002</v>
      </c>
      <c r="G386" s="364">
        <f t="shared" si="85"/>
        <v>19382.688620000001</v>
      </c>
      <c r="H386" s="364">
        <f t="shared" si="85"/>
        <v>20752.573970000001</v>
      </c>
      <c r="I386" s="364">
        <f t="shared" si="85"/>
        <v>17387.501650000002</v>
      </c>
      <c r="J386" s="364">
        <f t="shared" si="85"/>
        <v>15488.853639999999</v>
      </c>
      <c r="K386" s="364">
        <f t="shared" si="85"/>
        <v>11061.93584</v>
      </c>
      <c r="L386" s="364">
        <f t="shared" si="85"/>
        <v>7040.1784299999999</v>
      </c>
      <c r="M386" s="364">
        <f t="shared" si="85"/>
        <v>5127.5522099999998</v>
      </c>
      <c r="N386" s="364">
        <f t="shared" si="85"/>
        <v>6326.0435200000002</v>
      </c>
      <c r="O386" s="364">
        <f t="shared" si="85"/>
        <v>13226.564469999999</v>
      </c>
      <c r="P386" s="364">
        <f t="shared" si="85"/>
        <v>20040.765299999999</v>
      </c>
      <c r="Q386" s="364">
        <f t="shared" si="85"/>
        <v>26617.50272</v>
      </c>
      <c r="R386" s="341">
        <f t="shared" si="86"/>
        <v>185251.05705</v>
      </c>
    </row>
    <row r="387" spans="1:20" x14ac:dyDescent="0.2">
      <c r="A387" s="32" t="s">
        <v>1054</v>
      </c>
      <c r="C387" s="32" t="s">
        <v>1077</v>
      </c>
      <c r="F387" s="365">
        <f t="shared" ref="F387:N387" si="87">SUM(F381:F386)</f>
        <v>123529.85808000001</v>
      </c>
      <c r="G387" s="365">
        <f t="shared" si="87"/>
        <v>113584.18072</v>
      </c>
      <c r="H387" s="365">
        <f t="shared" si="87"/>
        <v>117484.95131</v>
      </c>
      <c r="I387" s="365">
        <f t="shared" si="87"/>
        <v>109719.17213000001</v>
      </c>
      <c r="J387" s="365">
        <f t="shared" si="87"/>
        <v>102937.78154</v>
      </c>
      <c r="K387" s="365">
        <f t="shared" si="87"/>
        <v>91913.17585</v>
      </c>
      <c r="L387" s="365">
        <f t="shared" si="87"/>
        <v>82951.720950000003</v>
      </c>
      <c r="M387" s="365">
        <f t="shared" si="87"/>
        <v>78825.794549999991</v>
      </c>
      <c r="N387" s="365">
        <f t="shared" si="87"/>
        <v>82521.768960000016</v>
      </c>
      <c r="O387" s="365">
        <f>SUM(O381:O386)</f>
        <v>100670.52795</v>
      </c>
      <c r="P387" s="365">
        <f>SUM(P381:P386)</f>
        <v>118794.46938000001</v>
      </c>
      <c r="Q387" s="365">
        <f>SUM(Q381:Q386)</f>
        <v>129152.91678</v>
      </c>
      <c r="R387" s="365">
        <f>SUM(R381:R386)</f>
        <v>1252086.3182000001</v>
      </c>
    </row>
    <row r="388" spans="1:20" x14ac:dyDescent="0.2">
      <c r="A388" s="336" t="s">
        <v>1056</v>
      </c>
      <c r="B388" s="415" t="s">
        <v>1057</v>
      </c>
      <c r="D388" s="32">
        <v>101</v>
      </c>
      <c r="F388" s="364">
        <f t="shared" ref="F388:N388" si="88">F356*F374</f>
        <v>1973348.8894400001</v>
      </c>
      <c r="G388" s="364">
        <f t="shared" si="88"/>
        <v>1738818.55981</v>
      </c>
      <c r="H388" s="364">
        <f t="shared" si="88"/>
        <v>1826564.3867800001</v>
      </c>
      <c r="I388" s="364">
        <f t="shared" si="88"/>
        <v>1635080.2748500002</v>
      </c>
      <c r="J388" s="364">
        <f t="shared" si="88"/>
        <v>1488087.3670300001</v>
      </c>
      <c r="K388" s="364">
        <f t="shared" si="88"/>
        <v>1235000.4045300002</v>
      </c>
      <c r="L388" s="364">
        <f t="shared" si="88"/>
        <v>1032523.57992</v>
      </c>
      <c r="M388" s="364">
        <f t="shared" si="88"/>
        <v>939043.31350000005</v>
      </c>
      <c r="N388" s="364">
        <f t="shared" si="88"/>
        <v>1008741.6493200001</v>
      </c>
      <c r="O388" s="364">
        <f>O356*O374</f>
        <v>1413143.2886700002</v>
      </c>
      <c r="P388" s="364">
        <f>P356*P374</f>
        <v>1851584.8771600001</v>
      </c>
      <c r="Q388" s="364">
        <f>Q356*Q374</f>
        <v>2147286.0783100002</v>
      </c>
      <c r="R388" s="341">
        <f>SUM(F388:Q388)</f>
        <v>18289222.669320002</v>
      </c>
    </row>
    <row r="389" spans="1:20" x14ac:dyDescent="0.2">
      <c r="A389" s="32" t="s">
        <v>1054</v>
      </c>
      <c r="B389" s="32" t="s">
        <v>1096</v>
      </c>
      <c r="D389" s="444">
        <v>87</v>
      </c>
      <c r="F389" s="365">
        <f t="shared" ref="F389:N389" si="89">F357*F374</f>
        <v>15170.17008</v>
      </c>
      <c r="G389" s="365">
        <f t="shared" si="89"/>
        <v>13367.212169999999</v>
      </c>
      <c r="H389" s="365">
        <f t="shared" si="89"/>
        <v>14041.76046</v>
      </c>
      <c r="I389" s="365">
        <f t="shared" si="89"/>
        <v>12569.721449999999</v>
      </c>
      <c r="J389" s="365">
        <f t="shared" si="89"/>
        <v>11439.709709999999</v>
      </c>
      <c r="K389" s="365">
        <f t="shared" si="89"/>
        <v>9494.0972099999999</v>
      </c>
      <c r="L389" s="365">
        <f t="shared" si="89"/>
        <v>7937.5514400000002</v>
      </c>
      <c r="M389" s="365">
        <f t="shared" si="89"/>
        <v>7218.9195</v>
      </c>
      <c r="N389" s="365">
        <f t="shared" si="89"/>
        <v>7754.7272400000002</v>
      </c>
      <c r="O389" s="365">
        <f>O357*O374</f>
        <v>10863.57519</v>
      </c>
      <c r="P389" s="365">
        <f>P357*P374</f>
        <v>14234.10612</v>
      </c>
      <c r="Q389" s="365">
        <f>Q357*Q374</f>
        <v>16507.31667</v>
      </c>
      <c r="R389" s="341">
        <f>SUM(F389:Q389)</f>
        <v>140598.86723999999</v>
      </c>
    </row>
    <row r="390" spans="1:20" x14ac:dyDescent="0.2">
      <c r="B390" s="32" t="s">
        <v>1068</v>
      </c>
      <c r="F390" s="364"/>
      <c r="G390" s="364"/>
      <c r="H390" s="364"/>
      <c r="I390" s="364"/>
      <c r="J390" s="364"/>
      <c r="K390" s="364"/>
      <c r="L390" s="364"/>
      <c r="M390" s="364"/>
      <c r="N390" s="364"/>
      <c r="O390" s="364"/>
      <c r="P390" s="364"/>
      <c r="Q390" s="364"/>
      <c r="R390" s="341"/>
    </row>
    <row r="391" spans="1:20" x14ac:dyDescent="0.2">
      <c r="A391" s="32" t="s">
        <v>1054</v>
      </c>
      <c r="C391" s="32" t="s">
        <v>1069</v>
      </c>
      <c r="D391" s="444">
        <v>87</v>
      </c>
      <c r="F391" s="364">
        <f t="shared" ref="F391:N391" si="90">F359*F375</f>
        <v>590.5200000000001</v>
      </c>
      <c r="G391" s="364">
        <f t="shared" si="90"/>
        <v>590.5200000000001</v>
      </c>
      <c r="H391" s="364">
        <f t="shared" si="90"/>
        <v>590.5200000000001</v>
      </c>
      <c r="I391" s="364">
        <f t="shared" si="90"/>
        <v>590.5200000000001</v>
      </c>
      <c r="J391" s="364">
        <f t="shared" si="90"/>
        <v>590.5200000000001</v>
      </c>
      <c r="K391" s="364">
        <f t="shared" si="90"/>
        <v>590.5200000000001</v>
      </c>
      <c r="L391" s="364">
        <f t="shared" si="90"/>
        <v>590.5200000000001</v>
      </c>
      <c r="M391" s="364">
        <f t="shared" si="90"/>
        <v>590.5200000000001</v>
      </c>
      <c r="N391" s="364">
        <f t="shared" si="90"/>
        <v>590.5200000000001</v>
      </c>
      <c r="O391" s="364">
        <f>O359*O375</f>
        <v>590.5200000000001</v>
      </c>
      <c r="P391" s="364">
        <f>P359*P375</f>
        <v>590.5200000000001</v>
      </c>
      <c r="Q391" s="364">
        <f>Q359*Q375</f>
        <v>590.5200000000001</v>
      </c>
      <c r="R391" s="341">
        <f>SUM(F391:Q391)</f>
        <v>7086.2400000000025</v>
      </c>
    </row>
    <row r="392" spans="1:20" x14ac:dyDescent="0.2">
      <c r="A392" s="336" t="s">
        <v>1056</v>
      </c>
      <c r="C392" s="32" t="s">
        <v>1070</v>
      </c>
      <c r="D392" s="32">
        <v>101</v>
      </c>
      <c r="F392" s="364">
        <f t="shared" ref="F392:N392" si="91">F360*F375</f>
        <v>558.6</v>
      </c>
      <c r="G392" s="364">
        <f t="shared" si="91"/>
        <v>558.6</v>
      </c>
      <c r="H392" s="364">
        <f t="shared" si="91"/>
        <v>558.6</v>
      </c>
      <c r="I392" s="364">
        <f t="shared" si="91"/>
        <v>558.6</v>
      </c>
      <c r="J392" s="364">
        <f t="shared" si="91"/>
        <v>558.6</v>
      </c>
      <c r="K392" s="364">
        <f t="shared" si="91"/>
        <v>558.6</v>
      </c>
      <c r="L392" s="364">
        <f t="shared" si="91"/>
        <v>558.6</v>
      </c>
      <c r="M392" s="364">
        <f t="shared" si="91"/>
        <v>558.6</v>
      </c>
      <c r="N392" s="364">
        <f t="shared" si="91"/>
        <v>558.6</v>
      </c>
      <c r="O392" s="364">
        <f>O360*O375</f>
        <v>558.6</v>
      </c>
      <c r="P392" s="364">
        <f>P360*P375</f>
        <v>558.6</v>
      </c>
      <c r="Q392" s="364">
        <f>Q360*Q375</f>
        <v>558.6</v>
      </c>
      <c r="R392" s="341">
        <f>SUM(F392:Q392)</f>
        <v>6703.2000000000016</v>
      </c>
    </row>
    <row r="393" spans="1:20" s="336" customFormat="1" x14ac:dyDescent="0.2">
      <c r="C393" s="336" t="s">
        <v>1078</v>
      </c>
      <c r="F393" s="339">
        <f t="shared" ref="F393:N393" si="92">SUM(F391:F392)</f>
        <v>1149.1200000000001</v>
      </c>
      <c r="G393" s="339">
        <f t="shared" si="92"/>
        <v>1149.1200000000001</v>
      </c>
      <c r="H393" s="339">
        <f t="shared" si="92"/>
        <v>1149.1200000000001</v>
      </c>
      <c r="I393" s="339">
        <f t="shared" si="92"/>
        <v>1149.1200000000001</v>
      </c>
      <c r="J393" s="339">
        <f t="shared" si="92"/>
        <v>1149.1200000000001</v>
      </c>
      <c r="K393" s="339">
        <f t="shared" si="92"/>
        <v>1149.1200000000001</v>
      </c>
      <c r="L393" s="339">
        <f t="shared" si="92"/>
        <v>1149.1200000000001</v>
      </c>
      <c r="M393" s="339">
        <f t="shared" si="92"/>
        <v>1149.1200000000001</v>
      </c>
      <c r="N393" s="339">
        <f t="shared" si="92"/>
        <v>1149.1200000000001</v>
      </c>
      <c r="O393" s="339">
        <f>SUM(O391:O392)</f>
        <v>1149.1200000000001</v>
      </c>
      <c r="P393" s="339">
        <f>SUM(P391:P392)</f>
        <v>1149.1200000000001</v>
      </c>
      <c r="Q393" s="339">
        <f>SUM(Q391:Q392)</f>
        <v>1149.1200000000001</v>
      </c>
      <c r="R393" s="339">
        <f>SUM(R391:R392)</f>
        <v>13789.440000000004</v>
      </c>
      <c r="S393" s="335"/>
      <c r="T393" s="415"/>
    </row>
    <row r="394" spans="1:20" s="336" customFormat="1" x14ac:dyDescent="0.2">
      <c r="A394" s="336" t="s">
        <v>1054</v>
      </c>
      <c r="B394" s="336" t="s">
        <v>1071</v>
      </c>
      <c r="D394" s="382">
        <v>87</v>
      </c>
      <c r="F394" s="447">
        <f>'JKP-3.1c - Rev Actual Rates'!F405</f>
        <v>0</v>
      </c>
      <c r="G394" s="447">
        <f>'JKP-3.1c - Rev Actual Rates'!G405</f>
        <v>0</v>
      </c>
      <c r="H394" s="447">
        <f>'JKP-3.1c - Rev Actual Rates'!H405</f>
        <v>0</v>
      </c>
      <c r="I394" s="447">
        <f>'JKP-3.1c - Rev Actual Rates'!I405</f>
        <v>0</v>
      </c>
      <c r="J394" s="447">
        <f>'JKP-3.1c - Rev Actual Rates'!J405</f>
        <v>0</v>
      </c>
      <c r="K394" s="447">
        <f>'JKP-3.1c - Rev Actual Rates'!K405</f>
        <v>0</v>
      </c>
      <c r="L394" s="447">
        <f>'JKP-3.1c - Rev Actual Rates'!L405</f>
        <v>0</v>
      </c>
      <c r="M394" s="447">
        <f>'JKP-3.1c - Rev Actual Rates'!M405</f>
        <v>0</v>
      </c>
      <c r="N394" s="447">
        <f>'JKP-3.1c - Rev Actual Rates'!N405</f>
        <v>0</v>
      </c>
      <c r="O394" s="447">
        <f>'JKP-3.1c - Rev Actual Rates'!O405</f>
        <v>12706.11</v>
      </c>
      <c r="P394" s="447">
        <f>'JKP-3.1c - Rev Actual Rates'!P405</f>
        <v>0</v>
      </c>
      <c r="Q394" s="447">
        <f>'JKP-3.1c - Rev Actual Rates'!Q405</f>
        <v>0</v>
      </c>
      <c r="R394" s="437">
        <f>SUM(F394:Q394)</f>
        <v>12706.11</v>
      </c>
      <c r="S394" s="335"/>
      <c r="T394" s="415"/>
    </row>
    <row r="395" spans="1:20" s="336" customFormat="1" x14ac:dyDescent="0.2">
      <c r="B395" s="336" t="s">
        <v>1079</v>
      </c>
      <c r="F395" s="339">
        <f t="shared" ref="F395:N395" si="93">F388+F392</f>
        <v>1973907.4894400002</v>
      </c>
      <c r="G395" s="339">
        <f t="shared" si="93"/>
        <v>1739377.1598100001</v>
      </c>
      <c r="H395" s="339">
        <f t="shared" si="93"/>
        <v>1827122.9867800002</v>
      </c>
      <c r="I395" s="339">
        <f t="shared" si="93"/>
        <v>1635638.8748500003</v>
      </c>
      <c r="J395" s="339">
        <f t="shared" si="93"/>
        <v>1488645.9670300002</v>
      </c>
      <c r="K395" s="339">
        <f t="shared" si="93"/>
        <v>1235559.0045300003</v>
      </c>
      <c r="L395" s="339">
        <f t="shared" si="93"/>
        <v>1033082.17992</v>
      </c>
      <c r="M395" s="339">
        <f t="shared" si="93"/>
        <v>939601.91350000002</v>
      </c>
      <c r="N395" s="339">
        <f t="shared" si="93"/>
        <v>1009300.2493200001</v>
      </c>
      <c r="O395" s="339">
        <f>O388+O392</f>
        <v>1413701.8886700002</v>
      </c>
      <c r="P395" s="339">
        <f>P388+P392</f>
        <v>1852143.4771600002</v>
      </c>
      <c r="Q395" s="339">
        <f>Q388+Q392</f>
        <v>2147844.6783100003</v>
      </c>
      <c r="R395" s="339">
        <f>R388+R392</f>
        <v>18295925.869320001</v>
      </c>
      <c r="S395" s="335"/>
      <c r="T395" s="415"/>
    </row>
    <row r="396" spans="1:20" s="336" customFormat="1" x14ac:dyDescent="0.2">
      <c r="B396" s="336" t="s">
        <v>986</v>
      </c>
      <c r="F396" s="339">
        <f t="shared" ref="F396:N396" si="94">F379+F387+F388+F389+F393+F394</f>
        <v>2117557.3176000002</v>
      </c>
      <c r="G396" s="339">
        <f t="shared" si="94"/>
        <v>1871278.3527000002</v>
      </c>
      <c r="H396" s="339">
        <f t="shared" si="94"/>
        <v>1963599.4985500001</v>
      </c>
      <c r="I396" s="339">
        <f t="shared" si="94"/>
        <v>1762877.5684300005</v>
      </c>
      <c r="J396" s="339">
        <f t="shared" si="94"/>
        <v>1607973.2582800002</v>
      </c>
      <c r="K396" s="339">
        <f t="shared" si="94"/>
        <v>1341916.0775900004</v>
      </c>
      <c r="L396" s="339">
        <f t="shared" si="94"/>
        <v>1128921.2523100001</v>
      </c>
      <c r="M396" s="339">
        <f t="shared" si="94"/>
        <v>1030596.42755</v>
      </c>
      <c r="N396" s="339">
        <f t="shared" si="94"/>
        <v>1104526.5455200002</v>
      </c>
      <c r="O396" s="339">
        <f>O379+O387+O388+O389+O393+O394</f>
        <v>1542891.9018100004</v>
      </c>
      <c r="P396" s="339">
        <f>P379+P387+P388+P389+P393+P394</f>
        <v>1990121.8526600001</v>
      </c>
      <c r="Q396" s="339">
        <f>Q379+Q387+Q388+Q389+Q393+Q394</f>
        <v>2298454.7117600003</v>
      </c>
      <c r="R396" s="339">
        <f>R379+R387+R388+R389+R393+R394</f>
        <v>19760714.764760002</v>
      </c>
      <c r="S396" s="335"/>
      <c r="T396" s="340"/>
    </row>
    <row r="397" spans="1:20" x14ac:dyDescent="0.2">
      <c r="F397" s="364"/>
      <c r="G397" s="364"/>
      <c r="H397" s="364"/>
      <c r="I397" s="364"/>
      <c r="J397" s="364"/>
      <c r="K397" s="364"/>
      <c r="L397" s="364"/>
      <c r="M397" s="364"/>
      <c r="N397" s="364"/>
      <c r="O397" s="364"/>
      <c r="P397" s="364"/>
      <c r="Q397" s="364"/>
      <c r="R397" s="364"/>
      <c r="T397" s="415"/>
    </row>
    <row r="398" spans="1:20" x14ac:dyDescent="0.2">
      <c r="A398" s="32" t="s">
        <v>1058</v>
      </c>
      <c r="B398" s="32" t="s">
        <v>1050</v>
      </c>
      <c r="F398" s="364">
        <f>F362*F374+F375*F363</f>
        <v>1888544.9425600001</v>
      </c>
      <c r="G398" s="364">
        <f t="shared" ref="G398:Q398" si="95">G362*G374+G375*G363</f>
        <v>1664156.6956900002</v>
      </c>
      <c r="H398" s="364">
        <f t="shared" si="95"/>
        <v>1748108.0222200002</v>
      </c>
      <c r="I398" s="364">
        <f t="shared" si="95"/>
        <v>1564904.4926500001</v>
      </c>
      <c r="J398" s="364">
        <f t="shared" si="95"/>
        <v>1424268.1794700001</v>
      </c>
      <c r="K398" s="364">
        <f t="shared" si="95"/>
        <v>1182125.76697</v>
      </c>
      <c r="L398" s="364">
        <f t="shared" si="95"/>
        <v>988404.89608000009</v>
      </c>
      <c r="M398" s="364">
        <f t="shared" si="95"/>
        <v>898967.11150000012</v>
      </c>
      <c r="N398" s="364">
        <f t="shared" si="95"/>
        <v>965651.39668000012</v>
      </c>
      <c r="O398" s="364">
        <f t="shared" si="95"/>
        <v>1352564.9998300001</v>
      </c>
      <c r="P398" s="364">
        <f t="shared" si="95"/>
        <v>1772046.5208400001</v>
      </c>
      <c r="Q398" s="364">
        <f t="shared" si="95"/>
        <v>2054960.3521900002</v>
      </c>
      <c r="R398" s="364">
        <f>SUM(F398:Q398)</f>
        <v>17504703.376680002</v>
      </c>
      <c r="T398" s="415"/>
    </row>
    <row r="399" spans="1:20" x14ac:dyDescent="0.2">
      <c r="F399" s="364"/>
      <c r="G399" s="364"/>
      <c r="H399" s="364"/>
      <c r="I399" s="364"/>
      <c r="J399" s="364"/>
      <c r="K399" s="364"/>
      <c r="L399" s="364"/>
      <c r="M399" s="364"/>
      <c r="N399" s="364"/>
      <c r="O399" s="364"/>
      <c r="P399" s="364"/>
      <c r="Q399" s="364"/>
      <c r="R399" s="364"/>
      <c r="T399" s="415"/>
    </row>
    <row r="400" spans="1:20" x14ac:dyDescent="0.2">
      <c r="B400" s="276" t="s">
        <v>970</v>
      </c>
      <c r="C400" s="276"/>
    </row>
    <row r="401" spans="1:20" x14ac:dyDescent="0.2">
      <c r="B401" s="276" t="s">
        <v>5</v>
      </c>
      <c r="C401" s="276"/>
    </row>
    <row r="402" spans="1:20" x14ac:dyDescent="0.2">
      <c r="B402" s="32" t="s">
        <v>1059</v>
      </c>
      <c r="D402" s="32">
        <v>31</v>
      </c>
      <c r="E402" s="32" t="s">
        <v>976</v>
      </c>
      <c r="F402" s="413">
        <f t="shared" ref="F402:Q405" si="96">F74</f>
        <v>30.8</v>
      </c>
      <c r="G402" s="413">
        <f t="shared" si="96"/>
        <v>30.8</v>
      </c>
      <c r="H402" s="413">
        <f t="shared" si="96"/>
        <v>30.8</v>
      </c>
      <c r="I402" s="413">
        <f t="shared" si="96"/>
        <v>30.8</v>
      </c>
      <c r="J402" s="413">
        <f t="shared" si="96"/>
        <v>30.8</v>
      </c>
      <c r="K402" s="413">
        <f t="shared" si="96"/>
        <v>30.8</v>
      </c>
      <c r="L402" s="413">
        <f t="shared" si="96"/>
        <v>30.8</v>
      </c>
      <c r="M402" s="413">
        <f t="shared" si="96"/>
        <v>30.8</v>
      </c>
      <c r="N402" s="413">
        <f t="shared" si="96"/>
        <v>30.8</v>
      </c>
      <c r="O402" s="413">
        <f t="shared" si="96"/>
        <v>30.8</v>
      </c>
      <c r="P402" s="413">
        <f t="shared" si="96"/>
        <v>30.8</v>
      </c>
      <c r="Q402" s="413">
        <f t="shared" si="96"/>
        <v>30.8</v>
      </c>
      <c r="R402" s="439"/>
    </row>
    <row r="403" spans="1:20" x14ac:dyDescent="0.2">
      <c r="B403" s="32" t="s">
        <v>1047</v>
      </c>
      <c r="D403" s="32">
        <v>31</v>
      </c>
      <c r="E403" s="32" t="s">
        <v>957</v>
      </c>
      <c r="F403" s="393">
        <f t="shared" si="96"/>
        <v>0.30047000000000001</v>
      </c>
      <c r="G403" s="393">
        <f t="shared" si="96"/>
        <v>0.30047000000000001</v>
      </c>
      <c r="H403" s="393">
        <f t="shared" si="96"/>
        <v>0.30047000000000001</v>
      </c>
      <c r="I403" s="393">
        <f t="shared" si="96"/>
        <v>0.30047000000000001</v>
      </c>
      <c r="J403" s="393">
        <f t="shared" si="96"/>
        <v>0.30047000000000001</v>
      </c>
      <c r="K403" s="393">
        <f t="shared" si="96"/>
        <v>0.30047000000000001</v>
      </c>
      <c r="L403" s="393">
        <f t="shared" si="96"/>
        <v>0.30047000000000001</v>
      </c>
      <c r="M403" s="393">
        <f t="shared" si="96"/>
        <v>0.30047000000000001</v>
      </c>
      <c r="N403" s="393">
        <f t="shared" si="96"/>
        <v>0.30047000000000001</v>
      </c>
      <c r="O403" s="393">
        <f t="shared" si="96"/>
        <v>0.30047000000000001</v>
      </c>
      <c r="P403" s="393">
        <f t="shared" si="96"/>
        <v>0.30047000000000001</v>
      </c>
      <c r="Q403" s="393">
        <f t="shared" si="96"/>
        <v>0.30047000000000001</v>
      </c>
      <c r="R403" s="394"/>
    </row>
    <row r="404" spans="1:20" x14ac:dyDescent="0.2">
      <c r="B404" s="415" t="s">
        <v>1067</v>
      </c>
      <c r="D404" s="32">
        <v>101</v>
      </c>
      <c r="E404" s="32" t="s">
        <v>957</v>
      </c>
      <c r="F404" s="453">
        <f t="shared" si="96"/>
        <v>0.71392999999999995</v>
      </c>
      <c r="G404" s="453">
        <f t="shared" si="96"/>
        <v>0.71392999999999995</v>
      </c>
      <c r="H404" s="453">
        <f t="shared" si="96"/>
        <v>0.71392999999999995</v>
      </c>
      <c r="I404" s="453">
        <f t="shared" si="96"/>
        <v>0.71392999999999995</v>
      </c>
      <c r="J404" s="453">
        <f t="shared" si="96"/>
        <v>0.71392999999999995</v>
      </c>
      <c r="K404" s="453">
        <f t="shared" si="96"/>
        <v>0.71392999999999995</v>
      </c>
      <c r="L404" s="453">
        <f t="shared" si="96"/>
        <v>0.71392999999999995</v>
      </c>
      <c r="M404" s="453">
        <f t="shared" si="96"/>
        <v>0.71392999999999995</v>
      </c>
      <c r="N404" s="453">
        <f t="shared" si="96"/>
        <v>0.71392999999999995</v>
      </c>
      <c r="O404" s="453">
        <f t="shared" si="96"/>
        <v>0.71392999999999995</v>
      </c>
      <c r="P404" s="453">
        <f t="shared" si="96"/>
        <v>0.71392999999999995</v>
      </c>
      <c r="Q404" s="453">
        <f t="shared" si="96"/>
        <v>0.71392999999999995</v>
      </c>
      <c r="R404" s="394"/>
    </row>
    <row r="405" spans="1:20" x14ac:dyDescent="0.2">
      <c r="B405" s="415" t="s">
        <v>1050</v>
      </c>
      <c r="F405" s="453">
        <f>F77</f>
        <v>0.68306</v>
      </c>
      <c r="G405" s="453">
        <f t="shared" si="96"/>
        <v>0.68306</v>
      </c>
      <c r="H405" s="453">
        <f t="shared" si="96"/>
        <v>0.68306</v>
      </c>
      <c r="I405" s="453">
        <f t="shared" si="96"/>
        <v>0.68306</v>
      </c>
      <c r="J405" s="453">
        <f t="shared" si="96"/>
        <v>0.68306</v>
      </c>
      <c r="K405" s="453">
        <f t="shared" si="96"/>
        <v>0.68306</v>
      </c>
      <c r="L405" s="453">
        <f t="shared" si="96"/>
        <v>0.68306</v>
      </c>
      <c r="M405" s="453">
        <f t="shared" si="96"/>
        <v>0.68306</v>
      </c>
      <c r="N405" s="453">
        <f t="shared" si="96"/>
        <v>0.68306</v>
      </c>
      <c r="O405" s="453">
        <f t="shared" si="96"/>
        <v>0.68306</v>
      </c>
      <c r="P405" s="453">
        <f t="shared" si="96"/>
        <v>0.68306</v>
      </c>
      <c r="Q405" s="453">
        <f t="shared" si="96"/>
        <v>0.68306</v>
      </c>
      <c r="R405" s="394"/>
    </row>
    <row r="406" spans="1:20" x14ac:dyDescent="0.2">
      <c r="F406" s="393"/>
      <c r="G406" s="393"/>
      <c r="H406" s="393"/>
      <c r="I406" s="393"/>
      <c r="J406" s="393"/>
      <c r="K406" s="393"/>
      <c r="L406" s="393"/>
      <c r="M406" s="393"/>
      <c r="N406" s="393"/>
      <c r="O406" s="393"/>
      <c r="P406" s="393"/>
      <c r="Q406" s="393"/>
    </row>
    <row r="407" spans="1:20" x14ac:dyDescent="0.2">
      <c r="B407" s="276" t="s">
        <v>982</v>
      </c>
    </row>
    <row r="408" spans="1:20" x14ac:dyDescent="0.2">
      <c r="B408" s="32" t="s">
        <v>67</v>
      </c>
      <c r="E408" s="32" t="s">
        <v>67</v>
      </c>
      <c r="F408" s="397">
        <f>'JKP-3.1c - Data'!C140</f>
        <v>2456</v>
      </c>
      <c r="G408" s="397">
        <f>'JKP-3.1c - Data'!D140</f>
        <v>2452</v>
      </c>
      <c r="H408" s="397">
        <f>'JKP-3.1c - Data'!E140</f>
        <v>2438</v>
      </c>
      <c r="I408" s="397">
        <f>'JKP-3.1c - Data'!F140</f>
        <v>2426.02</v>
      </c>
      <c r="J408" s="397">
        <f>'JKP-3.1c - Data'!G140</f>
        <v>2428</v>
      </c>
      <c r="K408" s="397">
        <f>'JKP-3.1c - Data'!H140</f>
        <v>2444</v>
      </c>
      <c r="L408" s="397">
        <f>'JKP-3.1c - Data'!I140</f>
        <v>2423</v>
      </c>
      <c r="M408" s="397">
        <f>'JKP-3.1c - Data'!J140</f>
        <v>2413</v>
      </c>
      <c r="N408" s="397">
        <f>'JKP-3.1c - Data'!K140</f>
        <v>2412</v>
      </c>
      <c r="O408" s="397">
        <f>'JKP-3.1c - Data'!L140</f>
        <v>2421</v>
      </c>
      <c r="P408" s="397">
        <f>'JKP-3.1c - Data'!M140</f>
        <v>2419</v>
      </c>
      <c r="Q408" s="397">
        <f>'JKP-3.1c - Data'!N140</f>
        <v>2423</v>
      </c>
      <c r="R408" s="378">
        <f>SUM(F408:Q408)</f>
        <v>29155.02</v>
      </c>
    </row>
    <row r="409" spans="1:20" x14ac:dyDescent="0.2">
      <c r="B409" s="32" t="s">
        <v>76</v>
      </c>
      <c r="E409" s="32" t="s">
        <v>10</v>
      </c>
      <c r="F409" s="397">
        <f>'JKP-3.1c - Rev Actual Rates'!F420</f>
        <v>1862880</v>
      </c>
      <c r="G409" s="397">
        <f>'JKP-3.1c - Rev Actual Rates'!G420</f>
        <v>1530899</v>
      </c>
      <c r="H409" s="397">
        <f>'JKP-3.1c - Rev Actual Rates'!H420</f>
        <v>1488929</v>
      </c>
      <c r="I409" s="397">
        <f>'JKP-3.1c - Rev Actual Rates'!I420</f>
        <v>1169710</v>
      </c>
      <c r="J409" s="397">
        <f>'JKP-3.1c - Rev Actual Rates'!J420</f>
        <v>831580</v>
      </c>
      <c r="K409" s="397">
        <f>'JKP-3.1c - Rev Actual Rates'!K420</f>
        <v>572733</v>
      </c>
      <c r="L409" s="397">
        <f>'JKP-3.1c - Rev Actual Rates'!L420</f>
        <v>457633</v>
      </c>
      <c r="M409" s="397">
        <f>'JKP-3.1c - Rev Actual Rates'!M420</f>
        <v>450461</v>
      </c>
      <c r="N409" s="397">
        <f>'JKP-3.1c - Rev Actual Rates'!N420</f>
        <v>516301</v>
      </c>
      <c r="O409" s="397">
        <f>'JKP-3.1c - Rev Actual Rates'!O420</f>
        <v>875671</v>
      </c>
      <c r="P409" s="397">
        <f>'JKP-3.1c - Rev Actual Rates'!P420</f>
        <v>1570654</v>
      </c>
      <c r="Q409" s="397">
        <f>'JKP-3.1c - Rev Actual Rates'!Q420</f>
        <v>2065921</v>
      </c>
      <c r="R409" s="378">
        <f>SUM(F409:Q409)</f>
        <v>13393372</v>
      </c>
    </row>
    <row r="410" spans="1:20" x14ac:dyDescent="0.2">
      <c r="R410" s="277"/>
    </row>
    <row r="411" spans="1:20" x14ac:dyDescent="0.2">
      <c r="B411" s="276" t="s">
        <v>985</v>
      </c>
      <c r="R411" s="277"/>
    </row>
    <row r="412" spans="1:20" x14ac:dyDescent="0.2">
      <c r="A412" s="32" t="s">
        <v>1054</v>
      </c>
      <c r="B412" s="32" t="s">
        <v>1059</v>
      </c>
      <c r="D412" s="32">
        <v>31</v>
      </c>
      <c r="F412" s="364">
        <f t="shared" ref="F412:Q413" si="97">F402*F408</f>
        <v>75644.800000000003</v>
      </c>
      <c r="G412" s="364">
        <f t="shared" si="97"/>
        <v>75521.600000000006</v>
      </c>
      <c r="H412" s="364">
        <f t="shared" si="97"/>
        <v>75090.400000000009</v>
      </c>
      <c r="I412" s="364">
        <f t="shared" si="97"/>
        <v>74721.415999999997</v>
      </c>
      <c r="J412" s="364">
        <f t="shared" si="97"/>
        <v>74782.400000000009</v>
      </c>
      <c r="K412" s="364">
        <f t="shared" si="97"/>
        <v>75275.199999999997</v>
      </c>
      <c r="L412" s="364">
        <f t="shared" si="97"/>
        <v>74628.400000000009</v>
      </c>
      <c r="M412" s="364">
        <f t="shared" si="97"/>
        <v>74320.400000000009</v>
      </c>
      <c r="N412" s="364">
        <f t="shared" si="97"/>
        <v>74289.600000000006</v>
      </c>
      <c r="O412" s="364">
        <f t="shared" si="97"/>
        <v>74566.8</v>
      </c>
      <c r="P412" s="364">
        <f t="shared" si="97"/>
        <v>74505.2</v>
      </c>
      <c r="Q412" s="364">
        <f t="shared" si="97"/>
        <v>74628.400000000009</v>
      </c>
      <c r="R412" s="341">
        <f>SUM(F412:Q412)</f>
        <v>897974.61600000004</v>
      </c>
    </row>
    <row r="413" spans="1:20" x14ac:dyDescent="0.2">
      <c r="A413" s="32" t="s">
        <v>1054</v>
      </c>
      <c r="B413" s="32" t="s">
        <v>1047</v>
      </c>
      <c r="D413" s="32">
        <v>31</v>
      </c>
      <c r="F413" s="364">
        <f t="shared" si="97"/>
        <v>559739.55359999998</v>
      </c>
      <c r="G413" s="364">
        <f t="shared" si="97"/>
        <v>459989.22253000003</v>
      </c>
      <c r="H413" s="364">
        <f t="shared" si="97"/>
        <v>447378.49663000001</v>
      </c>
      <c r="I413" s="364">
        <f t="shared" si="97"/>
        <v>351462.76370000001</v>
      </c>
      <c r="J413" s="364">
        <f t="shared" si="97"/>
        <v>249864.8426</v>
      </c>
      <c r="K413" s="364">
        <f t="shared" si="97"/>
        <v>172089.08451000002</v>
      </c>
      <c r="L413" s="364">
        <f t="shared" si="97"/>
        <v>137504.98751000001</v>
      </c>
      <c r="M413" s="364">
        <f t="shared" si="97"/>
        <v>135350.01667000001</v>
      </c>
      <c r="N413" s="364">
        <f t="shared" si="97"/>
        <v>155132.96147000001</v>
      </c>
      <c r="O413" s="364">
        <f t="shared" si="97"/>
        <v>263112.86537000001</v>
      </c>
      <c r="P413" s="364">
        <f t="shared" si="97"/>
        <v>471934.40738000005</v>
      </c>
      <c r="Q413" s="364">
        <f t="shared" si="97"/>
        <v>620747.28287</v>
      </c>
      <c r="R413" s="341">
        <f>SUM(F413:Q413)</f>
        <v>4024306.48484</v>
      </c>
    </row>
    <row r="414" spans="1:20" x14ac:dyDescent="0.2">
      <c r="A414" s="336" t="s">
        <v>1056</v>
      </c>
      <c r="B414" s="415" t="s">
        <v>1057</v>
      </c>
      <c r="D414" s="32">
        <v>101</v>
      </c>
      <c r="F414" s="364">
        <f t="shared" ref="F414:N414" si="98">F404*F409</f>
        <v>1329965.9183999998</v>
      </c>
      <c r="G414" s="364">
        <f t="shared" si="98"/>
        <v>1092954.7230699998</v>
      </c>
      <c r="H414" s="364">
        <f t="shared" si="98"/>
        <v>1062991.08097</v>
      </c>
      <c r="I414" s="364">
        <f t="shared" si="98"/>
        <v>835091.0602999999</v>
      </c>
      <c r="J414" s="364">
        <f t="shared" si="98"/>
        <v>593689.9094</v>
      </c>
      <c r="K414" s="364">
        <f t="shared" si="98"/>
        <v>408891.27068999998</v>
      </c>
      <c r="L414" s="364">
        <f t="shared" si="98"/>
        <v>326717.92768999998</v>
      </c>
      <c r="M414" s="364">
        <f t="shared" si="98"/>
        <v>321597.62172999996</v>
      </c>
      <c r="N414" s="364">
        <f t="shared" si="98"/>
        <v>368602.77292999998</v>
      </c>
      <c r="O414" s="364">
        <f>O404*O409</f>
        <v>625167.79703000002</v>
      </c>
      <c r="P414" s="364">
        <f>P404*P409</f>
        <v>1121337.0102199998</v>
      </c>
      <c r="Q414" s="364">
        <f>Q404*Q409</f>
        <v>1474922.9795299999</v>
      </c>
      <c r="R414" s="341">
        <f>SUM(F414:Q414)</f>
        <v>9561930.0719599985</v>
      </c>
    </row>
    <row r="415" spans="1:20" x14ac:dyDescent="0.2">
      <c r="B415" s="32" t="s">
        <v>986</v>
      </c>
      <c r="F415" s="365">
        <f t="shared" ref="F415:N415" si="99">F412+F413+F414</f>
        <v>1965350.2719999999</v>
      </c>
      <c r="G415" s="365">
        <f t="shared" si="99"/>
        <v>1628465.5455999998</v>
      </c>
      <c r="H415" s="365">
        <f t="shared" si="99"/>
        <v>1585459.9776000001</v>
      </c>
      <c r="I415" s="365">
        <f t="shared" si="99"/>
        <v>1261275.2399999998</v>
      </c>
      <c r="J415" s="365">
        <f t="shared" si="99"/>
        <v>918337.152</v>
      </c>
      <c r="K415" s="365">
        <f t="shared" si="99"/>
        <v>656255.55520000006</v>
      </c>
      <c r="L415" s="365">
        <f t="shared" si="99"/>
        <v>538851.31520000007</v>
      </c>
      <c r="M415" s="365">
        <f t="shared" si="99"/>
        <v>531268.03839999996</v>
      </c>
      <c r="N415" s="365">
        <f t="shared" si="99"/>
        <v>598025.33440000005</v>
      </c>
      <c r="O415" s="365">
        <f>O412+O413+O414</f>
        <v>962847.46240000008</v>
      </c>
      <c r="P415" s="365">
        <f>P412+P413+P414</f>
        <v>1667776.6176</v>
      </c>
      <c r="Q415" s="365">
        <f>Q412+Q413+Q414</f>
        <v>2170298.6623999998</v>
      </c>
      <c r="R415" s="365">
        <f>R412+R413+R414</f>
        <v>14484211.172799999</v>
      </c>
      <c r="T415" s="340"/>
    </row>
    <row r="416" spans="1:20" x14ac:dyDescent="0.2">
      <c r="F416" s="417"/>
      <c r="G416" s="417"/>
      <c r="H416" s="417"/>
      <c r="I416" s="417"/>
      <c r="J416" s="417"/>
      <c r="K416" s="417"/>
      <c r="L416" s="417"/>
      <c r="M416" s="417"/>
      <c r="N416" s="417"/>
      <c r="O416" s="417"/>
      <c r="P416" s="417"/>
      <c r="Q416" s="417"/>
      <c r="R416" s="417"/>
      <c r="T416" s="340"/>
    </row>
    <row r="417" spans="1:20" x14ac:dyDescent="0.2">
      <c r="A417" s="32" t="s">
        <v>1058</v>
      </c>
      <c r="B417" s="32" t="s">
        <v>1050</v>
      </c>
      <c r="F417" s="417">
        <f>F405*F409</f>
        <v>1272458.8128</v>
      </c>
      <c r="G417" s="417">
        <f t="shared" ref="G417:Q417" si="100">G405*G409</f>
        <v>1045695.8709400001</v>
      </c>
      <c r="H417" s="417">
        <f t="shared" si="100"/>
        <v>1017027.84274</v>
      </c>
      <c r="I417" s="417">
        <f t="shared" si="100"/>
        <v>798982.11259999999</v>
      </c>
      <c r="J417" s="417">
        <f t="shared" si="100"/>
        <v>568019.03480000002</v>
      </c>
      <c r="K417" s="417">
        <f t="shared" si="100"/>
        <v>391211.00297999999</v>
      </c>
      <c r="L417" s="417">
        <f t="shared" si="100"/>
        <v>312590.79697999998</v>
      </c>
      <c r="M417" s="417">
        <f t="shared" si="100"/>
        <v>307691.89065999998</v>
      </c>
      <c r="N417" s="417">
        <f t="shared" si="100"/>
        <v>352664.56105999998</v>
      </c>
      <c r="O417" s="417">
        <f t="shared" si="100"/>
        <v>598135.83325999998</v>
      </c>
      <c r="P417" s="417">
        <f t="shared" si="100"/>
        <v>1072850.9212400001</v>
      </c>
      <c r="Q417" s="417">
        <f t="shared" si="100"/>
        <v>1411147.99826</v>
      </c>
      <c r="R417" s="417">
        <f>SUM(F417:Q417)</f>
        <v>9148476.6783200018</v>
      </c>
      <c r="T417" s="340"/>
    </row>
    <row r="418" spans="1:20" x14ac:dyDescent="0.2">
      <c r="F418" s="364"/>
      <c r="G418" s="364"/>
      <c r="H418" s="364"/>
      <c r="I418" s="364"/>
      <c r="J418" s="364"/>
      <c r="K418" s="364"/>
      <c r="L418" s="364"/>
      <c r="M418" s="364"/>
      <c r="N418" s="364"/>
      <c r="O418" s="364"/>
      <c r="P418" s="364"/>
      <c r="Q418" s="364"/>
      <c r="R418" s="341"/>
      <c r="T418" s="415"/>
    </row>
    <row r="419" spans="1:20" x14ac:dyDescent="0.2">
      <c r="B419" s="276" t="s">
        <v>1101</v>
      </c>
      <c r="C419" s="276"/>
    </row>
    <row r="420" spans="1:20" x14ac:dyDescent="0.2">
      <c r="B420" s="276" t="s">
        <v>5</v>
      </c>
      <c r="C420" s="276"/>
    </row>
    <row r="421" spans="1:20" x14ac:dyDescent="0.2">
      <c r="B421" s="32" t="s">
        <v>1059</v>
      </c>
      <c r="D421" s="32">
        <v>41</v>
      </c>
      <c r="E421" s="32" t="s">
        <v>976</v>
      </c>
      <c r="F421" s="413">
        <f t="shared" ref="F421:N421" si="101">F93</f>
        <v>107.51</v>
      </c>
      <c r="G421" s="413">
        <f t="shared" si="101"/>
        <v>107.51</v>
      </c>
      <c r="H421" s="413">
        <f t="shared" si="101"/>
        <v>107.51</v>
      </c>
      <c r="I421" s="413">
        <f t="shared" si="101"/>
        <v>107.51</v>
      </c>
      <c r="J421" s="413">
        <f t="shared" si="101"/>
        <v>107.51</v>
      </c>
      <c r="K421" s="413">
        <f t="shared" si="101"/>
        <v>107.51</v>
      </c>
      <c r="L421" s="413">
        <f t="shared" si="101"/>
        <v>107.51</v>
      </c>
      <c r="M421" s="413">
        <f t="shared" si="101"/>
        <v>107.51</v>
      </c>
      <c r="N421" s="413">
        <f t="shared" si="101"/>
        <v>107.51</v>
      </c>
      <c r="O421" s="413">
        <f>O93</f>
        <v>107.51</v>
      </c>
      <c r="P421" s="413">
        <f>P93</f>
        <v>107.51</v>
      </c>
      <c r="Q421" s="413">
        <f>Q93</f>
        <v>107.51</v>
      </c>
      <c r="R421" s="439"/>
    </row>
    <row r="422" spans="1:20" x14ac:dyDescent="0.2">
      <c r="B422" s="32" t="s">
        <v>1047</v>
      </c>
      <c r="F422" s="393"/>
      <c r="G422" s="393"/>
      <c r="H422" s="393"/>
      <c r="I422" s="393"/>
      <c r="J422" s="393"/>
      <c r="K422" s="393"/>
      <c r="L422" s="393"/>
      <c r="M422" s="393"/>
      <c r="N422" s="393"/>
      <c r="O422" s="393"/>
      <c r="P422" s="393"/>
      <c r="Q422" s="393"/>
      <c r="R422" s="394"/>
    </row>
    <row r="423" spans="1:20" x14ac:dyDescent="0.2">
      <c r="C423" s="32" t="s">
        <v>1065</v>
      </c>
      <c r="D423" s="32">
        <v>41</v>
      </c>
      <c r="E423" s="32" t="s">
        <v>957</v>
      </c>
      <c r="F423" s="393">
        <f t="shared" ref="F423:Q425" si="102">F95</f>
        <v>0.13789000000000001</v>
      </c>
      <c r="G423" s="393">
        <f t="shared" si="102"/>
        <v>0.13789000000000001</v>
      </c>
      <c r="H423" s="393">
        <f t="shared" si="102"/>
        <v>0.13789000000000001</v>
      </c>
      <c r="I423" s="393">
        <f t="shared" si="102"/>
        <v>0.13789000000000001</v>
      </c>
      <c r="J423" s="393">
        <f t="shared" si="102"/>
        <v>0.13789000000000001</v>
      </c>
      <c r="K423" s="393">
        <f t="shared" si="102"/>
        <v>0.13789000000000001</v>
      </c>
      <c r="L423" s="393">
        <f t="shared" si="102"/>
        <v>0.13789000000000001</v>
      </c>
      <c r="M423" s="393">
        <f t="shared" si="102"/>
        <v>0.13789000000000001</v>
      </c>
      <c r="N423" s="393">
        <f t="shared" si="102"/>
        <v>0.13789000000000001</v>
      </c>
      <c r="O423" s="393">
        <f t="shared" si="102"/>
        <v>0.13789000000000001</v>
      </c>
      <c r="P423" s="393">
        <f t="shared" si="102"/>
        <v>0.13789000000000001</v>
      </c>
      <c r="Q423" s="393">
        <f t="shared" si="102"/>
        <v>0.13789000000000001</v>
      </c>
      <c r="R423" s="394"/>
    </row>
    <row r="424" spans="1:20" x14ac:dyDescent="0.2">
      <c r="C424" s="32" t="s">
        <v>1066</v>
      </c>
      <c r="D424" s="32">
        <v>41</v>
      </c>
      <c r="E424" s="32" t="s">
        <v>957</v>
      </c>
      <c r="F424" s="393">
        <f t="shared" si="102"/>
        <v>0.11253000000000001</v>
      </c>
      <c r="G424" s="393">
        <f t="shared" si="102"/>
        <v>0.11253000000000001</v>
      </c>
      <c r="H424" s="393">
        <f t="shared" si="102"/>
        <v>0.11253000000000001</v>
      </c>
      <c r="I424" s="393">
        <f t="shared" si="102"/>
        <v>0.11253000000000001</v>
      </c>
      <c r="J424" s="393">
        <f t="shared" si="102"/>
        <v>0.11253000000000001</v>
      </c>
      <c r="K424" s="393">
        <f t="shared" si="102"/>
        <v>0.11253000000000001</v>
      </c>
      <c r="L424" s="393">
        <f t="shared" si="102"/>
        <v>0.11253000000000001</v>
      </c>
      <c r="M424" s="393">
        <f t="shared" si="102"/>
        <v>0.11253000000000001</v>
      </c>
      <c r="N424" s="393">
        <f t="shared" si="102"/>
        <v>0.11253000000000001</v>
      </c>
      <c r="O424" s="393">
        <f t="shared" si="102"/>
        <v>0.11253000000000001</v>
      </c>
      <c r="P424" s="393">
        <f t="shared" si="102"/>
        <v>0.11253000000000001</v>
      </c>
      <c r="Q424" s="393">
        <f t="shared" si="102"/>
        <v>0.11253000000000001</v>
      </c>
      <c r="R424" s="394"/>
    </row>
    <row r="425" spans="1:20" x14ac:dyDescent="0.2">
      <c r="B425" s="415" t="s">
        <v>1067</v>
      </c>
      <c r="D425" s="32">
        <v>101</v>
      </c>
      <c r="E425" s="32" t="s">
        <v>957</v>
      </c>
      <c r="F425" s="453">
        <f t="shared" si="102"/>
        <v>0.62878000000000001</v>
      </c>
      <c r="G425" s="453">
        <f t="shared" si="102"/>
        <v>0.62878000000000001</v>
      </c>
      <c r="H425" s="453">
        <f t="shared" si="102"/>
        <v>0.62878000000000001</v>
      </c>
      <c r="I425" s="453">
        <f t="shared" si="102"/>
        <v>0.62878000000000001</v>
      </c>
      <c r="J425" s="453">
        <f t="shared" si="102"/>
        <v>0.62878000000000001</v>
      </c>
      <c r="K425" s="453">
        <f t="shared" si="102"/>
        <v>0.62878000000000001</v>
      </c>
      <c r="L425" s="453">
        <f t="shared" si="102"/>
        <v>0.62878000000000001</v>
      </c>
      <c r="M425" s="453">
        <f t="shared" si="102"/>
        <v>0.62878000000000001</v>
      </c>
      <c r="N425" s="453">
        <f t="shared" si="102"/>
        <v>0.62878000000000001</v>
      </c>
      <c r="O425" s="453">
        <f t="shared" si="102"/>
        <v>0.62878000000000001</v>
      </c>
      <c r="P425" s="453">
        <f t="shared" si="102"/>
        <v>0.62878000000000001</v>
      </c>
      <c r="Q425" s="453">
        <f t="shared" si="102"/>
        <v>0.62878000000000001</v>
      </c>
      <c r="R425" s="394"/>
    </row>
    <row r="426" spans="1:20" x14ac:dyDescent="0.2">
      <c r="B426" s="32" t="s">
        <v>1068</v>
      </c>
      <c r="F426" s="394"/>
      <c r="G426" s="394"/>
      <c r="H426" s="394"/>
      <c r="I426" s="394"/>
      <c r="J426" s="394"/>
      <c r="K426" s="394"/>
      <c r="L426" s="394"/>
      <c r="M426" s="394"/>
      <c r="N426" s="394"/>
      <c r="O426" s="394"/>
      <c r="P426" s="394"/>
      <c r="Q426" s="394"/>
      <c r="R426" s="394"/>
    </row>
    <row r="427" spans="1:20" x14ac:dyDescent="0.2">
      <c r="C427" s="32" t="s">
        <v>1069</v>
      </c>
      <c r="D427" s="32">
        <v>41</v>
      </c>
      <c r="E427" s="32" t="s">
        <v>957</v>
      </c>
      <c r="F427" s="454">
        <f t="shared" ref="F427:Q431" si="103">F99</f>
        <v>1.1100000000000001</v>
      </c>
      <c r="G427" s="454">
        <f t="shared" si="103"/>
        <v>1.1100000000000001</v>
      </c>
      <c r="H427" s="454">
        <f t="shared" si="103"/>
        <v>1.1100000000000001</v>
      </c>
      <c r="I427" s="454">
        <f t="shared" si="103"/>
        <v>1.1100000000000001</v>
      </c>
      <c r="J427" s="454">
        <f t="shared" si="103"/>
        <v>1.1100000000000001</v>
      </c>
      <c r="K427" s="454">
        <f t="shared" si="103"/>
        <v>1.1100000000000001</v>
      </c>
      <c r="L427" s="454">
        <f t="shared" si="103"/>
        <v>1.1100000000000001</v>
      </c>
      <c r="M427" s="454">
        <f t="shared" si="103"/>
        <v>1.1100000000000001</v>
      </c>
      <c r="N427" s="454">
        <f t="shared" si="103"/>
        <v>1.1100000000000001</v>
      </c>
      <c r="O427" s="454">
        <f t="shared" si="103"/>
        <v>1.1100000000000001</v>
      </c>
      <c r="P427" s="454">
        <f t="shared" si="103"/>
        <v>1.1100000000000001</v>
      </c>
      <c r="Q427" s="454">
        <f t="shared" si="103"/>
        <v>1.1100000000000001</v>
      </c>
      <c r="R427" s="394"/>
    </row>
    <row r="428" spans="1:20" x14ac:dyDescent="0.2">
      <c r="C428" s="32" t="s">
        <v>1070</v>
      </c>
      <c r="D428" s="32">
        <v>101</v>
      </c>
      <c r="E428" s="32" t="s">
        <v>957</v>
      </c>
      <c r="F428" s="454">
        <f t="shared" si="103"/>
        <v>1.05</v>
      </c>
      <c r="G428" s="454">
        <f t="shared" si="103"/>
        <v>1.05</v>
      </c>
      <c r="H428" s="454">
        <f t="shared" si="103"/>
        <v>1.05</v>
      </c>
      <c r="I428" s="454">
        <f t="shared" si="103"/>
        <v>1.05</v>
      </c>
      <c r="J428" s="454">
        <f t="shared" si="103"/>
        <v>1.05</v>
      </c>
      <c r="K428" s="454">
        <f t="shared" si="103"/>
        <v>1.05</v>
      </c>
      <c r="L428" s="454">
        <f t="shared" si="103"/>
        <v>1.05</v>
      </c>
      <c r="M428" s="454">
        <f t="shared" si="103"/>
        <v>1.05</v>
      </c>
      <c r="N428" s="454">
        <f t="shared" si="103"/>
        <v>1.05</v>
      </c>
      <c r="O428" s="454">
        <f t="shared" si="103"/>
        <v>1.05</v>
      </c>
      <c r="P428" s="454">
        <f t="shared" si="103"/>
        <v>1.05</v>
      </c>
      <c r="Q428" s="454">
        <f t="shared" si="103"/>
        <v>1.05</v>
      </c>
      <c r="R428" s="394"/>
    </row>
    <row r="429" spans="1:20" x14ac:dyDescent="0.2">
      <c r="B429" s="32" t="s">
        <v>1071</v>
      </c>
      <c r="D429" s="32">
        <v>41</v>
      </c>
      <c r="E429" s="32" t="s">
        <v>67</v>
      </c>
      <c r="F429" s="413">
        <f t="shared" si="103"/>
        <v>124.1</v>
      </c>
      <c r="G429" s="413">
        <f t="shared" si="103"/>
        <v>124.1</v>
      </c>
      <c r="H429" s="413">
        <f t="shared" si="103"/>
        <v>124.1</v>
      </c>
      <c r="I429" s="413">
        <f t="shared" si="103"/>
        <v>124.1</v>
      </c>
      <c r="J429" s="413">
        <f t="shared" si="103"/>
        <v>124.1</v>
      </c>
      <c r="K429" s="413">
        <f t="shared" si="103"/>
        <v>124.1</v>
      </c>
      <c r="L429" s="413">
        <f t="shared" si="103"/>
        <v>124.1</v>
      </c>
      <c r="M429" s="413">
        <f t="shared" si="103"/>
        <v>124.1</v>
      </c>
      <c r="N429" s="413">
        <f t="shared" si="103"/>
        <v>124.1</v>
      </c>
      <c r="O429" s="413">
        <f t="shared" si="103"/>
        <v>124.1</v>
      </c>
      <c r="P429" s="413">
        <f t="shared" si="103"/>
        <v>124.1</v>
      </c>
      <c r="Q429" s="413">
        <f t="shared" si="103"/>
        <v>124.1</v>
      </c>
      <c r="R429" s="394"/>
    </row>
    <row r="430" spans="1:20" x14ac:dyDescent="0.2">
      <c r="B430" s="32" t="s">
        <v>1050</v>
      </c>
      <c r="F430" s="393">
        <f>F102</f>
        <v>0.60158999999999996</v>
      </c>
      <c r="G430" s="393">
        <f t="shared" si="103"/>
        <v>0.60158999999999996</v>
      </c>
      <c r="H430" s="393">
        <f t="shared" si="103"/>
        <v>0.60158999999999996</v>
      </c>
      <c r="I430" s="393">
        <f t="shared" si="103"/>
        <v>0.60158999999999996</v>
      </c>
      <c r="J430" s="393">
        <f t="shared" si="103"/>
        <v>0.60158999999999996</v>
      </c>
      <c r="K430" s="393">
        <f t="shared" si="103"/>
        <v>0.60158999999999996</v>
      </c>
      <c r="L430" s="393">
        <f t="shared" si="103"/>
        <v>0.60158999999999996</v>
      </c>
      <c r="M430" s="393">
        <f t="shared" si="103"/>
        <v>0.60158999999999996</v>
      </c>
      <c r="N430" s="393">
        <f t="shared" si="103"/>
        <v>0.60158999999999996</v>
      </c>
      <c r="O430" s="393">
        <f t="shared" si="103"/>
        <v>0.60158999999999996</v>
      </c>
      <c r="P430" s="393">
        <f t="shared" si="103"/>
        <v>0.60158999999999996</v>
      </c>
      <c r="Q430" s="393">
        <f t="shared" si="103"/>
        <v>0.60158999999999996</v>
      </c>
      <c r="R430" s="394"/>
    </row>
    <row r="431" spans="1:20" x14ac:dyDescent="0.2">
      <c r="B431" s="32" t="s">
        <v>1072</v>
      </c>
      <c r="F431" s="502">
        <f>F103</f>
        <v>1</v>
      </c>
      <c r="G431" s="502">
        <f t="shared" si="103"/>
        <v>1</v>
      </c>
      <c r="H431" s="502">
        <f t="shared" si="103"/>
        <v>1</v>
      </c>
      <c r="I431" s="502">
        <f t="shared" si="103"/>
        <v>1</v>
      </c>
      <c r="J431" s="502">
        <f t="shared" si="103"/>
        <v>1</v>
      </c>
      <c r="K431" s="502">
        <f t="shared" si="103"/>
        <v>1</v>
      </c>
      <c r="L431" s="502">
        <f t="shared" si="103"/>
        <v>1</v>
      </c>
      <c r="M431" s="502">
        <f t="shared" si="103"/>
        <v>1</v>
      </c>
      <c r="N431" s="502">
        <f t="shared" si="103"/>
        <v>1</v>
      </c>
      <c r="O431" s="502">
        <f t="shared" si="103"/>
        <v>1</v>
      </c>
      <c r="P431" s="502">
        <f t="shared" si="103"/>
        <v>1</v>
      </c>
      <c r="Q431" s="502">
        <f t="shared" si="103"/>
        <v>1</v>
      </c>
      <c r="R431" s="394"/>
    </row>
    <row r="433" spans="1:20" x14ac:dyDescent="0.2">
      <c r="B433" s="276" t="s">
        <v>982</v>
      </c>
    </row>
    <row r="434" spans="1:20" x14ac:dyDescent="0.2">
      <c r="B434" s="32" t="s">
        <v>67</v>
      </c>
      <c r="E434" s="32" t="s">
        <v>67</v>
      </c>
      <c r="F434" s="397">
        <f>'JKP-3.1c - Data'!C142</f>
        <v>113</v>
      </c>
      <c r="G434" s="397">
        <f>'JKP-3.1c - Data'!D142</f>
        <v>114</v>
      </c>
      <c r="H434" s="397">
        <f>'JKP-3.1c - Data'!E142</f>
        <v>115</v>
      </c>
      <c r="I434" s="397">
        <f>'JKP-3.1c - Data'!F142</f>
        <v>115.00999999999999</v>
      </c>
      <c r="J434" s="397">
        <f>'JKP-3.1c - Data'!G142</f>
        <v>116</v>
      </c>
      <c r="K434" s="397">
        <f>'JKP-3.1c - Data'!H142</f>
        <v>117</v>
      </c>
      <c r="L434" s="397">
        <f>'JKP-3.1c - Data'!I142</f>
        <v>116</v>
      </c>
      <c r="M434" s="397">
        <f>'JKP-3.1c - Data'!J142</f>
        <v>114</v>
      </c>
      <c r="N434" s="397">
        <f>'JKP-3.1c - Data'!K142</f>
        <v>117</v>
      </c>
      <c r="O434" s="397">
        <f>'JKP-3.1c - Data'!L142</f>
        <v>115</v>
      </c>
      <c r="P434" s="397">
        <f>'JKP-3.1c - Data'!M142</f>
        <v>114</v>
      </c>
      <c r="Q434" s="397">
        <f>'JKP-3.1c - Data'!N142</f>
        <v>113</v>
      </c>
      <c r="R434" s="378">
        <f>SUM(F434:Q434)</f>
        <v>1379.01</v>
      </c>
    </row>
    <row r="435" spans="1:20" s="336" customFormat="1" x14ac:dyDescent="0.2">
      <c r="B435" s="336" t="s">
        <v>76</v>
      </c>
      <c r="F435" s="380"/>
      <c r="G435" s="380"/>
      <c r="H435" s="380"/>
      <c r="I435" s="380"/>
      <c r="J435" s="380"/>
      <c r="K435" s="380"/>
      <c r="L435" s="380"/>
      <c r="M435" s="380"/>
      <c r="N435" s="380"/>
      <c r="O435" s="380"/>
      <c r="P435" s="380"/>
      <c r="Q435" s="380"/>
      <c r="R435" s="378"/>
      <c r="S435" s="335"/>
      <c r="T435" s="415"/>
    </row>
    <row r="436" spans="1:20" s="336" customFormat="1" x14ac:dyDescent="0.2">
      <c r="C436" s="32" t="s">
        <v>1073</v>
      </c>
      <c r="E436" s="336" t="s">
        <v>10</v>
      </c>
      <c r="F436" s="421">
        <f>'JKP-3.1c - Rev Actual Rates'!F447</f>
        <v>96708</v>
      </c>
      <c r="G436" s="421">
        <f>'JKP-3.1c - Rev Actual Rates'!G447</f>
        <v>98814</v>
      </c>
      <c r="H436" s="421">
        <f>'JKP-3.1c - Rev Actual Rates'!H447</f>
        <v>100546</v>
      </c>
      <c r="I436" s="421">
        <f>'JKP-3.1c - Rev Actual Rates'!I447</f>
        <v>98365</v>
      </c>
      <c r="J436" s="421">
        <f>'JKP-3.1c - Rev Actual Rates'!J447</f>
        <v>99273</v>
      </c>
      <c r="K436" s="421">
        <f>'JKP-3.1c - Rev Actual Rates'!K447</f>
        <v>98975</v>
      </c>
      <c r="L436" s="421">
        <f>'JKP-3.1c - Rev Actual Rates'!L447</f>
        <v>96263</v>
      </c>
      <c r="M436" s="421">
        <f>'JKP-3.1c - Rev Actual Rates'!M447</f>
        <v>96802</v>
      </c>
      <c r="N436" s="421">
        <f>'JKP-3.1c - Rev Actual Rates'!N447</f>
        <v>96749</v>
      </c>
      <c r="O436" s="421">
        <f>'JKP-3.1c - Rev Actual Rates'!O447</f>
        <v>97341</v>
      </c>
      <c r="P436" s="421">
        <f>'JKP-3.1c - Rev Actual Rates'!P447</f>
        <v>96782</v>
      </c>
      <c r="Q436" s="421">
        <f>'JKP-3.1c - Rev Actual Rates'!Q447</f>
        <v>94311</v>
      </c>
      <c r="R436" s="378">
        <f>SUM(F436:Q436)</f>
        <v>1170929</v>
      </c>
      <c r="S436" s="335"/>
      <c r="T436" s="415"/>
    </row>
    <row r="437" spans="1:20" s="336" customFormat="1" x14ac:dyDescent="0.2">
      <c r="C437" s="32" t="s">
        <v>1074</v>
      </c>
      <c r="E437" s="336" t="s">
        <v>10</v>
      </c>
      <c r="F437" s="421">
        <f>'JKP-3.1c - Rev Actual Rates'!F448</f>
        <v>352054</v>
      </c>
      <c r="G437" s="421">
        <f>'JKP-3.1c - Rev Actual Rates'!G448</f>
        <v>345475</v>
      </c>
      <c r="H437" s="421">
        <f>'JKP-3.1c - Rev Actual Rates'!H448</f>
        <v>367064</v>
      </c>
      <c r="I437" s="421">
        <f>'JKP-3.1c - Rev Actual Rates'!I448</f>
        <v>353189</v>
      </c>
      <c r="J437" s="421">
        <f>'JKP-3.1c - Rev Actual Rates'!J448</f>
        <v>348836</v>
      </c>
      <c r="K437" s="421">
        <f>'JKP-3.1c - Rev Actual Rates'!K448</f>
        <v>334634</v>
      </c>
      <c r="L437" s="421">
        <f>'JKP-3.1c - Rev Actual Rates'!L448</f>
        <v>327120</v>
      </c>
      <c r="M437" s="421">
        <f>'JKP-3.1c - Rev Actual Rates'!M448</f>
        <v>325670</v>
      </c>
      <c r="N437" s="421">
        <f>'JKP-3.1c - Rev Actual Rates'!N448</f>
        <v>325112</v>
      </c>
      <c r="O437" s="421">
        <f>'JKP-3.1c - Rev Actual Rates'!O448</f>
        <v>349000</v>
      </c>
      <c r="P437" s="421">
        <f>'JKP-3.1c - Rev Actual Rates'!P448</f>
        <v>353036</v>
      </c>
      <c r="Q437" s="421">
        <f>'JKP-3.1c - Rev Actual Rates'!Q448</f>
        <v>349916</v>
      </c>
      <c r="R437" s="378">
        <f>SUM(F437:Q437)</f>
        <v>4131106</v>
      </c>
      <c r="S437" s="335"/>
      <c r="T437" s="415"/>
    </row>
    <row r="438" spans="1:20" s="336" customFormat="1" x14ac:dyDescent="0.2">
      <c r="C438" s="32" t="s">
        <v>1066</v>
      </c>
      <c r="E438" s="336" t="s">
        <v>10</v>
      </c>
      <c r="F438" s="421">
        <f>'JKP-3.1c - Rev Actual Rates'!F449</f>
        <v>876339</v>
      </c>
      <c r="G438" s="421">
        <f>'JKP-3.1c - Rev Actual Rates'!G449</f>
        <v>780629</v>
      </c>
      <c r="H438" s="421">
        <f>'JKP-3.1c - Rev Actual Rates'!H449</f>
        <v>932816</v>
      </c>
      <c r="I438" s="421">
        <f>'JKP-3.1c - Rev Actual Rates'!I449</f>
        <v>895181</v>
      </c>
      <c r="J438" s="421">
        <f>'JKP-3.1c - Rev Actual Rates'!J449</f>
        <v>892014</v>
      </c>
      <c r="K438" s="421">
        <f>'JKP-3.1c - Rev Actual Rates'!K449</f>
        <v>765060</v>
      </c>
      <c r="L438" s="421">
        <f>'JKP-3.1c - Rev Actual Rates'!L449</f>
        <v>743455</v>
      </c>
      <c r="M438" s="421">
        <f>'JKP-3.1c - Rev Actual Rates'!M449</f>
        <v>795102</v>
      </c>
      <c r="N438" s="421">
        <f>'JKP-3.1c - Rev Actual Rates'!N449</f>
        <v>775672</v>
      </c>
      <c r="O438" s="421">
        <f>'JKP-3.1c - Rev Actual Rates'!O449</f>
        <v>893813</v>
      </c>
      <c r="P438" s="421">
        <f>'JKP-3.1c - Rev Actual Rates'!P449</f>
        <v>937058</v>
      </c>
      <c r="Q438" s="421">
        <f>'JKP-3.1c - Rev Actual Rates'!Q449</f>
        <v>940057</v>
      </c>
      <c r="R438" s="378">
        <f>SUM(F438:Q438)</f>
        <v>10227196</v>
      </c>
      <c r="S438" s="335"/>
      <c r="T438" s="415"/>
    </row>
    <row r="439" spans="1:20" s="336" customFormat="1" x14ac:dyDescent="0.2">
      <c r="C439" s="336" t="s">
        <v>1075</v>
      </c>
      <c r="E439" s="336" t="s">
        <v>10</v>
      </c>
      <c r="F439" s="436">
        <f t="shared" ref="F439:N439" si="104">SUM(F436:F438)</f>
        <v>1325101</v>
      </c>
      <c r="G439" s="436">
        <f t="shared" si="104"/>
        <v>1224918</v>
      </c>
      <c r="H439" s="436">
        <f t="shared" si="104"/>
        <v>1400426</v>
      </c>
      <c r="I439" s="436">
        <f t="shared" si="104"/>
        <v>1346735</v>
      </c>
      <c r="J439" s="436">
        <f t="shared" si="104"/>
        <v>1340123</v>
      </c>
      <c r="K439" s="436">
        <f t="shared" si="104"/>
        <v>1198669</v>
      </c>
      <c r="L439" s="436">
        <f t="shared" si="104"/>
        <v>1166838</v>
      </c>
      <c r="M439" s="436">
        <f t="shared" si="104"/>
        <v>1217574</v>
      </c>
      <c r="N439" s="436">
        <f t="shared" si="104"/>
        <v>1197533</v>
      </c>
      <c r="O439" s="436">
        <f>SUM(O436:O438)</f>
        <v>1340154</v>
      </c>
      <c r="P439" s="436">
        <f>SUM(P436:P438)</f>
        <v>1386876</v>
      </c>
      <c r="Q439" s="436">
        <f>SUM(Q436:Q438)</f>
        <v>1384284</v>
      </c>
      <c r="R439" s="436">
        <f>SUM(R436:R438)</f>
        <v>15529231</v>
      </c>
      <c r="S439" s="335"/>
      <c r="T439" s="415"/>
    </row>
    <row r="440" spans="1:20" s="336" customFormat="1" x14ac:dyDescent="0.2">
      <c r="B440" s="336" t="s">
        <v>74</v>
      </c>
      <c r="E440" s="336" t="s">
        <v>1076</v>
      </c>
      <c r="F440" s="421">
        <f>'JKP-3.1c - Rev Actual Rates'!F451</f>
        <v>57110.51</v>
      </c>
      <c r="G440" s="421">
        <f>'JKP-3.1c - Rev Actual Rates'!G451</f>
        <v>57496.51</v>
      </c>
      <c r="H440" s="421">
        <f>'JKP-3.1c - Rev Actual Rates'!H451</f>
        <v>58536.51</v>
      </c>
      <c r="I440" s="421">
        <f>'JKP-3.1c - Rev Actual Rates'!I451</f>
        <v>58147.519999999997</v>
      </c>
      <c r="J440" s="421">
        <f>'JKP-3.1c - Rev Actual Rates'!J451</f>
        <v>58460.499999999993</v>
      </c>
      <c r="K440" s="421">
        <f>'JKP-3.1c - Rev Actual Rates'!K451</f>
        <v>58908.51</v>
      </c>
      <c r="L440" s="421">
        <f>'JKP-3.1c - Rev Actual Rates'!L451</f>
        <v>57873</v>
      </c>
      <c r="M440" s="421">
        <f>'JKP-3.1c - Rev Actual Rates'!M451</f>
        <v>57441</v>
      </c>
      <c r="N440" s="421">
        <f>'JKP-3.1c - Rev Actual Rates'!N451</f>
        <v>57931</v>
      </c>
      <c r="O440" s="421">
        <f>'JKP-3.1c - Rev Actual Rates'!O451</f>
        <v>57777</v>
      </c>
      <c r="P440" s="421">
        <f>'JKP-3.1c - Rev Actual Rates'!P451</f>
        <v>57723</v>
      </c>
      <c r="Q440" s="421">
        <f>'JKP-3.1c - Rev Actual Rates'!Q451</f>
        <v>57689</v>
      </c>
      <c r="R440" s="378">
        <f>SUM(F440:Q440)</f>
        <v>695094.06</v>
      </c>
      <c r="S440" s="335"/>
      <c r="T440" s="415"/>
    </row>
    <row r="441" spans="1:20" s="336" customFormat="1" x14ac:dyDescent="0.2">
      <c r="B441" s="336" t="s">
        <v>1071</v>
      </c>
      <c r="E441" s="336" t="s">
        <v>67</v>
      </c>
      <c r="F441" s="380"/>
      <c r="G441" s="380"/>
      <c r="H441" s="380"/>
      <c r="I441" s="380"/>
      <c r="J441" s="380"/>
      <c r="K441" s="380"/>
      <c r="L441" s="380"/>
      <c r="M441" s="380"/>
      <c r="N441" s="380"/>
      <c r="O441" s="380"/>
      <c r="P441" s="380"/>
      <c r="Q441" s="380"/>
      <c r="R441" s="378"/>
      <c r="S441" s="335"/>
      <c r="T441" s="415"/>
    </row>
    <row r="442" spans="1:20" s="336" customFormat="1" x14ac:dyDescent="0.2">
      <c r="F442" s="362"/>
      <c r="G442" s="362"/>
      <c r="H442" s="362"/>
      <c r="I442" s="362"/>
      <c r="J442" s="362"/>
      <c r="K442" s="362"/>
      <c r="L442" s="362"/>
      <c r="M442" s="362"/>
      <c r="N442" s="362"/>
      <c r="O442" s="362"/>
      <c r="P442" s="362"/>
      <c r="Q442" s="362"/>
      <c r="R442" s="362"/>
      <c r="S442" s="335"/>
      <c r="T442" s="415"/>
    </row>
    <row r="443" spans="1:20" s="336" customFormat="1" x14ac:dyDescent="0.2">
      <c r="B443" s="182" t="s">
        <v>985</v>
      </c>
      <c r="R443" s="179"/>
      <c r="S443" s="335"/>
      <c r="T443" s="415"/>
    </row>
    <row r="444" spans="1:20" s="336" customFormat="1" x14ac:dyDescent="0.2">
      <c r="A444" s="336" t="s">
        <v>1054</v>
      </c>
      <c r="B444" s="336" t="s">
        <v>1059</v>
      </c>
      <c r="D444" s="336">
        <v>41</v>
      </c>
      <c r="F444" s="418">
        <f t="shared" ref="F444:N444" si="105">F421*F434</f>
        <v>12148.630000000001</v>
      </c>
      <c r="G444" s="418">
        <f t="shared" si="105"/>
        <v>12256.140000000001</v>
      </c>
      <c r="H444" s="418">
        <f t="shared" si="105"/>
        <v>12363.650000000001</v>
      </c>
      <c r="I444" s="418">
        <f t="shared" si="105"/>
        <v>12364.7251</v>
      </c>
      <c r="J444" s="418">
        <f t="shared" si="105"/>
        <v>12471.16</v>
      </c>
      <c r="K444" s="418">
        <f t="shared" si="105"/>
        <v>12578.67</v>
      </c>
      <c r="L444" s="418">
        <f t="shared" si="105"/>
        <v>12471.16</v>
      </c>
      <c r="M444" s="418">
        <f t="shared" si="105"/>
        <v>12256.140000000001</v>
      </c>
      <c r="N444" s="418">
        <f t="shared" si="105"/>
        <v>12578.67</v>
      </c>
      <c r="O444" s="418">
        <f>O421*O434</f>
        <v>12363.650000000001</v>
      </c>
      <c r="P444" s="418">
        <f>P421*P434</f>
        <v>12256.140000000001</v>
      </c>
      <c r="Q444" s="418">
        <f>Q421*Q434</f>
        <v>12148.630000000001</v>
      </c>
      <c r="R444" s="437">
        <f>SUM(F444:Q444)</f>
        <v>148257.36510000002</v>
      </c>
      <c r="S444" s="335"/>
      <c r="T444" s="415"/>
    </row>
    <row r="445" spans="1:20" s="336" customFormat="1" x14ac:dyDescent="0.2">
      <c r="B445" s="336" t="s">
        <v>1047</v>
      </c>
      <c r="F445" s="418"/>
      <c r="G445" s="418"/>
      <c r="H445" s="418"/>
      <c r="I445" s="418"/>
      <c r="J445" s="418"/>
      <c r="K445" s="418"/>
      <c r="L445" s="418"/>
      <c r="M445" s="418"/>
      <c r="N445" s="418"/>
      <c r="O445" s="418"/>
      <c r="P445" s="418"/>
      <c r="Q445" s="418"/>
      <c r="R445" s="437"/>
      <c r="S445" s="335"/>
      <c r="T445" s="415"/>
    </row>
    <row r="446" spans="1:20" s="336" customFormat="1" x14ac:dyDescent="0.2">
      <c r="C446" s="32" t="s">
        <v>1073</v>
      </c>
      <c r="F446" s="350">
        <v>0</v>
      </c>
      <c r="G446" s="350">
        <v>0</v>
      </c>
      <c r="H446" s="350">
        <v>0</v>
      </c>
      <c r="I446" s="350">
        <v>0</v>
      </c>
      <c r="J446" s="350">
        <v>0</v>
      </c>
      <c r="K446" s="350">
        <v>0</v>
      </c>
      <c r="L446" s="350">
        <v>0</v>
      </c>
      <c r="M446" s="350">
        <v>0</v>
      </c>
      <c r="N446" s="350">
        <v>0</v>
      </c>
      <c r="O446" s="350">
        <v>0</v>
      </c>
      <c r="P446" s="350">
        <v>0</v>
      </c>
      <c r="Q446" s="350">
        <v>0</v>
      </c>
      <c r="R446" s="437">
        <f>SUM(F446:Q446)</f>
        <v>0</v>
      </c>
      <c r="S446" s="335"/>
      <c r="T446" s="415"/>
    </row>
    <row r="447" spans="1:20" s="336" customFormat="1" x14ac:dyDescent="0.2">
      <c r="C447" s="32" t="s">
        <v>1074</v>
      </c>
      <c r="D447" s="336">
        <v>41</v>
      </c>
      <c r="F447" s="418">
        <f t="shared" ref="F447:Q448" si="106">F423*F437</f>
        <v>48544.726060000001</v>
      </c>
      <c r="G447" s="418">
        <f t="shared" si="106"/>
        <v>47637.547750000005</v>
      </c>
      <c r="H447" s="418">
        <f t="shared" si="106"/>
        <v>50614.454960000003</v>
      </c>
      <c r="I447" s="418">
        <f t="shared" si="106"/>
        <v>48701.231210000005</v>
      </c>
      <c r="J447" s="418">
        <f t="shared" si="106"/>
        <v>48100.996040000005</v>
      </c>
      <c r="K447" s="418">
        <f t="shared" si="106"/>
        <v>46142.682260000001</v>
      </c>
      <c r="L447" s="418">
        <f t="shared" si="106"/>
        <v>45106.576800000003</v>
      </c>
      <c r="M447" s="418">
        <f t="shared" si="106"/>
        <v>44906.636300000006</v>
      </c>
      <c r="N447" s="418">
        <f t="shared" si="106"/>
        <v>44829.693680000004</v>
      </c>
      <c r="O447" s="418">
        <f t="shared" si="106"/>
        <v>48123.610000000008</v>
      </c>
      <c r="P447" s="418">
        <f t="shared" si="106"/>
        <v>48680.134040000004</v>
      </c>
      <c r="Q447" s="418">
        <f t="shared" si="106"/>
        <v>48249.917240000002</v>
      </c>
      <c r="R447" s="437">
        <f>SUM(F447:Q447)</f>
        <v>569638.20634000003</v>
      </c>
      <c r="S447" s="335"/>
      <c r="T447" s="415"/>
    </row>
    <row r="448" spans="1:20" s="336" customFormat="1" x14ac:dyDescent="0.2">
      <c r="C448" s="32" t="s">
        <v>1066</v>
      </c>
      <c r="D448" s="336">
        <v>41</v>
      </c>
      <c r="F448" s="418">
        <f t="shared" si="106"/>
        <v>98614.427670000005</v>
      </c>
      <c r="G448" s="418">
        <f t="shared" si="106"/>
        <v>87844.181370000006</v>
      </c>
      <c r="H448" s="418">
        <f t="shared" si="106"/>
        <v>104969.78448</v>
      </c>
      <c r="I448" s="418">
        <f t="shared" si="106"/>
        <v>100734.71793</v>
      </c>
      <c r="J448" s="418">
        <f t="shared" si="106"/>
        <v>100378.33542</v>
      </c>
      <c r="K448" s="418">
        <f t="shared" si="106"/>
        <v>86092.20180000001</v>
      </c>
      <c r="L448" s="418">
        <f t="shared" si="106"/>
        <v>83660.991150000002</v>
      </c>
      <c r="M448" s="418">
        <f t="shared" si="106"/>
        <v>89472.82806</v>
      </c>
      <c r="N448" s="418">
        <f t="shared" si="106"/>
        <v>87286.370160000006</v>
      </c>
      <c r="O448" s="418">
        <f t="shared" si="106"/>
        <v>100580.77689000001</v>
      </c>
      <c r="P448" s="418">
        <f t="shared" si="106"/>
        <v>105447.13674</v>
      </c>
      <c r="Q448" s="418">
        <f t="shared" si="106"/>
        <v>105784.61421</v>
      </c>
      <c r="R448" s="437">
        <f>SUM(F448:Q448)</f>
        <v>1150866.3658799999</v>
      </c>
      <c r="S448" s="335"/>
      <c r="T448" s="415"/>
    </row>
    <row r="449" spans="1:20" s="336" customFormat="1" x14ac:dyDescent="0.2">
      <c r="A449" s="336" t="s">
        <v>1054</v>
      </c>
      <c r="C449" s="336" t="s">
        <v>1077</v>
      </c>
      <c r="F449" s="365">
        <f t="shared" ref="F449:N449" si="107">SUM(F446:F448)</f>
        <v>147159.15373000002</v>
      </c>
      <c r="G449" s="365">
        <f t="shared" si="107"/>
        <v>135481.72912</v>
      </c>
      <c r="H449" s="365">
        <f t="shared" si="107"/>
        <v>155584.23944</v>
      </c>
      <c r="I449" s="365">
        <f t="shared" si="107"/>
        <v>149435.94914000001</v>
      </c>
      <c r="J449" s="365">
        <f t="shared" si="107"/>
        <v>148479.33146000002</v>
      </c>
      <c r="K449" s="365">
        <f t="shared" si="107"/>
        <v>132234.88406000001</v>
      </c>
      <c r="L449" s="365">
        <f t="shared" si="107"/>
        <v>128767.56795</v>
      </c>
      <c r="M449" s="365">
        <f t="shared" si="107"/>
        <v>134379.46436000001</v>
      </c>
      <c r="N449" s="365">
        <f t="shared" si="107"/>
        <v>132116.06384000002</v>
      </c>
      <c r="O449" s="365">
        <f>SUM(O446:O448)</f>
        <v>148704.38689000002</v>
      </c>
      <c r="P449" s="365">
        <f>SUM(P446:P448)</f>
        <v>154127.27078000002</v>
      </c>
      <c r="Q449" s="365">
        <f>SUM(Q446:Q448)</f>
        <v>154034.53145000001</v>
      </c>
      <c r="R449" s="365">
        <f>SUM(R446:R448)</f>
        <v>1720504.57222</v>
      </c>
      <c r="S449" s="335"/>
      <c r="T449" s="415"/>
    </row>
    <row r="450" spans="1:20" s="336" customFormat="1" x14ac:dyDescent="0.2">
      <c r="A450" s="336" t="s">
        <v>1056</v>
      </c>
      <c r="B450" s="415" t="s">
        <v>1057</v>
      </c>
      <c r="D450" s="336">
        <v>101</v>
      </c>
      <c r="F450" s="418">
        <f t="shared" ref="F450:N450" si="108">F425*F439</f>
        <v>833197.00678000005</v>
      </c>
      <c r="G450" s="418">
        <f t="shared" si="108"/>
        <v>770203.94004000002</v>
      </c>
      <c r="H450" s="418">
        <f t="shared" si="108"/>
        <v>880559.86028000002</v>
      </c>
      <c r="I450" s="418">
        <f t="shared" si="108"/>
        <v>846800.03330000001</v>
      </c>
      <c r="J450" s="418">
        <f t="shared" si="108"/>
        <v>842642.53994000005</v>
      </c>
      <c r="K450" s="418">
        <f t="shared" si="108"/>
        <v>753699.09381999995</v>
      </c>
      <c r="L450" s="418">
        <f t="shared" si="108"/>
        <v>733684.39763999998</v>
      </c>
      <c r="M450" s="418">
        <f t="shared" si="108"/>
        <v>765586.17972000001</v>
      </c>
      <c r="N450" s="418">
        <f t="shared" si="108"/>
        <v>752984.79974000005</v>
      </c>
      <c r="O450" s="418">
        <f>O425*O439</f>
        <v>842662.03211999999</v>
      </c>
      <c r="P450" s="418">
        <f>P425*P439</f>
        <v>872039.89127999998</v>
      </c>
      <c r="Q450" s="418">
        <f>Q425*Q439</f>
        <v>870410.09351999999</v>
      </c>
      <c r="R450" s="437">
        <f>SUM(F450:Q450)</f>
        <v>9764469.8681799993</v>
      </c>
      <c r="S450" s="335"/>
      <c r="T450" s="415"/>
    </row>
    <row r="451" spans="1:20" s="336" customFormat="1" x14ac:dyDescent="0.2">
      <c r="B451" s="336" t="s">
        <v>1068</v>
      </c>
      <c r="F451" s="418"/>
      <c r="G451" s="418"/>
      <c r="H451" s="418"/>
      <c r="I451" s="418"/>
      <c r="J451" s="418"/>
      <c r="K451" s="418"/>
      <c r="L451" s="418"/>
      <c r="M451" s="418"/>
      <c r="N451" s="418"/>
      <c r="O451" s="418"/>
      <c r="P451" s="418"/>
      <c r="Q451" s="418"/>
      <c r="R451" s="437"/>
      <c r="S451" s="335"/>
      <c r="T451" s="415"/>
    </row>
    <row r="452" spans="1:20" s="336" customFormat="1" x14ac:dyDescent="0.2">
      <c r="A452" s="336" t="s">
        <v>1054</v>
      </c>
      <c r="C452" s="336" t="s">
        <v>1069</v>
      </c>
      <c r="D452" s="336">
        <v>41</v>
      </c>
      <c r="F452" s="418">
        <f t="shared" ref="F452:N452" si="109">F427*F440</f>
        <v>63392.666100000009</v>
      </c>
      <c r="G452" s="418">
        <f t="shared" si="109"/>
        <v>63821.126100000009</v>
      </c>
      <c r="H452" s="418">
        <f t="shared" si="109"/>
        <v>64975.52610000001</v>
      </c>
      <c r="I452" s="418">
        <f t="shared" si="109"/>
        <v>64543.747200000005</v>
      </c>
      <c r="J452" s="418">
        <f t="shared" si="109"/>
        <v>64891.154999999999</v>
      </c>
      <c r="K452" s="418">
        <f t="shared" si="109"/>
        <v>65388.446100000008</v>
      </c>
      <c r="L452" s="418">
        <f t="shared" si="109"/>
        <v>64239.030000000006</v>
      </c>
      <c r="M452" s="418">
        <f t="shared" si="109"/>
        <v>63759.51</v>
      </c>
      <c r="N452" s="418">
        <f t="shared" si="109"/>
        <v>64303.41</v>
      </c>
      <c r="O452" s="418">
        <f>O427*O440</f>
        <v>64132.470000000008</v>
      </c>
      <c r="P452" s="418">
        <f>P427*P440</f>
        <v>64072.530000000006</v>
      </c>
      <c r="Q452" s="418">
        <f>Q427*Q440</f>
        <v>64034.790000000008</v>
      </c>
      <c r="R452" s="437">
        <f>SUM(F452:Q452)</f>
        <v>771554.4066000001</v>
      </c>
      <c r="S452" s="335"/>
      <c r="T452" s="415"/>
    </row>
    <row r="453" spans="1:20" s="336" customFormat="1" x14ac:dyDescent="0.2">
      <c r="A453" s="336" t="s">
        <v>1056</v>
      </c>
      <c r="C453" s="336" t="s">
        <v>1070</v>
      </c>
      <c r="D453" s="336">
        <v>101</v>
      </c>
      <c r="F453" s="418">
        <f t="shared" ref="F453:N453" si="110">F428*F440</f>
        <v>59966.035500000005</v>
      </c>
      <c r="G453" s="418">
        <f t="shared" si="110"/>
        <v>60371.335500000008</v>
      </c>
      <c r="H453" s="418">
        <f t="shared" si="110"/>
        <v>61463.335500000008</v>
      </c>
      <c r="I453" s="418">
        <f t="shared" si="110"/>
        <v>61054.896000000001</v>
      </c>
      <c r="J453" s="418">
        <f t="shared" si="110"/>
        <v>61383.524999999994</v>
      </c>
      <c r="K453" s="418">
        <f t="shared" si="110"/>
        <v>61853.935500000007</v>
      </c>
      <c r="L453" s="418">
        <f t="shared" si="110"/>
        <v>60766.65</v>
      </c>
      <c r="M453" s="418">
        <f t="shared" si="110"/>
        <v>60313.05</v>
      </c>
      <c r="N453" s="418">
        <f t="shared" si="110"/>
        <v>60827.55</v>
      </c>
      <c r="O453" s="418">
        <f>O428*O440</f>
        <v>60665.850000000006</v>
      </c>
      <c r="P453" s="418">
        <f>P428*P440</f>
        <v>60609.15</v>
      </c>
      <c r="Q453" s="418">
        <f>Q428*Q440</f>
        <v>60573.450000000004</v>
      </c>
      <c r="R453" s="437">
        <f>SUM(F453:Q453)</f>
        <v>729848.76300000004</v>
      </c>
      <c r="S453" s="335"/>
      <c r="T453" s="415"/>
    </row>
    <row r="454" spans="1:20" s="336" customFormat="1" x14ac:dyDescent="0.2">
      <c r="C454" s="336" t="s">
        <v>1078</v>
      </c>
      <c r="F454" s="339">
        <f t="shared" ref="F454:N454" si="111">SUM(F452:F453)</f>
        <v>123358.70160000001</v>
      </c>
      <c r="G454" s="339">
        <f t="shared" si="111"/>
        <v>124192.46160000001</v>
      </c>
      <c r="H454" s="339">
        <f t="shared" si="111"/>
        <v>126438.86160000002</v>
      </c>
      <c r="I454" s="339">
        <f t="shared" si="111"/>
        <v>125598.64320000001</v>
      </c>
      <c r="J454" s="339">
        <f t="shared" si="111"/>
        <v>126274.68</v>
      </c>
      <c r="K454" s="339">
        <f t="shared" si="111"/>
        <v>127242.38160000002</v>
      </c>
      <c r="L454" s="339">
        <f t="shared" si="111"/>
        <v>125005.68000000001</v>
      </c>
      <c r="M454" s="339">
        <f t="shared" si="111"/>
        <v>124072.56</v>
      </c>
      <c r="N454" s="339">
        <f t="shared" si="111"/>
        <v>125130.96</v>
      </c>
      <c r="O454" s="339">
        <f>SUM(O452:O453)</f>
        <v>124798.32</v>
      </c>
      <c r="P454" s="339">
        <f>SUM(P452:P453)</f>
        <v>124681.68000000001</v>
      </c>
      <c r="Q454" s="339">
        <f>SUM(Q452:Q453)</f>
        <v>124608.24000000002</v>
      </c>
      <c r="R454" s="339">
        <f>SUM(R452:R453)</f>
        <v>1501403.1696000001</v>
      </c>
      <c r="S454" s="335"/>
      <c r="T454" s="415"/>
    </row>
    <row r="455" spans="1:20" s="336" customFormat="1" x14ac:dyDescent="0.2">
      <c r="A455" s="336" t="s">
        <v>1054</v>
      </c>
      <c r="B455" s="336" t="s">
        <v>1071</v>
      </c>
      <c r="D455" s="336">
        <v>41</v>
      </c>
      <c r="F455" s="418">
        <f t="shared" ref="F455:N455" si="112">F434*F429</f>
        <v>14023.3</v>
      </c>
      <c r="G455" s="418">
        <f t="shared" si="112"/>
        <v>14147.4</v>
      </c>
      <c r="H455" s="418">
        <f t="shared" si="112"/>
        <v>14271.5</v>
      </c>
      <c r="I455" s="418">
        <f t="shared" si="112"/>
        <v>14272.740999999998</v>
      </c>
      <c r="J455" s="418">
        <f t="shared" si="112"/>
        <v>14395.599999999999</v>
      </c>
      <c r="K455" s="418">
        <f t="shared" si="112"/>
        <v>14519.699999999999</v>
      </c>
      <c r="L455" s="418">
        <f t="shared" si="112"/>
        <v>14395.599999999999</v>
      </c>
      <c r="M455" s="418">
        <f t="shared" si="112"/>
        <v>14147.4</v>
      </c>
      <c r="N455" s="418">
        <f t="shared" si="112"/>
        <v>14519.699999999999</v>
      </c>
      <c r="O455" s="418">
        <f>O434*O429</f>
        <v>14271.5</v>
      </c>
      <c r="P455" s="418">
        <f>P434*P429</f>
        <v>14147.4</v>
      </c>
      <c r="Q455" s="418">
        <f>Q434*Q429</f>
        <v>14023.3</v>
      </c>
      <c r="R455" s="437">
        <f>SUM(F455:Q455)</f>
        <v>171135.14099999997</v>
      </c>
      <c r="S455" s="335"/>
      <c r="T455" s="415"/>
    </row>
    <row r="456" spans="1:20" s="336" customFormat="1" x14ac:dyDescent="0.2">
      <c r="B456" s="336" t="s">
        <v>1079</v>
      </c>
      <c r="F456" s="339">
        <f t="shared" ref="F456:N456" si="113">F450+F453</f>
        <v>893163.04228000005</v>
      </c>
      <c r="G456" s="339">
        <f t="shared" si="113"/>
        <v>830575.27554000006</v>
      </c>
      <c r="H456" s="339">
        <f t="shared" si="113"/>
        <v>942023.19578000007</v>
      </c>
      <c r="I456" s="339">
        <f t="shared" si="113"/>
        <v>907854.92929999996</v>
      </c>
      <c r="J456" s="339">
        <f t="shared" si="113"/>
        <v>904026.06494000007</v>
      </c>
      <c r="K456" s="339">
        <f t="shared" si="113"/>
        <v>815553.02931999997</v>
      </c>
      <c r="L456" s="339">
        <f t="shared" si="113"/>
        <v>794451.04764</v>
      </c>
      <c r="M456" s="339">
        <f t="shared" si="113"/>
        <v>825899.22972000006</v>
      </c>
      <c r="N456" s="339">
        <f t="shared" si="113"/>
        <v>813812.34974000009</v>
      </c>
      <c r="O456" s="339">
        <f>O450+O453</f>
        <v>903327.88211999997</v>
      </c>
      <c r="P456" s="339">
        <f>P450+P453</f>
        <v>932649.04128</v>
      </c>
      <c r="Q456" s="339">
        <f>Q450+Q453</f>
        <v>930983.54351999995</v>
      </c>
      <c r="R456" s="339">
        <f>R450+R453</f>
        <v>10494318.63118</v>
      </c>
      <c r="S456" s="335"/>
      <c r="T456" s="415"/>
    </row>
    <row r="457" spans="1:20" s="336" customFormat="1" x14ac:dyDescent="0.2">
      <c r="B457" s="336" t="s">
        <v>986</v>
      </c>
      <c r="F457" s="339">
        <f t="shared" ref="F457:N457" si="114">F444+F449+F450+F454+F455</f>
        <v>1129886.79211</v>
      </c>
      <c r="G457" s="339">
        <f t="shared" si="114"/>
        <v>1056281.6707600001</v>
      </c>
      <c r="H457" s="339">
        <f t="shared" si="114"/>
        <v>1189218.1113199999</v>
      </c>
      <c r="I457" s="339">
        <f t="shared" si="114"/>
        <v>1148472.0917400001</v>
      </c>
      <c r="J457" s="339">
        <f t="shared" si="114"/>
        <v>1144263.3114000002</v>
      </c>
      <c r="K457" s="339">
        <f t="shared" si="114"/>
        <v>1040274.72948</v>
      </c>
      <c r="L457" s="339">
        <f t="shared" si="114"/>
        <v>1014324.40559</v>
      </c>
      <c r="M457" s="339">
        <f t="shared" si="114"/>
        <v>1050441.7440799999</v>
      </c>
      <c r="N457" s="339">
        <f t="shared" si="114"/>
        <v>1037330.19358</v>
      </c>
      <c r="O457" s="339">
        <f>O444+O449+O450+O454+O455</f>
        <v>1142799.88901</v>
      </c>
      <c r="P457" s="339">
        <f>P444+P449+P450+P454+P455</f>
        <v>1177252.38206</v>
      </c>
      <c r="Q457" s="339">
        <f>Q444+Q449+Q450+Q454+Q455</f>
        <v>1175224.7949700002</v>
      </c>
      <c r="R457" s="339">
        <f>R444+R449+R450+R454+R455</f>
        <v>13305770.1161</v>
      </c>
      <c r="S457" s="335"/>
      <c r="T457" s="340"/>
    </row>
    <row r="458" spans="1:20" s="336" customFormat="1" x14ac:dyDescent="0.2">
      <c r="F458" s="418"/>
      <c r="G458" s="418"/>
      <c r="H458" s="418"/>
      <c r="I458" s="418"/>
      <c r="J458" s="418"/>
      <c r="K458" s="418"/>
      <c r="L458" s="418"/>
      <c r="M458" s="418"/>
      <c r="N458" s="418"/>
      <c r="O458" s="418"/>
      <c r="P458" s="418"/>
      <c r="Q458" s="418"/>
      <c r="R458" s="437"/>
      <c r="S458" s="335"/>
      <c r="T458" s="415"/>
    </row>
    <row r="459" spans="1:20" s="336" customFormat="1" x14ac:dyDescent="0.2">
      <c r="A459" s="32" t="s">
        <v>1058</v>
      </c>
      <c r="B459" s="32" t="s">
        <v>1050</v>
      </c>
      <c r="F459" s="418">
        <f>F430*F439+F440*F431</f>
        <v>854278.02058999997</v>
      </c>
      <c r="G459" s="418">
        <f t="shared" ref="G459:Q459" si="115">G430*G439+G440*G431</f>
        <v>794394.92961999995</v>
      </c>
      <c r="H459" s="418">
        <f t="shared" si="115"/>
        <v>901018.78733999992</v>
      </c>
      <c r="I459" s="418">
        <f t="shared" si="115"/>
        <v>868329.82864999992</v>
      </c>
      <c r="J459" s="418">
        <f t="shared" si="115"/>
        <v>864665.09556999989</v>
      </c>
      <c r="K459" s="418">
        <f t="shared" si="115"/>
        <v>780015.79371</v>
      </c>
      <c r="L459" s="418">
        <f t="shared" si="115"/>
        <v>759831.07241999998</v>
      </c>
      <c r="M459" s="418">
        <f t="shared" si="115"/>
        <v>789921.34265999997</v>
      </c>
      <c r="N459" s="418">
        <f t="shared" si="115"/>
        <v>778354.87746999995</v>
      </c>
      <c r="O459" s="418">
        <f t="shared" si="115"/>
        <v>864000.24485999998</v>
      </c>
      <c r="P459" s="418">
        <f t="shared" si="115"/>
        <v>892053.73283999995</v>
      </c>
      <c r="Q459" s="418">
        <f t="shared" si="115"/>
        <v>890460.41155999992</v>
      </c>
      <c r="R459" s="437">
        <f>SUM(F459:Q459)</f>
        <v>10037324.137289997</v>
      </c>
      <c r="S459" s="335"/>
      <c r="T459" s="415"/>
    </row>
    <row r="460" spans="1:20" s="336" customFormat="1" x14ac:dyDescent="0.2">
      <c r="F460" s="418"/>
      <c r="G460" s="418"/>
      <c r="H460" s="418"/>
      <c r="I460" s="418"/>
      <c r="J460" s="418"/>
      <c r="K460" s="418"/>
      <c r="L460" s="418"/>
      <c r="M460" s="418"/>
      <c r="N460" s="418"/>
      <c r="O460" s="418"/>
      <c r="P460" s="418"/>
      <c r="Q460" s="418"/>
      <c r="R460" s="437"/>
      <c r="S460" s="335"/>
      <c r="T460" s="415"/>
    </row>
    <row r="461" spans="1:20" s="336" customFormat="1" x14ac:dyDescent="0.2">
      <c r="B461" s="182" t="s">
        <v>1102</v>
      </c>
      <c r="C461" s="182"/>
      <c r="F461" s="415"/>
      <c r="G461" s="415"/>
      <c r="H461" s="415"/>
      <c r="I461" s="415"/>
      <c r="J461" s="415"/>
    </row>
    <row r="462" spans="1:20" s="336" customFormat="1" x14ac:dyDescent="0.2">
      <c r="B462" s="182" t="s">
        <v>5</v>
      </c>
      <c r="C462" s="182"/>
      <c r="F462" s="415"/>
      <c r="G462" s="415"/>
      <c r="H462" s="415"/>
      <c r="I462" s="415"/>
      <c r="J462" s="415"/>
    </row>
    <row r="463" spans="1:20" s="336" customFormat="1" x14ac:dyDescent="0.2">
      <c r="B463" s="336" t="s">
        <v>1059</v>
      </c>
      <c r="D463" s="444" t="s">
        <v>808</v>
      </c>
      <c r="E463" s="336" t="s">
        <v>976</v>
      </c>
      <c r="F463" s="455">
        <f t="shared" ref="F463:L463" si="116">F135</f>
        <v>414.68</v>
      </c>
      <c r="G463" s="455">
        <f t="shared" si="116"/>
        <v>414.68</v>
      </c>
      <c r="H463" s="455">
        <f t="shared" si="116"/>
        <v>414.68</v>
      </c>
      <c r="I463" s="455">
        <f t="shared" si="116"/>
        <v>414.68</v>
      </c>
      <c r="J463" s="455">
        <f t="shared" si="116"/>
        <v>414.68</v>
      </c>
      <c r="K463" s="455">
        <f t="shared" si="116"/>
        <v>414.68</v>
      </c>
      <c r="L463" s="455">
        <f t="shared" si="116"/>
        <v>414.68</v>
      </c>
      <c r="M463" s="455">
        <f>M135</f>
        <v>414.68</v>
      </c>
      <c r="N463" s="455">
        <f>N135</f>
        <v>414.68</v>
      </c>
      <c r="O463" s="455">
        <f>O135</f>
        <v>414.68</v>
      </c>
      <c r="P463" s="455">
        <f>P135</f>
        <v>414.68</v>
      </c>
      <c r="Q463" s="455">
        <f>Q135</f>
        <v>414.68</v>
      </c>
    </row>
    <row r="464" spans="1:20" s="336" customFormat="1" x14ac:dyDescent="0.2">
      <c r="B464" s="336" t="s">
        <v>1047</v>
      </c>
      <c r="F464" s="456"/>
      <c r="G464" s="456"/>
      <c r="H464" s="456"/>
      <c r="I464" s="456"/>
      <c r="J464" s="456"/>
      <c r="K464" s="456"/>
      <c r="L464" s="456"/>
      <c r="M464" s="456"/>
      <c r="N464" s="456"/>
      <c r="O464" s="456"/>
      <c r="P464" s="456"/>
      <c r="Q464" s="456"/>
    </row>
    <row r="465" spans="2:20" s="336" customFormat="1" x14ac:dyDescent="0.2">
      <c r="C465" s="336" t="s">
        <v>1065</v>
      </c>
      <c r="D465" s="444" t="s">
        <v>808</v>
      </c>
      <c r="E465" s="336" t="s">
        <v>957</v>
      </c>
      <c r="F465" s="456">
        <f t="shared" ref="F465:Q470" si="117">F137</f>
        <v>0.13789000000000001</v>
      </c>
      <c r="G465" s="456">
        <f t="shared" si="117"/>
        <v>0.13789000000000001</v>
      </c>
      <c r="H465" s="456">
        <f t="shared" si="117"/>
        <v>0.13789000000000001</v>
      </c>
      <c r="I465" s="456">
        <f t="shared" si="117"/>
        <v>0.13789000000000001</v>
      </c>
      <c r="J465" s="456">
        <f t="shared" si="117"/>
        <v>0.13789000000000001</v>
      </c>
      <c r="K465" s="456">
        <f t="shared" si="117"/>
        <v>0.13789000000000001</v>
      </c>
      <c r="L465" s="456">
        <f t="shared" si="117"/>
        <v>0.13789000000000001</v>
      </c>
      <c r="M465" s="456">
        <f t="shared" si="117"/>
        <v>0.13789000000000001</v>
      </c>
      <c r="N465" s="456">
        <f t="shared" si="117"/>
        <v>0.13789000000000001</v>
      </c>
      <c r="O465" s="456">
        <f t="shared" si="117"/>
        <v>0.13789000000000001</v>
      </c>
      <c r="P465" s="456">
        <f t="shared" si="117"/>
        <v>0.13789000000000001</v>
      </c>
      <c r="Q465" s="456">
        <f t="shared" si="117"/>
        <v>0.13789000000000001</v>
      </c>
    </row>
    <row r="466" spans="2:20" s="336" customFormat="1" x14ac:dyDescent="0.2">
      <c r="C466" s="336" t="s">
        <v>1066</v>
      </c>
      <c r="D466" s="444" t="s">
        <v>808</v>
      </c>
      <c r="E466" s="336" t="s">
        <v>957</v>
      </c>
      <c r="F466" s="456">
        <f t="shared" si="117"/>
        <v>0.11253000000000001</v>
      </c>
      <c r="G466" s="456">
        <f t="shared" si="117"/>
        <v>0.11253000000000001</v>
      </c>
      <c r="H466" s="456">
        <f t="shared" si="117"/>
        <v>0.11253000000000001</v>
      </c>
      <c r="I466" s="456">
        <f t="shared" si="117"/>
        <v>0.11253000000000001</v>
      </c>
      <c r="J466" s="456">
        <f t="shared" si="117"/>
        <v>0.11253000000000001</v>
      </c>
      <c r="K466" s="456">
        <f t="shared" si="117"/>
        <v>0.11253000000000001</v>
      </c>
      <c r="L466" s="456">
        <f t="shared" si="117"/>
        <v>0.11253000000000001</v>
      </c>
      <c r="M466" s="456">
        <f t="shared" si="117"/>
        <v>0.11253000000000001</v>
      </c>
      <c r="N466" s="456">
        <f t="shared" si="117"/>
        <v>0.11253000000000001</v>
      </c>
      <c r="O466" s="456">
        <f t="shared" si="117"/>
        <v>0.11253000000000001</v>
      </c>
      <c r="P466" s="456">
        <f t="shared" si="117"/>
        <v>0.11253000000000001</v>
      </c>
      <c r="Q466" s="456">
        <f t="shared" si="117"/>
        <v>0.11253000000000001</v>
      </c>
    </row>
    <row r="467" spans="2:20" x14ac:dyDescent="0.2">
      <c r="B467" s="336" t="s">
        <v>1081</v>
      </c>
      <c r="D467" s="444" t="s">
        <v>808</v>
      </c>
      <c r="E467" s="32" t="s">
        <v>957</v>
      </c>
      <c r="F467" s="457">
        <f t="shared" si="117"/>
        <v>6.9999999999999999E-4</v>
      </c>
      <c r="G467" s="457">
        <f t="shared" si="117"/>
        <v>6.9999999999999999E-4</v>
      </c>
      <c r="H467" s="457">
        <f t="shared" si="117"/>
        <v>6.9999999999999999E-4</v>
      </c>
      <c r="I467" s="457">
        <f t="shared" si="117"/>
        <v>6.9999999999999999E-4</v>
      </c>
      <c r="J467" s="457">
        <f t="shared" si="117"/>
        <v>6.9999999999999999E-4</v>
      </c>
      <c r="K467" s="457">
        <f t="shared" si="117"/>
        <v>6.9999999999999999E-4</v>
      </c>
      <c r="L467" s="457">
        <f t="shared" si="117"/>
        <v>6.9999999999999999E-4</v>
      </c>
      <c r="M467" s="457">
        <f t="shared" si="117"/>
        <v>6.9999999999999999E-4</v>
      </c>
      <c r="N467" s="457">
        <f t="shared" si="117"/>
        <v>6.9999999999999999E-4</v>
      </c>
      <c r="O467" s="457">
        <f t="shared" si="117"/>
        <v>6.9999999999999999E-4</v>
      </c>
      <c r="P467" s="457">
        <f t="shared" si="117"/>
        <v>6.9999999999999999E-4</v>
      </c>
      <c r="Q467" s="457">
        <f t="shared" si="117"/>
        <v>6.9999999999999999E-4</v>
      </c>
      <c r="S467" s="32"/>
      <c r="T467" s="32"/>
    </row>
    <row r="468" spans="2:20" x14ac:dyDescent="0.2">
      <c r="B468" s="32" t="s">
        <v>1082</v>
      </c>
      <c r="F468" s="457">
        <f t="shared" si="117"/>
        <v>-5.0699999999999999E-3</v>
      </c>
      <c r="G468" s="457">
        <f t="shared" si="117"/>
        <v>-5.0699999999999999E-3</v>
      </c>
      <c r="H468" s="457">
        <f t="shared" si="117"/>
        <v>-5.0699999999999999E-3</v>
      </c>
      <c r="I468" s="457">
        <f t="shared" si="117"/>
        <v>-5.0699999999999999E-3</v>
      </c>
      <c r="J468" s="457">
        <f t="shared" si="117"/>
        <v>-5.0699999999999999E-3</v>
      </c>
      <c r="K468" s="457">
        <f t="shared" si="117"/>
        <v>-5.0699999999999999E-3</v>
      </c>
      <c r="L468" s="457">
        <f t="shared" si="117"/>
        <v>-5.0699999999999999E-3</v>
      </c>
      <c r="M468" s="457">
        <f t="shared" si="117"/>
        <v>-5.0699999999999999E-3</v>
      </c>
      <c r="N468" s="457">
        <f t="shared" si="117"/>
        <v>-5.0699999999999999E-3</v>
      </c>
      <c r="O468" s="457">
        <f t="shared" si="117"/>
        <v>-5.0699999999999999E-3</v>
      </c>
      <c r="P468" s="457">
        <f t="shared" si="117"/>
        <v>-5.0699999999999999E-3</v>
      </c>
      <c r="Q468" s="457">
        <f t="shared" si="117"/>
        <v>-5.0699999999999999E-3</v>
      </c>
      <c r="S468" s="32"/>
      <c r="T468" s="32"/>
    </row>
    <row r="469" spans="2:20" s="336" customFormat="1" x14ac:dyDescent="0.2">
      <c r="B469" s="336" t="s">
        <v>1069</v>
      </c>
      <c r="D469" s="444" t="s">
        <v>808</v>
      </c>
      <c r="E469" s="336" t="s">
        <v>957</v>
      </c>
      <c r="F469" s="458">
        <f t="shared" si="117"/>
        <v>1.1100000000000001</v>
      </c>
      <c r="G469" s="458">
        <f t="shared" si="117"/>
        <v>1.1100000000000001</v>
      </c>
      <c r="H469" s="458">
        <f t="shared" si="117"/>
        <v>1.1100000000000001</v>
      </c>
      <c r="I469" s="458">
        <f t="shared" si="117"/>
        <v>1.1100000000000001</v>
      </c>
      <c r="J469" s="458">
        <f t="shared" si="117"/>
        <v>1.1100000000000001</v>
      </c>
      <c r="K469" s="458">
        <f t="shared" si="117"/>
        <v>1.1100000000000001</v>
      </c>
      <c r="L469" s="458">
        <f t="shared" si="117"/>
        <v>1.1100000000000001</v>
      </c>
      <c r="M469" s="458">
        <f t="shared" si="117"/>
        <v>1.1100000000000001</v>
      </c>
      <c r="N469" s="458">
        <f t="shared" si="117"/>
        <v>1.1100000000000001</v>
      </c>
      <c r="O469" s="458">
        <f t="shared" si="117"/>
        <v>1.1100000000000001</v>
      </c>
      <c r="P469" s="458">
        <f t="shared" si="117"/>
        <v>1.1100000000000001</v>
      </c>
      <c r="Q469" s="458">
        <f t="shared" si="117"/>
        <v>1.1100000000000001</v>
      </c>
    </row>
    <row r="470" spans="2:20" s="336" customFormat="1" x14ac:dyDescent="0.2">
      <c r="B470" s="336" t="s">
        <v>1071</v>
      </c>
      <c r="D470" s="444" t="s">
        <v>808</v>
      </c>
      <c r="E470" s="336" t="s">
        <v>67</v>
      </c>
      <c r="F470" s="458">
        <f t="shared" si="117"/>
        <v>124.1</v>
      </c>
      <c r="G470" s="458">
        <f t="shared" si="117"/>
        <v>124.1</v>
      </c>
      <c r="H470" s="458">
        <f t="shared" si="117"/>
        <v>124.1</v>
      </c>
      <c r="I470" s="458">
        <f t="shared" si="117"/>
        <v>124.1</v>
      </c>
      <c r="J470" s="458">
        <f t="shared" si="117"/>
        <v>124.1</v>
      </c>
      <c r="K470" s="458">
        <f t="shared" si="117"/>
        <v>124.1</v>
      </c>
      <c r="L470" s="458">
        <f t="shared" si="117"/>
        <v>124.1</v>
      </c>
      <c r="M470" s="458">
        <f t="shared" si="117"/>
        <v>124.1</v>
      </c>
      <c r="N470" s="458">
        <f t="shared" si="117"/>
        <v>124.1</v>
      </c>
      <c r="O470" s="458">
        <f t="shared" si="117"/>
        <v>124.1</v>
      </c>
      <c r="P470" s="458">
        <f t="shared" si="117"/>
        <v>124.1</v>
      </c>
      <c r="Q470" s="458">
        <f t="shared" si="117"/>
        <v>124.1</v>
      </c>
    </row>
    <row r="471" spans="2:20" s="336" customFormat="1" x14ac:dyDescent="0.2">
      <c r="M471" s="32"/>
      <c r="N471" s="32"/>
      <c r="O471" s="32"/>
      <c r="P471" s="32"/>
      <c r="Q471" s="32"/>
    </row>
    <row r="472" spans="2:20" s="336" customFormat="1" x14ac:dyDescent="0.2">
      <c r="B472" s="182" t="s">
        <v>982</v>
      </c>
      <c r="M472" s="32"/>
      <c r="N472" s="32"/>
      <c r="O472" s="32"/>
      <c r="P472" s="32"/>
      <c r="Q472" s="32"/>
    </row>
    <row r="473" spans="2:20" s="336" customFormat="1" x14ac:dyDescent="0.2">
      <c r="B473" s="336" t="s">
        <v>67</v>
      </c>
      <c r="D473" s="444" t="s">
        <v>808</v>
      </c>
      <c r="E473" s="336" t="s">
        <v>67</v>
      </c>
      <c r="F473" s="397">
        <f>'JKP-3.1c - Data'!C144</f>
        <v>15</v>
      </c>
      <c r="G473" s="397">
        <f>'JKP-3.1c - Data'!D144</f>
        <v>15</v>
      </c>
      <c r="H473" s="397">
        <f>'JKP-3.1c - Data'!E144</f>
        <v>14</v>
      </c>
      <c r="I473" s="397">
        <f>'JKP-3.1c - Data'!F144</f>
        <v>14</v>
      </c>
      <c r="J473" s="397">
        <f>'JKP-3.1c - Data'!G144</f>
        <v>14</v>
      </c>
      <c r="K473" s="397">
        <f>'JKP-3.1c - Data'!H144</f>
        <v>14</v>
      </c>
      <c r="L473" s="397">
        <f>'JKP-3.1c - Data'!I144</f>
        <v>14</v>
      </c>
      <c r="M473" s="397">
        <f>'JKP-3.1c - Data'!J144</f>
        <v>15</v>
      </c>
      <c r="N473" s="397">
        <f>'JKP-3.1c - Data'!K144</f>
        <v>15</v>
      </c>
      <c r="O473" s="397">
        <f>'JKP-3.1c - Data'!L144</f>
        <v>16</v>
      </c>
      <c r="P473" s="397">
        <f>'JKP-3.1c - Data'!M144</f>
        <v>16</v>
      </c>
      <c r="Q473" s="397">
        <f>'JKP-3.1c - Data'!N144</f>
        <v>16</v>
      </c>
      <c r="R473" s="362">
        <f>SUM(F473:Q473)</f>
        <v>178</v>
      </c>
    </row>
    <row r="474" spans="2:20" s="336" customFormat="1" x14ac:dyDescent="0.2">
      <c r="B474" s="336" t="s">
        <v>76</v>
      </c>
      <c r="F474" s="380"/>
      <c r="G474" s="380"/>
      <c r="H474" s="380"/>
      <c r="I474" s="380"/>
      <c r="J474" s="380"/>
      <c r="K474" s="380"/>
      <c r="L474" s="380"/>
      <c r="M474" s="380"/>
      <c r="N474" s="380"/>
      <c r="O474" s="380"/>
      <c r="P474" s="380"/>
      <c r="Q474" s="380"/>
    </row>
    <row r="475" spans="2:20" s="336" customFormat="1" x14ac:dyDescent="0.2">
      <c r="C475" s="336" t="s">
        <v>1073</v>
      </c>
      <c r="D475" s="444" t="s">
        <v>808</v>
      </c>
      <c r="E475" s="336" t="s">
        <v>10</v>
      </c>
      <c r="F475" s="421">
        <f>'JKP-3.1c - Rev Actual Rates'!F486</f>
        <v>13500</v>
      </c>
      <c r="G475" s="421">
        <f>'JKP-3.1c - Rev Actual Rates'!G486</f>
        <v>12853</v>
      </c>
      <c r="H475" s="421">
        <f>'JKP-3.1c - Rev Actual Rates'!H486</f>
        <v>12600</v>
      </c>
      <c r="I475" s="421">
        <f>'JKP-3.1c - Rev Actual Rates'!I486</f>
        <v>12600</v>
      </c>
      <c r="J475" s="421">
        <f>'JKP-3.1c - Rev Actual Rates'!J486</f>
        <v>12600</v>
      </c>
      <c r="K475" s="421">
        <f>'JKP-3.1c - Rev Actual Rates'!K486</f>
        <v>12600</v>
      </c>
      <c r="L475" s="421">
        <f>'JKP-3.1c - Rev Actual Rates'!L486</f>
        <v>13500</v>
      </c>
      <c r="M475" s="421">
        <f>'JKP-3.1c - Rev Actual Rates'!M486</f>
        <v>13500</v>
      </c>
      <c r="N475" s="421">
        <f>'JKP-3.1c - Rev Actual Rates'!N486</f>
        <v>13500</v>
      </c>
      <c r="O475" s="421">
        <f>'JKP-3.1c - Rev Actual Rates'!O486</f>
        <v>14400</v>
      </c>
      <c r="P475" s="421">
        <f>'JKP-3.1c - Rev Actual Rates'!P486</f>
        <v>14400</v>
      </c>
      <c r="Q475" s="421">
        <f>'JKP-3.1c - Rev Actual Rates'!Q486</f>
        <v>14400</v>
      </c>
      <c r="R475" s="362">
        <f t="shared" ref="R475:R480" si="118">SUM(F475:Q475)</f>
        <v>160453</v>
      </c>
    </row>
    <row r="476" spans="2:20" s="336" customFormat="1" x14ac:dyDescent="0.2">
      <c r="C476" s="336" t="s">
        <v>1074</v>
      </c>
      <c r="D476" s="444" t="s">
        <v>808</v>
      </c>
      <c r="E476" s="336" t="s">
        <v>10</v>
      </c>
      <c r="F476" s="421">
        <f>'JKP-3.1c - Rev Actual Rates'!F487</f>
        <v>61500</v>
      </c>
      <c r="G476" s="421">
        <f>'JKP-3.1c - Rev Actual Rates'!G487</f>
        <v>57400</v>
      </c>
      <c r="H476" s="421">
        <f>'JKP-3.1c - Rev Actual Rates'!H487</f>
        <v>57400</v>
      </c>
      <c r="I476" s="421">
        <f>'JKP-3.1c - Rev Actual Rates'!I487</f>
        <v>57400</v>
      </c>
      <c r="J476" s="421">
        <f>'JKP-3.1c - Rev Actual Rates'!J487</f>
        <v>57400</v>
      </c>
      <c r="K476" s="421">
        <f>'JKP-3.1c - Rev Actual Rates'!K487</f>
        <v>57400</v>
      </c>
      <c r="L476" s="421">
        <f>'JKP-3.1c - Rev Actual Rates'!L487</f>
        <v>61500</v>
      </c>
      <c r="M476" s="421">
        <f>'JKP-3.1c - Rev Actual Rates'!M487</f>
        <v>61500</v>
      </c>
      <c r="N476" s="421">
        <f>'JKP-3.1c - Rev Actual Rates'!N487</f>
        <v>61500</v>
      </c>
      <c r="O476" s="421">
        <f>'JKP-3.1c - Rev Actual Rates'!O487</f>
        <v>65600</v>
      </c>
      <c r="P476" s="421">
        <f>'JKP-3.1c - Rev Actual Rates'!P487</f>
        <v>65600</v>
      </c>
      <c r="Q476" s="421">
        <f>'JKP-3.1c - Rev Actual Rates'!Q487</f>
        <v>65600</v>
      </c>
      <c r="R476" s="362">
        <f t="shared" si="118"/>
        <v>729800</v>
      </c>
    </row>
    <row r="477" spans="2:20" s="336" customFormat="1" x14ac:dyDescent="0.2">
      <c r="C477" s="336" t="s">
        <v>1066</v>
      </c>
      <c r="D477" s="444" t="s">
        <v>808</v>
      </c>
      <c r="E477" s="336" t="s">
        <v>10</v>
      </c>
      <c r="F477" s="421">
        <f>'JKP-3.1c - Rev Actual Rates'!F488</f>
        <v>234029</v>
      </c>
      <c r="G477" s="421">
        <f>'JKP-3.1c - Rev Actual Rates'!G488</f>
        <v>217802</v>
      </c>
      <c r="H477" s="421">
        <f>'JKP-3.1c - Rev Actual Rates'!H488</f>
        <v>258103</v>
      </c>
      <c r="I477" s="421">
        <f>'JKP-3.1c - Rev Actual Rates'!I488</f>
        <v>241349</v>
      </c>
      <c r="J477" s="421">
        <f>'JKP-3.1c - Rev Actual Rates'!J488</f>
        <v>217974</v>
      </c>
      <c r="K477" s="421">
        <f>'JKP-3.1c - Rev Actual Rates'!K488</f>
        <v>239899</v>
      </c>
      <c r="L477" s="421">
        <f>'JKP-3.1c - Rev Actual Rates'!L488</f>
        <v>330719</v>
      </c>
      <c r="M477" s="421">
        <f>'JKP-3.1c - Rev Actual Rates'!M488</f>
        <v>339751</v>
      </c>
      <c r="N477" s="421">
        <f>'JKP-3.1c - Rev Actual Rates'!N488</f>
        <v>318132</v>
      </c>
      <c r="O477" s="421">
        <f>'JKP-3.1c - Rev Actual Rates'!O488</f>
        <v>349271</v>
      </c>
      <c r="P477" s="421">
        <f>'JKP-3.1c - Rev Actual Rates'!P488</f>
        <v>399248</v>
      </c>
      <c r="Q477" s="421">
        <f>'JKP-3.1c - Rev Actual Rates'!Q488</f>
        <v>414758</v>
      </c>
      <c r="R477" s="362">
        <f t="shared" si="118"/>
        <v>3561035</v>
      </c>
    </row>
    <row r="478" spans="2:20" s="336" customFormat="1" x14ac:dyDescent="0.2">
      <c r="C478" s="336" t="s">
        <v>1075</v>
      </c>
      <c r="D478" s="444" t="s">
        <v>808</v>
      </c>
      <c r="E478" s="336" t="s">
        <v>10</v>
      </c>
      <c r="F478" s="430">
        <f t="shared" ref="F478:M478" si="119">SUM(F475:F477)</f>
        <v>309029</v>
      </c>
      <c r="G478" s="430">
        <f t="shared" si="119"/>
        <v>288055</v>
      </c>
      <c r="H478" s="430">
        <f t="shared" si="119"/>
        <v>328103</v>
      </c>
      <c r="I478" s="430">
        <f t="shared" si="119"/>
        <v>311349</v>
      </c>
      <c r="J478" s="430">
        <f t="shared" si="119"/>
        <v>287974</v>
      </c>
      <c r="K478" s="430">
        <f t="shared" si="119"/>
        <v>309899</v>
      </c>
      <c r="L478" s="430">
        <f t="shared" si="119"/>
        <v>405719</v>
      </c>
      <c r="M478" s="430">
        <f t="shared" si="119"/>
        <v>414751</v>
      </c>
      <c r="N478" s="430">
        <f>SUM(N475:N477)</f>
        <v>393132</v>
      </c>
      <c r="O478" s="430">
        <f>SUM(O475:O477)</f>
        <v>429271</v>
      </c>
      <c r="P478" s="430">
        <f>SUM(P475:P477)</f>
        <v>479248</v>
      </c>
      <c r="Q478" s="430">
        <f>SUM(Q475:Q477)</f>
        <v>494758</v>
      </c>
      <c r="R478" s="430">
        <f t="shared" si="118"/>
        <v>4451288</v>
      </c>
    </row>
    <row r="479" spans="2:20" s="336" customFormat="1" x14ac:dyDescent="0.2">
      <c r="B479" s="336" t="s">
        <v>74</v>
      </c>
      <c r="D479" s="444" t="s">
        <v>808</v>
      </c>
      <c r="E479" s="336" t="s">
        <v>1076</v>
      </c>
      <c r="F479" s="421">
        <f>'JKP-3.1c - Rev Actual Rates'!F490</f>
        <v>16443</v>
      </c>
      <c r="G479" s="421">
        <f>'JKP-3.1c - Rev Actual Rates'!G490</f>
        <v>16443</v>
      </c>
      <c r="H479" s="421">
        <f>'JKP-3.1c - Rev Actual Rates'!H490</f>
        <v>14103</v>
      </c>
      <c r="I479" s="421">
        <f>'JKP-3.1c - Rev Actual Rates'!I490</f>
        <v>14103</v>
      </c>
      <c r="J479" s="421">
        <f>'JKP-3.1c - Rev Actual Rates'!J490</f>
        <v>14103.000000000002</v>
      </c>
      <c r="K479" s="421">
        <f>'JKP-3.1c - Rev Actual Rates'!K490</f>
        <v>14103</v>
      </c>
      <c r="L479" s="421">
        <f>'JKP-3.1c - Rev Actual Rates'!L490</f>
        <v>18197</v>
      </c>
      <c r="M479" s="421">
        <f>'JKP-3.1c - Rev Actual Rates'!M490</f>
        <v>18309</v>
      </c>
      <c r="N479" s="421">
        <f>'JKP-3.1c - Rev Actual Rates'!N490</f>
        <v>18309</v>
      </c>
      <c r="O479" s="421">
        <f>'JKP-3.1c - Rev Actual Rates'!O490</f>
        <v>18309</v>
      </c>
      <c r="P479" s="421">
        <f>'JKP-3.1c - Rev Actual Rates'!P490</f>
        <v>20237</v>
      </c>
      <c r="Q479" s="421">
        <f>'JKP-3.1c - Rev Actual Rates'!Q490</f>
        <v>20237</v>
      </c>
      <c r="R479" s="362">
        <f t="shared" si="118"/>
        <v>202896</v>
      </c>
    </row>
    <row r="480" spans="2:20" s="336" customFormat="1" x14ac:dyDescent="0.2">
      <c r="B480" s="336" t="s">
        <v>1071</v>
      </c>
      <c r="D480" s="444" t="s">
        <v>808</v>
      </c>
      <c r="E480" s="336" t="s">
        <v>67</v>
      </c>
      <c r="F480" s="398">
        <f t="shared" ref="F480:M480" si="120">F473</f>
        <v>15</v>
      </c>
      <c r="G480" s="398">
        <f t="shared" si="120"/>
        <v>15</v>
      </c>
      <c r="H480" s="398">
        <f t="shared" si="120"/>
        <v>14</v>
      </c>
      <c r="I480" s="398">
        <f t="shared" si="120"/>
        <v>14</v>
      </c>
      <c r="J480" s="398">
        <f t="shared" si="120"/>
        <v>14</v>
      </c>
      <c r="K480" s="398">
        <f t="shared" si="120"/>
        <v>14</v>
      </c>
      <c r="L480" s="398">
        <f t="shared" si="120"/>
        <v>14</v>
      </c>
      <c r="M480" s="398">
        <f t="shared" si="120"/>
        <v>15</v>
      </c>
      <c r="N480" s="398">
        <f>N473</f>
        <v>15</v>
      </c>
      <c r="O480" s="398">
        <f>O473</f>
        <v>16</v>
      </c>
      <c r="P480" s="398">
        <f>P473</f>
        <v>16</v>
      </c>
      <c r="Q480" s="398">
        <f>Q473</f>
        <v>16</v>
      </c>
      <c r="R480" s="362">
        <f t="shared" si="118"/>
        <v>178</v>
      </c>
    </row>
    <row r="481" spans="1:20" s="336" customFormat="1" x14ac:dyDescent="0.2">
      <c r="F481" s="362"/>
      <c r="G481" s="362"/>
      <c r="H481" s="362"/>
      <c r="I481" s="362"/>
      <c r="J481" s="362"/>
      <c r="K481" s="362"/>
      <c r="L481" s="362"/>
      <c r="M481" s="279"/>
      <c r="N481" s="279"/>
      <c r="O481" s="279"/>
      <c r="P481" s="279"/>
      <c r="Q481" s="279"/>
    </row>
    <row r="482" spans="1:20" s="336" customFormat="1" x14ac:dyDescent="0.2">
      <c r="B482" s="182" t="s">
        <v>985</v>
      </c>
      <c r="M482" s="32"/>
      <c r="N482" s="32"/>
      <c r="O482" s="32"/>
      <c r="P482" s="32"/>
      <c r="Q482" s="32"/>
    </row>
    <row r="483" spans="1:20" s="336" customFormat="1" x14ac:dyDescent="0.2">
      <c r="A483" s="336" t="s">
        <v>1054</v>
      </c>
      <c r="B483" s="336" t="s">
        <v>1059</v>
      </c>
      <c r="D483" s="444" t="s">
        <v>808</v>
      </c>
      <c r="F483" s="364">
        <f t="shared" ref="F483:Q483" si="121">F463*F473</f>
        <v>6220.2</v>
      </c>
      <c r="G483" s="364">
        <f t="shared" si="121"/>
        <v>6220.2</v>
      </c>
      <c r="H483" s="364">
        <f t="shared" si="121"/>
        <v>5805.52</v>
      </c>
      <c r="I483" s="364">
        <f t="shared" si="121"/>
        <v>5805.52</v>
      </c>
      <c r="J483" s="364">
        <f t="shared" si="121"/>
        <v>5805.52</v>
      </c>
      <c r="K483" s="364">
        <f t="shared" si="121"/>
        <v>5805.52</v>
      </c>
      <c r="L483" s="364">
        <f t="shared" si="121"/>
        <v>5805.52</v>
      </c>
      <c r="M483" s="364">
        <f t="shared" si="121"/>
        <v>6220.2</v>
      </c>
      <c r="N483" s="364">
        <f t="shared" si="121"/>
        <v>6220.2</v>
      </c>
      <c r="O483" s="364">
        <f t="shared" si="121"/>
        <v>6634.88</v>
      </c>
      <c r="P483" s="364">
        <f t="shared" si="121"/>
        <v>6634.88</v>
      </c>
      <c r="Q483" s="364">
        <f t="shared" si="121"/>
        <v>6634.88</v>
      </c>
      <c r="R483" s="364">
        <f>SUM(F483:Q483)</f>
        <v>73813.039999999994</v>
      </c>
    </row>
    <row r="484" spans="1:20" s="336" customFormat="1" x14ac:dyDescent="0.2">
      <c r="B484" s="336" t="s">
        <v>1047</v>
      </c>
      <c r="F484" s="364"/>
      <c r="G484" s="364"/>
      <c r="H484" s="364"/>
      <c r="I484" s="364"/>
      <c r="J484" s="364"/>
      <c r="K484" s="364"/>
      <c r="L484" s="364"/>
      <c r="M484" s="364"/>
      <c r="N484" s="364"/>
      <c r="O484" s="364"/>
      <c r="P484" s="364"/>
      <c r="Q484" s="364"/>
      <c r="R484" s="364"/>
    </row>
    <row r="485" spans="1:20" s="336" customFormat="1" x14ac:dyDescent="0.2">
      <c r="C485" s="336" t="s">
        <v>1073</v>
      </c>
      <c r="F485" s="350">
        <v>0</v>
      </c>
      <c r="G485" s="350">
        <v>0</v>
      </c>
      <c r="H485" s="350">
        <v>0</v>
      </c>
      <c r="I485" s="350">
        <v>0</v>
      </c>
      <c r="J485" s="350">
        <v>0</v>
      </c>
      <c r="K485" s="350">
        <v>0</v>
      </c>
      <c r="L485" s="350">
        <v>0</v>
      </c>
      <c r="M485" s="350">
        <v>0</v>
      </c>
      <c r="N485" s="350">
        <v>0</v>
      </c>
      <c r="O485" s="350">
        <v>0</v>
      </c>
      <c r="P485" s="350">
        <v>0</v>
      </c>
      <c r="Q485" s="350">
        <v>0</v>
      </c>
      <c r="R485" s="350">
        <f t="shared" ref="R485:R490" si="122">SUM(F485:Q485)</f>
        <v>0</v>
      </c>
    </row>
    <row r="486" spans="1:20" s="336" customFormat="1" x14ac:dyDescent="0.2">
      <c r="C486" s="336" t="s">
        <v>1074</v>
      </c>
      <c r="D486" s="444" t="s">
        <v>808</v>
      </c>
      <c r="F486" s="364">
        <f t="shared" ref="F486:Q487" si="123">F465*F476</f>
        <v>8480.2350000000006</v>
      </c>
      <c r="G486" s="364">
        <f t="shared" si="123"/>
        <v>7914.8860000000004</v>
      </c>
      <c r="H486" s="364">
        <f t="shared" si="123"/>
        <v>7914.8860000000004</v>
      </c>
      <c r="I486" s="364">
        <f t="shared" si="123"/>
        <v>7914.8860000000004</v>
      </c>
      <c r="J486" s="364">
        <f t="shared" si="123"/>
        <v>7914.8860000000004</v>
      </c>
      <c r="K486" s="364">
        <f t="shared" si="123"/>
        <v>7914.8860000000004</v>
      </c>
      <c r="L486" s="364">
        <f t="shared" si="123"/>
        <v>8480.2350000000006</v>
      </c>
      <c r="M486" s="364">
        <f t="shared" si="123"/>
        <v>8480.2350000000006</v>
      </c>
      <c r="N486" s="364">
        <f t="shared" si="123"/>
        <v>8480.2350000000006</v>
      </c>
      <c r="O486" s="364">
        <f t="shared" si="123"/>
        <v>9045.5840000000007</v>
      </c>
      <c r="P486" s="364">
        <f t="shared" si="123"/>
        <v>9045.5840000000007</v>
      </c>
      <c r="Q486" s="364">
        <f t="shared" si="123"/>
        <v>9045.5840000000007</v>
      </c>
      <c r="R486" s="364">
        <f t="shared" si="122"/>
        <v>100632.122</v>
      </c>
    </row>
    <row r="487" spans="1:20" s="336" customFormat="1" x14ac:dyDescent="0.2">
      <c r="C487" s="336" t="s">
        <v>1066</v>
      </c>
      <c r="D487" s="444" t="s">
        <v>808</v>
      </c>
      <c r="F487" s="364">
        <f t="shared" si="123"/>
        <v>26335.283370000001</v>
      </c>
      <c r="G487" s="364">
        <f t="shared" si="123"/>
        <v>24509.25906</v>
      </c>
      <c r="H487" s="364">
        <f t="shared" si="123"/>
        <v>29044.330590000001</v>
      </c>
      <c r="I487" s="364">
        <f t="shared" si="123"/>
        <v>27159.002970000001</v>
      </c>
      <c r="J487" s="364">
        <f t="shared" si="123"/>
        <v>24528.614219999999</v>
      </c>
      <c r="K487" s="364">
        <f t="shared" si="123"/>
        <v>26995.834470000002</v>
      </c>
      <c r="L487" s="364">
        <f t="shared" si="123"/>
        <v>37215.809070000003</v>
      </c>
      <c r="M487" s="364">
        <f t="shared" si="123"/>
        <v>38232.180030000003</v>
      </c>
      <c r="N487" s="364">
        <f t="shared" si="123"/>
        <v>35799.393960000001</v>
      </c>
      <c r="O487" s="364">
        <f t="shared" si="123"/>
        <v>39303.465629999999</v>
      </c>
      <c r="P487" s="364">
        <f t="shared" si="123"/>
        <v>44927.377440000004</v>
      </c>
      <c r="Q487" s="364">
        <f t="shared" si="123"/>
        <v>46672.71774</v>
      </c>
      <c r="R487" s="364">
        <f t="shared" si="122"/>
        <v>400723.26854999998</v>
      </c>
    </row>
    <row r="488" spans="1:20" s="336" customFormat="1" x14ac:dyDescent="0.2">
      <c r="A488" s="336" t="s">
        <v>1054</v>
      </c>
      <c r="C488" s="336" t="s">
        <v>1077</v>
      </c>
      <c r="F488" s="365">
        <f t="shared" ref="F488:L488" si="124">SUM(F485:F487)</f>
        <v>34815.518370000005</v>
      </c>
      <c r="G488" s="365">
        <f t="shared" si="124"/>
        <v>32424.145060000003</v>
      </c>
      <c r="H488" s="365">
        <f t="shared" si="124"/>
        <v>36959.216590000004</v>
      </c>
      <c r="I488" s="365">
        <f t="shared" si="124"/>
        <v>35073.88897</v>
      </c>
      <c r="J488" s="365">
        <f t="shared" si="124"/>
        <v>32443.500220000002</v>
      </c>
      <c r="K488" s="365">
        <f t="shared" si="124"/>
        <v>34910.72047</v>
      </c>
      <c r="L488" s="365">
        <f t="shared" si="124"/>
        <v>45696.044070000004</v>
      </c>
      <c r="M488" s="365">
        <f>SUM(M485:M487)</f>
        <v>46712.415030000004</v>
      </c>
      <c r="N488" s="365">
        <f>SUM(N485:N487)</f>
        <v>44279.628960000002</v>
      </c>
      <c r="O488" s="365">
        <f>SUM(O485:O487)</f>
        <v>48349.049630000001</v>
      </c>
      <c r="P488" s="365">
        <f>SUM(P485:P487)</f>
        <v>53972.961440000006</v>
      </c>
      <c r="Q488" s="365">
        <f>SUM(Q485:Q487)</f>
        <v>55718.301740000003</v>
      </c>
      <c r="R488" s="365">
        <f t="shared" si="122"/>
        <v>501355.39055000001</v>
      </c>
    </row>
    <row r="489" spans="1:20" x14ac:dyDescent="0.2">
      <c r="A489" s="32" t="s">
        <v>1056</v>
      </c>
      <c r="B489" s="336" t="s">
        <v>1081</v>
      </c>
      <c r="D489" s="444" t="s">
        <v>808</v>
      </c>
      <c r="F489" s="418">
        <f t="shared" ref="F489:Q489" si="125">F467*F478</f>
        <v>216.3203</v>
      </c>
      <c r="G489" s="418">
        <f t="shared" si="125"/>
        <v>201.63849999999999</v>
      </c>
      <c r="H489" s="418">
        <f t="shared" si="125"/>
        <v>229.6721</v>
      </c>
      <c r="I489" s="418">
        <f t="shared" si="125"/>
        <v>217.9443</v>
      </c>
      <c r="J489" s="418">
        <f t="shared" si="125"/>
        <v>201.58179999999999</v>
      </c>
      <c r="K489" s="418">
        <f t="shared" si="125"/>
        <v>216.92930000000001</v>
      </c>
      <c r="L489" s="418">
        <f t="shared" si="125"/>
        <v>284.00330000000002</v>
      </c>
      <c r="M489" s="418">
        <f t="shared" si="125"/>
        <v>290.32569999999998</v>
      </c>
      <c r="N489" s="418">
        <f t="shared" si="125"/>
        <v>275.19240000000002</v>
      </c>
      <c r="O489" s="418">
        <f t="shared" si="125"/>
        <v>300.48969999999997</v>
      </c>
      <c r="P489" s="418">
        <f t="shared" si="125"/>
        <v>335.47359999999998</v>
      </c>
      <c r="Q489" s="418">
        <f t="shared" si="125"/>
        <v>346.3306</v>
      </c>
      <c r="R489" s="418">
        <f t="shared" si="122"/>
        <v>3115.9016000000001</v>
      </c>
      <c r="S489" s="32"/>
      <c r="T489" s="32"/>
    </row>
    <row r="490" spans="1:20" x14ac:dyDescent="0.2">
      <c r="A490" s="32" t="s">
        <v>1054</v>
      </c>
      <c r="B490" s="32" t="s">
        <v>1082</v>
      </c>
      <c r="F490" s="418">
        <f t="shared" ref="F490:Q492" si="126">F468*F478</f>
        <v>-1566.77703</v>
      </c>
      <c r="G490" s="418">
        <f t="shared" si="126"/>
        <v>-1460.43885</v>
      </c>
      <c r="H490" s="418">
        <f t="shared" si="126"/>
        <v>-1663.4822099999999</v>
      </c>
      <c r="I490" s="418">
        <f t="shared" si="126"/>
        <v>-1578.53943</v>
      </c>
      <c r="J490" s="418">
        <f t="shared" si="126"/>
        <v>-1460.02818</v>
      </c>
      <c r="K490" s="418">
        <f t="shared" si="126"/>
        <v>-1571.1879300000001</v>
      </c>
      <c r="L490" s="418">
        <f t="shared" si="126"/>
        <v>-2056.9953299999997</v>
      </c>
      <c r="M490" s="418">
        <f t="shared" si="126"/>
        <v>-2102.78757</v>
      </c>
      <c r="N490" s="418">
        <f t="shared" si="126"/>
        <v>-1993.1792399999999</v>
      </c>
      <c r="O490" s="418">
        <f t="shared" si="126"/>
        <v>-2176.4039699999998</v>
      </c>
      <c r="P490" s="418">
        <f t="shared" si="126"/>
        <v>-2429.7873599999998</v>
      </c>
      <c r="Q490" s="418">
        <f t="shared" si="126"/>
        <v>-2508.4230600000001</v>
      </c>
      <c r="R490" s="418">
        <f t="shared" si="122"/>
        <v>-22568.030159999998</v>
      </c>
      <c r="S490" s="32"/>
      <c r="T490" s="32"/>
    </row>
    <row r="491" spans="1:20" s="336" customFormat="1" x14ac:dyDescent="0.2">
      <c r="A491" s="336" t="s">
        <v>1054</v>
      </c>
      <c r="B491" s="336" t="s">
        <v>1069</v>
      </c>
      <c r="D491" s="444" t="s">
        <v>808</v>
      </c>
      <c r="F491" s="364">
        <f t="shared" si="126"/>
        <v>18251.730000000003</v>
      </c>
      <c r="G491" s="364">
        <f t="shared" si="126"/>
        <v>18251.730000000003</v>
      </c>
      <c r="H491" s="364">
        <f t="shared" si="126"/>
        <v>15654.330000000002</v>
      </c>
      <c r="I491" s="364">
        <f t="shared" si="126"/>
        <v>15654.330000000002</v>
      </c>
      <c r="J491" s="364">
        <f t="shared" si="126"/>
        <v>15654.330000000004</v>
      </c>
      <c r="K491" s="364">
        <f t="shared" si="126"/>
        <v>15654.330000000002</v>
      </c>
      <c r="L491" s="364">
        <f t="shared" si="126"/>
        <v>20198.670000000002</v>
      </c>
      <c r="M491" s="364">
        <f t="shared" si="126"/>
        <v>20322.990000000002</v>
      </c>
      <c r="N491" s="364">
        <f t="shared" si="126"/>
        <v>20322.990000000002</v>
      </c>
      <c r="O491" s="364">
        <f t="shared" si="126"/>
        <v>20322.990000000002</v>
      </c>
      <c r="P491" s="364">
        <f t="shared" si="126"/>
        <v>22463.070000000003</v>
      </c>
      <c r="Q491" s="364">
        <f t="shared" si="126"/>
        <v>22463.070000000003</v>
      </c>
      <c r="R491" s="364">
        <f>SUM(F491:Q491)</f>
        <v>225214.56</v>
      </c>
    </row>
    <row r="492" spans="1:20" s="336" customFormat="1" x14ac:dyDescent="0.2">
      <c r="A492" s="336" t="s">
        <v>1054</v>
      </c>
      <c r="B492" s="336" t="s">
        <v>1071</v>
      </c>
      <c r="D492" s="444" t="s">
        <v>808</v>
      </c>
      <c r="F492" s="418">
        <f t="shared" si="126"/>
        <v>1861.5</v>
      </c>
      <c r="G492" s="418">
        <f t="shared" si="126"/>
        <v>1861.5</v>
      </c>
      <c r="H492" s="418">
        <f t="shared" si="126"/>
        <v>1737.3999999999999</v>
      </c>
      <c r="I492" s="418">
        <f t="shared" si="126"/>
        <v>1737.3999999999999</v>
      </c>
      <c r="J492" s="418">
        <f t="shared" si="126"/>
        <v>1737.3999999999999</v>
      </c>
      <c r="K492" s="418">
        <f t="shared" si="126"/>
        <v>1737.3999999999999</v>
      </c>
      <c r="L492" s="418">
        <f t="shared" si="126"/>
        <v>1737.3999999999999</v>
      </c>
      <c r="M492" s="418">
        <f>M470*M480</f>
        <v>1861.5</v>
      </c>
      <c r="N492" s="418">
        <f>N470*N480</f>
        <v>1861.5</v>
      </c>
      <c r="O492" s="418">
        <f>O470*O480</f>
        <v>1985.6</v>
      </c>
      <c r="P492" s="418">
        <f>P470*P480</f>
        <v>1985.6</v>
      </c>
      <c r="Q492" s="418">
        <f>Q470*Q480</f>
        <v>1985.6</v>
      </c>
      <c r="R492" s="418">
        <f>SUM(F492:Q492)</f>
        <v>22089.799999999996</v>
      </c>
    </row>
    <row r="493" spans="1:20" s="336" customFormat="1" x14ac:dyDescent="0.2">
      <c r="B493" s="336" t="s">
        <v>986</v>
      </c>
      <c r="F493" s="339">
        <f>F483+F488+F491+F492+F489+F490</f>
        <v>59798.491640000007</v>
      </c>
      <c r="G493" s="339">
        <f t="shared" ref="G493:R493" si="127">G483+G488+G491+G492+G489+G490</f>
        <v>57498.774710000005</v>
      </c>
      <c r="H493" s="339">
        <f t="shared" si="127"/>
        <v>58722.656480000005</v>
      </c>
      <c r="I493" s="339">
        <f t="shared" si="127"/>
        <v>56910.543840000013</v>
      </c>
      <c r="J493" s="339">
        <f t="shared" si="127"/>
        <v>54382.303840000008</v>
      </c>
      <c r="K493" s="339">
        <f t="shared" si="127"/>
        <v>56753.711840000011</v>
      </c>
      <c r="L493" s="339">
        <f t="shared" si="127"/>
        <v>71664.642039999992</v>
      </c>
      <c r="M493" s="339">
        <f t="shared" si="127"/>
        <v>73304.643160000007</v>
      </c>
      <c r="N493" s="339">
        <f t="shared" si="127"/>
        <v>70966.332120000006</v>
      </c>
      <c r="O493" s="339">
        <f t="shared" si="127"/>
        <v>75416.605360000016</v>
      </c>
      <c r="P493" s="339">
        <f t="shared" si="127"/>
        <v>82962.197680000012</v>
      </c>
      <c r="Q493" s="339">
        <f t="shared" si="127"/>
        <v>84639.759280000013</v>
      </c>
      <c r="R493" s="339">
        <f t="shared" si="127"/>
        <v>803020.66199000005</v>
      </c>
    </row>
    <row r="494" spans="1:20" s="336" customFormat="1" x14ac:dyDescent="0.2">
      <c r="F494" s="415"/>
      <c r="G494" s="415"/>
      <c r="H494" s="415"/>
      <c r="I494" s="415"/>
      <c r="J494" s="415"/>
    </row>
    <row r="495" spans="1:20" s="336" customFormat="1" x14ac:dyDescent="0.2">
      <c r="A495" s="336" t="s">
        <v>1058</v>
      </c>
      <c r="B495" s="336" t="s">
        <v>1050</v>
      </c>
      <c r="F495" s="340">
        <f>F489</f>
        <v>216.3203</v>
      </c>
      <c r="G495" s="340">
        <f t="shared" ref="G495:Q495" si="128">G489</f>
        <v>201.63849999999999</v>
      </c>
      <c r="H495" s="340">
        <f t="shared" si="128"/>
        <v>229.6721</v>
      </c>
      <c r="I495" s="340">
        <f t="shared" si="128"/>
        <v>217.9443</v>
      </c>
      <c r="J495" s="340">
        <f t="shared" si="128"/>
        <v>201.58179999999999</v>
      </c>
      <c r="K495" s="340">
        <f t="shared" si="128"/>
        <v>216.92930000000001</v>
      </c>
      <c r="L495" s="340">
        <f t="shared" si="128"/>
        <v>284.00330000000002</v>
      </c>
      <c r="M495" s="340">
        <f t="shared" si="128"/>
        <v>290.32569999999998</v>
      </c>
      <c r="N495" s="340">
        <f t="shared" si="128"/>
        <v>275.19240000000002</v>
      </c>
      <c r="O495" s="340">
        <f t="shared" si="128"/>
        <v>300.48969999999997</v>
      </c>
      <c r="P495" s="340">
        <f t="shared" si="128"/>
        <v>335.47359999999998</v>
      </c>
      <c r="Q495" s="340">
        <f t="shared" si="128"/>
        <v>346.3306</v>
      </c>
      <c r="R495" s="418">
        <f>SUM(F495:Q495)</f>
        <v>3115.9016000000001</v>
      </c>
    </row>
    <row r="496" spans="1:20" s="336" customFormat="1" x14ac:dyDescent="0.2">
      <c r="F496" s="415"/>
      <c r="G496" s="415"/>
      <c r="H496" s="415"/>
      <c r="I496" s="415"/>
      <c r="J496" s="415"/>
    </row>
    <row r="497" spans="2:20" x14ac:dyDescent="0.2">
      <c r="B497" s="276" t="s">
        <v>1103</v>
      </c>
      <c r="C497" s="276"/>
      <c r="F497" s="390"/>
      <c r="G497" s="390"/>
      <c r="H497" s="390"/>
      <c r="I497" s="390"/>
      <c r="J497" s="390"/>
      <c r="S497" s="32"/>
      <c r="T497" s="32"/>
    </row>
    <row r="498" spans="2:20" x14ac:dyDescent="0.2">
      <c r="B498" s="276" t="s">
        <v>5</v>
      </c>
      <c r="C498" s="276"/>
      <c r="F498" s="390"/>
      <c r="G498" s="390"/>
      <c r="H498" s="390"/>
      <c r="I498" s="390"/>
      <c r="J498" s="390"/>
      <c r="S498" s="32"/>
      <c r="T498" s="32"/>
    </row>
    <row r="499" spans="2:20" x14ac:dyDescent="0.2">
      <c r="B499" s="32" t="s">
        <v>1059</v>
      </c>
      <c r="D499" s="444" t="s">
        <v>809</v>
      </c>
      <c r="E499" s="32" t="s">
        <v>976</v>
      </c>
      <c r="F499" s="454">
        <f t="shared" ref="F499:L499" si="129">F171</f>
        <v>871.59</v>
      </c>
      <c r="G499" s="454">
        <f t="shared" si="129"/>
        <v>871.59</v>
      </c>
      <c r="H499" s="454">
        <f t="shared" si="129"/>
        <v>871.59</v>
      </c>
      <c r="I499" s="454">
        <f t="shared" si="129"/>
        <v>871.59</v>
      </c>
      <c r="J499" s="454">
        <f t="shared" si="129"/>
        <v>871.59</v>
      </c>
      <c r="K499" s="454">
        <f t="shared" si="129"/>
        <v>871.59</v>
      </c>
      <c r="L499" s="454">
        <f t="shared" si="129"/>
        <v>871.59</v>
      </c>
      <c r="M499" s="454">
        <f>M171</f>
        <v>871.59</v>
      </c>
      <c r="N499" s="454">
        <f>N171</f>
        <v>871.59</v>
      </c>
      <c r="O499" s="454">
        <f>O171</f>
        <v>871.59</v>
      </c>
      <c r="P499" s="454">
        <f>P171</f>
        <v>871.59</v>
      </c>
      <c r="Q499" s="454">
        <f>Q171</f>
        <v>871.59</v>
      </c>
      <c r="S499" s="32"/>
      <c r="T499" s="32"/>
    </row>
    <row r="500" spans="2:20" x14ac:dyDescent="0.2">
      <c r="B500" s="32" t="s">
        <v>1047</v>
      </c>
      <c r="F500" s="453"/>
      <c r="G500" s="453"/>
      <c r="H500" s="453"/>
      <c r="I500" s="453"/>
      <c r="J500" s="453"/>
      <c r="K500" s="453"/>
      <c r="L500" s="453"/>
      <c r="M500" s="453"/>
      <c r="N500" s="453"/>
      <c r="O500" s="453"/>
      <c r="P500" s="453"/>
      <c r="Q500" s="453"/>
      <c r="S500" s="32"/>
      <c r="T500" s="32"/>
    </row>
    <row r="501" spans="2:20" x14ac:dyDescent="0.2">
      <c r="C501" s="32" t="s">
        <v>1086</v>
      </c>
      <c r="D501" s="444" t="s">
        <v>809</v>
      </c>
      <c r="E501" s="32" t="s">
        <v>957</v>
      </c>
      <c r="F501" s="459">
        <f t="shared" ref="F501:Q505" si="130">F173</f>
        <v>0.10229000000000001</v>
      </c>
      <c r="G501" s="459">
        <f t="shared" si="130"/>
        <v>0.10229000000000001</v>
      </c>
      <c r="H501" s="459">
        <f t="shared" si="130"/>
        <v>0.10229000000000001</v>
      </c>
      <c r="I501" s="459">
        <f t="shared" si="130"/>
        <v>0.10229000000000001</v>
      </c>
      <c r="J501" s="459">
        <f t="shared" si="130"/>
        <v>0.10229000000000001</v>
      </c>
      <c r="K501" s="459">
        <f t="shared" si="130"/>
        <v>0.10229000000000001</v>
      </c>
      <c r="L501" s="459">
        <f t="shared" si="130"/>
        <v>0.10229000000000001</v>
      </c>
      <c r="M501" s="459">
        <f t="shared" si="130"/>
        <v>0.10229000000000001</v>
      </c>
      <c r="N501" s="459">
        <f t="shared" si="130"/>
        <v>0.10229000000000001</v>
      </c>
      <c r="O501" s="459">
        <f t="shared" si="130"/>
        <v>0.10229000000000001</v>
      </c>
      <c r="P501" s="459">
        <f t="shared" si="130"/>
        <v>0.10229000000000001</v>
      </c>
      <c r="Q501" s="459">
        <f t="shared" si="130"/>
        <v>0.10229000000000001</v>
      </c>
      <c r="S501" s="32"/>
      <c r="T501" s="32"/>
    </row>
    <row r="502" spans="2:20" x14ac:dyDescent="0.2">
      <c r="C502" s="32" t="s">
        <v>1087</v>
      </c>
      <c r="D502" s="444" t="s">
        <v>809</v>
      </c>
      <c r="E502" s="32" t="s">
        <v>957</v>
      </c>
      <c r="F502" s="459">
        <f t="shared" si="130"/>
        <v>5.2440000000000001E-2</v>
      </c>
      <c r="G502" s="459">
        <f t="shared" si="130"/>
        <v>5.2440000000000001E-2</v>
      </c>
      <c r="H502" s="459">
        <f t="shared" si="130"/>
        <v>5.2440000000000001E-2</v>
      </c>
      <c r="I502" s="459">
        <f t="shared" si="130"/>
        <v>5.2440000000000001E-2</v>
      </c>
      <c r="J502" s="459">
        <f t="shared" si="130"/>
        <v>5.2440000000000001E-2</v>
      </c>
      <c r="K502" s="459">
        <f t="shared" si="130"/>
        <v>5.2440000000000001E-2</v>
      </c>
      <c r="L502" s="459">
        <f t="shared" si="130"/>
        <v>5.2440000000000001E-2</v>
      </c>
      <c r="M502" s="459">
        <f t="shared" si="130"/>
        <v>5.2440000000000001E-2</v>
      </c>
      <c r="N502" s="459">
        <f t="shared" si="130"/>
        <v>5.2440000000000001E-2</v>
      </c>
      <c r="O502" s="459">
        <f t="shared" si="130"/>
        <v>5.2440000000000001E-2</v>
      </c>
      <c r="P502" s="459">
        <f t="shared" si="130"/>
        <v>5.2440000000000001E-2</v>
      </c>
      <c r="Q502" s="459">
        <f t="shared" si="130"/>
        <v>5.2440000000000001E-2</v>
      </c>
      <c r="S502" s="32"/>
      <c r="T502" s="32"/>
    </row>
    <row r="503" spans="2:20" x14ac:dyDescent="0.2">
      <c r="C503" s="32" t="s">
        <v>1088</v>
      </c>
      <c r="D503" s="444" t="s">
        <v>809</v>
      </c>
      <c r="E503" s="32" t="s">
        <v>957</v>
      </c>
      <c r="F503" s="459">
        <f t="shared" si="130"/>
        <v>5.033E-2</v>
      </c>
      <c r="G503" s="459">
        <f t="shared" si="130"/>
        <v>5.033E-2</v>
      </c>
      <c r="H503" s="459">
        <f t="shared" si="130"/>
        <v>5.033E-2</v>
      </c>
      <c r="I503" s="459">
        <f t="shared" si="130"/>
        <v>5.033E-2</v>
      </c>
      <c r="J503" s="459">
        <f t="shared" si="130"/>
        <v>5.033E-2</v>
      </c>
      <c r="K503" s="459">
        <f t="shared" si="130"/>
        <v>5.033E-2</v>
      </c>
      <c r="L503" s="459">
        <f t="shared" si="130"/>
        <v>5.033E-2</v>
      </c>
      <c r="M503" s="459">
        <f t="shared" si="130"/>
        <v>5.033E-2</v>
      </c>
      <c r="N503" s="459">
        <f t="shared" si="130"/>
        <v>5.033E-2</v>
      </c>
      <c r="O503" s="459">
        <f t="shared" si="130"/>
        <v>5.033E-2</v>
      </c>
      <c r="P503" s="459">
        <f t="shared" si="130"/>
        <v>5.033E-2</v>
      </c>
      <c r="Q503" s="459">
        <f t="shared" si="130"/>
        <v>5.033E-2</v>
      </c>
      <c r="S503" s="32"/>
      <c r="T503" s="32"/>
    </row>
    <row r="504" spans="2:20" x14ac:dyDescent="0.2">
      <c r="B504" s="336" t="s">
        <v>1081</v>
      </c>
      <c r="D504" s="382" t="s">
        <v>809</v>
      </c>
      <c r="E504" s="336" t="s">
        <v>957</v>
      </c>
      <c r="F504" s="459">
        <f t="shared" si="130"/>
        <v>6.9999999999999999E-4</v>
      </c>
      <c r="G504" s="459">
        <f t="shared" si="130"/>
        <v>6.9999999999999999E-4</v>
      </c>
      <c r="H504" s="459">
        <f t="shared" si="130"/>
        <v>6.9999999999999999E-4</v>
      </c>
      <c r="I504" s="459">
        <f t="shared" si="130"/>
        <v>6.9999999999999999E-4</v>
      </c>
      <c r="J504" s="459">
        <f t="shared" si="130"/>
        <v>6.9999999999999999E-4</v>
      </c>
      <c r="K504" s="459">
        <f t="shared" si="130"/>
        <v>6.9999999999999999E-4</v>
      </c>
      <c r="L504" s="459">
        <f t="shared" si="130"/>
        <v>6.9999999999999999E-4</v>
      </c>
      <c r="M504" s="459">
        <f>M176</f>
        <v>6.9999999999999999E-4</v>
      </c>
      <c r="N504" s="459">
        <f>N176</f>
        <v>6.9999999999999999E-4</v>
      </c>
      <c r="O504" s="459">
        <f t="shared" si="130"/>
        <v>6.9999999999999999E-4</v>
      </c>
      <c r="P504" s="459">
        <f t="shared" si="130"/>
        <v>6.9999999999999999E-4</v>
      </c>
      <c r="Q504" s="459">
        <f t="shared" si="130"/>
        <v>6.9999999999999999E-4</v>
      </c>
      <c r="S504" s="32"/>
      <c r="T504" s="32"/>
    </row>
    <row r="505" spans="2:20" x14ac:dyDescent="0.2">
      <c r="B505" s="32" t="s">
        <v>1069</v>
      </c>
      <c r="D505" s="444" t="s">
        <v>809</v>
      </c>
      <c r="E505" s="32" t="s">
        <v>957</v>
      </c>
      <c r="F505" s="460">
        <f t="shared" si="130"/>
        <v>1.1100000000000001</v>
      </c>
      <c r="G505" s="460">
        <f t="shared" si="130"/>
        <v>1.1100000000000001</v>
      </c>
      <c r="H505" s="460">
        <f t="shared" si="130"/>
        <v>1.1100000000000001</v>
      </c>
      <c r="I505" s="460">
        <f t="shared" si="130"/>
        <v>1.1100000000000001</v>
      </c>
      <c r="J505" s="460">
        <f t="shared" si="130"/>
        <v>1.1100000000000001</v>
      </c>
      <c r="K505" s="460">
        <f t="shared" si="130"/>
        <v>1.1100000000000001</v>
      </c>
      <c r="L505" s="460">
        <f t="shared" si="130"/>
        <v>1.1100000000000001</v>
      </c>
      <c r="M505" s="460">
        <f>M177</f>
        <v>1.1100000000000001</v>
      </c>
      <c r="N505" s="460">
        <f>N177</f>
        <v>1.1100000000000001</v>
      </c>
      <c r="O505" s="460">
        <f t="shared" si="130"/>
        <v>1.1100000000000001</v>
      </c>
      <c r="P505" s="460">
        <f t="shared" si="130"/>
        <v>1.1100000000000001</v>
      </c>
      <c r="Q505" s="460">
        <f t="shared" si="130"/>
        <v>1.1100000000000001</v>
      </c>
      <c r="S505" s="32"/>
      <c r="T505" s="32"/>
    </row>
    <row r="506" spans="2:20" s="336" customFormat="1" x14ac:dyDescent="0.2">
      <c r="B506" s="336" t="s">
        <v>1071</v>
      </c>
      <c r="D506" s="444" t="s">
        <v>809</v>
      </c>
      <c r="E506" s="336" t="s">
        <v>67</v>
      </c>
      <c r="F506" s="442"/>
      <c r="G506" s="442"/>
      <c r="H506" s="442"/>
      <c r="I506" s="442"/>
      <c r="J506" s="442"/>
      <c r="K506" s="442"/>
      <c r="L506" s="442"/>
      <c r="M506" s="442"/>
      <c r="N506" s="442"/>
      <c r="O506" s="442"/>
      <c r="P506" s="442"/>
      <c r="Q506" s="442"/>
    </row>
    <row r="507" spans="2:20" s="336" customFormat="1" x14ac:dyDescent="0.2">
      <c r="F507" s="415"/>
      <c r="G507" s="415"/>
      <c r="H507" s="415"/>
      <c r="I507" s="415"/>
      <c r="J507" s="415"/>
    </row>
    <row r="508" spans="2:20" s="336" customFormat="1" x14ac:dyDescent="0.2">
      <c r="B508" s="182" t="s">
        <v>1083</v>
      </c>
      <c r="F508" s="415"/>
      <c r="G508" s="415"/>
      <c r="H508" s="415"/>
      <c r="I508" s="415"/>
      <c r="J508" s="415"/>
    </row>
    <row r="509" spans="2:20" s="336" customFormat="1" x14ac:dyDescent="0.2">
      <c r="B509" s="336" t="s">
        <v>67</v>
      </c>
      <c r="D509" s="444" t="s">
        <v>809</v>
      </c>
      <c r="E509" s="336" t="s">
        <v>67</v>
      </c>
      <c r="F509" s="421">
        <f>'JKP-3.1c - Data'!C149</f>
        <v>63</v>
      </c>
      <c r="G509" s="421">
        <f>'JKP-3.1c - Data'!D149</f>
        <v>65</v>
      </c>
      <c r="H509" s="421">
        <f>'JKP-3.1c - Data'!E149</f>
        <v>64</v>
      </c>
      <c r="I509" s="421">
        <f>'JKP-3.1c - Data'!F149</f>
        <v>64</v>
      </c>
      <c r="J509" s="421">
        <f>'JKP-3.1c - Data'!G149</f>
        <v>63.999999999999993</v>
      </c>
      <c r="K509" s="421">
        <f>'JKP-3.1c - Data'!H149</f>
        <v>63</v>
      </c>
      <c r="L509" s="421">
        <f>'JKP-3.1c - Data'!I149</f>
        <v>63</v>
      </c>
      <c r="M509" s="421">
        <f>'JKP-3.1c - Data'!J149</f>
        <v>62</v>
      </c>
      <c r="N509" s="421">
        <f>'JKP-3.1c - Data'!K149</f>
        <v>62</v>
      </c>
      <c r="O509" s="421">
        <f>'JKP-3.1c - Data'!L149</f>
        <v>62</v>
      </c>
      <c r="P509" s="421">
        <f>'JKP-3.1c - Data'!M149</f>
        <v>62</v>
      </c>
      <c r="Q509" s="421">
        <f>'JKP-3.1c - Data'!N149</f>
        <v>63</v>
      </c>
      <c r="R509" s="378">
        <f>SUM(F509:Q509)</f>
        <v>757</v>
      </c>
    </row>
    <row r="510" spans="2:20" s="336" customFormat="1" x14ac:dyDescent="0.2">
      <c r="B510" s="336" t="s">
        <v>76</v>
      </c>
      <c r="F510" s="380"/>
      <c r="G510" s="380"/>
      <c r="H510" s="380"/>
      <c r="I510" s="380"/>
      <c r="J510" s="380"/>
      <c r="K510" s="380"/>
      <c r="L510" s="380"/>
      <c r="M510" s="380"/>
      <c r="N510" s="380"/>
      <c r="O510" s="380"/>
      <c r="P510" s="380"/>
      <c r="Q510" s="380"/>
      <c r="R510" s="378"/>
    </row>
    <row r="511" spans="2:20" s="336" customFormat="1" x14ac:dyDescent="0.2">
      <c r="C511" s="336" t="s">
        <v>1086</v>
      </c>
      <c r="D511" s="444" t="s">
        <v>809</v>
      </c>
      <c r="E511" s="336" t="s">
        <v>10</v>
      </c>
      <c r="F511" s="421">
        <f>'JKP-3.1c - Rev Actual Rates'!F522</f>
        <v>1300086</v>
      </c>
      <c r="G511" s="421">
        <f>'JKP-3.1c - Rev Actual Rates'!G522</f>
        <v>1359088</v>
      </c>
      <c r="H511" s="421">
        <f>'JKP-3.1c - Rev Actual Rates'!H522</f>
        <v>1447827</v>
      </c>
      <c r="I511" s="421">
        <f>'JKP-3.1c - Rev Actual Rates'!I522</f>
        <v>1448608</v>
      </c>
      <c r="J511" s="421">
        <f>'JKP-3.1c - Rev Actual Rates'!J522</f>
        <v>1479655</v>
      </c>
      <c r="K511" s="421">
        <f>'JKP-3.1c - Rev Actual Rates'!K522</f>
        <v>1475803</v>
      </c>
      <c r="L511" s="421">
        <f>'JKP-3.1c - Rev Actual Rates'!L522</f>
        <v>1391248</v>
      </c>
      <c r="M511" s="421">
        <f>'JKP-3.1c - Rev Actual Rates'!M522</f>
        <v>1400299</v>
      </c>
      <c r="N511" s="421">
        <f>'JKP-3.1c - Rev Actual Rates'!N522</f>
        <v>1390439</v>
      </c>
      <c r="O511" s="421">
        <f>'JKP-3.1c - Rev Actual Rates'!O522</f>
        <v>1452877</v>
      </c>
      <c r="P511" s="421">
        <f>'JKP-3.1c - Rev Actual Rates'!P522</f>
        <v>1410443</v>
      </c>
      <c r="Q511" s="421">
        <f>'JKP-3.1c - Rev Actual Rates'!Q522</f>
        <v>1317754</v>
      </c>
      <c r="R511" s="378">
        <f>SUM(F511:Q511)</f>
        <v>16874127</v>
      </c>
    </row>
    <row r="512" spans="2:20" s="336" customFormat="1" x14ac:dyDescent="0.2">
      <c r="C512" s="336" t="s">
        <v>1087</v>
      </c>
      <c r="D512" s="444" t="s">
        <v>809</v>
      </c>
      <c r="E512" s="336" t="s">
        <v>10</v>
      </c>
      <c r="F512" s="421">
        <f>'JKP-3.1c - Rev Actual Rates'!F523</f>
        <v>764738</v>
      </c>
      <c r="G512" s="421">
        <f>'JKP-3.1c - Rev Actual Rates'!G523</f>
        <v>756676</v>
      </c>
      <c r="H512" s="421">
        <f>'JKP-3.1c - Rev Actual Rates'!H523</f>
        <v>896677</v>
      </c>
      <c r="I512" s="421">
        <f>'JKP-3.1c - Rev Actual Rates'!I523</f>
        <v>849173</v>
      </c>
      <c r="J512" s="421">
        <f>'JKP-3.1c - Rev Actual Rates'!J523</f>
        <v>812946</v>
      </c>
      <c r="K512" s="421">
        <f>'JKP-3.1c - Rev Actual Rates'!K523</f>
        <v>944272</v>
      </c>
      <c r="L512" s="421">
        <f>'JKP-3.1c - Rev Actual Rates'!L523</f>
        <v>836907</v>
      </c>
      <c r="M512" s="421">
        <f>'JKP-3.1c - Rev Actual Rates'!M523</f>
        <v>863182</v>
      </c>
      <c r="N512" s="421">
        <f>'JKP-3.1c - Rev Actual Rates'!N523</f>
        <v>882239</v>
      </c>
      <c r="O512" s="421">
        <f>'JKP-3.1c - Rev Actual Rates'!O523</f>
        <v>913470</v>
      </c>
      <c r="P512" s="421">
        <f>'JKP-3.1c - Rev Actual Rates'!P523</f>
        <v>811150</v>
      </c>
      <c r="Q512" s="421">
        <f>'JKP-3.1c - Rev Actual Rates'!Q523</f>
        <v>735474</v>
      </c>
      <c r="R512" s="378">
        <f>SUM(F512:Q512)</f>
        <v>10066904</v>
      </c>
    </row>
    <row r="513" spans="1:20" s="336" customFormat="1" x14ac:dyDescent="0.2">
      <c r="C513" s="336" t="s">
        <v>1088</v>
      </c>
      <c r="D513" s="444" t="s">
        <v>809</v>
      </c>
      <c r="E513" s="336" t="s">
        <v>10</v>
      </c>
      <c r="F513" s="421">
        <f>'JKP-3.1c - Rev Actual Rates'!F524</f>
        <v>1132089</v>
      </c>
      <c r="G513" s="421">
        <f>'JKP-3.1c - Rev Actual Rates'!G524</f>
        <v>1035200</v>
      </c>
      <c r="H513" s="421">
        <f>'JKP-3.1c - Rev Actual Rates'!H524</f>
        <v>1281979</v>
      </c>
      <c r="I513" s="421">
        <f>'JKP-3.1c - Rev Actual Rates'!I524</f>
        <v>1215482</v>
      </c>
      <c r="J513" s="421">
        <f>'JKP-3.1c - Rev Actual Rates'!J524</f>
        <v>1282290</v>
      </c>
      <c r="K513" s="421">
        <f>'JKP-3.1c - Rev Actual Rates'!K524</f>
        <v>1564170</v>
      </c>
      <c r="L513" s="421">
        <f>'JKP-3.1c - Rev Actual Rates'!L524</f>
        <v>1336969</v>
      </c>
      <c r="M513" s="421">
        <f>'JKP-3.1c - Rev Actual Rates'!M524</f>
        <v>1411813</v>
      </c>
      <c r="N513" s="421">
        <f>'JKP-3.1c - Rev Actual Rates'!N524</f>
        <v>1154727</v>
      </c>
      <c r="O513" s="421">
        <f>'JKP-3.1c - Rev Actual Rates'!O524</f>
        <v>1275791</v>
      </c>
      <c r="P513" s="421">
        <f>'JKP-3.1c - Rev Actual Rates'!P524</f>
        <v>1281982</v>
      </c>
      <c r="Q513" s="421">
        <f>'JKP-3.1c - Rev Actual Rates'!Q524</f>
        <v>1188277</v>
      </c>
      <c r="R513" s="378">
        <f>SUM(F513:Q513)</f>
        <v>15160769</v>
      </c>
    </row>
    <row r="514" spans="1:20" s="336" customFormat="1" x14ac:dyDescent="0.2">
      <c r="C514" s="336" t="s">
        <v>1075</v>
      </c>
      <c r="D514" s="444" t="s">
        <v>809</v>
      </c>
      <c r="E514" s="336" t="s">
        <v>10</v>
      </c>
      <c r="F514" s="436">
        <f t="shared" ref="F514:M514" si="131">SUM(F511:F513)</f>
        <v>3196913</v>
      </c>
      <c r="G514" s="436">
        <f t="shared" si="131"/>
        <v>3150964</v>
      </c>
      <c r="H514" s="436">
        <f t="shared" si="131"/>
        <v>3626483</v>
      </c>
      <c r="I514" s="436">
        <f t="shared" si="131"/>
        <v>3513263</v>
      </c>
      <c r="J514" s="436">
        <f t="shared" si="131"/>
        <v>3574891</v>
      </c>
      <c r="K514" s="436">
        <f t="shared" si="131"/>
        <v>3984245</v>
      </c>
      <c r="L514" s="436">
        <f t="shared" si="131"/>
        <v>3565124</v>
      </c>
      <c r="M514" s="436">
        <f t="shared" si="131"/>
        <v>3675294</v>
      </c>
      <c r="N514" s="436">
        <f>SUM(N511:N513)</f>
        <v>3427405</v>
      </c>
      <c r="O514" s="436">
        <f>SUM(O511:O513)</f>
        <v>3642138</v>
      </c>
      <c r="P514" s="436">
        <f>SUM(P511:P513)</f>
        <v>3503575</v>
      </c>
      <c r="Q514" s="436">
        <f>SUM(Q511:Q513)</f>
        <v>3241505</v>
      </c>
      <c r="R514" s="436">
        <f>SUM(F514:Q514)</f>
        <v>42101800</v>
      </c>
    </row>
    <row r="515" spans="1:20" s="336" customFormat="1" x14ac:dyDescent="0.2">
      <c r="B515" s="336" t="s">
        <v>74</v>
      </c>
      <c r="D515" s="444" t="s">
        <v>809</v>
      </c>
      <c r="E515" s="336" t="s">
        <v>1076</v>
      </c>
      <c r="F515" s="421">
        <f>'JKP-3.1c - Rev Actual Rates'!F526</f>
        <v>41254</v>
      </c>
      <c r="G515" s="421">
        <f>'JKP-3.1c - Rev Actual Rates'!G526</f>
        <v>38204</v>
      </c>
      <c r="H515" s="421">
        <f>'JKP-3.1c - Rev Actual Rates'!H526</f>
        <v>38204</v>
      </c>
      <c r="I515" s="421">
        <f>'JKP-3.1c - Rev Actual Rates'!I526</f>
        <v>38204</v>
      </c>
      <c r="J515" s="421">
        <f>'JKP-3.1c - Rev Actual Rates'!J526</f>
        <v>35704</v>
      </c>
      <c r="K515" s="421">
        <f>'JKP-3.1c - Rev Actual Rates'!K526</f>
        <v>35704</v>
      </c>
      <c r="L515" s="421">
        <f>'JKP-3.1c - Rev Actual Rates'!L526</f>
        <v>35704</v>
      </c>
      <c r="M515" s="421">
        <f>'JKP-3.1c - Rev Actual Rates'!M526</f>
        <v>35584</v>
      </c>
      <c r="N515" s="421">
        <f>'JKP-3.1c - Rev Actual Rates'!N526</f>
        <v>35584</v>
      </c>
      <c r="O515" s="421">
        <f>'JKP-3.1c - Rev Actual Rates'!O526</f>
        <v>35584</v>
      </c>
      <c r="P515" s="421">
        <f>'JKP-3.1c - Rev Actual Rates'!P526</f>
        <v>35584</v>
      </c>
      <c r="Q515" s="421">
        <f>'JKP-3.1c - Rev Actual Rates'!Q526</f>
        <v>35601</v>
      </c>
      <c r="R515" s="378">
        <f>SUM(F515:Q515)</f>
        <v>440915</v>
      </c>
    </row>
    <row r="516" spans="1:20" s="336" customFormat="1" x14ac:dyDescent="0.2">
      <c r="B516" s="336" t="s">
        <v>1071</v>
      </c>
      <c r="D516" s="382"/>
      <c r="F516" s="380"/>
      <c r="G516" s="380"/>
      <c r="H516" s="380"/>
      <c r="I516" s="380"/>
      <c r="J516" s="380"/>
      <c r="K516" s="380"/>
      <c r="L516" s="380"/>
      <c r="M516" s="380"/>
      <c r="N516" s="380"/>
      <c r="O516" s="380"/>
      <c r="P516" s="380"/>
      <c r="Q516" s="380"/>
      <c r="R516" s="380"/>
    </row>
    <row r="517" spans="1:20" s="336" customFormat="1" x14ac:dyDescent="0.2"/>
    <row r="518" spans="1:20" s="336" customFormat="1" x14ac:dyDescent="0.2">
      <c r="B518" s="182" t="s">
        <v>985</v>
      </c>
    </row>
    <row r="519" spans="1:20" s="336" customFormat="1" x14ac:dyDescent="0.2">
      <c r="A519" s="336" t="s">
        <v>1054</v>
      </c>
      <c r="B519" s="336" t="s">
        <v>1059</v>
      </c>
      <c r="D519" s="444" t="s">
        <v>809</v>
      </c>
      <c r="F519" s="418">
        <f t="shared" ref="F519:Q519" si="132">F499*F509</f>
        <v>54910.170000000006</v>
      </c>
      <c r="G519" s="418">
        <f t="shared" si="132"/>
        <v>56653.35</v>
      </c>
      <c r="H519" s="418">
        <f t="shared" si="132"/>
        <v>55781.760000000002</v>
      </c>
      <c r="I519" s="418">
        <f t="shared" si="132"/>
        <v>55781.760000000002</v>
      </c>
      <c r="J519" s="418">
        <f t="shared" si="132"/>
        <v>55781.759999999995</v>
      </c>
      <c r="K519" s="418">
        <f t="shared" si="132"/>
        <v>54910.170000000006</v>
      </c>
      <c r="L519" s="418">
        <f t="shared" si="132"/>
        <v>54910.170000000006</v>
      </c>
      <c r="M519" s="418">
        <f t="shared" si="132"/>
        <v>54038.58</v>
      </c>
      <c r="N519" s="418">
        <f t="shared" si="132"/>
        <v>54038.58</v>
      </c>
      <c r="O519" s="418">
        <f t="shared" si="132"/>
        <v>54038.58</v>
      </c>
      <c r="P519" s="418">
        <f t="shared" si="132"/>
        <v>54038.58</v>
      </c>
      <c r="Q519" s="418">
        <f t="shared" si="132"/>
        <v>54910.170000000006</v>
      </c>
      <c r="R519" s="418">
        <f>SUM(F519:Q519)</f>
        <v>659793.63</v>
      </c>
    </row>
    <row r="520" spans="1:20" x14ac:dyDescent="0.2">
      <c r="B520" s="32" t="s">
        <v>1047</v>
      </c>
      <c r="D520" s="444"/>
      <c r="F520" s="418"/>
      <c r="G520" s="418"/>
      <c r="H520" s="418"/>
      <c r="I520" s="418"/>
      <c r="J520" s="418"/>
      <c r="K520" s="418"/>
      <c r="L520" s="418"/>
      <c r="M520" s="418"/>
      <c r="N520" s="418"/>
      <c r="O520" s="418"/>
      <c r="P520" s="418"/>
      <c r="Q520" s="418"/>
      <c r="R520" s="418"/>
      <c r="S520" s="32"/>
      <c r="T520" s="32"/>
    </row>
    <row r="521" spans="1:20" x14ac:dyDescent="0.2">
      <c r="C521" s="32" t="s">
        <v>1086</v>
      </c>
      <c r="D521" s="444" t="s">
        <v>809</v>
      </c>
      <c r="F521" s="418">
        <f t="shared" ref="F521:Q523" si="133">F501*F511</f>
        <v>132985.79694</v>
      </c>
      <c r="G521" s="418">
        <f t="shared" si="133"/>
        <v>139021.11152000001</v>
      </c>
      <c r="H521" s="418">
        <f t="shared" si="133"/>
        <v>148098.22383</v>
      </c>
      <c r="I521" s="418">
        <f t="shared" si="133"/>
        <v>148178.11232000001</v>
      </c>
      <c r="J521" s="418">
        <f t="shared" si="133"/>
        <v>151353.90995</v>
      </c>
      <c r="K521" s="418">
        <f t="shared" si="133"/>
        <v>150959.88887</v>
      </c>
      <c r="L521" s="418">
        <f t="shared" si="133"/>
        <v>142310.75792</v>
      </c>
      <c r="M521" s="418">
        <f t="shared" si="133"/>
        <v>143236.58471</v>
      </c>
      <c r="N521" s="418">
        <f t="shared" si="133"/>
        <v>142228.00531000001</v>
      </c>
      <c r="O521" s="418">
        <f t="shared" si="133"/>
        <v>148614.78833000001</v>
      </c>
      <c r="P521" s="418">
        <f t="shared" si="133"/>
        <v>144274.21447000001</v>
      </c>
      <c r="Q521" s="418">
        <f t="shared" si="133"/>
        <v>134793.05666</v>
      </c>
      <c r="R521" s="418">
        <f t="shared" ref="R521:R527" si="134">SUM(F521:Q521)</f>
        <v>1726054.4508299998</v>
      </c>
      <c r="S521" s="32"/>
      <c r="T521" s="32"/>
    </row>
    <row r="522" spans="1:20" x14ac:dyDescent="0.2">
      <c r="C522" s="32" t="s">
        <v>1087</v>
      </c>
      <c r="D522" s="444" t="s">
        <v>809</v>
      </c>
      <c r="F522" s="418">
        <f t="shared" si="133"/>
        <v>40102.860719999997</v>
      </c>
      <c r="G522" s="418">
        <f t="shared" si="133"/>
        <v>39680.089440000003</v>
      </c>
      <c r="H522" s="418">
        <f t="shared" si="133"/>
        <v>47021.741880000001</v>
      </c>
      <c r="I522" s="418">
        <f t="shared" si="133"/>
        <v>44530.632120000002</v>
      </c>
      <c r="J522" s="418">
        <f t="shared" si="133"/>
        <v>42630.88824</v>
      </c>
      <c r="K522" s="418">
        <f t="shared" si="133"/>
        <v>49517.623679999997</v>
      </c>
      <c r="L522" s="418">
        <f t="shared" si="133"/>
        <v>43887.403080000004</v>
      </c>
      <c r="M522" s="418">
        <f t="shared" si="133"/>
        <v>45265.264080000001</v>
      </c>
      <c r="N522" s="418">
        <f t="shared" si="133"/>
        <v>46264.613160000001</v>
      </c>
      <c r="O522" s="418">
        <f t="shared" si="133"/>
        <v>47902.366800000003</v>
      </c>
      <c r="P522" s="418">
        <f t="shared" si="133"/>
        <v>42536.705999999998</v>
      </c>
      <c r="Q522" s="418">
        <f t="shared" si="133"/>
        <v>38568.256560000002</v>
      </c>
      <c r="R522" s="418">
        <f t="shared" si="134"/>
        <v>527908.44576000003</v>
      </c>
      <c r="S522" s="32"/>
      <c r="T522" s="32"/>
    </row>
    <row r="523" spans="1:20" x14ac:dyDescent="0.2">
      <c r="C523" s="32" t="s">
        <v>1088</v>
      </c>
      <c r="D523" s="444" t="s">
        <v>809</v>
      </c>
      <c r="F523" s="364">
        <f t="shared" si="133"/>
        <v>56978.039369999999</v>
      </c>
      <c r="G523" s="364">
        <f t="shared" si="133"/>
        <v>52101.616000000002</v>
      </c>
      <c r="H523" s="364">
        <f t="shared" si="133"/>
        <v>64522.003069999999</v>
      </c>
      <c r="I523" s="364">
        <f t="shared" si="133"/>
        <v>61175.209060000001</v>
      </c>
      <c r="J523" s="364">
        <f t="shared" si="133"/>
        <v>64537.655700000003</v>
      </c>
      <c r="K523" s="364">
        <f t="shared" si="133"/>
        <v>78724.676099999997</v>
      </c>
      <c r="L523" s="364">
        <f t="shared" si="133"/>
        <v>67289.649770000004</v>
      </c>
      <c r="M523" s="364">
        <f t="shared" si="133"/>
        <v>71056.548290000006</v>
      </c>
      <c r="N523" s="364">
        <f t="shared" si="133"/>
        <v>58117.409910000002</v>
      </c>
      <c r="O523" s="364">
        <f t="shared" si="133"/>
        <v>64210.561029999997</v>
      </c>
      <c r="P523" s="364">
        <f t="shared" si="133"/>
        <v>64522.154060000001</v>
      </c>
      <c r="Q523" s="364">
        <f t="shared" si="133"/>
        <v>59805.98141</v>
      </c>
      <c r="R523" s="364">
        <f t="shared" si="134"/>
        <v>763041.50376999995</v>
      </c>
      <c r="S523" s="32"/>
      <c r="T523" s="32"/>
    </row>
    <row r="524" spans="1:20" x14ac:dyDescent="0.2">
      <c r="A524" s="32" t="s">
        <v>1054</v>
      </c>
      <c r="C524" s="32" t="s">
        <v>1077</v>
      </c>
      <c r="D524" s="444"/>
      <c r="F524" s="365">
        <f t="shared" ref="F524:M524" si="135">SUM(F521:F523)</f>
        <v>230066.69702999998</v>
      </c>
      <c r="G524" s="365">
        <f t="shared" si="135"/>
        <v>230802.81696000003</v>
      </c>
      <c r="H524" s="365">
        <f t="shared" si="135"/>
        <v>259641.96878000002</v>
      </c>
      <c r="I524" s="365">
        <f t="shared" si="135"/>
        <v>253883.9535</v>
      </c>
      <c r="J524" s="365">
        <f t="shared" si="135"/>
        <v>258522.45389</v>
      </c>
      <c r="K524" s="365">
        <f t="shared" si="135"/>
        <v>279202.18864999997</v>
      </c>
      <c r="L524" s="365">
        <f t="shared" si="135"/>
        <v>253487.81077000004</v>
      </c>
      <c r="M524" s="365">
        <f t="shared" si="135"/>
        <v>259558.39708</v>
      </c>
      <c r="N524" s="365">
        <f>SUM(N521:N523)</f>
        <v>246610.02838000003</v>
      </c>
      <c r="O524" s="365">
        <f>SUM(O521:O523)</f>
        <v>260727.71616000001</v>
      </c>
      <c r="P524" s="365">
        <f>SUM(P521:P523)</f>
        <v>251333.07453000001</v>
      </c>
      <c r="Q524" s="365">
        <f>SUM(Q521:Q523)</f>
        <v>233167.29463000002</v>
      </c>
      <c r="R524" s="365">
        <f t="shared" si="134"/>
        <v>3017004.4003599994</v>
      </c>
      <c r="S524" s="32"/>
      <c r="T524" s="32"/>
    </row>
    <row r="525" spans="1:20" x14ac:dyDescent="0.2">
      <c r="A525" s="390" t="s">
        <v>1056</v>
      </c>
      <c r="B525" s="336" t="s">
        <v>1081</v>
      </c>
      <c r="D525" s="444" t="s">
        <v>809</v>
      </c>
      <c r="E525" s="390"/>
      <c r="F525" s="446">
        <f t="shared" ref="F525:Q526" si="136">F504*F514</f>
        <v>2237.8391000000001</v>
      </c>
      <c r="G525" s="446">
        <f t="shared" si="136"/>
        <v>2205.6747999999998</v>
      </c>
      <c r="H525" s="446">
        <f t="shared" si="136"/>
        <v>2538.5380999999998</v>
      </c>
      <c r="I525" s="446">
        <f t="shared" si="136"/>
        <v>2459.2840999999999</v>
      </c>
      <c r="J525" s="446">
        <f t="shared" si="136"/>
        <v>2502.4236999999998</v>
      </c>
      <c r="K525" s="446">
        <f t="shared" si="136"/>
        <v>2788.9715000000001</v>
      </c>
      <c r="L525" s="446">
        <f t="shared" si="136"/>
        <v>2495.5868</v>
      </c>
      <c r="M525" s="446">
        <f t="shared" si="136"/>
        <v>2572.7058000000002</v>
      </c>
      <c r="N525" s="446">
        <f t="shared" si="136"/>
        <v>2399.1835000000001</v>
      </c>
      <c r="O525" s="446">
        <f t="shared" si="136"/>
        <v>2549.4965999999999</v>
      </c>
      <c r="P525" s="446">
        <f t="shared" si="136"/>
        <v>2452.5025000000001</v>
      </c>
      <c r="Q525" s="446">
        <f t="shared" si="136"/>
        <v>2269.0535</v>
      </c>
      <c r="R525" s="446">
        <f t="shared" si="134"/>
        <v>29471.259999999995</v>
      </c>
      <c r="S525" s="32"/>
      <c r="T525" s="32"/>
    </row>
    <row r="526" spans="1:20" x14ac:dyDescent="0.2">
      <c r="A526" s="32" t="s">
        <v>1054</v>
      </c>
      <c r="B526" s="32" t="s">
        <v>1069</v>
      </c>
      <c r="D526" s="444" t="s">
        <v>809</v>
      </c>
      <c r="F526" s="364">
        <f t="shared" si="136"/>
        <v>45791.94</v>
      </c>
      <c r="G526" s="364">
        <f t="shared" si="136"/>
        <v>42406.44</v>
      </c>
      <c r="H526" s="364">
        <f t="shared" si="136"/>
        <v>42406.44</v>
      </c>
      <c r="I526" s="364">
        <f t="shared" si="136"/>
        <v>42406.44</v>
      </c>
      <c r="J526" s="364">
        <f t="shared" si="136"/>
        <v>39631.440000000002</v>
      </c>
      <c r="K526" s="364">
        <f t="shared" si="136"/>
        <v>39631.440000000002</v>
      </c>
      <c r="L526" s="364">
        <f t="shared" si="136"/>
        <v>39631.440000000002</v>
      </c>
      <c r="M526" s="364">
        <f t="shared" si="136"/>
        <v>39498.240000000005</v>
      </c>
      <c r="N526" s="364">
        <f t="shared" si="136"/>
        <v>39498.240000000005</v>
      </c>
      <c r="O526" s="364">
        <f t="shared" si="136"/>
        <v>39498.240000000005</v>
      </c>
      <c r="P526" s="364">
        <f t="shared" si="136"/>
        <v>39498.240000000005</v>
      </c>
      <c r="Q526" s="364">
        <f t="shared" si="136"/>
        <v>39517.11</v>
      </c>
      <c r="R526" s="364">
        <f t="shared" si="134"/>
        <v>489415.64999999997</v>
      </c>
      <c r="S526" s="32"/>
      <c r="T526" s="32"/>
    </row>
    <row r="527" spans="1:20" s="336" customFormat="1" x14ac:dyDescent="0.2">
      <c r="A527" s="336" t="s">
        <v>1054</v>
      </c>
      <c r="B527" s="336" t="s">
        <v>1071</v>
      </c>
      <c r="D527" s="444" t="s">
        <v>809</v>
      </c>
      <c r="F527" s="447">
        <f>'JKP-3.1c - Rev Actual Rates'!F538</f>
        <v>0</v>
      </c>
      <c r="G527" s="447">
        <f>'JKP-3.1c - Rev Actual Rates'!G538</f>
        <v>0</v>
      </c>
      <c r="H527" s="447">
        <f>'JKP-3.1c - Rev Actual Rates'!H538</f>
        <v>4975.97</v>
      </c>
      <c r="I527" s="447">
        <f>'JKP-3.1c - Rev Actual Rates'!I538</f>
        <v>204602.52</v>
      </c>
      <c r="J527" s="447">
        <f>'JKP-3.1c - Rev Actual Rates'!J538</f>
        <v>132721.98000000001</v>
      </c>
      <c r="K527" s="447">
        <f>'JKP-3.1c - Rev Actual Rates'!K538</f>
        <v>0</v>
      </c>
      <c r="L527" s="447">
        <f>'JKP-3.1c - Rev Actual Rates'!L538</f>
        <v>9820.9500000000007</v>
      </c>
      <c r="M527" s="447">
        <f>'JKP-3.1c - Rev Actual Rates'!M538</f>
        <v>0</v>
      </c>
      <c r="N527" s="447">
        <f>'JKP-3.1c - Rev Actual Rates'!N538</f>
        <v>19527.16</v>
      </c>
      <c r="O527" s="447">
        <f>'JKP-3.1c - Rev Actual Rates'!O538</f>
        <v>0</v>
      </c>
      <c r="P527" s="447">
        <f>'JKP-3.1c - Rev Actual Rates'!P538</f>
        <v>11374.9</v>
      </c>
      <c r="Q527" s="447">
        <f>'JKP-3.1c - Rev Actual Rates'!Q538</f>
        <v>0</v>
      </c>
      <c r="R527" s="365">
        <f t="shared" si="134"/>
        <v>383023.48</v>
      </c>
    </row>
    <row r="528" spans="1:20" x14ac:dyDescent="0.2">
      <c r="B528" s="32" t="s">
        <v>986</v>
      </c>
      <c r="F528" s="365">
        <f>F519+F524+F525+F526+F527</f>
        <v>333006.64612999995</v>
      </c>
      <c r="G528" s="365">
        <f t="shared" ref="G528:R528" si="137">G519+G524+G525+G526+G527</f>
        <v>332068.28175999998</v>
      </c>
      <c r="H528" s="365">
        <f t="shared" si="137"/>
        <v>365344.67687999998</v>
      </c>
      <c r="I528" s="365">
        <f t="shared" si="137"/>
        <v>559133.95759999997</v>
      </c>
      <c r="J528" s="365">
        <f t="shared" si="137"/>
        <v>489160.05758999998</v>
      </c>
      <c r="K528" s="365">
        <f t="shared" si="137"/>
        <v>376532.77014999994</v>
      </c>
      <c r="L528" s="365">
        <f t="shared" si="137"/>
        <v>360345.95757000003</v>
      </c>
      <c r="M528" s="365">
        <f t="shared" si="137"/>
        <v>355667.92287999997</v>
      </c>
      <c r="N528" s="365">
        <f t="shared" si="137"/>
        <v>362073.19188</v>
      </c>
      <c r="O528" s="365">
        <f t="shared" si="137"/>
        <v>356814.03276000003</v>
      </c>
      <c r="P528" s="365">
        <f t="shared" si="137"/>
        <v>358697.29703000002</v>
      </c>
      <c r="Q528" s="365">
        <f t="shared" si="137"/>
        <v>329863.62812999997</v>
      </c>
      <c r="R528" s="365">
        <f t="shared" si="137"/>
        <v>4578708.4203599989</v>
      </c>
      <c r="S528" s="32"/>
      <c r="T528" s="32"/>
    </row>
    <row r="529" spans="1:20" x14ac:dyDescent="0.2">
      <c r="F529" s="390"/>
      <c r="G529" s="390"/>
      <c r="H529" s="390"/>
      <c r="I529" s="390"/>
      <c r="J529" s="390"/>
      <c r="S529" s="32"/>
      <c r="T529" s="32"/>
    </row>
    <row r="530" spans="1:20" x14ac:dyDescent="0.2">
      <c r="A530" s="32" t="s">
        <v>1058</v>
      </c>
      <c r="B530" s="32" t="s">
        <v>1050</v>
      </c>
      <c r="F530" s="417">
        <f>F525</f>
        <v>2237.8391000000001</v>
      </c>
      <c r="G530" s="417">
        <f t="shared" ref="G530:Q530" si="138">G525</f>
        <v>2205.6747999999998</v>
      </c>
      <c r="H530" s="417">
        <f t="shared" si="138"/>
        <v>2538.5380999999998</v>
      </c>
      <c r="I530" s="417">
        <f t="shared" si="138"/>
        <v>2459.2840999999999</v>
      </c>
      <c r="J530" s="417">
        <f t="shared" si="138"/>
        <v>2502.4236999999998</v>
      </c>
      <c r="K530" s="417">
        <f t="shared" si="138"/>
        <v>2788.9715000000001</v>
      </c>
      <c r="L530" s="417">
        <f t="shared" si="138"/>
        <v>2495.5868</v>
      </c>
      <c r="M530" s="417">
        <f t="shared" si="138"/>
        <v>2572.7058000000002</v>
      </c>
      <c r="N530" s="417">
        <f t="shared" si="138"/>
        <v>2399.1835000000001</v>
      </c>
      <c r="O530" s="417">
        <f t="shared" si="138"/>
        <v>2549.4965999999999</v>
      </c>
      <c r="P530" s="417">
        <f t="shared" si="138"/>
        <v>2452.5025000000001</v>
      </c>
      <c r="Q530" s="417">
        <f t="shared" si="138"/>
        <v>2269.0535</v>
      </c>
      <c r="R530" s="364">
        <f>SUM(F530:Q530)</f>
        <v>29471.259999999995</v>
      </c>
      <c r="S530" s="32"/>
      <c r="T530" s="32"/>
    </row>
    <row r="531" spans="1:20" x14ac:dyDescent="0.2">
      <c r="F531" s="390"/>
      <c r="G531" s="390"/>
      <c r="H531" s="390"/>
      <c r="I531" s="390"/>
      <c r="J531" s="390"/>
      <c r="S531" s="32"/>
      <c r="T531" s="32"/>
    </row>
    <row r="532" spans="1:20" x14ac:dyDescent="0.2">
      <c r="B532" s="276" t="s">
        <v>1104</v>
      </c>
      <c r="C532" s="276"/>
    </row>
    <row r="533" spans="1:20" x14ac:dyDescent="0.2">
      <c r="B533" s="276" t="s">
        <v>5</v>
      </c>
      <c r="C533" s="276"/>
    </row>
    <row r="534" spans="1:20" x14ac:dyDescent="0.2">
      <c r="B534" s="32" t="s">
        <v>1059</v>
      </c>
      <c r="D534" s="444" t="s">
        <v>810</v>
      </c>
      <c r="E534" s="32" t="s">
        <v>976</v>
      </c>
      <c r="F534" s="500">
        <f>'JKP-3.1c - Rev Rates GRC09'!F534</f>
        <v>443.45</v>
      </c>
      <c r="G534" s="500">
        <f>'JKP-3.1c - Rev Rates GRC09'!G534</f>
        <v>443.45</v>
      </c>
      <c r="H534" s="500">
        <f>'JKP-3.1c - Rev Rates GRC09'!H534</f>
        <v>443.45</v>
      </c>
      <c r="I534" s="500">
        <f>'JKP-3.1c - Rev Rates GRC09'!I534</f>
        <v>443.45</v>
      </c>
      <c r="J534" s="500">
        <f>'JKP-3.1c - Rev Rates GRC09'!J534</f>
        <v>443.45</v>
      </c>
      <c r="K534" s="500">
        <f>'JKP-3.1c - Rev Rates GRC09'!K534</f>
        <v>443.45</v>
      </c>
      <c r="L534" s="500">
        <f>'JKP-3.1c - Rev Rates GRC09'!L534</f>
        <v>443.45</v>
      </c>
      <c r="M534" s="500">
        <f>'JKP-3.1c - Rev Rates GRC09'!M534</f>
        <v>443.45</v>
      </c>
      <c r="N534" s="500">
        <f>'JKP-3.1c - Rev Rates GRC09'!N534</f>
        <v>443.45</v>
      </c>
      <c r="O534" s="500">
        <f>'JKP-3.1c - Rev Rates GRC09'!O534</f>
        <v>443.45</v>
      </c>
      <c r="P534" s="500">
        <f>'JKP-3.1c - Rev Rates GRC09'!P534</f>
        <v>443.45</v>
      </c>
      <c r="Q534" s="500">
        <f>'JKP-3.1c - Rev Rates GRC09'!Q534</f>
        <v>443.45</v>
      </c>
      <c r="R534" s="439"/>
    </row>
    <row r="535" spans="1:20" x14ac:dyDescent="0.2">
      <c r="B535" s="32" t="s">
        <v>1047</v>
      </c>
      <c r="F535" s="495"/>
      <c r="G535" s="495"/>
      <c r="H535" s="495"/>
      <c r="I535" s="495"/>
      <c r="J535" s="495"/>
      <c r="K535" s="495"/>
      <c r="L535" s="495"/>
      <c r="M535" s="495"/>
      <c r="N535" s="495"/>
      <c r="O535" s="495"/>
      <c r="P535" s="495"/>
      <c r="Q535" s="495"/>
      <c r="R535" s="394"/>
    </row>
    <row r="536" spans="1:20" x14ac:dyDescent="0.2">
      <c r="C536" s="32" t="s">
        <v>1098</v>
      </c>
      <c r="D536" s="444" t="s">
        <v>810</v>
      </c>
      <c r="E536" s="32" t="s">
        <v>957</v>
      </c>
      <c r="F536" s="495">
        <f>'JKP-3.1c - Rev Rates GRC09'!F536</f>
        <v>0.19819999999999999</v>
      </c>
      <c r="G536" s="495">
        <f>'JKP-3.1c - Rev Rates GRC09'!G536</f>
        <v>0.19819999999999999</v>
      </c>
      <c r="H536" s="495">
        <f>'JKP-3.1c - Rev Rates GRC09'!H536</f>
        <v>0.19819999999999999</v>
      </c>
      <c r="I536" s="495">
        <f>'JKP-3.1c - Rev Rates GRC09'!I536</f>
        <v>0.19819999999999999</v>
      </c>
      <c r="J536" s="495">
        <f>'JKP-3.1c - Rev Rates GRC09'!J536</f>
        <v>0.19819999999999999</v>
      </c>
      <c r="K536" s="495">
        <f>'JKP-3.1c - Rev Rates GRC09'!K536</f>
        <v>0.19819999999999999</v>
      </c>
      <c r="L536" s="495">
        <f>'JKP-3.1c - Rev Rates GRC09'!L536</f>
        <v>0.19819999999999999</v>
      </c>
      <c r="M536" s="495">
        <f>'JKP-3.1c - Rev Rates GRC09'!M536</f>
        <v>0.19819999999999999</v>
      </c>
      <c r="N536" s="495">
        <f>'JKP-3.1c - Rev Rates GRC09'!N536</f>
        <v>0.19819999999999999</v>
      </c>
      <c r="O536" s="495">
        <f>'JKP-3.1c - Rev Rates GRC09'!O536</f>
        <v>0.19819999999999999</v>
      </c>
      <c r="P536" s="495">
        <f>'JKP-3.1c - Rev Rates GRC09'!P536</f>
        <v>0.19819999999999999</v>
      </c>
      <c r="Q536" s="495">
        <f>'JKP-3.1c - Rev Rates GRC09'!Q536</f>
        <v>0.19819999999999999</v>
      </c>
      <c r="R536" s="394"/>
    </row>
    <row r="537" spans="1:20" x14ac:dyDescent="0.2">
      <c r="C537" s="32" t="s">
        <v>1099</v>
      </c>
      <c r="D537" s="444" t="s">
        <v>810</v>
      </c>
      <c r="E537" s="32" t="s">
        <v>957</v>
      </c>
      <c r="F537" s="495">
        <f>'JKP-3.1c - Rev Rates GRC09'!F537</f>
        <v>0.1421</v>
      </c>
      <c r="G537" s="495">
        <f>'JKP-3.1c - Rev Rates GRC09'!G537</f>
        <v>0.1421</v>
      </c>
      <c r="H537" s="495">
        <f>'JKP-3.1c - Rev Rates GRC09'!H537</f>
        <v>0.1421</v>
      </c>
      <c r="I537" s="495">
        <f>'JKP-3.1c - Rev Rates GRC09'!I537</f>
        <v>0.1421</v>
      </c>
      <c r="J537" s="495">
        <f>'JKP-3.1c - Rev Rates GRC09'!J537</f>
        <v>0.1421</v>
      </c>
      <c r="K537" s="495">
        <f>'JKP-3.1c - Rev Rates GRC09'!K537</f>
        <v>0.1421</v>
      </c>
      <c r="L537" s="495">
        <f>'JKP-3.1c - Rev Rates GRC09'!L537</f>
        <v>0.1421</v>
      </c>
      <c r="M537" s="495">
        <f>'JKP-3.1c - Rev Rates GRC09'!M537</f>
        <v>0.1421</v>
      </c>
      <c r="N537" s="495">
        <f>'JKP-3.1c - Rev Rates GRC09'!N537</f>
        <v>0.1421</v>
      </c>
      <c r="O537" s="495">
        <f>'JKP-3.1c - Rev Rates GRC09'!O537</f>
        <v>0.1421</v>
      </c>
      <c r="P537" s="495">
        <f>'JKP-3.1c - Rev Rates GRC09'!P537</f>
        <v>0.1421</v>
      </c>
      <c r="Q537" s="495">
        <f>'JKP-3.1c - Rev Rates GRC09'!Q537</f>
        <v>0.1421</v>
      </c>
      <c r="R537" s="394"/>
    </row>
    <row r="538" spans="1:20" x14ac:dyDescent="0.2">
      <c r="B538" s="32" t="s">
        <v>1081</v>
      </c>
      <c r="D538" s="444" t="s">
        <v>810</v>
      </c>
      <c r="E538" s="32" t="s">
        <v>957</v>
      </c>
      <c r="F538" s="495">
        <f>'JKP-3.1c - Rev Rates GRC09'!F538</f>
        <v>6.9999999999999999E-4</v>
      </c>
      <c r="G538" s="495">
        <f>'JKP-3.1c - Rev Rates GRC09'!G538</f>
        <v>6.9999999999999999E-4</v>
      </c>
      <c r="H538" s="495">
        <f>'JKP-3.1c - Rev Rates GRC09'!H538</f>
        <v>6.9999999999999999E-4</v>
      </c>
      <c r="I538" s="495">
        <f>'JKP-3.1c - Rev Rates GRC09'!I538</f>
        <v>6.9999999999999999E-4</v>
      </c>
      <c r="J538" s="495">
        <f>'JKP-3.1c - Rev Rates GRC09'!J538</f>
        <v>6.9999999999999999E-4</v>
      </c>
      <c r="K538" s="495">
        <f>'JKP-3.1c - Rev Rates GRC09'!K538</f>
        <v>6.9999999999999999E-4</v>
      </c>
      <c r="L538" s="495">
        <f>'JKP-3.1c - Rev Rates GRC09'!L538</f>
        <v>6.9999999999999999E-4</v>
      </c>
      <c r="M538" s="495">
        <f>'JKP-3.1c - Rev Rates GRC09'!M538</f>
        <v>6.9999999999999999E-4</v>
      </c>
      <c r="N538" s="495">
        <f>'JKP-3.1c - Rev Rates GRC09'!N538</f>
        <v>6.9999999999999999E-4</v>
      </c>
      <c r="O538" s="495">
        <f>'JKP-3.1c - Rev Rates GRC09'!O538</f>
        <v>6.9999999999999999E-4</v>
      </c>
      <c r="P538" s="495">
        <f>'JKP-3.1c - Rev Rates GRC09'!P538</f>
        <v>6.9999999999999999E-4</v>
      </c>
      <c r="Q538" s="495">
        <f>'JKP-3.1c - Rev Rates GRC09'!Q538</f>
        <v>6.9999999999999999E-4</v>
      </c>
      <c r="R538" s="394"/>
    </row>
    <row r="539" spans="1:20" x14ac:dyDescent="0.2">
      <c r="B539" s="32" t="s">
        <v>1069</v>
      </c>
      <c r="D539" s="32">
        <v>86</v>
      </c>
      <c r="E539" s="32" t="s">
        <v>957</v>
      </c>
      <c r="F539" s="500">
        <f>'JKP-3.1c - Rev Rates GRC09'!F539</f>
        <v>1.1100000000000001</v>
      </c>
      <c r="G539" s="500">
        <f>'JKP-3.1c - Rev Rates GRC09'!G539</f>
        <v>1.1100000000000001</v>
      </c>
      <c r="H539" s="500">
        <f>'JKP-3.1c - Rev Rates GRC09'!H539</f>
        <v>1.1100000000000001</v>
      </c>
      <c r="I539" s="500">
        <f>'JKP-3.1c - Rev Rates GRC09'!I539</f>
        <v>1.1100000000000001</v>
      </c>
      <c r="J539" s="500">
        <f>'JKP-3.1c - Rev Rates GRC09'!J539</f>
        <v>1.1100000000000001</v>
      </c>
      <c r="K539" s="500">
        <f>'JKP-3.1c - Rev Rates GRC09'!K539</f>
        <v>1.1100000000000001</v>
      </c>
      <c r="L539" s="500">
        <f>'JKP-3.1c - Rev Rates GRC09'!L539</f>
        <v>1.1100000000000001</v>
      </c>
      <c r="M539" s="500">
        <f>'JKP-3.1c - Rev Rates GRC09'!M539</f>
        <v>1.1100000000000001</v>
      </c>
      <c r="N539" s="500">
        <f>'JKP-3.1c - Rev Rates GRC09'!N539</f>
        <v>1.1100000000000001</v>
      </c>
      <c r="O539" s="500">
        <f>'JKP-3.1c - Rev Rates GRC09'!O539</f>
        <v>1.1100000000000001</v>
      </c>
      <c r="P539" s="500">
        <f>'JKP-3.1c - Rev Rates GRC09'!P539</f>
        <v>1.1100000000000001</v>
      </c>
      <c r="Q539" s="500">
        <f>'JKP-3.1c - Rev Rates GRC09'!Q539</f>
        <v>1.1100000000000001</v>
      </c>
      <c r="R539" s="394"/>
    </row>
    <row r="540" spans="1:20" s="336" customFormat="1" x14ac:dyDescent="0.2">
      <c r="B540" s="336" t="s">
        <v>1071</v>
      </c>
      <c r="D540" s="444" t="s">
        <v>810</v>
      </c>
      <c r="E540" s="336" t="s">
        <v>67</v>
      </c>
      <c r="F540" s="393"/>
      <c r="G540" s="393"/>
      <c r="H540" s="393"/>
      <c r="I540" s="393"/>
      <c r="J540" s="393"/>
      <c r="K540" s="393"/>
      <c r="L540" s="393"/>
      <c r="M540" s="393"/>
      <c r="N540" s="393"/>
      <c r="O540" s="393"/>
      <c r="P540" s="393"/>
      <c r="Q540" s="393"/>
      <c r="R540" s="441"/>
      <c r="S540" s="335"/>
      <c r="T540" s="415"/>
    </row>
    <row r="541" spans="1:20" s="336" customFormat="1" x14ac:dyDescent="0.2">
      <c r="S541" s="335"/>
      <c r="T541" s="415"/>
    </row>
    <row r="542" spans="1:20" s="336" customFormat="1" x14ac:dyDescent="0.2">
      <c r="B542" s="182" t="s">
        <v>982</v>
      </c>
      <c r="S542" s="335"/>
      <c r="T542" s="415"/>
    </row>
    <row r="543" spans="1:20" s="336" customFormat="1" x14ac:dyDescent="0.2">
      <c r="B543" s="336" t="s">
        <v>67</v>
      </c>
      <c r="E543" s="336" t="s">
        <v>67</v>
      </c>
      <c r="F543" s="421">
        <f>'JKP-3.1c - Data'!C152</f>
        <v>0</v>
      </c>
      <c r="G543" s="421">
        <f>'JKP-3.1c - Data'!D152</f>
        <v>0</v>
      </c>
      <c r="H543" s="421">
        <f>'JKP-3.1c - Data'!E152</f>
        <v>0</v>
      </c>
      <c r="I543" s="421">
        <f>'JKP-3.1c - Data'!F152</f>
        <v>0</v>
      </c>
      <c r="J543" s="421">
        <f>'JKP-3.1c - Data'!G152</f>
        <v>0</v>
      </c>
      <c r="K543" s="421">
        <f>'JKP-3.1c - Data'!H152</f>
        <v>1</v>
      </c>
      <c r="L543" s="421">
        <f>'JKP-3.1c - Data'!I152</f>
        <v>1</v>
      </c>
      <c r="M543" s="421">
        <f>'JKP-3.1c - Data'!J152</f>
        <v>1</v>
      </c>
      <c r="N543" s="421">
        <f>'JKP-3.1c - Data'!K152</f>
        <v>1</v>
      </c>
      <c r="O543" s="421">
        <f>'JKP-3.1c - Data'!L152</f>
        <v>1</v>
      </c>
      <c r="P543" s="421">
        <f>'JKP-3.1c - Data'!M152</f>
        <v>1</v>
      </c>
      <c r="Q543" s="421">
        <f>'JKP-3.1c - Data'!N152</f>
        <v>1</v>
      </c>
      <c r="R543" s="378">
        <f>SUM(F543:Q543)</f>
        <v>7</v>
      </c>
      <c r="S543" s="335"/>
      <c r="T543" s="415"/>
    </row>
    <row r="544" spans="1:20" s="336" customFormat="1" x14ac:dyDescent="0.2">
      <c r="B544" s="336" t="s">
        <v>76</v>
      </c>
      <c r="F544" s="380"/>
      <c r="G544" s="380"/>
      <c r="H544" s="380"/>
      <c r="I544" s="380"/>
      <c r="J544" s="380"/>
      <c r="K544" s="380"/>
      <c r="L544" s="380"/>
      <c r="M544" s="380"/>
      <c r="N544" s="380"/>
      <c r="O544" s="380"/>
      <c r="P544" s="380"/>
      <c r="Q544" s="380"/>
      <c r="R544" s="378"/>
      <c r="S544" s="335"/>
      <c r="T544" s="415"/>
    </row>
    <row r="545" spans="1:20" s="336" customFormat="1" x14ac:dyDescent="0.2">
      <c r="C545" s="336" t="s">
        <v>1098</v>
      </c>
      <c r="E545" s="336" t="s">
        <v>10</v>
      </c>
      <c r="F545" s="421">
        <f>'JKP-3.1c - Rev Actual Rates'!F556</f>
        <v>0</v>
      </c>
      <c r="G545" s="421">
        <f>'JKP-3.1c - Rev Actual Rates'!G556</f>
        <v>0</v>
      </c>
      <c r="H545" s="421">
        <f>'JKP-3.1c - Rev Actual Rates'!H556</f>
        <v>0</v>
      </c>
      <c r="I545" s="421">
        <f>'JKP-3.1c - Rev Actual Rates'!I556</f>
        <v>0</v>
      </c>
      <c r="J545" s="421">
        <f>'JKP-3.1c - Rev Actual Rates'!J556</f>
        <v>0</v>
      </c>
      <c r="K545" s="421">
        <f>'JKP-3.1c - Rev Actual Rates'!K556</f>
        <v>0</v>
      </c>
      <c r="L545" s="421">
        <f>'JKP-3.1c - Rev Actual Rates'!L556</f>
        <v>0</v>
      </c>
      <c r="M545" s="421">
        <f>'JKP-3.1c - Rev Actual Rates'!M556</f>
        <v>1000</v>
      </c>
      <c r="N545" s="421">
        <f>'JKP-3.1c - Rev Actual Rates'!N556</f>
        <v>1000</v>
      </c>
      <c r="O545" s="421">
        <f>'JKP-3.1c - Rev Actual Rates'!O556</f>
        <v>1000</v>
      </c>
      <c r="P545" s="421">
        <f>'JKP-3.1c - Rev Actual Rates'!P556</f>
        <v>963</v>
      </c>
      <c r="Q545" s="421">
        <f>'JKP-3.1c - Rev Actual Rates'!Q556</f>
        <v>197</v>
      </c>
      <c r="R545" s="378">
        <f>SUM(F545:Q545)</f>
        <v>4160</v>
      </c>
      <c r="S545" s="335"/>
      <c r="T545" s="415"/>
    </row>
    <row r="546" spans="1:20" s="336" customFormat="1" x14ac:dyDescent="0.2">
      <c r="C546" s="336" t="s">
        <v>1099</v>
      </c>
      <c r="E546" s="336" t="s">
        <v>10</v>
      </c>
      <c r="F546" s="421">
        <f>'JKP-3.1c - Rev Actual Rates'!F557</f>
        <v>0</v>
      </c>
      <c r="G546" s="421">
        <f>'JKP-3.1c - Rev Actual Rates'!G557</f>
        <v>0</v>
      </c>
      <c r="H546" s="421">
        <f>'JKP-3.1c - Rev Actual Rates'!H557</f>
        <v>0</v>
      </c>
      <c r="I546" s="421">
        <f>'JKP-3.1c - Rev Actual Rates'!I557</f>
        <v>0</v>
      </c>
      <c r="J546" s="421">
        <f>'JKP-3.1c - Rev Actual Rates'!J557</f>
        <v>0</v>
      </c>
      <c r="K546" s="421">
        <f>'JKP-3.1c - Rev Actual Rates'!K557</f>
        <v>0</v>
      </c>
      <c r="L546" s="421">
        <f>'JKP-3.1c - Rev Actual Rates'!L557</f>
        <v>0</v>
      </c>
      <c r="M546" s="421">
        <f>'JKP-3.1c - Rev Actual Rates'!M557</f>
        <v>1158</v>
      </c>
      <c r="N546" s="421">
        <f>'JKP-3.1c - Rev Actual Rates'!N557</f>
        <v>8063</v>
      </c>
      <c r="O546" s="421">
        <f>'JKP-3.1c - Rev Actual Rates'!O557</f>
        <v>7098</v>
      </c>
      <c r="P546" s="421">
        <f>'JKP-3.1c - Rev Actual Rates'!P557</f>
        <v>0</v>
      </c>
      <c r="Q546" s="421">
        <f>'JKP-3.1c - Rev Actual Rates'!Q557</f>
        <v>0</v>
      </c>
      <c r="R546" s="378">
        <f>SUM(F546:Q546)</f>
        <v>16319</v>
      </c>
      <c r="S546" s="335"/>
      <c r="T546" s="415"/>
    </row>
    <row r="547" spans="1:20" s="336" customFormat="1" x14ac:dyDescent="0.2">
      <c r="C547" s="336" t="s">
        <v>1075</v>
      </c>
      <c r="E547" s="336" t="s">
        <v>10</v>
      </c>
      <c r="F547" s="436">
        <f t="shared" ref="F547:N547" si="139">SUM(F545:F546)</f>
        <v>0</v>
      </c>
      <c r="G547" s="436">
        <f t="shared" si="139"/>
        <v>0</v>
      </c>
      <c r="H547" s="436">
        <f t="shared" si="139"/>
        <v>0</v>
      </c>
      <c r="I547" s="436">
        <f t="shared" si="139"/>
        <v>0</v>
      </c>
      <c r="J547" s="436">
        <f t="shared" si="139"/>
        <v>0</v>
      </c>
      <c r="K547" s="436">
        <f t="shared" si="139"/>
        <v>0</v>
      </c>
      <c r="L547" s="436">
        <f t="shared" si="139"/>
        <v>0</v>
      </c>
      <c r="M547" s="436">
        <f t="shared" si="139"/>
        <v>2158</v>
      </c>
      <c r="N547" s="436">
        <f t="shared" si="139"/>
        <v>9063</v>
      </c>
      <c r="O547" s="436">
        <f>SUM(O545:O546)</f>
        <v>8098</v>
      </c>
      <c r="P547" s="436">
        <f>SUM(P545:P546)</f>
        <v>963</v>
      </c>
      <c r="Q547" s="436">
        <f>SUM(Q545:Q546)</f>
        <v>197</v>
      </c>
      <c r="R547" s="436">
        <f>SUM(R545:R546)</f>
        <v>20479</v>
      </c>
      <c r="S547" s="335"/>
      <c r="T547" s="415"/>
    </row>
    <row r="548" spans="1:20" s="336" customFormat="1" x14ac:dyDescent="0.2">
      <c r="B548" s="336" t="s">
        <v>74</v>
      </c>
      <c r="E548" s="336" t="s">
        <v>1076</v>
      </c>
      <c r="F548" s="421">
        <f>'JKP-3.1c - Rev Actual Rates'!F559</f>
        <v>0</v>
      </c>
      <c r="G548" s="421">
        <f>'JKP-3.1c - Rev Actual Rates'!G559</f>
        <v>0</v>
      </c>
      <c r="H548" s="421">
        <f>'JKP-3.1c - Rev Actual Rates'!H559</f>
        <v>0</v>
      </c>
      <c r="I548" s="421">
        <f>'JKP-3.1c - Rev Actual Rates'!I559</f>
        <v>0</v>
      </c>
      <c r="J548" s="421">
        <f>'JKP-3.1c - Rev Actual Rates'!J559</f>
        <v>0</v>
      </c>
      <c r="K548" s="421">
        <f>'JKP-3.1c - Rev Actual Rates'!K559</f>
        <v>0</v>
      </c>
      <c r="L548" s="421">
        <f>'JKP-3.1c - Rev Actual Rates'!L559</f>
        <v>0</v>
      </c>
      <c r="M548" s="421">
        <f>'JKP-3.1c - Rev Actual Rates'!M559</f>
        <v>0</v>
      </c>
      <c r="N548" s="421">
        <f>'JKP-3.1c - Rev Actual Rates'!N559</f>
        <v>0</v>
      </c>
      <c r="O548" s="421">
        <f>'JKP-3.1c - Rev Actual Rates'!O559</f>
        <v>0</v>
      </c>
      <c r="P548" s="421">
        <f>'JKP-3.1c - Rev Actual Rates'!P559</f>
        <v>0</v>
      </c>
      <c r="Q548" s="421">
        <f>'JKP-3.1c - Rev Actual Rates'!Q559</f>
        <v>0</v>
      </c>
      <c r="R548" s="378">
        <f>SUM(F548:Q548)</f>
        <v>0</v>
      </c>
      <c r="S548" s="335"/>
      <c r="T548" s="415"/>
    </row>
    <row r="549" spans="1:20" s="336" customFormat="1" x14ac:dyDescent="0.2">
      <c r="B549" s="336" t="s">
        <v>1071</v>
      </c>
      <c r="F549" s="380"/>
      <c r="G549" s="380"/>
      <c r="H549" s="380"/>
      <c r="I549" s="380"/>
      <c r="J549" s="380"/>
      <c r="K549" s="380"/>
      <c r="L549" s="380"/>
      <c r="M549" s="380"/>
      <c r="N549" s="380"/>
      <c r="O549" s="380"/>
      <c r="P549" s="380"/>
      <c r="Q549" s="380"/>
      <c r="R549" s="378"/>
      <c r="S549" s="335"/>
      <c r="T549" s="415"/>
    </row>
    <row r="550" spans="1:20" s="336" customFormat="1" x14ac:dyDescent="0.2">
      <c r="R550" s="179"/>
      <c r="S550" s="335"/>
      <c r="T550" s="415"/>
    </row>
    <row r="551" spans="1:20" s="336" customFormat="1" x14ac:dyDescent="0.2">
      <c r="B551" s="182" t="s">
        <v>985</v>
      </c>
      <c r="R551" s="179"/>
      <c r="S551" s="335"/>
      <c r="T551" s="415"/>
    </row>
    <row r="552" spans="1:20" s="336" customFormat="1" x14ac:dyDescent="0.2">
      <c r="A552" s="336" t="s">
        <v>1054</v>
      </c>
      <c r="B552" s="336" t="s">
        <v>1059</v>
      </c>
      <c r="D552" s="444" t="s">
        <v>810</v>
      </c>
      <c r="F552" s="418">
        <f>F534*F543</f>
        <v>0</v>
      </c>
      <c r="G552" s="418">
        <f t="shared" ref="G552:Q552" si="140">G534*G543</f>
        <v>0</v>
      </c>
      <c r="H552" s="418">
        <f t="shared" si="140"/>
        <v>0</v>
      </c>
      <c r="I552" s="418">
        <f t="shared" si="140"/>
        <v>0</v>
      </c>
      <c r="J552" s="418">
        <f t="shared" si="140"/>
        <v>0</v>
      </c>
      <c r="K552" s="418">
        <f t="shared" si="140"/>
        <v>443.45</v>
      </c>
      <c r="L552" s="418">
        <f t="shared" si="140"/>
        <v>443.45</v>
      </c>
      <c r="M552" s="418">
        <f t="shared" si="140"/>
        <v>443.45</v>
      </c>
      <c r="N552" s="418">
        <f t="shared" si="140"/>
        <v>443.45</v>
      </c>
      <c r="O552" s="418">
        <f t="shared" si="140"/>
        <v>443.45</v>
      </c>
      <c r="P552" s="418">
        <f t="shared" si="140"/>
        <v>443.45</v>
      </c>
      <c r="Q552" s="418">
        <f t="shared" si="140"/>
        <v>443.45</v>
      </c>
      <c r="R552" s="378">
        <f>SUM(F552:Q552)</f>
        <v>3104.1499999999996</v>
      </c>
      <c r="S552" s="335"/>
      <c r="T552" s="415"/>
    </row>
    <row r="553" spans="1:20" s="336" customFormat="1" x14ac:dyDescent="0.2">
      <c r="B553" s="336" t="s">
        <v>1047</v>
      </c>
      <c r="F553" s="418"/>
      <c r="G553" s="418"/>
      <c r="H553" s="418"/>
      <c r="I553" s="418"/>
      <c r="J553" s="418"/>
      <c r="K553" s="418"/>
      <c r="L553" s="418"/>
      <c r="M553" s="418"/>
      <c r="N553" s="418"/>
      <c r="O553" s="418"/>
      <c r="P553" s="418"/>
      <c r="Q553" s="418"/>
      <c r="R553" s="418"/>
      <c r="S553" s="335"/>
      <c r="T553" s="415"/>
    </row>
    <row r="554" spans="1:20" s="336" customFormat="1" x14ac:dyDescent="0.2">
      <c r="C554" s="336" t="s">
        <v>1098</v>
      </c>
      <c r="D554" s="444" t="s">
        <v>810</v>
      </c>
      <c r="F554" s="418">
        <f>F536*F545</f>
        <v>0</v>
      </c>
      <c r="G554" s="418">
        <f t="shared" ref="G554:Q555" si="141">G536*G545</f>
        <v>0</v>
      </c>
      <c r="H554" s="418">
        <f t="shared" si="141"/>
        <v>0</v>
      </c>
      <c r="I554" s="418">
        <f t="shared" si="141"/>
        <v>0</v>
      </c>
      <c r="J554" s="418">
        <f t="shared" si="141"/>
        <v>0</v>
      </c>
      <c r="K554" s="418">
        <f t="shared" si="141"/>
        <v>0</v>
      </c>
      <c r="L554" s="418">
        <f t="shared" si="141"/>
        <v>0</v>
      </c>
      <c r="M554" s="418">
        <f t="shared" si="141"/>
        <v>198.2</v>
      </c>
      <c r="N554" s="418">
        <f t="shared" si="141"/>
        <v>198.2</v>
      </c>
      <c r="O554" s="418">
        <f t="shared" si="141"/>
        <v>198.2</v>
      </c>
      <c r="P554" s="418">
        <f t="shared" si="141"/>
        <v>190.86659999999998</v>
      </c>
      <c r="Q554" s="418">
        <f t="shared" si="141"/>
        <v>39.045400000000001</v>
      </c>
      <c r="R554" s="378">
        <f>SUM(F554:Q554)</f>
        <v>824.51199999999983</v>
      </c>
      <c r="S554" s="335"/>
      <c r="T554" s="415"/>
    </row>
    <row r="555" spans="1:20" s="336" customFormat="1" x14ac:dyDescent="0.2">
      <c r="C555" s="336" t="s">
        <v>1099</v>
      </c>
      <c r="D555" s="444" t="s">
        <v>810</v>
      </c>
      <c r="F555" s="418">
        <f>F537*F546</f>
        <v>0</v>
      </c>
      <c r="G555" s="418">
        <f t="shared" si="141"/>
        <v>0</v>
      </c>
      <c r="H555" s="418">
        <f t="shared" si="141"/>
        <v>0</v>
      </c>
      <c r="I555" s="418">
        <f t="shared" si="141"/>
        <v>0</v>
      </c>
      <c r="J555" s="418">
        <f t="shared" si="141"/>
        <v>0</v>
      </c>
      <c r="K555" s="418">
        <f t="shared" si="141"/>
        <v>0</v>
      </c>
      <c r="L555" s="418">
        <f t="shared" si="141"/>
        <v>0</v>
      </c>
      <c r="M555" s="418">
        <f t="shared" si="141"/>
        <v>164.55180000000001</v>
      </c>
      <c r="N555" s="418">
        <f t="shared" si="141"/>
        <v>1145.7523000000001</v>
      </c>
      <c r="O555" s="418">
        <f t="shared" si="141"/>
        <v>1008.6258</v>
      </c>
      <c r="P555" s="418">
        <f t="shared" si="141"/>
        <v>0</v>
      </c>
      <c r="Q555" s="418">
        <f t="shared" si="141"/>
        <v>0</v>
      </c>
      <c r="R555" s="378">
        <f>SUM(F555:Q555)</f>
        <v>2318.9299000000001</v>
      </c>
      <c r="S555" s="335"/>
      <c r="T555" s="415"/>
    </row>
    <row r="556" spans="1:20" x14ac:dyDescent="0.2">
      <c r="A556" s="32" t="s">
        <v>1054</v>
      </c>
      <c r="C556" s="32" t="s">
        <v>1077</v>
      </c>
      <c r="F556" s="365">
        <f>SUM(F554:F555)</f>
        <v>0</v>
      </c>
      <c r="G556" s="365">
        <f t="shared" ref="G556:R556" si="142">SUM(G554:G555)</f>
        <v>0</v>
      </c>
      <c r="H556" s="365">
        <f t="shared" si="142"/>
        <v>0</v>
      </c>
      <c r="I556" s="365">
        <f t="shared" si="142"/>
        <v>0</v>
      </c>
      <c r="J556" s="365">
        <f t="shared" si="142"/>
        <v>0</v>
      </c>
      <c r="K556" s="365">
        <f t="shared" si="142"/>
        <v>0</v>
      </c>
      <c r="L556" s="365">
        <f t="shared" si="142"/>
        <v>0</v>
      </c>
      <c r="M556" s="365">
        <f t="shared" si="142"/>
        <v>362.7518</v>
      </c>
      <c r="N556" s="365">
        <f t="shared" si="142"/>
        <v>1343.9523000000002</v>
      </c>
      <c r="O556" s="365">
        <f t="shared" si="142"/>
        <v>1206.8258000000001</v>
      </c>
      <c r="P556" s="365">
        <f t="shared" si="142"/>
        <v>190.86659999999998</v>
      </c>
      <c r="Q556" s="365">
        <f t="shared" si="142"/>
        <v>39.045400000000001</v>
      </c>
      <c r="R556" s="365">
        <f t="shared" si="142"/>
        <v>3143.4418999999998</v>
      </c>
    </row>
    <row r="557" spans="1:20" x14ac:dyDescent="0.2">
      <c r="A557" s="32" t="s">
        <v>1056</v>
      </c>
      <c r="B557" s="32" t="s">
        <v>1105</v>
      </c>
      <c r="D557" s="444"/>
      <c r="F557" s="365">
        <f>F538*F547</f>
        <v>0</v>
      </c>
      <c r="G557" s="365">
        <f t="shared" ref="G557:Q558" si="143">G538*G547</f>
        <v>0</v>
      </c>
      <c r="H557" s="365">
        <f t="shared" si="143"/>
        <v>0</v>
      </c>
      <c r="I557" s="365">
        <f t="shared" si="143"/>
        <v>0</v>
      </c>
      <c r="J557" s="365">
        <f t="shared" si="143"/>
        <v>0</v>
      </c>
      <c r="K557" s="365">
        <f t="shared" si="143"/>
        <v>0</v>
      </c>
      <c r="L557" s="365">
        <f t="shared" si="143"/>
        <v>0</v>
      </c>
      <c r="M557" s="365">
        <f t="shared" si="143"/>
        <v>1.5105999999999999</v>
      </c>
      <c r="N557" s="365">
        <f t="shared" si="143"/>
        <v>6.3441000000000001</v>
      </c>
      <c r="O557" s="365">
        <f t="shared" si="143"/>
        <v>5.6685999999999996</v>
      </c>
      <c r="P557" s="365">
        <f t="shared" si="143"/>
        <v>0.67410000000000003</v>
      </c>
      <c r="Q557" s="365">
        <f t="shared" si="143"/>
        <v>0.13789999999999999</v>
      </c>
      <c r="R557" s="378">
        <f>SUM(F557:Q557)</f>
        <v>14.335299999999998</v>
      </c>
    </row>
    <row r="558" spans="1:20" x14ac:dyDescent="0.2">
      <c r="A558" s="32" t="s">
        <v>1054</v>
      </c>
      <c r="B558" s="32" t="s">
        <v>1069</v>
      </c>
      <c r="D558" s="444" t="s">
        <v>810</v>
      </c>
      <c r="F558" s="364">
        <f>F539*F548</f>
        <v>0</v>
      </c>
      <c r="G558" s="364">
        <f t="shared" si="143"/>
        <v>0</v>
      </c>
      <c r="H558" s="364">
        <f t="shared" si="143"/>
        <v>0</v>
      </c>
      <c r="I558" s="364">
        <f t="shared" si="143"/>
        <v>0</v>
      </c>
      <c r="J558" s="364">
        <f t="shared" si="143"/>
        <v>0</v>
      </c>
      <c r="K558" s="364">
        <f t="shared" si="143"/>
        <v>0</v>
      </c>
      <c r="L558" s="364">
        <f t="shared" si="143"/>
        <v>0</v>
      </c>
      <c r="M558" s="364">
        <f t="shared" si="143"/>
        <v>0</v>
      </c>
      <c r="N558" s="364">
        <f t="shared" si="143"/>
        <v>0</v>
      </c>
      <c r="O558" s="364">
        <f t="shared" si="143"/>
        <v>0</v>
      </c>
      <c r="P558" s="364">
        <f t="shared" si="143"/>
        <v>0</v>
      </c>
      <c r="Q558" s="364">
        <f t="shared" si="143"/>
        <v>0</v>
      </c>
      <c r="R558" s="378">
        <f>SUM(F558:Q558)</f>
        <v>0</v>
      </c>
    </row>
    <row r="559" spans="1:20" s="336" customFormat="1" x14ac:dyDescent="0.2">
      <c r="A559" s="336" t="s">
        <v>1054</v>
      </c>
      <c r="B559" s="336" t="s">
        <v>1071</v>
      </c>
      <c r="D559" s="444" t="s">
        <v>810</v>
      </c>
      <c r="F559" s="447">
        <f>'JKP-3.1c - Rev Actual Rates'!F570</f>
        <v>0</v>
      </c>
      <c r="G559" s="447">
        <f>'JKP-3.1c - Rev Actual Rates'!G570</f>
        <v>0</v>
      </c>
      <c r="H559" s="447">
        <f>'JKP-3.1c - Rev Actual Rates'!H570</f>
        <v>0</v>
      </c>
      <c r="I559" s="447">
        <f>'JKP-3.1c - Rev Actual Rates'!I570</f>
        <v>0</v>
      </c>
      <c r="J559" s="447">
        <f>'JKP-3.1c - Rev Actual Rates'!J570</f>
        <v>0</v>
      </c>
      <c r="K559" s="447">
        <f>'JKP-3.1c - Rev Actual Rates'!K570</f>
        <v>0</v>
      </c>
      <c r="L559" s="447">
        <f>'JKP-3.1c - Rev Actual Rates'!L570</f>
        <v>0</v>
      </c>
      <c r="M559" s="447">
        <f>'JKP-3.1c - Rev Actual Rates'!M570</f>
        <v>0</v>
      </c>
      <c r="N559" s="447">
        <f>'JKP-3.1c - Rev Actual Rates'!N570</f>
        <v>68.489999999999995</v>
      </c>
      <c r="O559" s="447">
        <f>'JKP-3.1c - Rev Actual Rates'!O570</f>
        <v>0</v>
      </c>
      <c r="P559" s="447">
        <f>'JKP-3.1c - Rev Actual Rates'!P570</f>
        <v>0</v>
      </c>
      <c r="Q559" s="447">
        <f>'JKP-3.1c - Rev Actual Rates'!Q570</f>
        <v>0</v>
      </c>
      <c r="R559" s="378">
        <f>SUM(F559:Q559)</f>
        <v>68.489999999999995</v>
      </c>
      <c r="S559" s="335"/>
      <c r="T559" s="415"/>
    </row>
    <row r="560" spans="1:20" x14ac:dyDescent="0.2">
      <c r="B560" s="32" t="s">
        <v>986</v>
      </c>
      <c r="F560" s="365">
        <f>F552+F556+F557+F558+F559</f>
        <v>0</v>
      </c>
      <c r="G560" s="365">
        <f t="shared" ref="G560:R560" si="144">G552+G556+G557+G558+G559</f>
        <v>0</v>
      </c>
      <c r="H560" s="365">
        <f t="shared" si="144"/>
        <v>0</v>
      </c>
      <c r="I560" s="365">
        <f t="shared" si="144"/>
        <v>0</v>
      </c>
      <c r="J560" s="365">
        <f t="shared" si="144"/>
        <v>0</v>
      </c>
      <c r="K560" s="365">
        <f t="shared" si="144"/>
        <v>443.45</v>
      </c>
      <c r="L560" s="365">
        <f t="shared" si="144"/>
        <v>443.45</v>
      </c>
      <c r="M560" s="365">
        <f t="shared" si="144"/>
        <v>807.7124</v>
      </c>
      <c r="N560" s="365">
        <f t="shared" si="144"/>
        <v>1862.2364000000002</v>
      </c>
      <c r="O560" s="365">
        <f t="shared" si="144"/>
        <v>1655.9444000000001</v>
      </c>
      <c r="P560" s="365">
        <f t="shared" si="144"/>
        <v>634.99069999999995</v>
      </c>
      <c r="Q560" s="365">
        <f t="shared" si="144"/>
        <v>482.63330000000002</v>
      </c>
      <c r="R560" s="365">
        <f t="shared" si="144"/>
        <v>6330.417199999999</v>
      </c>
      <c r="T560" s="340"/>
    </row>
    <row r="561" spans="1:20" x14ac:dyDescent="0.2">
      <c r="F561" s="364"/>
      <c r="G561" s="364"/>
      <c r="H561" s="364"/>
      <c r="I561" s="364"/>
      <c r="J561" s="364"/>
      <c r="K561" s="364"/>
      <c r="L561" s="364"/>
      <c r="M561" s="364"/>
      <c r="N561" s="364"/>
      <c r="O561" s="364"/>
      <c r="P561" s="364"/>
      <c r="Q561" s="364"/>
      <c r="R561" s="364"/>
      <c r="T561" s="415"/>
    </row>
    <row r="562" spans="1:20" x14ac:dyDescent="0.2">
      <c r="A562" s="32" t="s">
        <v>1058</v>
      </c>
      <c r="B562" s="32" t="s">
        <v>1050</v>
      </c>
      <c r="F562" s="364">
        <f>F557</f>
        <v>0</v>
      </c>
      <c r="G562" s="364">
        <f t="shared" ref="G562:Q562" si="145">G557</f>
        <v>0</v>
      </c>
      <c r="H562" s="364">
        <f t="shared" si="145"/>
        <v>0</v>
      </c>
      <c r="I562" s="364">
        <f t="shared" si="145"/>
        <v>0</v>
      </c>
      <c r="J562" s="364">
        <f t="shared" si="145"/>
        <v>0</v>
      </c>
      <c r="K562" s="364">
        <f t="shared" si="145"/>
        <v>0</v>
      </c>
      <c r="L562" s="364">
        <f t="shared" si="145"/>
        <v>0</v>
      </c>
      <c r="M562" s="364">
        <f t="shared" si="145"/>
        <v>1.5105999999999999</v>
      </c>
      <c r="N562" s="364">
        <f t="shared" si="145"/>
        <v>6.3441000000000001</v>
      </c>
      <c r="O562" s="364">
        <f t="shared" si="145"/>
        <v>5.6685999999999996</v>
      </c>
      <c r="P562" s="364">
        <f t="shared" si="145"/>
        <v>0.67410000000000003</v>
      </c>
      <c r="Q562" s="364">
        <f t="shared" si="145"/>
        <v>0.13789999999999999</v>
      </c>
      <c r="R562" s="378">
        <f>SUM(F562:Q562)</f>
        <v>14.335299999999998</v>
      </c>
      <c r="T562" s="415"/>
    </row>
    <row r="563" spans="1:20" x14ac:dyDescent="0.2">
      <c r="F563" s="364"/>
      <c r="G563" s="364"/>
      <c r="H563" s="364"/>
      <c r="I563" s="364"/>
      <c r="J563" s="364"/>
      <c r="K563" s="364"/>
      <c r="L563" s="364"/>
      <c r="M563" s="364"/>
      <c r="N563" s="364"/>
      <c r="O563" s="364"/>
      <c r="P563" s="364"/>
      <c r="Q563" s="364"/>
      <c r="R563" s="341"/>
      <c r="T563" s="415"/>
    </row>
    <row r="564" spans="1:20" x14ac:dyDescent="0.2">
      <c r="B564" s="276" t="s">
        <v>1106</v>
      </c>
      <c r="C564" s="276"/>
      <c r="F564" s="390"/>
      <c r="G564" s="390"/>
      <c r="H564" s="390"/>
      <c r="I564" s="390"/>
      <c r="J564" s="390"/>
      <c r="S564" s="32"/>
      <c r="T564" s="32"/>
    </row>
    <row r="565" spans="1:20" x14ac:dyDescent="0.2">
      <c r="B565" s="276" t="s">
        <v>5</v>
      </c>
      <c r="C565" s="276"/>
      <c r="F565" s="390"/>
      <c r="G565" s="390"/>
      <c r="H565" s="390"/>
      <c r="I565" s="390"/>
      <c r="J565" s="390"/>
      <c r="S565" s="32"/>
      <c r="T565" s="32"/>
    </row>
    <row r="566" spans="1:20" x14ac:dyDescent="0.2">
      <c r="B566" s="32" t="s">
        <v>1059</v>
      </c>
      <c r="D566" s="444" t="s">
        <v>811</v>
      </c>
      <c r="E566" s="32" t="s">
        <v>976</v>
      </c>
      <c r="F566" s="460">
        <f t="shared" ref="F566:L566" si="146">F206</f>
        <v>871.85</v>
      </c>
      <c r="G566" s="460">
        <f t="shared" si="146"/>
        <v>871.85</v>
      </c>
      <c r="H566" s="460">
        <f t="shared" si="146"/>
        <v>871.85</v>
      </c>
      <c r="I566" s="460">
        <f t="shared" si="146"/>
        <v>871.85</v>
      </c>
      <c r="J566" s="460">
        <f t="shared" si="146"/>
        <v>871.85</v>
      </c>
      <c r="K566" s="460">
        <f t="shared" si="146"/>
        <v>871.85</v>
      </c>
      <c r="L566" s="460">
        <f t="shared" si="146"/>
        <v>871.85</v>
      </c>
      <c r="M566" s="460">
        <f>M206</f>
        <v>871.85</v>
      </c>
      <c r="N566" s="460">
        <f>N206</f>
        <v>871.85</v>
      </c>
      <c r="O566" s="460">
        <f>O206</f>
        <v>871.85</v>
      </c>
      <c r="P566" s="460">
        <f>P206</f>
        <v>871.85</v>
      </c>
      <c r="Q566" s="460">
        <f>Q206</f>
        <v>871.85</v>
      </c>
      <c r="S566" s="32"/>
      <c r="T566" s="32"/>
    </row>
    <row r="567" spans="1:20" x14ac:dyDescent="0.2">
      <c r="C567" s="32" t="s">
        <v>1047</v>
      </c>
      <c r="F567" s="459"/>
      <c r="G567" s="459"/>
      <c r="H567" s="459"/>
      <c r="I567" s="459"/>
      <c r="J567" s="459"/>
      <c r="K567" s="459"/>
      <c r="L567" s="459"/>
      <c r="M567" s="459"/>
      <c r="N567" s="459"/>
      <c r="O567" s="459"/>
      <c r="P567" s="459"/>
      <c r="Q567" s="459"/>
      <c r="S567" s="32"/>
      <c r="T567" s="32"/>
    </row>
    <row r="568" spans="1:20" x14ac:dyDescent="0.2">
      <c r="C568" s="32" t="s">
        <v>1086</v>
      </c>
      <c r="D568" s="444" t="s">
        <v>811</v>
      </c>
      <c r="E568" s="32" t="s">
        <v>957</v>
      </c>
      <c r="F568" s="459">
        <f t="shared" ref="F568:Q575" si="147">F208</f>
        <v>0.13815</v>
      </c>
      <c r="G568" s="459">
        <f t="shared" si="147"/>
        <v>0.13815</v>
      </c>
      <c r="H568" s="459">
        <f t="shared" si="147"/>
        <v>0.13815</v>
      </c>
      <c r="I568" s="459">
        <f t="shared" si="147"/>
        <v>0.13815</v>
      </c>
      <c r="J568" s="459">
        <f t="shared" si="147"/>
        <v>0.13815</v>
      </c>
      <c r="K568" s="459">
        <f t="shared" si="147"/>
        <v>0.13815</v>
      </c>
      <c r="L568" s="459">
        <f t="shared" si="147"/>
        <v>0.13815</v>
      </c>
      <c r="M568" s="459">
        <f t="shared" si="147"/>
        <v>0.13815</v>
      </c>
      <c r="N568" s="459">
        <f t="shared" si="147"/>
        <v>0.13815</v>
      </c>
      <c r="O568" s="459">
        <f t="shared" si="147"/>
        <v>0.13815</v>
      </c>
      <c r="P568" s="459">
        <f t="shared" si="147"/>
        <v>0.13815</v>
      </c>
      <c r="Q568" s="459">
        <f t="shared" si="147"/>
        <v>0.13815</v>
      </c>
      <c r="S568" s="32"/>
      <c r="T568" s="32"/>
    </row>
    <row r="569" spans="1:20" x14ac:dyDescent="0.2">
      <c r="C569" s="32" t="s">
        <v>1087</v>
      </c>
      <c r="D569" s="444" t="s">
        <v>811</v>
      </c>
      <c r="E569" s="32" t="s">
        <v>957</v>
      </c>
      <c r="F569" s="459">
        <f t="shared" si="147"/>
        <v>8.4349999999999994E-2</v>
      </c>
      <c r="G569" s="459">
        <f t="shared" si="147"/>
        <v>8.4349999999999994E-2</v>
      </c>
      <c r="H569" s="459">
        <f t="shared" si="147"/>
        <v>8.4349999999999994E-2</v>
      </c>
      <c r="I569" s="459">
        <f t="shared" si="147"/>
        <v>8.4349999999999994E-2</v>
      </c>
      <c r="J569" s="459">
        <f t="shared" si="147"/>
        <v>8.4349999999999994E-2</v>
      </c>
      <c r="K569" s="459">
        <f t="shared" si="147"/>
        <v>8.4349999999999994E-2</v>
      </c>
      <c r="L569" s="459">
        <f t="shared" si="147"/>
        <v>8.4349999999999994E-2</v>
      </c>
      <c r="M569" s="459">
        <f t="shared" si="147"/>
        <v>8.4349999999999994E-2</v>
      </c>
      <c r="N569" s="459">
        <f t="shared" si="147"/>
        <v>8.4349999999999994E-2</v>
      </c>
      <c r="O569" s="459">
        <f t="shared" si="147"/>
        <v>8.4349999999999994E-2</v>
      </c>
      <c r="P569" s="459">
        <f t="shared" si="147"/>
        <v>8.4349999999999994E-2</v>
      </c>
      <c r="Q569" s="459">
        <f t="shared" si="147"/>
        <v>8.4349999999999994E-2</v>
      </c>
      <c r="S569" s="32"/>
      <c r="T569" s="32"/>
    </row>
    <row r="570" spans="1:20" x14ac:dyDescent="0.2">
      <c r="C570" s="32" t="s">
        <v>1090</v>
      </c>
      <c r="D570" s="444" t="s">
        <v>811</v>
      </c>
      <c r="E570" s="32" t="s">
        <v>957</v>
      </c>
      <c r="F570" s="459">
        <f t="shared" si="147"/>
        <v>5.4460000000000001E-2</v>
      </c>
      <c r="G570" s="459">
        <f t="shared" si="147"/>
        <v>5.4460000000000001E-2</v>
      </c>
      <c r="H570" s="459">
        <f t="shared" si="147"/>
        <v>5.4460000000000001E-2</v>
      </c>
      <c r="I570" s="459">
        <f t="shared" si="147"/>
        <v>5.4460000000000001E-2</v>
      </c>
      <c r="J570" s="459">
        <f t="shared" si="147"/>
        <v>5.4460000000000001E-2</v>
      </c>
      <c r="K570" s="459">
        <f t="shared" si="147"/>
        <v>5.4460000000000001E-2</v>
      </c>
      <c r="L570" s="459">
        <f t="shared" si="147"/>
        <v>5.4460000000000001E-2</v>
      </c>
      <c r="M570" s="459">
        <f t="shared" si="147"/>
        <v>5.4460000000000001E-2</v>
      </c>
      <c r="N570" s="459">
        <f t="shared" si="147"/>
        <v>5.4460000000000001E-2</v>
      </c>
      <c r="O570" s="459">
        <f t="shared" si="147"/>
        <v>5.4460000000000001E-2</v>
      </c>
      <c r="P570" s="459">
        <f t="shared" si="147"/>
        <v>5.4460000000000001E-2</v>
      </c>
      <c r="Q570" s="459">
        <f t="shared" si="147"/>
        <v>5.4460000000000001E-2</v>
      </c>
      <c r="S570" s="32"/>
      <c r="T570" s="32"/>
    </row>
    <row r="571" spans="1:20" x14ac:dyDescent="0.2">
      <c r="C571" s="32" t="s">
        <v>1091</v>
      </c>
      <c r="D571" s="444" t="s">
        <v>811</v>
      </c>
      <c r="E571" s="32" t="s">
        <v>957</v>
      </c>
      <c r="F571" s="459">
        <f t="shared" si="147"/>
        <v>3.5700000000000003E-2</v>
      </c>
      <c r="G571" s="459">
        <f t="shared" si="147"/>
        <v>3.5700000000000003E-2</v>
      </c>
      <c r="H571" s="459">
        <f t="shared" si="147"/>
        <v>3.5700000000000003E-2</v>
      </c>
      <c r="I571" s="459">
        <f t="shared" si="147"/>
        <v>3.5700000000000003E-2</v>
      </c>
      <c r="J571" s="459">
        <f t="shared" si="147"/>
        <v>3.5700000000000003E-2</v>
      </c>
      <c r="K571" s="459">
        <f t="shared" si="147"/>
        <v>3.5700000000000003E-2</v>
      </c>
      <c r="L571" s="459">
        <f t="shared" si="147"/>
        <v>3.5700000000000003E-2</v>
      </c>
      <c r="M571" s="459">
        <f t="shared" si="147"/>
        <v>3.5700000000000003E-2</v>
      </c>
      <c r="N571" s="459">
        <f t="shared" si="147"/>
        <v>3.5700000000000003E-2</v>
      </c>
      <c r="O571" s="459">
        <f t="shared" si="147"/>
        <v>3.5700000000000003E-2</v>
      </c>
      <c r="P571" s="459">
        <f t="shared" si="147"/>
        <v>3.5700000000000003E-2</v>
      </c>
      <c r="Q571" s="459">
        <f t="shared" si="147"/>
        <v>3.5700000000000003E-2</v>
      </c>
      <c r="S571" s="32"/>
      <c r="T571" s="32"/>
    </row>
    <row r="572" spans="1:20" x14ac:dyDescent="0.2">
      <c r="C572" s="32" t="s">
        <v>1092</v>
      </c>
      <c r="D572" s="444" t="s">
        <v>811</v>
      </c>
      <c r="E572" s="32" t="s">
        <v>957</v>
      </c>
      <c r="F572" s="459">
        <f t="shared" si="147"/>
        <v>2.63E-2</v>
      </c>
      <c r="G572" s="459">
        <f t="shared" si="147"/>
        <v>2.63E-2</v>
      </c>
      <c r="H572" s="459">
        <f t="shared" si="147"/>
        <v>2.63E-2</v>
      </c>
      <c r="I572" s="459">
        <f t="shared" si="147"/>
        <v>2.63E-2</v>
      </c>
      <c r="J572" s="459">
        <f t="shared" si="147"/>
        <v>2.63E-2</v>
      </c>
      <c r="K572" s="459">
        <f t="shared" si="147"/>
        <v>2.63E-2</v>
      </c>
      <c r="L572" s="459">
        <f t="shared" si="147"/>
        <v>2.63E-2</v>
      </c>
      <c r="M572" s="459">
        <f t="shared" si="147"/>
        <v>2.63E-2</v>
      </c>
      <c r="N572" s="459">
        <f t="shared" si="147"/>
        <v>2.63E-2</v>
      </c>
      <c r="O572" s="459">
        <f t="shared" si="147"/>
        <v>2.63E-2</v>
      </c>
      <c r="P572" s="459">
        <f t="shared" si="147"/>
        <v>2.63E-2</v>
      </c>
      <c r="Q572" s="459">
        <f t="shared" si="147"/>
        <v>2.63E-2</v>
      </c>
      <c r="S572" s="32"/>
      <c r="T572" s="32"/>
    </row>
    <row r="573" spans="1:20" x14ac:dyDescent="0.2">
      <c r="C573" s="32" t="s">
        <v>1093</v>
      </c>
      <c r="D573" s="444" t="s">
        <v>811</v>
      </c>
      <c r="E573" s="32" t="s">
        <v>957</v>
      </c>
      <c r="F573" s="459">
        <f t="shared" si="147"/>
        <v>2.077E-2</v>
      </c>
      <c r="G573" s="459">
        <f t="shared" si="147"/>
        <v>2.077E-2</v>
      </c>
      <c r="H573" s="459">
        <f t="shared" si="147"/>
        <v>2.077E-2</v>
      </c>
      <c r="I573" s="459">
        <f t="shared" si="147"/>
        <v>2.077E-2</v>
      </c>
      <c r="J573" s="459">
        <f t="shared" si="147"/>
        <v>2.077E-2</v>
      </c>
      <c r="K573" s="459">
        <f t="shared" si="147"/>
        <v>2.077E-2</v>
      </c>
      <c r="L573" s="459">
        <f t="shared" si="147"/>
        <v>2.077E-2</v>
      </c>
      <c r="M573" s="459">
        <f t="shared" si="147"/>
        <v>2.077E-2</v>
      </c>
      <c r="N573" s="459">
        <f t="shared" si="147"/>
        <v>2.077E-2</v>
      </c>
      <c r="O573" s="459">
        <f t="shared" si="147"/>
        <v>2.077E-2</v>
      </c>
      <c r="P573" s="459">
        <f t="shared" si="147"/>
        <v>2.077E-2</v>
      </c>
      <c r="Q573" s="459">
        <f t="shared" si="147"/>
        <v>2.077E-2</v>
      </c>
      <c r="S573" s="32"/>
      <c r="T573" s="32"/>
    </row>
    <row r="574" spans="1:20" x14ac:dyDescent="0.2">
      <c r="B574" s="336" t="s">
        <v>1081</v>
      </c>
      <c r="D574" s="382" t="s">
        <v>811</v>
      </c>
      <c r="E574" s="336" t="s">
        <v>957</v>
      </c>
      <c r="F574" s="459">
        <f t="shared" si="147"/>
        <v>6.9999999999999999E-4</v>
      </c>
      <c r="G574" s="459">
        <f t="shared" si="147"/>
        <v>6.9999999999999999E-4</v>
      </c>
      <c r="H574" s="459">
        <f t="shared" si="147"/>
        <v>6.9999999999999999E-4</v>
      </c>
      <c r="I574" s="459">
        <f t="shared" si="147"/>
        <v>6.9999999999999999E-4</v>
      </c>
      <c r="J574" s="459">
        <f t="shared" si="147"/>
        <v>6.9999999999999999E-4</v>
      </c>
      <c r="K574" s="459">
        <f t="shared" si="147"/>
        <v>6.9999999999999999E-4</v>
      </c>
      <c r="L574" s="459">
        <f t="shared" si="147"/>
        <v>6.9999999999999999E-4</v>
      </c>
      <c r="M574" s="459">
        <f t="shared" si="147"/>
        <v>6.9999999999999999E-4</v>
      </c>
      <c r="N574" s="459">
        <f t="shared" si="147"/>
        <v>6.9999999999999999E-4</v>
      </c>
      <c r="O574" s="459">
        <f t="shared" si="147"/>
        <v>6.9999999999999999E-4</v>
      </c>
      <c r="P574" s="459">
        <f t="shared" si="147"/>
        <v>6.9999999999999999E-4</v>
      </c>
      <c r="Q574" s="459">
        <f t="shared" si="147"/>
        <v>6.9999999999999999E-4</v>
      </c>
      <c r="S574" s="32"/>
      <c r="T574" s="32"/>
    </row>
    <row r="575" spans="1:20" x14ac:dyDescent="0.2">
      <c r="B575" s="32" t="s">
        <v>1069</v>
      </c>
      <c r="D575" s="444" t="s">
        <v>811</v>
      </c>
      <c r="E575" s="32" t="s">
        <v>957</v>
      </c>
      <c r="F575" s="460">
        <f t="shared" si="147"/>
        <v>1.1100000000000001</v>
      </c>
      <c r="G575" s="460">
        <f t="shared" si="147"/>
        <v>1.1100000000000001</v>
      </c>
      <c r="H575" s="460">
        <f t="shared" si="147"/>
        <v>1.1100000000000001</v>
      </c>
      <c r="I575" s="460">
        <f t="shared" si="147"/>
        <v>1.1100000000000001</v>
      </c>
      <c r="J575" s="460">
        <f t="shared" si="147"/>
        <v>1.1100000000000001</v>
      </c>
      <c r="K575" s="460">
        <f t="shared" si="147"/>
        <v>1.1100000000000001</v>
      </c>
      <c r="L575" s="460">
        <f t="shared" si="147"/>
        <v>1.1100000000000001</v>
      </c>
      <c r="M575" s="460">
        <f t="shared" si="147"/>
        <v>1.1100000000000001</v>
      </c>
      <c r="N575" s="460">
        <f t="shared" si="147"/>
        <v>1.1100000000000001</v>
      </c>
      <c r="O575" s="460">
        <f t="shared" si="147"/>
        <v>1.1100000000000001</v>
      </c>
      <c r="P575" s="460">
        <f t="shared" si="147"/>
        <v>1.1100000000000001</v>
      </c>
      <c r="Q575" s="460">
        <f t="shared" si="147"/>
        <v>1.1100000000000001</v>
      </c>
      <c r="S575" s="32"/>
      <c r="T575" s="32"/>
    </row>
    <row r="576" spans="1:20" s="336" customFormat="1" x14ac:dyDescent="0.2">
      <c r="B576" s="336" t="s">
        <v>1071</v>
      </c>
      <c r="D576" s="444" t="s">
        <v>811</v>
      </c>
      <c r="E576" s="336" t="s">
        <v>67</v>
      </c>
      <c r="F576" s="442"/>
      <c r="G576" s="442"/>
      <c r="H576" s="442"/>
      <c r="I576" s="442"/>
      <c r="J576" s="442"/>
      <c r="K576" s="442"/>
      <c r="L576" s="442"/>
    </row>
    <row r="577" spans="1:18" s="336" customFormat="1" x14ac:dyDescent="0.2">
      <c r="F577" s="415"/>
      <c r="G577" s="415"/>
      <c r="H577" s="415"/>
      <c r="I577" s="415"/>
      <c r="J577" s="415"/>
    </row>
    <row r="578" spans="1:18" s="336" customFormat="1" x14ac:dyDescent="0.2">
      <c r="B578" s="182" t="s">
        <v>1083</v>
      </c>
      <c r="F578" s="415"/>
      <c r="G578" s="415"/>
      <c r="H578" s="415"/>
      <c r="I578" s="415"/>
      <c r="J578" s="415"/>
    </row>
    <row r="579" spans="1:18" s="336" customFormat="1" x14ac:dyDescent="0.2">
      <c r="B579" s="336" t="s">
        <v>67</v>
      </c>
      <c r="D579" s="444" t="s">
        <v>811</v>
      </c>
      <c r="E579" s="336" t="s">
        <v>67</v>
      </c>
      <c r="F579" s="421">
        <f>'JKP-3.1c - Data'!C156</f>
        <v>11</v>
      </c>
      <c r="G579" s="421">
        <f>'JKP-3.1c - Data'!D156</f>
        <v>11</v>
      </c>
      <c r="H579" s="421">
        <f>'JKP-3.1c - Data'!E156</f>
        <v>11</v>
      </c>
      <c r="I579" s="421">
        <f>'JKP-3.1c - Data'!F156</f>
        <v>11</v>
      </c>
      <c r="J579" s="421">
        <f>'JKP-3.1c - Data'!G156</f>
        <v>11</v>
      </c>
      <c r="K579" s="421">
        <f>'JKP-3.1c - Data'!H156</f>
        <v>11</v>
      </c>
      <c r="L579" s="421">
        <f>'JKP-3.1c - Data'!I156</f>
        <v>11</v>
      </c>
      <c r="M579" s="421">
        <f>'JKP-3.1c - Data'!J156</f>
        <v>11</v>
      </c>
      <c r="N579" s="421">
        <f>'JKP-3.1c - Data'!K156</f>
        <v>11</v>
      </c>
      <c r="O579" s="421">
        <f>'JKP-3.1c - Data'!L156</f>
        <v>11</v>
      </c>
      <c r="P579" s="421">
        <f>'JKP-3.1c - Data'!M156</f>
        <v>11</v>
      </c>
      <c r="Q579" s="421">
        <f>'JKP-3.1c - Data'!N156</f>
        <v>10</v>
      </c>
      <c r="R579" s="362">
        <f>SUM(F579:Q579)</f>
        <v>131</v>
      </c>
    </row>
    <row r="580" spans="1:18" s="336" customFormat="1" x14ac:dyDescent="0.2">
      <c r="B580" s="336" t="s">
        <v>76</v>
      </c>
      <c r="F580" s="380"/>
      <c r="G580" s="380"/>
      <c r="H580" s="380"/>
      <c r="I580" s="380"/>
      <c r="J580" s="380"/>
      <c r="K580" s="380"/>
      <c r="L580" s="380"/>
      <c r="M580" s="380"/>
      <c r="N580" s="380"/>
      <c r="O580" s="380"/>
      <c r="P580" s="380"/>
      <c r="Q580" s="380"/>
    </row>
    <row r="581" spans="1:18" s="336" customFormat="1" x14ac:dyDescent="0.2">
      <c r="C581" s="336" t="s">
        <v>1086</v>
      </c>
      <c r="D581" s="444" t="s">
        <v>811</v>
      </c>
      <c r="E581" s="336" t="s">
        <v>10</v>
      </c>
      <c r="F581" s="421">
        <f>'JKP-3.1c - Rev Actual Rates'!F592</f>
        <v>233002</v>
      </c>
      <c r="G581" s="421">
        <f>'JKP-3.1c - Rev Actual Rates'!G592</f>
        <v>237361</v>
      </c>
      <c r="H581" s="421">
        <f>'JKP-3.1c - Rev Actual Rates'!H592</f>
        <v>250000</v>
      </c>
      <c r="I581" s="421">
        <f>'JKP-3.1c - Rev Actual Rates'!I592</f>
        <v>250000</v>
      </c>
      <c r="J581" s="421">
        <f>'JKP-3.1c - Rev Actual Rates'!J592</f>
        <v>250000</v>
      </c>
      <c r="K581" s="421">
        <f>'JKP-3.1c - Rev Actual Rates'!K592</f>
        <v>250295</v>
      </c>
      <c r="L581" s="421">
        <f>'JKP-3.1c - Rev Actual Rates'!L592</f>
        <v>275000</v>
      </c>
      <c r="M581" s="421">
        <f>'JKP-3.1c - Rev Actual Rates'!M592</f>
        <v>275000</v>
      </c>
      <c r="N581" s="421">
        <f>'JKP-3.1c - Rev Actual Rates'!N592</f>
        <v>275000</v>
      </c>
      <c r="O581" s="421">
        <f>'JKP-3.1c - Rev Actual Rates'!O592</f>
        <v>275000</v>
      </c>
      <c r="P581" s="421">
        <f>'JKP-3.1c - Rev Actual Rates'!P592</f>
        <v>239521</v>
      </c>
      <c r="Q581" s="421">
        <f>'JKP-3.1c - Rev Actual Rates'!Q592</f>
        <v>244957</v>
      </c>
      <c r="R581" s="362">
        <f t="shared" ref="R581:R588" si="148">SUM(F581:Q581)</f>
        <v>3055136</v>
      </c>
    </row>
    <row r="582" spans="1:18" s="336" customFormat="1" x14ac:dyDescent="0.2">
      <c r="C582" s="336" t="s">
        <v>1087</v>
      </c>
      <c r="D582" s="444" t="s">
        <v>811</v>
      </c>
      <c r="E582" s="336" t="s">
        <v>10</v>
      </c>
      <c r="F582" s="421">
        <f>'JKP-3.1c - Rev Actual Rates'!F593</f>
        <v>225000</v>
      </c>
      <c r="G582" s="421">
        <f>'JKP-3.1c - Rev Actual Rates'!G593</f>
        <v>225000</v>
      </c>
      <c r="H582" s="421">
        <f>'JKP-3.1c - Rev Actual Rates'!H593</f>
        <v>243175</v>
      </c>
      <c r="I582" s="421">
        <f>'JKP-3.1c - Rev Actual Rates'!I593</f>
        <v>250000</v>
      </c>
      <c r="J582" s="421">
        <f>'JKP-3.1c - Rev Actual Rates'!J593</f>
        <v>239298</v>
      </c>
      <c r="K582" s="421">
        <f>'JKP-3.1c - Rev Actual Rates'!K593</f>
        <v>241718</v>
      </c>
      <c r="L582" s="421">
        <f>'JKP-3.1c - Rev Actual Rates'!L593</f>
        <v>241997</v>
      </c>
      <c r="M582" s="421">
        <f>'JKP-3.1c - Rev Actual Rates'!M593</f>
        <v>275000</v>
      </c>
      <c r="N582" s="421">
        <f>'JKP-3.1c - Rev Actual Rates'!N593</f>
        <v>275000</v>
      </c>
      <c r="O582" s="421">
        <f>'JKP-3.1c - Rev Actual Rates'!O593</f>
        <v>275000</v>
      </c>
      <c r="P582" s="421">
        <f>'JKP-3.1c - Rev Actual Rates'!P593</f>
        <v>225000</v>
      </c>
      <c r="Q582" s="421">
        <f>'JKP-3.1c - Rev Actual Rates'!Q593</f>
        <v>225000</v>
      </c>
      <c r="R582" s="362">
        <f t="shared" si="148"/>
        <v>2941188</v>
      </c>
    </row>
    <row r="583" spans="1:18" s="336" customFormat="1" x14ac:dyDescent="0.2">
      <c r="C583" s="336" t="s">
        <v>1090</v>
      </c>
      <c r="D583" s="444" t="s">
        <v>811</v>
      </c>
      <c r="E583" s="336" t="s">
        <v>10</v>
      </c>
      <c r="F583" s="421">
        <f>'JKP-3.1c - Rev Actual Rates'!F594</f>
        <v>450000</v>
      </c>
      <c r="G583" s="421">
        <f>'JKP-3.1c - Rev Actual Rates'!G594</f>
        <v>450000</v>
      </c>
      <c r="H583" s="421">
        <f>'JKP-3.1c - Rev Actual Rates'!H594</f>
        <v>450000</v>
      </c>
      <c r="I583" s="421">
        <f>'JKP-3.1c - Rev Actual Rates'!I594</f>
        <v>456951</v>
      </c>
      <c r="J583" s="421">
        <f>'JKP-3.1c - Rev Actual Rates'!J594</f>
        <v>450000</v>
      </c>
      <c r="K583" s="421">
        <f>'JKP-3.1c - Rev Actual Rates'!K594</f>
        <v>450000</v>
      </c>
      <c r="L583" s="421">
        <f>'JKP-3.1c - Rev Actual Rates'!L594</f>
        <v>450000</v>
      </c>
      <c r="M583" s="421">
        <f>'JKP-3.1c - Rev Actual Rates'!M594</f>
        <v>529945</v>
      </c>
      <c r="N583" s="421">
        <f>'JKP-3.1c - Rev Actual Rates'!N594</f>
        <v>542077</v>
      </c>
      <c r="O583" s="421">
        <f>'JKP-3.1c - Rev Actual Rates'!O594</f>
        <v>537115</v>
      </c>
      <c r="P583" s="421">
        <f>'JKP-3.1c - Rev Actual Rates'!P594</f>
        <v>450000</v>
      </c>
      <c r="Q583" s="421">
        <f>'JKP-3.1c - Rev Actual Rates'!Q594</f>
        <v>450000</v>
      </c>
      <c r="R583" s="362">
        <f t="shared" si="148"/>
        <v>5666088</v>
      </c>
    </row>
    <row r="584" spans="1:18" s="336" customFormat="1" x14ac:dyDescent="0.2">
      <c r="C584" s="336" t="s">
        <v>1091</v>
      </c>
      <c r="D584" s="444" t="s">
        <v>811</v>
      </c>
      <c r="E584" s="336" t="s">
        <v>10</v>
      </c>
      <c r="F584" s="421">
        <f>'JKP-3.1c - Rev Actual Rates'!F595</f>
        <v>900000</v>
      </c>
      <c r="G584" s="421">
        <f>'JKP-3.1c - Rev Actual Rates'!G595</f>
        <v>890972</v>
      </c>
      <c r="H584" s="421">
        <f>'JKP-3.1c - Rev Actual Rates'!H595</f>
        <v>819393</v>
      </c>
      <c r="I584" s="421">
        <f>'JKP-3.1c - Rev Actual Rates'!I595</f>
        <v>871573</v>
      </c>
      <c r="J584" s="421">
        <f>'JKP-3.1c - Rev Actual Rates'!J595</f>
        <v>900000</v>
      </c>
      <c r="K584" s="421">
        <f>'JKP-3.1c - Rev Actual Rates'!K595</f>
        <v>900000</v>
      </c>
      <c r="L584" s="421">
        <f>'JKP-3.1c - Rev Actual Rates'!L595</f>
        <v>900000</v>
      </c>
      <c r="M584" s="421">
        <f>'JKP-3.1c - Rev Actual Rates'!M595</f>
        <v>955341</v>
      </c>
      <c r="N584" s="421">
        <f>'JKP-3.1c - Rev Actual Rates'!N595</f>
        <v>924425</v>
      </c>
      <c r="O584" s="421">
        <f>'JKP-3.1c - Rev Actual Rates'!O595</f>
        <v>900000</v>
      </c>
      <c r="P584" s="421">
        <f>'JKP-3.1c - Rev Actual Rates'!P595</f>
        <v>900000</v>
      </c>
      <c r="Q584" s="421">
        <f>'JKP-3.1c - Rev Actual Rates'!Q595</f>
        <v>875878</v>
      </c>
      <c r="R584" s="362">
        <f t="shared" si="148"/>
        <v>10737582</v>
      </c>
    </row>
    <row r="585" spans="1:18" s="336" customFormat="1" x14ac:dyDescent="0.2">
      <c r="C585" s="336" t="s">
        <v>1092</v>
      </c>
      <c r="D585" s="444" t="s">
        <v>811</v>
      </c>
      <c r="E585" s="336" t="s">
        <v>10</v>
      </c>
      <c r="F585" s="421">
        <f>'JKP-3.1c - Rev Actual Rates'!F596</f>
        <v>2239208</v>
      </c>
      <c r="G585" s="421">
        <f>'JKP-3.1c - Rev Actual Rates'!G596</f>
        <v>2174048</v>
      </c>
      <c r="H585" s="421">
        <f>'JKP-3.1c - Rev Actual Rates'!H596</f>
        <v>2151855</v>
      </c>
      <c r="I585" s="421">
        <f>'JKP-3.1c - Rev Actual Rates'!I596</f>
        <v>2149221</v>
      </c>
      <c r="J585" s="421">
        <f>'JKP-3.1c - Rev Actual Rates'!J596</f>
        <v>2222143</v>
      </c>
      <c r="K585" s="421">
        <f>'JKP-3.1c - Rev Actual Rates'!K596</f>
        <v>2135368</v>
      </c>
      <c r="L585" s="421">
        <f>'JKP-3.1c - Rev Actual Rates'!L596</f>
        <v>2097365</v>
      </c>
      <c r="M585" s="421">
        <f>'JKP-3.1c - Rev Actual Rates'!M596</f>
        <v>2247151</v>
      </c>
      <c r="N585" s="421">
        <f>'JKP-3.1c - Rev Actual Rates'!N596</f>
        <v>2086920</v>
      </c>
      <c r="O585" s="421">
        <f>'JKP-3.1c - Rev Actual Rates'!O596</f>
        <v>2172513</v>
      </c>
      <c r="P585" s="421">
        <f>'JKP-3.1c - Rev Actual Rates'!P596</f>
        <v>1981141</v>
      </c>
      <c r="Q585" s="421">
        <f>'JKP-3.1c - Rev Actual Rates'!Q596</f>
        <v>1839709</v>
      </c>
      <c r="R585" s="362">
        <f t="shared" si="148"/>
        <v>25496642</v>
      </c>
    </row>
    <row r="586" spans="1:18" s="336" customFormat="1" x14ac:dyDescent="0.2">
      <c r="C586" s="336" t="s">
        <v>1093</v>
      </c>
      <c r="D586" s="444" t="s">
        <v>811</v>
      </c>
      <c r="E586" s="336" t="s">
        <v>10</v>
      </c>
      <c r="F586" s="421">
        <f>'JKP-3.1c - Rev Actual Rates'!F597</f>
        <v>3231478</v>
      </c>
      <c r="G586" s="421">
        <f>'JKP-3.1c - Rev Actual Rates'!G597</f>
        <v>1780829</v>
      </c>
      <c r="H586" s="421">
        <f>'JKP-3.1c - Rev Actual Rates'!H597</f>
        <v>3002301</v>
      </c>
      <c r="I586" s="421">
        <f>'JKP-3.1c - Rev Actual Rates'!I597</f>
        <v>2880556</v>
      </c>
      <c r="J586" s="421">
        <f>'JKP-3.1c - Rev Actual Rates'!J597</f>
        <v>3908149</v>
      </c>
      <c r="K586" s="421">
        <f>'JKP-3.1c - Rev Actual Rates'!K597</f>
        <v>2733660</v>
      </c>
      <c r="L586" s="421">
        <f>'JKP-3.1c - Rev Actual Rates'!L597</f>
        <v>3335718</v>
      </c>
      <c r="M586" s="421">
        <f>'JKP-3.1c - Rev Actual Rates'!M597</f>
        <v>3166091</v>
      </c>
      <c r="N586" s="421">
        <f>'JKP-3.1c - Rev Actual Rates'!N597</f>
        <v>2201045</v>
      </c>
      <c r="O586" s="421">
        <f>'JKP-3.1c - Rev Actual Rates'!O597</f>
        <v>2307132</v>
      </c>
      <c r="P586" s="421">
        <f>'JKP-3.1c - Rev Actual Rates'!P597</f>
        <v>1500048</v>
      </c>
      <c r="Q586" s="421">
        <f>'JKP-3.1c - Rev Actual Rates'!Q597</f>
        <v>2037587</v>
      </c>
      <c r="R586" s="362">
        <f t="shared" si="148"/>
        <v>32084594</v>
      </c>
    </row>
    <row r="587" spans="1:18" s="336" customFormat="1" x14ac:dyDescent="0.2">
      <c r="C587" s="336" t="s">
        <v>1075</v>
      </c>
      <c r="D587" s="444" t="s">
        <v>811</v>
      </c>
      <c r="E587" s="336" t="s">
        <v>10</v>
      </c>
      <c r="F587" s="436">
        <f t="shared" ref="F587:M587" si="149">SUM(F581:F586)</f>
        <v>7278688</v>
      </c>
      <c r="G587" s="436">
        <f t="shared" si="149"/>
        <v>5758210</v>
      </c>
      <c r="H587" s="436">
        <f t="shared" si="149"/>
        <v>6916724</v>
      </c>
      <c r="I587" s="436">
        <f t="shared" si="149"/>
        <v>6858301</v>
      </c>
      <c r="J587" s="436">
        <f t="shared" si="149"/>
        <v>7969590</v>
      </c>
      <c r="K587" s="436">
        <f t="shared" si="149"/>
        <v>6711041</v>
      </c>
      <c r="L587" s="436">
        <f t="shared" si="149"/>
        <v>7300080</v>
      </c>
      <c r="M587" s="436">
        <f t="shared" si="149"/>
        <v>7448528</v>
      </c>
      <c r="N587" s="436">
        <f>SUM(N581:N586)</f>
        <v>6304467</v>
      </c>
      <c r="O587" s="436">
        <f>SUM(O581:O586)</f>
        <v>6466760</v>
      </c>
      <c r="P587" s="436">
        <f>SUM(P581:P586)</f>
        <v>5295710</v>
      </c>
      <c r="Q587" s="436">
        <f>SUM(Q581:Q586)</f>
        <v>5673131</v>
      </c>
      <c r="R587" s="436">
        <f t="shared" si="148"/>
        <v>79981230</v>
      </c>
    </row>
    <row r="588" spans="1:18" s="336" customFormat="1" x14ac:dyDescent="0.2">
      <c r="B588" s="336" t="s">
        <v>74</v>
      </c>
      <c r="D588" s="444" t="s">
        <v>811</v>
      </c>
      <c r="E588" s="336" t="s">
        <v>1076</v>
      </c>
      <c r="F588" s="421">
        <f>'JKP-3.1c - Rev Actual Rates'!F599</f>
        <v>37739</v>
      </c>
      <c r="G588" s="421">
        <f>'JKP-3.1c - Rev Actual Rates'!G599</f>
        <v>37739</v>
      </c>
      <c r="H588" s="421">
        <f>'JKP-3.1c - Rev Actual Rates'!H599</f>
        <v>37739</v>
      </c>
      <c r="I588" s="421">
        <f>'JKP-3.1c - Rev Actual Rates'!I599</f>
        <v>37739</v>
      </c>
      <c r="J588" s="421">
        <f>'JKP-3.1c - Rev Actual Rates'!J599</f>
        <v>37739</v>
      </c>
      <c r="K588" s="421">
        <f>'JKP-3.1c - Rev Actual Rates'!K599</f>
        <v>37739</v>
      </c>
      <c r="L588" s="421">
        <f>'JKP-3.1c - Rev Actual Rates'!L599</f>
        <v>37739</v>
      </c>
      <c r="M588" s="421">
        <f>'JKP-3.1c - Rev Actual Rates'!M599</f>
        <v>37739</v>
      </c>
      <c r="N588" s="421">
        <f>'JKP-3.1c - Rev Actual Rates'!N599</f>
        <v>37739</v>
      </c>
      <c r="O588" s="421">
        <f>'JKP-3.1c - Rev Actual Rates'!O599</f>
        <v>37739</v>
      </c>
      <c r="P588" s="421">
        <f>'JKP-3.1c - Rev Actual Rates'!P599</f>
        <v>37739</v>
      </c>
      <c r="Q588" s="421">
        <f>'JKP-3.1c - Rev Actual Rates'!Q599</f>
        <v>37722</v>
      </c>
      <c r="R588" s="362">
        <f t="shared" si="148"/>
        <v>452851</v>
      </c>
    </row>
    <row r="589" spans="1:18" s="336" customFormat="1" x14ac:dyDescent="0.2">
      <c r="B589" s="336" t="s">
        <v>1071</v>
      </c>
      <c r="F589" s="415"/>
      <c r="G589" s="415"/>
      <c r="H589" s="415"/>
      <c r="I589" s="415"/>
      <c r="J589" s="415"/>
    </row>
    <row r="590" spans="1:18" s="336" customFormat="1" x14ac:dyDescent="0.2">
      <c r="F590" s="415"/>
      <c r="G590" s="415"/>
      <c r="H590" s="415"/>
      <c r="I590" s="415"/>
      <c r="J590" s="415"/>
    </row>
    <row r="591" spans="1:18" s="336" customFormat="1" x14ac:dyDescent="0.2">
      <c r="B591" s="182" t="s">
        <v>985</v>
      </c>
      <c r="F591" s="415"/>
      <c r="G591" s="415"/>
      <c r="H591" s="415"/>
      <c r="I591" s="415"/>
      <c r="J591" s="415"/>
    </row>
    <row r="592" spans="1:18" s="336" customFormat="1" x14ac:dyDescent="0.2">
      <c r="A592" s="336" t="s">
        <v>1054</v>
      </c>
      <c r="B592" s="336" t="s">
        <v>1059</v>
      </c>
      <c r="D592" s="444" t="s">
        <v>811</v>
      </c>
      <c r="F592" s="418">
        <f t="shared" ref="F592:Q592" si="150">F566*F579</f>
        <v>9590.35</v>
      </c>
      <c r="G592" s="418">
        <f t="shared" si="150"/>
        <v>9590.35</v>
      </c>
      <c r="H592" s="418">
        <f t="shared" si="150"/>
        <v>9590.35</v>
      </c>
      <c r="I592" s="418">
        <f t="shared" si="150"/>
        <v>9590.35</v>
      </c>
      <c r="J592" s="418">
        <f t="shared" si="150"/>
        <v>9590.35</v>
      </c>
      <c r="K592" s="418">
        <f t="shared" si="150"/>
        <v>9590.35</v>
      </c>
      <c r="L592" s="418">
        <f t="shared" si="150"/>
        <v>9590.35</v>
      </c>
      <c r="M592" s="418">
        <f t="shared" si="150"/>
        <v>9590.35</v>
      </c>
      <c r="N592" s="418">
        <f t="shared" si="150"/>
        <v>9590.35</v>
      </c>
      <c r="O592" s="418">
        <f t="shared" si="150"/>
        <v>9590.35</v>
      </c>
      <c r="P592" s="418">
        <f t="shared" si="150"/>
        <v>9590.35</v>
      </c>
      <c r="Q592" s="418">
        <f t="shared" si="150"/>
        <v>8718.5</v>
      </c>
      <c r="R592" s="418">
        <f>SUM(F592:Q592)</f>
        <v>114212.35000000002</v>
      </c>
    </row>
    <row r="593" spans="1:20" s="336" customFormat="1" x14ac:dyDescent="0.2">
      <c r="B593" s="336" t="s">
        <v>1047</v>
      </c>
      <c r="F593" s="418"/>
      <c r="G593" s="418"/>
      <c r="H593" s="418"/>
      <c r="I593" s="418"/>
      <c r="J593" s="418"/>
      <c r="K593" s="418"/>
      <c r="L593" s="418"/>
      <c r="M593" s="418"/>
      <c r="N593" s="418"/>
      <c r="O593" s="418"/>
      <c r="P593" s="418"/>
      <c r="Q593" s="418"/>
      <c r="R593" s="418"/>
    </row>
    <row r="594" spans="1:20" x14ac:dyDescent="0.2">
      <c r="C594" s="32" t="s">
        <v>1086</v>
      </c>
      <c r="D594" s="444" t="s">
        <v>811</v>
      </c>
      <c r="F594" s="364">
        <f t="shared" ref="F594:Q599" si="151">F568*F581</f>
        <v>32189.226299999998</v>
      </c>
      <c r="G594" s="364">
        <f t="shared" si="151"/>
        <v>32791.422149999999</v>
      </c>
      <c r="H594" s="364">
        <f t="shared" si="151"/>
        <v>34537.5</v>
      </c>
      <c r="I594" s="364">
        <f t="shared" si="151"/>
        <v>34537.5</v>
      </c>
      <c r="J594" s="364">
        <f t="shared" si="151"/>
        <v>34537.5</v>
      </c>
      <c r="K594" s="364">
        <f t="shared" si="151"/>
        <v>34578.254249999998</v>
      </c>
      <c r="L594" s="364">
        <f t="shared" si="151"/>
        <v>37991.25</v>
      </c>
      <c r="M594" s="364">
        <f t="shared" si="151"/>
        <v>37991.25</v>
      </c>
      <c r="N594" s="364">
        <f t="shared" si="151"/>
        <v>37991.25</v>
      </c>
      <c r="O594" s="364">
        <f t="shared" si="151"/>
        <v>37991.25</v>
      </c>
      <c r="P594" s="364">
        <f t="shared" si="151"/>
        <v>33089.826150000001</v>
      </c>
      <c r="Q594" s="364">
        <f t="shared" si="151"/>
        <v>33840.809549999998</v>
      </c>
      <c r="R594" s="364">
        <f t="shared" ref="R594:R601" si="152">SUM(F594:Q594)</f>
        <v>422067.03839999996</v>
      </c>
      <c r="S594" s="32"/>
      <c r="T594" s="32"/>
    </row>
    <row r="595" spans="1:20" x14ac:dyDescent="0.2">
      <c r="C595" s="32" t="s">
        <v>1087</v>
      </c>
      <c r="D595" s="444" t="s">
        <v>811</v>
      </c>
      <c r="F595" s="364">
        <f t="shared" si="151"/>
        <v>18978.75</v>
      </c>
      <c r="G595" s="364">
        <f t="shared" si="151"/>
        <v>18978.75</v>
      </c>
      <c r="H595" s="364">
        <f t="shared" si="151"/>
        <v>20511.811249999999</v>
      </c>
      <c r="I595" s="364">
        <f t="shared" si="151"/>
        <v>21087.5</v>
      </c>
      <c r="J595" s="364">
        <f t="shared" si="151"/>
        <v>20184.7863</v>
      </c>
      <c r="K595" s="364">
        <f t="shared" si="151"/>
        <v>20388.9133</v>
      </c>
      <c r="L595" s="364">
        <f t="shared" si="151"/>
        <v>20412.446949999998</v>
      </c>
      <c r="M595" s="364">
        <f t="shared" si="151"/>
        <v>23196.25</v>
      </c>
      <c r="N595" s="364">
        <f t="shared" si="151"/>
        <v>23196.25</v>
      </c>
      <c r="O595" s="364">
        <f t="shared" si="151"/>
        <v>23196.25</v>
      </c>
      <c r="P595" s="364">
        <f t="shared" si="151"/>
        <v>18978.75</v>
      </c>
      <c r="Q595" s="364">
        <f t="shared" si="151"/>
        <v>18978.75</v>
      </c>
      <c r="R595" s="364">
        <f t="shared" si="152"/>
        <v>248089.2078</v>
      </c>
      <c r="S595" s="32"/>
      <c r="T595" s="32"/>
    </row>
    <row r="596" spans="1:20" x14ac:dyDescent="0.2">
      <c r="C596" s="32" t="s">
        <v>1090</v>
      </c>
      <c r="D596" s="444" t="s">
        <v>811</v>
      </c>
      <c r="F596" s="364">
        <f t="shared" si="151"/>
        <v>24507</v>
      </c>
      <c r="G596" s="364">
        <f t="shared" si="151"/>
        <v>24507</v>
      </c>
      <c r="H596" s="364">
        <f t="shared" si="151"/>
        <v>24507</v>
      </c>
      <c r="I596" s="364">
        <f t="shared" si="151"/>
        <v>24885.551460000002</v>
      </c>
      <c r="J596" s="364">
        <f t="shared" si="151"/>
        <v>24507</v>
      </c>
      <c r="K596" s="364">
        <f t="shared" si="151"/>
        <v>24507</v>
      </c>
      <c r="L596" s="364">
        <f t="shared" si="151"/>
        <v>24507</v>
      </c>
      <c r="M596" s="364">
        <f t="shared" si="151"/>
        <v>28860.804700000001</v>
      </c>
      <c r="N596" s="364">
        <f t="shared" si="151"/>
        <v>29521.513419999999</v>
      </c>
      <c r="O596" s="364">
        <f t="shared" si="151"/>
        <v>29251.282900000002</v>
      </c>
      <c r="P596" s="364">
        <f t="shared" si="151"/>
        <v>24507</v>
      </c>
      <c r="Q596" s="364">
        <f t="shared" si="151"/>
        <v>24507</v>
      </c>
      <c r="R596" s="364">
        <f t="shared" si="152"/>
        <v>308575.15247999999</v>
      </c>
      <c r="S596" s="32"/>
      <c r="T596" s="32"/>
    </row>
    <row r="597" spans="1:20" x14ac:dyDescent="0.2">
      <c r="C597" s="32" t="s">
        <v>1091</v>
      </c>
      <c r="D597" s="444" t="s">
        <v>811</v>
      </c>
      <c r="F597" s="364">
        <f t="shared" si="151"/>
        <v>32130.000000000004</v>
      </c>
      <c r="G597" s="364">
        <f t="shared" si="151"/>
        <v>31807.700400000002</v>
      </c>
      <c r="H597" s="364">
        <f t="shared" si="151"/>
        <v>29252.330100000003</v>
      </c>
      <c r="I597" s="364">
        <f t="shared" si="151"/>
        <v>31115.156100000004</v>
      </c>
      <c r="J597" s="364">
        <f t="shared" si="151"/>
        <v>32130.000000000004</v>
      </c>
      <c r="K597" s="364">
        <f t="shared" si="151"/>
        <v>32130.000000000004</v>
      </c>
      <c r="L597" s="364">
        <f t="shared" si="151"/>
        <v>32130.000000000004</v>
      </c>
      <c r="M597" s="364">
        <f t="shared" si="151"/>
        <v>34105.673699999999</v>
      </c>
      <c r="N597" s="364">
        <f t="shared" si="151"/>
        <v>33001.972500000003</v>
      </c>
      <c r="O597" s="364">
        <f t="shared" si="151"/>
        <v>32130.000000000004</v>
      </c>
      <c r="P597" s="364">
        <f t="shared" si="151"/>
        <v>32130.000000000004</v>
      </c>
      <c r="Q597" s="364">
        <f t="shared" si="151"/>
        <v>31268.844600000004</v>
      </c>
      <c r="R597" s="364">
        <f t="shared" si="152"/>
        <v>383331.67739999999</v>
      </c>
      <c r="S597" s="32"/>
      <c r="T597" s="32"/>
    </row>
    <row r="598" spans="1:20" x14ac:dyDescent="0.2">
      <c r="C598" s="32" t="s">
        <v>1092</v>
      </c>
      <c r="D598" s="444" t="s">
        <v>811</v>
      </c>
      <c r="F598" s="364">
        <f t="shared" si="151"/>
        <v>58891.170400000003</v>
      </c>
      <c r="G598" s="364">
        <f t="shared" si="151"/>
        <v>57177.462400000004</v>
      </c>
      <c r="H598" s="364">
        <f t="shared" si="151"/>
        <v>56593.786500000002</v>
      </c>
      <c r="I598" s="364">
        <f t="shared" si="151"/>
        <v>56524.512300000002</v>
      </c>
      <c r="J598" s="364">
        <f t="shared" si="151"/>
        <v>58442.3609</v>
      </c>
      <c r="K598" s="364">
        <f t="shared" si="151"/>
        <v>56160.178400000004</v>
      </c>
      <c r="L598" s="364">
        <f t="shared" si="151"/>
        <v>55160.699500000002</v>
      </c>
      <c r="M598" s="364">
        <f t="shared" si="151"/>
        <v>59100.071300000003</v>
      </c>
      <c r="N598" s="364">
        <f t="shared" si="151"/>
        <v>54885.995999999999</v>
      </c>
      <c r="O598" s="364">
        <f t="shared" si="151"/>
        <v>57137.091899999999</v>
      </c>
      <c r="P598" s="364">
        <f t="shared" si="151"/>
        <v>52104.008300000001</v>
      </c>
      <c r="Q598" s="364">
        <f t="shared" si="151"/>
        <v>48384.346700000002</v>
      </c>
      <c r="R598" s="364">
        <f t="shared" si="152"/>
        <v>670561.68459999992</v>
      </c>
      <c r="S598" s="32"/>
      <c r="T598" s="32"/>
    </row>
    <row r="599" spans="1:20" x14ac:dyDescent="0.2">
      <c r="C599" s="32" t="s">
        <v>1093</v>
      </c>
      <c r="D599" s="444" t="s">
        <v>811</v>
      </c>
      <c r="F599" s="364">
        <f t="shared" si="151"/>
        <v>67117.798060000001</v>
      </c>
      <c r="G599" s="364">
        <f t="shared" si="151"/>
        <v>36987.818330000002</v>
      </c>
      <c r="H599" s="364">
        <f t="shared" si="151"/>
        <v>62357.791770000003</v>
      </c>
      <c r="I599" s="364">
        <f t="shared" si="151"/>
        <v>59829.148119999998</v>
      </c>
      <c r="J599" s="364">
        <f t="shared" si="151"/>
        <v>81172.254730000001</v>
      </c>
      <c r="K599" s="364">
        <f t="shared" si="151"/>
        <v>56778.118199999997</v>
      </c>
      <c r="L599" s="364">
        <f t="shared" si="151"/>
        <v>69282.862859999994</v>
      </c>
      <c r="M599" s="364">
        <f t="shared" si="151"/>
        <v>65759.710070000001</v>
      </c>
      <c r="N599" s="364">
        <f t="shared" si="151"/>
        <v>45715.70465</v>
      </c>
      <c r="O599" s="364">
        <f t="shared" si="151"/>
        <v>47919.13164</v>
      </c>
      <c r="P599" s="364">
        <f t="shared" si="151"/>
        <v>31155.99696</v>
      </c>
      <c r="Q599" s="364">
        <f t="shared" si="151"/>
        <v>42320.681989999997</v>
      </c>
      <c r="R599" s="364">
        <f t="shared" si="152"/>
        <v>666397.01737999998</v>
      </c>
      <c r="S599" s="32"/>
      <c r="T599" s="32"/>
    </row>
    <row r="600" spans="1:20" x14ac:dyDescent="0.2">
      <c r="A600" s="32" t="s">
        <v>1054</v>
      </c>
      <c r="C600" s="32" t="s">
        <v>1077</v>
      </c>
      <c r="F600" s="365">
        <f t="shared" ref="F600:M600" si="153">SUM(F594:F599)</f>
        <v>233813.94475999998</v>
      </c>
      <c r="G600" s="365">
        <f t="shared" si="153"/>
        <v>202250.15328</v>
      </c>
      <c r="H600" s="365">
        <f t="shared" si="153"/>
        <v>227760.21962000002</v>
      </c>
      <c r="I600" s="365">
        <f t="shared" si="153"/>
        <v>227979.36798000001</v>
      </c>
      <c r="J600" s="365">
        <f t="shared" si="153"/>
        <v>250973.90192999999</v>
      </c>
      <c r="K600" s="365">
        <f t="shared" si="153"/>
        <v>224542.46414999999</v>
      </c>
      <c r="L600" s="365">
        <f t="shared" si="153"/>
        <v>239484.25930999999</v>
      </c>
      <c r="M600" s="365">
        <f t="shared" si="153"/>
        <v>249013.75977</v>
      </c>
      <c r="N600" s="365">
        <f>SUM(N594:N599)</f>
        <v>224312.68656999999</v>
      </c>
      <c r="O600" s="365">
        <f>SUM(O594:O599)</f>
        <v>227625.00644</v>
      </c>
      <c r="P600" s="365">
        <f>SUM(P594:P599)</f>
        <v>191965.58141000001</v>
      </c>
      <c r="Q600" s="365">
        <f>SUM(Q594:Q599)</f>
        <v>199300.43284000002</v>
      </c>
      <c r="R600" s="365">
        <f t="shared" si="152"/>
        <v>2699021.7780599999</v>
      </c>
      <c r="S600" s="32"/>
      <c r="T600" s="32"/>
    </row>
    <row r="601" spans="1:20" x14ac:dyDescent="0.2">
      <c r="A601" s="32" t="s">
        <v>1056</v>
      </c>
      <c r="B601" s="336" t="s">
        <v>1081</v>
      </c>
      <c r="D601" s="444" t="s">
        <v>811</v>
      </c>
      <c r="F601" s="365">
        <f t="shared" ref="F601:Q602" si="154">F574*F587</f>
        <v>5095.0815999999995</v>
      </c>
      <c r="G601" s="365">
        <f t="shared" si="154"/>
        <v>4030.7469999999998</v>
      </c>
      <c r="H601" s="365">
        <f t="shared" si="154"/>
        <v>4841.7067999999999</v>
      </c>
      <c r="I601" s="365">
        <f t="shared" si="154"/>
        <v>4800.8107</v>
      </c>
      <c r="J601" s="365">
        <f t="shared" si="154"/>
        <v>5578.7129999999997</v>
      </c>
      <c r="K601" s="365">
        <f t="shared" si="154"/>
        <v>4697.7286999999997</v>
      </c>
      <c r="L601" s="365">
        <f t="shared" si="154"/>
        <v>5110.0559999999996</v>
      </c>
      <c r="M601" s="365">
        <f t="shared" si="154"/>
        <v>5213.9696000000004</v>
      </c>
      <c r="N601" s="365">
        <f t="shared" si="154"/>
        <v>4413.1269000000002</v>
      </c>
      <c r="O601" s="365">
        <f t="shared" si="154"/>
        <v>4526.732</v>
      </c>
      <c r="P601" s="365">
        <f t="shared" si="154"/>
        <v>3706.9969999999998</v>
      </c>
      <c r="Q601" s="365">
        <f t="shared" si="154"/>
        <v>3971.1916999999999</v>
      </c>
      <c r="R601" s="365">
        <f t="shared" si="152"/>
        <v>55986.861000000012</v>
      </c>
      <c r="S601" s="32"/>
      <c r="T601" s="32"/>
    </row>
    <row r="602" spans="1:20" x14ac:dyDescent="0.2">
      <c r="A602" s="32" t="s">
        <v>1054</v>
      </c>
      <c r="B602" s="32" t="s">
        <v>1069</v>
      </c>
      <c r="D602" s="444" t="s">
        <v>811</v>
      </c>
      <c r="F602" s="364">
        <f t="shared" si="154"/>
        <v>41890.29</v>
      </c>
      <c r="G602" s="364">
        <f t="shared" si="154"/>
        <v>41890.29</v>
      </c>
      <c r="H602" s="364">
        <f t="shared" si="154"/>
        <v>41890.29</v>
      </c>
      <c r="I602" s="364">
        <f t="shared" si="154"/>
        <v>41890.29</v>
      </c>
      <c r="J602" s="364">
        <f t="shared" si="154"/>
        <v>41890.29</v>
      </c>
      <c r="K602" s="364">
        <f t="shared" si="154"/>
        <v>41890.29</v>
      </c>
      <c r="L602" s="364">
        <f t="shared" si="154"/>
        <v>41890.29</v>
      </c>
      <c r="M602" s="364">
        <f t="shared" si="154"/>
        <v>41890.29</v>
      </c>
      <c r="N602" s="364">
        <f t="shared" si="154"/>
        <v>41890.29</v>
      </c>
      <c r="O602" s="364">
        <f t="shared" si="154"/>
        <v>41890.29</v>
      </c>
      <c r="P602" s="364">
        <f t="shared" si="154"/>
        <v>41890.29</v>
      </c>
      <c r="Q602" s="364">
        <f t="shared" si="154"/>
        <v>41871.420000000006</v>
      </c>
      <c r="R602" s="364">
        <f>SUM(F602:Q602)</f>
        <v>502664.60999999993</v>
      </c>
      <c r="S602" s="32"/>
      <c r="T602" s="32"/>
    </row>
    <row r="603" spans="1:20" s="336" customFormat="1" x14ac:dyDescent="0.2">
      <c r="A603" s="336" t="s">
        <v>1054</v>
      </c>
      <c r="B603" s="336" t="s">
        <v>1071</v>
      </c>
      <c r="D603" s="444" t="s">
        <v>811</v>
      </c>
      <c r="F603" s="447">
        <f>'JKP-3.1c - Rev Actual Rates'!F614</f>
        <v>0</v>
      </c>
      <c r="G603" s="447">
        <f>'JKP-3.1c - Rev Actual Rates'!G614</f>
        <v>0</v>
      </c>
      <c r="H603" s="447">
        <f>'JKP-3.1c - Rev Actual Rates'!H614</f>
        <v>0</v>
      </c>
      <c r="I603" s="447">
        <f>'JKP-3.1c - Rev Actual Rates'!I614</f>
        <v>0</v>
      </c>
      <c r="J603" s="447">
        <f>'JKP-3.1c - Rev Actual Rates'!J614</f>
        <v>24448.23</v>
      </c>
      <c r="K603" s="447">
        <f>'JKP-3.1c - Rev Actual Rates'!K614</f>
        <v>0</v>
      </c>
      <c r="L603" s="447">
        <f>'JKP-3.1c - Rev Actual Rates'!L614</f>
        <v>30434.67</v>
      </c>
      <c r="M603" s="447">
        <f>'JKP-3.1c - Rev Actual Rates'!M614</f>
        <v>0</v>
      </c>
      <c r="N603" s="447">
        <f>'JKP-3.1c - Rev Actual Rates'!N614</f>
        <v>5142.2299999999996</v>
      </c>
      <c r="O603" s="447">
        <f>'JKP-3.1c - Rev Actual Rates'!O614</f>
        <v>0</v>
      </c>
      <c r="P603" s="447">
        <f>'JKP-3.1c - Rev Actual Rates'!P614</f>
        <v>6661.43</v>
      </c>
      <c r="Q603" s="447">
        <f>'JKP-3.1c - Rev Actual Rates'!Q614</f>
        <v>0</v>
      </c>
      <c r="R603" s="437">
        <f>SUM(F603:Q603)</f>
        <v>66686.559999999998</v>
      </c>
    </row>
    <row r="604" spans="1:20" x14ac:dyDescent="0.2">
      <c r="B604" s="32" t="s">
        <v>986</v>
      </c>
      <c r="F604" s="365">
        <f>F592+F600+F601+F602+F603</f>
        <v>290389.66635999997</v>
      </c>
      <c r="G604" s="365">
        <f t="shared" ref="G604:R604" si="155">G592+G600+G601+G602+G603</f>
        <v>257761.54028000002</v>
      </c>
      <c r="H604" s="365">
        <f t="shared" si="155"/>
        <v>284082.56641999999</v>
      </c>
      <c r="I604" s="365">
        <f t="shared" si="155"/>
        <v>284260.81868000003</v>
      </c>
      <c r="J604" s="365">
        <f t="shared" si="155"/>
        <v>332481.48492999998</v>
      </c>
      <c r="K604" s="365">
        <f t="shared" si="155"/>
        <v>280720.83285000001</v>
      </c>
      <c r="L604" s="365">
        <f t="shared" si="155"/>
        <v>326509.62530999997</v>
      </c>
      <c r="M604" s="365">
        <f t="shared" si="155"/>
        <v>305708.36936999997</v>
      </c>
      <c r="N604" s="365">
        <f t="shared" si="155"/>
        <v>285348.68346999999</v>
      </c>
      <c r="O604" s="365">
        <f t="shared" si="155"/>
        <v>283632.37844</v>
      </c>
      <c r="P604" s="365">
        <f t="shared" si="155"/>
        <v>253814.64841000002</v>
      </c>
      <c r="Q604" s="365">
        <f t="shared" si="155"/>
        <v>253861.54454000003</v>
      </c>
      <c r="R604" s="365">
        <f t="shared" si="155"/>
        <v>3438572.15906</v>
      </c>
      <c r="S604" s="32"/>
      <c r="T604" s="32"/>
    </row>
    <row r="605" spans="1:20" s="336" customFormat="1" x14ac:dyDescent="0.2">
      <c r="C605" s="387"/>
      <c r="F605" s="415"/>
      <c r="G605" s="415"/>
      <c r="H605" s="415"/>
      <c r="I605" s="415"/>
      <c r="J605" s="415"/>
    </row>
    <row r="606" spans="1:20" s="336" customFormat="1" x14ac:dyDescent="0.2">
      <c r="A606" s="336" t="s">
        <v>1058</v>
      </c>
      <c r="B606" s="336" t="s">
        <v>1050</v>
      </c>
      <c r="C606" s="387"/>
      <c r="F606" s="340">
        <f>F601</f>
        <v>5095.0815999999995</v>
      </c>
      <c r="G606" s="340">
        <f t="shared" ref="G606:Q606" si="156">G601</f>
        <v>4030.7469999999998</v>
      </c>
      <c r="H606" s="340">
        <f t="shared" si="156"/>
        <v>4841.7067999999999</v>
      </c>
      <c r="I606" s="340">
        <f t="shared" si="156"/>
        <v>4800.8107</v>
      </c>
      <c r="J606" s="340">
        <f t="shared" si="156"/>
        <v>5578.7129999999997</v>
      </c>
      <c r="K606" s="340">
        <f t="shared" si="156"/>
        <v>4697.7286999999997</v>
      </c>
      <c r="L606" s="340">
        <f t="shared" si="156"/>
        <v>5110.0559999999996</v>
      </c>
      <c r="M606" s="340">
        <f t="shared" si="156"/>
        <v>5213.9696000000004</v>
      </c>
      <c r="N606" s="340">
        <f t="shared" si="156"/>
        <v>4413.1269000000002</v>
      </c>
      <c r="O606" s="340">
        <f t="shared" si="156"/>
        <v>4526.732</v>
      </c>
      <c r="P606" s="340">
        <f t="shared" si="156"/>
        <v>3706.9969999999998</v>
      </c>
      <c r="Q606" s="340">
        <f t="shared" si="156"/>
        <v>3971.1916999999999</v>
      </c>
      <c r="R606" s="418">
        <f>SUM(F606:Q606)</f>
        <v>55986.861000000012</v>
      </c>
    </row>
    <row r="607" spans="1:20" s="336" customFormat="1" x14ac:dyDescent="0.2">
      <c r="C607" s="387"/>
      <c r="F607" s="415"/>
      <c r="G607" s="415"/>
      <c r="H607" s="415"/>
      <c r="I607" s="415"/>
      <c r="J607" s="415"/>
    </row>
    <row r="608" spans="1:20" x14ac:dyDescent="0.2">
      <c r="B608" s="276" t="s">
        <v>1107</v>
      </c>
    </row>
    <row r="609" spans="1:20" x14ac:dyDescent="0.2">
      <c r="B609" s="276" t="s">
        <v>5</v>
      </c>
    </row>
    <row r="610" spans="1:20" x14ac:dyDescent="0.2">
      <c r="B610" s="32" t="s">
        <v>1063</v>
      </c>
      <c r="D610" s="32">
        <v>61</v>
      </c>
      <c r="E610" s="32" t="s">
        <v>1108</v>
      </c>
      <c r="F610" s="414">
        <v>0.1</v>
      </c>
      <c r="G610" s="414">
        <v>0.1</v>
      </c>
      <c r="H610" s="414">
        <v>0.1</v>
      </c>
      <c r="I610" s="414">
        <v>0.1</v>
      </c>
      <c r="J610" s="414">
        <v>0.1</v>
      </c>
      <c r="K610" s="414">
        <v>0.1</v>
      </c>
      <c r="L610" s="414">
        <v>0.1</v>
      </c>
      <c r="M610" s="414">
        <v>0.1</v>
      </c>
      <c r="N610" s="414">
        <v>0.1</v>
      </c>
      <c r="O610" s="414">
        <v>0.1</v>
      </c>
      <c r="P610" s="414">
        <v>0.1</v>
      </c>
      <c r="Q610" s="414">
        <v>0.1</v>
      </c>
    </row>
    <row r="612" spans="1:20" x14ac:dyDescent="0.2">
      <c r="B612" s="276" t="s">
        <v>982</v>
      </c>
    </row>
    <row r="613" spans="1:20" s="336" customFormat="1" x14ac:dyDescent="0.2">
      <c r="B613" s="336" t="s">
        <v>74</v>
      </c>
      <c r="E613" s="336" t="s">
        <v>1064</v>
      </c>
      <c r="F613" s="421">
        <f>'JKP-3.1c - Data'!C130</f>
        <v>947</v>
      </c>
      <c r="G613" s="421">
        <f>'JKP-3.1c - Data'!D130</f>
        <v>947</v>
      </c>
      <c r="H613" s="421">
        <f>'JKP-3.1c - Data'!E130</f>
        <v>947</v>
      </c>
      <c r="I613" s="421">
        <f>'JKP-3.1c - Data'!F130</f>
        <v>947</v>
      </c>
      <c r="J613" s="421">
        <f>'JKP-3.1c - Data'!G130</f>
        <v>947</v>
      </c>
      <c r="K613" s="421">
        <f>'JKP-3.1c - Data'!H130</f>
        <v>947</v>
      </c>
      <c r="L613" s="421">
        <f>'JKP-3.1c - Data'!I130</f>
        <v>947</v>
      </c>
      <c r="M613" s="421">
        <f>'JKP-3.1c - Data'!J130</f>
        <v>947</v>
      </c>
      <c r="N613" s="421">
        <f>'JKP-3.1c - Data'!K130</f>
        <v>947</v>
      </c>
      <c r="O613" s="421">
        <f>'JKP-3.1c - Data'!L130</f>
        <v>947</v>
      </c>
      <c r="P613" s="421">
        <f>'JKP-3.1c - Data'!M130</f>
        <v>947</v>
      </c>
      <c r="Q613" s="421">
        <f>'JKP-3.1c - Data'!N130</f>
        <v>947</v>
      </c>
      <c r="R613" s="378">
        <f>SUM(F613:Q613)</f>
        <v>11364</v>
      </c>
      <c r="S613" s="335"/>
      <c r="T613" s="415"/>
    </row>
    <row r="615" spans="1:20" x14ac:dyDescent="0.2">
      <c r="B615" s="276" t="s">
        <v>985</v>
      </c>
    </row>
    <row r="616" spans="1:20" x14ac:dyDescent="0.2">
      <c r="A616" s="32" t="s">
        <v>1054</v>
      </c>
      <c r="B616" s="32" t="s">
        <v>1063</v>
      </c>
      <c r="F616" s="364">
        <f t="shared" ref="F616:N616" si="157">F610*F613</f>
        <v>94.7</v>
      </c>
      <c r="G616" s="364">
        <f t="shared" si="157"/>
        <v>94.7</v>
      </c>
      <c r="H616" s="364">
        <f t="shared" si="157"/>
        <v>94.7</v>
      </c>
      <c r="I616" s="364">
        <f t="shared" si="157"/>
        <v>94.7</v>
      </c>
      <c r="J616" s="364">
        <f t="shared" si="157"/>
        <v>94.7</v>
      </c>
      <c r="K616" s="364">
        <f t="shared" si="157"/>
        <v>94.7</v>
      </c>
      <c r="L616" s="364">
        <f t="shared" si="157"/>
        <v>94.7</v>
      </c>
      <c r="M616" s="364">
        <f t="shared" si="157"/>
        <v>94.7</v>
      </c>
      <c r="N616" s="364">
        <f t="shared" si="157"/>
        <v>94.7</v>
      </c>
      <c r="O616" s="364">
        <f>O610*O613</f>
        <v>94.7</v>
      </c>
      <c r="P616" s="364">
        <f>P610*P613</f>
        <v>94.7</v>
      </c>
      <c r="Q616" s="364">
        <f>Q610*Q613</f>
        <v>94.7</v>
      </c>
      <c r="R616" s="364">
        <f>SUM(F616:Q616)</f>
        <v>1136.4000000000003</v>
      </c>
    </row>
    <row r="617" spans="1:20" x14ac:dyDescent="0.2">
      <c r="F617" s="364"/>
      <c r="G617" s="364"/>
      <c r="H617" s="364"/>
      <c r="I617" s="364"/>
      <c r="J617" s="364"/>
      <c r="K617" s="364"/>
      <c r="L617" s="364"/>
      <c r="M617" s="364"/>
      <c r="N617" s="364"/>
      <c r="O617" s="364"/>
      <c r="P617" s="364"/>
      <c r="Q617" s="364"/>
      <c r="R617" s="364"/>
    </row>
    <row r="618" spans="1:20" x14ac:dyDescent="0.2">
      <c r="B618" s="276" t="s">
        <v>1109</v>
      </c>
      <c r="C618" s="276"/>
    </row>
    <row r="619" spans="1:20" x14ac:dyDescent="0.2">
      <c r="B619" s="276" t="s">
        <v>5</v>
      </c>
      <c r="C619" s="276"/>
    </row>
    <row r="620" spans="1:20" x14ac:dyDescent="0.2">
      <c r="B620" s="32" t="s">
        <v>1059</v>
      </c>
      <c r="D620" s="32">
        <v>85</v>
      </c>
      <c r="E620" s="32" t="s">
        <v>976</v>
      </c>
      <c r="F620" s="413">
        <f t="shared" ref="F620:N620" si="158">F261</f>
        <v>544.75</v>
      </c>
      <c r="G620" s="413">
        <f t="shared" si="158"/>
        <v>544.75</v>
      </c>
      <c r="H620" s="413">
        <f t="shared" si="158"/>
        <v>544.75</v>
      </c>
      <c r="I620" s="413">
        <f t="shared" si="158"/>
        <v>544.75</v>
      </c>
      <c r="J620" s="413">
        <f t="shared" si="158"/>
        <v>544.75</v>
      </c>
      <c r="K620" s="413">
        <f t="shared" si="158"/>
        <v>544.75</v>
      </c>
      <c r="L620" s="413">
        <f t="shared" si="158"/>
        <v>544.75</v>
      </c>
      <c r="M620" s="413">
        <f t="shared" si="158"/>
        <v>544.75</v>
      </c>
      <c r="N620" s="413">
        <f t="shared" si="158"/>
        <v>544.75</v>
      </c>
      <c r="O620" s="413">
        <f>O261</f>
        <v>544.75</v>
      </c>
      <c r="P620" s="413">
        <f>P261</f>
        <v>544.75</v>
      </c>
      <c r="Q620" s="413">
        <f>Q261</f>
        <v>544.75</v>
      </c>
      <c r="R620" s="439"/>
    </row>
    <row r="621" spans="1:20" x14ac:dyDescent="0.2">
      <c r="B621" s="32" t="s">
        <v>1047</v>
      </c>
      <c r="F621" s="393"/>
      <c r="G621" s="393"/>
      <c r="H621" s="393"/>
      <c r="I621" s="393"/>
      <c r="J621" s="393"/>
      <c r="K621" s="393"/>
      <c r="L621" s="393"/>
      <c r="M621" s="393"/>
      <c r="N621" s="393"/>
      <c r="O621" s="393"/>
      <c r="P621" s="393"/>
      <c r="Q621" s="393"/>
      <c r="R621" s="394"/>
    </row>
    <row r="622" spans="1:20" x14ac:dyDescent="0.2">
      <c r="C622" s="32" t="s">
        <v>1086</v>
      </c>
      <c r="D622" s="32">
        <v>85</v>
      </c>
      <c r="E622" s="32" t="s">
        <v>957</v>
      </c>
      <c r="F622" s="393">
        <f t="shared" ref="F622:Q626" si="159">F263</f>
        <v>0.10229000000000001</v>
      </c>
      <c r="G622" s="393">
        <f t="shared" si="159"/>
        <v>0.10229000000000001</v>
      </c>
      <c r="H622" s="393">
        <f t="shared" si="159"/>
        <v>0.10229000000000001</v>
      </c>
      <c r="I622" s="393">
        <f t="shared" si="159"/>
        <v>0.10229000000000001</v>
      </c>
      <c r="J622" s="393">
        <f t="shared" si="159"/>
        <v>0.10229000000000001</v>
      </c>
      <c r="K622" s="393">
        <f t="shared" si="159"/>
        <v>0.10229000000000001</v>
      </c>
      <c r="L622" s="393">
        <f t="shared" si="159"/>
        <v>0.10229000000000001</v>
      </c>
      <c r="M622" s="393">
        <f t="shared" si="159"/>
        <v>0.10229000000000001</v>
      </c>
      <c r="N622" s="393">
        <f t="shared" si="159"/>
        <v>0.10229000000000001</v>
      </c>
      <c r="O622" s="393">
        <f t="shared" si="159"/>
        <v>0.10229000000000001</v>
      </c>
      <c r="P622" s="393">
        <f t="shared" si="159"/>
        <v>0.10229000000000001</v>
      </c>
      <c r="Q622" s="393">
        <f t="shared" si="159"/>
        <v>0.10229000000000001</v>
      </c>
      <c r="R622" s="394"/>
    </row>
    <row r="623" spans="1:20" x14ac:dyDescent="0.2">
      <c r="C623" s="32" t="s">
        <v>1087</v>
      </c>
      <c r="D623" s="32">
        <v>85</v>
      </c>
      <c r="E623" s="32" t="s">
        <v>957</v>
      </c>
      <c r="F623" s="393">
        <f t="shared" si="159"/>
        <v>5.2440000000000001E-2</v>
      </c>
      <c r="G623" s="393">
        <f t="shared" si="159"/>
        <v>5.2440000000000001E-2</v>
      </c>
      <c r="H623" s="393">
        <f t="shared" si="159"/>
        <v>5.2440000000000001E-2</v>
      </c>
      <c r="I623" s="393">
        <f t="shared" si="159"/>
        <v>5.2440000000000001E-2</v>
      </c>
      <c r="J623" s="393">
        <f t="shared" si="159"/>
        <v>5.2440000000000001E-2</v>
      </c>
      <c r="K623" s="393">
        <f t="shared" si="159"/>
        <v>5.2440000000000001E-2</v>
      </c>
      <c r="L623" s="393">
        <f t="shared" si="159"/>
        <v>5.2440000000000001E-2</v>
      </c>
      <c r="M623" s="393">
        <f t="shared" si="159"/>
        <v>5.2440000000000001E-2</v>
      </c>
      <c r="N623" s="393">
        <f t="shared" si="159"/>
        <v>5.2440000000000001E-2</v>
      </c>
      <c r="O623" s="393">
        <f t="shared" si="159"/>
        <v>5.2440000000000001E-2</v>
      </c>
      <c r="P623" s="393">
        <f t="shared" si="159"/>
        <v>5.2440000000000001E-2</v>
      </c>
      <c r="Q623" s="393">
        <f t="shared" si="159"/>
        <v>5.2440000000000001E-2</v>
      </c>
      <c r="R623" s="394"/>
    </row>
    <row r="624" spans="1:20" x14ac:dyDescent="0.2">
      <c r="C624" s="32" t="s">
        <v>1088</v>
      </c>
      <c r="D624" s="32">
        <v>85</v>
      </c>
      <c r="E624" s="32" t="s">
        <v>957</v>
      </c>
      <c r="F624" s="393">
        <f t="shared" si="159"/>
        <v>5.033E-2</v>
      </c>
      <c r="G624" s="393">
        <f t="shared" si="159"/>
        <v>5.033E-2</v>
      </c>
      <c r="H624" s="393">
        <f t="shared" si="159"/>
        <v>5.033E-2</v>
      </c>
      <c r="I624" s="393">
        <f t="shared" si="159"/>
        <v>5.033E-2</v>
      </c>
      <c r="J624" s="393">
        <f t="shared" si="159"/>
        <v>5.033E-2</v>
      </c>
      <c r="K624" s="393">
        <f t="shared" si="159"/>
        <v>5.033E-2</v>
      </c>
      <c r="L624" s="393">
        <f t="shared" si="159"/>
        <v>5.033E-2</v>
      </c>
      <c r="M624" s="393">
        <f t="shared" si="159"/>
        <v>5.033E-2</v>
      </c>
      <c r="N624" s="393">
        <f t="shared" si="159"/>
        <v>5.033E-2</v>
      </c>
      <c r="O624" s="393">
        <f t="shared" si="159"/>
        <v>5.033E-2</v>
      </c>
      <c r="P624" s="393">
        <f t="shared" si="159"/>
        <v>5.033E-2</v>
      </c>
      <c r="Q624" s="393">
        <f t="shared" si="159"/>
        <v>5.033E-2</v>
      </c>
      <c r="R624" s="394"/>
    </row>
    <row r="625" spans="2:20" x14ac:dyDescent="0.2">
      <c r="B625" s="32" t="s">
        <v>1067</v>
      </c>
      <c r="D625" s="32">
        <v>101</v>
      </c>
      <c r="E625" s="32" t="s">
        <v>957</v>
      </c>
      <c r="F625" s="393">
        <f t="shared" si="159"/>
        <v>0.66125</v>
      </c>
      <c r="G625" s="393">
        <f t="shared" si="159"/>
        <v>0.66125</v>
      </c>
      <c r="H625" s="393">
        <f t="shared" si="159"/>
        <v>0.66125</v>
      </c>
      <c r="I625" s="393">
        <f t="shared" si="159"/>
        <v>0.66125</v>
      </c>
      <c r="J625" s="393">
        <f t="shared" si="159"/>
        <v>0.66125</v>
      </c>
      <c r="K625" s="393">
        <f t="shared" si="159"/>
        <v>0.66125</v>
      </c>
      <c r="L625" s="393">
        <f t="shared" si="159"/>
        <v>0.66125</v>
      </c>
      <c r="M625" s="393">
        <f t="shared" si="159"/>
        <v>0.66125</v>
      </c>
      <c r="N625" s="393">
        <f t="shared" si="159"/>
        <v>0.66125</v>
      </c>
      <c r="O625" s="393">
        <f t="shared" si="159"/>
        <v>0.66125</v>
      </c>
      <c r="P625" s="393">
        <f t="shared" si="159"/>
        <v>0.66125</v>
      </c>
      <c r="Q625" s="393">
        <f t="shared" si="159"/>
        <v>0.66125</v>
      </c>
      <c r="R625" s="394"/>
    </row>
    <row r="626" spans="2:20" x14ac:dyDescent="0.2">
      <c r="B626" s="32" t="s">
        <v>1096</v>
      </c>
      <c r="D626" s="444">
        <v>85</v>
      </c>
      <c r="E626" s="32" t="s">
        <v>957</v>
      </c>
      <c r="F626" s="393">
        <f t="shared" si="159"/>
        <v>6.5900000000000004E-3</v>
      </c>
      <c r="G626" s="393">
        <f t="shared" si="159"/>
        <v>6.5900000000000004E-3</v>
      </c>
      <c r="H626" s="393">
        <f t="shared" si="159"/>
        <v>6.5900000000000004E-3</v>
      </c>
      <c r="I626" s="393">
        <f t="shared" si="159"/>
        <v>6.5900000000000004E-3</v>
      </c>
      <c r="J626" s="393">
        <f t="shared" si="159"/>
        <v>6.5900000000000004E-3</v>
      </c>
      <c r="K626" s="393">
        <f t="shared" si="159"/>
        <v>6.5900000000000004E-3</v>
      </c>
      <c r="L626" s="393">
        <f t="shared" si="159"/>
        <v>6.5900000000000004E-3</v>
      </c>
      <c r="M626" s="393">
        <f t="shared" si="159"/>
        <v>6.5900000000000004E-3</v>
      </c>
      <c r="N626" s="393">
        <f t="shared" si="159"/>
        <v>6.5900000000000004E-3</v>
      </c>
      <c r="O626" s="393">
        <f t="shared" si="159"/>
        <v>6.5900000000000004E-3</v>
      </c>
      <c r="P626" s="393">
        <f t="shared" si="159"/>
        <v>6.5900000000000004E-3</v>
      </c>
      <c r="Q626" s="393">
        <f t="shared" si="159"/>
        <v>6.5900000000000004E-3</v>
      </c>
      <c r="R626" s="394"/>
    </row>
    <row r="627" spans="2:20" x14ac:dyDescent="0.2">
      <c r="B627" s="32" t="s">
        <v>1068</v>
      </c>
      <c r="F627" s="394"/>
      <c r="G627" s="394"/>
      <c r="H627" s="394"/>
      <c r="I627" s="394"/>
      <c r="J627" s="394"/>
      <c r="K627" s="394"/>
      <c r="L627" s="394"/>
      <c r="M627" s="394"/>
      <c r="N627" s="394"/>
      <c r="O627" s="394"/>
      <c r="P627" s="394"/>
      <c r="Q627" s="394"/>
      <c r="R627" s="394"/>
    </row>
    <row r="628" spans="2:20" x14ac:dyDescent="0.2">
      <c r="C628" s="32" t="s">
        <v>1069</v>
      </c>
      <c r="D628" s="32">
        <v>86</v>
      </c>
      <c r="E628" s="32" t="s">
        <v>957</v>
      </c>
      <c r="F628" s="454">
        <f t="shared" ref="F628:Q629" si="160">F269</f>
        <v>1.1100000000000001</v>
      </c>
      <c r="G628" s="454">
        <f t="shared" si="160"/>
        <v>1.1100000000000001</v>
      </c>
      <c r="H628" s="454">
        <f t="shared" si="160"/>
        <v>1.1100000000000001</v>
      </c>
      <c r="I628" s="454">
        <f t="shared" si="160"/>
        <v>1.1100000000000001</v>
      </c>
      <c r="J628" s="454">
        <f t="shared" si="160"/>
        <v>1.1100000000000001</v>
      </c>
      <c r="K628" s="454">
        <f t="shared" si="160"/>
        <v>1.1100000000000001</v>
      </c>
      <c r="L628" s="454">
        <f t="shared" si="160"/>
        <v>1.1100000000000001</v>
      </c>
      <c r="M628" s="454">
        <f t="shared" si="160"/>
        <v>1.1100000000000001</v>
      </c>
      <c r="N628" s="454">
        <f t="shared" si="160"/>
        <v>1.1100000000000001</v>
      </c>
      <c r="O628" s="454">
        <f t="shared" si="160"/>
        <v>1.1100000000000001</v>
      </c>
      <c r="P628" s="454">
        <f t="shared" si="160"/>
        <v>1.1100000000000001</v>
      </c>
      <c r="Q628" s="454">
        <f t="shared" si="160"/>
        <v>1.1100000000000001</v>
      </c>
      <c r="R628" s="394"/>
    </row>
    <row r="629" spans="2:20" s="336" customFormat="1" x14ac:dyDescent="0.2">
      <c r="C629" s="336" t="s">
        <v>1070</v>
      </c>
      <c r="D629" s="336">
        <v>101</v>
      </c>
      <c r="E629" s="336" t="s">
        <v>957</v>
      </c>
      <c r="F629" s="450">
        <f t="shared" si="160"/>
        <v>1.05</v>
      </c>
      <c r="G629" s="450">
        <f t="shared" si="160"/>
        <v>1.05</v>
      </c>
      <c r="H629" s="450">
        <f t="shared" si="160"/>
        <v>1.05</v>
      </c>
      <c r="I629" s="450">
        <f t="shared" si="160"/>
        <v>1.05</v>
      </c>
      <c r="J629" s="450">
        <f t="shared" si="160"/>
        <v>1.05</v>
      </c>
      <c r="K629" s="450">
        <f t="shared" si="160"/>
        <v>1.05</v>
      </c>
      <c r="L629" s="450">
        <f t="shared" si="160"/>
        <v>1.05</v>
      </c>
      <c r="M629" s="450">
        <f t="shared" si="160"/>
        <v>1.05</v>
      </c>
      <c r="N629" s="450">
        <f t="shared" si="160"/>
        <v>1.05</v>
      </c>
      <c r="O629" s="450">
        <f t="shared" si="160"/>
        <v>1.05</v>
      </c>
      <c r="P629" s="450">
        <f t="shared" si="160"/>
        <v>1.05</v>
      </c>
      <c r="Q629" s="450">
        <f t="shared" si="160"/>
        <v>1.05</v>
      </c>
      <c r="R629" s="441"/>
      <c r="S629" s="335"/>
      <c r="T629" s="415"/>
    </row>
    <row r="630" spans="2:20" s="336" customFormat="1" x14ac:dyDescent="0.2">
      <c r="B630" s="336" t="s">
        <v>1071</v>
      </c>
      <c r="D630" s="336">
        <v>85</v>
      </c>
      <c r="E630" s="336" t="s">
        <v>67</v>
      </c>
      <c r="F630" s="450"/>
      <c r="G630" s="450"/>
      <c r="H630" s="442"/>
      <c r="I630" s="450"/>
      <c r="J630" s="450"/>
      <c r="K630" s="450"/>
      <c r="L630" s="450"/>
      <c r="M630" s="450"/>
      <c r="N630" s="450"/>
      <c r="O630" s="450"/>
      <c r="P630" s="450"/>
      <c r="Q630" s="450"/>
      <c r="R630" s="441"/>
      <c r="S630" s="335"/>
      <c r="T630" s="415"/>
    </row>
    <row r="631" spans="2:20" s="336" customFormat="1" x14ac:dyDescent="0.2">
      <c r="B631" s="336" t="s">
        <v>1050</v>
      </c>
      <c r="F631" s="393">
        <f>F272</f>
        <v>0.63265000000000005</v>
      </c>
      <c r="G631" s="393">
        <f t="shared" ref="G631:Q632" si="161">G272</f>
        <v>0.63265000000000005</v>
      </c>
      <c r="H631" s="393">
        <f t="shared" si="161"/>
        <v>0.63265000000000005</v>
      </c>
      <c r="I631" s="393">
        <f t="shared" si="161"/>
        <v>0.63265000000000005</v>
      </c>
      <c r="J631" s="393">
        <f t="shared" si="161"/>
        <v>0.63265000000000005</v>
      </c>
      <c r="K631" s="393">
        <f t="shared" si="161"/>
        <v>0.63265000000000005</v>
      </c>
      <c r="L631" s="393">
        <f t="shared" si="161"/>
        <v>0.63265000000000005</v>
      </c>
      <c r="M631" s="393">
        <f t="shared" si="161"/>
        <v>0.63265000000000005</v>
      </c>
      <c r="N631" s="393">
        <f t="shared" si="161"/>
        <v>0.63265000000000005</v>
      </c>
      <c r="O631" s="393">
        <f t="shared" si="161"/>
        <v>0.63265000000000005</v>
      </c>
      <c r="P631" s="393">
        <f t="shared" si="161"/>
        <v>0.63265000000000005</v>
      </c>
      <c r="Q631" s="393">
        <f t="shared" si="161"/>
        <v>0.63265000000000005</v>
      </c>
      <c r="R631" s="441"/>
      <c r="S631" s="335"/>
      <c r="T631" s="415"/>
    </row>
    <row r="632" spans="2:20" s="336" customFormat="1" x14ac:dyDescent="0.2">
      <c r="B632" s="336" t="s">
        <v>1072</v>
      </c>
      <c r="F632" s="502">
        <f>F273</f>
        <v>1</v>
      </c>
      <c r="G632" s="502">
        <f t="shared" si="161"/>
        <v>1</v>
      </c>
      <c r="H632" s="502">
        <f t="shared" si="161"/>
        <v>1</v>
      </c>
      <c r="I632" s="502">
        <f t="shared" si="161"/>
        <v>1</v>
      </c>
      <c r="J632" s="502">
        <f t="shared" si="161"/>
        <v>1</v>
      </c>
      <c r="K632" s="502">
        <f t="shared" si="161"/>
        <v>1</v>
      </c>
      <c r="L632" s="502">
        <f t="shared" si="161"/>
        <v>1</v>
      </c>
      <c r="M632" s="502">
        <f t="shared" si="161"/>
        <v>1</v>
      </c>
      <c r="N632" s="502">
        <f t="shared" si="161"/>
        <v>1</v>
      </c>
      <c r="O632" s="502">
        <f t="shared" si="161"/>
        <v>1</v>
      </c>
      <c r="P632" s="502">
        <f t="shared" si="161"/>
        <v>1</v>
      </c>
      <c r="Q632" s="502">
        <f t="shared" si="161"/>
        <v>1</v>
      </c>
      <c r="R632" s="441"/>
      <c r="S632" s="335"/>
      <c r="T632" s="415"/>
    </row>
    <row r="633" spans="2:20" s="336" customFormat="1" x14ac:dyDescent="0.2">
      <c r="S633" s="335"/>
      <c r="T633" s="415"/>
    </row>
    <row r="634" spans="2:20" s="336" customFormat="1" x14ac:dyDescent="0.2">
      <c r="B634" s="182" t="s">
        <v>982</v>
      </c>
      <c r="S634" s="335"/>
      <c r="T634" s="415"/>
    </row>
    <row r="635" spans="2:20" s="336" customFormat="1" x14ac:dyDescent="0.2">
      <c r="B635" s="336" t="s">
        <v>67</v>
      </c>
      <c r="E635" s="336" t="s">
        <v>67</v>
      </c>
      <c r="F635" s="421">
        <f>'JKP-3.1c - Data'!C147</f>
        <v>9</v>
      </c>
      <c r="G635" s="421">
        <f>'JKP-3.1c - Data'!D147</f>
        <v>9</v>
      </c>
      <c r="H635" s="421">
        <f>'JKP-3.1c - Data'!E147</f>
        <v>9</v>
      </c>
      <c r="I635" s="421">
        <f>'JKP-3.1c - Data'!F147</f>
        <v>9</v>
      </c>
      <c r="J635" s="421">
        <f>'JKP-3.1c - Data'!G147</f>
        <v>8</v>
      </c>
      <c r="K635" s="421">
        <f>'JKP-3.1c - Data'!H147</f>
        <v>8</v>
      </c>
      <c r="L635" s="421">
        <f>'JKP-3.1c - Data'!I147</f>
        <v>8</v>
      </c>
      <c r="M635" s="421">
        <f>'JKP-3.1c - Data'!J147</f>
        <v>8</v>
      </c>
      <c r="N635" s="421">
        <f>'JKP-3.1c - Data'!K147</f>
        <v>8</v>
      </c>
      <c r="O635" s="421">
        <f>'JKP-3.1c - Data'!L147</f>
        <v>8</v>
      </c>
      <c r="P635" s="421">
        <f>'JKP-3.1c - Data'!M147</f>
        <v>8</v>
      </c>
      <c r="Q635" s="421">
        <f>'JKP-3.1c - Data'!N147</f>
        <v>8</v>
      </c>
      <c r="R635" s="378">
        <f>SUM(F635:Q635)</f>
        <v>100</v>
      </c>
      <c r="S635" s="335"/>
      <c r="T635" s="415"/>
    </row>
    <row r="636" spans="2:20" s="336" customFormat="1" x14ac:dyDescent="0.2">
      <c r="B636" s="336" t="s">
        <v>76</v>
      </c>
      <c r="F636" s="380"/>
      <c r="G636" s="380"/>
      <c r="H636" s="380"/>
      <c r="I636" s="380"/>
      <c r="J636" s="380"/>
      <c r="K636" s="380"/>
      <c r="L636" s="380"/>
      <c r="M636" s="380"/>
      <c r="N636" s="380"/>
      <c r="O636" s="380"/>
      <c r="P636" s="380"/>
      <c r="Q636" s="380"/>
      <c r="R636" s="378"/>
      <c r="S636" s="335"/>
      <c r="T636" s="415"/>
    </row>
    <row r="637" spans="2:20" s="336" customFormat="1" x14ac:dyDescent="0.2">
      <c r="C637" s="336" t="s">
        <v>1086</v>
      </c>
      <c r="E637" s="336" t="s">
        <v>10</v>
      </c>
      <c r="F637" s="421">
        <f>'JKP-3.1c - Rev Actual Rates'!F648</f>
        <v>159808</v>
      </c>
      <c r="G637" s="421">
        <f>'JKP-3.1c - Rev Actual Rates'!G648</f>
        <v>159616</v>
      </c>
      <c r="H637" s="421">
        <f>'JKP-3.1c - Rev Actual Rates'!H648</f>
        <v>164262</v>
      </c>
      <c r="I637" s="421">
        <f>'JKP-3.1c - Rev Actual Rates'!I648</f>
        <v>164862</v>
      </c>
      <c r="J637" s="421">
        <f>'JKP-3.1c - Rev Actual Rates'!J648</f>
        <v>154196</v>
      </c>
      <c r="K637" s="421">
        <f>'JKP-3.1c - Rev Actual Rates'!K648</f>
        <v>159226</v>
      </c>
      <c r="L637" s="421">
        <f>'JKP-3.1c - Rev Actual Rates'!L648</f>
        <v>151099</v>
      </c>
      <c r="M637" s="421">
        <f>'JKP-3.1c - Rev Actual Rates'!M648</f>
        <v>178864</v>
      </c>
      <c r="N637" s="421">
        <f>'JKP-3.1c - Rev Actual Rates'!N648</f>
        <v>181777</v>
      </c>
      <c r="O637" s="421">
        <f>'JKP-3.1c - Rev Actual Rates'!O648</f>
        <v>161297</v>
      </c>
      <c r="P637" s="421">
        <f>'JKP-3.1c - Rev Actual Rates'!P648</f>
        <v>160388</v>
      </c>
      <c r="Q637" s="421">
        <f>'JKP-3.1c - Rev Actual Rates'!Q648</f>
        <v>157636</v>
      </c>
      <c r="R637" s="378">
        <f>SUM(F637:Q637)</f>
        <v>1953031</v>
      </c>
      <c r="S637" s="335"/>
      <c r="T637" s="415"/>
    </row>
    <row r="638" spans="2:20" s="336" customFormat="1" x14ac:dyDescent="0.2">
      <c r="C638" s="336" t="s">
        <v>1087</v>
      </c>
      <c r="E638" s="336" t="s">
        <v>10</v>
      </c>
      <c r="F638" s="421">
        <f>'JKP-3.1c - Rev Actual Rates'!F649</f>
        <v>60257</v>
      </c>
      <c r="G638" s="421">
        <f>'JKP-3.1c - Rev Actual Rates'!G649</f>
        <v>48921</v>
      </c>
      <c r="H638" s="421">
        <f>'JKP-3.1c - Rev Actual Rates'!H649</f>
        <v>59228</v>
      </c>
      <c r="I638" s="421">
        <f>'JKP-3.1c - Rev Actual Rates'!I649</f>
        <v>53424</v>
      </c>
      <c r="J638" s="421">
        <f>'JKP-3.1c - Rev Actual Rates'!J649</f>
        <v>56923</v>
      </c>
      <c r="K638" s="421">
        <f>'JKP-3.1c - Rev Actual Rates'!K649</f>
        <v>46744</v>
      </c>
      <c r="L638" s="421">
        <f>'JKP-3.1c - Rev Actual Rates'!L649</f>
        <v>41570</v>
      </c>
      <c r="M638" s="421">
        <f>'JKP-3.1c - Rev Actual Rates'!M649</f>
        <v>57731</v>
      </c>
      <c r="N638" s="421">
        <f>'JKP-3.1c - Rev Actual Rates'!N649</f>
        <v>56825</v>
      </c>
      <c r="O638" s="421">
        <f>'JKP-3.1c - Rev Actual Rates'!O649</f>
        <v>55501</v>
      </c>
      <c r="P638" s="421">
        <f>'JKP-3.1c - Rev Actual Rates'!P649</f>
        <v>54110</v>
      </c>
      <c r="Q638" s="421">
        <f>'JKP-3.1c - Rev Actual Rates'!Q649</f>
        <v>62037</v>
      </c>
      <c r="R638" s="378">
        <f>SUM(F638:Q638)</f>
        <v>653271</v>
      </c>
      <c r="S638" s="335"/>
      <c r="T638" s="415"/>
    </row>
    <row r="639" spans="2:20" s="336" customFormat="1" x14ac:dyDescent="0.2">
      <c r="C639" s="336" t="s">
        <v>1088</v>
      </c>
      <c r="E639" s="336" t="s">
        <v>10</v>
      </c>
      <c r="F639" s="421">
        <f>'JKP-3.1c - Rev Actual Rates'!F650</f>
        <v>23960</v>
      </c>
      <c r="G639" s="421">
        <f>'JKP-3.1c - Rev Actual Rates'!G650</f>
        <v>21900</v>
      </c>
      <c r="H639" s="421">
        <f>'JKP-3.1c - Rev Actual Rates'!H650</f>
        <v>26820</v>
      </c>
      <c r="I639" s="421">
        <f>'JKP-3.1c - Rev Actual Rates'!I650</f>
        <v>20124</v>
      </c>
      <c r="J639" s="421">
        <f>'JKP-3.1c - Rev Actual Rates'!J650</f>
        <v>20670</v>
      </c>
      <c r="K639" s="421">
        <f>'JKP-3.1c - Rev Actual Rates'!K650</f>
        <v>17495</v>
      </c>
      <c r="L639" s="421">
        <f>'JKP-3.1c - Rev Actual Rates'!L650</f>
        <v>18186</v>
      </c>
      <c r="M639" s="421">
        <f>'JKP-3.1c - Rev Actual Rates'!M650</f>
        <v>18232</v>
      </c>
      <c r="N639" s="421">
        <f>'JKP-3.1c - Rev Actual Rates'!N650</f>
        <v>15187</v>
      </c>
      <c r="O639" s="421">
        <f>'JKP-3.1c - Rev Actual Rates'!O650</f>
        <v>19817</v>
      </c>
      <c r="P639" s="421">
        <f>'JKP-3.1c - Rev Actual Rates'!P650</f>
        <v>23562</v>
      </c>
      <c r="Q639" s="421">
        <f>'JKP-3.1c - Rev Actual Rates'!Q650</f>
        <v>29857</v>
      </c>
      <c r="R639" s="378">
        <f>SUM(F639:Q639)</f>
        <v>255810</v>
      </c>
      <c r="S639" s="335"/>
      <c r="T639" s="415"/>
    </row>
    <row r="640" spans="2:20" s="336" customFormat="1" x14ac:dyDescent="0.2">
      <c r="C640" s="336" t="s">
        <v>1075</v>
      </c>
      <c r="E640" s="336" t="s">
        <v>10</v>
      </c>
      <c r="F640" s="436">
        <f t="shared" ref="F640:N640" si="162">SUM(F637:F639)</f>
        <v>244025</v>
      </c>
      <c r="G640" s="436">
        <f t="shared" si="162"/>
        <v>230437</v>
      </c>
      <c r="H640" s="436">
        <f t="shared" si="162"/>
        <v>250310</v>
      </c>
      <c r="I640" s="436">
        <f t="shared" si="162"/>
        <v>238410</v>
      </c>
      <c r="J640" s="436">
        <f t="shared" si="162"/>
        <v>231789</v>
      </c>
      <c r="K640" s="436">
        <f t="shared" si="162"/>
        <v>223465</v>
      </c>
      <c r="L640" s="436">
        <f t="shared" si="162"/>
        <v>210855</v>
      </c>
      <c r="M640" s="436">
        <f t="shared" si="162"/>
        <v>254827</v>
      </c>
      <c r="N640" s="436">
        <f t="shared" si="162"/>
        <v>253789</v>
      </c>
      <c r="O640" s="436">
        <f>SUM(O637:O639)</f>
        <v>236615</v>
      </c>
      <c r="P640" s="436">
        <f>SUM(P637:P639)</f>
        <v>238060</v>
      </c>
      <c r="Q640" s="436">
        <f>SUM(Q637:Q639)</f>
        <v>249530</v>
      </c>
      <c r="R640" s="436">
        <f>SUM(R637:R639)</f>
        <v>2862112</v>
      </c>
      <c r="S640" s="335"/>
      <c r="T640" s="415"/>
    </row>
    <row r="641" spans="1:20" s="336" customFormat="1" x14ac:dyDescent="0.2">
      <c r="B641" s="336" t="s">
        <v>74</v>
      </c>
      <c r="E641" s="336" t="s">
        <v>1076</v>
      </c>
      <c r="F641" s="421">
        <f>'JKP-3.1c - Rev Actual Rates'!F652</f>
        <v>2443</v>
      </c>
      <c r="G641" s="421">
        <f>'JKP-3.1c - Rev Actual Rates'!G652</f>
        <v>2443</v>
      </c>
      <c r="H641" s="421">
        <f>'JKP-3.1c - Rev Actual Rates'!H652</f>
        <v>2443</v>
      </c>
      <c r="I641" s="421">
        <f>'JKP-3.1c - Rev Actual Rates'!I652</f>
        <v>2443</v>
      </c>
      <c r="J641" s="421">
        <f>'JKP-3.1c - Rev Actual Rates'!J652</f>
        <v>2443</v>
      </c>
      <c r="K641" s="421">
        <f>'JKP-3.1c - Rev Actual Rates'!K652</f>
        <v>2443</v>
      </c>
      <c r="L641" s="421">
        <f>'JKP-3.1c - Rev Actual Rates'!L652</f>
        <v>2443</v>
      </c>
      <c r="M641" s="421">
        <f>'JKP-3.1c - Rev Actual Rates'!M652</f>
        <v>2443</v>
      </c>
      <c r="N641" s="421">
        <f>'JKP-3.1c - Rev Actual Rates'!N652</f>
        <v>2443</v>
      </c>
      <c r="O641" s="421">
        <f>'JKP-3.1c - Rev Actual Rates'!O652</f>
        <v>2443</v>
      </c>
      <c r="P641" s="421">
        <f>'JKP-3.1c - Rev Actual Rates'!P652</f>
        <v>2443</v>
      </c>
      <c r="Q641" s="421">
        <f>'JKP-3.1c - Rev Actual Rates'!Q652</f>
        <v>2443</v>
      </c>
      <c r="R641" s="378">
        <f>SUM(F641:Q641)</f>
        <v>29316</v>
      </c>
      <c r="S641" s="335"/>
      <c r="T641" s="415"/>
    </row>
    <row r="642" spans="1:20" s="336" customFormat="1" x14ac:dyDescent="0.2">
      <c r="B642" s="336" t="s">
        <v>1071</v>
      </c>
      <c r="F642" s="380"/>
      <c r="G642" s="380"/>
      <c r="H642" s="380"/>
      <c r="I642" s="380"/>
      <c r="J642" s="380"/>
      <c r="K642" s="380"/>
      <c r="L642" s="380"/>
      <c r="M642" s="380"/>
      <c r="N642" s="380"/>
      <c r="O642" s="380"/>
      <c r="P642" s="380"/>
      <c r="Q642" s="380"/>
      <c r="R642" s="378"/>
      <c r="S642" s="335"/>
      <c r="T642" s="415"/>
    </row>
    <row r="643" spans="1:20" s="336" customFormat="1" x14ac:dyDescent="0.2">
      <c r="N643" s="362"/>
      <c r="O643" s="362"/>
      <c r="P643" s="362"/>
      <c r="Q643" s="362"/>
      <c r="R643" s="179"/>
      <c r="S643" s="335"/>
      <c r="T643" s="415"/>
    </row>
    <row r="644" spans="1:20" s="336" customFormat="1" x14ac:dyDescent="0.2">
      <c r="B644" s="182" t="s">
        <v>985</v>
      </c>
      <c r="R644" s="179"/>
      <c r="S644" s="335"/>
      <c r="T644" s="415"/>
    </row>
    <row r="645" spans="1:20" s="336" customFormat="1" x14ac:dyDescent="0.2">
      <c r="A645" s="336" t="s">
        <v>1054</v>
      </c>
      <c r="B645" s="336" t="s">
        <v>1059</v>
      </c>
      <c r="D645" s="336">
        <v>85</v>
      </c>
      <c r="F645" s="418">
        <f t="shared" ref="F645:N645" si="163">F620*F635</f>
        <v>4902.75</v>
      </c>
      <c r="G645" s="418">
        <f t="shared" si="163"/>
        <v>4902.75</v>
      </c>
      <c r="H645" s="418">
        <f t="shared" si="163"/>
        <v>4902.75</v>
      </c>
      <c r="I645" s="418">
        <f t="shared" si="163"/>
        <v>4902.75</v>
      </c>
      <c r="J645" s="418">
        <f t="shared" si="163"/>
        <v>4358</v>
      </c>
      <c r="K645" s="418">
        <f t="shared" si="163"/>
        <v>4358</v>
      </c>
      <c r="L645" s="418">
        <f t="shared" si="163"/>
        <v>4358</v>
      </c>
      <c r="M645" s="418">
        <f t="shared" si="163"/>
        <v>4358</v>
      </c>
      <c r="N645" s="418">
        <f t="shared" si="163"/>
        <v>4358</v>
      </c>
      <c r="O645" s="418">
        <f>O620*O635</f>
        <v>4358</v>
      </c>
      <c r="P645" s="418">
        <f>P620*P635</f>
        <v>4358</v>
      </c>
      <c r="Q645" s="418">
        <f>Q620*Q635</f>
        <v>4358</v>
      </c>
      <c r="R645" s="437">
        <f>SUM(F645:Q645)</f>
        <v>54475</v>
      </c>
      <c r="S645" s="335"/>
      <c r="T645" s="415"/>
    </row>
    <row r="646" spans="1:20" x14ac:dyDescent="0.2">
      <c r="B646" s="32" t="s">
        <v>1047</v>
      </c>
      <c r="F646" s="364"/>
      <c r="G646" s="364"/>
      <c r="H646" s="364"/>
      <c r="I646" s="364"/>
      <c r="J646" s="364"/>
      <c r="K646" s="364"/>
      <c r="L646" s="364"/>
      <c r="M646" s="364"/>
      <c r="N646" s="364"/>
      <c r="O646" s="364"/>
      <c r="P646" s="364"/>
      <c r="Q646" s="364"/>
      <c r="R646" s="341"/>
    </row>
    <row r="647" spans="1:20" x14ac:dyDescent="0.2">
      <c r="C647" s="32" t="s">
        <v>1086</v>
      </c>
      <c r="D647" s="32">
        <v>85</v>
      </c>
      <c r="F647" s="364">
        <f t="shared" ref="F647:Q649" si="164">F622*F637</f>
        <v>16346.760320000001</v>
      </c>
      <c r="G647" s="364">
        <f t="shared" si="164"/>
        <v>16327.120640000001</v>
      </c>
      <c r="H647" s="364">
        <f t="shared" si="164"/>
        <v>16802.359980000001</v>
      </c>
      <c r="I647" s="364">
        <f t="shared" si="164"/>
        <v>16863.733980000001</v>
      </c>
      <c r="J647" s="364">
        <f t="shared" si="164"/>
        <v>15772.708840000001</v>
      </c>
      <c r="K647" s="364">
        <f t="shared" si="164"/>
        <v>16287.227540000002</v>
      </c>
      <c r="L647" s="364">
        <f t="shared" si="164"/>
        <v>15455.916710000001</v>
      </c>
      <c r="M647" s="364">
        <f t="shared" si="164"/>
        <v>18295.99856</v>
      </c>
      <c r="N647" s="364">
        <f t="shared" si="164"/>
        <v>18593.96933</v>
      </c>
      <c r="O647" s="364">
        <f t="shared" si="164"/>
        <v>16499.07013</v>
      </c>
      <c r="P647" s="364">
        <f t="shared" si="164"/>
        <v>16406.088520000001</v>
      </c>
      <c r="Q647" s="364">
        <f t="shared" si="164"/>
        <v>16124.586440000001</v>
      </c>
      <c r="R647" s="341">
        <f>SUM(F647:Q647)</f>
        <v>199775.54099000004</v>
      </c>
    </row>
    <row r="648" spans="1:20" x14ac:dyDescent="0.2">
      <c r="C648" s="32" t="s">
        <v>1087</v>
      </c>
      <c r="D648" s="32">
        <v>85</v>
      </c>
      <c r="F648" s="364">
        <f t="shared" si="164"/>
        <v>3159.8770800000002</v>
      </c>
      <c r="G648" s="364">
        <f t="shared" si="164"/>
        <v>2565.4172400000002</v>
      </c>
      <c r="H648" s="364">
        <f t="shared" si="164"/>
        <v>3105.9163199999998</v>
      </c>
      <c r="I648" s="364">
        <f t="shared" si="164"/>
        <v>2801.55456</v>
      </c>
      <c r="J648" s="364">
        <f t="shared" si="164"/>
        <v>2985.0421200000001</v>
      </c>
      <c r="K648" s="364">
        <f t="shared" si="164"/>
        <v>2451.2553600000001</v>
      </c>
      <c r="L648" s="364">
        <f t="shared" si="164"/>
        <v>2179.9308000000001</v>
      </c>
      <c r="M648" s="364">
        <f t="shared" si="164"/>
        <v>3027.4136400000002</v>
      </c>
      <c r="N648" s="364">
        <f t="shared" si="164"/>
        <v>2979.9030000000002</v>
      </c>
      <c r="O648" s="364">
        <f t="shared" si="164"/>
        <v>2910.47244</v>
      </c>
      <c r="P648" s="364">
        <f t="shared" si="164"/>
        <v>2837.5284000000001</v>
      </c>
      <c r="Q648" s="364">
        <f t="shared" si="164"/>
        <v>3253.22028</v>
      </c>
      <c r="R648" s="341">
        <f>SUM(F648:Q648)</f>
        <v>34257.531240000004</v>
      </c>
    </row>
    <row r="649" spans="1:20" x14ac:dyDescent="0.2">
      <c r="C649" s="32" t="s">
        <v>1088</v>
      </c>
      <c r="D649" s="32">
        <v>85</v>
      </c>
      <c r="F649" s="364">
        <f t="shared" si="164"/>
        <v>1205.9068</v>
      </c>
      <c r="G649" s="364">
        <f t="shared" si="164"/>
        <v>1102.2270000000001</v>
      </c>
      <c r="H649" s="364">
        <f t="shared" si="164"/>
        <v>1349.8506</v>
      </c>
      <c r="I649" s="364">
        <f t="shared" si="164"/>
        <v>1012.84092</v>
      </c>
      <c r="J649" s="364">
        <f t="shared" si="164"/>
        <v>1040.3210999999999</v>
      </c>
      <c r="K649" s="364">
        <f t="shared" si="164"/>
        <v>880.52335000000005</v>
      </c>
      <c r="L649" s="364">
        <f t="shared" si="164"/>
        <v>915.30137999999999</v>
      </c>
      <c r="M649" s="364">
        <f t="shared" si="164"/>
        <v>917.61656000000005</v>
      </c>
      <c r="N649" s="364">
        <f t="shared" si="164"/>
        <v>764.36171000000002</v>
      </c>
      <c r="O649" s="364">
        <f t="shared" si="164"/>
        <v>997.38960999999995</v>
      </c>
      <c r="P649" s="364">
        <f t="shared" si="164"/>
        <v>1185.87546</v>
      </c>
      <c r="Q649" s="364">
        <f t="shared" si="164"/>
        <v>1502.70281</v>
      </c>
      <c r="R649" s="341">
        <f>SUM(F649:Q649)</f>
        <v>12874.917299999999</v>
      </c>
    </row>
    <row r="650" spans="1:20" x14ac:dyDescent="0.2">
      <c r="A650" s="32" t="s">
        <v>1054</v>
      </c>
      <c r="C650" s="32" t="s">
        <v>1077</v>
      </c>
      <c r="F650" s="365">
        <f t="shared" ref="F650:N650" si="165">SUM(F647:F649)</f>
        <v>20712.5442</v>
      </c>
      <c r="G650" s="365">
        <f t="shared" si="165"/>
        <v>19994.764879999999</v>
      </c>
      <c r="H650" s="365">
        <f t="shared" si="165"/>
        <v>21258.126900000003</v>
      </c>
      <c r="I650" s="365">
        <f t="shared" si="165"/>
        <v>20678.12946</v>
      </c>
      <c r="J650" s="365">
        <f t="shared" si="165"/>
        <v>19798.072060000002</v>
      </c>
      <c r="K650" s="365">
        <f t="shared" si="165"/>
        <v>19619.006250000002</v>
      </c>
      <c r="L650" s="365">
        <f t="shared" si="165"/>
        <v>18551.14889</v>
      </c>
      <c r="M650" s="365">
        <f t="shared" si="165"/>
        <v>22241.028759999997</v>
      </c>
      <c r="N650" s="365">
        <f t="shared" si="165"/>
        <v>22338.234039999999</v>
      </c>
      <c r="O650" s="365">
        <f>SUM(O647:O649)</f>
        <v>20406.93218</v>
      </c>
      <c r="P650" s="365">
        <f>SUM(P647:P649)</f>
        <v>20429.49238</v>
      </c>
      <c r="Q650" s="365">
        <f>SUM(Q647:Q649)</f>
        <v>20880.509529999999</v>
      </c>
      <c r="R650" s="365">
        <f>SUM(R647:R649)</f>
        <v>246907.98953000005</v>
      </c>
    </row>
    <row r="651" spans="1:20" x14ac:dyDescent="0.2">
      <c r="A651" s="336" t="s">
        <v>1056</v>
      </c>
      <c r="B651" s="32" t="s">
        <v>1057</v>
      </c>
      <c r="D651" s="32">
        <v>101</v>
      </c>
      <c r="F651" s="364">
        <f t="shared" ref="F651:N651" si="166">F625*F640</f>
        <v>161361.53125</v>
      </c>
      <c r="G651" s="364">
        <f t="shared" si="166"/>
        <v>152376.46625</v>
      </c>
      <c r="H651" s="364">
        <f t="shared" si="166"/>
        <v>165517.48749999999</v>
      </c>
      <c r="I651" s="364">
        <f t="shared" si="166"/>
        <v>157648.61249999999</v>
      </c>
      <c r="J651" s="364">
        <f t="shared" si="166"/>
        <v>153270.47625000001</v>
      </c>
      <c r="K651" s="364">
        <f t="shared" si="166"/>
        <v>147766.23125000001</v>
      </c>
      <c r="L651" s="364">
        <f t="shared" si="166"/>
        <v>139427.86874999999</v>
      </c>
      <c r="M651" s="364">
        <f t="shared" si="166"/>
        <v>168504.35375000001</v>
      </c>
      <c r="N651" s="364">
        <f t="shared" si="166"/>
        <v>167817.97625000001</v>
      </c>
      <c r="O651" s="364">
        <f>O625*O640</f>
        <v>156461.66875000001</v>
      </c>
      <c r="P651" s="364">
        <f>P625*P640</f>
        <v>157417.17499999999</v>
      </c>
      <c r="Q651" s="364">
        <f>Q625*Q640</f>
        <v>165001.71249999999</v>
      </c>
      <c r="R651" s="341">
        <f>SUM(F651:Q651)</f>
        <v>1892571.5599999998</v>
      </c>
    </row>
    <row r="652" spans="1:20" x14ac:dyDescent="0.2">
      <c r="A652" s="390" t="s">
        <v>1054</v>
      </c>
      <c r="B652" s="390" t="s">
        <v>1096</v>
      </c>
      <c r="D652" s="462">
        <v>85</v>
      </c>
      <c r="E652" s="390"/>
      <c r="F652" s="417">
        <f t="shared" ref="F652:N652" si="167">F626*F640</f>
        <v>1608.1247500000002</v>
      </c>
      <c r="G652" s="417">
        <f t="shared" si="167"/>
        <v>1518.5798300000001</v>
      </c>
      <c r="H652" s="417">
        <f t="shared" si="167"/>
        <v>1649.5429000000001</v>
      </c>
      <c r="I652" s="417">
        <f t="shared" si="167"/>
        <v>1571.1219000000001</v>
      </c>
      <c r="J652" s="417">
        <f t="shared" si="167"/>
        <v>1527.4895100000001</v>
      </c>
      <c r="K652" s="417">
        <f t="shared" si="167"/>
        <v>1472.63435</v>
      </c>
      <c r="L652" s="417">
        <f t="shared" si="167"/>
        <v>1389.5344500000001</v>
      </c>
      <c r="M652" s="417">
        <f t="shared" si="167"/>
        <v>1679.3099300000001</v>
      </c>
      <c r="N652" s="417">
        <f t="shared" si="167"/>
        <v>1672.4695100000001</v>
      </c>
      <c r="O652" s="417">
        <f>O626*O640</f>
        <v>1559.29285</v>
      </c>
      <c r="P652" s="417">
        <f>P626*P640</f>
        <v>1568.8154000000002</v>
      </c>
      <c r="Q652" s="417">
        <f>Q626*Q640</f>
        <v>1644.4027000000001</v>
      </c>
      <c r="R652" s="463">
        <f>SUM(F652:Q652)</f>
        <v>18861.318080000001</v>
      </c>
    </row>
    <row r="653" spans="1:20" x14ac:dyDescent="0.2">
      <c r="B653" s="32" t="s">
        <v>1068</v>
      </c>
      <c r="F653" s="364"/>
      <c r="G653" s="364"/>
      <c r="H653" s="364"/>
      <c r="I653" s="364"/>
      <c r="J653" s="364"/>
      <c r="K653" s="364"/>
      <c r="L653" s="364"/>
      <c r="M653" s="364"/>
      <c r="N653" s="364"/>
      <c r="O653" s="364"/>
      <c r="P653" s="364"/>
      <c r="Q653" s="364"/>
      <c r="R653" s="341"/>
    </row>
    <row r="654" spans="1:20" x14ac:dyDescent="0.2">
      <c r="A654" s="32" t="s">
        <v>1054</v>
      </c>
      <c r="C654" s="32" t="s">
        <v>1069</v>
      </c>
      <c r="D654" s="32">
        <v>85</v>
      </c>
      <c r="F654" s="364">
        <f t="shared" ref="F654:N654" si="168">F628*F641</f>
        <v>2711.73</v>
      </c>
      <c r="G654" s="364">
        <f t="shared" si="168"/>
        <v>2711.73</v>
      </c>
      <c r="H654" s="364">
        <f t="shared" si="168"/>
        <v>2711.73</v>
      </c>
      <c r="I654" s="364">
        <f t="shared" si="168"/>
        <v>2711.73</v>
      </c>
      <c r="J654" s="364">
        <f t="shared" si="168"/>
        <v>2711.73</v>
      </c>
      <c r="K654" s="364">
        <f t="shared" si="168"/>
        <v>2711.73</v>
      </c>
      <c r="L654" s="364">
        <f t="shared" si="168"/>
        <v>2711.73</v>
      </c>
      <c r="M654" s="364">
        <f t="shared" si="168"/>
        <v>2711.73</v>
      </c>
      <c r="N654" s="364">
        <f t="shared" si="168"/>
        <v>2711.73</v>
      </c>
      <c r="O654" s="364">
        <f>O628*O641</f>
        <v>2711.73</v>
      </c>
      <c r="P654" s="364">
        <f>P628*P641</f>
        <v>2711.73</v>
      </c>
      <c r="Q654" s="364">
        <f>Q628*Q641</f>
        <v>2711.73</v>
      </c>
      <c r="R654" s="341">
        <f>SUM(F654:Q654)</f>
        <v>32540.76</v>
      </c>
    </row>
    <row r="655" spans="1:20" x14ac:dyDescent="0.2">
      <c r="A655" s="336" t="s">
        <v>1056</v>
      </c>
      <c r="C655" s="32" t="s">
        <v>1070</v>
      </c>
      <c r="D655" s="32">
        <v>101</v>
      </c>
      <c r="F655" s="364">
        <f t="shared" ref="F655:N655" si="169">F629*F641</f>
        <v>2565.15</v>
      </c>
      <c r="G655" s="364">
        <f t="shared" si="169"/>
        <v>2565.15</v>
      </c>
      <c r="H655" s="364">
        <f t="shared" si="169"/>
        <v>2565.15</v>
      </c>
      <c r="I655" s="364">
        <f t="shared" si="169"/>
        <v>2565.15</v>
      </c>
      <c r="J655" s="364">
        <f t="shared" si="169"/>
        <v>2565.15</v>
      </c>
      <c r="K655" s="364">
        <f t="shared" si="169"/>
        <v>2565.15</v>
      </c>
      <c r="L655" s="364">
        <f t="shared" si="169"/>
        <v>2565.15</v>
      </c>
      <c r="M655" s="364">
        <f t="shared" si="169"/>
        <v>2565.15</v>
      </c>
      <c r="N655" s="364">
        <f t="shared" si="169"/>
        <v>2565.15</v>
      </c>
      <c r="O655" s="364">
        <f>O629*O641</f>
        <v>2565.15</v>
      </c>
      <c r="P655" s="364">
        <f>P629*P641</f>
        <v>2565.15</v>
      </c>
      <c r="Q655" s="364">
        <f>Q629*Q641</f>
        <v>2565.15</v>
      </c>
      <c r="R655" s="341">
        <f>SUM(F655:Q655)</f>
        <v>30781.800000000007</v>
      </c>
    </row>
    <row r="656" spans="1:20" x14ac:dyDescent="0.2">
      <c r="C656" s="32" t="s">
        <v>1078</v>
      </c>
      <c r="F656" s="365">
        <f t="shared" ref="F656:N656" si="170">SUM(F654:F655)</f>
        <v>5276.88</v>
      </c>
      <c r="G656" s="365">
        <f t="shared" si="170"/>
        <v>5276.88</v>
      </c>
      <c r="H656" s="365">
        <f t="shared" si="170"/>
        <v>5276.88</v>
      </c>
      <c r="I656" s="365">
        <f t="shared" si="170"/>
        <v>5276.88</v>
      </c>
      <c r="J656" s="365">
        <f t="shared" si="170"/>
        <v>5276.88</v>
      </c>
      <c r="K656" s="365">
        <f t="shared" si="170"/>
        <v>5276.88</v>
      </c>
      <c r="L656" s="365">
        <f t="shared" si="170"/>
        <v>5276.88</v>
      </c>
      <c r="M656" s="365">
        <f t="shared" si="170"/>
        <v>5276.88</v>
      </c>
      <c r="N656" s="365">
        <f t="shared" si="170"/>
        <v>5276.88</v>
      </c>
      <c r="O656" s="365">
        <f>SUM(O654:O655)</f>
        <v>5276.88</v>
      </c>
      <c r="P656" s="365">
        <f>SUM(P654:P655)</f>
        <v>5276.88</v>
      </c>
      <c r="Q656" s="365">
        <f>SUM(Q654:Q655)</f>
        <v>5276.88</v>
      </c>
      <c r="R656" s="365">
        <f>SUM(R654:R655)</f>
        <v>63322.560000000005</v>
      </c>
    </row>
    <row r="657" spans="1:20" s="336" customFormat="1" x14ac:dyDescent="0.2">
      <c r="A657" s="336" t="s">
        <v>1054</v>
      </c>
      <c r="B657" s="336" t="s">
        <v>1071</v>
      </c>
      <c r="D657" s="336">
        <v>85</v>
      </c>
      <c r="F657" s="447">
        <f>'JKP-3.1c - Rev Actual Rates'!F668</f>
        <v>0</v>
      </c>
      <c r="G657" s="447">
        <f>'JKP-3.1c - Rev Actual Rates'!G668</f>
        <v>16339.8</v>
      </c>
      <c r="H657" s="447">
        <f>'JKP-3.1c - Rev Actual Rates'!H668</f>
        <v>0</v>
      </c>
      <c r="I657" s="447">
        <f>'JKP-3.1c - Rev Actual Rates'!I668</f>
        <v>0</v>
      </c>
      <c r="J657" s="447">
        <f>'JKP-3.1c - Rev Actual Rates'!J668</f>
        <v>0</v>
      </c>
      <c r="K657" s="447">
        <f>'JKP-3.1c - Rev Actual Rates'!K668</f>
        <v>0</v>
      </c>
      <c r="L657" s="447">
        <f>'JKP-3.1c - Rev Actual Rates'!L668</f>
        <v>0</v>
      </c>
      <c r="M657" s="447">
        <f>'JKP-3.1c - Rev Actual Rates'!M668</f>
        <v>0</v>
      </c>
      <c r="N657" s="447">
        <f>'JKP-3.1c - Rev Actual Rates'!N668</f>
        <v>0</v>
      </c>
      <c r="O657" s="447">
        <f>'JKP-3.1c - Rev Actual Rates'!O668</f>
        <v>0</v>
      </c>
      <c r="P657" s="447">
        <f>'JKP-3.1c - Rev Actual Rates'!P668</f>
        <v>0</v>
      </c>
      <c r="Q657" s="447">
        <f>'JKP-3.1c - Rev Actual Rates'!Q668</f>
        <v>1052.69</v>
      </c>
      <c r="R657" s="437">
        <f>SUM(F657:Q657)</f>
        <v>17392.489999999998</v>
      </c>
      <c r="S657" s="335"/>
      <c r="T657" s="415"/>
    </row>
    <row r="658" spans="1:20" x14ac:dyDescent="0.2">
      <c r="B658" s="32" t="s">
        <v>1079</v>
      </c>
      <c r="F658" s="365">
        <f t="shared" ref="F658:N658" si="171">F651+F655</f>
        <v>163926.68124999999</v>
      </c>
      <c r="G658" s="365">
        <f t="shared" si="171"/>
        <v>154941.61624999999</v>
      </c>
      <c r="H658" s="365">
        <f t="shared" si="171"/>
        <v>168082.63749999998</v>
      </c>
      <c r="I658" s="365">
        <f t="shared" si="171"/>
        <v>160213.76249999998</v>
      </c>
      <c r="J658" s="365">
        <f t="shared" si="171"/>
        <v>155835.62625</v>
      </c>
      <c r="K658" s="365">
        <f t="shared" si="171"/>
        <v>150331.38125000001</v>
      </c>
      <c r="L658" s="365">
        <f t="shared" si="171"/>
        <v>141993.01874999999</v>
      </c>
      <c r="M658" s="365">
        <f t="shared" si="171"/>
        <v>171069.50375</v>
      </c>
      <c r="N658" s="365">
        <f t="shared" si="171"/>
        <v>170383.12625</v>
      </c>
      <c r="O658" s="365">
        <f>O651+O655</f>
        <v>159026.81875000001</v>
      </c>
      <c r="P658" s="365">
        <f>P651+P655</f>
        <v>159982.32499999998</v>
      </c>
      <c r="Q658" s="365">
        <f>Q651+Q655</f>
        <v>167566.86249999999</v>
      </c>
      <c r="R658" s="365">
        <f>R651+R655</f>
        <v>1923353.3599999999</v>
      </c>
    </row>
    <row r="659" spans="1:20" x14ac:dyDescent="0.2">
      <c r="B659" s="32" t="s">
        <v>986</v>
      </c>
      <c r="F659" s="365">
        <f t="shared" ref="F659:N659" si="172">F645+F650+F651+F652+F656+F657</f>
        <v>193861.8302</v>
      </c>
      <c r="G659" s="365">
        <f t="shared" si="172"/>
        <v>200409.24096</v>
      </c>
      <c r="H659" s="365">
        <f t="shared" si="172"/>
        <v>198604.7873</v>
      </c>
      <c r="I659" s="365">
        <f t="shared" si="172"/>
        <v>190077.49385999999</v>
      </c>
      <c r="J659" s="365">
        <f t="shared" si="172"/>
        <v>184230.91782000003</v>
      </c>
      <c r="K659" s="365">
        <f t="shared" si="172"/>
        <v>178492.75185000003</v>
      </c>
      <c r="L659" s="365">
        <f t="shared" si="172"/>
        <v>169003.43209000002</v>
      </c>
      <c r="M659" s="365">
        <f t="shared" si="172"/>
        <v>202059.57243999999</v>
      </c>
      <c r="N659" s="365">
        <f t="shared" si="172"/>
        <v>201463.55980000002</v>
      </c>
      <c r="O659" s="365">
        <f>O645+O650+O651+O652+O656+O657</f>
        <v>188062.77378000002</v>
      </c>
      <c r="P659" s="365">
        <f>P645+P650+P651+P652+P656+P657</f>
        <v>189050.36278</v>
      </c>
      <c r="Q659" s="365">
        <f>Q645+Q650+Q651+Q652+Q656+Q657</f>
        <v>198214.19473000002</v>
      </c>
      <c r="R659" s="365">
        <f>R645+R650+R651+R652+R656+R657</f>
        <v>2293530.9176100004</v>
      </c>
      <c r="T659" s="340"/>
    </row>
    <row r="660" spans="1:20" x14ac:dyDescent="0.2">
      <c r="F660" s="364"/>
      <c r="G660" s="364"/>
      <c r="H660" s="364"/>
      <c r="I660" s="364"/>
      <c r="J660" s="364"/>
      <c r="K660" s="364"/>
      <c r="L660" s="364"/>
      <c r="M660" s="364"/>
      <c r="N660" s="364"/>
      <c r="O660" s="364"/>
      <c r="P660" s="364"/>
      <c r="Q660" s="364"/>
      <c r="R660" s="341"/>
      <c r="T660" s="415"/>
    </row>
    <row r="661" spans="1:20" x14ac:dyDescent="0.2">
      <c r="A661" s="32" t="s">
        <v>1058</v>
      </c>
      <c r="B661" s="32" t="s">
        <v>1050</v>
      </c>
      <c r="F661" s="364">
        <f>F640*F631+F641*F632</f>
        <v>156825.41625000001</v>
      </c>
      <c r="G661" s="364">
        <f t="shared" ref="G661:Q661" si="173">G640*G631+G641*G632</f>
        <v>148228.96805000002</v>
      </c>
      <c r="H661" s="364">
        <f t="shared" si="173"/>
        <v>160801.62150000001</v>
      </c>
      <c r="I661" s="364">
        <f t="shared" si="173"/>
        <v>153273.0865</v>
      </c>
      <c r="J661" s="364">
        <f t="shared" si="173"/>
        <v>149084.31085000001</v>
      </c>
      <c r="K661" s="364">
        <f t="shared" si="173"/>
        <v>143818.13225000002</v>
      </c>
      <c r="L661" s="364">
        <f t="shared" si="173"/>
        <v>135840.41575000001</v>
      </c>
      <c r="M661" s="364">
        <f t="shared" si="173"/>
        <v>163659.30155</v>
      </c>
      <c r="N661" s="364">
        <f t="shared" si="173"/>
        <v>163002.61085</v>
      </c>
      <c r="O661" s="364">
        <f t="shared" si="173"/>
        <v>152137.47975</v>
      </c>
      <c r="P661" s="364">
        <f t="shared" si="173"/>
        <v>153051.65900000001</v>
      </c>
      <c r="Q661" s="364">
        <f t="shared" si="173"/>
        <v>160308.1545</v>
      </c>
      <c r="R661" s="341">
        <f>SUM(F661:Q661)</f>
        <v>1840031.1568</v>
      </c>
      <c r="T661" s="415"/>
    </row>
    <row r="662" spans="1:20" x14ac:dyDescent="0.2">
      <c r="F662" s="364"/>
      <c r="G662" s="364"/>
      <c r="H662" s="364"/>
      <c r="I662" s="364"/>
      <c r="J662" s="364"/>
      <c r="K662" s="364"/>
      <c r="L662" s="364"/>
      <c r="M662" s="364"/>
      <c r="N662" s="364"/>
      <c r="O662" s="364"/>
      <c r="P662" s="364"/>
      <c r="Q662" s="364"/>
      <c r="R662" s="341"/>
      <c r="T662" s="415"/>
    </row>
    <row r="663" spans="1:20" x14ac:dyDescent="0.2">
      <c r="B663" s="276" t="s">
        <v>1111</v>
      </c>
      <c r="C663" s="276"/>
    </row>
    <row r="664" spans="1:20" x14ac:dyDescent="0.2">
      <c r="B664" s="276" t="s">
        <v>5</v>
      </c>
      <c r="C664" s="276"/>
    </row>
    <row r="665" spans="1:20" x14ac:dyDescent="0.2">
      <c r="B665" s="32" t="s">
        <v>1059</v>
      </c>
      <c r="D665" s="444">
        <v>86</v>
      </c>
      <c r="E665" s="32" t="s">
        <v>976</v>
      </c>
      <c r="F665" s="413">
        <f t="shared" ref="F665:N665" si="174">F306</f>
        <v>139.37</v>
      </c>
      <c r="G665" s="413">
        <f t="shared" si="174"/>
        <v>139.37</v>
      </c>
      <c r="H665" s="413">
        <f t="shared" si="174"/>
        <v>139.37</v>
      </c>
      <c r="I665" s="413">
        <f t="shared" si="174"/>
        <v>139.37</v>
      </c>
      <c r="J665" s="413">
        <f t="shared" si="174"/>
        <v>139.37</v>
      </c>
      <c r="K665" s="413">
        <f t="shared" si="174"/>
        <v>139.37</v>
      </c>
      <c r="L665" s="413">
        <f t="shared" si="174"/>
        <v>139.37</v>
      </c>
      <c r="M665" s="413">
        <f t="shared" si="174"/>
        <v>139.37</v>
      </c>
      <c r="N665" s="413">
        <f t="shared" si="174"/>
        <v>139.37</v>
      </c>
      <c r="O665" s="413">
        <f>O306</f>
        <v>139.37</v>
      </c>
      <c r="P665" s="413">
        <f>P306</f>
        <v>139.37</v>
      </c>
      <c r="Q665" s="413">
        <f>Q306</f>
        <v>139.37</v>
      </c>
      <c r="R665" s="439"/>
    </row>
    <row r="666" spans="1:20" x14ac:dyDescent="0.2">
      <c r="B666" s="32" t="s">
        <v>1047</v>
      </c>
      <c r="F666" s="393"/>
      <c r="G666" s="393"/>
      <c r="H666" s="393"/>
      <c r="I666" s="393"/>
      <c r="J666" s="393"/>
      <c r="K666" s="393"/>
      <c r="L666" s="393"/>
      <c r="M666" s="393"/>
      <c r="N666" s="393"/>
      <c r="O666" s="393"/>
      <c r="P666" s="393"/>
      <c r="Q666" s="393"/>
      <c r="R666" s="394"/>
    </row>
    <row r="667" spans="1:20" x14ac:dyDescent="0.2">
      <c r="C667" s="32" t="s">
        <v>1098</v>
      </c>
      <c r="D667" s="444">
        <v>86</v>
      </c>
      <c r="E667" s="32" t="s">
        <v>957</v>
      </c>
      <c r="F667" s="393">
        <f t="shared" ref="F667:Q670" si="175">F308</f>
        <v>0.19819999999999999</v>
      </c>
      <c r="G667" s="393">
        <f t="shared" si="175"/>
        <v>0.19819999999999999</v>
      </c>
      <c r="H667" s="393">
        <f t="shared" si="175"/>
        <v>0.19819999999999999</v>
      </c>
      <c r="I667" s="393">
        <f t="shared" si="175"/>
        <v>0.19819999999999999</v>
      </c>
      <c r="J667" s="393">
        <f t="shared" si="175"/>
        <v>0.19819999999999999</v>
      </c>
      <c r="K667" s="393">
        <f t="shared" si="175"/>
        <v>0.19819999999999999</v>
      </c>
      <c r="L667" s="393">
        <f t="shared" si="175"/>
        <v>0.19819999999999999</v>
      </c>
      <c r="M667" s="393">
        <f t="shared" si="175"/>
        <v>0.19819999999999999</v>
      </c>
      <c r="N667" s="393">
        <f t="shared" si="175"/>
        <v>0.19819999999999999</v>
      </c>
      <c r="O667" s="393">
        <f t="shared" si="175"/>
        <v>0.19819999999999999</v>
      </c>
      <c r="P667" s="393">
        <f t="shared" si="175"/>
        <v>0.19819999999999999</v>
      </c>
      <c r="Q667" s="393">
        <f t="shared" si="175"/>
        <v>0.19819999999999999</v>
      </c>
      <c r="R667" s="394"/>
    </row>
    <row r="668" spans="1:20" x14ac:dyDescent="0.2">
      <c r="C668" s="32" t="s">
        <v>1099</v>
      </c>
      <c r="D668" s="444">
        <v>86</v>
      </c>
      <c r="E668" s="32" t="s">
        <v>957</v>
      </c>
      <c r="F668" s="393">
        <f t="shared" si="175"/>
        <v>0.1421</v>
      </c>
      <c r="G668" s="393">
        <f t="shared" si="175"/>
        <v>0.1421</v>
      </c>
      <c r="H668" s="393">
        <f t="shared" si="175"/>
        <v>0.1421</v>
      </c>
      <c r="I668" s="393">
        <f t="shared" si="175"/>
        <v>0.1421</v>
      </c>
      <c r="J668" s="393">
        <f t="shared" si="175"/>
        <v>0.1421</v>
      </c>
      <c r="K668" s="393">
        <f t="shared" si="175"/>
        <v>0.1421</v>
      </c>
      <c r="L668" s="393">
        <f t="shared" si="175"/>
        <v>0.1421</v>
      </c>
      <c r="M668" s="393">
        <f t="shared" si="175"/>
        <v>0.1421</v>
      </c>
      <c r="N668" s="393">
        <f t="shared" si="175"/>
        <v>0.1421</v>
      </c>
      <c r="O668" s="393">
        <f t="shared" si="175"/>
        <v>0.1421</v>
      </c>
      <c r="P668" s="393">
        <f t="shared" si="175"/>
        <v>0.1421</v>
      </c>
      <c r="Q668" s="393">
        <f t="shared" si="175"/>
        <v>0.1421</v>
      </c>
      <c r="R668" s="394"/>
    </row>
    <row r="669" spans="1:20" x14ac:dyDescent="0.2">
      <c r="B669" s="32" t="s">
        <v>1067</v>
      </c>
      <c r="D669" s="32">
        <v>101</v>
      </c>
      <c r="E669" s="32" t="s">
        <v>957</v>
      </c>
      <c r="F669" s="393">
        <f t="shared" si="175"/>
        <v>0.66556999999999999</v>
      </c>
      <c r="G669" s="393">
        <f t="shared" si="175"/>
        <v>0.66556999999999999</v>
      </c>
      <c r="H669" s="393">
        <f t="shared" si="175"/>
        <v>0.66556999999999999</v>
      </c>
      <c r="I669" s="393">
        <f t="shared" si="175"/>
        <v>0.66556999999999999</v>
      </c>
      <c r="J669" s="393">
        <f t="shared" si="175"/>
        <v>0.66556999999999999</v>
      </c>
      <c r="K669" s="393">
        <f t="shared" si="175"/>
        <v>0.66556999999999999</v>
      </c>
      <c r="L669" s="393">
        <f t="shared" si="175"/>
        <v>0.66556999999999999</v>
      </c>
      <c r="M669" s="393">
        <f t="shared" si="175"/>
        <v>0.66556999999999999</v>
      </c>
      <c r="N669" s="393">
        <f t="shared" si="175"/>
        <v>0.66556999999999999</v>
      </c>
      <c r="O669" s="393">
        <f t="shared" si="175"/>
        <v>0.66556999999999999</v>
      </c>
      <c r="P669" s="393">
        <f t="shared" si="175"/>
        <v>0.66556999999999999</v>
      </c>
      <c r="Q669" s="393">
        <f t="shared" si="175"/>
        <v>0.66556999999999999</v>
      </c>
      <c r="R669" s="394"/>
    </row>
    <row r="670" spans="1:20" x14ac:dyDescent="0.2">
      <c r="B670" s="32" t="s">
        <v>1096</v>
      </c>
      <c r="D670" s="444">
        <v>86</v>
      </c>
      <c r="E670" s="32" t="s">
        <v>957</v>
      </c>
      <c r="F670" s="394">
        <f t="shared" si="175"/>
        <v>6.5900000000000004E-3</v>
      </c>
      <c r="G670" s="394">
        <f t="shared" si="175"/>
        <v>6.5900000000000004E-3</v>
      </c>
      <c r="H670" s="394">
        <f t="shared" si="175"/>
        <v>6.5900000000000004E-3</v>
      </c>
      <c r="I670" s="394">
        <f t="shared" si="175"/>
        <v>6.5900000000000004E-3</v>
      </c>
      <c r="J670" s="394">
        <f t="shared" si="175"/>
        <v>6.5900000000000004E-3</v>
      </c>
      <c r="K670" s="394">
        <f t="shared" si="175"/>
        <v>6.5900000000000004E-3</v>
      </c>
      <c r="L670" s="394">
        <f t="shared" si="175"/>
        <v>6.5900000000000004E-3</v>
      </c>
      <c r="M670" s="394">
        <f t="shared" si="175"/>
        <v>6.5900000000000004E-3</v>
      </c>
      <c r="N670" s="394">
        <f t="shared" si="175"/>
        <v>6.5900000000000004E-3</v>
      </c>
      <c r="O670" s="394">
        <f t="shared" si="175"/>
        <v>6.5900000000000004E-3</v>
      </c>
      <c r="P670" s="394">
        <f t="shared" si="175"/>
        <v>6.5900000000000004E-3</v>
      </c>
      <c r="Q670" s="394">
        <f t="shared" si="175"/>
        <v>6.5900000000000004E-3</v>
      </c>
      <c r="R670" s="394"/>
    </row>
    <row r="671" spans="1:20" x14ac:dyDescent="0.2">
      <c r="B671" s="32" t="s">
        <v>1068</v>
      </c>
      <c r="F671" s="394"/>
      <c r="G671" s="394"/>
      <c r="H671" s="394"/>
      <c r="I671" s="394"/>
      <c r="J671" s="394"/>
      <c r="K671" s="394"/>
      <c r="L671" s="394"/>
      <c r="M671" s="394"/>
      <c r="N671" s="394"/>
      <c r="O671" s="394"/>
      <c r="P671" s="394"/>
      <c r="Q671" s="394"/>
      <c r="R671" s="394"/>
    </row>
    <row r="672" spans="1:20" x14ac:dyDescent="0.2">
      <c r="C672" s="32" t="s">
        <v>1069</v>
      </c>
      <c r="D672" s="32">
        <v>86</v>
      </c>
      <c r="E672" s="32" t="s">
        <v>957</v>
      </c>
      <c r="F672" s="454">
        <f t="shared" ref="F672:Q673" si="176">F313</f>
        <v>1.1100000000000001</v>
      </c>
      <c r="G672" s="454">
        <f t="shared" si="176"/>
        <v>1.1100000000000001</v>
      </c>
      <c r="H672" s="454">
        <f t="shared" si="176"/>
        <v>1.1100000000000001</v>
      </c>
      <c r="I672" s="454">
        <f t="shared" si="176"/>
        <v>1.1100000000000001</v>
      </c>
      <c r="J672" s="454">
        <f t="shared" si="176"/>
        <v>1.1100000000000001</v>
      </c>
      <c r="K672" s="454">
        <f t="shared" si="176"/>
        <v>1.1100000000000001</v>
      </c>
      <c r="L672" s="454">
        <f t="shared" si="176"/>
        <v>1.1100000000000001</v>
      </c>
      <c r="M672" s="454">
        <f t="shared" si="176"/>
        <v>1.1100000000000001</v>
      </c>
      <c r="N672" s="454">
        <f t="shared" si="176"/>
        <v>1.1100000000000001</v>
      </c>
      <c r="O672" s="454">
        <f t="shared" si="176"/>
        <v>1.1100000000000001</v>
      </c>
      <c r="P672" s="454">
        <f t="shared" si="176"/>
        <v>1.1100000000000001</v>
      </c>
      <c r="Q672" s="454">
        <f t="shared" si="176"/>
        <v>1.1100000000000001</v>
      </c>
      <c r="R672" s="394"/>
    </row>
    <row r="673" spans="1:20" s="336" customFormat="1" x14ac:dyDescent="0.2">
      <c r="C673" s="336" t="s">
        <v>1070</v>
      </c>
      <c r="D673" s="336">
        <v>101</v>
      </c>
      <c r="E673" s="336" t="s">
        <v>957</v>
      </c>
      <c r="F673" s="460">
        <f t="shared" si="176"/>
        <v>1.05</v>
      </c>
      <c r="G673" s="460">
        <f t="shared" si="176"/>
        <v>1.05</v>
      </c>
      <c r="H673" s="460">
        <f t="shared" si="176"/>
        <v>1.05</v>
      </c>
      <c r="I673" s="460">
        <f t="shared" si="176"/>
        <v>1.05</v>
      </c>
      <c r="J673" s="460">
        <f t="shared" si="176"/>
        <v>1.05</v>
      </c>
      <c r="K673" s="460">
        <f t="shared" si="176"/>
        <v>1.05</v>
      </c>
      <c r="L673" s="460">
        <f t="shared" si="176"/>
        <v>1.05</v>
      </c>
      <c r="M673" s="460">
        <f t="shared" si="176"/>
        <v>1.05</v>
      </c>
      <c r="N673" s="460">
        <f t="shared" si="176"/>
        <v>1.05</v>
      </c>
      <c r="O673" s="460">
        <f t="shared" si="176"/>
        <v>1.05</v>
      </c>
      <c r="P673" s="460">
        <f t="shared" si="176"/>
        <v>1.05</v>
      </c>
      <c r="Q673" s="460">
        <f t="shared" si="176"/>
        <v>1.05</v>
      </c>
      <c r="R673" s="441"/>
      <c r="S673" s="335"/>
      <c r="T673" s="415"/>
    </row>
    <row r="674" spans="1:20" s="336" customFormat="1" x14ac:dyDescent="0.2">
      <c r="B674" s="336" t="s">
        <v>1071</v>
      </c>
      <c r="D674" s="382">
        <v>86</v>
      </c>
      <c r="E674" s="336" t="s">
        <v>67</v>
      </c>
      <c r="F674" s="393"/>
      <c r="G674" s="393"/>
      <c r="H674" s="393"/>
      <c r="I674" s="393"/>
      <c r="J674" s="393"/>
      <c r="K674" s="393"/>
      <c r="L674" s="393"/>
      <c r="M674" s="393"/>
      <c r="N674" s="393"/>
      <c r="O674" s="393"/>
      <c r="P674" s="393"/>
      <c r="Q674" s="393"/>
      <c r="R674" s="441"/>
      <c r="S674" s="335"/>
      <c r="T674" s="415"/>
    </row>
    <row r="675" spans="1:20" s="336" customFormat="1" x14ac:dyDescent="0.2">
      <c r="B675" s="336" t="s">
        <v>1050</v>
      </c>
      <c r="D675" s="382"/>
      <c r="F675" s="393">
        <f>F316</f>
        <v>0.63678999999999997</v>
      </c>
      <c r="G675" s="393">
        <f t="shared" ref="G675:Q676" si="177">G316</f>
        <v>0.63678999999999997</v>
      </c>
      <c r="H675" s="393">
        <f t="shared" si="177"/>
        <v>0.63678999999999997</v>
      </c>
      <c r="I675" s="393">
        <f t="shared" si="177"/>
        <v>0.63678999999999997</v>
      </c>
      <c r="J675" s="393">
        <f t="shared" si="177"/>
        <v>0.63678999999999997</v>
      </c>
      <c r="K675" s="393">
        <f t="shared" si="177"/>
        <v>0.63678999999999997</v>
      </c>
      <c r="L675" s="393">
        <f t="shared" si="177"/>
        <v>0.63678999999999997</v>
      </c>
      <c r="M675" s="393">
        <f t="shared" si="177"/>
        <v>0.63678999999999997</v>
      </c>
      <c r="N675" s="393">
        <f t="shared" si="177"/>
        <v>0.63678999999999997</v>
      </c>
      <c r="O675" s="393">
        <f t="shared" si="177"/>
        <v>0.63678999999999997</v>
      </c>
      <c r="P675" s="393">
        <f t="shared" si="177"/>
        <v>0.63678999999999997</v>
      </c>
      <c r="Q675" s="393">
        <f t="shared" si="177"/>
        <v>0.63678999999999997</v>
      </c>
      <c r="R675" s="441"/>
      <c r="S675" s="335"/>
      <c r="T675" s="415"/>
    </row>
    <row r="676" spans="1:20" s="336" customFormat="1" x14ac:dyDescent="0.2">
      <c r="B676" s="336" t="s">
        <v>1072</v>
      </c>
      <c r="D676" s="382"/>
      <c r="F676" s="502">
        <f>F317</f>
        <v>1</v>
      </c>
      <c r="G676" s="502">
        <f t="shared" si="177"/>
        <v>1</v>
      </c>
      <c r="H676" s="502">
        <f t="shared" si="177"/>
        <v>1</v>
      </c>
      <c r="I676" s="502">
        <f t="shared" si="177"/>
        <v>1</v>
      </c>
      <c r="J676" s="502">
        <f t="shared" si="177"/>
        <v>1</v>
      </c>
      <c r="K676" s="502">
        <f t="shared" si="177"/>
        <v>1</v>
      </c>
      <c r="L676" s="502">
        <f t="shared" si="177"/>
        <v>1</v>
      </c>
      <c r="M676" s="502">
        <f t="shared" si="177"/>
        <v>1</v>
      </c>
      <c r="N676" s="502">
        <f t="shared" si="177"/>
        <v>1</v>
      </c>
      <c r="O676" s="502">
        <f t="shared" si="177"/>
        <v>1</v>
      </c>
      <c r="P676" s="502">
        <f t="shared" si="177"/>
        <v>1</v>
      </c>
      <c r="Q676" s="502">
        <f t="shared" si="177"/>
        <v>1</v>
      </c>
      <c r="R676" s="441"/>
      <c r="S676" s="335"/>
      <c r="T676" s="415"/>
    </row>
    <row r="677" spans="1:20" s="336" customFormat="1" x14ac:dyDescent="0.2">
      <c r="S677" s="335"/>
      <c r="T677" s="415"/>
    </row>
    <row r="678" spans="1:20" s="336" customFormat="1" x14ac:dyDescent="0.2">
      <c r="B678" s="182" t="s">
        <v>982</v>
      </c>
      <c r="S678" s="335"/>
      <c r="T678" s="415"/>
    </row>
    <row r="679" spans="1:20" s="336" customFormat="1" x14ac:dyDescent="0.2">
      <c r="B679" s="336" t="s">
        <v>67</v>
      </c>
      <c r="E679" s="336" t="s">
        <v>67</v>
      </c>
      <c r="F679" s="421">
        <f>'JKP-3.1c - Data'!C151</f>
        <v>9</v>
      </c>
      <c r="G679" s="421">
        <f>'JKP-3.1c - Data'!D151</f>
        <v>11</v>
      </c>
      <c r="H679" s="421">
        <f>'JKP-3.1c - Data'!E151</f>
        <v>10</v>
      </c>
      <c r="I679" s="421">
        <f>'JKP-3.1c - Data'!F151</f>
        <v>9</v>
      </c>
      <c r="J679" s="421">
        <f>'JKP-3.1c - Data'!G151</f>
        <v>10</v>
      </c>
      <c r="K679" s="421">
        <f>'JKP-3.1c - Data'!H151</f>
        <v>9</v>
      </c>
      <c r="L679" s="421">
        <f>'JKP-3.1c - Data'!I151</f>
        <v>10</v>
      </c>
      <c r="M679" s="421">
        <f>'JKP-3.1c - Data'!J151</f>
        <v>10</v>
      </c>
      <c r="N679" s="421">
        <f>'JKP-3.1c - Data'!K151</f>
        <v>10</v>
      </c>
      <c r="O679" s="421">
        <f>'JKP-3.1c - Data'!L151</f>
        <v>10</v>
      </c>
      <c r="P679" s="421">
        <f>'JKP-3.1c - Data'!M151</f>
        <v>10</v>
      </c>
      <c r="Q679" s="421">
        <f>'JKP-3.1c - Data'!N151</f>
        <v>10</v>
      </c>
      <c r="R679" s="378">
        <f>SUM(F679:Q679)</f>
        <v>118</v>
      </c>
      <c r="S679" s="335"/>
      <c r="T679" s="415"/>
    </row>
    <row r="680" spans="1:20" s="336" customFormat="1" x14ac:dyDescent="0.2">
      <c r="B680" s="336" t="s">
        <v>76</v>
      </c>
      <c r="F680" s="380"/>
      <c r="G680" s="380"/>
      <c r="H680" s="380"/>
      <c r="I680" s="380"/>
      <c r="J680" s="380"/>
      <c r="K680" s="380"/>
      <c r="L680" s="380"/>
      <c r="M680" s="380"/>
      <c r="N680" s="380"/>
      <c r="O680" s="380"/>
      <c r="P680" s="380"/>
      <c r="Q680" s="380"/>
      <c r="R680" s="378"/>
      <c r="S680" s="335"/>
      <c r="T680" s="415"/>
    </row>
    <row r="681" spans="1:20" s="336" customFormat="1" x14ac:dyDescent="0.2">
      <c r="C681" s="336" t="s">
        <v>1098</v>
      </c>
      <c r="E681" s="336" t="s">
        <v>10</v>
      </c>
      <c r="F681" s="421">
        <f>'JKP-3.1c - Rev Actual Rates'!F692</f>
        <v>8746</v>
      </c>
      <c r="G681" s="421">
        <f>'JKP-3.1c - Rev Actual Rates'!G692</f>
        <v>8501</v>
      </c>
      <c r="H681" s="421">
        <f>'JKP-3.1c - Rev Actual Rates'!H692</f>
        <v>7448</v>
      </c>
      <c r="I681" s="421">
        <f>'JKP-3.1c - Rev Actual Rates'!I692</f>
        <v>8493</v>
      </c>
      <c r="J681" s="421">
        <f>'JKP-3.1c - Rev Actual Rates'!J692</f>
        <v>8187</v>
      </c>
      <c r="K681" s="421">
        <f>'JKP-3.1c - Rev Actual Rates'!K692</f>
        <v>7941</v>
      </c>
      <c r="L681" s="421">
        <f>'JKP-3.1c - Rev Actual Rates'!L692</f>
        <v>7145</v>
      </c>
      <c r="M681" s="421">
        <f>'JKP-3.1c - Rev Actual Rates'!M692</f>
        <v>7808</v>
      </c>
      <c r="N681" s="421">
        <f>'JKP-3.1c - Rev Actual Rates'!N692</f>
        <v>8000</v>
      </c>
      <c r="O681" s="421">
        <f>'JKP-3.1c - Rev Actual Rates'!O692</f>
        <v>6285</v>
      </c>
      <c r="P681" s="421">
        <f>'JKP-3.1c - Rev Actual Rates'!P692</f>
        <v>9249</v>
      </c>
      <c r="Q681" s="421">
        <f>'JKP-3.1c - Rev Actual Rates'!Q692</f>
        <v>9802</v>
      </c>
      <c r="R681" s="378">
        <f>SUM(F681:Q681)</f>
        <v>97605</v>
      </c>
      <c r="S681" s="335"/>
      <c r="T681" s="415"/>
    </row>
    <row r="682" spans="1:20" s="336" customFormat="1" x14ac:dyDescent="0.2">
      <c r="C682" s="336" t="s">
        <v>1099</v>
      </c>
      <c r="E682" s="336" t="s">
        <v>10</v>
      </c>
      <c r="F682" s="421">
        <f>'JKP-3.1c - Rev Actual Rates'!F693</f>
        <v>162759</v>
      </c>
      <c r="G682" s="421">
        <f>'JKP-3.1c - Rev Actual Rates'!G693</f>
        <v>137882</v>
      </c>
      <c r="H682" s="421">
        <f>'JKP-3.1c - Rev Actual Rates'!H693</f>
        <v>59467</v>
      </c>
      <c r="I682" s="421">
        <f>'JKP-3.1c - Rev Actual Rates'!I693</f>
        <v>32121</v>
      </c>
      <c r="J682" s="421">
        <f>'JKP-3.1c - Rev Actual Rates'!J693</f>
        <v>56841</v>
      </c>
      <c r="K682" s="421">
        <f>'JKP-3.1c - Rev Actual Rates'!K693</f>
        <v>75935</v>
      </c>
      <c r="L682" s="421">
        <f>'JKP-3.1c - Rev Actual Rates'!L693</f>
        <v>48383</v>
      </c>
      <c r="M682" s="421">
        <f>'JKP-3.1c - Rev Actual Rates'!M693</f>
        <v>23643</v>
      </c>
      <c r="N682" s="421">
        <f>'JKP-3.1c - Rev Actual Rates'!N693</f>
        <v>17943</v>
      </c>
      <c r="O682" s="421">
        <f>'JKP-3.1c - Rev Actual Rates'!O693</f>
        <v>23906</v>
      </c>
      <c r="P682" s="421">
        <f>'JKP-3.1c - Rev Actual Rates'!P693</f>
        <v>43005</v>
      </c>
      <c r="Q682" s="421">
        <f>'JKP-3.1c - Rev Actual Rates'!Q693</f>
        <v>52842</v>
      </c>
      <c r="R682" s="378">
        <f>SUM(F682:Q682)</f>
        <v>734727</v>
      </c>
      <c r="S682" s="335"/>
      <c r="T682" s="415"/>
    </row>
    <row r="683" spans="1:20" s="336" customFormat="1" x14ac:dyDescent="0.2">
      <c r="C683" s="336" t="s">
        <v>1075</v>
      </c>
      <c r="E683" s="336" t="s">
        <v>10</v>
      </c>
      <c r="F683" s="436">
        <f t="shared" ref="F683:N683" si="178">SUM(F681:F682)</f>
        <v>171505</v>
      </c>
      <c r="G683" s="436">
        <f t="shared" si="178"/>
        <v>146383</v>
      </c>
      <c r="H683" s="436">
        <f t="shared" si="178"/>
        <v>66915</v>
      </c>
      <c r="I683" s="436">
        <f t="shared" si="178"/>
        <v>40614</v>
      </c>
      <c r="J683" s="436">
        <f t="shared" si="178"/>
        <v>65028</v>
      </c>
      <c r="K683" s="436">
        <f t="shared" si="178"/>
        <v>83876</v>
      </c>
      <c r="L683" s="436">
        <f t="shared" si="178"/>
        <v>55528</v>
      </c>
      <c r="M683" s="436">
        <f t="shared" si="178"/>
        <v>31451</v>
      </c>
      <c r="N683" s="436">
        <f t="shared" si="178"/>
        <v>25943</v>
      </c>
      <c r="O683" s="436">
        <f>SUM(O681:O682)</f>
        <v>30191</v>
      </c>
      <c r="P683" s="436">
        <f>SUM(P681:P682)</f>
        <v>52254</v>
      </c>
      <c r="Q683" s="436">
        <f>SUM(Q681:Q682)</f>
        <v>62644</v>
      </c>
      <c r="R683" s="436">
        <f>SUM(R681:R682)</f>
        <v>832332</v>
      </c>
      <c r="S683" s="335"/>
      <c r="T683" s="415"/>
    </row>
    <row r="684" spans="1:20" s="336" customFormat="1" x14ac:dyDescent="0.2">
      <c r="B684" s="336" t="s">
        <v>74</v>
      </c>
      <c r="E684" s="336" t="s">
        <v>1076</v>
      </c>
      <c r="F684" s="421">
        <f>'JKP-3.1c - Rev Actual Rates'!F695</f>
        <v>127</v>
      </c>
      <c r="G684" s="421">
        <f>'JKP-3.1c - Rev Actual Rates'!G695</f>
        <v>137</v>
      </c>
      <c r="H684" s="421">
        <f>'JKP-3.1c - Rev Actual Rates'!H695</f>
        <v>132</v>
      </c>
      <c r="I684" s="421">
        <f>'JKP-3.1c - Rev Actual Rates'!I695</f>
        <v>132</v>
      </c>
      <c r="J684" s="421">
        <f>'JKP-3.1c - Rev Actual Rates'!J695</f>
        <v>132</v>
      </c>
      <c r="K684" s="421">
        <f>'JKP-3.1c - Rev Actual Rates'!K695</f>
        <v>132</v>
      </c>
      <c r="L684" s="421">
        <f>'JKP-3.1c - Rev Actual Rates'!L695</f>
        <v>132</v>
      </c>
      <c r="M684" s="421">
        <f>'JKP-3.1c - Rev Actual Rates'!M695</f>
        <v>132</v>
      </c>
      <c r="N684" s="421">
        <f>'JKP-3.1c - Rev Actual Rates'!N695</f>
        <v>132</v>
      </c>
      <c r="O684" s="421">
        <f>'JKP-3.1c - Rev Actual Rates'!O695</f>
        <v>132</v>
      </c>
      <c r="P684" s="421">
        <f>'JKP-3.1c - Rev Actual Rates'!P695</f>
        <v>132</v>
      </c>
      <c r="Q684" s="421">
        <f>'JKP-3.1c - Rev Actual Rates'!Q695</f>
        <v>132</v>
      </c>
      <c r="R684" s="378">
        <f>SUM(F684:Q684)</f>
        <v>1584</v>
      </c>
      <c r="S684" s="335"/>
      <c r="T684" s="415"/>
    </row>
    <row r="685" spans="1:20" s="336" customFormat="1" x14ac:dyDescent="0.2">
      <c r="B685" s="336" t="s">
        <v>1071</v>
      </c>
      <c r="F685" s="380"/>
      <c r="G685" s="380"/>
      <c r="H685" s="380"/>
      <c r="I685" s="380"/>
      <c r="J685" s="380"/>
      <c r="K685" s="380"/>
      <c r="L685" s="380"/>
      <c r="M685" s="380"/>
      <c r="N685" s="380"/>
      <c r="O685" s="380"/>
      <c r="P685" s="380"/>
      <c r="Q685" s="380"/>
      <c r="R685" s="378"/>
      <c r="S685" s="335"/>
      <c r="T685" s="415"/>
    </row>
    <row r="686" spans="1:20" s="336" customFormat="1" x14ac:dyDescent="0.2">
      <c r="R686" s="179"/>
      <c r="S686" s="335"/>
      <c r="T686" s="415"/>
    </row>
    <row r="687" spans="1:20" s="336" customFormat="1" x14ac:dyDescent="0.2">
      <c r="B687" s="182" t="s">
        <v>985</v>
      </c>
      <c r="R687" s="179"/>
      <c r="S687" s="335"/>
      <c r="T687" s="415"/>
    </row>
    <row r="688" spans="1:20" s="336" customFormat="1" x14ac:dyDescent="0.2">
      <c r="A688" s="336" t="s">
        <v>1054</v>
      </c>
      <c r="B688" s="336" t="s">
        <v>1059</v>
      </c>
      <c r="D688" s="336">
        <v>86</v>
      </c>
      <c r="F688" s="418">
        <f t="shared" ref="F688:N688" si="179">F665*F679</f>
        <v>1254.33</v>
      </c>
      <c r="G688" s="418">
        <f t="shared" si="179"/>
        <v>1533.0700000000002</v>
      </c>
      <c r="H688" s="418">
        <f t="shared" si="179"/>
        <v>1393.7</v>
      </c>
      <c r="I688" s="418">
        <f t="shared" si="179"/>
        <v>1254.33</v>
      </c>
      <c r="J688" s="418">
        <f t="shared" si="179"/>
        <v>1393.7</v>
      </c>
      <c r="K688" s="418">
        <f t="shared" si="179"/>
        <v>1254.33</v>
      </c>
      <c r="L688" s="418">
        <f t="shared" si="179"/>
        <v>1393.7</v>
      </c>
      <c r="M688" s="418">
        <f t="shared" si="179"/>
        <v>1393.7</v>
      </c>
      <c r="N688" s="418">
        <f t="shared" si="179"/>
        <v>1393.7</v>
      </c>
      <c r="O688" s="418">
        <f>O665*O679</f>
        <v>1393.7</v>
      </c>
      <c r="P688" s="418">
        <f>P665*P679</f>
        <v>1393.7</v>
      </c>
      <c r="Q688" s="418">
        <f>Q665*Q679</f>
        <v>1393.7</v>
      </c>
      <c r="R688" s="437">
        <f>SUM(F688:Q688)</f>
        <v>16445.660000000003</v>
      </c>
      <c r="S688" s="335"/>
      <c r="T688" s="415"/>
    </row>
    <row r="689" spans="1:20" s="336" customFormat="1" x14ac:dyDescent="0.2">
      <c r="B689" s="336" t="s">
        <v>1047</v>
      </c>
      <c r="F689" s="418"/>
      <c r="G689" s="418"/>
      <c r="H689" s="418"/>
      <c r="I689" s="418"/>
      <c r="J689" s="418"/>
      <c r="K689" s="418"/>
      <c r="L689" s="418"/>
      <c r="M689" s="418"/>
      <c r="N689" s="418"/>
      <c r="O689" s="418"/>
      <c r="P689" s="418"/>
      <c r="Q689" s="418"/>
      <c r="R689" s="437"/>
      <c r="S689" s="335"/>
      <c r="T689" s="415"/>
    </row>
    <row r="690" spans="1:20" s="336" customFormat="1" x14ac:dyDescent="0.2">
      <c r="C690" s="336" t="s">
        <v>1098</v>
      </c>
      <c r="D690" s="336">
        <v>86</v>
      </c>
      <c r="F690" s="418">
        <f t="shared" ref="F690:Q691" si="180">F667*F681</f>
        <v>1733.4571999999998</v>
      </c>
      <c r="G690" s="418">
        <f t="shared" si="180"/>
        <v>1684.8981999999999</v>
      </c>
      <c r="H690" s="418">
        <f t="shared" si="180"/>
        <v>1476.1935999999998</v>
      </c>
      <c r="I690" s="418">
        <f t="shared" si="180"/>
        <v>1683.3126</v>
      </c>
      <c r="J690" s="418">
        <f t="shared" si="180"/>
        <v>1622.6633999999999</v>
      </c>
      <c r="K690" s="418">
        <f t="shared" si="180"/>
        <v>1573.9061999999999</v>
      </c>
      <c r="L690" s="418">
        <f t="shared" si="180"/>
        <v>1416.1389999999999</v>
      </c>
      <c r="M690" s="418">
        <f t="shared" si="180"/>
        <v>1547.5455999999999</v>
      </c>
      <c r="N690" s="418">
        <f t="shared" si="180"/>
        <v>1585.6</v>
      </c>
      <c r="O690" s="418">
        <f t="shared" si="180"/>
        <v>1245.6869999999999</v>
      </c>
      <c r="P690" s="418">
        <f t="shared" si="180"/>
        <v>1833.1517999999999</v>
      </c>
      <c r="Q690" s="418">
        <f t="shared" si="180"/>
        <v>1942.7564</v>
      </c>
      <c r="R690" s="437">
        <f>SUM(F690:Q690)</f>
        <v>19345.310999999998</v>
      </c>
      <c r="S690" s="335"/>
      <c r="T690" s="415"/>
    </row>
    <row r="691" spans="1:20" s="336" customFormat="1" x14ac:dyDescent="0.2">
      <c r="C691" s="336" t="s">
        <v>1099</v>
      </c>
      <c r="D691" s="336">
        <v>86</v>
      </c>
      <c r="F691" s="418">
        <f t="shared" si="180"/>
        <v>23128.053899999999</v>
      </c>
      <c r="G691" s="418">
        <f t="shared" si="180"/>
        <v>19593.032200000001</v>
      </c>
      <c r="H691" s="418">
        <f t="shared" si="180"/>
        <v>8450.2607000000007</v>
      </c>
      <c r="I691" s="418">
        <f t="shared" si="180"/>
        <v>4564.3941000000004</v>
      </c>
      <c r="J691" s="418">
        <f t="shared" si="180"/>
        <v>8077.1061</v>
      </c>
      <c r="K691" s="418">
        <f t="shared" si="180"/>
        <v>10790.363499999999</v>
      </c>
      <c r="L691" s="418">
        <f t="shared" si="180"/>
        <v>6875.2242999999999</v>
      </c>
      <c r="M691" s="418">
        <f t="shared" si="180"/>
        <v>3359.6703000000002</v>
      </c>
      <c r="N691" s="418">
        <f t="shared" si="180"/>
        <v>2549.7003</v>
      </c>
      <c r="O691" s="418">
        <f t="shared" si="180"/>
        <v>3397.0426000000002</v>
      </c>
      <c r="P691" s="418">
        <f t="shared" si="180"/>
        <v>6111.0105000000003</v>
      </c>
      <c r="Q691" s="418">
        <f t="shared" si="180"/>
        <v>7508.8482000000004</v>
      </c>
      <c r="R691" s="437">
        <f>SUM(F691:Q691)</f>
        <v>104404.70669999998</v>
      </c>
      <c r="S691" s="335"/>
      <c r="T691" s="415"/>
    </row>
    <row r="692" spans="1:20" x14ac:dyDescent="0.2">
      <c r="A692" s="32" t="s">
        <v>1054</v>
      </c>
      <c r="C692" s="32" t="s">
        <v>1077</v>
      </c>
      <c r="F692" s="365">
        <f t="shared" ref="F692:N692" si="181">SUM(F690:F691)</f>
        <v>24861.5111</v>
      </c>
      <c r="G692" s="365">
        <f t="shared" si="181"/>
        <v>21277.930400000001</v>
      </c>
      <c r="H692" s="365">
        <f t="shared" si="181"/>
        <v>9926.4543000000012</v>
      </c>
      <c r="I692" s="365">
        <f t="shared" si="181"/>
        <v>6247.7067000000006</v>
      </c>
      <c r="J692" s="365">
        <f t="shared" si="181"/>
        <v>9699.7695000000003</v>
      </c>
      <c r="K692" s="365">
        <f t="shared" si="181"/>
        <v>12364.269699999999</v>
      </c>
      <c r="L692" s="365">
        <f t="shared" si="181"/>
        <v>8291.3632999999991</v>
      </c>
      <c r="M692" s="365">
        <f t="shared" si="181"/>
        <v>4907.2159000000001</v>
      </c>
      <c r="N692" s="365">
        <f t="shared" si="181"/>
        <v>4135.3002999999999</v>
      </c>
      <c r="O692" s="365">
        <f>SUM(O690:O691)</f>
        <v>4642.7296000000006</v>
      </c>
      <c r="P692" s="365">
        <f>SUM(P690:P691)</f>
        <v>7944.1623</v>
      </c>
      <c r="Q692" s="365">
        <f>SUM(Q690:Q691)</f>
        <v>9451.6046000000006</v>
      </c>
      <c r="R692" s="365">
        <f>SUM(R690:R691)</f>
        <v>123750.01769999998</v>
      </c>
    </row>
    <row r="693" spans="1:20" x14ac:dyDescent="0.2">
      <c r="A693" s="336" t="s">
        <v>1056</v>
      </c>
      <c r="B693" s="32" t="s">
        <v>1057</v>
      </c>
      <c r="D693" s="32">
        <v>101</v>
      </c>
      <c r="F693" s="364">
        <f t="shared" ref="F693:N693" si="182">F669*F683</f>
        <v>114148.58285000001</v>
      </c>
      <c r="G693" s="364">
        <f t="shared" si="182"/>
        <v>97428.133310000005</v>
      </c>
      <c r="H693" s="364">
        <f t="shared" si="182"/>
        <v>44536.616549999999</v>
      </c>
      <c r="I693" s="364">
        <f t="shared" si="182"/>
        <v>27031.45998</v>
      </c>
      <c r="J693" s="364">
        <f t="shared" si="182"/>
        <v>43280.685960000003</v>
      </c>
      <c r="K693" s="364">
        <f t="shared" si="182"/>
        <v>55825.349320000001</v>
      </c>
      <c r="L693" s="364">
        <f t="shared" si="182"/>
        <v>36957.770960000002</v>
      </c>
      <c r="M693" s="364">
        <f t="shared" si="182"/>
        <v>20932.842069999999</v>
      </c>
      <c r="N693" s="364">
        <f t="shared" si="182"/>
        <v>17266.882509999999</v>
      </c>
      <c r="O693" s="364">
        <f>O669*O683</f>
        <v>20094.223870000002</v>
      </c>
      <c r="P693" s="364">
        <f>P669*P683</f>
        <v>34778.694779999998</v>
      </c>
      <c r="Q693" s="364">
        <f>Q669*Q683</f>
        <v>41693.967080000002</v>
      </c>
      <c r="R693" s="341">
        <f>SUM(F693:Q693)</f>
        <v>553975.20924000011</v>
      </c>
    </row>
    <row r="694" spans="1:20" x14ac:dyDescent="0.2">
      <c r="A694" s="32" t="s">
        <v>1054</v>
      </c>
      <c r="B694" s="32" t="s">
        <v>1096</v>
      </c>
      <c r="D694" s="444"/>
      <c r="F694" s="365">
        <f t="shared" ref="F694:N694" si="183">F670*F683</f>
        <v>1130.21795</v>
      </c>
      <c r="G694" s="365">
        <f t="shared" si="183"/>
        <v>964.66397000000006</v>
      </c>
      <c r="H694" s="365">
        <f t="shared" si="183"/>
        <v>440.96985000000001</v>
      </c>
      <c r="I694" s="365">
        <f t="shared" si="183"/>
        <v>267.64626000000004</v>
      </c>
      <c r="J694" s="365">
        <f t="shared" si="183"/>
        <v>428.53452000000004</v>
      </c>
      <c r="K694" s="365">
        <f t="shared" si="183"/>
        <v>552.74284</v>
      </c>
      <c r="L694" s="365">
        <f t="shared" si="183"/>
        <v>365.92952000000002</v>
      </c>
      <c r="M694" s="365">
        <f t="shared" si="183"/>
        <v>207.26209</v>
      </c>
      <c r="N694" s="365">
        <f t="shared" si="183"/>
        <v>170.96437</v>
      </c>
      <c r="O694" s="365">
        <f>O670*O683</f>
        <v>198.95869000000002</v>
      </c>
      <c r="P694" s="365">
        <f>P670*P683</f>
        <v>344.35386</v>
      </c>
      <c r="Q694" s="365">
        <f>Q670*Q683</f>
        <v>412.82396</v>
      </c>
      <c r="R694" s="365">
        <f>SUM(F694:Q694)</f>
        <v>5485.0678799999996</v>
      </c>
    </row>
    <row r="695" spans="1:20" x14ac:dyDescent="0.2">
      <c r="B695" s="32" t="s">
        <v>1068</v>
      </c>
      <c r="F695" s="364"/>
      <c r="G695" s="364"/>
      <c r="H695" s="364"/>
      <c r="I695" s="364"/>
      <c r="J695" s="364"/>
      <c r="K695" s="364"/>
      <c r="L695" s="364"/>
      <c r="M695" s="364"/>
      <c r="N695" s="364"/>
      <c r="O695" s="364"/>
      <c r="P695" s="364"/>
      <c r="Q695" s="364"/>
      <c r="R695" s="341"/>
    </row>
    <row r="696" spans="1:20" x14ac:dyDescent="0.2">
      <c r="A696" s="32" t="s">
        <v>1054</v>
      </c>
      <c r="C696" s="32" t="s">
        <v>1069</v>
      </c>
      <c r="D696" s="32">
        <v>86</v>
      </c>
      <c r="F696" s="364">
        <f t="shared" ref="F696:N696" si="184">F672*F684</f>
        <v>140.97</v>
      </c>
      <c r="G696" s="364">
        <f t="shared" si="184"/>
        <v>152.07000000000002</v>
      </c>
      <c r="H696" s="364">
        <f t="shared" si="184"/>
        <v>146.52000000000001</v>
      </c>
      <c r="I696" s="364">
        <f t="shared" si="184"/>
        <v>146.52000000000001</v>
      </c>
      <c r="J696" s="364">
        <f t="shared" si="184"/>
        <v>146.52000000000001</v>
      </c>
      <c r="K696" s="364">
        <f t="shared" si="184"/>
        <v>146.52000000000001</v>
      </c>
      <c r="L696" s="364">
        <f t="shared" si="184"/>
        <v>146.52000000000001</v>
      </c>
      <c r="M696" s="364">
        <f t="shared" si="184"/>
        <v>146.52000000000001</v>
      </c>
      <c r="N696" s="364">
        <f t="shared" si="184"/>
        <v>146.52000000000001</v>
      </c>
      <c r="O696" s="364">
        <f>O672*O684</f>
        <v>146.52000000000001</v>
      </c>
      <c r="P696" s="364">
        <f>P672*P684</f>
        <v>146.52000000000001</v>
      </c>
      <c r="Q696" s="364">
        <f>Q672*Q684</f>
        <v>146.52000000000001</v>
      </c>
      <c r="R696" s="341">
        <f>SUM(F696:Q696)</f>
        <v>1758.24</v>
      </c>
    </row>
    <row r="697" spans="1:20" x14ac:dyDescent="0.2">
      <c r="A697" s="336" t="s">
        <v>1056</v>
      </c>
      <c r="C697" s="32" t="s">
        <v>1070</v>
      </c>
      <c r="D697" s="32">
        <v>101</v>
      </c>
      <c r="F697" s="364">
        <f t="shared" ref="F697:N697" si="185">F673*F684</f>
        <v>133.35</v>
      </c>
      <c r="G697" s="364">
        <f t="shared" si="185"/>
        <v>143.85</v>
      </c>
      <c r="H697" s="364">
        <f t="shared" si="185"/>
        <v>138.6</v>
      </c>
      <c r="I697" s="364">
        <f t="shared" si="185"/>
        <v>138.6</v>
      </c>
      <c r="J697" s="364">
        <f t="shared" si="185"/>
        <v>138.6</v>
      </c>
      <c r="K697" s="364">
        <f t="shared" si="185"/>
        <v>138.6</v>
      </c>
      <c r="L697" s="364">
        <f t="shared" si="185"/>
        <v>138.6</v>
      </c>
      <c r="M697" s="364">
        <f t="shared" si="185"/>
        <v>138.6</v>
      </c>
      <c r="N697" s="364">
        <f t="shared" si="185"/>
        <v>138.6</v>
      </c>
      <c r="O697" s="364">
        <f>O673*O684</f>
        <v>138.6</v>
      </c>
      <c r="P697" s="364">
        <f>P673*P684</f>
        <v>138.6</v>
      </c>
      <c r="Q697" s="364">
        <f>Q673*Q684</f>
        <v>138.6</v>
      </c>
      <c r="R697" s="341">
        <f>SUM(F697:Q697)</f>
        <v>1663.1999999999996</v>
      </c>
    </row>
    <row r="698" spans="1:20" x14ac:dyDescent="0.2">
      <c r="C698" s="32" t="s">
        <v>1078</v>
      </c>
      <c r="F698" s="365">
        <f t="shared" ref="F698:N698" si="186">SUM(F696:F697)</f>
        <v>274.32</v>
      </c>
      <c r="G698" s="365">
        <f t="shared" si="186"/>
        <v>295.92</v>
      </c>
      <c r="H698" s="365">
        <f t="shared" si="186"/>
        <v>285.12</v>
      </c>
      <c r="I698" s="365">
        <f t="shared" si="186"/>
        <v>285.12</v>
      </c>
      <c r="J698" s="365">
        <f t="shared" si="186"/>
        <v>285.12</v>
      </c>
      <c r="K698" s="365">
        <f t="shared" si="186"/>
        <v>285.12</v>
      </c>
      <c r="L698" s="365">
        <f t="shared" si="186"/>
        <v>285.12</v>
      </c>
      <c r="M698" s="365">
        <f t="shared" si="186"/>
        <v>285.12</v>
      </c>
      <c r="N698" s="365">
        <f t="shared" si="186"/>
        <v>285.12</v>
      </c>
      <c r="O698" s="365">
        <f>SUM(O696:O697)</f>
        <v>285.12</v>
      </c>
      <c r="P698" s="365">
        <f>SUM(P696:P697)</f>
        <v>285.12</v>
      </c>
      <c r="Q698" s="365">
        <f>SUM(Q696:Q697)</f>
        <v>285.12</v>
      </c>
      <c r="R698" s="365">
        <f>SUM(R696:R697)</f>
        <v>3421.4399999999996</v>
      </c>
    </row>
    <row r="699" spans="1:20" s="336" customFormat="1" x14ac:dyDescent="0.2">
      <c r="A699" s="336" t="s">
        <v>1054</v>
      </c>
      <c r="B699" s="336" t="s">
        <v>1071</v>
      </c>
      <c r="D699" s="336">
        <v>86</v>
      </c>
      <c r="F699" s="447">
        <f>'JKP-3.1c - Rev Actual Rates'!F710</f>
        <v>0</v>
      </c>
      <c r="G699" s="447">
        <f>'JKP-3.1c - Rev Actual Rates'!G710</f>
        <v>0</v>
      </c>
      <c r="H699" s="447">
        <f>'JKP-3.1c - Rev Actual Rates'!H710</f>
        <v>0</v>
      </c>
      <c r="I699" s="447">
        <f>'JKP-3.1c - Rev Actual Rates'!I710</f>
        <v>0</v>
      </c>
      <c r="J699" s="447">
        <f>'JKP-3.1c - Rev Actual Rates'!J710</f>
        <v>0</v>
      </c>
      <c r="K699" s="447">
        <f>'JKP-3.1c - Rev Actual Rates'!K710</f>
        <v>0</v>
      </c>
      <c r="L699" s="447">
        <f>'JKP-3.1c - Rev Actual Rates'!L710</f>
        <v>0</v>
      </c>
      <c r="M699" s="447">
        <f>'JKP-3.1c - Rev Actual Rates'!M710</f>
        <v>0</v>
      </c>
      <c r="N699" s="447">
        <f>'JKP-3.1c - Rev Actual Rates'!N710</f>
        <v>1255.01</v>
      </c>
      <c r="O699" s="447">
        <f>'JKP-3.1c - Rev Actual Rates'!O710</f>
        <v>0</v>
      </c>
      <c r="P699" s="447">
        <f>'JKP-3.1c - Rev Actual Rates'!P710</f>
        <v>0</v>
      </c>
      <c r="Q699" s="447">
        <f>'JKP-3.1c - Rev Actual Rates'!Q710</f>
        <v>0</v>
      </c>
      <c r="R699" s="437">
        <f>SUM(F699:Q699)</f>
        <v>1255.01</v>
      </c>
      <c r="S699" s="335"/>
      <c r="T699" s="415"/>
    </row>
    <row r="700" spans="1:20" x14ac:dyDescent="0.2">
      <c r="B700" s="32" t="s">
        <v>1079</v>
      </c>
      <c r="F700" s="365">
        <f t="shared" ref="F700:N700" si="187">F693+F697</f>
        <v>114281.93285000001</v>
      </c>
      <c r="G700" s="365">
        <f t="shared" si="187"/>
        <v>97571.983310000011</v>
      </c>
      <c r="H700" s="365">
        <f t="shared" si="187"/>
        <v>44675.216549999997</v>
      </c>
      <c r="I700" s="365">
        <f t="shared" si="187"/>
        <v>27170.059979999998</v>
      </c>
      <c r="J700" s="365">
        <f t="shared" si="187"/>
        <v>43419.285960000001</v>
      </c>
      <c r="K700" s="365">
        <f t="shared" si="187"/>
        <v>55963.94932</v>
      </c>
      <c r="L700" s="365">
        <f t="shared" si="187"/>
        <v>37096.37096</v>
      </c>
      <c r="M700" s="365">
        <f t="shared" si="187"/>
        <v>21071.442069999997</v>
      </c>
      <c r="N700" s="365">
        <f t="shared" si="187"/>
        <v>17405.482509999998</v>
      </c>
      <c r="O700" s="365">
        <f>O693+O697</f>
        <v>20232.82387</v>
      </c>
      <c r="P700" s="365">
        <f>P693+P697</f>
        <v>34917.294779999997</v>
      </c>
      <c r="Q700" s="365">
        <f>Q693+Q697</f>
        <v>41832.567080000001</v>
      </c>
      <c r="R700" s="365">
        <f>R693+R697</f>
        <v>555638.40924000007</v>
      </c>
    </row>
    <row r="701" spans="1:20" x14ac:dyDescent="0.2">
      <c r="B701" s="32" t="s">
        <v>986</v>
      </c>
      <c r="F701" s="365">
        <f t="shared" ref="F701:N701" si="188">F688+F692+F693+F694+F698+F699</f>
        <v>141668.96189999999</v>
      </c>
      <c r="G701" s="365">
        <f t="shared" si="188"/>
        <v>121499.71768</v>
      </c>
      <c r="H701" s="365">
        <f t="shared" si="188"/>
        <v>56582.860700000005</v>
      </c>
      <c r="I701" s="365">
        <f t="shared" si="188"/>
        <v>35086.262940000001</v>
      </c>
      <c r="J701" s="365">
        <f t="shared" si="188"/>
        <v>55087.809980000005</v>
      </c>
      <c r="K701" s="365">
        <f t="shared" si="188"/>
        <v>70281.811860000002</v>
      </c>
      <c r="L701" s="365">
        <f t="shared" si="188"/>
        <v>47293.883780000004</v>
      </c>
      <c r="M701" s="365">
        <f t="shared" si="188"/>
        <v>27726.140059999998</v>
      </c>
      <c r="N701" s="365">
        <f t="shared" si="188"/>
        <v>24506.977179999998</v>
      </c>
      <c r="O701" s="365">
        <f>O688+O692+O693+O694+O698+O699</f>
        <v>26614.73216</v>
      </c>
      <c r="P701" s="365">
        <f>P688+P692+P693+P694+P698+P699</f>
        <v>44746.030940000004</v>
      </c>
      <c r="Q701" s="365">
        <f>Q688+Q692+Q693+Q694+Q698+Q699</f>
        <v>53237.215640000009</v>
      </c>
      <c r="R701" s="365">
        <f>R688+R692+R693+R694+R698+R699</f>
        <v>704332.40482000005</v>
      </c>
      <c r="T701" s="340"/>
    </row>
    <row r="702" spans="1:20" x14ac:dyDescent="0.2">
      <c r="F702" s="364"/>
      <c r="G702" s="364"/>
      <c r="H702" s="364"/>
      <c r="I702" s="364"/>
      <c r="J702" s="364"/>
      <c r="K702" s="364"/>
      <c r="L702" s="364"/>
      <c r="M702" s="364"/>
      <c r="N702" s="364"/>
      <c r="O702" s="364"/>
      <c r="P702" s="364"/>
      <c r="Q702" s="364"/>
      <c r="R702" s="341"/>
      <c r="T702" s="415"/>
    </row>
    <row r="703" spans="1:20" x14ac:dyDescent="0.2">
      <c r="A703" s="32" t="s">
        <v>1058</v>
      </c>
      <c r="B703" s="32" t="s">
        <v>1050</v>
      </c>
      <c r="F703" s="364">
        <f>F675*F683+F684*F676</f>
        <v>109339.66894999999</v>
      </c>
      <c r="G703" s="364">
        <f t="shared" ref="G703:Q703" si="189">G675*G683+G684*G676</f>
        <v>93352.23057</v>
      </c>
      <c r="H703" s="364">
        <f t="shared" si="189"/>
        <v>42742.80285</v>
      </c>
      <c r="I703" s="364">
        <f t="shared" si="189"/>
        <v>25994.589059999998</v>
      </c>
      <c r="J703" s="364">
        <f t="shared" si="189"/>
        <v>41541.180119999997</v>
      </c>
      <c r="K703" s="364">
        <f t="shared" si="189"/>
        <v>53543.39804</v>
      </c>
      <c r="L703" s="364">
        <f t="shared" si="189"/>
        <v>35491.67512</v>
      </c>
      <c r="M703" s="364">
        <f t="shared" si="189"/>
        <v>20159.682290000001</v>
      </c>
      <c r="N703" s="364">
        <f t="shared" si="189"/>
        <v>16652.242969999999</v>
      </c>
      <c r="O703" s="364">
        <f t="shared" si="189"/>
        <v>19357.32689</v>
      </c>
      <c r="P703" s="364">
        <f t="shared" si="189"/>
        <v>33406.824659999998</v>
      </c>
      <c r="Q703" s="364">
        <f t="shared" si="189"/>
        <v>40023.072759999995</v>
      </c>
      <c r="R703" s="341">
        <f>SUM(F703:Q703)</f>
        <v>531604.69427999994</v>
      </c>
      <c r="T703" s="415"/>
    </row>
    <row r="704" spans="1:20" x14ac:dyDescent="0.2">
      <c r="F704" s="364"/>
      <c r="G704" s="364"/>
      <c r="H704" s="364"/>
      <c r="I704" s="364"/>
      <c r="J704" s="364"/>
      <c r="K704" s="364"/>
      <c r="L704" s="364"/>
      <c r="M704" s="364"/>
      <c r="N704" s="364"/>
      <c r="O704" s="364"/>
      <c r="P704" s="364"/>
      <c r="Q704" s="364"/>
      <c r="R704" s="341"/>
      <c r="T704" s="415"/>
    </row>
    <row r="705" spans="1:20" x14ac:dyDescent="0.2">
      <c r="B705" s="276" t="s">
        <v>1112</v>
      </c>
      <c r="C705" s="276"/>
    </row>
    <row r="706" spans="1:20" x14ac:dyDescent="0.2">
      <c r="B706" s="276" t="s">
        <v>5</v>
      </c>
      <c r="C706" s="276"/>
    </row>
    <row r="707" spans="1:20" x14ac:dyDescent="0.2">
      <c r="B707" s="32" t="s">
        <v>1059</v>
      </c>
      <c r="D707" s="32">
        <v>87</v>
      </c>
      <c r="E707" s="32" t="s">
        <v>976</v>
      </c>
      <c r="F707" s="413">
        <f t="shared" ref="F707:N707" si="190">F348</f>
        <v>544.91</v>
      </c>
      <c r="G707" s="413">
        <f t="shared" si="190"/>
        <v>544.91</v>
      </c>
      <c r="H707" s="413">
        <f t="shared" si="190"/>
        <v>544.91</v>
      </c>
      <c r="I707" s="413">
        <f t="shared" si="190"/>
        <v>544.91</v>
      </c>
      <c r="J707" s="413">
        <f t="shared" si="190"/>
        <v>544.91</v>
      </c>
      <c r="K707" s="413">
        <f t="shared" si="190"/>
        <v>544.91</v>
      </c>
      <c r="L707" s="413">
        <f t="shared" si="190"/>
        <v>544.91</v>
      </c>
      <c r="M707" s="413">
        <f t="shared" si="190"/>
        <v>544.91</v>
      </c>
      <c r="N707" s="413">
        <f t="shared" si="190"/>
        <v>544.91</v>
      </c>
      <c r="O707" s="413">
        <f>O348</f>
        <v>544.91</v>
      </c>
      <c r="P707" s="413">
        <f>P348</f>
        <v>544.91</v>
      </c>
      <c r="Q707" s="413">
        <f>Q348</f>
        <v>544.91</v>
      </c>
      <c r="R707" s="439"/>
    </row>
    <row r="708" spans="1:20" x14ac:dyDescent="0.2">
      <c r="B708" s="32" t="s">
        <v>1047</v>
      </c>
      <c r="F708" s="393"/>
      <c r="G708" s="393"/>
      <c r="H708" s="393"/>
      <c r="I708" s="393"/>
      <c r="J708" s="393"/>
      <c r="K708" s="393"/>
      <c r="L708" s="393"/>
      <c r="M708" s="393"/>
      <c r="N708" s="393"/>
      <c r="O708" s="393"/>
      <c r="P708" s="393"/>
      <c r="Q708" s="393"/>
      <c r="R708" s="394"/>
    </row>
    <row r="709" spans="1:20" x14ac:dyDescent="0.2">
      <c r="C709" s="32" t="s">
        <v>1086</v>
      </c>
      <c r="D709" s="32">
        <v>87</v>
      </c>
      <c r="E709" s="32" t="s">
        <v>957</v>
      </c>
      <c r="F709" s="393">
        <f t="shared" ref="F709:Q716" si="191">F350</f>
        <v>0.13815</v>
      </c>
      <c r="G709" s="393">
        <f t="shared" si="191"/>
        <v>0.13815</v>
      </c>
      <c r="H709" s="393">
        <f t="shared" si="191"/>
        <v>0.13815</v>
      </c>
      <c r="I709" s="393">
        <f t="shared" si="191"/>
        <v>0.13815</v>
      </c>
      <c r="J709" s="393">
        <f t="shared" si="191"/>
        <v>0.13815</v>
      </c>
      <c r="K709" s="393">
        <f t="shared" si="191"/>
        <v>0.13815</v>
      </c>
      <c r="L709" s="393">
        <f t="shared" si="191"/>
        <v>0.13815</v>
      </c>
      <c r="M709" s="393">
        <f t="shared" si="191"/>
        <v>0.13815</v>
      </c>
      <c r="N709" s="393">
        <f t="shared" si="191"/>
        <v>0.13815</v>
      </c>
      <c r="O709" s="393">
        <f t="shared" si="191"/>
        <v>0.13815</v>
      </c>
      <c r="P709" s="393">
        <f t="shared" si="191"/>
        <v>0.13815</v>
      </c>
      <c r="Q709" s="393">
        <f t="shared" si="191"/>
        <v>0.13815</v>
      </c>
      <c r="R709" s="394"/>
    </row>
    <row r="710" spans="1:20" x14ac:dyDescent="0.2">
      <c r="C710" s="32" t="s">
        <v>1087</v>
      </c>
      <c r="D710" s="32">
        <v>87</v>
      </c>
      <c r="E710" s="32" t="s">
        <v>957</v>
      </c>
      <c r="F710" s="393">
        <f t="shared" si="191"/>
        <v>8.4349999999999994E-2</v>
      </c>
      <c r="G710" s="393">
        <f t="shared" si="191"/>
        <v>8.4349999999999994E-2</v>
      </c>
      <c r="H710" s="393">
        <f t="shared" si="191"/>
        <v>8.4349999999999994E-2</v>
      </c>
      <c r="I710" s="393">
        <f t="shared" si="191"/>
        <v>8.4349999999999994E-2</v>
      </c>
      <c r="J710" s="393">
        <f t="shared" si="191"/>
        <v>8.4349999999999994E-2</v>
      </c>
      <c r="K710" s="393">
        <f t="shared" si="191"/>
        <v>8.4349999999999994E-2</v>
      </c>
      <c r="L710" s="393">
        <f t="shared" si="191"/>
        <v>8.4349999999999994E-2</v>
      </c>
      <c r="M710" s="393">
        <f t="shared" si="191"/>
        <v>8.4349999999999994E-2</v>
      </c>
      <c r="N710" s="393">
        <f t="shared" si="191"/>
        <v>8.4349999999999994E-2</v>
      </c>
      <c r="O710" s="393">
        <f t="shared" si="191"/>
        <v>8.4349999999999994E-2</v>
      </c>
      <c r="P710" s="393">
        <f t="shared" si="191"/>
        <v>8.4349999999999994E-2</v>
      </c>
      <c r="Q710" s="393">
        <f t="shared" si="191"/>
        <v>8.4349999999999994E-2</v>
      </c>
      <c r="R710" s="394"/>
    </row>
    <row r="711" spans="1:20" x14ac:dyDescent="0.2">
      <c r="C711" s="32" t="s">
        <v>1090</v>
      </c>
      <c r="D711" s="32">
        <v>87</v>
      </c>
      <c r="E711" s="32" t="s">
        <v>957</v>
      </c>
      <c r="F711" s="393">
        <f t="shared" si="191"/>
        <v>5.4460000000000001E-2</v>
      </c>
      <c r="G711" s="393">
        <f t="shared" si="191"/>
        <v>5.4460000000000001E-2</v>
      </c>
      <c r="H711" s="393">
        <f t="shared" si="191"/>
        <v>5.4460000000000001E-2</v>
      </c>
      <c r="I711" s="393">
        <f t="shared" si="191"/>
        <v>5.4460000000000001E-2</v>
      </c>
      <c r="J711" s="393">
        <f t="shared" si="191"/>
        <v>5.4460000000000001E-2</v>
      </c>
      <c r="K711" s="393">
        <f t="shared" si="191"/>
        <v>5.4460000000000001E-2</v>
      </c>
      <c r="L711" s="393">
        <f t="shared" si="191"/>
        <v>5.4460000000000001E-2</v>
      </c>
      <c r="M711" s="393">
        <f t="shared" si="191"/>
        <v>5.4460000000000001E-2</v>
      </c>
      <c r="N711" s="393">
        <f t="shared" si="191"/>
        <v>5.4460000000000001E-2</v>
      </c>
      <c r="O711" s="393">
        <f t="shared" si="191"/>
        <v>5.4460000000000001E-2</v>
      </c>
      <c r="P711" s="393">
        <f t="shared" si="191"/>
        <v>5.4460000000000001E-2</v>
      </c>
      <c r="Q711" s="393">
        <f t="shared" si="191"/>
        <v>5.4460000000000001E-2</v>
      </c>
      <c r="R711" s="394"/>
    </row>
    <row r="712" spans="1:20" x14ac:dyDescent="0.2">
      <c r="C712" s="32" t="s">
        <v>1091</v>
      </c>
      <c r="D712" s="32">
        <v>87</v>
      </c>
      <c r="E712" s="32" t="s">
        <v>957</v>
      </c>
      <c r="F712" s="393">
        <f t="shared" si="191"/>
        <v>3.5700000000000003E-2</v>
      </c>
      <c r="G712" s="393">
        <f t="shared" si="191"/>
        <v>3.5700000000000003E-2</v>
      </c>
      <c r="H712" s="393">
        <f t="shared" si="191"/>
        <v>3.5700000000000003E-2</v>
      </c>
      <c r="I712" s="393">
        <f t="shared" si="191"/>
        <v>3.5700000000000003E-2</v>
      </c>
      <c r="J712" s="393">
        <f t="shared" si="191"/>
        <v>3.5700000000000003E-2</v>
      </c>
      <c r="K712" s="393">
        <f t="shared" si="191"/>
        <v>3.5700000000000003E-2</v>
      </c>
      <c r="L712" s="393">
        <f t="shared" si="191"/>
        <v>3.5700000000000003E-2</v>
      </c>
      <c r="M712" s="393">
        <f t="shared" si="191"/>
        <v>3.5700000000000003E-2</v>
      </c>
      <c r="N712" s="393">
        <f t="shared" si="191"/>
        <v>3.5700000000000003E-2</v>
      </c>
      <c r="O712" s="393">
        <f t="shared" si="191"/>
        <v>3.5700000000000003E-2</v>
      </c>
      <c r="P712" s="393">
        <f t="shared" si="191"/>
        <v>3.5700000000000003E-2</v>
      </c>
      <c r="Q712" s="393">
        <f t="shared" si="191"/>
        <v>3.5700000000000003E-2</v>
      </c>
      <c r="R712" s="394"/>
    </row>
    <row r="713" spans="1:20" x14ac:dyDescent="0.2">
      <c r="C713" s="32" t="s">
        <v>1092</v>
      </c>
      <c r="D713" s="32">
        <v>87</v>
      </c>
      <c r="E713" s="32" t="s">
        <v>957</v>
      </c>
      <c r="F713" s="393">
        <f t="shared" si="191"/>
        <v>2.63E-2</v>
      </c>
      <c r="G713" s="393">
        <f t="shared" si="191"/>
        <v>2.63E-2</v>
      </c>
      <c r="H713" s="393">
        <f t="shared" si="191"/>
        <v>2.63E-2</v>
      </c>
      <c r="I713" s="393">
        <f t="shared" si="191"/>
        <v>2.63E-2</v>
      </c>
      <c r="J713" s="393">
        <f t="shared" si="191"/>
        <v>2.63E-2</v>
      </c>
      <c r="K713" s="393">
        <f t="shared" si="191"/>
        <v>2.63E-2</v>
      </c>
      <c r="L713" s="393">
        <f t="shared" si="191"/>
        <v>2.63E-2</v>
      </c>
      <c r="M713" s="393">
        <f t="shared" si="191"/>
        <v>2.63E-2</v>
      </c>
      <c r="N713" s="393">
        <f t="shared" si="191"/>
        <v>2.63E-2</v>
      </c>
      <c r="O713" s="393">
        <f t="shared" si="191"/>
        <v>2.63E-2</v>
      </c>
      <c r="P713" s="393">
        <f t="shared" si="191"/>
        <v>2.63E-2</v>
      </c>
      <c r="Q713" s="393">
        <f t="shared" si="191"/>
        <v>2.63E-2</v>
      </c>
      <c r="R713" s="394"/>
    </row>
    <row r="714" spans="1:20" x14ac:dyDescent="0.2">
      <c r="C714" s="32" t="s">
        <v>1093</v>
      </c>
      <c r="D714" s="32">
        <v>87</v>
      </c>
      <c r="E714" s="32" t="s">
        <v>957</v>
      </c>
      <c r="F714" s="393">
        <f t="shared" si="191"/>
        <v>2.077E-2</v>
      </c>
      <c r="G714" s="393">
        <f t="shared" si="191"/>
        <v>2.077E-2</v>
      </c>
      <c r="H714" s="393">
        <f t="shared" si="191"/>
        <v>2.077E-2</v>
      </c>
      <c r="I714" s="393">
        <f t="shared" si="191"/>
        <v>2.077E-2</v>
      </c>
      <c r="J714" s="393">
        <f t="shared" si="191"/>
        <v>2.077E-2</v>
      </c>
      <c r="K714" s="393">
        <f t="shared" si="191"/>
        <v>2.077E-2</v>
      </c>
      <c r="L714" s="393">
        <f t="shared" si="191"/>
        <v>2.077E-2</v>
      </c>
      <c r="M714" s="393">
        <f t="shared" si="191"/>
        <v>2.077E-2</v>
      </c>
      <c r="N714" s="393">
        <f t="shared" si="191"/>
        <v>2.077E-2</v>
      </c>
      <c r="O714" s="393">
        <f t="shared" si="191"/>
        <v>2.077E-2</v>
      </c>
      <c r="P714" s="393">
        <f t="shared" si="191"/>
        <v>2.077E-2</v>
      </c>
      <c r="Q714" s="393">
        <f t="shared" si="191"/>
        <v>2.077E-2</v>
      </c>
      <c r="R714" s="394"/>
    </row>
    <row r="715" spans="1:20" x14ac:dyDescent="0.2">
      <c r="A715" s="336"/>
      <c r="B715" s="32" t="s">
        <v>1067</v>
      </c>
      <c r="D715" s="32">
        <v>101</v>
      </c>
      <c r="E715" s="32" t="s">
        <v>957</v>
      </c>
      <c r="F715" s="393">
        <f t="shared" si="191"/>
        <v>0.65951000000000004</v>
      </c>
      <c r="G715" s="393">
        <f t="shared" si="191"/>
        <v>0.65951000000000004</v>
      </c>
      <c r="H715" s="393">
        <f t="shared" si="191"/>
        <v>0.65951000000000004</v>
      </c>
      <c r="I715" s="393">
        <f t="shared" si="191"/>
        <v>0.65951000000000004</v>
      </c>
      <c r="J715" s="393">
        <f t="shared" si="191"/>
        <v>0.65951000000000004</v>
      </c>
      <c r="K715" s="393">
        <f t="shared" si="191"/>
        <v>0.65951000000000004</v>
      </c>
      <c r="L715" s="393">
        <f t="shared" si="191"/>
        <v>0.65951000000000004</v>
      </c>
      <c r="M715" s="393">
        <f t="shared" si="191"/>
        <v>0.65951000000000004</v>
      </c>
      <c r="N715" s="393">
        <f t="shared" si="191"/>
        <v>0.65951000000000004</v>
      </c>
      <c r="O715" s="393">
        <f t="shared" si="191"/>
        <v>0.65951000000000004</v>
      </c>
      <c r="P715" s="393">
        <f t="shared" si="191"/>
        <v>0.65951000000000004</v>
      </c>
      <c r="Q715" s="393">
        <f t="shared" si="191"/>
        <v>0.65951000000000004</v>
      </c>
      <c r="R715" s="394"/>
    </row>
    <row r="716" spans="1:20" x14ac:dyDescent="0.2">
      <c r="B716" s="32" t="s">
        <v>1096</v>
      </c>
      <c r="D716" s="444">
        <v>87</v>
      </c>
      <c r="E716" s="32" t="s">
        <v>957</v>
      </c>
      <c r="F716" s="393">
        <f t="shared" si="191"/>
        <v>5.0699999999999999E-3</v>
      </c>
      <c r="G716" s="393">
        <f t="shared" si="191"/>
        <v>5.0699999999999999E-3</v>
      </c>
      <c r="H716" s="393">
        <f t="shared" si="191"/>
        <v>5.0699999999999999E-3</v>
      </c>
      <c r="I716" s="393">
        <f t="shared" si="191"/>
        <v>5.0699999999999999E-3</v>
      </c>
      <c r="J716" s="393">
        <f t="shared" si="191"/>
        <v>5.0699999999999999E-3</v>
      </c>
      <c r="K716" s="393">
        <f t="shared" si="191"/>
        <v>5.0699999999999999E-3</v>
      </c>
      <c r="L716" s="393">
        <f t="shared" si="191"/>
        <v>5.0699999999999999E-3</v>
      </c>
      <c r="M716" s="393">
        <f t="shared" si="191"/>
        <v>5.0699999999999999E-3</v>
      </c>
      <c r="N716" s="393">
        <f t="shared" si="191"/>
        <v>5.0699999999999999E-3</v>
      </c>
      <c r="O716" s="393">
        <f t="shared" si="191"/>
        <v>5.0699999999999999E-3</v>
      </c>
      <c r="P716" s="393">
        <f t="shared" si="191"/>
        <v>5.0699999999999999E-3</v>
      </c>
      <c r="Q716" s="393">
        <f t="shared" si="191"/>
        <v>5.0699999999999999E-3</v>
      </c>
      <c r="R716" s="394"/>
    </row>
    <row r="717" spans="1:20" x14ac:dyDescent="0.2">
      <c r="B717" s="32" t="s">
        <v>1068</v>
      </c>
      <c r="F717" s="394"/>
      <c r="G717" s="394"/>
      <c r="H717" s="394"/>
      <c r="I717" s="394"/>
      <c r="J717" s="394"/>
      <c r="K717" s="394"/>
      <c r="L717" s="394"/>
      <c r="M717" s="394"/>
      <c r="N717" s="394"/>
      <c r="O717" s="394"/>
      <c r="P717" s="394"/>
      <c r="Q717" s="394"/>
      <c r="R717" s="394"/>
    </row>
    <row r="718" spans="1:20" x14ac:dyDescent="0.2">
      <c r="C718" s="32" t="s">
        <v>1069</v>
      </c>
      <c r="D718" s="32">
        <v>87</v>
      </c>
      <c r="E718" s="32" t="s">
        <v>957</v>
      </c>
      <c r="F718" s="454">
        <f t="shared" ref="F718:Q719" si="192">F359</f>
        <v>1.1100000000000001</v>
      </c>
      <c r="G718" s="454">
        <f t="shared" si="192"/>
        <v>1.1100000000000001</v>
      </c>
      <c r="H718" s="454">
        <f t="shared" si="192"/>
        <v>1.1100000000000001</v>
      </c>
      <c r="I718" s="454">
        <f t="shared" si="192"/>
        <v>1.1100000000000001</v>
      </c>
      <c r="J718" s="454">
        <f t="shared" si="192"/>
        <v>1.1100000000000001</v>
      </c>
      <c r="K718" s="454">
        <f t="shared" si="192"/>
        <v>1.1100000000000001</v>
      </c>
      <c r="L718" s="454">
        <f t="shared" si="192"/>
        <v>1.1100000000000001</v>
      </c>
      <c r="M718" s="454">
        <f t="shared" si="192"/>
        <v>1.1100000000000001</v>
      </c>
      <c r="N718" s="454">
        <f t="shared" si="192"/>
        <v>1.1100000000000001</v>
      </c>
      <c r="O718" s="454">
        <f t="shared" si="192"/>
        <v>1.1100000000000001</v>
      </c>
      <c r="P718" s="454">
        <f t="shared" si="192"/>
        <v>1.1100000000000001</v>
      </c>
      <c r="Q718" s="454">
        <f t="shared" si="192"/>
        <v>1.1100000000000001</v>
      </c>
      <c r="R718" s="394"/>
    </row>
    <row r="719" spans="1:20" x14ac:dyDescent="0.2">
      <c r="A719" s="336"/>
      <c r="C719" s="32" t="s">
        <v>1070</v>
      </c>
      <c r="D719" s="32">
        <v>101</v>
      </c>
      <c r="E719" s="32" t="s">
        <v>957</v>
      </c>
      <c r="F719" s="413">
        <f t="shared" si="192"/>
        <v>1.05</v>
      </c>
      <c r="G719" s="413">
        <f t="shared" si="192"/>
        <v>1.05</v>
      </c>
      <c r="H719" s="413">
        <f t="shared" si="192"/>
        <v>1.05</v>
      </c>
      <c r="I719" s="413">
        <f t="shared" si="192"/>
        <v>1.05</v>
      </c>
      <c r="J719" s="413">
        <f t="shared" si="192"/>
        <v>1.05</v>
      </c>
      <c r="K719" s="413">
        <f t="shared" si="192"/>
        <v>1.05</v>
      </c>
      <c r="L719" s="413">
        <f t="shared" si="192"/>
        <v>1.05</v>
      </c>
      <c r="M719" s="413">
        <f t="shared" si="192"/>
        <v>1.05</v>
      </c>
      <c r="N719" s="413">
        <f t="shared" si="192"/>
        <v>1.05</v>
      </c>
      <c r="O719" s="413">
        <f t="shared" si="192"/>
        <v>1.05</v>
      </c>
      <c r="P719" s="413">
        <f t="shared" si="192"/>
        <v>1.05</v>
      </c>
      <c r="Q719" s="413">
        <f t="shared" si="192"/>
        <v>1.05</v>
      </c>
      <c r="R719" s="394"/>
    </row>
    <row r="720" spans="1:20" s="336" customFormat="1" x14ac:dyDescent="0.2">
      <c r="B720" s="336" t="s">
        <v>1071</v>
      </c>
      <c r="D720" s="336">
        <v>87</v>
      </c>
      <c r="E720" s="336" t="s">
        <v>67</v>
      </c>
      <c r="F720" s="450"/>
      <c r="G720" s="450"/>
      <c r="H720" s="442"/>
      <c r="I720" s="450"/>
      <c r="J720" s="450"/>
      <c r="K720" s="450"/>
      <c r="L720" s="450"/>
      <c r="M720" s="450"/>
      <c r="N720" s="450"/>
      <c r="O720" s="450"/>
      <c r="P720" s="450"/>
      <c r="Q720" s="450"/>
      <c r="R720" s="441"/>
      <c r="S720" s="335"/>
      <c r="T720" s="415"/>
    </row>
    <row r="721" spans="2:20" s="336" customFormat="1" x14ac:dyDescent="0.2">
      <c r="B721" s="336" t="s">
        <v>1050</v>
      </c>
      <c r="F721" s="393">
        <f>F362</f>
        <v>0.63099000000000005</v>
      </c>
      <c r="G721" s="393">
        <f t="shared" ref="G721:Q722" si="193">G362</f>
        <v>0.63099000000000005</v>
      </c>
      <c r="H721" s="393">
        <f t="shared" si="193"/>
        <v>0.63099000000000005</v>
      </c>
      <c r="I721" s="393">
        <f t="shared" si="193"/>
        <v>0.63099000000000005</v>
      </c>
      <c r="J721" s="393">
        <f t="shared" si="193"/>
        <v>0.63099000000000005</v>
      </c>
      <c r="K721" s="393">
        <f t="shared" si="193"/>
        <v>0.63099000000000005</v>
      </c>
      <c r="L721" s="393">
        <f t="shared" si="193"/>
        <v>0.63099000000000005</v>
      </c>
      <c r="M721" s="393">
        <f t="shared" si="193"/>
        <v>0.63099000000000005</v>
      </c>
      <c r="N721" s="393">
        <f t="shared" si="193"/>
        <v>0.63099000000000005</v>
      </c>
      <c r="O721" s="393">
        <f t="shared" si="193"/>
        <v>0.63099000000000005</v>
      </c>
      <c r="P721" s="393">
        <f t="shared" si="193"/>
        <v>0.63099000000000005</v>
      </c>
      <c r="Q721" s="393">
        <f t="shared" si="193"/>
        <v>0.63099000000000005</v>
      </c>
      <c r="R721" s="441"/>
      <c r="S721" s="335"/>
      <c r="T721" s="415"/>
    </row>
    <row r="722" spans="2:20" s="336" customFormat="1" x14ac:dyDescent="0.2">
      <c r="B722" s="336" t="s">
        <v>1072</v>
      </c>
      <c r="F722" s="502">
        <f>F363</f>
        <v>1</v>
      </c>
      <c r="G722" s="502">
        <f t="shared" si="193"/>
        <v>1</v>
      </c>
      <c r="H722" s="502">
        <f t="shared" si="193"/>
        <v>1</v>
      </c>
      <c r="I722" s="502">
        <f t="shared" si="193"/>
        <v>1</v>
      </c>
      <c r="J722" s="502">
        <f t="shared" si="193"/>
        <v>1</v>
      </c>
      <c r="K722" s="502">
        <f t="shared" si="193"/>
        <v>1</v>
      </c>
      <c r="L722" s="502">
        <f t="shared" si="193"/>
        <v>1</v>
      </c>
      <c r="M722" s="502">
        <f t="shared" si="193"/>
        <v>1</v>
      </c>
      <c r="N722" s="502">
        <f t="shared" si="193"/>
        <v>1</v>
      </c>
      <c r="O722" s="502">
        <f t="shared" si="193"/>
        <v>1</v>
      </c>
      <c r="P722" s="502">
        <f t="shared" si="193"/>
        <v>1</v>
      </c>
      <c r="Q722" s="502">
        <f t="shared" si="193"/>
        <v>1</v>
      </c>
      <c r="R722" s="441"/>
      <c r="S722" s="335"/>
      <c r="T722" s="415"/>
    </row>
    <row r="723" spans="2:20" s="336" customFormat="1" x14ac:dyDescent="0.2">
      <c r="S723" s="335"/>
      <c r="T723" s="415"/>
    </row>
    <row r="724" spans="2:20" s="336" customFormat="1" x14ac:dyDescent="0.2">
      <c r="B724" s="182" t="s">
        <v>982</v>
      </c>
      <c r="S724" s="335"/>
      <c r="T724" s="415"/>
    </row>
    <row r="725" spans="2:20" s="336" customFormat="1" x14ac:dyDescent="0.2">
      <c r="B725" s="336" t="s">
        <v>67</v>
      </c>
      <c r="E725" s="336" t="s">
        <v>67</v>
      </c>
      <c r="F725" s="421">
        <f>'JKP-3.1c - Data'!C154</f>
        <v>1</v>
      </c>
      <c r="G725" s="421">
        <f>'JKP-3.1c - Data'!D154</f>
        <v>1</v>
      </c>
      <c r="H725" s="421">
        <f>'JKP-3.1c - Data'!E154</f>
        <v>2</v>
      </c>
      <c r="I725" s="421">
        <f>'JKP-3.1c - Data'!F154</f>
        <v>0</v>
      </c>
      <c r="J725" s="421">
        <f>'JKP-3.1c - Data'!G154</f>
        <v>1</v>
      </c>
      <c r="K725" s="421">
        <f>'JKP-3.1c - Data'!H154</f>
        <v>2</v>
      </c>
      <c r="L725" s="421">
        <f>'JKP-3.1c - Data'!I154</f>
        <v>1</v>
      </c>
      <c r="M725" s="421">
        <f>'JKP-3.1c - Data'!J154</f>
        <v>0</v>
      </c>
      <c r="N725" s="421">
        <f>'JKP-3.1c - Data'!K154</f>
        <v>2</v>
      </c>
      <c r="O725" s="421">
        <f>'JKP-3.1c - Data'!L154</f>
        <v>1</v>
      </c>
      <c r="P725" s="421">
        <f>'JKP-3.1c - Data'!M154</f>
        <v>0</v>
      </c>
      <c r="Q725" s="421">
        <f>'JKP-3.1c - Data'!N154</f>
        <v>1</v>
      </c>
      <c r="R725" s="378">
        <f>SUM(F725:Q725)</f>
        <v>12</v>
      </c>
      <c r="S725" s="335"/>
      <c r="T725" s="415"/>
    </row>
    <row r="726" spans="2:20" s="336" customFormat="1" x14ac:dyDescent="0.2">
      <c r="B726" s="336" t="s">
        <v>76</v>
      </c>
      <c r="F726" s="380"/>
      <c r="G726" s="380"/>
      <c r="H726" s="380"/>
      <c r="I726" s="380"/>
      <c r="J726" s="380"/>
      <c r="K726" s="380"/>
      <c r="L726" s="380"/>
      <c r="M726" s="380"/>
      <c r="N726" s="380"/>
      <c r="O726" s="380"/>
      <c r="P726" s="380"/>
      <c r="Q726" s="380"/>
      <c r="R726" s="378"/>
      <c r="S726" s="335"/>
      <c r="T726" s="415"/>
    </row>
    <row r="727" spans="2:20" s="336" customFormat="1" x14ac:dyDescent="0.2">
      <c r="C727" s="336" t="s">
        <v>1086</v>
      </c>
      <c r="E727" s="336" t="s">
        <v>10</v>
      </c>
      <c r="F727" s="421">
        <f>'JKP-3.1c - Rev Actual Rates'!F738</f>
        <v>25000</v>
      </c>
      <c r="G727" s="421">
        <f>'JKP-3.1c - Rev Actual Rates'!G738</f>
        <v>25000</v>
      </c>
      <c r="H727" s="421">
        <f>'JKP-3.1c - Rev Actual Rates'!H738</f>
        <v>25000</v>
      </c>
      <c r="I727" s="421">
        <f>'JKP-3.1c - Rev Actual Rates'!I738</f>
        <v>25000</v>
      </c>
      <c r="J727" s="421">
        <f>'JKP-3.1c - Rev Actual Rates'!J738</f>
        <v>25000</v>
      </c>
      <c r="K727" s="421">
        <f>'JKP-3.1c - Rev Actual Rates'!K738</f>
        <v>25000</v>
      </c>
      <c r="L727" s="421">
        <f>'JKP-3.1c - Rev Actual Rates'!L738</f>
        <v>25000</v>
      </c>
      <c r="M727" s="421">
        <f>'JKP-3.1c - Rev Actual Rates'!M738</f>
        <v>25000</v>
      </c>
      <c r="N727" s="421">
        <f>'JKP-3.1c - Rev Actual Rates'!N738</f>
        <v>25000</v>
      </c>
      <c r="O727" s="421">
        <f>'JKP-3.1c - Rev Actual Rates'!O738</f>
        <v>25000</v>
      </c>
      <c r="P727" s="421">
        <f>'JKP-3.1c - Rev Actual Rates'!P738</f>
        <v>25000</v>
      </c>
      <c r="Q727" s="421">
        <f>'JKP-3.1c - Rev Actual Rates'!Q738</f>
        <v>25000</v>
      </c>
      <c r="R727" s="378">
        <f t="shared" ref="R727:R732" si="194">SUM(F727:Q727)</f>
        <v>300000</v>
      </c>
      <c r="S727" s="335"/>
      <c r="T727" s="415"/>
    </row>
    <row r="728" spans="2:20" s="336" customFormat="1" x14ac:dyDescent="0.2">
      <c r="C728" s="336" t="s">
        <v>1087</v>
      </c>
      <c r="E728" s="336" t="s">
        <v>10</v>
      </c>
      <c r="F728" s="421">
        <f>'JKP-3.1c - Rev Actual Rates'!F739</f>
        <v>25000</v>
      </c>
      <c r="G728" s="421">
        <f>'JKP-3.1c - Rev Actual Rates'!G739</f>
        <v>25000</v>
      </c>
      <c r="H728" s="421">
        <f>'JKP-3.1c - Rev Actual Rates'!H739</f>
        <v>25000</v>
      </c>
      <c r="I728" s="421">
        <f>'JKP-3.1c - Rev Actual Rates'!I739</f>
        <v>25000</v>
      </c>
      <c r="J728" s="421">
        <f>'JKP-3.1c - Rev Actual Rates'!J739</f>
        <v>25000</v>
      </c>
      <c r="K728" s="421">
        <f>'JKP-3.1c - Rev Actual Rates'!K739</f>
        <v>25000</v>
      </c>
      <c r="L728" s="421">
        <f>'JKP-3.1c - Rev Actual Rates'!L739</f>
        <v>25000</v>
      </c>
      <c r="M728" s="421">
        <f>'JKP-3.1c - Rev Actual Rates'!M739</f>
        <v>25000</v>
      </c>
      <c r="N728" s="421">
        <f>'JKP-3.1c - Rev Actual Rates'!N739</f>
        <v>25000</v>
      </c>
      <c r="O728" s="421">
        <f>'JKP-3.1c - Rev Actual Rates'!O739</f>
        <v>25000</v>
      </c>
      <c r="P728" s="421">
        <f>'JKP-3.1c - Rev Actual Rates'!P739</f>
        <v>25000</v>
      </c>
      <c r="Q728" s="421">
        <f>'JKP-3.1c - Rev Actual Rates'!Q739</f>
        <v>25000</v>
      </c>
      <c r="R728" s="378">
        <f t="shared" si="194"/>
        <v>300000</v>
      </c>
      <c r="S728" s="335"/>
      <c r="T728" s="415"/>
    </row>
    <row r="729" spans="2:20" s="336" customFormat="1" x14ac:dyDescent="0.2">
      <c r="C729" s="336" t="s">
        <v>1090</v>
      </c>
      <c r="E729" s="336" t="s">
        <v>10</v>
      </c>
      <c r="F729" s="421">
        <f>'JKP-3.1c - Rev Actual Rates'!F740</f>
        <v>33770</v>
      </c>
      <c r="G729" s="421">
        <f>'JKP-3.1c - Rev Actual Rates'!G740</f>
        <v>50000</v>
      </c>
      <c r="H729" s="421">
        <f>'JKP-3.1c - Rev Actual Rates'!H740</f>
        <v>50000</v>
      </c>
      <c r="I729" s="421">
        <f>'JKP-3.1c - Rev Actual Rates'!I740</f>
        <v>50000</v>
      </c>
      <c r="J729" s="421">
        <f>'JKP-3.1c - Rev Actual Rates'!J740</f>
        <v>50000</v>
      </c>
      <c r="K729" s="421">
        <f>'JKP-3.1c - Rev Actual Rates'!K740</f>
        <v>50000</v>
      </c>
      <c r="L729" s="421">
        <f>'JKP-3.1c - Rev Actual Rates'!L740</f>
        <v>50000</v>
      </c>
      <c r="M729" s="421">
        <f>'JKP-3.1c - Rev Actual Rates'!M740</f>
        <v>50000</v>
      </c>
      <c r="N729" s="421">
        <f>'JKP-3.1c - Rev Actual Rates'!N740</f>
        <v>50000</v>
      </c>
      <c r="O729" s="421">
        <f>'JKP-3.1c - Rev Actual Rates'!O740</f>
        <v>50000</v>
      </c>
      <c r="P729" s="421">
        <f>'JKP-3.1c - Rev Actual Rates'!P740</f>
        <v>50000</v>
      </c>
      <c r="Q729" s="421">
        <f>'JKP-3.1c - Rev Actual Rates'!Q740</f>
        <v>50000</v>
      </c>
      <c r="R729" s="378">
        <f t="shared" si="194"/>
        <v>583770</v>
      </c>
      <c r="S729" s="335"/>
      <c r="T729" s="415"/>
    </row>
    <row r="730" spans="2:20" s="336" customFormat="1" x14ac:dyDescent="0.2">
      <c r="C730" s="336" t="s">
        <v>1091</v>
      </c>
      <c r="E730" s="336" t="s">
        <v>10</v>
      </c>
      <c r="F730" s="421">
        <f>'JKP-3.1c - Rev Actual Rates'!F741</f>
        <v>0</v>
      </c>
      <c r="G730" s="421">
        <f>'JKP-3.1c - Rev Actual Rates'!G741</f>
        <v>15393</v>
      </c>
      <c r="H730" s="421">
        <f>'JKP-3.1c - Rev Actual Rates'!H741</f>
        <v>18389</v>
      </c>
      <c r="I730" s="421">
        <f>'JKP-3.1c - Rev Actual Rates'!I741</f>
        <v>48227</v>
      </c>
      <c r="J730" s="421">
        <f>'JKP-3.1c - Rev Actual Rates'!J741</f>
        <v>72767</v>
      </c>
      <c r="K730" s="421">
        <f>'JKP-3.1c - Rev Actual Rates'!K741</f>
        <v>30945</v>
      </c>
      <c r="L730" s="421">
        <f>'JKP-3.1c - Rev Actual Rates'!L741</f>
        <v>5034</v>
      </c>
      <c r="M730" s="421">
        <f>'JKP-3.1c - Rev Actual Rates'!M741</f>
        <v>53481</v>
      </c>
      <c r="N730" s="421">
        <f>'JKP-3.1c - Rev Actual Rates'!N741</f>
        <v>100000</v>
      </c>
      <c r="O730" s="421">
        <f>'JKP-3.1c - Rev Actual Rates'!O741</f>
        <v>100000</v>
      </c>
      <c r="P730" s="421">
        <f>'JKP-3.1c - Rev Actual Rates'!P741</f>
        <v>100000</v>
      </c>
      <c r="Q730" s="421">
        <f>'JKP-3.1c - Rev Actual Rates'!Q741</f>
        <v>36423</v>
      </c>
      <c r="R730" s="378">
        <f t="shared" si="194"/>
        <v>580659</v>
      </c>
      <c r="S730" s="335"/>
      <c r="T730" s="415"/>
    </row>
    <row r="731" spans="2:20" s="336" customFormat="1" x14ac:dyDescent="0.2">
      <c r="C731" s="336" t="s">
        <v>1092</v>
      </c>
      <c r="E731" s="336" t="s">
        <v>10</v>
      </c>
      <c r="F731" s="421">
        <f>'JKP-3.1c - Rev Actual Rates'!F742</f>
        <v>0</v>
      </c>
      <c r="G731" s="421">
        <f>'JKP-3.1c - Rev Actual Rates'!G742</f>
        <v>0</v>
      </c>
      <c r="H731" s="421">
        <f>'JKP-3.1c - Rev Actual Rates'!H742</f>
        <v>0</v>
      </c>
      <c r="I731" s="421">
        <f>'JKP-3.1c - Rev Actual Rates'!I742</f>
        <v>0</v>
      </c>
      <c r="J731" s="421">
        <f>'JKP-3.1c - Rev Actual Rates'!J742</f>
        <v>0</v>
      </c>
      <c r="K731" s="421">
        <f>'JKP-3.1c - Rev Actual Rates'!K742</f>
        <v>0</v>
      </c>
      <c r="L731" s="421">
        <f>'JKP-3.1c - Rev Actual Rates'!L742</f>
        <v>0</v>
      </c>
      <c r="M731" s="421">
        <f>'JKP-3.1c - Rev Actual Rates'!M742</f>
        <v>0</v>
      </c>
      <c r="N731" s="421">
        <f>'JKP-3.1c - Rev Actual Rates'!N742</f>
        <v>237</v>
      </c>
      <c r="O731" s="421">
        <f>'JKP-3.1c - Rev Actual Rates'!O742</f>
        <v>22364</v>
      </c>
      <c r="P731" s="421">
        <f>'JKP-3.1c - Rev Actual Rates'!P742</f>
        <v>2008</v>
      </c>
      <c r="Q731" s="421">
        <f>'JKP-3.1c - Rev Actual Rates'!Q742</f>
        <v>0</v>
      </c>
      <c r="R731" s="378">
        <f t="shared" si="194"/>
        <v>24609</v>
      </c>
      <c r="S731" s="335"/>
      <c r="T731" s="415"/>
    </row>
    <row r="732" spans="2:20" s="336" customFormat="1" x14ac:dyDescent="0.2">
      <c r="C732" s="336" t="s">
        <v>1093</v>
      </c>
      <c r="E732" s="336" t="s">
        <v>10</v>
      </c>
      <c r="F732" s="421">
        <f>'JKP-3.1c - Rev Actual Rates'!F743</f>
        <v>0</v>
      </c>
      <c r="G732" s="421">
        <f>'JKP-3.1c - Rev Actual Rates'!G743</f>
        <v>0</v>
      </c>
      <c r="H732" s="421">
        <f>'JKP-3.1c - Rev Actual Rates'!H743</f>
        <v>0</v>
      </c>
      <c r="I732" s="421">
        <f>'JKP-3.1c - Rev Actual Rates'!I743</f>
        <v>0</v>
      </c>
      <c r="J732" s="421">
        <f>'JKP-3.1c - Rev Actual Rates'!J743</f>
        <v>0</v>
      </c>
      <c r="K732" s="421">
        <f>'JKP-3.1c - Rev Actual Rates'!K743</f>
        <v>0</v>
      </c>
      <c r="L732" s="421">
        <f>'JKP-3.1c - Rev Actual Rates'!L743</f>
        <v>0</v>
      </c>
      <c r="M732" s="421">
        <f>'JKP-3.1c - Rev Actual Rates'!M743</f>
        <v>0</v>
      </c>
      <c r="N732" s="421">
        <f>'JKP-3.1c - Rev Actual Rates'!N743</f>
        <v>0</v>
      </c>
      <c r="O732" s="421">
        <f>'JKP-3.1c - Rev Actual Rates'!O743</f>
        <v>0</v>
      </c>
      <c r="P732" s="421">
        <f>'JKP-3.1c - Rev Actual Rates'!P743</f>
        <v>0</v>
      </c>
      <c r="Q732" s="421">
        <f>'JKP-3.1c - Rev Actual Rates'!Q743</f>
        <v>0</v>
      </c>
      <c r="R732" s="378">
        <f t="shared" si="194"/>
        <v>0</v>
      </c>
      <c r="S732" s="335"/>
      <c r="T732" s="415"/>
    </row>
    <row r="733" spans="2:20" s="336" customFormat="1" x14ac:dyDescent="0.2">
      <c r="C733" s="336" t="s">
        <v>1075</v>
      </c>
      <c r="E733" s="336" t="s">
        <v>10</v>
      </c>
      <c r="F733" s="436">
        <f t="shared" ref="F733:N733" si="195">SUM(F727:F732)</f>
        <v>83770</v>
      </c>
      <c r="G733" s="436">
        <f t="shared" si="195"/>
        <v>115393</v>
      </c>
      <c r="H733" s="436">
        <f t="shared" si="195"/>
        <v>118389</v>
      </c>
      <c r="I733" s="436">
        <f t="shared" si="195"/>
        <v>148227</v>
      </c>
      <c r="J733" s="436">
        <f t="shared" si="195"/>
        <v>172767</v>
      </c>
      <c r="K733" s="436">
        <f t="shared" si="195"/>
        <v>130945</v>
      </c>
      <c r="L733" s="436">
        <f t="shared" si="195"/>
        <v>105034</v>
      </c>
      <c r="M733" s="436">
        <f t="shared" si="195"/>
        <v>153481</v>
      </c>
      <c r="N733" s="436">
        <f t="shared" si="195"/>
        <v>200237</v>
      </c>
      <c r="O733" s="436">
        <f>SUM(O727:O732)</f>
        <v>222364</v>
      </c>
      <c r="P733" s="436">
        <f>SUM(P727:P732)</f>
        <v>202008</v>
      </c>
      <c r="Q733" s="436">
        <f>SUM(Q727:Q732)</f>
        <v>136423</v>
      </c>
      <c r="R733" s="436">
        <f>SUM(R727:R732)</f>
        <v>1789038</v>
      </c>
      <c r="S733" s="335"/>
      <c r="T733" s="415"/>
    </row>
    <row r="734" spans="2:20" s="336" customFormat="1" x14ac:dyDescent="0.2">
      <c r="B734" s="336" t="s">
        <v>74</v>
      </c>
      <c r="E734" s="336" t="s">
        <v>1076</v>
      </c>
      <c r="F734" s="421">
        <f>'JKP-3.1c - Rev Actual Rates'!F745</f>
        <v>0</v>
      </c>
      <c r="G734" s="421">
        <f>'JKP-3.1c - Rev Actual Rates'!G745</f>
        <v>0</v>
      </c>
      <c r="H734" s="421">
        <f>'JKP-3.1c - Rev Actual Rates'!H745</f>
        <v>0</v>
      </c>
      <c r="I734" s="421">
        <f>'JKP-3.1c - Rev Actual Rates'!I745</f>
        <v>0</v>
      </c>
      <c r="J734" s="421">
        <f>'JKP-3.1c - Rev Actual Rates'!J745</f>
        <v>0</v>
      </c>
      <c r="K734" s="421">
        <f>'JKP-3.1c - Rev Actual Rates'!K745</f>
        <v>0</v>
      </c>
      <c r="L734" s="421">
        <f>'JKP-3.1c - Rev Actual Rates'!L745</f>
        <v>0</v>
      </c>
      <c r="M734" s="421">
        <f>'JKP-3.1c - Rev Actual Rates'!M745</f>
        <v>0</v>
      </c>
      <c r="N734" s="421">
        <f>'JKP-3.1c - Rev Actual Rates'!N745</f>
        <v>0</v>
      </c>
      <c r="O734" s="421">
        <f>'JKP-3.1c - Rev Actual Rates'!O745</f>
        <v>0</v>
      </c>
      <c r="P734" s="421">
        <f>'JKP-3.1c - Rev Actual Rates'!P745</f>
        <v>0</v>
      </c>
      <c r="Q734" s="421">
        <f>'JKP-3.1c - Rev Actual Rates'!Q745</f>
        <v>0</v>
      </c>
      <c r="R734" s="378">
        <f>SUM(F734:Q734)</f>
        <v>0</v>
      </c>
      <c r="S734" s="335"/>
      <c r="T734" s="415"/>
    </row>
    <row r="735" spans="2:20" s="336" customFormat="1" x14ac:dyDescent="0.2">
      <c r="B735" s="336" t="s">
        <v>1071</v>
      </c>
      <c r="F735" s="380"/>
      <c r="G735" s="380"/>
      <c r="H735" s="380"/>
      <c r="I735" s="380"/>
      <c r="J735" s="380"/>
      <c r="K735" s="380"/>
      <c r="L735" s="380"/>
      <c r="M735" s="380"/>
      <c r="N735" s="380"/>
      <c r="O735" s="380"/>
      <c r="P735" s="380"/>
      <c r="Q735" s="380"/>
      <c r="R735" s="378"/>
      <c r="S735" s="335"/>
      <c r="T735" s="415"/>
    </row>
    <row r="736" spans="2:20" s="336" customFormat="1" x14ac:dyDescent="0.2">
      <c r="R736" s="179"/>
      <c r="S736" s="335"/>
      <c r="T736" s="415"/>
    </row>
    <row r="737" spans="1:20" s="336" customFormat="1" x14ac:dyDescent="0.2">
      <c r="B737" s="182" t="s">
        <v>985</v>
      </c>
      <c r="R737" s="179"/>
      <c r="S737" s="335"/>
      <c r="T737" s="415"/>
    </row>
    <row r="738" spans="1:20" s="336" customFormat="1" x14ac:dyDescent="0.2">
      <c r="A738" s="336" t="s">
        <v>1054</v>
      </c>
      <c r="B738" s="336" t="s">
        <v>1059</v>
      </c>
      <c r="D738" s="336">
        <v>87</v>
      </c>
      <c r="F738" s="418">
        <f t="shared" ref="F738:N738" si="196">F707*F725</f>
        <v>544.91</v>
      </c>
      <c r="G738" s="418">
        <f t="shared" si="196"/>
        <v>544.91</v>
      </c>
      <c r="H738" s="418">
        <f t="shared" si="196"/>
        <v>1089.82</v>
      </c>
      <c r="I738" s="418">
        <f t="shared" si="196"/>
        <v>0</v>
      </c>
      <c r="J738" s="418">
        <f t="shared" si="196"/>
        <v>544.91</v>
      </c>
      <c r="K738" s="418">
        <f t="shared" si="196"/>
        <v>1089.82</v>
      </c>
      <c r="L738" s="418">
        <f t="shared" si="196"/>
        <v>544.91</v>
      </c>
      <c r="M738" s="418">
        <f t="shared" si="196"/>
        <v>0</v>
      </c>
      <c r="N738" s="418">
        <f t="shared" si="196"/>
        <v>1089.82</v>
      </c>
      <c r="O738" s="418">
        <f>O707*O725</f>
        <v>544.91</v>
      </c>
      <c r="P738" s="418">
        <f>P707*P725</f>
        <v>0</v>
      </c>
      <c r="Q738" s="418">
        <f>Q707*Q725</f>
        <v>544.91</v>
      </c>
      <c r="R738" s="437">
        <f>SUM(F738:Q738)</f>
        <v>6538.9199999999992</v>
      </c>
      <c r="S738" s="335"/>
      <c r="T738" s="415"/>
    </row>
    <row r="739" spans="1:20" s="336" customFormat="1" x14ac:dyDescent="0.2">
      <c r="B739" s="336" t="s">
        <v>1047</v>
      </c>
      <c r="F739" s="418"/>
      <c r="G739" s="418"/>
      <c r="H739" s="418"/>
      <c r="I739" s="418"/>
      <c r="J739" s="418"/>
      <c r="K739" s="418"/>
      <c r="L739" s="418"/>
      <c r="M739" s="418"/>
      <c r="N739" s="418"/>
      <c r="O739" s="418"/>
      <c r="P739" s="418"/>
      <c r="Q739" s="418"/>
      <c r="R739" s="437"/>
      <c r="S739" s="335"/>
      <c r="T739" s="415"/>
    </row>
    <row r="740" spans="1:20" x14ac:dyDescent="0.2">
      <c r="C740" s="32" t="s">
        <v>1086</v>
      </c>
      <c r="D740" s="32">
        <v>87</v>
      </c>
      <c r="F740" s="364">
        <f t="shared" ref="F740:Q745" si="197">F709*F727</f>
        <v>3453.75</v>
      </c>
      <c r="G740" s="364">
        <f t="shared" si="197"/>
        <v>3453.75</v>
      </c>
      <c r="H740" s="364">
        <f t="shared" si="197"/>
        <v>3453.75</v>
      </c>
      <c r="I740" s="364">
        <f t="shared" si="197"/>
        <v>3453.75</v>
      </c>
      <c r="J740" s="364">
        <f t="shared" si="197"/>
        <v>3453.75</v>
      </c>
      <c r="K740" s="364">
        <f t="shared" si="197"/>
        <v>3453.75</v>
      </c>
      <c r="L740" s="364">
        <f t="shared" si="197"/>
        <v>3453.75</v>
      </c>
      <c r="M740" s="364">
        <f t="shared" si="197"/>
        <v>3453.75</v>
      </c>
      <c r="N740" s="364">
        <f t="shared" si="197"/>
        <v>3453.75</v>
      </c>
      <c r="O740" s="364">
        <f t="shared" si="197"/>
        <v>3453.75</v>
      </c>
      <c r="P740" s="364">
        <f t="shared" si="197"/>
        <v>3453.75</v>
      </c>
      <c r="Q740" s="364">
        <f t="shared" si="197"/>
        <v>3453.75</v>
      </c>
      <c r="R740" s="341">
        <f t="shared" ref="R740:R745" si="198">SUM(F740:Q740)</f>
        <v>41445</v>
      </c>
    </row>
    <row r="741" spans="1:20" x14ac:dyDescent="0.2">
      <c r="C741" s="32" t="s">
        <v>1087</v>
      </c>
      <c r="D741" s="32">
        <v>87</v>
      </c>
      <c r="F741" s="364">
        <f t="shared" si="197"/>
        <v>2108.75</v>
      </c>
      <c r="G741" s="364">
        <f t="shared" si="197"/>
        <v>2108.75</v>
      </c>
      <c r="H741" s="364">
        <f t="shared" si="197"/>
        <v>2108.75</v>
      </c>
      <c r="I741" s="364">
        <f t="shared" si="197"/>
        <v>2108.75</v>
      </c>
      <c r="J741" s="364">
        <f t="shared" si="197"/>
        <v>2108.75</v>
      </c>
      <c r="K741" s="364">
        <f t="shared" si="197"/>
        <v>2108.75</v>
      </c>
      <c r="L741" s="364">
        <f t="shared" si="197"/>
        <v>2108.75</v>
      </c>
      <c r="M741" s="364">
        <f t="shared" si="197"/>
        <v>2108.75</v>
      </c>
      <c r="N741" s="364">
        <f t="shared" si="197"/>
        <v>2108.75</v>
      </c>
      <c r="O741" s="364">
        <f t="shared" si="197"/>
        <v>2108.75</v>
      </c>
      <c r="P741" s="364">
        <f t="shared" si="197"/>
        <v>2108.75</v>
      </c>
      <c r="Q741" s="364">
        <f t="shared" si="197"/>
        <v>2108.75</v>
      </c>
      <c r="R741" s="341">
        <f t="shared" si="198"/>
        <v>25305</v>
      </c>
    </row>
    <row r="742" spans="1:20" x14ac:dyDescent="0.2">
      <c r="C742" s="32" t="s">
        <v>1090</v>
      </c>
      <c r="D742" s="32">
        <v>87</v>
      </c>
      <c r="F742" s="364">
        <f t="shared" si="197"/>
        <v>1839.1142</v>
      </c>
      <c r="G742" s="364">
        <f t="shared" si="197"/>
        <v>2723</v>
      </c>
      <c r="H742" s="364">
        <f t="shared" si="197"/>
        <v>2723</v>
      </c>
      <c r="I742" s="364">
        <f t="shared" si="197"/>
        <v>2723</v>
      </c>
      <c r="J742" s="364">
        <f t="shared" si="197"/>
        <v>2723</v>
      </c>
      <c r="K742" s="364">
        <f t="shared" si="197"/>
        <v>2723</v>
      </c>
      <c r="L742" s="364">
        <f t="shared" si="197"/>
        <v>2723</v>
      </c>
      <c r="M742" s="364">
        <f t="shared" si="197"/>
        <v>2723</v>
      </c>
      <c r="N742" s="364">
        <f t="shared" si="197"/>
        <v>2723</v>
      </c>
      <c r="O742" s="364">
        <f t="shared" si="197"/>
        <v>2723</v>
      </c>
      <c r="P742" s="364">
        <f t="shared" si="197"/>
        <v>2723</v>
      </c>
      <c r="Q742" s="364">
        <f t="shared" si="197"/>
        <v>2723</v>
      </c>
      <c r="R742" s="341">
        <f t="shared" si="198"/>
        <v>31792.1142</v>
      </c>
    </row>
    <row r="743" spans="1:20" x14ac:dyDescent="0.2">
      <c r="C743" s="32" t="s">
        <v>1091</v>
      </c>
      <c r="D743" s="32">
        <v>87</v>
      </c>
      <c r="F743" s="364">
        <f t="shared" si="197"/>
        <v>0</v>
      </c>
      <c r="G743" s="364">
        <f t="shared" si="197"/>
        <v>549.53010000000006</v>
      </c>
      <c r="H743" s="364">
        <f t="shared" si="197"/>
        <v>656.4873</v>
      </c>
      <c r="I743" s="364">
        <f t="shared" si="197"/>
        <v>1721.7039000000002</v>
      </c>
      <c r="J743" s="364">
        <f t="shared" si="197"/>
        <v>2597.7819000000004</v>
      </c>
      <c r="K743" s="364">
        <f t="shared" si="197"/>
        <v>1104.7365</v>
      </c>
      <c r="L743" s="364">
        <f t="shared" si="197"/>
        <v>179.71380000000002</v>
      </c>
      <c r="M743" s="364">
        <f t="shared" si="197"/>
        <v>1909.2717000000002</v>
      </c>
      <c r="N743" s="364">
        <f t="shared" si="197"/>
        <v>3570.0000000000005</v>
      </c>
      <c r="O743" s="364">
        <f t="shared" si="197"/>
        <v>3570.0000000000005</v>
      </c>
      <c r="P743" s="364">
        <f t="shared" si="197"/>
        <v>3570.0000000000005</v>
      </c>
      <c r="Q743" s="364">
        <f t="shared" si="197"/>
        <v>1300.3011000000001</v>
      </c>
      <c r="R743" s="341">
        <f t="shared" si="198"/>
        <v>20729.526300000001</v>
      </c>
    </row>
    <row r="744" spans="1:20" x14ac:dyDescent="0.2">
      <c r="C744" s="32" t="s">
        <v>1092</v>
      </c>
      <c r="D744" s="32">
        <v>87</v>
      </c>
      <c r="F744" s="364">
        <f t="shared" si="197"/>
        <v>0</v>
      </c>
      <c r="G744" s="364">
        <f t="shared" si="197"/>
        <v>0</v>
      </c>
      <c r="H744" s="364">
        <f t="shared" si="197"/>
        <v>0</v>
      </c>
      <c r="I744" s="364">
        <f t="shared" si="197"/>
        <v>0</v>
      </c>
      <c r="J744" s="364">
        <f t="shared" si="197"/>
        <v>0</v>
      </c>
      <c r="K744" s="364">
        <f t="shared" si="197"/>
        <v>0</v>
      </c>
      <c r="L744" s="364">
        <f t="shared" si="197"/>
        <v>0</v>
      </c>
      <c r="M744" s="364">
        <f t="shared" si="197"/>
        <v>0</v>
      </c>
      <c r="N744" s="364">
        <f t="shared" si="197"/>
        <v>6.2331000000000003</v>
      </c>
      <c r="O744" s="364">
        <f t="shared" si="197"/>
        <v>588.17320000000007</v>
      </c>
      <c r="P744" s="364">
        <f t="shared" si="197"/>
        <v>52.810400000000001</v>
      </c>
      <c r="Q744" s="364">
        <f t="shared" si="197"/>
        <v>0</v>
      </c>
      <c r="R744" s="341">
        <f t="shared" si="198"/>
        <v>647.21670000000006</v>
      </c>
    </row>
    <row r="745" spans="1:20" x14ac:dyDescent="0.2">
      <c r="C745" s="32" t="s">
        <v>1093</v>
      </c>
      <c r="D745" s="32">
        <v>87</v>
      </c>
      <c r="F745" s="364">
        <f t="shared" si="197"/>
        <v>0</v>
      </c>
      <c r="G745" s="364">
        <f t="shared" si="197"/>
        <v>0</v>
      </c>
      <c r="H745" s="364">
        <f t="shared" si="197"/>
        <v>0</v>
      </c>
      <c r="I745" s="364">
        <f t="shared" si="197"/>
        <v>0</v>
      </c>
      <c r="J745" s="364">
        <f t="shared" si="197"/>
        <v>0</v>
      </c>
      <c r="K745" s="364">
        <f t="shared" si="197"/>
        <v>0</v>
      </c>
      <c r="L745" s="364">
        <f t="shared" si="197"/>
        <v>0</v>
      </c>
      <c r="M745" s="364">
        <f t="shared" si="197"/>
        <v>0</v>
      </c>
      <c r="N745" s="364">
        <f t="shared" si="197"/>
        <v>0</v>
      </c>
      <c r="O745" s="364">
        <f t="shared" si="197"/>
        <v>0</v>
      </c>
      <c r="P745" s="364">
        <f t="shared" si="197"/>
        <v>0</v>
      </c>
      <c r="Q745" s="364">
        <f t="shared" si="197"/>
        <v>0</v>
      </c>
      <c r="R745" s="341">
        <f t="shared" si="198"/>
        <v>0</v>
      </c>
    </row>
    <row r="746" spans="1:20" x14ac:dyDescent="0.2">
      <c r="A746" s="32" t="s">
        <v>1054</v>
      </c>
      <c r="C746" s="32" t="s">
        <v>1077</v>
      </c>
      <c r="F746" s="365">
        <f t="shared" ref="F746:N746" si="199">SUM(F740:F745)</f>
        <v>7401.6142</v>
      </c>
      <c r="G746" s="365">
        <f t="shared" si="199"/>
        <v>8835.0300999999999</v>
      </c>
      <c r="H746" s="365">
        <f t="shared" si="199"/>
        <v>8941.9873000000007</v>
      </c>
      <c r="I746" s="365">
        <f t="shared" si="199"/>
        <v>10007.2039</v>
      </c>
      <c r="J746" s="365">
        <f t="shared" si="199"/>
        <v>10883.2819</v>
      </c>
      <c r="K746" s="365">
        <f t="shared" si="199"/>
        <v>9390.2364999999991</v>
      </c>
      <c r="L746" s="365">
        <f t="shared" si="199"/>
        <v>8465.2137999999995</v>
      </c>
      <c r="M746" s="365">
        <f t="shared" si="199"/>
        <v>10194.771700000001</v>
      </c>
      <c r="N746" s="365">
        <f t="shared" si="199"/>
        <v>11861.733099999999</v>
      </c>
      <c r="O746" s="365">
        <f>SUM(O740:O745)</f>
        <v>12443.673199999999</v>
      </c>
      <c r="P746" s="365">
        <f>SUM(P740:P745)</f>
        <v>11908.3104</v>
      </c>
      <c r="Q746" s="365">
        <f>SUM(Q740:Q745)</f>
        <v>9585.8011000000006</v>
      </c>
      <c r="R746" s="365">
        <f>SUM(R740:R745)</f>
        <v>119918.8572</v>
      </c>
    </row>
    <row r="747" spans="1:20" x14ac:dyDescent="0.2">
      <c r="A747" s="32" t="s">
        <v>1056</v>
      </c>
      <c r="B747" s="32" t="s">
        <v>1057</v>
      </c>
      <c r="D747" s="32">
        <v>101</v>
      </c>
      <c r="F747" s="364">
        <f t="shared" ref="F747:N747" si="200">F715*F733</f>
        <v>55247.152700000006</v>
      </c>
      <c r="G747" s="364">
        <f t="shared" si="200"/>
        <v>76102.83743</v>
      </c>
      <c r="H747" s="364">
        <f t="shared" si="200"/>
        <v>78078.729390000008</v>
      </c>
      <c r="I747" s="364">
        <f t="shared" si="200"/>
        <v>97757.188770000008</v>
      </c>
      <c r="J747" s="364">
        <f t="shared" si="200"/>
        <v>113941.56417000001</v>
      </c>
      <c r="K747" s="364">
        <f t="shared" si="200"/>
        <v>86359.536950000009</v>
      </c>
      <c r="L747" s="364">
        <f t="shared" si="200"/>
        <v>69270.973340000011</v>
      </c>
      <c r="M747" s="364">
        <f t="shared" si="200"/>
        <v>101222.25431</v>
      </c>
      <c r="N747" s="364">
        <f t="shared" si="200"/>
        <v>132058.30387</v>
      </c>
      <c r="O747" s="364">
        <f>O715*O733</f>
        <v>146651.28164</v>
      </c>
      <c r="P747" s="364">
        <f>P715*P733</f>
        <v>133226.29608</v>
      </c>
      <c r="Q747" s="364">
        <f>Q715*Q733</f>
        <v>89972.332730000009</v>
      </c>
      <c r="R747" s="341">
        <f>SUM(F747:Q747)</f>
        <v>1179888.45138</v>
      </c>
    </row>
    <row r="748" spans="1:20" x14ac:dyDescent="0.2">
      <c r="A748" s="32" t="s">
        <v>1054</v>
      </c>
      <c r="B748" s="32" t="s">
        <v>1096</v>
      </c>
      <c r="D748" s="444">
        <v>87</v>
      </c>
      <c r="F748" s="365">
        <f t="shared" ref="F748:N748" si="201">F716*F733</f>
        <v>424.71389999999997</v>
      </c>
      <c r="G748" s="365">
        <f t="shared" si="201"/>
        <v>585.04250999999999</v>
      </c>
      <c r="H748" s="365">
        <f t="shared" si="201"/>
        <v>600.23222999999996</v>
      </c>
      <c r="I748" s="365">
        <f t="shared" si="201"/>
        <v>751.51089000000002</v>
      </c>
      <c r="J748" s="365">
        <f t="shared" si="201"/>
        <v>875.92868999999996</v>
      </c>
      <c r="K748" s="365">
        <f t="shared" si="201"/>
        <v>663.89114999999993</v>
      </c>
      <c r="L748" s="365">
        <f t="shared" si="201"/>
        <v>532.52238</v>
      </c>
      <c r="M748" s="365">
        <f t="shared" si="201"/>
        <v>778.14866999999992</v>
      </c>
      <c r="N748" s="365">
        <f t="shared" si="201"/>
        <v>1015.20159</v>
      </c>
      <c r="O748" s="365">
        <f>O716*O733</f>
        <v>1127.3854799999999</v>
      </c>
      <c r="P748" s="365">
        <f>P716*P733</f>
        <v>1024.18056</v>
      </c>
      <c r="Q748" s="365">
        <f>Q716*Q733</f>
        <v>691.66460999999993</v>
      </c>
      <c r="R748" s="342">
        <f>SUM(F748:Q748)</f>
        <v>9070.4226599999984</v>
      </c>
    </row>
    <row r="749" spans="1:20" x14ac:dyDescent="0.2">
      <c r="B749" s="32" t="s">
        <v>1068</v>
      </c>
      <c r="F749" s="364"/>
      <c r="G749" s="364"/>
      <c r="H749" s="364"/>
      <c r="I749" s="364"/>
      <c r="J749" s="364"/>
      <c r="K749" s="364"/>
      <c r="L749" s="364"/>
      <c r="M749" s="364"/>
      <c r="N749" s="364"/>
      <c r="O749" s="364"/>
      <c r="P749" s="364"/>
      <c r="Q749" s="364"/>
      <c r="R749" s="341"/>
    </row>
    <row r="750" spans="1:20" x14ac:dyDescent="0.2">
      <c r="A750" s="32" t="s">
        <v>1054</v>
      </c>
      <c r="C750" s="32" t="s">
        <v>1069</v>
      </c>
      <c r="D750" s="444">
        <v>87</v>
      </c>
      <c r="F750" s="364">
        <f t="shared" ref="F750:N750" si="202">F718*F734</f>
        <v>0</v>
      </c>
      <c r="G750" s="364">
        <f t="shared" si="202"/>
        <v>0</v>
      </c>
      <c r="H750" s="364">
        <f t="shared" si="202"/>
        <v>0</v>
      </c>
      <c r="I750" s="364">
        <f t="shared" si="202"/>
        <v>0</v>
      </c>
      <c r="J750" s="364">
        <f t="shared" si="202"/>
        <v>0</v>
      </c>
      <c r="K750" s="364">
        <f t="shared" si="202"/>
        <v>0</v>
      </c>
      <c r="L750" s="364">
        <f t="shared" si="202"/>
        <v>0</v>
      </c>
      <c r="M750" s="364">
        <f t="shared" si="202"/>
        <v>0</v>
      </c>
      <c r="N750" s="364">
        <f t="shared" si="202"/>
        <v>0</v>
      </c>
      <c r="O750" s="364">
        <f>O718*O734</f>
        <v>0</v>
      </c>
      <c r="P750" s="364">
        <f>P718*P734</f>
        <v>0</v>
      </c>
      <c r="Q750" s="364">
        <f>Q718*Q734</f>
        <v>0</v>
      </c>
      <c r="R750" s="341">
        <f>SUM(F750:Q750)</f>
        <v>0</v>
      </c>
    </row>
    <row r="751" spans="1:20" x14ac:dyDescent="0.2">
      <c r="A751" s="32" t="s">
        <v>1056</v>
      </c>
      <c r="C751" s="32" t="s">
        <v>1070</v>
      </c>
      <c r="D751" s="32">
        <v>101</v>
      </c>
      <c r="F751" s="364">
        <f t="shared" ref="F751:N751" si="203">F719*F734</f>
        <v>0</v>
      </c>
      <c r="G751" s="364">
        <f t="shared" si="203"/>
        <v>0</v>
      </c>
      <c r="H751" s="364">
        <f t="shared" si="203"/>
        <v>0</v>
      </c>
      <c r="I751" s="364">
        <f t="shared" si="203"/>
        <v>0</v>
      </c>
      <c r="J751" s="364">
        <f t="shared" si="203"/>
        <v>0</v>
      </c>
      <c r="K751" s="364">
        <f t="shared" si="203"/>
        <v>0</v>
      </c>
      <c r="L751" s="364">
        <f t="shared" si="203"/>
        <v>0</v>
      </c>
      <c r="M751" s="364">
        <f t="shared" si="203"/>
        <v>0</v>
      </c>
      <c r="N751" s="364">
        <f t="shared" si="203"/>
        <v>0</v>
      </c>
      <c r="O751" s="364">
        <f>O719*O734</f>
        <v>0</v>
      </c>
      <c r="P751" s="364">
        <f>P719*P734</f>
        <v>0</v>
      </c>
      <c r="Q751" s="364">
        <f>Q719*Q734</f>
        <v>0</v>
      </c>
      <c r="R751" s="341">
        <f>SUM(F751:Q751)</f>
        <v>0</v>
      </c>
    </row>
    <row r="752" spans="1:20" x14ac:dyDescent="0.2">
      <c r="C752" s="32" t="s">
        <v>1078</v>
      </c>
      <c r="F752" s="365">
        <f t="shared" ref="F752:N752" si="204">SUM(F750:F751)</f>
        <v>0</v>
      </c>
      <c r="G752" s="365">
        <f t="shared" si="204"/>
        <v>0</v>
      </c>
      <c r="H752" s="365">
        <f t="shared" si="204"/>
        <v>0</v>
      </c>
      <c r="I752" s="365">
        <f t="shared" si="204"/>
        <v>0</v>
      </c>
      <c r="J752" s="365">
        <f t="shared" si="204"/>
        <v>0</v>
      </c>
      <c r="K752" s="365">
        <f t="shared" si="204"/>
        <v>0</v>
      </c>
      <c r="L752" s="365">
        <f t="shared" si="204"/>
        <v>0</v>
      </c>
      <c r="M752" s="365">
        <f t="shared" si="204"/>
        <v>0</v>
      </c>
      <c r="N752" s="365">
        <f t="shared" si="204"/>
        <v>0</v>
      </c>
      <c r="O752" s="365">
        <f>SUM(O750:O751)</f>
        <v>0</v>
      </c>
      <c r="P752" s="365">
        <f>SUM(P750:P751)</f>
        <v>0</v>
      </c>
      <c r="Q752" s="365">
        <f>SUM(Q750:Q751)</f>
        <v>0</v>
      </c>
      <c r="R752" s="365">
        <f>SUM(R750:R751)</f>
        <v>0</v>
      </c>
    </row>
    <row r="753" spans="1:20" s="336" customFormat="1" x14ac:dyDescent="0.2">
      <c r="A753" s="336" t="s">
        <v>1054</v>
      </c>
      <c r="B753" s="336" t="s">
        <v>1071</v>
      </c>
      <c r="D753" s="382">
        <v>87</v>
      </c>
      <c r="F753" s="447">
        <f>'JKP-3.1c - Rev Actual Rates'!F764</f>
        <v>0</v>
      </c>
      <c r="G753" s="447">
        <f>'JKP-3.1c - Rev Actual Rates'!G764</f>
        <v>70168.09</v>
      </c>
      <c r="H753" s="447">
        <f>'JKP-3.1c - Rev Actual Rates'!H764</f>
        <v>0</v>
      </c>
      <c r="I753" s="447">
        <f>'JKP-3.1c - Rev Actual Rates'!I764</f>
        <v>0</v>
      </c>
      <c r="J753" s="447">
        <f>'JKP-3.1c - Rev Actual Rates'!J764</f>
        <v>0</v>
      </c>
      <c r="K753" s="447">
        <f>'JKP-3.1c - Rev Actual Rates'!K764</f>
        <v>0</v>
      </c>
      <c r="L753" s="447">
        <f>'JKP-3.1c - Rev Actual Rates'!L764</f>
        <v>0</v>
      </c>
      <c r="M753" s="447">
        <f>'JKP-3.1c - Rev Actual Rates'!M764</f>
        <v>0</v>
      </c>
      <c r="N753" s="447">
        <f>'JKP-3.1c - Rev Actual Rates'!N764</f>
        <v>0</v>
      </c>
      <c r="O753" s="447">
        <f>'JKP-3.1c - Rev Actual Rates'!O764</f>
        <v>0</v>
      </c>
      <c r="P753" s="447">
        <f>'JKP-3.1c - Rev Actual Rates'!P764</f>
        <v>0</v>
      </c>
      <c r="Q753" s="447">
        <f>'JKP-3.1c - Rev Actual Rates'!Q764</f>
        <v>0</v>
      </c>
      <c r="R753" s="437">
        <f>SUM(F753:Q753)</f>
        <v>70168.09</v>
      </c>
      <c r="S753" s="335"/>
      <c r="T753" s="415"/>
    </row>
    <row r="754" spans="1:20" x14ac:dyDescent="0.2">
      <c r="B754" s="32" t="s">
        <v>1079</v>
      </c>
      <c r="F754" s="365">
        <f t="shared" ref="F754:N754" si="205">F747+F751</f>
        <v>55247.152700000006</v>
      </c>
      <c r="G754" s="365">
        <f t="shared" si="205"/>
        <v>76102.83743</v>
      </c>
      <c r="H754" s="365">
        <f t="shared" si="205"/>
        <v>78078.729390000008</v>
      </c>
      <c r="I754" s="365">
        <f t="shared" si="205"/>
        <v>97757.188770000008</v>
      </c>
      <c r="J754" s="365">
        <f t="shared" si="205"/>
        <v>113941.56417000001</v>
      </c>
      <c r="K754" s="365">
        <f t="shared" si="205"/>
        <v>86359.536950000009</v>
      </c>
      <c r="L754" s="365">
        <f t="shared" si="205"/>
        <v>69270.973340000011</v>
      </c>
      <c r="M754" s="365">
        <f t="shared" si="205"/>
        <v>101222.25431</v>
      </c>
      <c r="N754" s="365">
        <f t="shared" si="205"/>
        <v>132058.30387</v>
      </c>
      <c r="O754" s="365">
        <f>O747+O751</f>
        <v>146651.28164</v>
      </c>
      <c r="P754" s="365">
        <f>P747+P751</f>
        <v>133226.29608</v>
      </c>
      <c r="Q754" s="365">
        <f>Q747+Q751</f>
        <v>89972.332730000009</v>
      </c>
      <c r="R754" s="365">
        <f>R747+R751</f>
        <v>1179888.45138</v>
      </c>
    </row>
    <row r="755" spans="1:20" x14ac:dyDescent="0.2">
      <c r="B755" s="32" t="s">
        <v>986</v>
      </c>
      <c r="F755" s="365">
        <f t="shared" ref="F755:N755" si="206">F738+F746+F747+F748+F752+F753</f>
        <v>63618.390800000008</v>
      </c>
      <c r="G755" s="365">
        <f t="shared" si="206"/>
        <v>156235.91003999999</v>
      </c>
      <c r="H755" s="365">
        <f t="shared" si="206"/>
        <v>88710.768920000002</v>
      </c>
      <c r="I755" s="365">
        <f t="shared" si="206"/>
        <v>108515.90356000001</v>
      </c>
      <c r="J755" s="365">
        <f t="shared" si="206"/>
        <v>126245.68476000002</v>
      </c>
      <c r="K755" s="365">
        <f t="shared" si="206"/>
        <v>97503.484600000011</v>
      </c>
      <c r="L755" s="365">
        <f t="shared" si="206"/>
        <v>78813.619520000007</v>
      </c>
      <c r="M755" s="365">
        <f t="shared" si="206"/>
        <v>112195.17468</v>
      </c>
      <c r="N755" s="365">
        <f t="shared" si="206"/>
        <v>146025.05856</v>
      </c>
      <c r="O755" s="365">
        <f>O738+O746+O747+O748+O752+O753</f>
        <v>160767.25031999999</v>
      </c>
      <c r="P755" s="365">
        <f>P738+P746+P747+P748+P752+P753</f>
        <v>146158.78704</v>
      </c>
      <c r="Q755" s="365">
        <f>Q738+Q746+Q747+Q748+Q752+Q753</f>
        <v>100794.70844000002</v>
      </c>
      <c r="R755" s="365">
        <f>R738+R746+R747+R748+R752+R753</f>
        <v>1385584.7412399999</v>
      </c>
      <c r="T755" s="340"/>
    </row>
    <row r="756" spans="1:20" x14ac:dyDescent="0.2">
      <c r="C756" s="386"/>
      <c r="F756" s="364"/>
      <c r="G756" s="364"/>
      <c r="H756" s="364"/>
      <c r="I756" s="364"/>
      <c r="J756" s="364"/>
      <c r="K756" s="364"/>
      <c r="L756" s="364"/>
      <c r="M756" s="364"/>
      <c r="N756" s="364"/>
      <c r="O756" s="364"/>
      <c r="P756" s="364"/>
      <c r="Q756" s="364"/>
      <c r="R756" s="341"/>
      <c r="T756" s="415"/>
    </row>
    <row r="757" spans="1:20" x14ac:dyDescent="0.2">
      <c r="A757" s="32" t="s">
        <v>1058</v>
      </c>
      <c r="B757" s="32" t="s">
        <v>1050</v>
      </c>
      <c r="C757" s="386"/>
      <c r="F757" s="364">
        <f>F721*F733+F734*F722</f>
        <v>52858.032300000006</v>
      </c>
      <c r="G757" s="364">
        <f t="shared" ref="G757:Q757" si="207">G721*G733+G734*G722</f>
        <v>72811.829070000007</v>
      </c>
      <c r="H757" s="364">
        <f t="shared" si="207"/>
        <v>74702.275110000002</v>
      </c>
      <c r="I757" s="364">
        <f t="shared" si="207"/>
        <v>93529.754730000001</v>
      </c>
      <c r="J757" s="364">
        <f t="shared" si="207"/>
        <v>109014.24933000001</v>
      </c>
      <c r="K757" s="364">
        <f t="shared" si="207"/>
        <v>82624.985550000012</v>
      </c>
      <c r="L757" s="364">
        <f t="shared" si="207"/>
        <v>66275.403660000011</v>
      </c>
      <c r="M757" s="364">
        <f t="shared" si="207"/>
        <v>96844.976190000001</v>
      </c>
      <c r="N757" s="364">
        <f t="shared" si="207"/>
        <v>126347.54463</v>
      </c>
      <c r="O757" s="364">
        <f t="shared" si="207"/>
        <v>140309.46036</v>
      </c>
      <c r="P757" s="364">
        <f t="shared" si="207"/>
        <v>127465.02792000001</v>
      </c>
      <c r="Q757" s="364">
        <f t="shared" si="207"/>
        <v>86081.548770000009</v>
      </c>
      <c r="R757" s="341">
        <f>SUM(F757:Q757)</f>
        <v>1128865.0876200001</v>
      </c>
      <c r="T757" s="415"/>
    </row>
    <row r="758" spans="1:20" x14ac:dyDescent="0.2">
      <c r="C758" s="386"/>
      <c r="F758" s="364"/>
      <c r="G758" s="364"/>
      <c r="H758" s="364"/>
      <c r="I758" s="364"/>
      <c r="J758" s="364"/>
      <c r="K758" s="364"/>
      <c r="L758" s="364"/>
      <c r="M758" s="364"/>
      <c r="N758" s="364"/>
      <c r="O758" s="364"/>
      <c r="P758" s="364"/>
      <c r="Q758" s="364"/>
      <c r="R758" s="341"/>
      <c r="T758" s="415"/>
    </row>
    <row r="759" spans="1:20" ht="13.5" thickBot="1" x14ac:dyDescent="0.25">
      <c r="B759" s="276" t="s">
        <v>1113</v>
      </c>
      <c r="M759" s="276" t="s">
        <v>304</v>
      </c>
    </row>
    <row r="760" spans="1:20" x14ac:dyDescent="0.2">
      <c r="B760" s="464" t="s">
        <v>5</v>
      </c>
      <c r="C760" s="465"/>
      <c r="D760" s="465"/>
      <c r="E760" s="465"/>
      <c r="F760" s="465"/>
      <c r="G760" s="465"/>
      <c r="H760" s="465"/>
      <c r="I760" s="465"/>
      <c r="J760" s="465"/>
      <c r="K760" s="465"/>
      <c r="L760" s="465"/>
      <c r="M760" s="465"/>
      <c r="N760" s="465"/>
      <c r="O760" s="465"/>
      <c r="P760" s="465"/>
      <c r="Q760" s="465"/>
      <c r="R760" s="466"/>
    </row>
    <row r="761" spans="1:20" x14ac:dyDescent="0.2">
      <c r="B761" s="281" t="s">
        <v>1059</v>
      </c>
      <c r="C761" s="390"/>
      <c r="D761" s="390">
        <v>99</v>
      </c>
      <c r="E761" s="390" t="s">
        <v>976</v>
      </c>
      <c r="F761" s="503">
        <f>'JKP-3.1c - Rev Rates GRC09'!F761</f>
        <v>871.85</v>
      </c>
      <c r="G761" s="503">
        <f>'JKP-3.1c - Rev Rates GRC09'!G761</f>
        <v>871.85</v>
      </c>
      <c r="H761" s="503">
        <f>'JKP-3.1c - Rev Rates GRC09'!H761</f>
        <v>871.85</v>
      </c>
      <c r="I761" s="503">
        <f>'JKP-3.1c - Rev Rates GRC09'!I761</f>
        <v>871.85</v>
      </c>
      <c r="J761" s="503">
        <f>'JKP-3.1c - Rev Rates GRC09'!J761</f>
        <v>871.85</v>
      </c>
      <c r="K761" s="503">
        <f>'JKP-3.1c - Rev Rates GRC09'!K761</f>
        <v>871.85</v>
      </c>
      <c r="L761" s="503">
        <f>'JKP-3.1c - Rev Rates GRC09'!L761</f>
        <v>871.85</v>
      </c>
      <c r="M761" s="503">
        <f>'JKP-3.1c - Rev Rates GRC09'!M761</f>
        <v>871.85</v>
      </c>
      <c r="N761" s="503">
        <f>'JKP-3.1c - Rev Rates GRC09'!N761</f>
        <v>871.85</v>
      </c>
      <c r="O761" s="503">
        <f>'JKP-3.1c - Rev Rates GRC09'!O761</f>
        <v>871.85</v>
      </c>
      <c r="P761" s="503">
        <f>'JKP-3.1c - Rev Rates GRC09'!P761</f>
        <v>871.85</v>
      </c>
      <c r="Q761" s="503">
        <f>'JKP-3.1c - Rev Rates GRC09'!Q761</f>
        <v>871.85</v>
      </c>
      <c r="R761" s="467"/>
    </row>
    <row r="762" spans="1:20" x14ac:dyDescent="0.2">
      <c r="B762" s="281" t="s">
        <v>1114</v>
      </c>
      <c r="C762" s="390"/>
      <c r="D762" s="390"/>
      <c r="E762" s="390"/>
      <c r="F762" s="504"/>
      <c r="G762" s="504"/>
      <c r="H762" s="504"/>
      <c r="I762" s="504"/>
      <c r="J762" s="504"/>
      <c r="K762" s="504"/>
      <c r="L762" s="504"/>
      <c r="M762" s="504"/>
      <c r="N762" s="504"/>
      <c r="O762" s="504"/>
      <c r="P762" s="504"/>
      <c r="Q762" s="504"/>
      <c r="R762" s="469"/>
    </row>
    <row r="763" spans="1:20" x14ac:dyDescent="0.2">
      <c r="B763" s="281"/>
      <c r="C763" s="390" t="s">
        <v>1115</v>
      </c>
      <c r="D763" s="390">
        <v>99</v>
      </c>
      <c r="E763" s="390" t="s">
        <v>957</v>
      </c>
      <c r="F763" s="505">
        <f>'JKP-3.1c - Rev Rates GRC09'!F763</f>
        <v>0.10589</v>
      </c>
      <c r="G763" s="505">
        <f>'JKP-3.1c - Rev Rates GRC09'!G763</f>
        <v>0.10589</v>
      </c>
      <c r="H763" s="505">
        <f>'JKP-3.1c - Rev Rates GRC09'!H763</f>
        <v>0.10589</v>
      </c>
      <c r="I763" s="505">
        <f>'JKP-3.1c - Rev Rates GRC09'!I763</f>
        <v>0.10589</v>
      </c>
      <c r="J763" s="505">
        <f>'JKP-3.1c - Rev Rates GRC09'!J763</f>
        <v>0.10589</v>
      </c>
      <c r="K763" s="505">
        <f>'JKP-3.1c - Rev Rates GRC09'!K763</f>
        <v>0.10589</v>
      </c>
      <c r="L763" s="505">
        <f>'JKP-3.1c - Rev Rates GRC09'!L763</f>
        <v>0.10589</v>
      </c>
      <c r="M763" s="505">
        <f>'JKP-3.1c - Rev Rates GRC09'!M763</f>
        <v>0.10589</v>
      </c>
      <c r="N763" s="505">
        <f>'JKP-3.1c - Rev Rates GRC09'!N763</f>
        <v>0.10589</v>
      </c>
      <c r="O763" s="505">
        <f>'JKP-3.1c - Rev Rates GRC09'!O763</f>
        <v>0.10589</v>
      </c>
      <c r="P763" s="505">
        <f>'JKP-3.1c - Rev Rates GRC09'!P763</f>
        <v>0.10589</v>
      </c>
      <c r="Q763" s="505">
        <f>'JKP-3.1c - Rev Rates GRC09'!Q763</f>
        <v>0.10589</v>
      </c>
      <c r="R763" s="470"/>
    </row>
    <row r="764" spans="1:20" x14ac:dyDescent="0.2">
      <c r="B764" s="281"/>
      <c r="C764" s="390" t="s">
        <v>1116</v>
      </c>
      <c r="D764" s="390">
        <v>99</v>
      </c>
      <c r="E764" s="390" t="s">
        <v>957</v>
      </c>
      <c r="F764" s="505">
        <f>'JKP-3.1c - Rev Rates GRC09'!F764</f>
        <v>5.7590000000000002E-2</v>
      </c>
      <c r="G764" s="505">
        <f>'JKP-3.1c - Rev Rates GRC09'!G764</f>
        <v>5.7590000000000002E-2</v>
      </c>
      <c r="H764" s="505">
        <f>'JKP-3.1c - Rev Rates GRC09'!H764</f>
        <v>5.7590000000000002E-2</v>
      </c>
      <c r="I764" s="505">
        <f>'JKP-3.1c - Rev Rates GRC09'!I764</f>
        <v>5.7590000000000002E-2</v>
      </c>
      <c r="J764" s="505">
        <f>'JKP-3.1c - Rev Rates GRC09'!J764</f>
        <v>5.7590000000000002E-2</v>
      </c>
      <c r="K764" s="505">
        <f>'JKP-3.1c - Rev Rates GRC09'!K764</f>
        <v>5.7590000000000002E-2</v>
      </c>
      <c r="L764" s="505">
        <f>'JKP-3.1c - Rev Rates GRC09'!L764</f>
        <v>5.7590000000000002E-2</v>
      </c>
      <c r="M764" s="505">
        <f>'JKP-3.1c - Rev Rates GRC09'!M764</f>
        <v>5.7590000000000002E-2</v>
      </c>
      <c r="N764" s="505">
        <f>'JKP-3.1c - Rev Rates GRC09'!N764</f>
        <v>5.7590000000000002E-2</v>
      </c>
      <c r="O764" s="505">
        <f>'JKP-3.1c - Rev Rates GRC09'!O764</f>
        <v>5.7590000000000002E-2</v>
      </c>
      <c r="P764" s="505">
        <f>'JKP-3.1c - Rev Rates GRC09'!P764</f>
        <v>5.7590000000000002E-2</v>
      </c>
      <c r="Q764" s="505">
        <f>'JKP-3.1c - Rev Rates GRC09'!Q764</f>
        <v>5.7590000000000002E-2</v>
      </c>
      <c r="R764" s="470"/>
    </row>
    <row r="765" spans="1:20" x14ac:dyDescent="0.2">
      <c r="B765" s="281"/>
      <c r="C765" s="390" t="s">
        <v>1117</v>
      </c>
      <c r="D765" s="390">
        <v>99</v>
      </c>
      <c r="E765" s="390" t="s">
        <v>957</v>
      </c>
      <c r="F765" s="505">
        <f>'JKP-3.1c - Rev Rates GRC09'!F765</f>
        <v>3.4549999999999997E-2</v>
      </c>
      <c r="G765" s="505">
        <f>'JKP-3.1c - Rev Rates GRC09'!G765</f>
        <v>3.4549999999999997E-2</v>
      </c>
      <c r="H765" s="505">
        <f>'JKP-3.1c - Rev Rates GRC09'!H765</f>
        <v>3.4549999999999997E-2</v>
      </c>
      <c r="I765" s="505">
        <f>'JKP-3.1c - Rev Rates GRC09'!I765</f>
        <v>3.4549999999999997E-2</v>
      </c>
      <c r="J765" s="505">
        <f>'JKP-3.1c - Rev Rates GRC09'!J765</f>
        <v>3.4549999999999997E-2</v>
      </c>
      <c r="K765" s="505">
        <f>'JKP-3.1c - Rev Rates GRC09'!K765</f>
        <v>3.4549999999999997E-2</v>
      </c>
      <c r="L765" s="505">
        <f>'JKP-3.1c - Rev Rates GRC09'!L765</f>
        <v>3.4549999999999997E-2</v>
      </c>
      <c r="M765" s="505">
        <f>'JKP-3.1c - Rev Rates GRC09'!M765</f>
        <v>3.4549999999999997E-2</v>
      </c>
      <c r="N765" s="505">
        <f>'JKP-3.1c - Rev Rates GRC09'!N765</f>
        <v>3.4549999999999997E-2</v>
      </c>
      <c r="O765" s="505">
        <f>'JKP-3.1c - Rev Rates GRC09'!O765</f>
        <v>3.4549999999999997E-2</v>
      </c>
      <c r="P765" s="505">
        <f>'JKP-3.1c - Rev Rates GRC09'!P765</f>
        <v>3.4549999999999997E-2</v>
      </c>
      <c r="Q765" s="505">
        <f>'JKP-3.1c - Rev Rates GRC09'!Q765</f>
        <v>3.4549999999999997E-2</v>
      </c>
      <c r="R765" s="470"/>
    </row>
    <row r="766" spans="1:20" x14ac:dyDescent="0.2">
      <c r="B766" s="281"/>
      <c r="C766" s="390" t="s">
        <v>19</v>
      </c>
      <c r="D766" s="390">
        <v>99</v>
      </c>
      <c r="E766" s="390" t="s">
        <v>957</v>
      </c>
      <c r="F766" s="505">
        <f>'JKP-3.1c - Rev Rates GRC09'!F766</f>
        <v>2.3040000000000001E-2</v>
      </c>
      <c r="G766" s="505">
        <f>'JKP-3.1c - Rev Rates GRC09'!G766</f>
        <v>2.3040000000000001E-2</v>
      </c>
      <c r="H766" s="505">
        <f>'JKP-3.1c - Rev Rates GRC09'!H766</f>
        <v>2.3040000000000001E-2</v>
      </c>
      <c r="I766" s="505">
        <f>'JKP-3.1c - Rev Rates GRC09'!I766</f>
        <v>2.3040000000000001E-2</v>
      </c>
      <c r="J766" s="505">
        <f>'JKP-3.1c - Rev Rates GRC09'!J766</f>
        <v>2.3040000000000001E-2</v>
      </c>
      <c r="K766" s="505">
        <f>'JKP-3.1c - Rev Rates GRC09'!K766</f>
        <v>2.3040000000000001E-2</v>
      </c>
      <c r="L766" s="505">
        <f>'JKP-3.1c - Rev Rates GRC09'!L766</f>
        <v>2.3040000000000001E-2</v>
      </c>
      <c r="M766" s="505">
        <f>'JKP-3.1c - Rev Rates GRC09'!M766</f>
        <v>2.3040000000000001E-2</v>
      </c>
      <c r="N766" s="505">
        <f>'JKP-3.1c - Rev Rates GRC09'!N766</f>
        <v>2.3040000000000001E-2</v>
      </c>
      <c r="O766" s="505">
        <f>'JKP-3.1c - Rev Rates GRC09'!O766</f>
        <v>2.3040000000000001E-2</v>
      </c>
      <c r="P766" s="505">
        <f>'JKP-3.1c - Rev Rates GRC09'!P766</f>
        <v>2.3040000000000001E-2</v>
      </c>
      <c r="Q766" s="505">
        <f>'JKP-3.1c - Rev Rates GRC09'!Q766</f>
        <v>2.3040000000000001E-2</v>
      </c>
      <c r="R766" s="470"/>
    </row>
    <row r="767" spans="1:20" x14ac:dyDescent="0.2">
      <c r="B767" s="281"/>
      <c r="C767" s="390" t="s">
        <v>19</v>
      </c>
      <c r="D767" s="390">
        <v>99</v>
      </c>
      <c r="E767" s="390" t="s">
        <v>957</v>
      </c>
      <c r="F767" s="505">
        <f>'JKP-3.1c - Rev Rates GRC09'!F767</f>
        <v>1.728E-2</v>
      </c>
      <c r="G767" s="505">
        <f>'JKP-3.1c - Rev Rates GRC09'!G767</f>
        <v>1.728E-2</v>
      </c>
      <c r="H767" s="505">
        <f>'JKP-3.1c - Rev Rates GRC09'!H767</f>
        <v>1.728E-2</v>
      </c>
      <c r="I767" s="505">
        <f>'JKP-3.1c - Rev Rates GRC09'!I767</f>
        <v>1.728E-2</v>
      </c>
      <c r="J767" s="505">
        <f>'JKP-3.1c - Rev Rates GRC09'!J767</f>
        <v>1.728E-2</v>
      </c>
      <c r="K767" s="505">
        <f>'JKP-3.1c - Rev Rates GRC09'!K767</f>
        <v>1.728E-2</v>
      </c>
      <c r="L767" s="505">
        <f>'JKP-3.1c - Rev Rates GRC09'!L767</f>
        <v>1.728E-2</v>
      </c>
      <c r="M767" s="505">
        <f>'JKP-3.1c - Rev Rates GRC09'!M767</f>
        <v>1.728E-2</v>
      </c>
      <c r="N767" s="505">
        <f>'JKP-3.1c - Rev Rates GRC09'!N767</f>
        <v>1.728E-2</v>
      </c>
      <c r="O767" s="505">
        <f>'JKP-3.1c - Rev Rates GRC09'!O767</f>
        <v>1.728E-2</v>
      </c>
      <c r="P767" s="505">
        <f>'JKP-3.1c - Rev Rates GRC09'!P767</f>
        <v>1.728E-2</v>
      </c>
      <c r="Q767" s="505">
        <f>'JKP-3.1c - Rev Rates GRC09'!Q767</f>
        <v>1.728E-2</v>
      </c>
      <c r="R767" s="470"/>
    </row>
    <row r="768" spans="1:20" x14ac:dyDescent="0.2">
      <c r="B768" s="281"/>
      <c r="C768" s="390" t="s">
        <v>1118</v>
      </c>
      <c r="D768" s="390">
        <v>99</v>
      </c>
      <c r="E768" s="390" t="s">
        <v>957</v>
      </c>
      <c r="F768" s="505">
        <f>'JKP-3.1c - Rev Rates GRC09'!F768</f>
        <v>1.1509999999999999E-2</v>
      </c>
      <c r="G768" s="505">
        <f>'JKP-3.1c - Rev Rates GRC09'!G768</f>
        <v>1.1509999999999999E-2</v>
      </c>
      <c r="H768" s="505">
        <f>'JKP-3.1c - Rev Rates GRC09'!H768</f>
        <v>1.1509999999999999E-2</v>
      </c>
      <c r="I768" s="505">
        <f>'JKP-3.1c - Rev Rates GRC09'!I768</f>
        <v>1.1509999999999999E-2</v>
      </c>
      <c r="J768" s="505">
        <f>'JKP-3.1c - Rev Rates GRC09'!J768</f>
        <v>1.1509999999999999E-2</v>
      </c>
      <c r="K768" s="505">
        <f>'JKP-3.1c - Rev Rates GRC09'!K768</f>
        <v>1.1509999999999999E-2</v>
      </c>
      <c r="L768" s="505">
        <f>'JKP-3.1c - Rev Rates GRC09'!L768</f>
        <v>1.1509999999999999E-2</v>
      </c>
      <c r="M768" s="505">
        <f>'JKP-3.1c - Rev Rates GRC09'!M768</f>
        <v>1.1509999999999999E-2</v>
      </c>
      <c r="N768" s="505">
        <f>'JKP-3.1c - Rev Rates GRC09'!N768</f>
        <v>1.1509999999999999E-2</v>
      </c>
      <c r="O768" s="505">
        <f>'JKP-3.1c - Rev Rates GRC09'!O768</f>
        <v>1.1509999999999999E-2</v>
      </c>
      <c r="P768" s="505">
        <f>'JKP-3.1c - Rev Rates GRC09'!P768</f>
        <v>1.1509999999999999E-2</v>
      </c>
      <c r="Q768" s="505">
        <f>'JKP-3.1c - Rev Rates GRC09'!Q768</f>
        <v>1.1509999999999999E-2</v>
      </c>
      <c r="R768" s="470"/>
    </row>
    <row r="769" spans="1:20" x14ac:dyDescent="0.2">
      <c r="B769" s="281" t="s">
        <v>1069</v>
      </c>
      <c r="C769" s="390"/>
      <c r="D769" s="390">
        <v>99</v>
      </c>
      <c r="E769" s="390" t="s">
        <v>1119</v>
      </c>
      <c r="F769" s="503">
        <f>'JKP-3.1c - Rev Rates GRC09'!F769</f>
        <v>1.1100000000000001</v>
      </c>
      <c r="G769" s="503">
        <f>'JKP-3.1c - Rev Rates GRC09'!G769</f>
        <v>1.1100000000000001</v>
      </c>
      <c r="H769" s="503">
        <f>'JKP-3.1c - Rev Rates GRC09'!H769</f>
        <v>1.1100000000000001</v>
      </c>
      <c r="I769" s="503">
        <f>'JKP-3.1c - Rev Rates GRC09'!I769</f>
        <v>1.1100000000000001</v>
      </c>
      <c r="J769" s="503">
        <f>'JKP-3.1c - Rev Rates GRC09'!J769</f>
        <v>1.1100000000000001</v>
      </c>
      <c r="K769" s="503">
        <f>'JKP-3.1c - Rev Rates GRC09'!K769</f>
        <v>1.1100000000000001</v>
      </c>
      <c r="L769" s="503">
        <f>'JKP-3.1c - Rev Rates GRC09'!L769</f>
        <v>1.1100000000000001</v>
      </c>
      <c r="M769" s="503">
        <f>'JKP-3.1c - Rev Rates GRC09'!M769</f>
        <v>1.1100000000000001</v>
      </c>
      <c r="N769" s="503">
        <f>'JKP-3.1c - Rev Rates GRC09'!N769</f>
        <v>1.1100000000000001</v>
      </c>
      <c r="O769" s="503">
        <f>'JKP-3.1c - Rev Rates GRC09'!O769</f>
        <v>1.1100000000000001</v>
      </c>
      <c r="P769" s="503">
        <f>'JKP-3.1c - Rev Rates GRC09'!P769</f>
        <v>1.1100000000000001</v>
      </c>
      <c r="Q769" s="503">
        <f>'JKP-3.1c - Rev Rates GRC09'!Q769</f>
        <v>1.1100000000000001</v>
      </c>
      <c r="R769" s="467"/>
    </row>
    <row r="770" spans="1:20" x14ac:dyDescent="0.2">
      <c r="B770" s="281"/>
      <c r="C770" s="390"/>
      <c r="D770" s="390"/>
      <c r="E770" s="390"/>
      <c r="F770" s="390"/>
      <c r="G770" s="390"/>
      <c r="H770" s="390"/>
      <c r="I770" s="390"/>
      <c r="J770" s="390"/>
      <c r="K770" s="390"/>
      <c r="L770" s="390"/>
      <c r="M770" s="390"/>
      <c r="N770" s="390"/>
      <c r="O770" s="390"/>
      <c r="P770" s="390"/>
      <c r="Q770" s="390"/>
      <c r="R770" s="469"/>
    </row>
    <row r="771" spans="1:20" x14ac:dyDescent="0.2">
      <c r="B771" s="471" t="s">
        <v>982</v>
      </c>
      <c r="C771" s="390"/>
      <c r="D771" s="390"/>
      <c r="E771" s="390"/>
      <c r="F771" s="390"/>
      <c r="G771" s="390"/>
      <c r="H771" s="390"/>
      <c r="I771" s="390"/>
      <c r="J771" s="390"/>
      <c r="K771" s="390"/>
      <c r="L771" s="390"/>
      <c r="M771" s="390"/>
      <c r="N771" s="390"/>
      <c r="O771" s="390"/>
      <c r="P771" s="390"/>
      <c r="Q771" s="390"/>
      <c r="R771" s="469"/>
    </row>
    <row r="772" spans="1:20" x14ac:dyDescent="0.2">
      <c r="B772" s="281" t="s">
        <v>67</v>
      </c>
      <c r="C772" s="390"/>
      <c r="D772" s="390"/>
      <c r="E772" s="390" t="s">
        <v>67</v>
      </c>
      <c r="F772" s="396">
        <f>'JKP-3.1c - Data'!C157</f>
        <v>12</v>
      </c>
      <c r="G772" s="396">
        <f>'JKP-3.1c - Data'!D157</f>
        <v>12</v>
      </c>
      <c r="H772" s="396">
        <f>'JKP-3.1c - Data'!E157</f>
        <v>12</v>
      </c>
      <c r="I772" s="396">
        <f>'JKP-3.1c - Data'!F157</f>
        <v>12</v>
      </c>
      <c r="J772" s="396">
        <f>'JKP-3.1c - Data'!G157</f>
        <v>12</v>
      </c>
      <c r="K772" s="396">
        <f>'JKP-3.1c - Data'!H157</f>
        <v>12</v>
      </c>
      <c r="L772" s="396">
        <f>'JKP-3.1c - Data'!I157</f>
        <v>12</v>
      </c>
      <c r="M772" s="396">
        <f>'JKP-3.1c - Data'!J157</f>
        <v>12</v>
      </c>
      <c r="N772" s="396">
        <f>'JKP-3.1c - Data'!K157</f>
        <v>12</v>
      </c>
      <c r="O772" s="396">
        <f>'JKP-3.1c - Data'!L157</f>
        <v>12</v>
      </c>
      <c r="P772" s="396">
        <f>'JKP-3.1c - Data'!M157</f>
        <v>12</v>
      </c>
      <c r="Q772" s="396">
        <f>'JKP-3.1c - Data'!N157</f>
        <v>12</v>
      </c>
      <c r="R772" s="472">
        <f>SUM(F772:Q772)</f>
        <v>144</v>
      </c>
    </row>
    <row r="773" spans="1:20" s="336" customFormat="1" x14ac:dyDescent="0.2">
      <c r="B773" s="473" t="s">
        <v>76</v>
      </c>
      <c r="C773" s="415"/>
      <c r="D773" s="415"/>
      <c r="E773" s="415"/>
      <c r="F773" s="474"/>
      <c r="G773" s="474"/>
      <c r="H773" s="474"/>
      <c r="I773" s="474"/>
      <c r="J773" s="474"/>
      <c r="K773" s="474"/>
      <c r="L773" s="474"/>
      <c r="M773" s="474"/>
      <c r="N773" s="474"/>
      <c r="O773" s="474"/>
      <c r="P773" s="474"/>
      <c r="Q773" s="474"/>
      <c r="R773" s="475"/>
      <c r="S773" s="335"/>
      <c r="T773" s="415"/>
    </row>
    <row r="774" spans="1:20" s="336" customFormat="1" x14ac:dyDescent="0.2">
      <c r="B774" s="473"/>
      <c r="C774" s="415" t="s">
        <v>1115</v>
      </c>
      <c r="D774" s="415"/>
      <c r="E774" s="415" t="s">
        <v>10</v>
      </c>
      <c r="F774" s="478">
        <f>'JKP-3.1c - Rev Actual Rates'!F785</f>
        <v>253944</v>
      </c>
      <c r="G774" s="478">
        <f>'JKP-3.1c - Rev Actual Rates'!G785</f>
        <v>249800</v>
      </c>
      <c r="H774" s="478">
        <f>'JKP-3.1c - Rev Actual Rates'!H785</f>
        <v>250519</v>
      </c>
      <c r="I774" s="478">
        <f>'JKP-3.1c - Rev Actual Rates'!I785</f>
        <v>234365</v>
      </c>
      <c r="J774" s="478">
        <f>'JKP-3.1c - Rev Actual Rates'!J785</f>
        <v>226283</v>
      </c>
      <c r="K774" s="478">
        <f>'JKP-3.1c - Rev Actual Rates'!K785</f>
        <v>218737</v>
      </c>
      <c r="L774" s="478">
        <f>'JKP-3.1c - Rev Actual Rates'!L785</f>
        <v>213898</v>
      </c>
      <c r="M774" s="478">
        <f>'JKP-3.1c - Rev Actual Rates'!M785</f>
        <v>209203</v>
      </c>
      <c r="N774" s="478">
        <f>'JKP-3.1c - Rev Actual Rates'!N785</f>
        <v>218487</v>
      </c>
      <c r="O774" s="478">
        <f>'JKP-3.1c - Rev Actual Rates'!O785</f>
        <v>246239</v>
      </c>
      <c r="P774" s="478">
        <f>'JKP-3.1c - Rev Actual Rates'!P785</f>
        <v>273965</v>
      </c>
      <c r="Q774" s="478">
        <f>'JKP-3.1c - Rev Actual Rates'!Q785</f>
        <v>278558</v>
      </c>
      <c r="R774" s="475">
        <f t="shared" ref="R774:R779" si="208">SUM(F774:Q774)</f>
        <v>2873998</v>
      </c>
      <c r="S774" s="335"/>
      <c r="T774" s="415"/>
    </row>
    <row r="775" spans="1:20" s="336" customFormat="1" x14ac:dyDescent="0.2">
      <c r="B775" s="473"/>
      <c r="C775" s="415" t="s">
        <v>1116</v>
      </c>
      <c r="D775" s="415"/>
      <c r="E775" s="415" t="s">
        <v>10</v>
      </c>
      <c r="F775" s="478">
        <f>'JKP-3.1c - Rev Actual Rates'!F786</f>
        <v>197864</v>
      </c>
      <c r="G775" s="478">
        <f>'JKP-3.1c - Rev Actual Rates'!G786</f>
        <v>185146</v>
      </c>
      <c r="H775" s="478">
        <f>'JKP-3.1c - Rev Actual Rates'!H786</f>
        <v>188435</v>
      </c>
      <c r="I775" s="478">
        <f>'JKP-3.1c - Rev Actual Rates'!I786</f>
        <v>181809</v>
      </c>
      <c r="J775" s="478">
        <f>'JKP-3.1c - Rev Actual Rates'!J786</f>
        <v>179508</v>
      </c>
      <c r="K775" s="478">
        <f>'JKP-3.1c - Rev Actual Rates'!K786</f>
        <v>175904</v>
      </c>
      <c r="L775" s="478">
        <f>'JKP-3.1c - Rev Actual Rates'!L786</f>
        <v>175227</v>
      </c>
      <c r="M775" s="478">
        <f>'JKP-3.1c - Rev Actual Rates'!M786</f>
        <v>175000</v>
      </c>
      <c r="N775" s="478">
        <f>'JKP-3.1c - Rev Actual Rates'!N786</f>
        <v>179824</v>
      </c>
      <c r="O775" s="478">
        <f>'JKP-3.1c - Rev Actual Rates'!O786</f>
        <v>183783</v>
      </c>
      <c r="P775" s="478">
        <f>'JKP-3.1c - Rev Actual Rates'!P786</f>
        <v>201836</v>
      </c>
      <c r="Q775" s="478">
        <f>'JKP-3.1c - Rev Actual Rates'!Q786</f>
        <v>206486</v>
      </c>
      <c r="R775" s="475">
        <f t="shared" si="208"/>
        <v>2230822</v>
      </c>
      <c r="S775" s="335"/>
      <c r="T775" s="415"/>
    </row>
    <row r="776" spans="1:20" s="336" customFormat="1" x14ac:dyDescent="0.2">
      <c r="B776" s="473"/>
      <c r="C776" s="415" t="s">
        <v>1117</v>
      </c>
      <c r="D776" s="415"/>
      <c r="E776" s="415" t="s">
        <v>10</v>
      </c>
      <c r="F776" s="478">
        <f>'JKP-3.1c - Rev Actual Rates'!F787</f>
        <v>350000</v>
      </c>
      <c r="G776" s="478">
        <f>'JKP-3.1c - Rev Actual Rates'!G787</f>
        <v>350000</v>
      </c>
      <c r="H776" s="478">
        <f>'JKP-3.1c - Rev Actual Rates'!H787</f>
        <v>350000</v>
      </c>
      <c r="I776" s="478">
        <f>'JKP-3.1c - Rev Actual Rates'!I787</f>
        <v>350000</v>
      </c>
      <c r="J776" s="478">
        <f>'JKP-3.1c - Rev Actual Rates'!J787</f>
        <v>350000</v>
      </c>
      <c r="K776" s="478">
        <f>'JKP-3.1c - Rev Actual Rates'!K787</f>
        <v>350000</v>
      </c>
      <c r="L776" s="478">
        <f>'JKP-3.1c - Rev Actual Rates'!L787</f>
        <v>350000</v>
      </c>
      <c r="M776" s="478">
        <f>'JKP-3.1c - Rev Actual Rates'!M787</f>
        <v>350000</v>
      </c>
      <c r="N776" s="478">
        <f>'JKP-3.1c - Rev Actual Rates'!N787</f>
        <v>350000</v>
      </c>
      <c r="O776" s="478">
        <f>'JKP-3.1c - Rev Actual Rates'!O787</f>
        <v>350000</v>
      </c>
      <c r="P776" s="478">
        <f>'JKP-3.1c - Rev Actual Rates'!P787</f>
        <v>350000</v>
      </c>
      <c r="Q776" s="478">
        <f>'JKP-3.1c - Rev Actual Rates'!Q787</f>
        <v>350000</v>
      </c>
      <c r="R776" s="475">
        <f t="shared" si="208"/>
        <v>4200000</v>
      </c>
      <c r="S776" s="335"/>
      <c r="T776" s="415"/>
    </row>
    <row r="777" spans="1:20" s="336" customFormat="1" x14ac:dyDescent="0.2">
      <c r="B777" s="473"/>
      <c r="C777" s="415" t="s">
        <v>19</v>
      </c>
      <c r="D777" s="415"/>
      <c r="E777" s="415" t="s">
        <v>10</v>
      </c>
      <c r="F777" s="478">
        <f>'JKP-3.1c - Rev Actual Rates'!F788</f>
        <v>700000</v>
      </c>
      <c r="G777" s="478">
        <f>'JKP-3.1c - Rev Actual Rates'!G788</f>
        <v>700000</v>
      </c>
      <c r="H777" s="478">
        <f>'JKP-3.1c - Rev Actual Rates'!H788</f>
        <v>700000</v>
      </c>
      <c r="I777" s="478">
        <f>'JKP-3.1c - Rev Actual Rates'!I788</f>
        <v>696980</v>
      </c>
      <c r="J777" s="478">
        <f>'JKP-3.1c - Rev Actual Rates'!J788</f>
        <v>666126</v>
      </c>
      <c r="K777" s="478">
        <f>'JKP-3.1c - Rev Actual Rates'!K788</f>
        <v>557195</v>
      </c>
      <c r="L777" s="478">
        <f>'JKP-3.1c - Rev Actual Rates'!L788</f>
        <v>534767</v>
      </c>
      <c r="M777" s="478">
        <f>'JKP-3.1c - Rev Actual Rates'!M788</f>
        <v>530991</v>
      </c>
      <c r="N777" s="478">
        <f>'JKP-3.1c - Rev Actual Rates'!N788</f>
        <v>528511</v>
      </c>
      <c r="O777" s="478">
        <f>'JKP-3.1c - Rev Actual Rates'!O788</f>
        <v>665130</v>
      </c>
      <c r="P777" s="478">
        <f>'JKP-3.1c - Rev Actual Rates'!P788</f>
        <v>700000</v>
      </c>
      <c r="Q777" s="478">
        <f>'JKP-3.1c - Rev Actual Rates'!Q788</f>
        <v>700000</v>
      </c>
      <c r="R777" s="475">
        <f t="shared" si="208"/>
        <v>7679700</v>
      </c>
      <c r="S777" s="335"/>
      <c r="T777" s="415"/>
    </row>
    <row r="778" spans="1:20" s="336" customFormat="1" x14ac:dyDescent="0.2">
      <c r="B778" s="473"/>
      <c r="C778" s="415" t="s">
        <v>19</v>
      </c>
      <c r="D778" s="415"/>
      <c r="E778" s="415" t="s">
        <v>10</v>
      </c>
      <c r="F778" s="478">
        <f>'JKP-3.1c - Rev Actual Rates'!F789</f>
        <v>615370</v>
      </c>
      <c r="G778" s="478">
        <f>'JKP-3.1c - Rev Actual Rates'!G789</f>
        <v>566730</v>
      </c>
      <c r="H778" s="478">
        <f>'JKP-3.1c - Rev Actual Rates'!H789</f>
        <v>589922</v>
      </c>
      <c r="I778" s="478">
        <f>'JKP-3.1c - Rev Actual Rates'!I789</f>
        <v>528306</v>
      </c>
      <c r="J778" s="478">
        <f>'JKP-3.1c - Rev Actual Rates'!J789</f>
        <v>422363</v>
      </c>
      <c r="K778" s="478">
        <f>'JKP-3.1c - Rev Actual Rates'!K789</f>
        <v>227236</v>
      </c>
      <c r="L778" s="478">
        <f>'JKP-3.1c - Rev Actual Rates'!L789</f>
        <v>220738</v>
      </c>
      <c r="M778" s="478">
        <f>'JKP-3.1c - Rev Actual Rates'!M789</f>
        <v>209152</v>
      </c>
      <c r="N778" s="478">
        <f>'JKP-3.1c - Rev Actual Rates'!N789</f>
        <v>229727</v>
      </c>
      <c r="O778" s="478">
        <f>'JKP-3.1c - Rev Actual Rates'!O789</f>
        <v>446093</v>
      </c>
      <c r="P778" s="478">
        <f>'JKP-3.1c - Rev Actual Rates'!P789</f>
        <v>566263</v>
      </c>
      <c r="Q778" s="478">
        <f>'JKP-3.1c - Rev Actual Rates'!Q789</f>
        <v>580481</v>
      </c>
      <c r="R778" s="475">
        <f t="shared" si="208"/>
        <v>5202381</v>
      </c>
      <c r="S778" s="335"/>
      <c r="T778" s="415"/>
    </row>
    <row r="779" spans="1:20" s="336" customFormat="1" x14ac:dyDescent="0.2">
      <c r="B779" s="473"/>
      <c r="C779" s="415" t="s">
        <v>1118</v>
      </c>
      <c r="D779" s="415"/>
      <c r="E779" s="415" t="s">
        <v>10</v>
      </c>
      <c r="F779" s="478">
        <f>'JKP-3.1c - Rev Actual Rates'!F790</f>
        <v>1399932</v>
      </c>
      <c r="G779" s="478">
        <f>'JKP-3.1c - Rev Actual Rates'!G790</f>
        <v>1296321</v>
      </c>
      <c r="H779" s="478">
        <f>'JKP-3.1c - Rev Actual Rates'!H790</f>
        <v>1575585</v>
      </c>
      <c r="I779" s="478">
        <f>'JKP-3.1c - Rev Actual Rates'!I790</f>
        <v>1246739</v>
      </c>
      <c r="J779" s="478">
        <f>'JKP-3.1c - Rev Actual Rates'!J790</f>
        <v>961425</v>
      </c>
      <c r="K779" s="478">
        <f>'JKP-3.1c - Rev Actual Rates'!K790</f>
        <v>687096</v>
      </c>
      <c r="L779" s="478">
        <f>'JKP-3.1c - Rev Actual Rates'!L790</f>
        <v>512163</v>
      </c>
      <c r="M779" s="478">
        <f>'JKP-3.1c - Rev Actual Rates'!M790</f>
        <v>467496</v>
      </c>
      <c r="N779" s="478">
        <f>'JKP-3.1c - Rev Actual Rates'!N790</f>
        <v>472858</v>
      </c>
      <c r="O779" s="478">
        <f>'JKP-3.1c - Rev Actual Rates'!O790</f>
        <v>896132</v>
      </c>
      <c r="P779" s="478">
        <f>'JKP-3.1c - Rev Actual Rates'!P790</f>
        <v>1749972</v>
      </c>
      <c r="Q779" s="478">
        <f>'JKP-3.1c - Rev Actual Rates'!Q790</f>
        <v>1756019</v>
      </c>
      <c r="R779" s="475">
        <f t="shared" si="208"/>
        <v>13021738</v>
      </c>
      <c r="S779" s="335"/>
      <c r="T779" s="415"/>
    </row>
    <row r="780" spans="1:20" s="336" customFormat="1" x14ac:dyDescent="0.2">
      <c r="B780" s="473"/>
      <c r="C780" s="415" t="s">
        <v>1075</v>
      </c>
      <c r="D780" s="415"/>
      <c r="E780" s="415" t="s">
        <v>10</v>
      </c>
      <c r="F780" s="436">
        <f t="shared" ref="F780:N780" si="209">SUM(F774:F779)</f>
        <v>3517110</v>
      </c>
      <c r="G780" s="436">
        <f t="shared" si="209"/>
        <v>3347997</v>
      </c>
      <c r="H780" s="436">
        <f t="shared" si="209"/>
        <v>3654461</v>
      </c>
      <c r="I780" s="436">
        <f t="shared" si="209"/>
        <v>3238199</v>
      </c>
      <c r="J780" s="436">
        <f t="shared" si="209"/>
        <v>2805705</v>
      </c>
      <c r="K780" s="436">
        <f t="shared" si="209"/>
        <v>2216168</v>
      </c>
      <c r="L780" s="436">
        <f t="shared" si="209"/>
        <v>2006793</v>
      </c>
      <c r="M780" s="436">
        <f t="shared" si="209"/>
        <v>1941842</v>
      </c>
      <c r="N780" s="436">
        <f t="shared" si="209"/>
        <v>1979407</v>
      </c>
      <c r="O780" s="436">
        <f>SUM(O774:O779)</f>
        <v>2787377</v>
      </c>
      <c r="P780" s="436">
        <f>SUM(P774:P779)</f>
        <v>3842036</v>
      </c>
      <c r="Q780" s="436">
        <f>SUM(Q774:Q779)</f>
        <v>3871544</v>
      </c>
      <c r="R780" s="477">
        <f>SUM(R774:R779)</f>
        <v>35208639</v>
      </c>
      <c r="S780" s="335"/>
      <c r="T780" s="415"/>
    </row>
    <row r="781" spans="1:20" s="336" customFormat="1" x14ac:dyDescent="0.2">
      <c r="B781" s="473" t="s">
        <v>74</v>
      </c>
      <c r="C781" s="415"/>
      <c r="D781" s="415"/>
      <c r="E781" s="415" t="s">
        <v>1076</v>
      </c>
      <c r="F781" s="478">
        <f>'JKP-3.1c - Rev Actual Rates'!F792</f>
        <v>38483</v>
      </c>
      <c r="G781" s="478">
        <f>'JKP-3.1c - Rev Actual Rates'!G792</f>
        <v>38483</v>
      </c>
      <c r="H781" s="478">
        <f>'JKP-3.1c - Rev Actual Rates'!H792</f>
        <v>38483</v>
      </c>
      <c r="I781" s="478">
        <f>'JKP-3.1c - Rev Actual Rates'!I792</f>
        <v>38483</v>
      </c>
      <c r="J781" s="478">
        <f>'JKP-3.1c - Rev Actual Rates'!J792</f>
        <v>38483</v>
      </c>
      <c r="K781" s="478">
        <f>'JKP-3.1c - Rev Actual Rates'!K792</f>
        <v>38483</v>
      </c>
      <c r="L781" s="478">
        <f>'JKP-3.1c - Rev Actual Rates'!L792</f>
        <v>38483</v>
      </c>
      <c r="M781" s="478">
        <f>'JKP-3.1c - Rev Actual Rates'!M792</f>
        <v>38483</v>
      </c>
      <c r="N781" s="478">
        <f>'JKP-3.1c - Rev Actual Rates'!N792</f>
        <v>38483</v>
      </c>
      <c r="O781" s="478">
        <f>'JKP-3.1c - Rev Actual Rates'!O792</f>
        <v>38483</v>
      </c>
      <c r="P781" s="478">
        <f>'JKP-3.1c - Rev Actual Rates'!P792</f>
        <v>38483</v>
      </c>
      <c r="Q781" s="478">
        <f>'JKP-3.1c - Rev Actual Rates'!Q792</f>
        <v>38483</v>
      </c>
      <c r="R781" s="472">
        <f>SUM(F781:Q781)</f>
        <v>461796</v>
      </c>
      <c r="S781" s="335"/>
      <c r="T781" s="415"/>
    </row>
    <row r="782" spans="1:20" x14ac:dyDescent="0.2">
      <c r="B782" s="281"/>
      <c r="C782" s="390"/>
      <c r="D782" s="390"/>
      <c r="E782" s="390"/>
      <c r="F782" s="390"/>
      <c r="G782" s="390"/>
      <c r="H782" s="390"/>
      <c r="I782" s="390"/>
      <c r="J782" s="390"/>
      <c r="K782" s="390"/>
      <c r="L782" s="390"/>
      <c r="M782" s="390"/>
      <c r="N782" s="390"/>
      <c r="O782" s="390"/>
      <c r="P782" s="390"/>
      <c r="Q782" s="390"/>
      <c r="R782" s="469"/>
    </row>
    <row r="783" spans="1:20" x14ac:dyDescent="0.2">
      <c r="B783" s="471" t="s">
        <v>985</v>
      </c>
      <c r="C783" s="390"/>
      <c r="D783" s="390"/>
      <c r="E783" s="390"/>
      <c r="F783" s="390"/>
      <c r="G783" s="390"/>
      <c r="H783" s="390"/>
      <c r="I783" s="390"/>
      <c r="J783" s="390"/>
      <c r="K783" s="390"/>
      <c r="L783" s="390"/>
      <c r="M783" s="390"/>
      <c r="N783" s="390"/>
      <c r="O783" s="390"/>
      <c r="P783" s="390"/>
      <c r="Q783" s="390"/>
      <c r="R783" s="469"/>
    </row>
    <row r="784" spans="1:20" x14ac:dyDescent="0.2">
      <c r="A784" s="32" t="s">
        <v>1054</v>
      </c>
      <c r="B784" s="281" t="s">
        <v>1059</v>
      </c>
      <c r="C784" s="390"/>
      <c r="D784" s="390">
        <v>99</v>
      </c>
      <c r="E784" s="390"/>
      <c r="F784" s="417">
        <f t="shared" ref="F784:N784" si="210">F761*F772</f>
        <v>10462.200000000001</v>
      </c>
      <c r="G784" s="417">
        <f t="shared" si="210"/>
        <v>10462.200000000001</v>
      </c>
      <c r="H784" s="417">
        <f t="shared" si="210"/>
        <v>10462.200000000001</v>
      </c>
      <c r="I784" s="417">
        <f t="shared" si="210"/>
        <v>10462.200000000001</v>
      </c>
      <c r="J784" s="417">
        <f t="shared" si="210"/>
        <v>10462.200000000001</v>
      </c>
      <c r="K784" s="417">
        <f t="shared" si="210"/>
        <v>10462.200000000001</v>
      </c>
      <c r="L784" s="417">
        <f t="shared" si="210"/>
        <v>10462.200000000001</v>
      </c>
      <c r="M784" s="417">
        <f t="shared" si="210"/>
        <v>10462.200000000001</v>
      </c>
      <c r="N784" s="417">
        <f t="shared" si="210"/>
        <v>10462.200000000001</v>
      </c>
      <c r="O784" s="417">
        <f>O761*O772</f>
        <v>10462.200000000001</v>
      </c>
      <c r="P784" s="417">
        <f>P761*P772</f>
        <v>10462.200000000001</v>
      </c>
      <c r="Q784" s="417">
        <f>Q761*Q772</f>
        <v>10462.200000000001</v>
      </c>
      <c r="R784" s="479">
        <f>SUM(F784:Q784)</f>
        <v>125546.39999999998</v>
      </c>
    </row>
    <row r="785" spans="1:18" x14ac:dyDescent="0.2">
      <c r="B785" s="281" t="s">
        <v>1114</v>
      </c>
      <c r="C785" s="390"/>
      <c r="D785" s="390"/>
      <c r="E785" s="390"/>
      <c r="F785" s="417"/>
      <c r="G785" s="417"/>
      <c r="H785" s="417"/>
      <c r="I785" s="417"/>
      <c r="J785" s="417"/>
      <c r="K785" s="417"/>
      <c r="L785" s="417"/>
      <c r="M785" s="417"/>
      <c r="N785" s="417"/>
      <c r="O785" s="417"/>
      <c r="P785" s="417"/>
      <c r="Q785" s="417"/>
      <c r="R785" s="479"/>
    </row>
    <row r="786" spans="1:18" x14ac:dyDescent="0.2">
      <c r="B786" s="281"/>
      <c r="C786" s="390" t="s">
        <v>1115</v>
      </c>
      <c r="D786" s="390">
        <v>99</v>
      </c>
      <c r="E786" s="390"/>
      <c r="F786" s="417">
        <f t="shared" ref="F786:Q791" si="211">F774*F763</f>
        <v>26890.130160000001</v>
      </c>
      <c r="G786" s="417">
        <f t="shared" si="211"/>
        <v>26451.322</v>
      </c>
      <c r="H786" s="417">
        <f t="shared" si="211"/>
        <v>26527.456910000001</v>
      </c>
      <c r="I786" s="417">
        <f t="shared" si="211"/>
        <v>24816.90985</v>
      </c>
      <c r="J786" s="417">
        <f t="shared" si="211"/>
        <v>23961.10687</v>
      </c>
      <c r="K786" s="417">
        <f t="shared" si="211"/>
        <v>23162.06093</v>
      </c>
      <c r="L786" s="417">
        <f t="shared" si="211"/>
        <v>22649.659220000001</v>
      </c>
      <c r="M786" s="417">
        <f t="shared" si="211"/>
        <v>22152.505669999999</v>
      </c>
      <c r="N786" s="417">
        <f t="shared" si="211"/>
        <v>23135.58843</v>
      </c>
      <c r="O786" s="417">
        <f t="shared" si="211"/>
        <v>26074.24771</v>
      </c>
      <c r="P786" s="417">
        <f t="shared" si="211"/>
        <v>29010.153849999999</v>
      </c>
      <c r="Q786" s="417">
        <f t="shared" si="211"/>
        <v>29496.50662</v>
      </c>
      <c r="R786" s="479">
        <f t="shared" ref="R786:R791" si="212">SUM(F786:Q786)</f>
        <v>304327.64821999997</v>
      </c>
    </row>
    <row r="787" spans="1:18" x14ac:dyDescent="0.2">
      <c r="B787" s="281"/>
      <c r="C787" s="390" t="s">
        <v>1116</v>
      </c>
      <c r="D787" s="390">
        <v>99</v>
      </c>
      <c r="E787" s="390"/>
      <c r="F787" s="417">
        <f t="shared" si="211"/>
        <v>11394.98776</v>
      </c>
      <c r="G787" s="417">
        <f t="shared" si="211"/>
        <v>10662.558140000001</v>
      </c>
      <c r="H787" s="417">
        <f t="shared" si="211"/>
        <v>10851.971650000001</v>
      </c>
      <c r="I787" s="417">
        <f t="shared" si="211"/>
        <v>10470.38031</v>
      </c>
      <c r="J787" s="417">
        <f t="shared" si="211"/>
        <v>10337.86572</v>
      </c>
      <c r="K787" s="417">
        <f t="shared" si="211"/>
        <v>10130.31136</v>
      </c>
      <c r="L787" s="417">
        <f t="shared" si="211"/>
        <v>10091.32293</v>
      </c>
      <c r="M787" s="417">
        <f t="shared" si="211"/>
        <v>10078.25</v>
      </c>
      <c r="N787" s="417">
        <f t="shared" si="211"/>
        <v>10356.06416</v>
      </c>
      <c r="O787" s="417">
        <f t="shared" si="211"/>
        <v>10584.062970000001</v>
      </c>
      <c r="P787" s="417">
        <f t="shared" si="211"/>
        <v>11623.73524</v>
      </c>
      <c r="Q787" s="417">
        <f t="shared" si="211"/>
        <v>11891.52874</v>
      </c>
      <c r="R787" s="479">
        <f t="shared" si="212"/>
        <v>128473.03897999998</v>
      </c>
    </row>
    <row r="788" spans="1:18" x14ac:dyDescent="0.2">
      <c r="B788" s="281"/>
      <c r="C788" s="390" t="s">
        <v>1117</v>
      </c>
      <c r="D788" s="390">
        <v>99</v>
      </c>
      <c r="E788" s="390"/>
      <c r="F788" s="417">
        <f t="shared" si="211"/>
        <v>12092.499999999998</v>
      </c>
      <c r="G788" s="417">
        <f t="shared" si="211"/>
        <v>12092.499999999998</v>
      </c>
      <c r="H788" s="417">
        <f t="shared" si="211"/>
        <v>12092.499999999998</v>
      </c>
      <c r="I788" s="417">
        <f t="shared" si="211"/>
        <v>12092.499999999998</v>
      </c>
      <c r="J788" s="417">
        <f t="shared" si="211"/>
        <v>12092.499999999998</v>
      </c>
      <c r="K788" s="417">
        <f t="shared" si="211"/>
        <v>12092.499999999998</v>
      </c>
      <c r="L788" s="417">
        <f t="shared" si="211"/>
        <v>12092.499999999998</v>
      </c>
      <c r="M788" s="417">
        <f t="shared" si="211"/>
        <v>12092.499999999998</v>
      </c>
      <c r="N788" s="417">
        <f t="shared" si="211"/>
        <v>12092.499999999998</v>
      </c>
      <c r="O788" s="417">
        <f t="shared" si="211"/>
        <v>12092.499999999998</v>
      </c>
      <c r="P788" s="417">
        <f t="shared" si="211"/>
        <v>12092.499999999998</v>
      </c>
      <c r="Q788" s="417">
        <f t="shared" si="211"/>
        <v>12092.499999999998</v>
      </c>
      <c r="R788" s="479">
        <f t="shared" si="212"/>
        <v>145109.99999999997</v>
      </c>
    </row>
    <row r="789" spans="1:18" x14ac:dyDescent="0.2">
      <c r="B789" s="281"/>
      <c r="C789" s="390" t="s">
        <v>19</v>
      </c>
      <c r="D789" s="390">
        <v>99</v>
      </c>
      <c r="E789" s="390"/>
      <c r="F789" s="417">
        <f t="shared" si="211"/>
        <v>16128.000000000002</v>
      </c>
      <c r="G789" s="417">
        <f t="shared" si="211"/>
        <v>16128.000000000002</v>
      </c>
      <c r="H789" s="417">
        <f t="shared" si="211"/>
        <v>16128.000000000002</v>
      </c>
      <c r="I789" s="417">
        <f t="shared" si="211"/>
        <v>16058.4192</v>
      </c>
      <c r="J789" s="417">
        <f t="shared" si="211"/>
        <v>15347.54304</v>
      </c>
      <c r="K789" s="417">
        <f t="shared" si="211"/>
        <v>12837.772800000001</v>
      </c>
      <c r="L789" s="417">
        <f t="shared" si="211"/>
        <v>12321.03168</v>
      </c>
      <c r="M789" s="417">
        <f t="shared" si="211"/>
        <v>12234.032640000001</v>
      </c>
      <c r="N789" s="417">
        <f t="shared" si="211"/>
        <v>12176.893440000002</v>
      </c>
      <c r="O789" s="417">
        <f t="shared" si="211"/>
        <v>15324.595200000002</v>
      </c>
      <c r="P789" s="417">
        <f t="shared" si="211"/>
        <v>16128.000000000002</v>
      </c>
      <c r="Q789" s="417">
        <f t="shared" si="211"/>
        <v>16128.000000000002</v>
      </c>
      <c r="R789" s="479">
        <f t="shared" si="212"/>
        <v>176940.28800000003</v>
      </c>
    </row>
    <row r="790" spans="1:18" x14ac:dyDescent="0.2">
      <c r="B790" s="281"/>
      <c r="C790" s="390" t="s">
        <v>19</v>
      </c>
      <c r="D790" s="390">
        <v>99</v>
      </c>
      <c r="E790" s="390"/>
      <c r="F790" s="417">
        <f t="shared" si="211"/>
        <v>10633.5936</v>
      </c>
      <c r="G790" s="417">
        <f t="shared" si="211"/>
        <v>9793.0944</v>
      </c>
      <c r="H790" s="417">
        <f t="shared" si="211"/>
        <v>10193.85216</v>
      </c>
      <c r="I790" s="417">
        <f t="shared" si="211"/>
        <v>9129.1276799999996</v>
      </c>
      <c r="J790" s="417">
        <f t="shared" si="211"/>
        <v>7298.43264</v>
      </c>
      <c r="K790" s="417">
        <f t="shared" si="211"/>
        <v>3926.6380800000002</v>
      </c>
      <c r="L790" s="417">
        <f t="shared" si="211"/>
        <v>3814.3526400000001</v>
      </c>
      <c r="M790" s="417">
        <f t="shared" si="211"/>
        <v>3614.1465600000001</v>
      </c>
      <c r="N790" s="417">
        <f t="shared" si="211"/>
        <v>3969.6825600000002</v>
      </c>
      <c r="O790" s="417">
        <f t="shared" si="211"/>
        <v>7708.48704</v>
      </c>
      <c r="P790" s="417">
        <f t="shared" si="211"/>
        <v>9785.0246399999996</v>
      </c>
      <c r="Q790" s="417">
        <f t="shared" si="211"/>
        <v>10030.71168</v>
      </c>
      <c r="R790" s="479">
        <f t="shared" si="212"/>
        <v>89897.143680000008</v>
      </c>
    </row>
    <row r="791" spans="1:18" x14ac:dyDescent="0.2">
      <c r="B791" s="281"/>
      <c r="C791" s="390" t="s">
        <v>1118</v>
      </c>
      <c r="D791" s="390">
        <v>99</v>
      </c>
      <c r="E791" s="390"/>
      <c r="F791" s="417">
        <f t="shared" si="211"/>
        <v>16113.21732</v>
      </c>
      <c r="G791" s="417">
        <f t="shared" si="211"/>
        <v>14920.654709999999</v>
      </c>
      <c r="H791" s="417">
        <f t="shared" si="211"/>
        <v>18134.983349999999</v>
      </c>
      <c r="I791" s="417">
        <f t="shared" si="211"/>
        <v>14349.965889999999</v>
      </c>
      <c r="J791" s="417">
        <f t="shared" si="211"/>
        <v>11066.001749999999</v>
      </c>
      <c r="K791" s="417">
        <f t="shared" si="211"/>
        <v>7908.4749599999996</v>
      </c>
      <c r="L791" s="417">
        <f t="shared" si="211"/>
        <v>5894.9961299999995</v>
      </c>
      <c r="M791" s="417">
        <f t="shared" si="211"/>
        <v>5380.87896</v>
      </c>
      <c r="N791" s="417">
        <f t="shared" si="211"/>
        <v>5442.5955800000002</v>
      </c>
      <c r="O791" s="417">
        <f t="shared" si="211"/>
        <v>10314.479319999999</v>
      </c>
      <c r="P791" s="417">
        <f t="shared" si="211"/>
        <v>20142.17772</v>
      </c>
      <c r="Q791" s="417">
        <f t="shared" si="211"/>
        <v>20211.778689999999</v>
      </c>
      <c r="R791" s="479">
        <f t="shared" si="212"/>
        <v>149880.20438000001</v>
      </c>
    </row>
    <row r="792" spans="1:18" x14ac:dyDescent="0.2">
      <c r="A792" s="32" t="s">
        <v>1054</v>
      </c>
      <c r="B792" s="281"/>
      <c r="C792" s="390" t="s">
        <v>1120</v>
      </c>
      <c r="D792" s="390">
        <v>99</v>
      </c>
      <c r="E792" s="390"/>
      <c r="F792" s="365">
        <f t="shared" ref="F792:N792" si="213">SUM(F786:F791)</f>
        <v>93252.428840000008</v>
      </c>
      <c r="G792" s="365">
        <f t="shared" si="213"/>
        <v>90048.129249999998</v>
      </c>
      <c r="H792" s="365">
        <f t="shared" si="213"/>
        <v>93928.76406999999</v>
      </c>
      <c r="I792" s="365">
        <f t="shared" si="213"/>
        <v>86917.302930000005</v>
      </c>
      <c r="J792" s="365">
        <f t="shared" si="213"/>
        <v>80103.450019999989</v>
      </c>
      <c r="K792" s="365">
        <f t="shared" si="213"/>
        <v>70057.758130000002</v>
      </c>
      <c r="L792" s="365">
        <f t="shared" si="213"/>
        <v>66863.862599999993</v>
      </c>
      <c r="M792" s="365">
        <f t="shared" si="213"/>
        <v>65552.313829999999</v>
      </c>
      <c r="N792" s="365">
        <f t="shared" si="213"/>
        <v>67173.324169999993</v>
      </c>
      <c r="O792" s="365">
        <f>SUM(O786:O791)</f>
        <v>82098.372240000012</v>
      </c>
      <c r="P792" s="365">
        <f>SUM(P786:P791)</f>
        <v>98781.591450000007</v>
      </c>
      <c r="Q792" s="365">
        <f>SUM(Q786:Q791)</f>
        <v>99851.025730000023</v>
      </c>
      <c r="R792" s="480">
        <f>SUM(R786:R791)</f>
        <v>994628.32325999998</v>
      </c>
    </row>
    <row r="793" spans="1:18" x14ac:dyDescent="0.2">
      <c r="A793" s="32" t="s">
        <v>1054</v>
      </c>
      <c r="B793" s="281" t="s">
        <v>1069</v>
      </c>
      <c r="C793" s="390"/>
      <c r="D793" s="390">
        <v>99</v>
      </c>
      <c r="E793" s="390"/>
      <c r="F793" s="417">
        <f t="shared" ref="F793:N793" si="214">F769*F781</f>
        <v>42716.130000000005</v>
      </c>
      <c r="G793" s="417">
        <f t="shared" si="214"/>
        <v>42716.130000000005</v>
      </c>
      <c r="H793" s="417">
        <f t="shared" si="214"/>
        <v>42716.130000000005</v>
      </c>
      <c r="I793" s="417">
        <f t="shared" si="214"/>
        <v>42716.130000000005</v>
      </c>
      <c r="J793" s="417">
        <f t="shared" si="214"/>
        <v>42716.130000000005</v>
      </c>
      <c r="K793" s="417">
        <f t="shared" si="214"/>
        <v>42716.130000000005</v>
      </c>
      <c r="L793" s="417">
        <f t="shared" si="214"/>
        <v>42716.130000000005</v>
      </c>
      <c r="M793" s="417">
        <f t="shared" si="214"/>
        <v>42716.130000000005</v>
      </c>
      <c r="N793" s="417">
        <f t="shared" si="214"/>
        <v>42716.130000000005</v>
      </c>
      <c r="O793" s="417">
        <f>O769*O781</f>
        <v>42716.130000000005</v>
      </c>
      <c r="P793" s="417">
        <f>P769*P781</f>
        <v>42716.130000000005</v>
      </c>
      <c r="Q793" s="417">
        <f>Q769*Q781</f>
        <v>42716.130000000005</v>
      </c>
      <c r="R793" s="479">
        <f>SUM(F793:Q793)</f>
        <v>512593.56000000006</v>
      </c>
    </row>
    <row r="794" spans="1:18" ht="13.5" thickBot="1" x14ac:dyDescent="0.25">
      <c r="B794" s="481" t="s">
        <v>986</v>
      </c>
      <c r="C794" s="482"/>
      <c r="D794" s="482"/>
      <c r="E794" s="482"/>
      <c r="F794" s="483">
        <f t="shared" ref="F794:N794" si="215">F784+F792+F793</f>
        <v>146430.75884000002</v>
      </c>
      <c r="G794" s="483">
        <f t="shared" si="215"/>
        <v>143226.45925000001</v>
      </c>
      <c r="H794" s="483">
        <f t="shared" si="215"/>
        <v>147107.09406999999</v>
      </c>
      <c r="I794" s="483">
        <f t="shared" si="215"/>
        <v>140095.63293000002</v>
      </c>
      <c r="J794" s="483">
        <f t="shared" si="215"/>
        <v>133281.78002000001</v>
      </c>
      <c r="K794" s="483">
        <f t="shared" si="215"/>
        <v>123236.08813</v>
      </c>
      <c r="L794" s="483">
        <f t="shared" si="215"/>
        <v>120042.19259999999</v>
      </c>
      <c r="M794" s="483">
        <f t="shared" si="215"/>
        <v>118730.64383</v>
      </c>
      <c r="N794" s="483">
        <f t="shared" si="215"/>
        <v>120351.65416999999</v>
      </c>
      <c r="O794" s="483">
        <f>O784+O792+O793</f>
        <v>135276.70224000001</v>
      </c>
      <c r="P794" s="483">
        <f>P784+P792+P793</f>
        <v>151959.92145000002</v>
      </c>
      <c r="Q794" s="483">
        <f>Q784+Q792+Q793</f>
        <v>153029.35573000001</v>
      </c>
      <c r="R794" s="484">
        <f>R784+R792+R793</f>
        <v>1632768.2832599999</v>
      </c>
    </row>
    <row r="795" spans="1:18" x14ac:dyDescent="0.2">
      <c r="F795" s="364"/>
      <c r="G795" s="364"/>
      <c r="H795" s="364"/>
      <c r="I795" s="364"/>
      <c r="J795" s="364"/>
      <c r="K795" s="364"/>
      <c r="L795" s="364"/>
      <c r="M795" s="364"/>
      <c r="N795" s="364"/>
      <c r="O795" s="364"/>
      <c r="P795" s="364"/>
      <c r="Q795" s="364"/>
      <c r="R795" s="364"/>
    </row>
    <row r="796" spans="1:18" x14ac:dyDescent="0.2">
      <c r="B796" s="276" t="s">
        <v>1001</v>
      </c>
    </row>
    <row r="797" spans="1:18" x14ac:dyDescent="0.2">
      <c r="B797" s="276" t="s">
        <v>1002</v>
      </c>
    </row>
    <row r="798" spans="1:18" x14ac:dyDescent="0.2">
      <c r="B798" s="277" t="s">
        <v>9</v>
      </c>
      <c r="D798" s="32">
        <v>16</v>
      </c>
      <c r="F798" s="279">
        <f>F14</f>
        <v>54</v>
      </c>
      <c r="G798" s="279">
        <f t="shared" ref="G798:Q798" si="216">G14</f>
        <v>54</v>
      </c>
      <c r="H798" s="279">
        <f t="shared" si="216"/>
        <v>54</v>
      </c>
      <c r="I798" s="279">
        <f t="shared" si="216"/>
        <v>54</v>
      </c>
      <c r="J798" s="279">
        <f t="shared" si="216"/>
        <v>53.999999999999993</v>
      </c>
      <c r="K798" s="279">
        <f t="shared" si="216"/>
        <v>54</v>
      </c>
      <c r="L798" s="279">
        <f t="shared" si="216"/>
        <v>53</v>
      </c>
      <c r="M798" s="279">
        <f t="shared" si="216"/>
        <v>53</v>
      </c>
      <c r="N798" s="279">
        <f t="shared" si="216"/>
        <v>53</v>
      </c>
      <c r="O798" s="279">
        <f t="shared" si="216"/>
        <v>53</v>
      </c>
      <c r="P798" s="279">
        <f t="shared" si="216"/>
        <v>53</v>
      </c>
      <c r="Q798" s="279">
        <f t="shared" si="216"/>
        <v>53</v>
      </c>
      <c r="R798" s="378">
        <f>SUM(F798:Q798)</f>
        <v>642</v>
      </c>
    </row>
    <row r="799" spans="1:18" x14ac:dyDescent="0.2">
      <c r="B799" s="277"/>
      <c r="F799" s="279"/>
      <c r="G799" s="279"/>
      <c r="H799" s="279"/>
      <c r="I799" s="279"/>
      <c r="J799" s="279"/>
      <c r="K799" s="279"/>
      <c r="L799" s="279"/>
      <c r="M799" s="279"/>
      <c r="N799" s="279"/>
      <c r="O799" s="279"/>
      <c r="P799" s="279"/>
      <c r="Q799" s="279"/>
      <c r="R799" s="279"/>
    </row>
    <row r="800" spans="1:18" x14ac:dyDescent="0.2">
      <c r="B800" s="32" t="s">
        <v>1121</v>
      </c>
    </row>
    <row r="801" spans="3:18" x14ac:dyDescent="0.2">
      <c r="C801" s="32" t="s">
        <v>374</v>
      </c>
      <c r="D801" s="32">
        <v>23</v>
      </c>
      <c r="F801" s="279">
        <f t="shared" ref="F801:N801" si="217">F33</f>
        <v>699965</v>
      </c>
      <c r="G801" s="279">
        <f t="shared" si="217"/>
        <v>701215</v>
      </c>
      <c r="H801" s="279">
        <f t="shared" si="217"/>
        <v>702257</v>
      </c>
      <c r="I801" s="279">
        <f t="shared" si="217"/>
        <v>702573</v>
      </c>
      <c r="J801" s="279">
        <f t="shared" si="217"/>
        <v>703246</v>
      </c>
      <c r="K801" s="279">
        <f t="shared" si="217"/>
        <v>704366</v>
      </c>
      <c r="L801" s="279">
        <f t="shared" si="217"/>
        <v>704758</v>
      </c>
      <c r="M801" s="279">
        <f t="shared" si="217"/>
        <v>703964</v>
      </c>
      <c r="N801" s="279">
        <f t="shared" si="217"/>
        <v>705153</v>
      </c>
      <c r="O801" s="279">
        <f>O33</f>
        <v>704137</v>
      </c>
      <c r="P801" s="279">
        <f>P33</f>
        <v>704666</v>
      </c>
      <c r="Q801" s="279">
        <f>Q33</f>
        <v>705036</v>
      </c>
      <c r="R801" s="378">
        <f t="shared" ref="R801:R820" si="218">SUM(F801:Q801)</f>
        <v>8441336</v>
      </c>
    </row>
    <row r="802" spans="3:18" x14ac:dyDescent="0.2">
      <c r="C802" s="32" t="s">
        <v>1122</v>
      </c>
      <c r="D802" s="32">
        <v>53</v>
      </c>
      <c r="F802" s="279">
        <f t="shared" ref="F802:N802" si="219">F51</f>
        <v>5</v>
      </c>
      <c r="G802" s="279">
        <f t="shared" si="219"/>
        <v>5</v>
      </c>
      <c r="H802" s="279">
        <f t="shared" si="219"/>
        <v>5</v>
      </c>
      <c r="I802" s="279">
        <f t="shared" si="219"/>
        <v>5</v>
      </c>
      <c r="J802" s="279">
        <f t="shared" si="219"/>
        <v>5</v>
      </c>
      <c r="K802" s="279">
        <f t="shared" si="219"/>
        <v>5</v>
      </c>
      <c r="L802" s="279">
        <f t="shared" si="219"/>
        <v>6</v>
      </c>
      <c r="M802" s="279">
        <f t="shared" si="219"/>
        <v>6</v>
      </c>
      <c r="N802" s="279">
        <f t="shared" si="219"/>
        <v>5</v>
      </c>
      <c r="O802" s="279">
        <f>O51</f>
        <v>5</v>
      </c>
      <c r="P802" s="279">
        <f>P51</f>
        <v>5</v>
      </c>
      <c r="Q802" s="279">
        <f>Q51</f>
        <v>4</v>
      </c>
      <c r="R802" s="378">
        <f t="shared" si="218"/>
        <v>61</v>
      </c>
    </row>
    <row r="803" spans="3:18" x14ac:dyDescent="0.2">
      <c r="C803" s="32" t="s">
        <v>1123</v>
      </c>
      <c r="D803" s="32">
        <v>31</v>
      </c>
      <c r="F803" s="279">
        <f t="shared" ref="F803:N803" si="220">F80</f>
        <v>52658</v>
      </c>
      <c r="G803" s="279">
        <f t="shared" si="220"/>
        <v>52610</v>
      </c>
      <c r="H803" s="279">
        <f t="shared" si="220"/>
        <v>52574</v>
      </c>
      <c r="I803" s="279">
        <f t="shared" si="220"/>
        <v>52525</v>
      </c>
      <c r="J803" s="279">
        <f t="shared" si="220"/>
        <v>52396</v>
      </c>
      <c r="K803" s="279">
        <f t="shared" si="220"/>
        <v>52307</v>
      </c>
      <c r="L803" s="279">
        <f t="shared" si="220"/>
        <v>52272</v>
      </c>
      <c r="M803" s="279">
        <f t="shared" si="220"/>
        <v>52234</v>
      </c>
      <c r="N803" s="279">
        <f t="shared" si="220"/>
        <v>52221</v>
      </c>
      <c r="O803" s="279">
        <f>O80</f>
        <v>52328</v>
      </c>
      <c r="P803" s="279">
        <f>P80</f>
        <v>52300</v>
      </c>
      <c r="Q803" s="279">
        <f>Q80</f>
        <v>52414</v>
      </c>
      <c r="R803" s="378">
        <f t="shared" si="218"/>
        <v>628839</v>
      </c>
    </row>
    <row r="804" spans="3:18" x14ac:dyDescent="0.2">
      <c r="C804" s="32" t="s">
        <v>1124</v>
      </c>
      <c r="D804" s="32">
        <v>41</v>
      </c>
      <c r="F804" s="279">
        <f t="shared" ref="F804:N804" si="221">F106</f>
        <v>1953</v>
      </c>
      <c r="G804" s="279">
        <f t="shared" si="221"/>
        <v>1949</v>
      </c>
      <c r="H804" s="279">
        <f t="shared" si="221"/>
        <v>1949</v>
      </c>
      <c r="I804" s="279">
        <f t="shared" si="221"/>
        <v>1951</v>
      </c>
      <c r="J804" s="279">
        <f t="shared" si="221"/>
        <v>1946</v>
      </c>
      <c r="K804" s="279">
        <f t="shared" si="221"/>
        <v>1952</v>
      </c>
      <c r="L804" s="279">
        <f t="shared" si="221"/>
        <v>1951</v>
      </c>
      <c r="M804" s="279">
        <f t="shared" si="221"/>
        <v>1936</v>
      </c>
      <c r="N804" s="279">
        <f t="shared" si="221"/>
        <v>1923</v>
      </c>
      <c r="O804" s="279">
        <f>O106</f>
        <v>1902</v>
      </c>
      <c r="P804" s="279">
        <f>P106</f>
        <v>1884</v>
      </c>
      <c r="Q804" s="279">
        <f>Q106</f>
        <v>1883</v>
      </c>
      <c r="R804" s="378">
        <f t="shared" si="218"/>
        <v>23179</v>
      </c>
    </row>
    <row r="805" spans="3:18" x14ac:dyDescent="0.2">
      <c r="C805" s="32" t="s">
        <v>1125</v>
      </c>
      <c r="D805" s="444" t="s">
        <v>808</v>
      </c>
      <c r="F805" s="279">
        <f t="shared" ref="F805:L805" si="222">F145</f>
        <v>10</v>
      </c>
      <c r="G805" s="279">
        <f t="shared" si="222"/>
        <v>10</v>
      </c>
      <c r="H805" s="279">
        <f t="shared" si="222"/>
        <v>10</v>
      </c>
      <c r="I805" s="279">
        <f t="shared" si="222"/>
        <v>10</v>
      </c>
      <c r="J805" s="279">
        <f t="shared" si="222"/>
        <v>10</v>
      </c>
      <c r="K805" s="279">
        <f t="shared" si="222"/>
        <v>10</v>
      </c>
      <c r="L805" s="279">
        <f t="shared" si="222"/>
        <v>10</v>
      </c>
      <c r="M805" s="279">
        <f>M145</f>
        <v>10</v>
      </c>
      <c r="N805" s="279">
        <f>N145</f>
        <v>11</v>
      </c>
      <c r="O805" s="279">
        <f>O145</f>
        <v>12</v>
      </c>
      <c r="P805" s="279">
        <f>P145</f>
        <v>20</v>
      </c>
      <c r="Q805" s="279">
        <f>Q145</f>
        <v>30</v>
      </c>
      <c r="R805" s="378">
        <f t="shared" si="218"/>
        <v>153</v>
      </c>
    </row>
    <row r="806" spans="3:18" x14ac:dyDescent="0.2">
      <c r="C806" s="32" t="s">
        <v>1126</v>
      </c>
      <c r="D806" s="444" t="s">
        <v>809</v>
      </c>
      <c r="F806" s="279">
        <f t="shared" ref="F806:L806" si="223">F181</f>
        <v>35</v>
      </c>
      <c r="G806" s="279">
        <f t="shared" si="223"/>
        <v>37</v>
      </c>
      <c r="H806" s="279">
        <f t="shared" si="223"/>
        <v>36</v>
      </c>
      <c r="I806" s="279">
        <f t="shared" si="223"/>
        <v>36</v>
      </c>
      <c r="J806" s="279">
        <f t="shared" si="223"/>
        <v>37</v>
      </c>
      <c r="K806" s="279">
        <f t="shared" si="223"/>
        <v>37</v>
      </c>
      <c r="L806" s="279">
        <f t="shared" si="223"/>
        <v>37</v>
      </c>
      <c r="M806" s="279">
        <f>M181</f>
        <v>37</v>
      </c>
      <c r="N806" s="279">
        <f>N181</f>
        <v>37</v>
      </c>
      <c r="O806" s="279">
        <f>O181</f>
        <v>36</v>
      </c>
      <c r="P806" s="279">
        <f>P181</f>
        <v>35</v>
      </c>
      <c r="Q806" s="279">
        <f>Q181</f>
        <v>35</v>
      </c>
      <c r="R806" s="378">
        <f t="shared" si="218"/>
        <v>435</v>
      </c>
    </row>
    <row r="807" spans="3:18" x14ac:dyDescent="0.2">
      <c r="C807" s="32" t="s">
        <v>1127</v>
      </c>
      <c r="D807" s="444" t="s">
        <v>811</v>
      </c>
      <c r="F807" s="279">
        <f t="shared" ref="F807:L807" si="224">F219</f>
        <v>2</v>
      </c>
      <c r="G807" s="279">
        <f t="shared" si="224"/>
        <v>2</v>
      </c>
      <c r="H807" s="279">
        <f t="shared" si="224"/>
        <v>2</v>
      </c>
      <c r="I807" s="279">
        <f t="shared" si="224"/>
        <v>2</v>
      </c>
      <c r="J807" s="279">
        <f t="shared" si="224"/>
        <v>2</v>
      </c>
      <c r="K807" s="279">
        <f t="shared" si="224"/>
        <v>2</v>
      </c>
      <c r="L807" s="279">
        <f t="shared" si="224"/>
        <v>2</v>
      </c>
      <c r="M807" s="279">
        <f>M219</f>
        <v>2</v>
      </c>
      <c r="N807" s="279">
        <f>N219</f>
        <v>2</v>
      </c>
      <c r="O807" s="279">
        <f>O219</f>
        <v>2</v>
      </c>
      <c r="P807" s="279">
        <f>P219</f>
        <v>2</v>
      </c>
      <c r="Q807" s="279">
        <f>Q219</f>
        <v>2</v>
      </c>
      <c r="R807" s="378">
        <f t="shared" si="218"/>
        <v>24</v>
      </c>
    </row>
    <row r="808" spans="3:18" x14ac:dyDescent="0.2">
      <c r="C808" s="32" t="s">
        <v>1128</v>
      </c>
      <c r="D808" s="32">
        <v>85</v>
      </c>
      <c r="F808" s="279">
        <f t="shared" ref="F808:N808" si="225">F276</f>
        <v>25</v>
      </c>
      <c r="G808" s="279">
        <f t="shared" si="225"/>
        <v>25</v>
      </c>
      <c r="H808" s="279">
        <f t="shared" si="225"/>
        <v>27</v>
      </c>
      <c r="I808" s="279">
        <f t="shared" si="225"/>
        <v>27</v>
      </c>
      <c r="J808" s="279">
        <f t="shared" si="225"/>
        <v>27</v>
      </c>
      <c r="K808" s="279">
        <f t="shared" si="225"/>
        <v>27</v>
      </c>
      <c r="L808" s="279">
        <f t="shared" si="225"/>
        <v>27</v>
      </c>
      <c r="M808" s="279">
        <f t="shared" si="225"/>
        <v>28</v>
      </c>
      <c r="N808" s="279">
        <f t="shared" si="225"/>
        <v>27</v>
      </c>
      <c r="O808" s="279">
        <f>O276</f>
        <v>27</v>
      </c>
      <c r="P808" s="279">
        <f>P276</f>
        <v>27</v>
      </c>
      <c r="Q808" s="279">
        <f>Q276</f>
        <v>27</v>
      </c>
      <c r="R808" s="378">
        <f t="shared" si="218"/>
        <v>321</v>
      </c>
    </row>
    <row r="809" spans="3:18" x14ac:dyDescent="0.2">
      <c r="C809" s="32" t="s">
        <v>1129</v>
      </c>
      <c r="D809" s="32">
        <v>86</v>
      </c>
      <c r="F809" s="279">
        <f t="shared" ref="F809:N809" si="226">F320</f>
        <v>334</v>
      </c>
      <c r="G809" s="279">
        <f t="shared" si="226"/>
        <v>334</v>
      </c>
      <c r="H809" s="279">
        <f t="shared" si="226"/>
        <v>330</v>
      </c>
      <c r="I809" s="279">
        <f t="shared" si="226"/>
        <v>327</v>
      </c>
      <c r="J809" s="279">
        <f t="shared" si="226"/>
        <v>329</v>
      </c>
      <c r="K809" s="279">
        <f t="shared" si="226"/>
        <v>329</v>
      </c>
      <c r="L809" s="279">
        <f t="shared" si="226"/>
        <v>326</v>
      </c>
      <c r="M809" s="279">
        <f t="shared" si="226"/>
        <v>324</v>
      </c>
      <c r="N809" s="279">
        <f t="shared" si="226"/>
        <v>320</v>
      </c>
      <c r="O809" s="279">
        <f>O320</f>
        <v>317</v>
      </c>
      <c r="P809" s="279">
        <f>P320</f>
        <v>318</v>
      </c>
      <c r="Q809" s="279">
        <f>Q320</f>
        <v>317</v>
      </c>
      <c r="R809" s="378">
        <f t="shared" si="218"/>
        <v>3905</v>
      </c>
    </row>
    <row r="810" spans="3:18" x14ac:dyDescent="0.2">
      <c r="C810" s="32" t="s">
        <v>1130</v>
      </c>
      <c r="D810" s="32">
        <v>87</v>
      </c>
      <c r="F810" s="279">
        <f t="shared" ref="F810:N810" si="227">F366</f>
        <v>8</v>
      </c>
      <c r="G810" s="279">
        <f t="shared" si="227"/>
        <v>8</v>
      </c>
      <c r="H810" s="279">
        <f t="shared" si="227"/>
        <v>8</v>
      </c>
      <c r="I810" s="279">
        <f t="shared" si="227"/>
        <v>8</v>
      </c>
      <c r="J810" s="279">
        <f t="shared" si="227"/>
        <v>8</v>
      </c>
      <c r="K810" s="279">
        <f t="shared" si="227"/>
        <v>8</v>
      </c>
      <c r="L810" s="279">
        <f t="shared" si="227"/>
        <v>8</v>
      </c>
      <c r="M810" s="279">
        <f t="shared" si="227"/>
        <v>8</v>
      </c>
      <c r="N810" s="279">
        <f t="shared" si="227"/>
        <v>8</v>
      </c>
      <c r="O810" s="279">
        <f>O366</f>
        <v>8</v>
      </c>
      <c r="P810" s="279">
        <f>P366</f>
        <v>8</v>
      </c>
      <c r="Q810" s="279">
        <f>Q366</f>
        <v>8</v>
      </c>
      <c r="R810" s="378">
        <f t="shared" si="218"/>
        <v>96</v>
      </c>
    </row>
    <row r="811" spans="3:18" x14ac:dyDescent="0.2">
      <c r="C811" s="32" t="s">
        <v>1131</v>
      </c>
      <c r="D811" s="32">
        <v>31</v>
      </c>
      <c r="F811" s="279">
        <f t="shared" ref="F811:N811" si="228">F408</f>
        <v>2456</v>
      </c>
      <c r="G811" s="279">
        <f t="shared" si="228"/>
        <v>2452</v>
      </c>
      <c r="H811" s="279">
        <f t="shared" si="228"/>
        <v>2438</v>
      </c>
      <c r="I811" s="279">
        <f t="shared" si="228"/>
        <v>2426.02</v>
      </c>
      <c r="J811" s="279">
        <f t="shared" si="228"/>
        <v>2428</v>
      </c>
      <c r="K811" s="279">
        <f t="shared" si="228"/>
        <v>2444</v>
      </c>
      <c r="L811" s="279">
        <f t="shared" si="228"/>
        <v>2423</v>
      </c>
      <c r="M811" s="279">
        <f t="shared" si="228"/>
        <v>2413</v>
      </c>
      <c r="N811" s="279">
        <f t="shared" si="228"/>
        <v>2412</v>
      </c>
      <c r="O811" s="279">
        <f>O408</f>
        <v>2421</v>
      </c>
      <c r="P811" s="279">
        <f>P408</f>
        <v>2419</v>
      </c>
      <c r="Q811" s="279">
        <f>Q408</f>
        <v>2423</v>
      </c>
      <c r="R811" s="378">
        <f t="shared" si="218"/>
        <v>29155.02</v>
      </c>
    </row>
    <row r="812" spans="3:18" x14ac:dyDescent="0.2">
      <c r="C812" s="32" t="s">
        <v>1132</v>
      </c>
      <c r="D812" s="32">
        <v>41</v>
      </c>
      <c r="F812" s="279">
        <f t="shared" ref="F812:N812" si="229">F434</f>
        <v>113</v>
      </c>
      <c r="G812" s="279">
        <f t="shared" si="229"/>
        <v>114</v>
      </c>
      <c r="H812" s="279">
        <f t="shared" si="229"/>
        <v>115</v>
      </c>
      <c r="I812" s="279">
        <f t="shared" si="229"/>
        <v>115.00999999999999</v>
      </c>
      <c r="J812" s="279">
        <f t="shared" si="229"/>
        <v>116</v>
      </c>
      <c r="K812" s="279">
        <f t="shared" si="229"/>
        <v>117</v>
      </c>
      <c r="L812" s="279">
        <f t="shared" si="229"/>
        <v>116</v>
      </c>
      <c r="M812" s="279">
        <f t="shared" si="229"/>
        <v>114</v>
      </c>
      <c r="N812" s="279">
        <f t="shared" si="229"/>
        <v>117</v>
      </c>
      <c r="O812" s="279">
        <f>O434</f>
        <v>115</v>
      </c>
      <c r="P812" s="279">
        <f>P434</f>
        <v>114</v>
      </c>
      <c r="Q812" s="279">
        <f>Q434</f>
        <v>113</v>
      </c>
      <c r="R812" s="378">
        <f t="shared" si="218"/>
        <v>1379.01</v>
      </c>
    </row>
    <row r="813" spans="3:18" x14ac:dyDescent="0.2">
      <c r="C813" s="32" t="s">
        <v>1133</v>
      </c>
      <c r="D813" s="444" t="s">
        <v>808</v>
      </c>
      <c r="F813" s="279">
        <f t="shared" ref="F813:L813" si="230">F473</f>
        <v>15</v>
      </c>
      <c r="G813" s="279">
        <f t="shared" si="230"/>
        <v>15</v>
      </c>
      <c r="H813" s="279">
        <f t="shared" si="230"/>
        <v>14</v>
      </c>
      <c r="I813" s="279">
        <f t="shared" si="230"/>
        <v>14</v>
      </c>
      <c r="J813" s="279">
        <f t="shared" si="230"/>
        <v>14</v>
      </c>
      <c r="K813" s="279">
        <f t="shared" si="230"/>
        <v>14</v>
      </c>
      <c r="L813" s="279">
        <f t="shared" si="230"/>
        <v>14</v>
      </c>
      <c r="M813" s="279">
        <f>M473</f>
        <v>15</v>
      </c>
      <c r="N813" s="279">
        <f>N473</f>
        <v>15</v>
      </c>
      <c r="O813" s="279">
        <f>O473</f>
        <v>16</v>
      </c>
      <c r="P813" s="279">
        <f>P473</f>
        <v>16</v>
      </c>
      <c r="Q813" s="279">
        <f>Q473</f>
        <v>16</v>
      </c>
      <c r="R813" s="378">
        <f t="shared" si="218"/>
        <v>178</v>
      </c>
    </row>
    <row r="814" spans="3:18" x14ac:dyDescent="0.2">
      <c r="C814" s="32" t="s">
        <v>1134</v>
      </c>
      <c r="D814" s="444" t="s">
        <v>809</v>
      </c>
      <c r="F814" s="279">
        <f t="shared" ref="F814:L814" si="231">F509</f>
        <v>63</v>
      </c>
      <c r="G814" s="279">
        <f t="shared" si="231"/>
        <v>65</v>
      </c>
      <c r="H814" s="279">
        <f t="shared" si="231"/>
        <v>64</v>
      </c>
      <c r="I814" s="279">
        <f t="shared" si="231"/>
        <v>64</v>
      </c>
      <c r="J814" s="279">
        <f t="shared" si="231"/>
        <v>63.999999999999993</v>
      </c>
      <c r="K814" s="279">
        <f t="shared" si="231"/>
        <v>63</v>
      </c>
      <c r="L814" s="279">
        <f t="shared" si="231"/>
        <v>63</v>
      </c>
      <c r="M814" s="279">
        <f>M509</f>
        <v>62</v>
      </c>
      <c r="N814" s="279">
        <f>N509</f>
        <v>62</v>
      </c>
      <c r="O814" s="279">
        <f>O509</f>
        <v>62</v>
      </c>
      <c r="P814" s="279">
        <f>P509</f>
        <v>62</v>
      </c>
      <c r="Q814" s="279">
        <f>Q509</f>
        <v>63</v>
      </c>
      <c r="R814" s="378">
        <f t="shared" si="218"/>
        <v>757</v>
      </c>
    </row>
    <row r="815" spans="3:18" x14ac:dyDescent="0.2">
      <c r="C815" s="32" t="s">
        <v>1135</v>
      </c>
      <c r="D815" s="444" t="s">
        <v>810</v>
      </c>
      <c r="F815" s="279">
        <f>F543</f>
        <v>0</v>
      </c>
      <c r="G815" s="279">
        <f t="shared" ref="G815:Q815" si="232">G543</f>
        <v>0</v>
      </c>
      <c r="H815" s="279">
        <f t="shared" si="232"/>
        <v>0</v>
      </c>
      <c r="I815" s="279">
        <f t="shared" si="232"/>
        <v>0</v>
      </c>
      <c r="J815" s="279">
        <f t="shared" si="232"/>
        <v>0</v>
      </c>
      <c r="K815" s="279">
        <f t="shared" si="232"/>
        <v>1</v>
      </c>
      <c r="L815" s="279">
        <f t="shared" si="232"/>
        <v>1</v>
      </c>
      <c r="M815" s="279">
        <f t="shared" si="232"/>
        <v>1</v>
      </c>
      <c r="N815" s="279">
        <f t="shared" si="232"/>
        <v>1</v>
      </c>
      <c r="O815" s="279">
        <f t="shared" si="232"/>
        <v>1</v>
      </c>
      <c r="P815" s="279">
        <f t="shared" si="232"/>
        <v>1</v>
      </c>
      <c r="Q815" s="279">
        <f t="shared" si="232"/>
        <v>1</v>
      </c>
      <c r="R815" s="378">
        <f t="shared" si="218"/>
        <v>7</v>
      </c>
    </row>
    <row r="816" spans="3:18" x14ac:dyDescent="0.2">
      <c r="C816" s="32" t="s">
        <v>1136</v>
      </c>
      <c r="D816" s="444" t="s">
        <v>811</v>
      </c>
      <c r="F816" s="279">
        <f t="shared" ref="F816:L816" si="233">F579</f>
        <v>11</v>
      </c>
      <c r="G816" s="279">
        <f t="shared" si="233"/>
        <v>11</v>
      </c>
      <c r="H816" s="279">
        <f t="shared" si="233"/>
        <v>11</v>
      </c>
      <c r="I816" s="279">
        <f t="shared" si="233"/>
        <v>11</v>
      </c>
      <c r="J816" s="279">
        <f t="shared" si="233"/>
        <v>11</v>
      </c>
      <c r="K816" s="279">
        <f t="shared" si="233"/>
        <v>11</v>
      </c>
      <c r="L816" s="279">
        <f t="shared" si="233"/>
        <v>11</v>
      </c>
      <c r="M816" s="279">
        <f>M579</f>
        <v>11</v>
      </c>
      <c r="N816" s="279">
        <f>N579</f>
        <v>11</v>
      </c>
      <c r="O816" s="279">
        <f>O579</f>
        <v>11</v>
      </c>
      <c r="P816" s="279">
        <f>P579</f>
        <v>11</v>
      </c>
      <c r="Q816" s="279">
        <f>Q579</f>
        <v>10</v>
      </c>
      <c r="R816" s="378">
        <f t="shared" si="218"/>
        <v>131</v>
      </c>
    </row>
    <row r="817" spans="2:18" x14ac:dyDescent="0.2">
      <c r="C817" s="32" t="s">
        <v>1137</v>
      </c>
      <c r="D817" s="32">
        <v>85</v>
      </c>
      <c r="F817" s="279">
        <f t="shared" ref="F817:N817" si="234">F635</f>
        <v>9</v>
      </c>
      <c r="G817" s="279">
        <f t="shared" si="234"/>
        <v>9</v>
      </c>
      <c r="H817" s="279">
        <f t="shared" si="234"/>
        <v>9</v>
      </c>
      <c r="I817" s="279">
        <f t="shared" si="234"/>
        <v>9</v>
      </c>
      <c r="J817" s="279">
        <f t="shared" si="234"/>
        <v>8</v>
      </c>
      <c r="K817" s="279">
        <f t="shared" si="234"/>
        <v>8</v>
      </c>
      <c r="L817" s="279">
        <f t="shared" si="234"/>
        <v>8</v>
      </c>
      <c r="M817" s="279">
        <f t="shared" si="234"/>
        <v>8</v>
      </c>
      <c r="N817" s="279">
        <f t="shared" si="234"/>
        <v>8</v>
      </c>
      <c r="O817" s="279">
        <f>O635</f>
        <v>8</v>
      </c>
      <c r="P817" s="279">
        <f>P635</f>
        <v>8</v>
      </c>
      <c r="Q817" s="279">
        <f>Q635</f>
        <v>8</v>
      </c>
      <c r="R817" s="378">
        <f t="shared" si="218"/>
        <v>100</v>
      </c>
    </row>
    <row r="818" spans="2:18" x14ac:dyDescent="0.2">
      <c r="C818" s="32" t="s">
        <v>1138</v>
      </c>
      <c r="D818" s="32">
        <v>86</v>
      </c>
      <c r="F818" s="279">
        <f t="shared" ref="F818:N818" si="235">F679</f>
        <v>9</v>
      </c>
      <c r="G818" s="279">
        <f t="shared" si="235"/>
        <v>11</v>
      </c>
      <c r="H818" s="279">
        <f t="shared" si="235"/>
        <v>10</v>
      </c>
      <c r="I818" s="279">
        <f t="shared" si="235"/>
        <v>9</v>
      </c>
      <c r="J818" s="279">
        <f t="shared" si="235"/>
        <v>10</v>
      </c>
      <c r="K818" s="279">
        <f t="shared" si="235"/>
        <v>9</v>
      </c>
      <c r="L818" s="279">
        <f t="shared" si="235"/>
        <v>10</v>
      </c>
      <c r="M818" s="279">
        <f t="shared" si="235"/>
        <v>10</v>
      </c>
      <c r="N818" s="279">
        <f t="shared" si="235"/>
        <v>10</v>
      </c>
      <c r="O818" s="279">
        <f>O679</f>
        <v>10</v>
      </c>
      <c r="P818" s="279">
        <f>P679</f>
        <v>10</v>
      </c>
      <c r="Q818" s="279">
        <f>Q679</f>
        <v>10</v>
      </c>
      <c r="R818" s="378">
        <f t="shared" si="218"/>
        <v>118</v>
      </c>
    </row>
    <row r="819" spans="2:18" x14ac:dyDescent="0.2">
      <c r="C819" s="32" t="s">
        <v>1139</v>
      </c>
      <c r="D819" s="32">
        <v>87</v>
      </c>
      <c r="F819" s="279">
        <f t="shared" ref="F819:N819" si="236">F725</f>
        <v>1</v>
      </c>
      <c r="G819" s="279">
        <f t="shared" si="236"/>
        <v>1</v>
      </c>
      <c r="H819" s="279">
        <f t="shared" si="236"/>
        <v>2</v>
      </c>
      <c r="I819" s="279">
        <f t="shared" si="236"/>
        <v>0</v>
      </c>
      <c r="J819" s="279">
        <f t="shared" si="236"/>
        <v>1</v>
      </c>
      <c r="K819" s="279">
        <f t="shared" si="236"/>
        <v>2</v>
      </c>
      <c r="L819" s="279">
        <f t="shared" si="236"/>
        <v>1</v>
      </c>
      <c r="M819" s="279">
        <f t="shared" si="236"/>
        <v>0</v>
      </c>
      <c r="N819" s="279">
        <f t="shared" si="236"/>
        <v>2</v>
      </c>
      <c r="O819" s="279">
        <f>O725</f>
        <v>1</v>
      </c>
      <c r="P819" s="279">
        <f>P725</f>
        <v>0</v>
      </c>
      <c r="Q819" s="279">
        <f>Q725</f>
        <v>1</v>
      </c>
      <c r="R819" s="378">
        <f t="shared" si="218"/>
        <v>12</v>
      </c>
    </row>
    <row r="820" spans="2:18" x14ac:dyDescent="0.2">
      <c r="C820" s="32" t="s">
        <v>1140</v>
      </c>
      <c r="D820" s="32">
        <v>99</v>
      </c>
      <c r="F820" s="279">
        <f t="shared" ref="F820:N820" si="237">F772</f>
        <v>12</v>
      </c>
      <c r="G820" s="279">
        <f t="shared" si="237"/>
        <v>12</v>
      </c>
      <c r="H820" s="279">
        <f t="shared" si="237"/>
        <v>12</v>
      </c>
      <c r="I820" s="279">
        <f t="shared" si="237"/>
        <v>12</v>
      </c>
      <c r="J820" s="279">
        <f t="shared" si="237"/>
        <v>12</v>
      </c>
      <c r="K820" s="279">
        <f t="shared" si="237"/>
        <v>12</v>
      </c>
      <c r="L820" s="279">
        <f t="shared" si="237"/>
        <v>12</v>
      </c>
      <c r="M820" s="279">
        <f t="shared" si="237"/>
        <v>12</v>
      </c>
      <c r="N820" s="279">
        <f t="shared" si="237"/>
        <v>12</v>
      </c>
      <c r="O820" s="279">
        <f>O772</f>
        <v>12</v>
      </c>
      <c r="P820" s="279">
        <f>P772</f>
        <v>12</v>
      </c>
      <c r="Q820" s="279">
        <f>Q772</f>
        <v>12</v>
      </c>
      <c r="R820" s="378">
        <f t="shared" si="218"/>
        <v>144</v>
      </c>
    </row>
    <row r="821" spans="2:18" x14ac:dyDescent="0.2">
      <c r="C821" s="32" t="s">
        <v>1199</v>
      </c>
      <c r="F821" s="357">
        <f t="shared" ref="F821:N821" si="238">SUM(F801:F820)</f>
        <v>757684</v>
      </c>
      <c r="G821" s="357">
        <f t="shared" si="238"/>
        <v>758885</v>
      </c>
      <c r="H821" s="357">
        <f t="shared" si="238"/>
        <v>759873</v>
      </c>
      <c r="I821" s="357">
        <f t="shared" si="238"/>
        <v>760124.03</v>
      </c>
      <c r="J821" s="357">
        <f t="shared" si="238"/>
        <v>760670</v>
      </c>
      <c r="K821" s="357">
        <f t="shared" si="238"/>
        <v>761724</v>
      </c>
      <c r="L821" s="357">
        <f t="shared" si="238"/>
        <v>762056</v>
      </c>
      <c r="M821" s="357">
        <f t="shared" si="238"/>
        <v>761195</v>
      </c>
      <c r="N821" s="357">
        <f t="shared" si="238"/>
        <v>762357</v>
      </c>
      <c r="O821" s="357">
        <f>SUM(O801:O820)</f>
        <v>761431</v>
      </c>
      <c r="P821" s="357">
        <f>SUM(P801:P820)</f>
        <v>761918</v>
      </c>
      <c r="Q821" s="357">
        <f>SUM(Q801:Q820)</f>
        <v>762413</v>
      </c>
      <c r="R821" s="357">
        <f>SUM(R801:R820)</f>
        <v>9130330.0299999993</v>
      </c>
    </row>
    <row r="823" spans="2:18" x14ac:dyDescent="0.2">
      <c r="B823" s="32" t="s">
        <v>1142</v>
      </c>
      <c r="F823" s="424"/>
      <c r="G823" s="424"/>
      <c r="H823" s="424"/>
      <c r="I823" s="424"/>
      <c r="J823" s="424"/>
      <c r="K823" s="424"/>
      <c r="L823" s="424"/>
      <c r="M823" s="424"/>
      <c r="N823" s="424"/>
      <c r="O823" s="424"/>
      <c r="P823" s="424"/>
      <c r="Q823" s="424"/>
      <c r="R823" s="424"/>
    </row>
    <row r="824" spans="2:18" x14ac:dyDescent="0.2">
      <c r="C824" s="343" t="s">
        <v>1143</v>
      </c>
      <c r="D824" s="32">
        <v>23</v>
      </c>
      <c r="F824" s="424">
        <f t="shared" ref="F824:Q825" si="239">F801</f>
        <v>699965</v>
      </c>
      <c r="G824" s="424">
        <f t="shared" si="239"/>
        <v>701215</v>
      </c>
      <c r="H824" s="424">
        <f t="shared" si="239"/>
        <v>702257</v>
      </c>
      <c r="I824" s="424">
        <f t="shared" si="239"/>
        <v>702573</v>
      </c>
      <c r="J824" s="424">
        <f t="shared" si="239"/>
        <v>703246</v>
      </c>
      <c r="K824" s="424">
        <f t="shared" si="239"/>
        <v>704366</v>
      </c>
      <c r="L824" s="424">
        <f t="shared" si="239"/>
        <v>704758</v>
      </c>
      <c r="M824" s="424">
        <f t="shared" si="239"/>
        <v>703964</v>
      </c>
      <c r="N824" s="424">
        <f t="shared" si="239"/>
        <v>705153</v>
      </c>
      <c r="O824" s="424">
        <f t="shared" si="239"/>
        <v>704137</v>
      </c>
      <c r="P824" s="424">
        <f t="shared" si="239"/>
        <v>704666</v>
      </c>
      <c r="Q824" s="424">
        <f t="shared" si="239"/>
        <v>705036</v>
      </c>
      <c r="R824" s="424">
        <f>R801</f>
        <v>8441336</v>
      </c>
    </row>
    <row r="825" spans="2:18" x14ac:dyDescent="0.2">
      <c r="C825" s="343" t="s">
        <v>374</v>
      </c>
      <c r="D825" s="32">
        <v>53</v>
      </c>
      <c r="F825" s="424">
        <f t="shared" si="239"/>
        <v>5</v>
      </c>
      <c r="G825" s="424">
        <f t="shared" si="239"/>
        <v>5</v>
      </c>
      <c r="H825" s="424">
        <f t="shared" si="239"/>
        <v>5</v>
      </c>
      <c r="I825" s="424">
        <f t="shared" si="239"/>
        <v>5</v>
      </c>
      <c r="J825" s="424">
        <f t="shared" si="239"/>
        <v>5</v>
      </c>
      <c r="K825" s="424">
        <f t="shared" si="239"/>
        <v>5</v>
      </c>
      <c r="L825" s="424">
        <f t="shared" si="239"/>
        <v>6</v>
      </c>
      <c r="M825" s="424">
        <f t="shared" si="239"/>
        <v>6</v>
      </c>
      <c r="N825" s="424">
        <f t="shared" si="239"/>
        <v>5</v>
      </c>
      <c r="O825" s="424">
        <f t="shared" si="239"/>
        <v>5</v>
      </c>
      <c r="P825" s="424">
        <f t="shared" si="239"/>
        <v>5</v>
      </c>
      <c r="Q825" s="424">
        <f t="shared" si="239"/>
        <v>4</v>
      </c>
      <c r="R825" s="424">
        <f>R802</f>
        <v>61</v>
      </c>
    </row>
    <row r="826" spans="2:18" x14ac:dyDescent="0.2">
      <c r="C826" s="346" t="s">
        <v>1144</v>
      </c>
      <c r="D826" s="32">
        <v>31</v>
      </c>
      <c r="F826" s="424">
        <f t="shared" ref="F826:Q827" si="240">F803+F811</f>
        <v>55114</v>
      </c>
      <c r="G826" s="424">
        <f t="shared" si="240"/>
        <v>55062</v>
      </c>
      <c r="H826" s="424">
        <f t="shared" si="240"/>
        <v>55012</v>
      </c>
      <c r="I826" s="424">
        <f t="shared" si="240"/>
        <v>54951.02</v>
      </c>
      <c r="J826" s="424">
        <f t="shared" si="240"/>
        <v>54824</v>
      </c>
      <c r="K826" s="424">
        <f t="shared" si="240"/>
        <v>54751</v>
      </c>
      <c r="L826" s="424">
        <f t="shared" si="240"/>
        <v>54695</v>
      </c>
      <c r="M826" s="424">
        <f t="shared" si="240"/>
        <v>54647</v>
      </c>
      <c r="N826" s="424">
        <f t="shared" si="240"/>
        <v>54633</v>
      </c>
      <c r="O826" s="424">
        <f t="shared" si="240"/>
        <v>54749</v>
      </c>
      <c r="P826" s="424">
        <f t="shared" si="240"/>
        <v>54719</v>
      </c>
      <c r="Q826" s="424">
        <f t="shared" si="240"/>
        <v>54837</v>
      </c>
      <c r="R826" s="424">
        <f>R803+R811</f>
        <v>657994.02</v>
      </c>
    </row>
    <row r="827" spans="2:18" x14ac:dyDescent="0.2">
      <c r="C827" s="343" t="s">
        <v>1145</v>
      </c>
      <c r="D827" s="32">
        <v>41</v>
      </c>
      <c r="F827" s="424">
        <f t="shared" si="240"/>
        <v>2066</v>
      </c>
      <c r="G827" s="424">
        <f t="shared" si="240"/>
        <v>2063</v>
      </c>
      <c r="H827" s="424">
        <f t="shared" si="240"/>
        <v>2064</v>
      </c>
      <c r="I827" s="424">
        <f t="shared" si="240"/>
        <v>2066.0100000000002</v>
      </c>
      <c r="J827" s="424">
        <f t="shared" si="240"/>
        <v>2062</v>
      </c>
      <c r="K827" s="424">
        <f t="shared" si="240"/>
        <v>2069</v>
      </c>
      <c r="L827" s="424">
        <f t="shared" si="240"/>
        <v>2067</v>
      </c>
      <c r="M827" s="424">
        <f t="shared" si="240"/>
        <v>2050</v>
      </c>
      <c r="N827" s="424">
        <f t="shared" si="240"/>
        <v>2040</v>
      </c>
      <c r="O827" s="424">
        <f t="shared" si="240"/>
        <v>2017</v>
      </c>
      <c r="P827" s="424">
        <f t="shared" si="240"/>
        <v>1998</v>
      </c>
      <c r="Q827" s="424">
        <f t="shared" si="240"/>
        <v>1996</v>
      </c>
      <c r="R827" s="424">
        <f>R804+R812</f>
        <v>24558.01</v>
      </c>
    </row>
    <row r="828" spans="2:18" x14ac:dyDescent="0.2">
      <c r="C828" s="343" t="s">
        <v>1146</v>
      </c>
      <c r="D828" s="32">
        <v>85</v>
      </c>
      <c r="F828" s="424">
        <f t="shared" ref="F828:R830" si="241">F808+F817</f>
        <v>34</v>
      </c>
      <c r="G828" s="424">
        <f t="shared" si="241"/>
        <v>34</v>
      </c>
      <c r="H828" s="424">
        <f t="shared" si="241"/>
        <v>36</v>
      </c>
      <c r="I828" s="424">
        <f t="shared" si="241"/>
        <v>36</v>
      </c>
      <c r="J828" s="424">
        <f t="shared" si="241"/>
        <v>35</v>
      </c>
      <c r="K828" s="424">
        <f t="shared" si="241"/>
        <v>35</v>
      </c>
      <c r="L828" s="424">
        <f t="shared" si="241"/>
        <v>35</v>
      </c>
      <c r="M828" s="424">
        <f t="shared" si="241"/>
        <v>36</v>
      </c>
      <c r="N828" s="424">
        <f t="shared" si="241"/>
        <v>35</v>
      </c>
      <c r="O828" s="424">
        <f t="shared" si="241"/>
        <v>35</v>
      </c>
      <c r="P828" s="424">
        <f t="shared" si="241"/>
        <v>35</v>
      </c>
      <c r="Q828" s="424">
        <f t="shared" si="241"/>
        <v>35</v>
      </c>
      <c r="R828" s="424">
        <f t="shared" si="241"/>
        <v>421</v>
      </c>
    </row>
    <row r="829" spans="2:18" x14ac:dyDescent="0.2">
      <c r="C829" s="343" t="s">
        <v>1147</v>
      </c>
      <c r="D829" s="32">
        <v>86</v>
      </c>
      <c r="F829" s="424">
        <f t="shared" si="241"/>
        <v>343</v>
      </c>
      <c r="G829" s="424">
        <f t="shared" si="241"/>
        <v>345</v>
      </c>
      <c r="H829" s="424">
        <f t="shared" si="241"/>
        <v>340</v>
      </c>
      <c r="I829" s="424">
        <f t="shared" si="241"/>
        <v>336</v>
      </c>
      <c r="J829" s="424">
        <f t="shared" si="241"/>
        <v>339</v>
      </c>
      <c r="K829" s="424">
        <f t="shared" si="241"/>
        <v>338</v>
      </c>
      <c r="L829" s="424">
        <f t="shared" si="241"/>
        <v>336</v>
      </c>
      <c r="M829" s="424">
        <f t="shared" si="241"/>
        <v>334</v>
      </c>
      <c r="N829" s="424">
        <f t="shared" si="241"/>
        <v>330</v>
      </c>
      <c r="O829" s="424">
        <f t="shared" si="241"/>
        <v>327</v>
      </c>
      <c r="P829" s="424">
        <f t="shared" si="241"/>
        <v>328</v>
      </c>
      <c r="Q829" s="424">
        <f t="shared" si="241"/>
        <v>327</v>
      </c>
      <c r="R829" s="424">
        <f t="shared" si="241"/>
        <v>4023</v>
      </c>
    </row>
    <row r="830" spans="2:18" x14ac:dyDescent="0.2">
      <c r="C830" s="343" t="s">
        <v>1148</v>
      </c>
      <c r="D830" s="32">
        <v>87</v>
      </c>
      <c r="F830" s="424">
        <f t="shared" si="241"/>
        <v>9</v>
      </c>
      <c r="G830" s="424">
        <f t="shared" si="241"/>
        <v>9</v>
      </c>
      <c r="H830" s="424">
        <f t="shared" si="241"/>
        <v>10</v>
      </c>
      <c r="I830" s="424">
        <f t="shared" si="241"/>
        <v>8</v>
      </c>
      <c r="J830" s="424">
        <f t="shared" si="241"/>
        <v>9</v>
      </c>
      <c r="K830" s="424">
        <f t="shared" si="241"/>
        <v>10</v>
      </c>
      <c r="L830" s="424">
        <f t="shared" si="241"/>
        <v>9</v>
      </c>
      <c r="M830" s="424">
        <f t="shared" si="241"/>
        <v>8</v>
      </c>
      <c r="N830" s="424">
        <f t="shared" si="241"/>
        <v>10</v>
      </c>
      <c r="O830" s="424">
        <f t="shared" si="241"/>
        <v>9</v>
      </c>
      <c r="P830" s="424">
        <f t="shared" si="241"/>
        <v>8</v>
      </c>
      <c r="Q830" s="424">
        <f t="shared" si="241"/>
        <v>9</v>
      </c>
      <c r="R830" s="424">
        <f t="shared" si="241"/>
        <v>108</v>
      </c>
    </row>
    <row r="831" spans="2:18" x14ac:dyDescent="0.2">
      <c r="C831" s="32" t="s">
        <v>1149</v>
      </c>
      <c r="D831" s="444" t="s">
        <v>808</v>
      </c>
      <c r="F831" s="424">
        <f t="shared" ref="F831:R832" si="242">F805+F813</f>
        <v>25</v>
      </c>
      <c r="G831" s="424">
        <f t="shared" si="242"/>
        <v>25</v>
      </c>
      <c r="H831" s="424">
        <f t="shared" si="242"/>
        <v>24</v>
      </c>
      <c r="I831" s="424">
        <f t="shared" si="242"/>
        <v>24</v>
      </c>
      <c r="J831" s="424">
        <f t="shared" si="242"/>
        <v>24</v>
      </c>
      <c r="K831" s="424">
        <f t="shared" si="242"/>
        <v>24</v>
      </c>
      <c r="L831" s="424">
        <f t="shared" si="242"/>
        <v>24</v>
      </c>
      <c r="M831" s="424">
        <f t="shared" si="242"/>
        <v>25</v>
      </c>
      <c r="N831" s="424">
        <f t="shared" si="242"/>
        <v>26</v>
      </c>
      <c r="O831" s="424">
        <f t="shared" si="242"/>
        <v>28</v>
      </c>
      <c r="P831" s="424">
        <f t="shared" si="242"/>
        <v>36</v>
      </c>
      <c r="Q831" s="424">
        <f t="shared" si="242"/>
        <v>46</v>
      </c>
      <c r="R831" s="424">
        <f t="shared" si="242"/>
        <v>331</v>
      </c>
    </row>
    <row r="832" spans="2:18" x14ac:dyDescent="0.2">
      <c r="C832" s="32" t="s">
        <v>1150</v>
      </c>
      <c r="D832" s="444" t="s">
        <v>809</v>
      </c>
      <c r="F832" s="424">
        <f t="shared" si="242"/>
        <v>98</v>
      </c>
      <c r="G832" s="424">
        <f t="shared" si="242"/>
        <v>102</v>
      </c>
      <c r="H832" s="424">
        <f t="shared" si="242"/>
        <v>100</v>
      </c>
      <c r="I832" s="424">
        <f t="shared" si="242"/>
        <v>100</v>
      </c>
      <c r="J832" s="424">
        <f t="shared" si="242"/>
        <v>101</v>
      </c>
      <c r="K832" s="424">
        <f t="shared" si="242"/>
        <v>100</v>
      </c>
      <c r="L832" s="424">
        <f t="shared" si="242"/>
        <v>100</v>
      </c>
      <c r="M832" s="424">
        <f t="shared" si="242"/>
        <v>99</v>
      </c>
      <c r="N832" s="424">
        <f t="shared" si="242"/>
        <v>99</v>
      </c>
      <c r="O832" s="424">
        <f t="shared" si="242"/>
        <v>98</v>
      </c>
      <c r="P832" s="424">
        <f t="shared" si="242"/>
        <v>97</v>
      </c>
      <c r="Q832" s="424">
        <f t="shared" si="242"/>
        <v>98</v>
      </c>
      <c r="R832" s="424">
        <f t="shared" si="242"/>
        <v>1192</v>
      </c>
    </row>
    <row r="833" spans="2:19" x14ac:dyDescent="0.2">
      <c r="C833" s="32" t="s">
        <v>1151</v>
      </c>
      <c r="D833" s="444" t="s">
        <v>810</v>
      </c>
      <c r="F833" s="424">
        <f>F815</f>
        <v>0</v>
      </c>
      <c r="G833" s="424">
        <f t="shared" ref="G833:R833" si="243">G815</f>
        <v>0</v>
      </c>
      <c r="H833" s="424">
        <f t="shared" si="243"/>
        <v>0</v>
      </c>
      <c r="I833" s="424">
        <f t="shared" si="243"/>
        <v>0</v>
      </c>
      <c r="J833" s="424">
        <f t="shared" si="243"/>
        <v>0</v>
      </c>
      <c r="K833" s="424">
        <f t="shared" si="243"/>
        <v>1</v>
      </c>
      <c r="L833" s="424">
        <f t="shared" si="243"/>
        <v>1</v>
      </c>
      <c r="M833" s="424">
        <f t="shared" si="243"/>
        <v>1</v>
      </c>
      <c r="N833" s="424">
        <f t="shared" si="243"/>
        <v>1</v>
      </c>
      <c r="O833" s="424">
        <f t="shared" si="243"/>
        <v>1</v>
      </c>
      <c r="P833" s="424">
        <f t="shared" si="243"/>
        <v>1</v>
      </c>
      <c r="Q833" s="424">
        <f t="shared" si="243"/>
        <v>1</v>
      </c>
      <c r="R833" s="424">
        <f t="shared" si="243"/>
        <v>7</v>
      </c>
    </row>
    <row r="834" spans="2:19" x14ac:dyDescent="0.2">
      <c r="C834" s="32" t="s">
        <v>1152</v>
      </c>
      <c r="D834" s="444" t="s">
        <v>811</v>
      </c>
      <c r="F834" s="424">
        <f t="shared" ref="F834:N834" si="244">F807+F816</f>
        <v>13</v>
      </c>
      <c r="G834" s="424">
        <f t="shared" si="244"/>
        <v>13</v>
      </c>
      <c r="H834" s="424">
        <f t="shared" si="244"/>
        <v>13</v>
      </c>
      <c r="I834" s="424">
        <f t="shared" si="244"/>
        <v>13</v>
      </c>
      <c r="J834" s="424">
        <f t="shared" si="244"/>
        <v>13</v>
      </c>
      <c r="K834" s="424">
        <f t="shared" si="244"/>
        <v>13</v>
      </c>
      <c r="L834" s="424">
        <f t="shared" si="244"/>
        <v>13</v>
      </c>
      <c r="M834" s="424">
        <f t="shared" si="244"/>
        <v>13</v>
      </c>
      <c r="N834" s="424">
        <f t="shared" si="244"/>
        <v>13</v>
      </c>
      <c r="O834" s="424">
        <f>O807+O816</f>
        <v>13</v>
      </c>
      <c r="P834" s="424">
        <f>P807+P816</f>
        <v>13</v>
      </c>
      <c r="Q834" s="424">
        <f>Q807+Q816</f>
        <v>12</v>
      </c>
      <c r="R834" s="424">
        <f>R807+R816</f>
        <v>155</v>
      </c>
    </row>
    <row r="835" spans="2:19" x14ac:dyDescent="0.2">
      <c r="C835" s="343" t="s">
        <v>844</v>
      </c>
      <c r="F835" s="424">
        <f t="shared" ref="F835:N835" si="245">F820</f>
        <v>12</v>
      </c>
      <c r="G835" s="424">
        <f t="shared" si="245"/>
        <v>12</v>
      </c>
      <c r="H835" s="424">
        <f t="shared" si="245"/>
        <v>12</v>
      </c>
      <c r="I835" s="424">
        <f t="shared" si="245"/>
        <v>12</v>
      </c>
      <c r="J835" s="424">
        <f t="shared" si="245"/>
        <v>12</v>
      </c>
      <c r="K835" s="424">
        <f t="shared" si="245"/>
        <v>12</v>
      </c>
      <c r="L835" s="424">
        <f t="shared" si="245"/>
        <v>12</v>
      </c>
      <c r="M835" s="424">
        <f t="shared" si="245"/>
        <v>12</v>
      </c>
      <c r="N835" s="424">
        <f t="shared" si="245"/>
        <v>12</v>
      </c>
      <c r="O835" s="424">
        <f>O820</f>
        <v>12</v>
      </c>
      <c r="P835" s="424">
        <f>P820</f>
        <v>12</v>
      </c>
      <c r="Q835" s="424">
        <f>Q820</f>
        <v>12</v>
      </c>
      <c r="R835" s="424">
        <f>R820</f>
        <v>144</v>
      </c>
    </row>
    <row r="836" spans="2:19" x14ac:dyDescent="0.2">
      <c r="C836" s="32" t="s">
        <v>1141</v>
      </c>
      <c r="F836" s="357">
        <f t="shared" ref="F836:N836" si="246">SUM(F824:F835)</f>
        <v>757684</v>
      </c>
      <c r="G836" s="357">
        <f t="shared" si="246"/>
        <v>758885</v>
      </c>
      <c r="H836" s="357">
        <f t="shared" si="246"/>
        <v>759873</v>
      </c>
      <c r="I836" s="357">
        <f t="shared" si="246"/>
        <v>760124.03</v>
      </c>
      <c r="J836" s="357">
        <f t="shared" si="246"/>
        <v>760670</v>
      </c>
      <c r="K836" s="357">
        <f t="shared" si="246"/>
        <v>761724</v>
      </c>
      <c r="L836" s="357">
        <f t="shared" si="246"/>
        <v>762056</v>
      </c>
      <c r="M836" s="357">
        <f t="shared" si="246"/>
        <v>761195</v>
      </c>
      <c r="N836" s="357">
        <f t="shared" si="246"/>
        <v>762357</v>
      </c>
      <c r="O836" s="357">
        <f>SUM(O824:O835)</f>
        <v>761431</v>
      </c>
      <c r="P836" s="357">
        <f>SUM(P824:P835)</f>
        <v>761918</v>
      </c>
      <c r="Q836" s="357">
        <f>SUM(Q824:Q835)</f>
        <v>762413</v>
      </c>
      <c r="R836" s="357">
        <f>SUM(R824:R835)</f>
        <v>9130330.0299999993</v>
      </c>
    </row>
    <row r="837" spans="2:19" x14ac:dyDescent="0.2">
      <c r="C837" s="32" t="s">
        <v>1153</v>
      </c>
      <c r="F837" s="424">
        <f t="shared" ref="F837:N837" si="247">F836-F821</f>
        <v>0</v>
      </c>
      <c r="G837" s="424">
        <f t="shared" si="247"/>
        <v>0</v>
      </c>
      <c r="H837" s="424">
        <f t="shared" si="247"/>
        <v>0</v>
      </c>
      <c r="I837" s="424">
        <f t="shared" si="247"/>
        <v>0</v>
      </c>
      <c r="J837" s="424">
        <f t="shared" si="247"/>
        <v>0</v>
      </c>
      <c r="K837" s="424">
        <f t="shared" si="247"/>
        <v>0</v>
      </c>
      <c r="L837" s="424">
        <f t="shared" si="247"/>
        <v>0</v>
      </c>
      <c r="M837" s="424">
        <f t="shared" si="247"/>
        <v>0</v>
      </c>
      <c r="N837" s="424">
        <f t="shared" si="247"/>
        <v>0</v>
      </c>
      <c r="O837" s="424">
        <f>O836-O821</f>
        <v>0</v>
      </c>
      <c r="P837" s="424">
        <f>P836-P821</f>
        <v>0</v>
      </c>
      <c r="Q837" s="424">
        <f>Q836-Q821</f>
        <v>0</v>
      </c>
      <c r="R837" s="424">
        <f>R836-R821</f>
        <v>0</v>
      </c>
    </row>
    <row r="838" spans="2:19" x14ac:dyDescent="0.2">
      <c r="F838" s="424"/>
      <c r="G838" s="424"/>
      <c r="H838" s="424"/>
      <c r="I838" s="424"/>
      <c r="J838" s="424"/>
      <c r="K838" s="424"/>
      <c r="L838" s="424"/>
      <c r="M838" s="424"/>
      <c r="N838" s="424"/>
      <c r="O838" s="424"/>
      <c r="P838" s="424"/>
      <c r="Q838" s="424"/>
      <c r="R838" s="424"/>
    </row>
    <row r="839" spans="2:19" x14ac:dyDescent="0.2">
      <c r="B839" s="32" t="s">
        <v>1154</v>
      </c>
      <c r="F839" s="279"/>
      <c r="G839" s="279"/>
      <c r="H839" s="279"/>
      <c r="I839" s="279"/>
      <c r="J839" s="279"/>
      <c r="K839" s="279"/>
      <c r="L839" s="279"/>
      <c r="M839" s="279"/>
      <c r="N839" s="279"/>
      <c r="O839" s="279"/>
      <c r="P839" s="279"/>
      <c r="Q839" s="279"/>
      <c r="R839" s="279"/>
    </row>
    <row r="840" spans="2:19" x14ac:dyDescent="0.2">
      <c r="C840" s="336" t="s">
        <v>1155</v>
      </c>
      <c r="D840" s="336">
        <v>16</v>
      </c>
      <c r="F840" s="398">
        <f t="shared" ref="F840:N840" si="248">F16</f>
        <v>1026</v>
      </c>
      <c r="G840" s="398">
        <f t="shared" si="248"/>
        <v>1026</v>
      </c>
      <c r="H840" s="398">
        <f t="shared" si="248"/>
        <v>1026</v>
      </c>
      <c r="I840" s="398">
        <f t="shared" si="248"/>
        <v>1026</v>
      </c>
      <c r="J840" s="398">
        <f t="shared" si="248"/>
        <v>1025.9999999999998</v>
      </c>
      <c r="K840" s="398">
        <f t="shared" si="248"/>
        <v>1026</v>
      </c>
      <c r="L840" s="398">
        <f t="shared" si="248"/>
        <v>1007</v>
      </c>
      <c r="M840" s="398">
        <f t="shared" si="248"/>
        <v>1007</v>
      </c>
      <c r="N840" s="398">
        <f t="shared" si="248"/>
        <v>1007</v>
      </c>
      <c r="O840" s="398">
        <f>O16</f>
        <v>1007</v>
      </c>
      <c r="P840" s="398">
        <f>P16</f>
        <v>1007</v>
      </c>
      <c r="Q840" s="398">
        <f>Q16</f>
        <v>1007</v>
      </c>
      <c r="R840" s="279">
        <f t="shared" ref="R840:R852" si="249">SUM(F840:Q840)</f>
        <v>12198</v>
      </c>
      <c r="S840" s="279"/>
    </row>
    <row r="841" spans="2:19" x14ac:dyDescent="0.2">
      <c r="C841" s="32" t="s">
        <v>374</v>
      </c>
      <c r="D841" s="32">
        <v>23</v>
      </c>
      <c r="F841" s="279">
        <f t="shared" ref="F841:N841" si="250">F34</f>
        <v>71187692</v>
      </c>
      <c r="G841" s="279">
        <f t="shared" si="250"/>
        <v>58357925</v>
      </c>
      <c r="H841" s="279">
        <f t="shared" si="250"/>
        <v>59215201</v>
      </c>
      <c r="I841" s="279">
        <f t="shared" si="250"/>
        <v>46508498</v>
      </c>
      <c r="J841" s="279">
        <f t="shared" si="250"/>
        <v>33382131</v>
      </c>
      <c r="K841" s="279">
        <f t="shared" si="250"/>
        <v>21957138</v>
      </c>
      <c r="L841" s="279">
        <f t="shared" si="250"/>
        <v>15080375</v>
      </c>
      <c r="M841" s="279">
        <f t="shared" si="250"/>
        <v>14189236</v>
      </c>
      <c r="N841" s="279">
        <f t="shared" si="250"/>
        <v>18121975</v>
      </c>
      <c r="O841" s="279">
        <f>O34</f>
        <v>36524174</v>
      </c>
      <c r="P841" s="279">
        <f>P34</f>
        <v>67472591</v>
      </c>
      <c r="Q841" s="279">
        <f>Q34</f>
        <v>84734325</v>
      </c>
      <c r="R841" s="279">
        <f t="shared" si="249"/>
        <v>526731261</v>
      </c>
      <c r="S841" s="279"/>
    </row>
    <row r="842" spans="2:19" x14ac:dyDescent="0.2">
      <c r="C842" s="32" t="s">
        <v>1122</v>
      </c>
      <c r="D842" s="32">
        <v>53</v>
      </c>
      <c r="F842" s="279">
        <f t="shared" ref="F842:N842" si="251">F52</f>
        <v>205</v>
      </c>
      <c r="G842" s="279">
        <f t="shared" si="251"/>
        <v>216</v>
      </c>
      <c r="H842" s="279">
        <f t="shared" si="251"/>
        <v>301</v>
      </c>
      <c r="I842" s="279">
        <f t="shared" si="251"/>
        <v>219</v>
      </c>
      <c r="J842" s="279">
        <f t="shared" si="251"/>
        <v>145</v>
      </c>
      <c r="K842" s="279">
        <f t="shared" si="251"/>
        <v>107</v>
      </c>
      <c r="L842" s="279">
        <f t="shared" si="251"/>
        <v>89</v>
      </c>
      <c r="M842" s="279">
        <f t="shared" si="251"/>
        <v>86</v>
      </c>
      <c r="N842" s="279">
        <f t="shared" si="251"/>
        <v>84</v>
      </c>
      <c r="O842" s="279">
        <f>O52</f>
        <v>160</v>
      </c>
      <c r="P842" s="279">
        <f>P52</f>
        <v>222</v>
      </c>
      <c r="Q842" s="279">
        <f>Q52</f>
        <v>280</v>
      </c>
      <c r="R842" s="279">
        <f t="shared" si="249"/>
        <v>2114</v>
      </c>
      <c r="S842" s="279"/>
    </row>
    <row r="843" spans="2:19" x14ac:dyDescent="0.2">
      <c r="C843" s="32" t="s">
        <v>1123</v>
      </c>
      <c r="D843" s="32">
        <v>31</v>
      </c>
      <c r="F843" s="279">
        <f t="shared" ref="F843:N843" si="252">F81</f>
        <v>22530052</v>
      </c>
      <c r="G843" s="279">
        <f t="shared" si="252"/>
        <v>18400356</v>
      </c>
      <c r="H843" s="279">
        <f t="shared" si="252"/>
        <v>18722609</v>
      </c>
      <c r="I843" s="279">
        <f t="shared" si="252"/>
        <v>15159542</v>
      </c>
      <c r="J843" s="279">
        <f t="shared" si="252"/>
        <v>11739148</v>
      </c>
      <c r="K843" s="279">
        <f t="shared" si="252"/>
        <v>8759117</v>
      </c>
      <c r="L843" s="279">
        <f t="shared" si="252"/>
        <v>7017499</v>
      </c>
      <c r="M843" s="279">
        <f t="shared" si="252"/>
        <v>6870079</v>
      </c>
      <c r="N843" s="279">
        <f t="shared" si="252"/>
        <v>7730919</v>
      </c>
      <c r="O843" s="279">
        <f>O81</f>
        <v>12369351</v>
      </c>
      <c r="P843" s="279">
        <f>P81</f>
        <v>21057029</v>
      </c>
      <c r="Q843" s="279">
        <f>Q81</f>
        <v>26731097</v>
      </c>
      <c r="R843" s="279">
        <f t="shared" si="249"/>
        <v>177086798</v>
      </c>
      <c r="S843" s="279"/>
    </row>
    <row r="844" spans="2:19" x14ac:dyDescent="0.2">
      <c r="C844" s="32" t="s">
        <v>1124</v>
      </c>
      <c r="D844" s="32">
        <v>41</v>
      </c>
      <c r="F844" s="279">
        <f t="shared" ref="F844:N844" si="253">F111</f>
        <v>6678954</v>
      </c>
      <c r="G844" s="279">
        <f t="shared" si="253"/>
        <v>5756196</v>
      </c>
      <c r="H844" s="279">
        <f t="shared" si="253"/>
        <v>6096346</v>
      </c>
      <c r="I844" s="279">
        <f t="shared" si="253"/>
        <v>5248744</v>
      </c>
      <c r="J844" s="279">
        <f t="shared" si="253"/>
        <v>4556788</v>
      </c>
      <c r="K844" s="279">
        <f t="shared" si="253"/>
        <v>3569491</v>
      </c>
      <c r="L844" s="279">
        <f t="shared" si="253"/>
        <v>2925297</v>
      </c>
      <c r="M844" s="279">
        <f t="shared" si="253"/>
        <v>2859421</v>
      </c>
      <c r="N844" s="279">
        <f t="shared" si="253"/>
        <v>3145935</v>
      </c>
      <c r="O844" s="279">
        <f>O111</f>
        <v>4405828</v>
      </c>
      <c r="P844" s="279">
        <f>P111</f>
        <v>6086833</v>
      </c>
      <c r="Q844" s="279">
        <f>Q111</f>
        <v>6998517</v>
      </c>
      <c r="R844" s="279">
        <f t="shared" si="249"/>
        <v>58328350</v>
      </c>
      <c r="S844" s="279"/>
    </row>
    <row r="845" spans="2:19" x14ac:dyDescent="0.2">
      <c r="C845" s="32" t="s">
        <v>1128</v>
      </c>
      <c r="D845" s="32">
        <v>85</v>
      </c>
      <c r="F845" s="279">
        <f t="shared" ref="F845:N845" si="254">F281</f>
        <v>1540528</v>
      </c>
      <c r="G845" s="279">
        <f t="shared" si="254"/>
        <v>1365910</v>
      </c>
      <c r="H845" s="279">
        <f t="shared" si="254"/>
        <v>1543042</v>
      </c>
      <c r="I845" s="279">
        <f t="shared" si="254"/>
        <v>1351647</v>
      </c>
      <c r="J845" s="279">
        <f t="shared" si="254"/>
        <v>1142807</v>
      </c>
      <c r="K845" s="279">
        <f t="shared" si="254"/>
        <v>861289</v>
      </c>
      <c r="L845" s="279">
        <f t="shared" si="254"/>
        <v>719459</v>
      </c>
      <c r="M845" s="279">
        <f t="shared" si="254"/>
        <v>682351</v>
      </c>
      <c r="N845" s="279">
        <f t="shared" si="254"/>
        <v>737916</v>
      </c>
      <c r="O845" s="279">
        <f>O281</f>
        <v>1088491</v>
      </c>
      <c r="P845" s="279">
        <f>P281</f>
        <v>1469983</v>
      </c>
      <c r="Q845" s="279">
        <f>Q281</f>
        <v>1567374</v>
      </c>
      <c r="R845" s="279">
        <f t="shared" si="249"/>
        <v>14070797</v>
      </c>
      <c r="S845" s="279"/>
    </row>
    <row r="846" spans="2:19" x14ac:dyDescent="0.2">
      <c r="C846" s="32" t="s">
        <v>1129</v>
      </c>
      <c r="D846" s="32">
        <v>86</v>
      </c>
      <c r="F846" s="279">
        <f t="shared" ref="F846:N846" si="255">F324</f>
        <v>1663779</v>
      </c>
      <c r="G846" s="279">
        <f t="shared" si="255"/>
        <v>1409469</v>
      </c>
      <c r="H846" s="279">
        <f t="shared" si="255"/>
        <v>1462011</v>
      </c>
      <c r="I846" s="279">
        <f t="shared" si="255"/>
        <v>1219957</v>
      </c>
      <c r="J846" s="279">
        <f t="shared" si="255"/>
        <v>979898</v>
      </c>
      <c r="K846" s="279">
        <f t="shared" si="255"/>
        <v>626681</v>
      </c>
      <c r="L846" s="279">
        <f t="shared" si="255"/>
        <v>362839</v>
      </c>
      <c r="M846" s="279">
        <f t="shared" si="255"/>
        <v>338531</v>
      </c>
      <c r="N846" s="279">
        <f t="shared" si="255"/>
        <v>494396</v>
      </c>
      <c r="O846" s="279">
        <f>O324</f>
        <v>927504</v>
      </c>
      <c r="P846" s="279">
        <f>P324</f>
        <v>1494947</v>
      </c>
      <c r="Q846" s="279">
        <f>Q324</f>
        <v>1707029</v>
      </c>
      <c r="R846" s="279">
        <f t="shared" si="249"/>
        <v>12687041</v>
      </c>
      <c r="S846" s="279"/>
    </row>
    <row r="847" spans="2:19" x14ac:dyDescent="0.2">
      <c r="C847" s="32" t="s">
        <v>1130</v>
      </c>
      <c r="D847" s="32">
        <v>87</v>
      </c>
      <c r="F847" s="279">
        <f t="shared" ref="F847:N847" si="256">F374</f>
        <v>2992144</v>
      </c>
      <c r="G847" s="279">
        <f t="shared" si="256"/>
        <v>2636531</v>
      </c>
      <c r="H847" s="279">
        <f t="shared" si="256"/>
        <v>2769578</v>
      </c>
      <c r="I847" s="279">
        <f t="shared" si="256"/>
        <v>2479235</v>
      </c>
      <c r="J847" s="279">
        <f t="shared" si="256"/>
        <v>2256353</v>
      </c>
      <c r="K847" s="279">
        <f t="shared" si="256"/>
        <v>1872603</v>
      </c>
      <c r="L847" s="279">
        <f t="shared" si="256"/>
        <v>1565592</v>
      </c>
      <c r="M847" s="279">
        <f t="shared" si="256"/>
        <v>1423850</v>
      </c>
      <c r="N847" s="279">
        <f t="shared" si="256"/>
        <v>1529532</v>
      </c>
      <c r="O847" s="279">
        <f>O374</f>
        <v>2142717</v>
      </c>
      <c r="P847" s="279">
        <f>P374</f>
        <v>2807516</v>
      </c>
      <c r="Q847" s="279">
        <f>Q374</f>
        <v>3255881</v>
      </c>
      <c r="R847" s="279">
        <f t="shared" si="249"/>
        <v>27731532</v>
      </c>
      <c r="S847" s="279"/>
    </row>
    <row r="848" spans="2:19" x14ac:dyDescent="0.2">
      <c r="C848" s="32" t="s">
        <v>1131</v>
      </c>
      <c r="D848" s="32">
        <v>31</v>
      </c>
      <c r="F848" s="279">
        <f t="shared" ref="F848:N848" si="257">F409</f>
        <v>1862880</v>
      </c>
      <c r="G848" s="279">
        <f t="shared" si="257"/>
        <v>1530899</v>
      </c>
      <c r="H848" s="279">
        <f t="shared" si="257"/>
        <v>1488929</v>
      </c>
      <c r="I848" s="279">
        <f t="shared" si="257"/>
        <v>1169710</v>
      </c>
      <c r="J848" s="279">
        <f t="shared" si="257"/>
        <v>831580</v>
      </c>
      <c r="K848" s="279">
        <f t="shared" si="257"/>
        <v>572733</v>
      </c>
      <c r="L848" s="279">
        <f t="shared" si="257"/>
        <v>457633</v>
      </c>
      <c r="M848" s="279">
        <f t="shared" si="257"/>
        <v>450461</v>
      </c>
      <c r="N848" s="279">
        <f t="shared" si="257"/>
        <v>516301</v>
      </c>
      <c r="O848" s="279">
        <f>O409</f>
        <v>875671</v>
      </c>
      <c r="P848" s="279">
        <f>P409</f>
        <v>1570654</v>
      </c>
      <c r="Q848" s="279">
        <f>Q409</f>
        <v>2065921</v>
      </c>
      <c r="R848" s="279">
        <f t="shared" si="249"/>
        <v>13393372</v>
      </c>
      <c r="S848" s="279"/>
    </row>
    <row r="849" spans="2:22" x14ac:dyDescent="0.2">
      <c r="C849" s="32" t="s">
        <v>1132</v>
      </c>
      <c r="D849" s="32">
        <v>41</v>
      </c>
      <c r="F849" s="279">
        <f t="shared" ref="F849:N849" si="258">F439</f>
        <v>1325101</v>
      </c>
      <c r="G849" s="279">
        <f t="shared" si="258"/>
        <v>1224918</v>
      </c>
      <c r="H849" s="279">
        <f t="shared" si="258"/>
        <v>1400426</v>
      </c>
      <c r="I849" s="279">
        <f t="shared" si="258"/>
        <v>1346735</v>
      </c>
      <c r="J849" s="279">
        <f t="shared" si="258"/>
        <v>1340123</v>
      </c>
      <c r="K849" s="279">
        <f t="shared" si="258"/>
        <v>1198669</v>
      </c>
      <c r="L849" s="279">
        <f t="shared" si="258"/>
        <v>1166838</v>
      </c>
      <c r="M849" s="279">
        <f t="shared" si="258"/>
        <v>1217574</v>
      </c>
      <c r="N849" s="279">
        <f t="shared" si="258"/>
        <v>1197533</v>
      </c>
      <c r="O849" s="279">
        <f>O439</f>
        <v>1340154</v>
      </c>
      <c r="P849" s="279">
        <f>P439</f>
        <v>1386876</v>
      </c>
      <c r="Q849" s="279">
        <f>Q439</f>
        <v>1384284</v>
      </c>
      <c r="R849" s="279">
        <f t="shared" si="249"/>
        <v>15529231</v>
      </c>
      <c r="S849" s="424"/>
    </row>
    <row r="850" spans="2:22" x14ac:dyDescent="0.2">
      <c r="C850" s="32" t="s">
        <v>1137</v>
      </c>
      <c r="D850" s="32">
        <v>85</v>
      </c>
      <c r="F850" s="279">
        <f t="shared" ref="F850:N850" si="259">F640</f>
        <v>244025</v>
      </c>
      <c r="G850" s="279">
        <f t="shared" si="259"/>
        <v>230437</v>
      </c>
      <c r="H850" s="279">
        <f t="shared" si="259"/>
        <v>250310</v>
      </c>
      <c r="I850" s="279">
        <f t="shared" si="259"/>
        <v>238410</v>
      </c>
      <c r="J850" s="279">
        <f t="shared" si="259"/>
        <v>231789</v>
      </c>
      <c r="K850" s="279">
        <f t="shared" si="259"/>
        <v>223465</v>
      </c>
      <c r="L850" s="279">
        <f t="shared" si="259"/>
        <v>210855</v>
      </c>
      <c r="M850" s="279">
        <f t="shared" si="259"/>
        <v>254827</v>
      </c>
      <c r="N850" s="279">
        <f t="shared" si="259"/>
        <v>253789</v>
      </c>
      <c r="O850" s="279">
        <f>O640</f>
        <v>236615</v>
      </c>
      <c r="P850" s="279">
        <f>P640</f>
        <v>238060</v>
      </c>
      <c r="Q850" s="279">
        <f>Q640</f>
        <v>249530</v>
      </c>
      <c r="R850" s="279">
        <f t="shared" si="249"/>
        <v>2862112</v>
      </c>
      <c r="S850" s="424"/>
    </row>
    <row r="851" spans="2:22" x14ac:dyDescent="0.2">
      <c r="C851" s="32" t="s">
        <v>1138</v>
      </c>
      <c r="D851" s="32">
        <v>86</v>
      </c>
      <c r="F851" s="279">
        <f t="shared" ref="F851:N851" si="260">F683</f>
        <v>171505</v>
      </c>
      <c r="G851" s="279">
        <f t="shared" si="260"/>
        <v>146383</v>
      </c>
      <c r="H851" s="279">
        <f t="shared" si="260"/>
        <v>66915</v>
      </c>
      <c r="I851" s="279">
        <f t="shared" si="260"/>
        <v>40614</v>
      </c>
      <c r="J851" s="279">
        <f t="shared" si="260"/>
        <v>65028</v>
      </c>
      <c r="K851" s="279">
        <f t="shared" si="260"/>
        <v>83876</v>
      </c>
      <c r="L851" s="279">
        <f t="shared" si="260"/>
        <v>55528</v>
      </c>
      <c r="M851" s="279">
        <f t="shared" si="260"/>
        <v>31451</v>
      </c>
      <c r="N851" s="279">
        <f t="shared" si="260"/>
        <v>25943</v>
      </c>
      <c r="O851" s="279">
        <f>O683</f>
        <v>30191</v>
      </c>
      <c r="P851" s="279">
        <f>P683</f>
        <v>52254</v>
      </c>
      <c r="Q851" s="279">
        <f>Q683</f>
        <v>62644</v>
      </c>
      <c r="R851" s="279">
        <f t="shared" si="249"/>
        <v>832332</v>
      </c>
      <c r="S851" s="424"/>
      <c r="T851" s="424"/>
    </row>
    <row r="852" spans="2:22" x14ac:dyDescent="0.2">
      <c r="C852" s="32" t="s">
        <v>1139</v>
      </c>
      <c r="D852" s="32">
        <v>87</v>
      </c>
      <c r="F852" s="279">
        <f t="shared" ref="F852:N852" si="261">F733</f>
        <v>83770</v>
      </c>
      <c r="G852" s="279">
        <f t="shared" si="261"/>
        <v>115393</v>
      </c>
      <c r="H852" s="279">
        <f t="shared" si="261"/>
        <v>118389</v>
      </c>
      <c r="I852" s="279">
        <f t="shared" si="261"/>
        <v>148227</v>
      </c>
      <c r="J852" s="279">
        <f t="shared" si="261"/>
        <v>172767</v>
      </c>
      <c r="K852" s="279">
        <f t="shared" si="261"/>
        <v>130945</v>
      </c>
      <c r="L852" s="279">
        <f t="shared" si="261"/>
        <v>105034</v>
      </c>
      <c r="M852" s="279">
        <f t="shared" si="261"/>
        <v>153481</v>
      </c>
      <c r="N852" s="279">
        <f t="shared" si="261"/>
        <v>200237</v>
      </c>
      <c r="O852" s="279">
        <f>O733</f>
        <v>222364</v>
      </c>
      <c r="P852" s="279">
        <f>P733</f>
        <v>202008</v>
      </c>
      <c r="Q852" s="279">
        <f>Q733</f>
        <v>136423</v>
      </c>
      <c r="R852" s="279">
        <f t="shared" si="249"/>
        <v>1789038</v>
      </c>
      <c r="S852" s="424"/>
      <c r="T852" s="424"/>
    </row>
    <row r="853" spans="2:22" x14ac:dyDescent="0.2">
      <c r="C853" s="32" t="s">
        <v>1156</v>
      </c>
      <c r="F853" s="357">
        <f t="shared" ref="F853:N853" si="262">SUM(F840:F852)</f>
        <v>110281661</v>
      </c>
      <c r="G853" s="357">
        <f t="shared" si="262"/>
        <v>91175659</v>
      </c>
      <c r="H853" s="357">
        <f t="shared" si="262"/>
        <v>93135083</v>
      </c>
      <c r="I853" s="357">
        <f t="shared" si="262"/>
        <v>74912564</v>
      </c>
      <c r="J853" s="357">
        <f t="shared" si="262"/>
        <v>56699583</v>
      </c>
      <c r="K853" s="357">
        <f t="shared" si="262"/>
        <v>39857140</v>
      </c>
      <c r="L853" s="357">
        <f t="shared" si="262"/>
        <v>29668045</v>
      </c>
      <c r="M853" s="357">
        <f t="shared" si="262"/>
        <v>28472355</v>
      </c>
      <c r="N853" s="357">
        <f t="shared" si="262"/>
        <v>33955567</v>
      </c>
      <c r="O853" s="357">
        <f>SUM(O840:O852)</f>
        <v>60164227</v>
      </c>
      <c r="P853" s="357">
        <f>SUM(P840:P852)</f>
        <v>103839980</v>
      </c>
      <c r="Q853" s="357">
        <f>SUM(Q840:Q852)</f>
        <v>128894312</v>
      </c>
      <c r="R853" s="357">
        <f>SUM(R840:R852)</f>
        <v>851056176</v>
      </c>
      <c r="S853" s="424"/>
      <c r="T853" s="506"/>
      <c r="V853" s="279"/>
    </row>
    <row r="855" spans="2:22" x14ac:dyDescent="0.2">
      <c r="B855" s="32" t="s">
        <v>1157</v>
      </c>
    </row>
    <row r="856" spans="2:22" x14ac:dyDescent="0.2">
      <c r="C856" s="32" t="s">
        <v>1158</v>
      </c>
      <c r="D856" s="444" t="s">
        <v>808</v>
      </c>
      <c r="F856" s="279">
        <f t="shared" ref="F856:N856" si="263">F150</f>
        <v>100691</v>
      </c>
      <c r="G856" s="279">
        <f t="shared" si="263"/>
        <v>97206</v>
      </c>
      <c r="H856" s="279">
        <f t="shared" si="263"/>
        <v>117660</v>
      </c>
      <c r="I856" s="279">
        <f t="shared" si="263"/>
        <v>114662</v>
      </c>
      <c r="J856" s="279">
        <f t="shared" si="263"/>
        <v>102961</v>
      </c>
      <c r="K856" s="279">
        <f t="shared" si="263"/>
        <v>89621</v>
      </c>
      <c r="L856" s="279">
        <f t="shared" si="263"/>
        <v>96388</v>
      </c>
      <c r="M856" s="279">
        <f t="shared" si="263"/>
        <v>90663</v>
      </c>
      <c r="N856" s="279">
        <f t="shared" si="263"/>
        <v>131647</v>
      </c>
      <c r="O856" s="279">
        <f>O150</f>
        <v>137275</v>
      </c>
      <c r="P856" s="279">
        <f>P150</f>
        <v>228305</v>
      </c>
      <c r="Q856" s="279">
        <f>Q150</f>
        <v>318484</v>
      </c>
      <c r="R856" s="279">
        <f t="shared" ref="R856:R863" si="264">SUM(F856:Q856)</f>
        <v>1625563</v>
      </c>
      <c r="S856" s="424"/>
    </row>
    <row r="857" spans="2:22" x14ac:dyDescent="0.2">
      <c r="C857" s="32" t="s">
        <v>1159</v>
      </c>
      <c r="D857" s="444" t="s">
        <v>809</v>
      </c>
      <c r="F857" s="279">
        <f t="shared" ref="F857:N857" si="265">F186</f>
        <v>2122993</v>
      </c>
      <c r="G857" s="279">
        <f t="shared" si="265"/>
        <v>1912161</v>
      </c>
      <c r="H857" s="279">
        <f t="shared" si="265"/>
        <v>2151429</v>
      </c>
      <c r="I857" s="279">
        <f t="shared" si="265"/>
        <v>1981454</v>
      </c>
      <c r="J857" s="279">
        <f t="shared" si="265"/>
        <v>1886419</v>
      </c>
      <c r="K857" s="279">
        <f t="shared" si="265"/>
        <v>1770605</v>
      </c>
      <c r="L857" s="279">
        <f t="shared" si="265"/>
        <v>1664441</v>
      </c>
      <c r="M857" s="279">
        <f t="shared" si="265"/>
        <v>1721220</v>
      </c>
      <c r="N857" s="279">
        <f t="shared" si="265"/>
        <v>1702205</v>
      </c>
      <c r="O857" s="279">
        <f>O186</f>
        <v>1940953</v>
      </c>
      <c r="P857" s="279">
        <f>P186</f>
        <v>2090527</v>
      </c>
      <c r="Q857" s="279">
        <f>Q186</f>
        <v>2197380</v>
      </c>
      <c r="R857" s="279">
        <f t="shared" si="264"/>
        <v>23141787</v>
      </c>
      <c r="S857" s="424"/>
    </row>
    <row r="858" spans="2:22" x14ac:dyDescent="0.2">
      <c r="C858" s="32" t="s">
        <v>1160</v>
      </c>
      <c r="D858" s="444" t="s">
        <v>811</v>
      </c>
      <c r="F858" s="279">
        <f t="shared" ref="F858:N858" si="266">F227</f>
        <v>1937952</v>
      </c>
      <c r="G858" s="279">
        <f t="shared" si="266"/>
        <v>1707812</v>
      </c>
      <c r="H858" s="279">
        <f t="shared" si="266"/>
        <v>1821369</v>
      </c>
      <c r="I858" s="279">
        <f t="shared" si="266"/>
        <v>1678807</v>
      </c>
      <c r="J858" s="279">
        <f t="shared" si="266"/>
        <v>1544678</v>
      </c>
      <c r="K858" s="279">
        <f t="shared" si="266"/>
        <v>1294429</v>
      </c>
      <c r="L858" s="279">
        <f t="shared" si="266"/>
        <v>1196692</v>
      </c>
      <c r="M858" s="279">
        <f t="shared" si="266"/>
        <v>1164811</v>
      </c>
      <c r="N858" s="279">
        <f t="shared" si="266"/>
        <v>1237757</v>
      </c>
      <c r="O858" s="279">
        <f>O227</f>
        <v>1487119</v>
      </c>
      <c r="P858" s="279">
        <f>P227</f>
        <v>1981257</v>
      </c>
      <c r="Q858" s="279">
        <f>Q227</f>
        <v>1990898</v>
      </c>
      <c r="R858" s="279">
        <f t="shared" si="264"/>
        <v>19043581</v>
      </c>
      <c r="S858" s="424"/>
    </row>
    <row r="859" spans="2:22" x14ac:dyDescent="0.2">
      <c r="C859" s="32" t="s">
        <v>1161</v>
      </c>
      <c r="D859" s="444" t="s">
        <v>808</v>
      </c>
      <c r="F859" s="279">
        <f t="shared" ref="F859:N859" si="267">F478</f>
        <v>309029</v>
      </c>
      <c r="G859" s="279">
        <f t="shared" si="267"/>
        <v>288055</v>
      </c>
      <c r="H859" s="279">
        <f t="shared" si="267"/>
        <v>328103</v>
      </c>
      <c r="I859" s="279">
        <f t="shared" si="267"/>
        <v>311349</v>
      </c>
      <c r="J859" s="279">
        <f t="shared" si="267"/>
        <v>287974</v>
      </c>
      <c r="K859" s="279">
        <f t="shared" si="267"/>
        <v>309899</v>
      </c>
      <c r="L859" s="279">
        <f t="shared" si="267"/>
        <v>405719</v>
      </c>
      <c r="M859" s="279">
        <f t="shared" si="267"/>
        <v>414751</v>
      </c>
      <c r="N859" s="279">
        <f t="shared" si="267"/>
        <v>393132</v>
      </c>
      <c r="O859" s="279">
        <f>O478</f>
        <v>429271</v>
      </c>
      <c r="P859" s="279">
        <f>P478</f>
        <v>479248</v>
      </c>
      <c r="Q859" s="279">
        <f>Q478</f>
        <v>494758</v>
      </c>
      <c r="R859" s="279">
        <f t="shared" si="264"/>
        <v>4451288</v>
      </c>
      <c r="S859" s="424"/>
    </row>
    <row r="860" spans="2:22" x14ac:dyDescent="0.2">
      <c r="C860" s="32" t="s">
        <v>1162</v>
      </c>
      <c r="D860" s="444" t="s">
        <v>809</v>
      </c>
      <c r="F860" s="279">
        <f t="shared" ref="F860:N860" si="268">F514</f>
        <v>3196913</v>
      </c>
      <c r="G860" s="279">
        <f t="shared" si="268"/>
        <v>3150964</v>
      </c>
      <c r="H860" s="279">
        <f t="shared" si="268"/>
        <v>3626483</v>
      </c>
      <c r="I860" s="279">
        <f t="shared" si="268"/>
        <v>3513263</v>
      </c>
      <c r="J860" s="279">
        <f t="shared" si="268"/>
        <v>3574891</v>
      </c>
      <c r="K860" s="279">
        <f t="shared" si="268"/>
        <v>3984245</v>
      </c>
      <c r="L860" s="279">
        <f t="shared" si="268"/>
        <v>3565124</v>
      </c>
      <c r="M860" s="279">
        <f t="shared" si="268"/>
        <v>3675294</v>
      </c>
      <c r="N860" s="279">
        <f t="shared" si="268"/>
        <v>3427405</v>
      </c>
      <c r="O860" s="279">
        <f>O514</f>
        <v>3642138</v>
      </c>
      <c r="P860" s="279">
        <f>P514</f>
        <v>3503575</v>
      </c>
      <c r="Q860" s="279">
        <f>Q514</f>
        <v>3241505</v>
      </c>
      <c r="R860" s="279">
        <f t="shared" si="264"/>
        <v>42101800</v>
      </c>
      <c r="S860" s="424"/>
    </row>
    <row r="861" spans="2:22" x14ac:dyDescent="0.2">
      <c r="C861" s="32" t="s">
        <v>1163</v>
      </c>
      <c r="D861" s="444" t="s">
        <v>810</v>
      </c>
      <c r="F861" s="279">
        <f>F547</f>
        <v>0</v>
      </c>
      <c r="G861" s="279">
        <f t="shared" ref="G861:Q861" si="269">G547</f>
        <v>0</v>
      </c>
      <c r="H861" s="279">
        <f t="shared" si="269"/>
        <v>0</v>
      </c>
      <c r="I861" s="279">
        <f t="shared" si="269"/>
        <v>0</v>
      </c>
      <c r="J861" s="279">
        <f t="shared" si="269"/>
        <v>0</v>
      </c>
      <c r="K861" s="279">
        <f t="shared" si="269"/>
        <v>0</v>
      </c>
      <c r="L861" s="279">
        <f t="shared" si="269"/>
        <v>0</v>
      </c>
      <c r="M861" s="279">
        <f t="shared" si="269"/>
        <v>2158</v>
      </c>
      <c r="N861" s="279">
        <f t="shared" si="269"/>
        <v>9063</v>
      </c>
      <c r="O861" s="279">
        <f t="shared" si="269"/>
        <v>8098</v>
      </c>
      <c r="P861" s="279">
        <f t="shared" si="269"/>
        <v>963</v>
      </c>
      <c r="Q861" s="279">
        <f t="shared" si="269"/>
        <v>197</v>
      </c>
      <c r="R861" s="279">
        <f t="shared" si="264"/>
        <v>20479</v>
      </c>
      <c r="S861" s="424"/>
    </row>
    <row r="862" spans="2:22" x14ac:dyDescent="0.2">
      <c r="C862" s="32" t="s">
        <v>1164</v>
      </c>
      <c r="D862" s="444" t="s">
        <v>811</v>
      </c>
      <c r="F862" s="279">
        <f t="shared" ref="F862:N862" si="270">F587</f>
        <v>7278688</v>
      </c>
      <c r="G862" s="279">
        <f t="shared" si="270"/>
        <v>5758210</v>
      </c>
      <c r="H862" s="279">
        <f t="shared" si="270"/>
        <v>6916724</v>
      </c>
      <c r="I862" s="279">
        <f t="shared" si="270"/>
        <v>6858301</v>
      </c>
      <c r="J862" s="279">
        <f t="shared" si="270"/>
        <v>7969590</v>
      </c>
      <c r="K862" s="279">
        <f t="shared" si="270"/>
        <v>6711041</v>
      </c>
      <c r="L862" s="279">
        <f t="shared" si="270"/>
        <v>7300080</v>
      </c>
      <c r="M862" s="279">
        <f t="shared" si="270"/>
        <v>7448528</v>
      </c>
      <c r="N862" s="279">
        <f t="shared" si="270"/>
        <v>6304467</v>
      </c>
      <c r="O862" s="279">
        <f>O587</f>
        <v>6466760</v>
      </c>
      <c r="P862" s="279">
        <f>P587</f>
        <v>5295710</v>
      </c>
      <c r="Q862" s="279">
        <f>Q587</f>
        <v>5673131</v>
      </c>
      <c r="R862" s="279">
        <f t="shared" si="264"/>
        <v>79981230</v>
      </c>
      <c r="S862" s="424"/>
    </row>
    <row r="863" spans="2:22" x14ac:dyDescent="0.2">
      <c r="C863" s="32" t="s">
        <v>1165</v>
      </c>
      <c r="D863" s="32">
        <v>99</v>
      </c>
      <c r="F863" s="279">
        <f t="shared" ref="F863:N863" si="271">F780</f>
        <v>3517110</v>
      </c>
      <c r="G863" s="279">
        <f t="shared" si="271"/>
        <v>3347997</v>
      </c>
      <c r="H863" s="279">
        <f t="shared" si="271"/>
        <v>3654461</v>
      </c>
      <c r="I863" s="279">
        <f t="shared" si="271"/>
        <v>3238199</v>
      </c>
      <c r="J863" s="279">
        <f t="shared" si="271"/>
        <v>2805705</v>
      </c>
      <c r="K863" s="279">
        <f t="shared" si="271"/>
        <v>2216168</v>
      </c>
      <c r="L863" s="279">
        <f t="shared" si="271"/>
        <v>2006793</v>
      </c>
      <c r="M863" s="279">
        <f t="shared" si="271"/>
        <v>1941842</v>
      </c>
      <c r="N863" s="279">
        <f t="shared" si="271"/>
        <v>1979407</v>
      </c>
      <c r="O863" s="279">
        <f>O780</f>
        <v>2787377</v>
      </c>
      <c r="P863" s="279">
        <f>P780</f>
        <v>3842036</v>
      </c>
      <c r="Q863" s="279">
        <f>Q780</f>
        <v>3871544</v>
      </c>
      <c r="R863" s="279">
        <f t="shared" si="264"/>
        <v>35208639</v>
      </c>
      <c r="S863" s="424"/>
    </row>
    <row r="864" spans="2:22" x14ac:dyDescent="0.2">
      <c r="C864" s="32" t="s">
        <v>1166</v>
      </c>
      <c r="F864" s="357">
        <f t="shared" ref="F864:N864" si="272">SUM(F856:F863)</f>
        <v>18463376</v>
      </c>
      <c r="G864" s="357">
        <f t="shared" si="272"/>
        <v>16262405</v>
      </c>
      <c r="H864" s="357">
        <f t="shared" si="272"/>
        <v>18616229</v>
      </c>
      <c r="I864" s="357">
        <f t="shared" si="272"/>
        <v>17696035</v>
      </c>
      <c r="J864" s="357">
        <f t="shared" si="272"/>
        <v>18172218</v>
      </c>
      <c r="K864" s="357">
        <f t="shared" si="272"/>
        <v>16376008</v>
      </c>
      <c r="L864" s="357">
        <f t="shared" si="272"/>
        <v>16235237</v>
      </c>
      <c r="M864" s="357">
        <f t="shared" si="272"/>
        <v>16459267</v>
      </c>
      <c r="N864" s="357">
        <f t="shared" si="272"/>
        <v>15185083</v>
      </c>
      <c r="O864" s="357">
        <f>SUM(O856:O863)</f>
        <v>16898991</v>
      </c>
      <c r="P864" s="357">
        <f>SUM(P856:P863)</f>
        <v>17421621</v>
      </c>
      <c r="Q864" s="357">
        <f>SUM(Q856:Q863)</f>
        <v>17787897</v>
      </c>
      <c r="R864" s="357">
        <f>SUM(R856:R863)</f>
        <v>205574367</v>
      </c>
      <c r="S864" s="424"/>
    </row>
    <row r="865" spans="2:19" x14ac:dyDescent="0.2">
      <c r="F865" s="424"/>
      <c r="G865" s="424"/>
      <c r="H865" s="424"/>
      <c r="I865" s="424"/>
      <c r="J865" s="424"/>
      <c r="K865" s="424"/>
      <c r="L865" s="424"/>
      <c r="M865" s="424"/>
      <c r="N865" s="424"/>
      <c r="O865" s="424"/>
      <c r="P865" s="424"/>
      <c r="Q865" s="424"/>
      <c r="R865" s="424"/>
    </row>
    <row r="866" spans="2:19" x14ac:dyDescent="0.2">
      <c r="B866" s="32" t="s">
        <v>1167</v>
      </c>
      <c r="F866" s="357">
        <f t="shared" ref="F866:N866" si="273">F853+F864</f>
        <v>128745037</v>
      </c>
      <c r="G866" s="357">
        <f t="shared" si="273"/>
        <v>107438064</v>
      </c>
      <c r="H866" s="357">
        <f t="shared" si="273"/>
        <v>111751312</v>
      </c>
      <c r="I866" s="357">
        <f t="shared" si="273"/>
        <v>92608599</v>
      </c>
      <c r="J866" s="357">
        <f t="shared" si="273"/>
        <v>74871801</v>
      </c>
      <c r="K866" s="357">
        <f t="shared" si="273"/>
        <v>56233148</v>
      </c>
      <c r="L866" s="357">
        <f t="shared" si="273"/>
        <v>45903282</v>
      </c>
      <c r="M866" s="357">
        <f t="shared" si="273"/>
        <v>44931622</v>
      </c>
      <c r="N866" s="357">
        <f t="shared" si="273"/>
        <v>49140650</v>
      </c>
      <c r="O866" s="357">
        <f>O853+O864</f>
        <v>77063218</v>
      </c>
      <c r="P866" s="357">
        <f>P853+P864</f>
        <v>121261601</v>
      </c>
      <c r="Q866" s="357">
        <f>Q853+Q864</f>
        <v>146682209</v>
      </c>
      <c r="R866" s="357">
        <f>R853+R864</f>
        <v>1056630543</v>
      </c>
      <c r="S866" s="424"/>
    </row>
    <row r="868" spans="2:19" x14ac:dyDescent="0.2">
      <c r="B868" s="32" t="s">
        <v>1168</v>
      </c>
      <c r="F868" s="424"/>
      <c r="G868" s="424"/>
      <c r="H868" s="424"/>
      <c r="I868" s="424"/>
      <c r="J868" s="424"/>
      <c r="K868" s="424"/>
      <c r="L868" s="424"/>
      <c r="M868" s="424"/>
      <c r="N868" s="424"/>
      <c r="O868" s="424"/>
      <c r="P868" s="424"/>
      <c r="Q868" s="424"/>
      <c r="R868" s="424"/>
    </row>
    <row r="869" spans="2:19" x14ac:dyDescent="0.2">
      <c r="C869" s="343" t="s">
        <v>1143</v>
      </c>
      <c r="D869" s="32">
        <v>16</v>
      </c>
      <c r="F869" s="424">
        <f t="shared" ref="F869:Q871" si="274">F840</f>
        <v>1026</v>
      </c>
      <c r="G869" s="424">
        <f t="shared" si="274"/>
        <v>1026</v>
      </c>
      <c r="H869" s="424">
        <f t="shared" si="274"/>
        <v>1026</v>
      </c>
      <c r="I869" s="424">
        <f t="shared" si="274"/>
        <v>1026</v>
      </c>
      <c r="J869" s="424">
        <f t="shared" si="274"/>
        <v>1025.9999999999998</v>
      </c>
      <c r="K869" s="424">
        <f t="shared" si="274"/>
        <v>1026</v>
      </c>
      <c r="L869" s="424">
        <f t="shared" si="274"/>
        <v>1007</v>
      </c>
      <c r="M869" s="424">
        <f t="shared" si="274"/>
        <v>1007</v>
      </c>
      <c r="N869" s="424">
        <f t="shared" si="274"/>
        <v>1007</v>
      </c>
      <c r="O869" s="424">
        <f t="shared" si="274"/>
        <v>1007</v>
      </c>
      <c r="P869" s="424">
        <f t="shared" si="274"/>
        <v>1007</v>
      </c>
      <c r="Q869" s="424">
        <f t="shared" si="274"/>
        <v>1007</v>
      </c>
      <c r="R869" s="424">
        <f>R840</f>
        <v>12198</v>
      </c>
    </row>
    <row r="870" spans="2:19" x14ac:dyDescent="0.2">
      <c r="C870" s="343" t="s">
        <v>1143</v>
      </c>
      <c r="D870" s="32">
        <v>23</v>
      </c>
      <c r="F870" s="424">
        <f t="shared" si="274"/>
        <v>71187692</v>
      </c>
      <c r="G870" s="424">
        <f t="shared" si="274"/>
        <v>58357925</v>
      </c>
      <c r="H870" s="424">
        <f t="shared" si="274"/>
        <v>59215201</v>
      </c>
      <c r="I870" s="424">
        <f t="shared" si="274"/>
        <v>46508498</v>
      </c>
      <c r="J870" s="424">
        <f t="shared" si="274"/>
        <v>33382131</v>
      </c>
      <c r="K870" s="424">
        <f t="shared" si="274"/>
        <v>21957138</v>
      </c>
      <c r="L870" s="424">
        <f t="shared" si="274"/>
        <v>15080375</v>
      </c>
      <c r="M870" s="424">
        <f t="shared" si="274"/>
        <v>14189236</v>
      </c>
      <c r="N870" s="424">
        <f t="shared" si="274"/>
        <v>18121975</v>
      </c>
      <c r="O870" s="424">
        <f t="shared" si="274"/>
        <v>36524174</v>
      </c>
      <c r="P870" s="424">
        <f t="shared" si="274"/>
        <v>67472591</v>
      </c>
      <c r="Q870" s="424">
        <f t="shared" si="274"/>
        <v>84734325</v>
      </c>
      <c r="R870" s="424">
        <f>R841</f>
        <v>526731261</v>
      </c>
    </row>
    <row r="871" spans="2:19" x14ac:dyDescent="0.2">
      <c r="C871" s="343" t="s">
        <v>374</v>
      </c>
      <c r="D871" s="32">
        <v>53</v>
      </c>
      <c r="F871" s="424">
        <f t="shared" si="274"/>
        <v>205</v>
      </c>
      <c r="G871" s="424">
        <f t="shared" si="274"/>
        <v>216</v>
      </c>
      <c r="H871" s="424">
        <f t="shared" si="274"/>
        <v>301</v>
      </c>
      <c r="I871" s="424">
        <f t="shared" si="274"/>
        <v>219</v>
      </c>
      <c r="J871" s="424">
        <f t="shared" si="274"/>
        <v>145</v>
      </c>
      <c r="K871" s="424">
        <f t="shared" si="274"/>
        <v>107</v>
      </c>
      <c r="L871" s="424">
        <f t="shared" si="274"/>
        <v>89</v>
      </c>
      <c r="M871" s="424">
        <f t="shared" si="274"/>
        <v>86</v>
      </c>
      <c r="N871" s="424">
        <f t="shared" si="274"/>
        <v>84</v>
      </c>
      <c r="O871" s="424">
        <f t="shared" si="274"/>
        <v>160</v>
      </c>
      <c r="P871" s="424">
        <f t="shared" si="274"/>
        <v>222</v>
      </c>
      <c r="Q871" s="424">
        <f t="shared" si="274"/>
        <v>280</v>
      </c>
      <c r="R871" s="424">
        <f>R842</f>
        <v>2114</v>
      </c>
    </row>
    <row r="872" spans="2:19" x14ac:dyDescent="0.2">
      <c r="C872" s="346" t="s">
        <v>1144</v>
      </c>
      <c r="D872" s="32">
        <v>31</v>
      </c>
      <c r="F872" s="424">
        <f t="shared" ref="F872:Q876" si="275">F843+F848</f>
        <v>24392932</v>
      </c>
      <c r="G872" s="424">
        <f t="shared" si="275"/>
        <v>19931255</v>
      </c>
      <c r="H872" s="424">
        <f t="shared" si="275"/>
        <v>20211538</v>
      </c>
      <c r="I872" s="424">
        <f t="shared" si="275"/>
        <v>16329252</v>
      </c>
      <c r="J872" s="424">
        <f t="shared" si="275"/>
        <v>12570728</v>
      </c>
      <c r="K872" s="424">
        <f t="shared" si="275"/>
        <v>9331850</v>
      </c>
      <c r="L872" s="424">
        <f t="shared" si="275"/>
        <v>7475132</v>
      </c>
      <c r="M872" s="424">
        <f t="shared" si="275"/>
        <v>7320540</v>
      </c>
      <c r="N872" s="424">
        <f t="shared" si="275"/>
        <v>8247220</v>
      </c>
      <c r="O872" s="424">
        <f t="shared" si="275"/>
        <v>13245022</v>
      </c>
      <c r="P872" s="424">
        <f t="shared" si="275"/>
        <v>22627683</v>
      </c>
      <c r="Q872" s="424">
        <f t="shared" si="275"/>
        <v>28797018</v>
      </c>
      <c r="R872" s="424">
        <f>R843+R848</f>
        <v>190480170</v>
      </c>
    </row>
    <row r="873" spans="2:19" x14ac:dyDescent="0.2">
      <c r="C873" s="343" t="s">
        <v>1145</v>
      </c>
      <c r="D873" s="32">
        <v>41</v>
      </c>
      <c r="F873" s="424">
        <f t="shared" si="275"/>
        <v>8004055</v>
      </c>
      <c r="G873" s="424">
        <f t="shared" si="275"/>
        <v>6981114</v>
      </c>
      <c r="H873" s="424">
        <f t="shared" si="275"/>
        <v>7496772</v>
      </c>
      <c r="I873" s="424">
        <f t="shared" si="275"/>
        <v>6595479</v>
      </c>
      <c r="J873" s="424">
        <f t="shared" si="275"/>
        <v>5896911</v>
      </c>
      <c r="K873" s="424">
        <f t="shared" si="275"/>
        <v>4768160</v>
      </c>
      <c r="L873" s="424">
        <f t="shared" si="275"/>
        <v>4092135</v>
      </c>
      <c r="M873" s="424">
        <f t="shared" si="275"/>
        <v>4076995</v>
      </c>
      <c r="N873" s="424">
        <f t="shared" si="275"/>
        <v>4343468</v>
      </c>
      <c r="O873" s="424">
        <f t="shared" si="275"/>
        <v>5745982</v>
      </c>
      <c r="P873" s="424">
        <f t="shared" si="275"/>
        <v>7473709</v>
      </c>
      <c r="Q873" s="424">
        <f t="shared" si="275"/>
        <v>8382801</v>
      </c>
      <c r="R873" s="424">
        <f>R844+R849</f>
        <v>73857581</v>
      </c>
    </row>
    <row r="874" spans="2:19" x14ac:dyDescent="0.2">
      <c r="C874" s="343" t="s">
        <v>1146</v>
      </c>
      <c r="D874" s="32">
        <v>85</v>
      </c>
      <c r="F874" s="424">
        <f t="shared" si="275"/>
        <v>1784553</v>
      </c>
      <c r="G874" s="424">
        <f t="shared" si="275"/>
        <v>1596347</v>
      </c>
      <c r="H874" s="424">
        <f t="shared" si="275"/>
        <v>1793352</v>
      </c>
      <c r="I874" s="424">
        <f t="shared" si="275"/>
        <v>1590057</v>
      </c>
      <c r="J874" s="424">
        <f t="shared" si="275"/>
        <v>1374596</v>
      </c>
      <c r="K874" s="424">
        <f t="shared" si="275"/>
        <v>1084754</v>
      </c>
      <c r="L874" s="424">
        <f t="shared" si="275"/>
        <v>930314</v>
      </c>
      <c r="M874" s="424">
        <f t="shared" si="275"/>
        <v>937178</v>
      </c>
      <c r="N874" s="424">
        <f t="shared" si="275"/>
        <v>991705</v>
      </c>
      <c r="O874" s="424">
        <f t="shared" si="275"/>
        <v>1325106</v>
      </c>
      <c r="P874" s="424">
        <f t="shared" si="275"/>
        <v>1708043</v>
      </c>
      <c r="Q874" s="424">
        <f t="shared" si="275"/>
        <v>1816904</v>
      </c>
      <c r="R874" s="424">
        <f>R845+R850</f>
        <v>16932909</v>
      </c>
    </row>
    <row r="875" spans="2:19" x14ac:dyDescent="0.2">
      <c r="C875" s="343" t="s">
        <v>1147</v>
      </c>
      <c r="D875" s="32">
        <v>86</v>
      </c>
      <c r="F875" s="424">
        <f t="shared" si="275"/>
        <v>1835284</v>
      </c>
      <c r="G875" s="424">
        <f t="shared" si="275"/>
        <v>1555852</v>
      </c>
      <c r="H875" s="424">
        <f t="shared" si="275"/>
        <v>1528926</v>
      </c>
      <c r="I875" s="424">
        <f t="shared" si="275"/>
        <v>1260571</v>
      </c>
      <c r="J875" s="424">
        <f t="shared" si="275"/>
        <v>1044926</v>
      </c>
      <c r="K875" s="424">
        <f t="shared" si="275"/>
        <v>710557</v>
      </c>
      <c r="L875" s="424">
        <f t="shared" si="275"/>
        <v>418367</v>
      </c>
      <c r="M875" s="424">
        <f t="shared" si="275"/>
        <v>369982</v>
      </c>
      <c r="N875" s="424">
        <f t="shared" si="275"/>
        <v>520339</v>
      </c>
      <c r="O875" s="424">
        <f t="shared" si="275"/>
        <v>957695</v>
      </c>
      <c r="P875" s="424">
        <f t="shared" si="275"/>
        <v>1547201</v>
      </c>
      <c r="Q875" s="424">
        <f t="shared" si="275"/>
        <v>1769673</v>
      </c>
      <c r="R875" s="424">
        <f>R846+R851</f>
        <v>13519373</v>
      </c>
    </row>
    <row r="876" spans="2:19" x14ac:dyDescent="0.2">
      <c r="C876" s="343" t="s">
        <v>1148</v>
      </c>
      <c r="D876" s="32">
        <v>87</v>
      </c>
      <c r="F876" s="424">
        <f t="shared" si="275"/>
        <v>3075914</v>
      </c>
      <c r="G876" s="424">
        <f t="shared" si="275"/>
        <v>2751924</v>
      </c>
      <c r="H876" s="424">
        <f t="shared" si="275"/>
        <v>2887967</v>
      </c>
      <c r="I876" s="424">
        <f t="shared" si="275"/>
        <v>2627462</v>
      </c>
      <c r="J876" s="424">
        <f t="shared" si="275"/>
        <v>2429120</v>
      </c>
      <c r="K876" s="424">
        <f t="shared" si="275"/>
        <v>2003548</v>
      </c>
      <c r="L876" s="424">
        <f t="shared" si="275"/>
        <v>1670626</v>
      </c>
      <c r="M876" s="424">
        <f t="shared" si="275"/>
        <v>1577331</v>
      </c>
      <c r="N876" s="424">
        <f t="shared" si="275"/>
        <v>1729769</v>
      </c>
      <c r="O876" s="424">
        <f t="shared" si="275"/>
        <v>2365081</v>
      </c>
      <c r="P876" s="424">
        <f t="shared" si="275"/>
        <v>3009524</v>
      </c>
      <c r="Q876" s="424">
        <f t="shared" si="275"/>
        <v>3392304</v>
      </c>
      <c r="R876" s="424">
        <f>R847+R852</f>
        <v>29520570</v>
      </c>
    </row>
    <row r="877" spans="2:19" x14ac:dyDescent="0.2">
      <c r="C877" s="32" t="s">
        <v>1149</v>
      </c>
      <c r="D877" s="444" t="s">
        <v>808</v>
      </c>
      <c r="F877" s="424">
        <f t="shared" ref="F877:R878" si="276">F856+F859</f>
        <v>409720</v>
      </c>
      <c r="G877" s="424">
        <f t="shared" si="276"/>
        <v>385261</v>
      </c>
      <c r="H877" s="424">
        <f t="shared" si="276"/>
        <v>445763</v>
      </c>
      <c r="I877" s="424">
        <f t="shared" si="276"/>
        <v>426011</v>
      </c>
      <c r="J877" s="424">
        <f t="shared" si="276"/>
        <v>390935</v>
      </c>
      <c r="K877" s="424">
        <f t="shared" si="276"/>
        <v>399520</v>
      </c>
      <c r="L877" s="424">
        <f t="shared" si="276"/>
        <v>502107</v>
      </c>
      <c r="M877" s="424">
        <f t="shared" si="276"/>
        <v>505414</v>
      </c>
      <c r="N877" s="424">
        <f t="shared" si="276"/>
        <v>524779</v>
      </c>
      <c r="O877" s="424">
        <f t="shared" si="276"/>
        <v>566546</v>
      </c>
      <c r="P877" s="424">
        <f t="shared" si="276"/>
        <v>707553</v>
      </c>
      <c r="Q877" s="424">
        <f t="shared" si="276"/>
        <v>813242</v>
      </c>
      <c r="R877" s="424">
        <f t="shared" si="276"/>
        <v>6076851</v>
      </c>
    </row>
    <row r="878" spans="2:19" x14ac:dyDescent="0.2">
      <c r="C878" s="32" t="s">
        <v>1150</v>
      </c>
      <c r="D878" s="444" t="s">
        <v>809</v>
      </c>
      <c r="F878" s="424">
        <f t="shared" si="276"/>
        <v>5319906</v>
      </c>
      <c r="G878" s="424">
        <f t="shared" si="276"/>
        <v>5063125</v>
      </c>
      <c r="H878" s="424">
        <f t="shared" si="276"/>
        <v>5777912</v>
      </c>
      <c r="I878" s="424">
        <f t="shared" si="276"/>
        <v>5494717</v>
      </c>
      <c r="J878" s="424">
        <f t="shared" si="276"/>
        <v>5461310</v>
      </c>
      <c r="K878" s="424">
        <f t="shared" si="276"/>
        <v>5754850</v>
      </c>
      <c r="L878" s="424">
        <f t="shared" si="276"/>
        <v>5229565</v>
      </c>
      <c r="M878" s="424">
        <f t="shared" si="276"/>
        <v>5396514</v>
      </c>
      <c r="N878" s="424">
        <f t="shared" si="276"/>
        <v>5129610</v>
      </c>
      <c r="O878" s="424">
        <f t="shared" si="276"/>
        <v>5583091</v>
      </c>
      <c r="P878" s="424">
        <f t="shared" si="276"/>
        <v>5594102</v>
      </c>
      <c r="Q878" s="424">
        <f t="shared" si="276"/>
        <v>5438885</v>
      </c>
      <c r="R878" s="424">
        <f t="shared" si="276"/>
        <v>65243587</v>
      </c>
    </row>
    <row r="879" spans="2:19" x14ac:dyDescent="0.2">
      <c r="C879" s="32" t="s">
        <v>1151</v>
      </c>
      <c r="D879" s="444" t="s">
        <v>810</v>
      </c>
      <c r="F879" s="424">
        <f>F861</f>
        <v>0</v>
      </c>
      <c r="G879" s="424">
        <f t="shared" ref="G879:R879" si="277">G861</f>
        <v>0</v>
      </c>
      <c r="H879" s="424">
        <f t="shared" si="277"/>
        <v>0</v>
      </c>
      <c r="I879" s="424">
        <f t="shared" si="277"/>
        <v>0</v>
      </c>
      <c r="J879" s="424">
        <f t="shared" si="277"/>
        <v>0</v>
      </c>
      <c r="K879" s="424">
        <f t="shared" si="277"/>
        <v>0</v>
      </c>
      <c r="L879" s="424">
        <f t="shared" si="277"/>
        <v>0</v>
      </c>
      <c r="M879" s="424">
        <f t="shared" si="277"/>
        <v>2158</v>
      </c>
      <c r="N879" s="424">
        <f t="shared" si="277"/>
        <v>9063</v>
      </c>
      <c r="O879" s="424">
        <f t="shared" si="277"/>
        <v>8098</v>
      </c>
      <c r="P879" s="424">
        <f t="shared" si="277"/>
        <v>963</v>
      </c>
      <c r="Q879" s="424">
        <f t="shared" si="277"/>
        <v>197</v>
      </c>
      <c r="R879" s="424">
        <f t="shared" si="277"/>
        <v>20479</v>
      </c>
    </row>
    <row r="880" spans="2:19" x14ac:dyDescent="0.2">
      <c r="C880" s="32" t="s">
        <v>1152</v>
      </c>
      <c r="D880" s="444" t="s">
        <v>811</v>
      </c>
      <c r="F880" s="424">
        <f t="shared" ref="F880:N880" si="278">F858+F862</f>
        <v>9216640</v>
      </c>
      <c r="G880" s="424">
        <f t="shared" si="278"/>
        <v>7466022</v>
      </c>
      <c r="H880" s="424">
        <f t="shared" si="278"/>
        <v>8738093</v>
      </c>
      <c r="I880" s="424">
        <f t="shared" si="278"/>
        <v>8537108</v>
      </c>
      <c r="J880" s="424">
        <f t="shared" si="278"/>
        <v>9514268</v>
      </c>
      <c r="K880" s="424">
        <f t="shared" si="278"/>
        <v>8005470</v>
      </c>
      <c r="L880" s="424">
        <f t="shared" si="278"/>
        <v>8496772</v>
      </c>
      <c r="M880" s="424">
        <f t="shared" si="278"/>
        <v>8613339</v>
      </c>
      <c r="N880" s="424">
        <f t="shared" si="278"/>
        <v>7542224</v>
      </c>
      <c r="O880" s="424">
        <f>O858+O862</f>
        <v>7953879</v>
      </c>
      <c r="P880" s="424">
        <f>P858+P862</f>
        <v>7276967</v>
      </c>
      <c r="Q880" s="424">
        <f>Q858+Q862</f>
        <v>7664029</v>
      </c>
      <c r="R880" s="424">
        <f>R858+R862</f>
        <v>99024811</v>
      </c>
    </row>
    <row r="881" spans="2:19" x14ac:dyDescent="0.2">
      <c r="C881" s="343" t="s">
        <v>844</v>
      </c>
      <c r="F881" s="424">
        <f t="shared" ref="F881:N881" si="279">F863</f>
        <v>3517110</v>
      </c>
      <c r="G881" s="424">
        <f t="shared" si="279"/>
        <v>3347997</v>
      </c>
      <c r="H881" s="424">
        <f t="shared" si="279"/>
        <v>3654461</v>
      </c>
      <c r="I881" s="424">
        <f t="shared" si="279"/>
        <v>3238199</v>
      </c>
      <c r="J881" s="424">
        <f t="shared" si="279"/>
        <v>2805705</v>
      </c>
      <c r="K881" s="424">
        <f t="shared" si="279"/>
        <v>2216168</v>
      </c>
      <c r="L881" s="424">
        <f t="shared" si="279"/>
        <v>2006793</v>
      </c>
      <c r="M881" s="424">
        <f t="shared" si="279"/>
        <v>1941842</v>
      </c>
      <c r="N881" s="424">
        <f t="shared" si="279"/>
        <v>1979407</v>
      </c>
      <c r="O881" s="424">
        <f>O863</f>
        <v>2787377</v>
      </c>
      <c r="P881" s="424">
        <f>P863</f>
        <v>3842036</v>
      </c>
      <c r="Q881" s="424">
        <f>Q863</f>
        <v>3871544</v>
      </c>
      <c r="R881" s="424">
        <f>R863</f>
        <v>35208639</v>
      </c>
    </row>
    <row r="882" spans="2:19" x14ac:dyDescent="0.2">
      <c r="C882" s="32" t="s">
        <v>1167</v>
      </c>
      <c r="F882" s="357">
        <f t="shared" ref="F882:N882" si="280">SUM(F869:F881)</f>
        <v>128745037</v>
      </c>
      <c r="G882" s="357">
        <f t="shared" si="280"/>
        <v>107438064</v>
      </c>
      <c r="H882" s="357">
        <f t="shared" si="280"/>
        <v>111751312</v>
      </c>
      <c r="I882" s="357">
        <f t="shared" si="280"/>
        <v>92608599</v>
      </c>
      <c r="J882" s="357">
        <f t="shared" si="280"/>
        <v>74871801</v>
      </c>
      <c r="K882" s="357">
        <f t="shared" si="280"/>
        <v>56233148</v>
      </c>
      <c r="L882" s="357">
        <f t="shared" si="280"/>
        <v>45903282</v>
      </c>
      <c r="M882" s="357">
        <f t="shared" si="280"/>
        <v>44931622</v>
      </c>
      <c r="N882" s="357">
        <f t="shared" si="280"/>
        <v>49140650</v>
      </c>
      <c r="O882" s="357">
        <f>SUM(O869:O881)</f>
        <v>77063218</v>
      </c>
      <c r="P882" s="357">
        <f>SUM(P869:P881)</f>
        <v>121261601</v>
      </c>
      <c r="Q882" s="357">
        <f>SUM(Q869:Q881)</f>
        <v>146682209</v>
      </c>
      <c r="R882" s="357">
        <f>SUM(R869:R881)</f>
        <v>1056630543</v>
      </c>
    </row>
    <row r="883" spans="2:19" x14ac:dyDescent="0.2">
      <c r="C883" s="32" t="s">
        <v>131</v>
      </c>
      <c r="F883" s="279">
        <f t="shared" ref="F883:N883" si="281">F866-F882</f>
        <v>0</v>
      </c>
      <c r="G883" s="279">
        <f t="shared" si="281"/>
        <v>0</v>
      </c>
      <c r="H883" s="279">
        <f t="shared" si="281"/>
        <v>0</v>
      </c>
      <c r="I883" s="279">
        <f t="shared" si="281"/>
        <v>0</v>
      </c>
      <c r="J883" s="279">
        <f t="shared" si="281"/>
        <v>0</v>
      </c>
      <c r="K883" s="279">
        <f t="shared" si="281"/>
        <v>0</v>
      </c>
      <c r="L883" s="279">
        <f t="shared" si="281"/>
        <v>0</v>
      </c>
      <c r="M883" s="279">
        <f t="shared" si="281"/>
        <v>0</v>
      </c>
      <c r="N883" s="279">
        <f t="shared" si="281"/>
        <v>0</v>
      </c>
      <c r="O883" s="279">
        <f>O866-O882</f>
        <v>0</v>
      </c>
      <c r="P883" s="279">
        <f>P866-P882</f>
        <v>0</v>
      </c>
      <c r="Q883" s="279">
        <f>Q866-Q882</f>
        <v>0</v>
      </c>
      <c r="R883" s="279">
        <f>R866-R882</f>
        <v>0</v>
      </c>
    </row>
    <row r="885" spans="2:19" x14ac:dyDescent="0.2">
      <c r="B885" s="32" t="s">
        <v>1169</v>
      </c>
    </row>
    <row r="886" spans="2:19" x14ac:dyDescent="0.2">
      <c r="C886" s="32" t="s">
        <v>1170</v>
      </c>
      <c r="D886" s="32">
        <v>61</v>
      </c>
      <c r="F886" s="279">
        <f>F67</f>
        <v>4027</v>
      </c>
      <c r="G886" s="279">
        <f t="shared" ref="G886:Q886" si="282">G67</f>
        <v>4027</v>
      </c>
      <c r="H886" s="279">
        <f t="shared" si="282"/>
        <v>4027</v>
      </c>
      <c r="I886" s="279">
        <f t="shared" si="282"/>
        <v>4027</v>
      </c>
      <c r="J886" s="279">
        <f t="shared" si="282"/>
        <v>4027</v>
      </c>
      <c r="K886" s="279">
        <f t="shared" si="282"/>
        <v>4027</v>
      </c>
      <c r="L886" s="279">
        <f t="shared" si="282"/>
        <v>4027</v>
      </c>
      <c r="M886" s="279">
        <f t="shared" si="282"/>
        <v>4027</v>
      </c>
      <c r="N886" s="279">
        <f t="shared" si="282"/>
        <v>4027</v>
      </c>
      <c r="O886" s="279">
        <f t="shared" si="282"/>
        <v>4027</v>
      </c>
      <c r="P886" s="279">
        <f t="shared" si="282"/>
        <v>4027</v>
      </c>
      <c r="Q886" s="279">
        <f t="shared" si="282"/>
        <v>4027</v>
      </c>
      <c r="R886" s="279">
        <f>SUM(F886:Q886)</f>
        <v>48324</v>
      </c>
    </row>
    <row r="887" spans="2:19" x14ac:dyDescent="0.2">
      <c r="C887" s="32" t="s">
        <v>1171</v>
      </c>
      <c r="D887" s="32">
        <v>61</v>
      </c>
      <c r="F887" s="279">
        <f>F253</f>
        <v>88936</v>
      </c>
      <c r="G887" s="279">
        <f t="shared" ref="G887:Q887" si="283">G253</f>
        <v>88936</v>
      </c>
      <c r="H887" s="279">
        <f t="shared" si="283"/>
        <v>89191</v>
      </c>
      <c r="I887" s="279">
        <f t="shared" si="283"/>
        <v>88936</v>
      </c>
      <c r="J887" s="279">
        <f t="shared" si="283"/>
        <v>91309</v>
      </c>
      <c r="K887" s="279">
        <f t="shared" si="283"/>
        <v>90116</v>
      </c>
      <c r="L887" s="279">
        <f t="shared" si="283"/>
        <v>92111</v>
      </c>
      <c r="M887" s="279">
        <f t="shared" si="283"/>
        <v>93269</v>
      </c>
      <c r="N887" s="279">
        <f t="shared" si="283"/>
        <v>92656</v>
      </c>
      <c r="O887" s="279">
        <f t="shared" si="283"/>
        <v>92656</v>
      </c>
      <c r="P887" s="279">
        <f t="shared" si="283"/>
        <v>92656</v>
      </c>
      <c r="Q887" s="279">
        <f t="shared" si="283"/>
        <v>92656</v>
      </c>
      <c r="R887" s="279">
        <f>SUM(F887:Q887)</f>
        <v>1093428</v>
      </c>
    </row>
    <row r="888" spans="2:19" x14ac:dyDescent="0.2">
      <c r="C888" s="32" t="s">
        <v>1172</v>
      </c>
      <c r="D888" s="32">
        <v>61</v>
      </c>
      <c r="F888" s="279">
        <f>F613</f>
        <v>947</v>
      </c>
      <c r="G888" s="279">
        <f t="shared" ref="G888:Q888" si="284">G613</f>
        <v>947</v>
      </c>
      <c r="H888" s="279">
        <f t="shared" si="284"/>
        <v>947</v>
      </c>
      <c r="I888" s="279">
        <f t="shared" si="284"/>
        <v>947</v>
      </c>
      <c r="J888" s="279">
        <f t="shared" si="284"/>
        <v>947</v>
      </c>
      <c r="K888" s="279">
        <f t="shared" si="284"/>
        <v>947</v>
      </c>
      <c r="L888" s="279">
        <f t="shared" si="284"/>
        <v>947</v>
      </c>
      <c r="M888" s="279">
        <f t="shared" si="284"/>
        <v>947</v>
      </c>
      <c r="N888" s="279">
        <f t="shared" si="284"/>
        <v>947</v>
      </c>
      <c r="O888" s="279">
        <f t="shared" si="284"/>
        <v>947</v>
      </c>
      <c r="P888" s="279">
        <f t="shared" si="284"/>
        <v>947</v>
      </c>
      <c r="Q888" s="279">
        <f t="shared" si="284"/>
        <v>947</v>
      </c>
      <c r="R888" s="279">
        <f>SUM(F888:Q888)</f>
        <v>11364</v>
      </c>
    </row>
    <row r="889" spans="2:19" x14ac:dyDescent="0.2">
      <c r="C889" s="32" t="s">
        <v>1124</v>
      </c>
      <c r="D889" s="32">
        <v>41</v>
      </c>
      <c r="F889" s="279">
        <f t="shared" ref="F889:N889" si="285">F112</f>
        <v>345023.82</v>
      </c>
      <c r="G889" s="279">
        <f t="shared" si="285"/>
        <v>345483.82</v>
      </c>
      <c r="H889" s="279">
        <f t="shared" si="285"/>
        <v>343434.82</v>
      </c>
      <c r="I889" s="279">
        <f t="shared" si="285"/>
        <v>344454.82999999996</v>
      </c>
      <c r="J889" s="279">
        <f t="shared" si="285"/>
        <v>343545.81999999995</v>
      </c>
      <c r="K889" s="279">
        <f t="shared" si="285"/>
        <v>347633.82000000007</v>
      </c>
      <c r="L889" s="279">
        <f t="shared" si="285"/>
        <v>349911.64</v>
      </c>
      <c r="M889" s="279">
        <f t="shared" si="285"/>
        <v>346640</v>
      </c>
      <c r="N889" s="279">
        <f t="shared" si="285"/>
        <v>346444</v>
      </c>
      <c r="O889" s="279">
        <f>O112</f>
        <v>339453</v>
      </c>
      <c r="P889" s="279">
        <f>P112</f>
        <v>337940</v>
      </c>
      <c r="Q889" s="279">
        <f>Q112</f>
        <v>335944</v>
      </c>
      <c r="R889" s="279">
        <f t="shared" ref="R889:R904" si="286">SUM(F889:Q889)</f>
        <v>4125909.57</v>
      </c>
      <c r="S889" s="507"/>
    </row>
    <row r="890" spans="2:19" x14ac:dyDescent="0.2">
      <c r="C890" s="32" t="s">
        <v>1125</v>
      </c>
      <c r="D890" s="444" t="s">
        <v>808</v>
      </c>
      <c r="F890" s="279">
        <f t="shared" ref="F890:N890" si="287">F151</f>
        <v>6680</v>
      </c>
      <c r="G890" s="279">
        <f t="shared" si="287"/>
        <v>6680</v>
      </c>
      <c r="H890" s="279">
        <f t="shared" si="287"/>
        <v>6680</v>
      </c>
      <c r="I890" s="279">
        <f t="shared" si="287"/>
        <v>6680</v>
      </c>
      <c r="J890" s="279">
        <f t="shared" si="287"/>
        <v>6679.9999999999991</v>
      </c>
      <c r="K890" s="279">
        <f t="shared" si="287"/>
        <v>6680</v>
      </c>
      <c r="L890" s="279">
        <f t="shared" si="287"/>
        <v>5996</v>
      </c>
      <c r="M890" s="279">
        <f t="shared" si="287"/>
        <v>5996</v>
      </c>
      <c r="N890" s="279">
        <f t="shared" si="287"/>
        <v>5996</v>
      </c>
      <c r="O890" s="279">
        <f>O151</f>
        <v>8026</v>
      </c>
      <c r="P890" s="279">
        <f>P151</f>
        <v>8026</v>
      </c>
      <c r="Q890" s="279">
        <f>Q151</f>
        <v>12103</v>
      </c>
      <c r="R890" s="279">
        <f t="shared" si="286"/>
        <v>86223</v>
      </c>
      <c r="S890" s="507"/>
    </row>
    <row r="891" spans="2:19" x14ac:dyDescent="0.2">
      <c r="C891" s="32" t="s">
        <v>1126</v>
      </c>
      <c r="D891" s="444" t="s">
        <v>809</v>
      </c>
      <c r="F891" s="279">
        <f t="shared" ref="F891:N891" si="288">F187</f>
        <v>22456</v>
      </c>
      <c r="G891" s="279">
        <f t="shared" si="288"/>
        <v>24856</v>
      </c>
      <c r="H891" s="279">
        <f t="shared" si="288"/>
        <v>23656</v>
      </c>
      <c r="I891" s="279">
        <f t="shared" si="288"/>
        <v>23656</v>
      </c>
      <c r="J891" s="279">
        <f t="shared" si="288"/>
        <v>23656</v>
      </c>
      <c r="K891" s="279">
        <f t="shared" si="288"/>
        <v>23656</v>
      </c>
      <c r="L891" s="279">
        <f t="shared" si="288"/>
        <v>23656</v>
      </c>
      <c r="M891" s="279">
        <f t="shared" si="288"/>
        <v>23656</v>
      </c>
      <c r="N891" s="279">
        <f t="shared" si="288"/>
        <v>23656</v>
      </c>
      <c r="O891" s="279">
        <f>O187</f>
        <v>21156</v>
      </c>
      <c r="P891" s="279">
        <f>P187</f>
        <v>19656</v>
      </c>
      <c r="Q891" s="279">
        <f>Q187</f>
        <v>19356</v>
      </c>
      <c r="R891" s="279">
        <f t="shared" si="286"/>
        <v>273072</v>
      </c>
      <c r="S891" s="507"/>
    </row>
    <row r="892" spans="2:19" x14ac:dyDescent="0.2">
      <c r="C892" s="32" t="s">
        <v>1127</v>
      </c>
      <c r="D892" s="444" t="s">
        <v>811</v>
      </c>
      <c r="F892" s="279">
        <f t="shared" ref="F892:N892" si="289">F228</f>
        <v>2</v>
      </c>
      <c r="G892" s="279">
        <f t="shared" si="289"/>
        <v>2</v>
      </c>
      <c r="H892" s="279">
        <f t="shared" si="289"/>
        <v>2</v>
      </c>
      <c r="I892" s="279">
        <f t="shared" si="289"/>
        <v>2</v>
      </c>
      <c r="J892" s="279">
        <f t="shared" si="289"/>
        <v>2</v>
      </c>
      <c r="K892" s="279">
        <f t="shared" si="289"/>
        <v>2</v>
      </c>
      <c r="L892" s="279">
        <f t="shared" si="289"/>
        <v>2</v>
      </c>
      <c r="M892" s="279">
        <f t="shared" si="289"/>
        <v>2</v>
      </c>
      <c r="N892" s="279">
        <f t="shared" si="289"/>
        <v>2</v>
      </c>
      <c r="O892" s="279">
        <f>O228</f>
        <v>2</v>
      </c>
      <c r="P892" s="279">
        <f>P228</f>
        <v>2</v>
      </c>
      <c r="Q892" s="279">
        <f>Q228</f>
        <v>2</v>
      </c>
      <c r="R892" s="279">
        <f t="shared" si="286"/>
        <v>24</v>
      </c>
      <c r="S892" s="507"/>
    </row>
    <row r="893" spans="2:19" x14ac:dyDescent="0.2">
      <c r="C893" s="32" t="s">
        <v>1128</v>
      </c>
      <c r="D893" s="32">
        <v>85</v>
      </c>
      <c r="F893" s="279">
        <f t="shared" ref="F893:N893" si="290">F282</f>
        <v>7593</v>
      </c>
      <c r="G893" s="279">
        <f t="shared" si="290"/>
        <v>7593</v>
      </c>
      <c r="H893" s="279">
        <f t="shared" si="290"/>
        <v>7593</v>
      </c>
      <c r="I893" s="279">
        <f t="shared" si="290"/>
        <v>7593</v>
      </c>
      <c r="J893" s="279">
        <f t="shared" si="290"/>
        <v>7593</v>
      </c>
      <c r="K893" s="279">
        <f t="shared" si="290"/>
        <v>7593</v>
      </c>
      <c r="L893" s="279">
        <f t="shared" si="290"/>
        <v>7593</v>
      </c>
      <c r="M893" s="279">
        <f t="shared" si="290"/>
        <v>7661</v>
      </c>
      <c r="N893" s="279">
        <f t="shared" si="290"/>
        <v>7593</v>
      </c>
      <c r="O893" s="279">
        <f>O282</f>
        <v>7593</v>
      </c>
      <c r="P893" s="279">
        <f>P282</f>
        <v>7593</v>
      </c>
      <c r="Q893" s="279">
        <f>Q282</f>
        <v>7593</v>
      </c>
      <c r="R893" s="279">
        <f t="shared" si="286"/>
        <v>91184</v>
      </c>
      <c r="S893" s="507"/>
    </row>
    <row r="894" spans="2:19" x14ac:dyDescent="0.2">
      <c r="C894" s="32" t="s">
        <v>1129</v>
      </c>
      <c r="D894" s="32">
        <v>86</v>
      </c>
      <c r="F894" s="279">
        <f t="shared" ref="F894:N894" si="291">F325</f>
        <v>9510</v>
      </c>
      <c r="G894" s="279">
        <f t="shared" si="291"/>
        <v>9429</v>
      </c>
      <c r="H894" s="279">
        <f t="shared" si="291"/>
        <v>9258</v>
      </c>
      <c r="I894" s="279">
        <f t="shared" si="291"/>
        <v>9188</v>
      </c>
      <c r="J894" s="279">
        <f t="shared" si="291"/>
        <v>9260</v>
      </c>
      <c r="K894" s="279">
        <f t="shared" si="291"/>
        <v>9258</v>
      </c>
      <c r="L894" s="279">
        <f t="shared" si="291"/>
        <v>9136</v>
      </c>
      <c r="M894" s="279">
        <f t="shared" si="291"/>
        <v>8867</v>
      </c>
      <c r="N894" s="279">
        <f t="shared" si="291"/>
        <v>8570</v>
      </c>
      <c r="O894" s="279">
        <f>O325</f>
        <v>8457</v>
      </c>
      <c r="P894" s="279">
        <f>P325</f>
        <v>8504</v>
      </c>
      <c r="Q894" s="279">
        <f>Q325</f>
        <v>8244</v>
      </c>
      <c r="R894" s="279">
        <f t="shared" si="286"/>
        <v>107681</v>
      </c>
      <c r="S894" s="507"/>
    </row>
    <row r="895" spans="2:19" x14ac:dyDescent="0.2">
      <c r="C895" s="32" t="s">
        <v>1130</v>
      </c>
      <c r="D895" s="32">
        <v>87</v>
      </c>
      <c r="F895" s="279">
        <f t="shared" ref="F895:N895" si="292">F375</f>
        <v>532</v>
      </c>
      <c r="G895" s="279">
        <f t="shared" si="292"/>
        <v>532</v>
      </c>
      <c r="H895" s="279">
        <f t="shared" si="292"/>
        <v>532</v>
      </c>
      <c r="I895" s="279">
        <f t="shared" si="292"/>
        <v>532</v>
      </c>
      <c r="J895" s="279">
        <f t="shared" si="292"/>
        <v>532</v>
      </c>
      <c r="K895" s="279">
        <f t="shared" si="292"/>
        <v>532</v>
      </c>
      <c r="L895" s="279">
        <f t="shared" si="292"/>
        <v>532</v>
      </c>
      <c r="M895" s="279">
        <f t="shared" si="292"/>
        <v>532</v>
      </c>
      <c r="N895" s="279">
        <f t="shared" si="292"/>
        <v>532</v>
      </c>
      <c r="O895" s="279">
        <f>O375</f>
        <v>532</v>
      </c>
      <c r="P895" s="279">
        <f>P375</f>
        <v>532</v>
      </c>
      <c r="Q895" s="279">
        <f>Q375</f>
        <v>532</v>
      </c>
      <c r="R895" s="279">
        <f t="shared" si="286"/>
        <v>6384</v>
      </c>
      <c r="S895" s="507"/>
    </row>
    <row r="896" spans="2:19" x14ac:dyDescent="0.2">
      <c r="C896" s="32" t="s">
        <v>1145</v>
      </c>
      <c r="D896" s="32">
        <v>41</v>
      </c>
      <c r="F896" s="279">
        <f t="shared" ref="F896:N896" si="293">F440</f>
        <v>57110.51</v>
      </c>
      <c r="G896" s="279">
        <f t="shared" si="293"/>
        <v>57496.51</v>
      </c>
      <c r="H896" s="279">
        <f t="shared" si="293"/>
        <v>58536.51</v>
      </c>
      <c r="I896" s="279">
        <f t="shared" si="293"/>
        <v>58147.519999999997</v>
      </c>
      <c r="J896" s="279">
        <f t="shared" si="293"/>
        <v>58460.499999999993</v>
      </c>
      <c r="K896" s="279">
        <f t="shared" si="293"/>
        <v>58908.51</v>
      </c>
      <c r="L896" s="279">
        <f t="shared" si="293"/>
        <v>57873</v>
      </c>
      <c r="M896" s="279">
        <f t="shared" si="293"/>
        <v>57441</v>
      </c>
      <c r="N896" s="279">
        <f t="shared" si="293"/>
        <v>57931</v>
      </c>
      <c r="O896" s="279">
        <f>O440</f>
        <v>57777</v>
      </c>
      <c r="P896" s="279">
        <f>P440</f>
        <v>57723</v>
      </c>
      <c r="Q896" s="279">
        <f>Q440</f>
        <v>57689</v>
      </c>
      <c r="R896" s="279">
        <f t="shared" si="286"/>
        <v>695094.06</v>
      </c>
      <c r="S896" s="507"/>
    </row>
    <row r="897" spans="2:19" x14ac:dyDescent="0.2">
      <c r="C897" s="32" t="s">
        <v>1133</v>
      </c>
      <c r="D897" s="444" t="s">
        <v>808</v>
      </c>
      <c r="F897" s="279">
        <f t="shared" ref="F897:N897" si="294">F479</f>
        <v>16443</v>
      </c>
      <c r="G897" s="279">
        <f t="shared" si="294"/>
        <v>16443</v>
      </c>
      <c r="H897" s="279">
        <f t="shared" si="294"/>
        <v>14103</v>
      </c>
      <c r="I897" s="279">
        <f t="shared" si="294"/>
        <v>14103</v>
      </c>
      <c r="J897" s="279">
        <f t="shared" si="294"/>
        <v>14103.000000000002</v>
      </c>
      <c r="K897" s="279">
        <f t="shared" si="294"/>
        <v>14103</v>
      </c>
      <c r="L897" s="279">
        <f t="shared" si="294"/>
        <v>18197</v>
      </c>
      <c r="M897" s="279">
        <f t="shared" si="294"/>
        <v>18309</v>
      </c>
      <c r="N897" s="279">
        <f t="shared" si="294"/>
        <v>18309</v>
      </c>
      <c r="O897" s="279">
        <f>O479</f>
        <v>18309</v>
      </c>
      <c r="P897" s="279">
        <f>P479</f>
        <v>20237</v>
      </c>
      <c r="Q897" s="279">
        <f>Q479</f>
        <v>20237</v>
      </c>
      <c r="R897" s="279">
        <f t="shared" si="286"/>
        <v>202896</v>
      </c>
      <c r="S897" s="507"/>
    </row>
    <row r="898" spans="2:19" x14ac:dyDescent="0.2">
      <c r="C898" s="32" t="s">
        <v>1134</v>
      </c>
      <c r="D898" s="444" t="s">
        <v>809</v>
      </c>
      <c r="F898" s="279">
        <f t="shared" ref="F898:N898" si="295">F515</f>
        <v>41254</v>
      </c>
      <c r="G898" s="279">
        <f t="shared" si="295"/>
        <v>38204</v>
      </c>
      <c r="H898" s="279">
        <f t="shared" si="295"/>
        <v>38204</v>
      </c>
      <c r="I898" s="279">
        <f t="shared" si="295"/>
        <v>38204</v>
      </c>
      <c r="J898" s="279">
        <f t="shared" si="295"/>
        <v>35704</v>
      </c>
      <c r="K898" s="279">
        <f t="shared" si="295"/>
        <v>35704</v>
      </c>
      <c r="L898" s="279">
        <f t="shared" si="295"/>
        <v>35704</v>
      </c>
      <c r="M898" s="279">
        <f t="shared" si="295"/>
        <v>35584</v>
      </c>
      <c r="N898" s="279">
        <f t="shared" si="295"/>
        <v>35584</v>
      </c>
      <c r="O898" s="279">
        <f>O515</f>
        <v>35584</v>
      </c>
      <c r="P898" s="279">
        <f>P515</f>
        <v>35584</v>
      </c>
      <c r="Q898" s="279">
        <f>Q515</f>
        <v>35601</v>
      </c>
      <c r="R898" s="279">
        <f t="shared" si="286"/>
        <v>440915</v>
      </c>
      <c r="S898" s="507"/>
    </row>
    <row r="899" spans="2:19" x14ac:dyDescent="0.2">
      <c r="C899" s="32" t="s">
        <v>1163</v>
      </c>
      <c r="D899" s="444" t="s">
        <v>810</v>
      </c>
      <c r="F899" s="279">
        <f>F548</f>
        <v>0</v>
      </c>
      <c r="G899" s="279">
        <f t="shared" ref="G899:Q899" si="296">G548</f>
        <v>0</v>
      </c>
      <c r="H899" s="279">
        <f t="shared" si="296"/>
        <v>0</v>
      </c>
      <c r="I899" s="279">
        <f t="shared" si="296"/>
        <v>0</v>
      </c>
      <c r="J899" s="279">
        <f t="shared" si="296"/>
        <v>0</v>
      </c>
      <c r="K899" s="279">
        <f t="shared" si="296"/>
        <v>0</v>
      </c>
      <c r="L899" s="279">
        <f t="shared" si="296"/>
        <v>0</v>
      </c>
      <c r="M899" s="279">
        <f t="shared" si="296"/>
        <v>0</v>
      </c>
      <c r="N899" s="279">
        <f t="shared" si="296"/>
        <v>0</v>
      </c>
      <c r="O899" s="279">
        <f t="shared" si="296"/>
        <v>0</v>
      </c>
      <c r="P899" s="279">
        <f t="shared" si="296"/>
        <v>0</v>
      </c>
      <c r="Q899" s="279">
        <f t="shared" si="296"/>
        <v>0</v>
      </c>
      <c r="R899" s="279">
        <f t="shared" si="286"/>
        <v>0</v>
      </c>
      <c r="S899" s="507"/>
    </row>
    <row r="900" spans="2:19" x14ac:dyDescent="0.2">
      <c r="C900" s="32" t="s">
        <v>1136</v>
      </c>
      <c r="D900" s="444" t="s">
        <v>811</v>
      </c>
      <c r="F900" s="279">
        <f t="shared" ref="F900:N900" si="297">F588</f>
        <v>37739</v>
      </c>
      <c r="G900" s="279">
        <f t="shared" si="297"/>
        <v>37739</v>
      </c>
      <c r="H900" s="279">
        <f t="shared" si="297"/>
        <v>37739</v>
      </c>
      <c r="I900" s="279">
        <f t="shared" si="297"/>
        <v>37739</v>
      </c>
      <c r="J900" s="279">
        <f t="shared" si="297"/>
        <v>37739</v>
      </c>
      <c r="K900" s="279">
        <f t="shared" si="297"/>
        <v>37739</v>
      </c>
      <c r="L900" s="279">
        <f t="shared" si="297"/>
        <v>37739</v>
      </c>
      <c r="M900" s="279">
        <f t="shared" si="297"/>
        <v>37739</v>
      </c>
      <c r="N900" s="279">
        <f t="shared" si="297"/>
        <v>37739</v>
      </c>
      <c r="O900" s="279">
        <f>O588</f>
        <v>37739</v>
      </c>
      <c r="P900" s="279">
        <f>P588</f>
        <v>37739</v>
      </c>
      <c r="Q900" s="279">
        <f>Q588</f>
        <v>37722</v>
      </c>
      <c r="R900" s="279">
        <f t="shared" si="286"/>
        <v>452851</v>
      </c>
      <c r="S900" s="507"/>
    </row>
    <row r="901" spans="2:19" x14ac:dyDescent="0.2">
      <c r="C901" s="32" t="s">
        <v>1137</v>
      </c>
      <c r="D901" s="32">
        <v>85</v>
      </c>
      <c r="F901" s="279">
        <f t="shared" ref="F901:N901" si="298">F641</f>
        <v>2443</v>
      </c>
      <c r="G901" s="279">
        <f t="shared" si="298"/>
        <v>2443</v>
      </c>
      <c r="H901" s="279">
        <f t="shared" si="298"/>
        <v>2443</v>
      </c>
      <c r="I901" s="279">
        <f t="shared" si="298"/>
        <v>2443</v>
      </c>
      <c r="J901" s="279">
        <f t="shared" si="298"/>
        <v>2443</v>
      </c>
      <c r="K901" s="279">
        <f t="shared" si="298"/>
        <v>2443</v>
      </c>
      <c r="L901" s="279">
        <f t="shared" si="298"/>
        <v>2443</v>
      </c>
      <c r="M901" s="279">
        <f t="shared" si="298"/>
        <v>2443</v>
      </c>
      <c r="N901" s="279">
        <f t="shared" si="298"/>
        <v>2443</v>
      </c>
      <c r="O901" s="279">
        <f>O641</f>
        <v>2443</v>
      </c>
      <c r="P901" s="279">
        <f>P641</f>
        <v>2443</v>
      </c>
      <c r="Q901" s="279">
        <f>Q641</f>
        <v>2443</v>
      </c>
      <c r="R901" s="279">
        <f t="shared" si="286"/>
        <v>29316</v>
      </c>
      <c r="S901" s="507"/>
    </row>
    <row r="902" spans="2:19" x14ac:dyDescent="0.2">
      <c r="C902" s="32" t="s">
        <v>1138</v>
      </c>
      <c r="D902" s="32">
        <v>86</v>
      </c>
      <c r="F902" s="279">
        <f t="shared" ref="F902:N902" si="299">F684</f>
        <v>127</v>
      </c>
      <c r="G902" s="279">
        <f t="shared" si="299"/>
        <v>137</v>
      </c>
      <c r="H902" s="279">
        <f t="shared" si="299"/>
        <v>132</v>
      </c>
      <c r="I902" s="279">
        <f t="shared" si="299"/>
        <v>132</v>
      </c>
      <c r="J902" s="279">
        <f t="shared" si="299"/>
        <v>132</v>
      </c>
      <c r="K902" s="279">
        <f t="shared" si="299"/>
        <v>132</v>
      </c>
      <c r="L902" s="279">
        <f t="shared" si="299"/>
        <v>132</v>
      </c>
      <c r="M902" s="279">
        <f t="shared" si="299"/>
        <v>132</v>
      </c>
      <c r="N902" s="279">
        <f t="shared" si="299"/>
        <v>132</v>
      </c>
      <c r="O902" s="279">
        <f>O684</f>
        <v>132</v>
      </c>
      <c r="P902" s="279">
        <f>P684</f>
        <v>132</v>
      </c>
      <c r="Q902" s="279">
        <f>Q684</f>
        <v>132</v>
      </c>
      <c r="R902" s="279">
        <f t="shared" si="286"/>
        <v>1584</v>
      </c>
      <c r="S902" s="507"/>
    </row>
    <row r="903" spans="2:19" x14ac:dyDescent="0.2">
      <c r="C903" s="32" t="s">
        <v>1139</v>
      </c>
      <c r="D903" s="32">
        <v>87</v>
      </c>
      <c r="F903" s="279">
        <f t="shared" ref="F903:N903" si="300">F734</f>
        <v>0</v>
      </c>
      <c r="G903" s="279">
        <f t="shared" si="300"/>
        <v>0</v>
      </c>
      <c r="H903" s="279">
        <f t="shared" si="300"/>
        <v>0</v>
      </c>
      <c r="I903" s="279">
        <f t="shared" si="300"/>
        <v>0</v>
      </c>
      <c r="J903" s="279">
        <f t="shared" si="300"/>
        <v>0</v>
      </c>
      <c r="K903" s="279">
        <f t="shared" si="300"/>
        <v>0</v>
      </c>
      <c r="L903" s="279">
        <f t="shared" si="300"/>
        <v>0</v>
      </c>
      <c r="M903" s="279">
        <f t="shared" si="300"/>
        <v>0</v>
      </c>
      <c r="N903" s="279">
        <f t="shared" si="300"/>
        <v>0</v>
      </c>
      <c r="O903" s="279">
        <f>O734</f>
        <v>0</v>
      </c>
      <c r="P903" s="279">
        <f>P734</f>
        <v>0</v>
      </c>
      <c r="Q903" s="279">
        <f>Q734</f>
        <v>0</v>
      </c>
      <c r="R903" s="279">
        <f t="shared" si="286"/>
        <v>0</v>
      </c>
      <c r="S903" s="507"/>
    </row>
    <row r="904" spans="2:19" x14ac:dyDescent="0.2">
      <c r="C904" s="32" t="s">
        <v>1173</v>
      </c>
      <c r="D904" s="32">
        <v>99</v>
      </c>
      <c r="F904" s="279">
        <f t="shared" ref="F904:N904" si="301">F781</f>
        <v>38483</v>
      </c>
      <c r="G904" s="279">
        <f t="shared" si="301"/>
        <v>38483</v>
      </c>
      <c r="H904" s="279">
        <f t="shared" si="301"/>
        <v>38483</v>
      </c>
      <c r="I904" s="279">
        <f t="shared" si="301"/>
        <v>38483</v>
      </c>
      <c r="J904" s="279">
        <f t="shared" si="301"/>
        <v>38483</v>
      </c>
      <c r="K904" s="279">
        <f t="shared" si="301"/>
        <v>38483</v>
      </c>
      <c r="L904" s="279">
        <f t="shared" si="301"/>
        <v>38483</v>
      </c>
      <c r="M904" s="279">
        <f t="shared" si="301"/>
        <v>38483</v>
      </c>
      <c r="N904" s="279">
        <f t="shared" si="301"/>
        <v>38483</v>
      </c>
      <c r="O904" s="279">
        <f>O781</f>
        <v>38483</v>
      </c>
      <c r="P904" s="279">
        <f>P781</f>
        <v>38483</v>
      </c>
      <c r="Q904" s="279">
        <f>Q781</f>
        <v>38483</v>
      </c>
      <c r="R904" s="279">
        <f t="shared" si="286"/>
        <v>461796</v>
      </c>
      <c r="S904" s="507"/>
    </row>
    <row r="905" spans="2:19" x14ac:dyDescent="0.2">
      <c r="C905" s="32" t="s">
        <v>1174</v>
      </c>
      <c r="F905" s="357">
        <f>SUM(F886:F904)</f>
        <v>679306.33</v>
      </c>
      <c r="G905" s="357">
        <f t="shared" ref="G905:R905" si="302">SUM(G886:G904)</f>
        <v>679431.33</v>
      </c>
      <c r="H905" s="357">
        <f t="shared" si="302"/>
        <v>674961.33</v>
      </c>
      <c r="I905" s="357">
        <f t="shared" si="302"/>
        <v>675267.35</v>
      </c>
      <c r="J905" s="357">
        <f t="shared" si="302"/>
        <v>674616.31999999995</v>
      </c>
      <c r="K905" s="357">
        <f t="shared" si="302"/>
        <v>677957.33000000007</v>
      </c>
      <c r="L905" s="357">
        <f t="shared" si="302"/>
        <v>684482.64</v>
      </c>
      <c r="M905" s="357">
        <f t="shared" si="302"/>
        <v>681728</v>
      </c>
      <c r="N905" s="357">
        <f t="shared" si="302"/>
        <v>681044</v>
      </c>
      <c r="O905" s="357">
        <f t="shared" si="302"/>
        <v>673316</v>
      </c>
      <c r="P905" s="357">
        <f t="shared" si="302"/>
        <v>672224</v>
      </c>
      <c r="Q905" s="357">
        <f t="shared" si="302"/>
        <v>673711</v>
      </c>
      <c r="R905" s="357">
        <f t="shared" si="302"/>
        <v>8128045.6300000008</v>
      </c>
      <c r="S905" s="507"/>
    </row>
    <row r="907" spans="2:19" x14ac:dyDescent="0.2">
      <c r="B907" s="32" t="s">
        <v>1175</v>
      </c>
      <c r="F907" s="424"/>
      <c r="G907" s="424"/>
      <c r="H907" s="424"/>
      <c r="I907" s="424"/>
      <c r="J907" s="424"/>
      <c r="K907" s="424"/>
      <c r="L907" s="424"/>
      <c r="M907" s="424"/>
      <c r="N907" s="424"/>
      <c r="O907" s="424"/>
      <c r="P907" s="424"/>
      <c r="Q907" s="424"/>
      <c r="R907" s="424"/>
    </row>
    <row r="908" spans="2:19" x14ac:dyDescent="0.2">
      <c r="C908" s="32" t="s">
        <v>1176</v>
      </c>
      <c r="D908" s="32">
        <v>61</v>
      </c>
      <c r="F908" s="424">
        <f>SUM(F886:F888)</f>
        <v>93910</v>
      </c>
      <c r="G908" s="424">
        <f t="shared" ref="G908:Q908" si="303">SUM(G886:G888)</f>
        <v>93910</v>
      </c>
      <c r="H908" s="424">
        <f t="shared" si="303"/>
        <v>94165</v>
      </c>
      <c r="I908" s="424">
        <f t="shared" si="303"/>
        <v>93910</v>
      </c>
      <c r="J908" s="424">
        <f t="shared" si="303"/>
        <v>96283</v>
      </c>
      <c r="K908" s="424">
        <f t="shared" si="303"/>
        <v>95090</v>
      </c>
      <c r="L908" s="424">
        <f t="shared" si="303"/>
        <v>97085</v>
      </c>
      <c r="M908" s="424">
        <f t="shared" si="303"/>
        <v>98243</v>
      </c>
      <c r="N908" s="424">
        <f t="shared" si="303"/>
        <v>97630</v>
      </c>
      <c r="O908" s="424">
        <f t="shared" si="303"/>
        <v>97630</v>
      </c>
      <c r="P908" s="424">
        <f t="shared" si="303"/>
        <v>97630</v>
      </c>
      <c r="Q908" s="424">
        <f t="shared" si="303"/>
        <v>97630</v>
      </c>
      <c r="R908" s="279">
        <f t="shared" ref="R908:R917" si="304">SUM(F908:Q908)</f>
        <v>1153116</v>
      </c>
    </row>
    <row r="909" spans="2:19" x14ac:dyDescent="0.2">
      <c r="C909" s="343" t="s">
        <v>1145</v>
      </c>
      <c r="D909" s="32">
        <v>41</v>
      </c>
      <c r="F909" s="424">
        <f t="shared" ref="F909:N909" si="305">F889+F896</f>
        <v>402134.33</v>
      </c>
      <c r="G909" s="424">
        <f t="shared" si="305"/>
        <v>402980.33</v>
      </c>
      <c r="H909" s="424">
        <f t="shared" si="305"/>
        <v>401971.33</v>
      </c>
      <c r="I909" s="424">
        <f t="shared" si="305"/>
        <v>402602.35</v>
      </c>
      <c r="J909" s="424">
        <f t="shared" si="305"/>
        <v>402006.31999999995</v>
      </c>
      <c r="K909" s="424">
        <f t="shared" si="305"/>
        <v>406542.33000000007</v>
      </c>
      <c r="L909" s="424">
        <f t="shared" si="305"/>
        <v>407784.64</v>
      </c>
      <c r="M909" s="424">
        <f t="shared" si="305"/>
        <v>404081</v>
      </c>
      <c r="N909" s="424">
        <f t="shared" si="305"/>
        <v>404375</v>
      </c>
      <c r="O909" s="424">
        <f>O889+O896</f>
        <v>397230</v>
      </c>
      <c r="P909" s="424">
        <f>P889+P896</f>
        <v>395663</v>
      </c>
      <c r="Q909" s="424">
        <f>Q889+Q896</f>
        <v>393633</v>
      </c>
      <c r="R909" s="279">
        <f t="shared" si="304"/>
        <v>4821003.63</v>
      </c>
    </row>
    <row r="910" spans="2:19" x14ac:dyDescent="0.2">
      <c r="C910" s="343" t="s">
        <v>1146</v>
      </c>
      <c r="D910" s="32">
        <v>85</v>
      </c>
      <c r="F910" s="424">
        <f t="shared" ref="F910:Q912" si="306">F893+F901</f>
        <v>10036</v>
      </c>
      <c r="G910" s="424">
        <f t="shared" si="306"/>
        <v>10036</v>
      </c>
      <c r="H910" s="424">
        <f t="shared" si="306"/>
        <v>10036</v>
      </c>
      <c r="I910" s="424">
        <f t="shared" si="306"/>
        <v>10036</v>
      </c>
      <c r="J910" s="424">
        <f t="shared" si="306"/>
        <v>10036</v>
      </c>
      <c r="K910" s="424">
        <f t="shared" si="306"/>
        <v>10036</v>
      </c>
      <c r="L910" s="424">
        <f t="shared" si="306"/>
        <v>10036</v>
      </c>
      <c r="M910" s="424">
        <f t="shared" si="306"/>
        <v>10104</v>
      </c>
      <c r="N910" s="424">
        <f t="shared" si="306"/>
        <v>10036</v>
      </c>
      <c r="O910" s="424">
        <f t="shared" si="306"/>
        <v>10036</v>
      </c>
      <c r="P910" s="424">
        <f t="shared" si="306"/>
        <v>10036</v>
      </c>
      <c r="Q910" s="424">
        <f t="shared" si="306"/>
        <v>10036</v>
      </c>
      <c r="R910" s="279">
        <f t="shared" si="304"/>
        <v>120500</v>
      </c>
    </row>
    <row r="911" spans="2:19" x14ac:dyDescent="0.2">
      <c r="C911" s="343" t="s">
        <v>1147</v>
      </c>
      <c r="D911" s="32">
        <v>86</v>
      </c>
      <c r="F911" s="424">
        <f t="shared" si="306"/>
        <v>9637</v>
      </c>
      <c r="G911" s="424">
        <f t="shared" si="306"/>
        <v>9566</v>
      </c>
      <c r="H911" s="424">
        <f t="shared" si="306"/>
        <v>9390</v>
      </c>
      <c r="I911" s="424">
        <f t="shared" si="306"/>
        <v>9320</v>
      </c>
      <c r="J911" s="424">
        <f t="shared" si="306"/>
        <v>9392</v>
      </c>
      <c r="K911" s="424">
        <f t="shared" si="306"/>
        <v>9390</v>
      </c>
      <c r="L911" s="424">
        <f t="shared" si="306"/>
        <v>9268</v>
      </c>
      <c r="M911" s="424">
        <f t="shared" si="306"/>
        <v>8999</v>
      </c>
      <c r="N911" s="424">
        <f t="shared" si="306"/>
        <v>8702</v>
      </c>
      <c r="O911" s="424">
        <f t="shared" si="306"/>
        <v>8589</v>
      </c>
      <c r="P911" s="424">
        <f t="shared" si="306"/>
        <v>8636</v>
      </c>
      <c r="Q911" s="424">
        <f t="shared" si="306"/>
        <v>8376</v>
      </c>
      <c r="R911" s="279">
        <f t="shared" si="304"/>
        <v>109265</v>
      </c>
    </row>
    <row r="912" spans="2:19" x14ac:dyDescent="0.2">
      <c r="C912" s="343" t="s">
        <v>1148</v>
      </c>
      <c r="D912" s="32">
        <v>87</v>
      </c>
      <c r="F912" s="424">
        <f t="shared" si="306"/>
        <v>532</v>
      </c>
      <c r="G912" s="424">
        <f t="shared" si="306"/>
        <v>532</v>
      </c>
      <c r="H912" s="424">
        <f t="shared" si="306"/>
        <v>532</v>
      </c>
      <c r="I912" s="424">
        <f t="shared" si="306"/>
        <v>532</v>
      </c>
      <c r="J912" s="424">
        <f t="shared" si="306"/>
        <v>532</v>
      </c>
      <c r="K912" s="424">
        <f t="shared" si="306"/>
        <v>532</v>
      </c>
      <c r="L912" s="424">
        <f t="shared" si="306"/>
        <v>532</v>
      </c>
      <c r="M912" s="424">
        <f t="shared" si="306"/>
        <v>532</v>
      </c>
      <c r="N912" s="424">
        <f t="shared" si="306"/>
        <v>532</v>
      </c>
      <c r="O912" s="424">
        <f t="shared" si="306"/>
        <v>532</v>
      </c>
      <c r="P912" s="424">
        <f t="shared" si="306"/>
        <v>532</v>
      </c>
      <c r="Q912" s="424">
        <f t="shared" si="306"/>
        <v>532</v>
      </c>
      <c r="R912" s="279">
        <f t="shared" si="304"/>
        <v>6384</v>
      </c>
    </row>
    <row r="913" spans="1:32" x14ac:dyDescent="0.2">
      <c r="C913" s="32" t="s">
        <v>1149</v>
      </c>
      <c r="D913" s="444" t="s">
        <v>808</v>
      </c>
      <c r="F913" s="424">
        <f t="shared" ref="F913:Q914" si="307">F890+F897</f>
        <v>23123</v>
      </c>
      <c r="G913" s="424">
        <f t="shared" si="307"/>
        <v>23123</v>
      </c>
      <c r="H913" s="424">
        <f t="shared" si="307"/>
        <v>20783</v>
      </c>
      <c r="I913" s="424">
        <f t="shared" si="307"/>
        <v>20783</v>
      </c>
      <c r="J913" s="424">
        <f t="shared" si="307"/>
        <v>20783</v>
      </c>
      <c r="K913" s="424">
        <f t="shared" si="307"/>
        <v>20783</v>
      </c>
      <c r="L913" s="424">
        <f t="shared" si="307"/>
        <v>24193</v>
      </c>
      <c r="M913" s="424">
        <f t="shared" si="307"/>
        <v>24305</v>
      </c>
      <c r="N913" s="424">
        <f t="shared" si="307"/>
        <v>24305</v>
      </c>
      <c r="O913" s="424">
        <f t="shared" si="307"/>
        <v>26335</v>
      </c>
      <c r="P913" s="424">
        <f t="shared" si="307"/>
        <v>28263</v>
      </c>
      <c r="Q913" s="424">
        <f t="shared" si="307"/>
        <v>32340</v>
      </c>
      <c r="R913" s="279">
        <f t="shared" si="304"/>
        <v>289119</v>
      </c>
    </row>
    <row r="914" spans="1:32" x14ac:dyDescent="0.2">
      <c r="C914" s="32" t="s">
        <v>1150</v>
      </c>
      <c r="D914" s="444" t="s">
        <v>809</v>
      </c>
      <c r="F914" s="424">
        <f t="shared" si="307"/>
        <v>63710</v>
      </c>
      <c r="G914" s="424">
        <f t="shared" si="307"/>
        <v>63060</v>
      </c>
      <c r="H914" s="424">
        <f t="shared" si="307"/>
        <v>61860</v>
      </c>
      <c r="I914" s="424">
        <f t="shared" si="307"/>
        <v>61860</v>
      </c>
      <c r="J914" s="424">
        <f t="shared" si="307"/>
        <v>59360</v>
      </c>
      <c r="K914" s="424">
        <f t="shared" si="307"/>
        <v>59360</v>
      </c>
      <c r="L914" s="424">
        <f t="shared" si="307"/>
        <v>59360</v>
      </c>
      <c r="M914" s="424">
        <f t="shared" si="307"/>
        <v>59240</v>
      </c>
      <c r="N914" s="424">
        <f t="shared" si="307"/>
        <v>59240</v>
      </c>
      <c r="O914" s="424">
        <f t="shared" si="307"/>
        <v>56740</v>
      </c>
      <c r="P914" s="424">
        <f t="shared" si="307"/>
        <v>55240</v>
      </c>
      <c r="Q914" s="424">
        <f t="shared" si="307"/>
        <v>54957</v>
      </c>
      <c r="R914" s="279">
        <f t="shared" si="304"/>
        <v>713987</v>
      </c>
    </row>
    <row r="915" spans="1:32" x14ac:dyDescent="0.2">
      <c r="C915" s="32" t="s">
        <v>1177</v>
      </c>
      <c r="D915" s="444" t="s">
        <v>810</v>
      </c>
      <c r="F915" s="424">
        <f>F899</f>
        <v>0</v>
      </c>
      <c r="G915" s="424">
        <f t="shared" ref="G915:Q915" si="308">G899</f>
        <v>0</v>
      </c>
      <c r="H915" s="424">
        <f t="shared" si="308"/>
        <v>0</v>
      </c>
      <c r="I915" s="424">
        <f t="shared" si="308"/>
        <v>0</v>
      </c>
      <c r="J915" s="424">
        <f t="shared" si="308"/>
        <v>0</v>
      </c>
      <c r="K915" s="424">
        <f t="shared" si="308"/>
        <v>0</v>
      </c>
      <c r="L915" s="424">
        <f t="shared" si="308"/>
        <v>0</v>
      </c>
      <c r="M915" s="424">
        <f t="shared" si="308"/>
        <v>0</v>
      </c>
      <c r="N915" s="424">
        <f t="shared" si="308"/>
        <v>0</v>
      </c>
      <c r="O915" s="424">
        <f t="shared" si="308"/>
        <v>0</v>
      </c>
      <c r="P915" s="424">
        <f t="shared" si="308"/>
        <v>0</v>
      </c>
      <c r="Q915" s="424">
        <f t="shared" si="308"/>
        <v>0</v>
      </c>
      <c r="R915" s="279">
        <f t="shared" si="304"/>
        <v>0</v>
      </c>
    </row>
    <row r="916" spans="1:32" x14ac:dyDescent="0.2">
      <c r="C916" s="32" t="s">
        <v>1152</v>
      </c>
      <c r="D916" s="444" t="s">
        <v>811</v>
      </c>
      <c r="F916" s="424">
        <f t="shared" ref="F916:N916" si="309">F892+F900</f>
        <v>37741</v>
      </c>
      <c r="G916" s="424">
        <f t="shared" si="309"/>
        <v>37741</v>
      </c>
      <c r="H916" s="424">
        <f t="shared" si="309"/>
        <v>37741</v>
      </c>
      <c r="I916" s="424">
        <f t="shared" si="309"/>
        <v>37741</v>
      </c>
      <c r="J916" s="424">
        <f t="shared" si="309"/>
        <v>37741</v>
      </c>
      <c r="K916" s="424">
        <f t="shared" si="309"/>
        <v>37741</v>
      </c>
      <c r="L916" s="424">
        <f t="shared" si="309"/>
        <v>37741</v>
      </c>
      <c r="M916" s="424">
        <f t="shared" si="309"/>
        <v>37741</v>
      </c>
      <c r="N916" s="424">
        <f t="shared" si="309"/>
        <v>37741</v>
      </c>
      <c r="O916" s="424">
        <f>O892+O900</f>
        <v>37741</v>
      </c>
      <c r="P916" s="424">
        <f>P892+P900</f>
        <v>37741</v>
      </c>
      <c r="Q916" s="424">
        <f>Q892+Q900</f>
        <v>37724</v>
      </c>
      <c r="R916" s="279">
        <f t="shared" si="304"/>
        <v>452875</v>
      </c>
    </row>
    <row r="917" spans="1:32" x14ac:dyDescent="0.2">
      <c r="C917" s="343" t="s">
        <v>844</v>
      </c>
      <c r="F917" s="424">
        <f t="shared" ref="F917:N917" si="310">F904</f>
        <v>38483</v>
      </c>
      <c r="G917" s="424">
        <f t="shared" si="310"/>
        <v>38483</v>
      </c>
      <c r="H917" s="424">
        <f t="shared" si="310"/>
        <v>38483</v>
      </c>
      <c r="I917" s="424">
        <f t="shared" si="310"/>
        <v>38483</v>
      </c>
      <c r="J917" s="424">
        <f t="shared" si="310"/>
        <v>38483</v>
      </c>
      <c r="K917" s="424">
        <f t="shared" si="310"/>
        <v>38483</v>
      </c>
      <c r="L917" s="424">
        <f t="shared" si="310"/>
        <v>38483</v>
      </c>
      <c r="M917" s="424">
        <f t="shared" si="310"/>
        <v>38483</v>
      </c>
      <c r="N917" s="424">
        <f t="shared" si="310"/>
        <v>38483</v>
      </c>
      <c r="O917" s="424">
        <f>O904</f>
        <v>38483</v>
      </c>
      <c r="P917" s="424">
        <f>P904</f>
        <v>38483</v>
      </c>
      <c r="Q917" s="424">
        <f>Q904</f>
        <v>38483</v>
      </c>
      <c r="R917" s="279">
        <f t="shared" si="304"/>
        <v>461796</v>
      </c>
    </row>
    <row r="918" spans="1:32" x14ac:dyDescent="0.2">
      <c r="C918" s="32" t="s">
        <v>1174</v>
      </c>
      <c r="E918" s="364"/>
      <c r="F918" s="357">
        <f>SUM(F908:F917)</f>
        <v>679306.33000000007</v>
      </c>
      <c r="G918" s="357">
        <f t="shared" ref="G918:R918" si="311">SUM(G908:G917)</f>
        <v>679431.33000000007</v>
      </c>
      <c r="H918" s="357">
        <f t="shared" si="311"/>
        <v>674961.33000000007</v>
      </c>
      <c r="I918" s="357">
        <f t="shared" si="311"/>
        <v>675267.35</v>
      </c>
      <c r="J918" s="357">
        <f t="shared" si="311"/>
        <v>674616.31999999995</v>
      </c>
      <c r="K918" s="357">
        <f t="shared" si="311"/>
        <v>677957.33000000007</v>
      </c>
      <c r="L918" s="357">
        <f t="shared" si="311"/>
        <v>684482.64</v>
      </c>
      <c r="M918" s="357">
        <f t="shared" si="311"/>
        <v>681728</v>
      </c>
      <c r="N918" s="357">
        <f t="shared" si="311"/>
        <v>681044</v>
      </c>
      <c r="O918" s="357">
        <f t="shared" si="311"/>
        <v>673316</v>
      </c>
      <c r="P918" s="357">
        <f t="shared" si="311"/>
        <v>672224</v>
      </c>
      <c r="Q918" s="357">
        <f t="shared" si="311"/>
        <v>673711</v>
      </c>
      <c r="R918" s="357">
        <f t="shared" si="311"/>
        <v>8128045.6299999999</v>
      </c>
    </row>
    <row r="919" spans="1:32" x14ac:dyDescent="0.2">
      <c r="C919" s="32" t="s">
        <v>131</v>
      </c>
      <c r="E919" s="364"/>
      <c r="F919" s="424">
        <f t="shared" ref="F919:N919" si="312">F918-F905</f>
        <v>0</v>
      </c>
      <c r="G919" s="424">
        <f t="shared" si="312"/>
        <v>0</v>
      </c>
      <c r="H919" s="424">
        <f t="shared" si="312"/>
        <v>0</v>
      </c>
      <c r="I919" s="424">
        <f t="shared" si="312"/>
        <v>0</v>
      </c>
      <c r="J919" s="424">
        <f t="shared" si="312"/>
        <v>0</v>
      </c>
      <c r="K919" s="424">
        <f t="shared" si="312"/>
        <v>0</v>
      </c>
      <c r="L919" s="424">
        <f t="shared" si="312"/>
        <v>0</v>
      </c>
      <c r="M919" s="424">
        <f t="shared" si="312"/>
        <v>0</v>
      </c>
      <c r="N919" s="424">
        <f t="shared" si="312"/>
        <v>0</v>
      </c>
      <c r="O919" s="424">
        <f>O918-O905</f>
        <v>0</v>
      </c>
      <c r="P919" s="424">
        <f>P918-P905</f>
        <v>0</v>
      </c>
      <c r="Q919" s="424">
        <f>Q918-Q905</f>
        <v>0</v>
      </c>
      <c r="R919" s="424">
        <f>R918-R905</f>
        <v>0</v>
      </c>
    </row>
    <row r="920" spans="1:32" x14ac:dyDescent="0.2">
      <c r="E920" s="364"/>
      <c r="F920" s="364"/>
      <c r="G920" s="364"/>
      <c r="H920" s="364"/>
      <c r="I920" s="364"/>
      <c r="J920" s="364"/>
      <c r="K920" s="364"/>
      <c r="L920" s="364"/>
      <c r="M920" s="364"/>
      <c r="N920" s="364"/>
      <c r="O920" s="364"/>
      <c r="P920" s="364"/>
      <c r="Q920" s="364"/>
      <c r="R920" s="364"/>
    </row>
    <row r="921" spans="1:32" x14ac:dyDescent="0.2">
      <c r="B921" s="182" t="s">
        <v>1178</v>
      </c>
    </row>
    <row r="922" spans="1:32" x14ac:dyDescent="0.2">
      <c r="A922" s="32" t="s">
        <v>1056</v>
      </c>
      <c r="B922" s="32" t="s">
        <v>1179</v>
      </c>
      <c r="F922" s="364">
        <f t="shared" ref="F922:Q922" si="313">SUMIF($A$7:$A$795,$A922,F$7:F$795)-F57</f>
        <v>78568352.19363001</v>
      </c>
      <c r="G922" s="364">
        <f t="shared" si="313"/>
        <v>64981137.321800001</v>
      </c>
      <c r="H922" s="364">
        <f t="shared" si="313"/>
        <v>66324742.240589991</v>
      </c>
      <c r="I922" s="364">
        <f t="shared" si="313"/>
        <v>53356343.594020024</v>
      </c>
      <c r="J922" s="364">
        <f t="shared" si="313"/>
        <v>40369611.848740004</v>
      </c>
      <c r="K922" s="364">
        <f t="shared" si="313"/>
        <v>28433676.676270001</v>
      </c>
      <c r="L922" s="364">
        <f t="shared" si="313"/>
        <v>21218674.936810005</v>
      </c>
      <c r="M922" s="364">
        <f t="shared" si="313"/>
        <v>20364316.985850003</v>
      </c>
      <c r="N922" s="364">
        <f t="shared" si="313"/>
        <v>24259635.229509994</v>
      </c>
      <c r="O922" s="364">
        <f t="shared" si="313"/>
        <v>42877764.082180001</v>
      </c>
      <c r="P922" s="364">
        <f t="shared" si="313"/>
        <v>74005814.215269983</v>
      </c>
      <c r="Q922" s="364">
        <f t="shared" si="313"/>
        <v>91876027.920269996</v>
      </c>
      <c r="R922" s="364">
        <f>SUM(F922:Q922)</f>
        <v>606636097.24494004</v>
      </c>
      <c r="S922" s="438">
        <f>R922-'JKP-3.1c - Rev Actual Rates'!R933</f>
        <v>-21346271.433149934</v>
      </c>
      <c r="T922" s="417"/>
      <c r="U922" s="364"/>
    </row>
    <row r="923" spans="1:32" x14ac:dyDescent="0.2">
      <c r="A923" s="32" t="s">
        <v>1056</v>
      </c>
      <c r="B923" s="32" t="s">
        <v>1180</v>
      </c>
      <c r="F923" s="364">
        <f>F57</f>
        <v>821.31404999999995</v>
      </c>
      <c r="G923" s="364">
        <f t="shared" ref="G923:Q923" si="314">G57</f>
        <v>865.38455999999996</v>
      </c>
      <c r="H923" s="364">
        <f t="shared" si="314"/>
        <v>1205.92941</v>
      </c>
      <c r="I923" s="364">
        <f t="shared" si="314"/>
        <v>877.40378999999996</v>
      </c>
      <c r="J923" s="364">
        <f t="shared" si="314"/>
        <v>580.92944999999997</v>
      </c>
      <c r="K923" s="364">
        <f t="shared" si="314"/>
        <v>428.68586999999997</v>
      </c>
      <c r="L923" s="364">
        <f t="shared" si="314"/>
        <v>356.57049000000001</v>
      </c>
      <c r="M923" s="364">
        <f t="shared" si="314"/>
        <v>344.55125999999996</v>
      </c>
      <c r="N923" s="364">
        <f t="shared" si="314"/>
        <v>336.53843999999998</v>
      </c>
      <c r="O923" s="364">
        <f t="shared" si="314"/>
        <v>641.02559999999994</v>
      </c>
      <c r="P923" s="364">
        <f t="shared" si="314"/>
        <v>889.42301999999995</v>
      </c>
      <c r="Q923" s="364">
        <f t="shared" si="314"/>
        <v>1121.7947999999999</v>
      </c>
      <c r="R923" s="364">
        <f>SUM(F923:Q923)</f>
        <v>8469.5507400000006</v>
      </c>
      <c r="S923" s="438">
        <f>R923-'JKP-3.1c - Rev Actual Rates'!R934</f>
        <v>277.25718000000052</v>
      </c>
      <c r="T923" s="417"/>
      <c r="U923" s="364"/>
    </row>
    <row r="924" spans="1:32" s="336" customFormat="1" x14ac:dyDescent="0.2">
      <c r="A924" s="336" t="s">
        <v>1054</v>
      </c>
      <c r="B924" s="336" t="s">
        <v>1181</v>
      </c>
      <c r="F924" s="418">
        <f t="shared" ref="F924:Q924" si="315">SUMIF($A$7:$A$795,$A924,F$7:F$795)</f>
        <v>44380208.052559979</v>
      </c>
      <c r="G924" s="418">
        <f t="shared" si="315"/>
        <v>38420180.046290003</v>
      </c>
      <c r="H924" s="418">
        <f t="shared" si="315"/>
        <v>38890177.333830006</v>
      </c>
      <c r="I924" s="418">
        <f t="shared" si="315"/>
        <v>33282135.517920002</v>
      </c>
      <c r="J924" s="418">
        <f t="shared" si="315"/>
        <v>27396176.206629995</v>
      </c>
      <c r="K924" s="418">
        <f t="shared" si="315"/>
        <v>22082422.781409994</v>
      </c>
      <c r="L924" s="418">
        <f t="shared" si="315"/>
        <v>19008581.081569999</v>
      </c>
      <c r="M924" s="418">
        <f t="shared" si="315"/>
        <v>18605909.60173998</v>
      </c>
      <c r="N924" s="418">
        <f t="shared" si="315"/>
        <v>20335226.863369994</v>
      </c>
      <c r="O924" s="418">
        <f t="shared" si="315"/>
        <v>28513792.284099981</v>
      </c>
      <c r="P924" s="418">
        <f t="shared" si="315"/>
        <v>42490864.196209997</v>
      </c>
      <c r="Q924" s="418">
        <f t="shared" si="315"/>
        <v>50543309.175870016</v>
      </c>
      <c r="R924" s="364">
        <f>SUM(F924:Q924)</f>
        <v>383948983.14149994</v>
      </c>
      <c r="S924" s="438">
        <f>R924-'JKP-3.1c - Rev Actual Rates'!R935</f>
        <v>3273298.9931299686</v>
      </c>
      <c r="T924" s="340"/>
    </row>
    <row r="925" spans="1:32" x14ac:dyDescent="0.2">
      <c r="F925" s="364"/>
      <c r="G925" s="364"/>
      <c r="H925" s="364"/>
      <c r="I925" s="364"/>
      <c r="J925" s="364"/>
      <c r="K925" s="364"/>
      <c r="L925" s="364"/>
      <c r="M925" s="364"/>
      <c r="N925" s="364"/>
      <c r="O925" s="364"/>
      <c r="P925" s="364"/>
      <c r="Q925" s="364"/>
      <c r="R925" s="364"/>
      <c r="T925" s="417"/>
      <c r="U925" s="417"/>
      <c r="V925" s="417"/>
      <c r="W925" s="417"/>
      <c r="X925" s="417"/>
      <c r="Y925" s="417"/>
      <c r="Z925" s="417"/>
      <c r="AA925" s="417"/>
      <c r="AB925" s="417"/>
      <c r="AC925" s="417"/>
      <c r="AD925" s="417"/>
      <c r="AE925" s="417"/>
      <c r="AF925" s="417"/>
    </row>
    <row r="926" spans="1:32" s="336" customFormat="1" x14ac:dyDescent="0.2">
      <c r="B926" s="336" t="s">
        <v>1182</v>
      </c>
      <c r="F926" s="485">
        <v>1.045199</v>
      </c>
      <c r="G926" s="486">
        <f>F926</f>
        <v>1.045199</v>
      </c>
      <c r="H926" s="486">
        <f t="shared" ref="H926:N926" si="316">G926</f>
        <v>1.045199</v>
      </c>
      <c r="I926" s="486">
        <f t="shared" si="316"/>
        <v>1.045199</v>
      </c>
      <c r="J926" s="486">
        <f t="shared" si="316"/>
        <v>1.045199</v>
      </c>
      <c r="K926" s="486">
        <f t="shared" si="316"/>
        <v>1.045199</v>
      </c>
      <c r="L926" s="486">
        <f t="shared" si="316"/>
        <v>1.045199</v>
      </c>
      <c r="M926" s="486">
        <f t="shared" si="316"/>
        <v>1.045199</v>
      </c>
      <c r="N926" s="486">
        <f t="shared" si="316"/>
        <v>1.045199</v>
      </c>
      <c r="O926" s="486">
        <f>N926</f>
        <v>1.045199</v>
      </c>
      <c r="P926" s="486">
        <f>O926</f>
        <v>1.045199</v>
      </c>
      <c r="Q926" s="486">
        <f>P926</f>
        <v>1.045199</v>
      </c>
      <c r="R926" s="418"/>
      <c r="S926" s="335"/>
      <c r="T926" s="417"/>
      <c r="U926" s="417"/>
      <c r="V926" s="417"/>
      <c r="W926" s="417"/>
      <c r="X926" s="417"/>
      <c r="Y926" s="417"/>
      <c r="Z926" s="417"/>
      <c r="AA926" s="417"/>
      <c r="AB926" s="417"/>
      <c r="AC926" s="417"/>
      <c r="AD926" s="417"/>
      <c r="AE926" s="417"/>
      <c r="AF926" s="417"/>
    </row>
    <row r="927" spans="1:32" x14ac:dyDescent="0.2">
      <c r="A927" s="32" t="s">
        <v>1058</v>
      </c>
      <c r="B927" s="32" t="s">
        <v>1050</v>
      </c>
      <c r="F927" s="364">
        <f t="shared" ref="F927:Q927" si="317">SUMIF($A$7:$A$795,$A927,F$7:F$795)</f>
        <v>75170440.44641003</v>
      </c>
      <c r="G927" s="364">
        <f t="shared" si="317"/>
        <v>62170704.715360008</v>
      </c>
      <c r="H927" s="364">
        <f t="shared" si="317"/>
        <v>63456617.819050007</v>
      </c>
      <c r="I927" s="364">
        <f t="shared" si="317"/>
        <v>51048615.265020013</v>
      </c>
      <c r="J927" s="364">
        <f t="shared" si="317"/>
        <v>38623150.528369993</v>
      </c>
      <c r="K927" s="364">
        <f t="shared" si="317"/>
        <v>27203106.820100009</v>
      </c>
      <c r="L927" s="364">
        <f t="shared" si="317"/>
        <v>20300001.922380004</v>
      </c>
      <c r="M927" s="364">
        <f t="shared" si="317"/>
        <v>19482599.852339998</v>
      </c>
      <c r="N927" s="364">
        <f t="shared" si="317"/>
        <v>23209440.745080002</v>
      </c>
      <c r="O927" s="364">
        <f t="shared" si="317"/>
        <v>41022902.262379996</v>
      </c>
      <c r="P927" s="364">
        <f t="shared" si="317"/>
        <v>70805245.085819989</v>
      </c>
      <c r="Q927" s="364">
        <f t="shared" si="317"/>
        <v>87903021.67504999</v>
      </c>
      <c r="R927" s="364">
        <f>SUM(F927:Q927)</f>
        <v>580395847.1373601</v>
      </c>
      <c r="S927" s="438">
        <f>R927-'JKP-3.1c - Rev Actual Rates'!R938</f>
        <v>-20443597.337499976</v>
      </c>
    </row>
    <row r="928" spans="1:32" x14ac:dyDescent="0.2">
      <c r="F928" s="486"/>
      <c r="G928" s="486"/>
      <c r="H928" s="486"/>
      <c r="I928" s="486"/>
      <c r="J928" s="486"/>
      <c r="K928" s="486"/>
      <c r="L928" s="486"/>
      <c r="M928" s="486"/>
      <c r="N928" s="486"/>
      <c r="O928" s="486"/>
      <c r="P928" s="486"/>
      <c r="Q928" s="486"/>
      <c r="R928" s="486"/>
    </row>
    <row r="929" spans="2:20" x14ac:dyDescent="0.2">
      <c r="B929" s="488" t="s">
        <v>1183</v>
      </c>
    </row>
    <row r="930" spans="2:20" x14ac:dyDescent="0.2">
      <c r="B930" s="343" t="s">
        <v>827</v>
      </c>
      <c r="F930" s="364">
        <f t="shared" ref="F930:P930" si="318">F19</f>
        <v>510.29999999999995</v>
      </c>
      <c r="G930" s="364">
        <f t="shared" si="318"/>
        <v>510.29999999999995</v>
      </c>
      <c r="H930" s="364">
        <f t="shared" si="318"/>
        <v>510.29999999999995</v>
      </c>
      <c r="I930" s="364">
        <f t="shared" si="318"/>
        <v>510.29999999999995</v>
      </c>
      <c r="J930" s="364">
        <f t="shared" si="318"/>
        <v>510.2999999999999</v>
      </c>
      <c r="K930" s="364">
        <f t="shared" si="318"/>
        <v>510.29999999999995</v>
      </c>
      <c r="L930" s="364">
        <f t="shared" si="318"/>
        <v>500.84999999999997</v>
      </c>
      <c r="M930" s="364">
        <f t="shared" si="318"/>
        <v>500.84999999999997</v>
      </c>
      <c r="N930" s="364">
        <f t="shared" si="318"/>
        <v>500.84999999999997</v>
      </c>
      <c r="O930" s="364">
        <f t="shared" si="318"/>
        <v>500.84999999999997</v>
      </c>
      <c r="P930" s="364">
        <f t="shared" si="318"/>
        <v>500.84999999999997</v>
      </c>
      <c r="Q930" s="364">
        <f>Q19</f>
        <v>500.84999999999997</v>
      </c>
      <c r="R930" s="364">
        <f t="shared" ref="R930:R935" si="319">SUM(F930:Q930)</f>
        <v>6066.9000000000005</v>
      </c>
      <c r="S930" s="438">
        <f>R930-'JKP-3.1c - Rev Rates GRC09'!R930</f>
        <v>0</v>
      </c>
      <c r="T930" s="417"/>
    </row>
    <row r="931" spans="2:20" x14ac:dyDescent="0.2">
      <c r="B931" s="343" t="s">
        <v>828</v>
      </c>
      <c r="F931" s="437">
        <f t="shared" ref="F931:N931" si="320">F37+F38</f>
        <v>31842019</v>
      </c>
      <c r="G931" s="437">
        <f t="shared" si="320"/>
        <v>27377315</v>
      </c>
      <c r="H931" s="437">
        <f t="shared" si="320"/>
        <v>27686899</v>
      </c>
      <c r="I931" s="437">
        <f t="shared" si="320"/>
        <v>23255801</v>
      </c>
      <c r="J931" s="437">
        <f t="shared" si="320"/>
        <v>18681822</v>
      </c>
      <c r="K931" s="437">
        <f t="shared" si="320"/>
        <v>14706042</v>
      </c>
      <c r="L931" s="437">
        <f t="shared" si="320"/>
        <v>12310178</v>
      </c>
      <c r="M931" s="437">
        <f t="shared" si="320"/>
        <v>11991258</v>
      </c>
      <c r="N931" s="437">
        <f t="shared" si="320"/>
        <v>13375556</v>
      </c>
      <c r="O931" s="437">
        <f>O37+O38</f>
        <v>19787211</v>
      </c>
      <c r="P931" s="437">
        <f>P37+P38</f>
        <v>30592570</v>
      </c>
      <c r="Q931" s="437">
        <f>Q37+Q38</f>
        <v>36620097</v>
      </c>
      <c r="R931" s="364">
        <f t="shared" si="319"/>
        <v>268226768</v>
      </c>
      <c r="S931" s="438">
        <f>R931-'JKP-3.1c - Rev Rates GRC09'!R931</f>
        <v>0</v>
      </c>
    </row>
    <row r="932" spans="2:20" x14ac:dyDescent="0.2">
      <c r="B932" s="343" t="s">
        <v>829</v>
      </c>
      <c r="F932" s="437">
        <f t="shared" ref="F932:N932" si="321">+F55+F56</f>
        <v>121.53885</v>
      </c>
      <c r="G932" s="437">
        <f t="shared" si="321"/>
        <v>125.37752</v>
      </c>
      <c r="H932" s="437">
        <f t="shared" si="321"/>
        <v>155.03996999999998</v>
      </c>
      <c r="I932" s="437">
        <f t="shared" si="321"/>
        <v>126.42443</v>
      </c>
      <c r="J932" s="437">
        <f t="shared" si="321"/>
        <v>100.60065</v>
      </c>
      <c r="K932" s="437">
        <f t="shared" si="321"/>
        <v>87.339789999999994</v>
      </c>
      <c r="L932" s="437">
        <f t="shared" si="321"/>
        <v>91.058329999999998</v>
      </c>
      <c r="M932" s="437">
        <f t="shared" si="321"/>
        <v>90.011420000000001</v>
      </c>
      <c r="N932" s="437">
        <f t="shared" si="321"/>
        <v>79.313479999999998</v>
      </c>
      <c r="O932" s="437">
        <f>+O55+O56</f>
        <v>105.8352</v>
      </c>
      <c r="P932" s="437">
        <f>+P55+P56</f>
        <v>127.47134</v>
      </c>
      <c r="Q932" s="437">
        <f>+Q55+Q56</f>
        <v>137.7116</v>
      </c>
      <c r="R932" s="364">
        <f t="shared" si="319"/>
        <v>1347.7225800000001</v>
      </c>
      <c r="S932" s="438">
        <f>R932-'JKP-3.1c - Rev Rates GRC09'!R932</f>
        <v>0</v>
      </c>
    </row>
    <row r="933" spans="2:20" x14ac:dyDescent="0.2">
      <c r="B933" s="346" t="s">
        <v>830</v>
      </c>
      <c r="F933" s="364">
        <f t="shared" ref="F933:Q933" si="322">F84+F85+F412+F413</f>
        <v>9026855.4780400004</v>
      </c>
      <c r="G933" s="364">
        <f t="shared" si="322"/>
        <v>7684653.7898499994</v>
      </c>
      <c r="H933" s="364">
        <f t="shared" si="322"/>
        <v>7767330.4228600012</v>
      </c>
      <c r="I933" s="364">
        <f t="shared" si="322"/>
        <v>6598941.7644400001</v>
      </c>
      <c r="J933" s="364">
        <f t="shared" si="322"/>
        <v>5465705.8421600005</v>
      </c>
      <c r="K933" s="364">
        <f t="shared" si="322"/>
        <v>4490271.7695000013</v>
      </c>
      <c r="L933" s="364">
        <f t="shared" si="322"/>
        <v>3930658.9120399999</v>
      </c>
      <c r="M933" s="364">
        <f t="shared" si="322"/>
        <v>3882730.2537999996</v>
      </c>
      <c r="N933" s="364">
        <f t="shared" si="322"/>
        <v>4160738.5934000006</v>
      </c>
      <c r="O933" s="364">
        <f t="shared" si="322"/>
        <v>5666000.9603399998</v>
      </c>
      <c r="P933" s="364">
        <f t="shared" si="322"/>
        <v>8484285.1110100001</v>
      </c>
      <c r="Q933" s="364">
        <f t="shared" si="322"/>
        <v>10341619.59846</v>
      </c>
      <c r="R933" s="364">
        <f t="shared" si="319"/>
        <v>77499792.495900005</v>
      </c>
      <c r="S933" s="438">
        <f>R933-'JKP-3.1c - Rev Rates GRC09'!R933</f>
        <v>0</v>
      </c>
    </row>
    <row r="934" spans="2:20" x14ac:dyDescent="0.2">
      <c r="B934" s="343" t="s">
        <v>832</v>
      </c>
      <c r="F934" s="364">
        <f t="shared" ref="F934:Q934" si="323">F116+F121+F124+F127+F444+F449+F452+F455</f>
        <v>1713757.7395900001</v>
      </c>
      <c r="G934" s="364">
        <f t="shared" si="323"/>
        <v>1588875.6170199998</v>
      </c>
      <c r="H934" s="364">
        <f t="shared" si="323"/>
        <v>1649185.5097199997</v>
      </c>
      <c r="I934" s="364">
        <f t="shared" si="323"/>
        <v>1539407.6026199998</v>
      </c>
      <c r="J934" s="364">
        <f t="shared" si="323"/>
        <v>1454959.8833099999</v>
      </c>
      <c r="K934" s="364">
        <f t="shared" si="323"/>
        <v>1341821.6704100003</v>
      </c>
      <c r="L934" s="364">
        <f t="shared" si="323"/>
        <v>1283604.6373900003</v>
      </c>
      <c r="M934" s="364">
        <f t="shared" si="323"/>
        <v>1275186.70621</v>
      </c>
      <c r="N934" s="364">
        <f t="shared" si="323"/>
        <v>1291848.4729299999</v>
      </c>
      <c r="O934" s="364">
        <f t="shared" si="323"/>
        <v>1426707.7521799998</v>
      </c>
      <c r="P934" s="364">
        <f t="shared" si="323"/>
        <v>1631840.7671999999</v>
      </c>
      <c r="Q934" s="364">
        <f t="shared" si="323"/>
        <v>1742265.0231800003</v>
      </c>
      <c r="R934" s="364">
        <f t="shared" si="319"/>
        <v>17939461.381760001</v>
      </c>
      <c r="S934" s="438">
        <f>R934-'JKP-3.1c - Rev Rates GRC09'!R934</f>
        <v>0</v>
      </c>
    </row>
    <row r="935" spans="2:20" x14ac:dyDescent="0.2">
      <c r="B935" s="343" t="s">
        <v>836</v>
      </c>
      <c r="F935" s="364">
        <f t="shared" ref="F935:Q935" si="324">F70+F256+F616</f>
        <v>9391.0000000000018</v>
      </c>
      <c r="G935" s="364">
        <f t="shared" si="324"/>
        <v>9391.0000000000018</v>
      </c>
      <c r="H935" s="364">
        <f t="shared" si="324"/>
        <v>9416.5000000000018</v>
      </c>
      <c r="I935" s="364">
        <f t="shared" si="324"/>
        <v>9391.0000000000018</v>
      </c>
      <c r="J935" s="364">
        <f t="shared" si="324"/>
        <v>9628.3000000000011</v>
      </c>
      <c r="K935" s="364">
        <f t="shared" si="324"/>
        <v>9509.0000000000018</v>
      </c>
      <c r="L935" s="364">
        <f t="shared" si="324"/>
        <v>9708.5000000000018</v>
      </c>
      <c r="M935" s="364">
        <f t="shared" si="324"/>
        <v>9824.3000000000011</v>
      </c>
      <c r="N935" s="364">
        <f t="shared" si="324"/>
        <v>9763.0000000000018</v>
      </c>
      <c r="O935" s="364">
        <f t="shared" si="324"/>
        <v>9763.0000000000018</v>
      </c>
      <c r="P935" s="364">
        <f t="shared" si="324"/>
        <v>9763.0000000000018</v>
      </c>
      <c r="Q935" s="364">
        <f t="shared" si="324"/>
        <v>9763.0000000000018</v>
      </c>
      <c r="R935" s="364">
        <f t="shared" si="319"/>
        <v>115311.60000000002</v>
      </c>
      <c r="S935" s="438">
        <f>R935-'JKP-3.1c - Rev Rates GRC09'!R935</f>
        <v>0</v>
      </c>
    </row>
    <row r="936" spans="2:20" x14ac:dyDescent="0.2">
      <c r="B936" s="343" t="s">
        <v>837</v>
      </c>
      <c r="F936" s="364">
        <f t="shared" ref="F936:Q936" si="325">F286+F291+F293+F295+F298+F645+F650+F652+F654+F657</f>
        <v>173902.93539000003</v>
      </c>
      <c r="G936" s="364">
        <f t="shared" si="325"/>
        <v>175495.81466999999</v>
      </c>
      <c r="H936" s="364">
        <f t="shared" si="325"/>
        <v>174784.55682000003</v>
      </c>
      <c r="I936" s="364">
        <f t="shared" si="325"/>
        <v>162559.74512000001</v>
      </c>
      <c r="J936" s="364">
        <f t="shared" si="325"/>
        <v>147685.96347000002</v>
      </c>
      <c r="K936" s="364">
        <f t="shared" si="325"/>
        <v>129520.49414</v>
      </c>
      <c r="L936" s="364">
        <f t="shared" si="325"/>
        <v>116917.28934999999</v>
      </c>
      <c r="M936" s="364">
        <f t="shared" si="325"/>
        <v>121970.06484000001</v>
      </c>
      <c r="N936" s="364">
        <f t="shared" si="325"/>
        <v>125237.52565999998</v>
      </c>
      <c r="O936" s="364">
        <f t="shared" si="325"/>
        <v>144642.79638000001</v>
      </c>
      <c r="P936" s="364">
        <f t="shared" si="325"/>
        <v>168904.61695000003</v>
      </c>
      <c r="Q936" s="364">
        <f t="shared" si="325"/>
        <v>187119.67055000004</v>
      </c>
      <c r="R936" s="364">
        <f t="shared" ref="R936:R943" si="326">SUM(F936:Q936)</f>
        <v>1828741.47334</v>
      </c>
      <c r="S936" s="438">
        <f>R936-'JKP-3.1c - Rev Rates GRC09'!R936</f>
        <v>0</v>
      </c>
    </row>
    <row r="937" spans="2:20" x14ac:dyDescent="0.2">
      <c r="B937" s="343" t="s">
        <v>839</v>
      </c>
      <c r="F937" s="364">
        <f t="shared" ref="F937:Q937" si="327">F329+F333+F335+F337+F340+F688+F692+F694+F696+F699</f>
        <v>349674.92856000003</v>
      </c>
      <c r="G937" s="364">
        <f t="shared" si="327"/>
        <v>309647.24828</v>
      </c>
      <c r="H937" s="364">
        <f t="shared" si="327"/>
        <v>303092.10674000002</v>
      </c>
      <c r="I937" s="364">
        <f t="shared" si="327"/>
        <v>262451.99778999999</v>
      </c>
      <c r="J937" s="364">
        <f t="shared" si="327"/>
        <v>229718.50003999998</v>
      </c>
      <c r="K937" s="364">
        <f t="shared" si="327"/>
        <v>176529.59962999998</v>
      </c>
      <c r="L937" s="364">
        <f t="shared" si="327"/>
        <v>127615.40203</v>
      </c>
      <c r="M937" s="364">
        <f t="shared" si="327"/>
        <v>121343.01208</v>
      </c>
      <c r="N937" s="364">
        <f t="shared" si="327"/>
        <v>169194.66611000002</v>
      </c>
      <c r="O937" s="364">
        <f t="shared" si="327"/>
        <v>213478.05364999999</v>
      </c>
      <c r="P937" s="364">
        <f t="shared" si="327"/>
        <v>303548.61559</v>
      </c>
      <c r="Q937" s="364">
        <f t="shared" si="327"/>
        <v>335526.35847000009</v>
      </c>
      <c r="R937" s="364">
        <f t="shared" si="326"/>
        <v>2901820.4889700003</v>
      </c>
      <c r="S937" s="438">
        <f>R937-'JKP-3.1c - Rev Rates GRC09'!R937</f>
        <v>0</v>
      </c>
    </row>
    <row r="938" spans="2:20" x14ac:dyDescent="0.2">
      <c r="B938" s="343" t="s">
        <v>841</v>
      </c>
      <c r="F938" s="364">
        <f t="shared" ref="F938:Q938" si="328">F379+F387+F389+F391+F394+F738+F746+F748+F750+F753</f>
        <v>152021.06626000002</v>
      </c>
      <c r="G938" s="364">
        <f t="shared" si="328"/>
        <v>212034.26549999998</v>
      </c>
      <c r="H938" s="364">
        <f t="shared" si="328"/>
        <v>147108.55129999999</v>
      </c>
      <c r="I938" s="364">
        <f t="shared" si="328"/>
        <v>137997.40837000002</v>
      </c>
      <c r="J938" s="364">
        <f t="shared" si="328"/>
        <v>131631.41183999999</v>
      </c>
      <c r="K938" s="364">
        <f t="shared" si="328"/>
        <v>117501.02071000001</v>
      </c>
      <c r="L938" s="364">
        <f t="shared" si="328"/>
        <v>105381.71857</v>
      </c>
      <c r="M938" s="364">
        <f t="shared" si="328"/>
        <v>101967.43441999999</v>
      </c>
      <c r="N938" s="364">
        <f t="shared" si="328"/>
        <v>109193.05089000003</v>
      </c>
      <c r="O938" s="364">
        <f t="shared" si="328"/>
        <v>143305.98182000002</v>
      </c>
      <c r="P938" s="364">
        <f t="shared" si="328"/>
        <v>150910.86645999999</v>
      </c>
      <c r="Q938" s="364">
        <f t="shared" si="328"/>
        <v>161432.40916000001</v>
      </c>
      <c r="R938" s="364">
        <f t="shared" si="326"/>
        <v>1670485.1853000002</v>
      </c>
      <c r="S938" s="438">
        <f>R938-'JKP-3.1c - Rev Rates GRC09'!R938</f>
        <v>0</v>
      </c>
    </row>
    <row r="939" spans="2:20" s="336" customFormat="1" x14ac:dyDescent="0.2">
      <c r="B939" s="336" t="s">
        <v>1184</v>
      </c>
      <c r="F939" s="418">
        <f t="shared" ref="F939:R939" si="329">F155+F160+F162+F163+F164+F483+F488+F490+F491+F492</f>
        <v>83050.819000000018</v>
      </c>
      <c r="G939" s="418">
        <f t="shared" si="329"/>
        <v>80359.560410000006</v>
      </c>
      <c r="H939" s="418">
        <f t="shared" si="329"/>
        <v>83771.578540000002</v>
      </c>
      <c r="I939" s="418">
        <f t="shared" si="329"/>
        <v>81611.318300000014</v>
      </c>
      <c r="J939" s="418">
        <f t="shared" si="329"/>
        <v>77835.30558</v>
      </c>
      <c r="K939" s="418">
        <f t="shared" si="329"/>
        <v>78677.991039999994</v>
      </c>
      <c r="L939" s="418">
        <f t="shared" si="329"/>
        <v>93472.062419999987</v>
      </c>
      <c r="M939" s="418">
        <f t="shared" si="329"/>
        <v>94451.759020000012</v>
      </c>
      <c r="N939" s="418">
        <f t="shared" si="329"/>
        <v>97094.829790000003</v>
      </c>
      <c r="O939" s="418">
        <f t="shared" si="329"/>
        <v>104935.89132000001</v>
      </c>
      <c r="P939" s="418">
        <f t="shared" si="329"/>
        <v>126639.13298000002</v>
      </c>
      <c r="Q939" s="418">
        <f t="shared" si="329"/>
        <v>147938.86316000001</v>
      </c>
      <c r="R939" s="418">
        <f t="shared" si="329"/>
        <v>1149839.1115600001</v>
      </c>
      <c r="S939" s="438">
        <f>R939-'JKP-3.1c - Rev Rates GRC09'!R939</f>
        <v>0</v>
      </c>
      <c r="T939" s="415"/>
    </row>
    <row r="940" spans="2:20" s="336" customFormat="1" x14ac:dyDescent="0.2">
      <c r="B940" s="336" t="s">
        <v>1185</v>
      </c>
      <c r="F940" s="418">
        <f t="shared" ref="F940:R940" si="330">F191+F196+F198+F199+F519+F524+F526+F527</f>
        <v>537661.66020000004</v>
      </c>
      <c r="G940" s="418">
        <f t="shared" si="330"/>
        <v>530176.78145000013</v>
      </c>
      <c r="H940" s="418">
        <f t="shared" si="330"/>
        <v>584369.96869000001</v>
      </c>
      <c r="I940" s="418">
        <f t="shared" si="330"/>
        <v>759603.82199000008</v>
      </c>
      <c r="J940" s="418">
        <f t="shared" si="330"/>
        <v>685032.00726999994</v>
      </c>
      <c r="K940" s="418">
        <f t="shared" si="330"/>
        <v>586024.16680000001</v>
      </c>
      <c r="L940" s="418">
        <f t="shared" si="330"/>
        <v>544371.32823999994</v>
      </c>
      <c r="M940" s="418">
        <f t="shared" si="330"/>
        <v>543003.44635999994</v>
      </c>
      <c r="N940" s="418">
        <f t="shared" si="330"/>
        <v>547806.69383000012</v>
      </c>
      <c r="O940" s="418">
        <f t="shared" si="330"/>
        <v>550895.26800000004</v>
      </c>
      <c r="P940" s="418">
        <f t="shared" si="330"/>
        <v>558665.20673000009</v>
      </c>
      <c r="Q940" s="418">
        <f t="shared" si="330"/>
        <v>532826.20322000002</v>
      </c>
      <c r="R940" s="418">
        <f t="shared" si="330"/>
        <v>6960436.5527800005</v>
      </c>
      <c r="S940" s="438">
        <f>R940-'JKP-3.1c - Rev Rates GRC09'!R940</f>
        <v>0</v>
      </c>
      <c r="T940" s="415"/>
    </row>
    <row r="941" spans="2:20" s="336" customFormat="1" x14ac:dyDescent="0.2">
      <c r="B941" s="338" t="s">
        <v>1186</v>
      </c>
      <c r="F941" s="418">
        <f>F552+F556+F558+F559</f>
        <v>0</v>
      </c>
      <c r="G941" s="418">
        <f t="shared" ref="G941:R941" si="331">G552+G556+G558+G559</f>
        <v>0</v>
      </c>
      <c r="H941" s="418">
        <f t="shared" si="331"/>
        <v>0</v>
      </c>
      <c r="I941" s="418">
        <f t="shared" si="331"/>
        <v>0</v>
      </c>
      <c r="J941" s="418">
        <f t="shared" si="331"/>
        <v>0</v>
      </c>
      <c r="K941" s="418">
        <f t="shared" si="331"/>
        <v>443.45</v>
      </c>
      <c r="L941" s="418">
        <f t="shared" si="331"/>
        <v>443.45</v>
      </c>
      <c r="M941" s="418">
        <f t="shared" si="331"/>
        <v>806.20180000000005</v>
      </c>
      <c r="N941" s="418">
        <f t="shared" si="331"/>
        <v>1855.8923000000002</v>
      </c>
      <c r="O941" s="418">
        <f t="shared" si="331"/>
        <v>1650.2758000000001</v>
      </c>
      <c r="P941" s="418">
        <f t="shared" si="331"/>
        <v>634.31659999999999</v>
      </c>
      <c r="Q941" s="418">
        <f t="shared" si="331"/>
        <v>482.49540000000002</v>
      </c>
      <c r="R941" s="418">
        <f t="shared" si="331"/>
        <v>6316.0818999999992</v>
      </c>
      <c r="S941" s="438">
        <f>R941-'JKP-3.1c - Rev Rates GRC09'!R941</f>
        <v>0</v>
      </c>
      <c r="T941" s="415"/>
    </row>
    <row r="942" spans="2:20" s="336" customFormat="1" x14ac:dyDescent="0.2">
      <c r="B942" s="336" t="s">
        <v>1187</v>
      </c>
      <c r="F942" s="418">
        <f t="shared" ref="F942:R942" si="332">F232+F240+F242+F243+F592+F600+F602+F603</f>
        <v>344810.82782999997</v>
      </c>
      <c r="G942" s="418">
        <f t="shared" si="332"/>
        <v>308368.83233999996</v>
      </c>
      <c r="H942" s="418">
        <f t="shared" si="332"/>
        <v>336446.70512</v>
      </c>
      <c r="I942" s="418">
        <f t="shared" si="332"/>
        <v>333637.50192999997</v>
      </c>
      <c r="J942" s="418">
        <f t="shared" si="332"/>
        <v>378264.31228999997</v>
      </c>
      <c r="K942" s="418">
        <f t="shared" si="332"/>
        <v>322247.89125999995</v>
      </c>
      <c r="L942" s="418">
        <f t="shared" si="332"/>
        <v>365595.68059999996</v>
      </c>
      <c r="M942" s="418">
        <f t="shared" si="332"/>
        <v>344046.91795999999</v>
      </c>
      <c r="N942" s="418">
        <f t="shared" si="332"/>
        <v>326006.32080999995</v>
      </c>
      <c r="O942" s="418">
        <f t="shared" si="332"/>
        <v>329317.91716999997</v>
      </c>
      <c r="P942" s="418">
        <f t="shared" si="332"/>
        <v>310514.3199</v>
      </c>
      <c r="Q942" s="418">
        <f t="shared" si="332"/>
        <v>310570.63694</v>
      </c>
      <c r="R942" s="418">
        <f t="shared" si="332"/>
        <v>4009827.8641499998</v>
      </c>
      <c r="S942" s="438">
        <f>R942-'JKP-3.1c - Rev Rates GRC09'!R942</f>
        <v>0</v>
      </c>
      <c r="T942" s="415"/>
    </row>
    <row r="943" spans="2:20" x14ac:dyDescent="0.2">
      <c r="B943" s="343" t="s">
        <v>844</v>
      </c>
      <c r="F943" s="364">
        <f t="shared" ref="F943:N943" si="333">F784+F792+F793</f>
        <v>146430.75884000002</v>
      </c>
      <c r="G943" s="364">
        <f t="shared" si="333"/>
        <v>143226.45925000001</v>
      </c>
      <c r="H943" s="364">
        <f t="shared" si="333"/>
        <v>147107.09406999999</v>
      </c>
      <c r="I943" s="364">
        <f t="shared" si="333"/>
        <v>140095.63293000002</v>
      </c>
      <c r="J943" s="364">
        <f t="shared" si="333"/>
        <v>133281.78002000001</v>
      </c>
      <c r="K943" s="364">
        <f t="shared" si="333"/>
        <v>123236.08813</v>
      </c>
      <c r="L943" s="364">
        <f t="shared" si="333"/>
        <v>120042.19259999999</v>
      </c>
      <c r="M943" s="364">
        <f t="shared" si="333"/>
        <v>118730.64383</v>
      </c>
      <c r="N943" s="364">
        <f t="shared" si="333"/>
        <v>120351.65416999999</v>
      </c>
      <c r="O943" s="364">
        <f>O784+O792+O793</f>
        <v>135276.70224000001</v>
      </c>
      <c r="P943" s="364">
        <f>P784+P792+P793</f>
        <v>151959.92145000002</v>
      </c>
      <c r="Q943" s="364">
        <f>Q784+Q792+Q793</f>
        <v>153029.35573000001</v>
      </c>
      <c r="R943" s="364">
        <f t="shared" si="326"/>
        <v>1632768.2832599999</v>
      </c>
      <c r="S943" s="438">
        <f>R943-'JKP-3.1c - Rev Rates GRC09'!R943</f>
        <v>0</v>
      </c>
    </row>
    <row r="944" spans="2:20" x14ac:dyDescent="0.2">
      <c r="B944" s="343" t="s">
        <v>1188</v>
      </c>
      <c r="F944" s="365">
        <f t="shared" ref="F944:N944" si="334">SUM(F930:F943)</f>
        <v>44380208.052560009</v>
      </c>
      <c r="G944" s="365">
        <f t="shared" si="334"/>
        <v>38420180.04629001</v>
      </c>
      <c r="H944" s="365">
        <f t="shared" si="334"/>
        <v>38890177.333829992</v>
      </c>
      <c r="I944" s="365">
        <f t="shared" si="334"/>
        <v>33282135.517919999</v>
      </c>
      <c r="J944" s="365">
        <f t="shared" si="334"/>
        <v>27396176.206630006</v>
      </c>
      <c r="K944" s="365">
        <f t="shared" si="334"/>
        <v>22082422.781409997</v>
      </c>
      <c r="L944" s="365">
        <f t="shared" si="334"/>
        <v>19008581.081569996</v>
      </c>
      <c r="M944" s="365">
        <f t="shared" si="334"/>
        <v>18605909.601739999</v>
      </c>
      <c r="N944" s="365">
        <f t="shared" si="334"/>
        <v>20335226.863369998</v>
      </c>
      <c r="O944" s="365">
        <f>SUM(O930:O943)</f>
        <v>28513792.2841</v>
      </c>
      <c r="P944" s="365">
        <f>SUM(P930:P943)</f>
        <v>42490864.196209997</v>
      </c>
      <c r="Q944" s="365">
        <f>SUM(Q930:Q943)</f>
        <v>50543309.175870009</v>
      </c>
      <c r="R944" s="365">
        <f>SUM(R930:R943)</f>
        <v>383948983.14149988</v>
      </c>
      <c r="S944" s="365">
        <f>SUM(S930:S943)</f>
        <v>0</v>
      </c>
    </row>
    <row r="945" spans="2:19" x14ac:dyDescent="0.2">
      <c r="F945" s="364"/>
      <c r="G945" s="364"/>
      <c r="H945" s="364"/>
      <c r="I945" s="364"/>
      <c r="J945" s="364"/>
      <c r="K945" s="364"/>
      <c r="L945" s="364"/>
      <c r="M945" s="364"/>
      <c r="N945" s="364"/>
      <c r="O945" s="364"/>
      <c r="P945" s="364"/>
      <c r="Q945" s="364"/>
      <c r="R945" s="364"/>
    </row>
    <row r="946" spans="2:19" x14ac:dyDescent="0.2">
      <c r="B946" s="488" t="s">
        <v>186</v>
      </c>
    </row>
    <row r="947" spans="2:19" x14ac:dyDescent="0.2">
      <c r="B947" s="343" t="s">
        <v>827</v>
      </c>
      <c r="F947" s="364">
        <f t="shared" ref="F947:N947" si="335">F20</f>
        <v>738.18</v>
      </c>
      <c r="G947" s="364">
        <f t="shared" si="335"/>
        <v>738.18</v>
      </c>
      <c r="H947" s="364">
        <f t="shared" si="335"/>
        <v>738.18</v>
      </c>
      <c r="I947" s="364">
        <f t="shared" si="335"/>
        <v>738.18</v>
      </c>
      <c r="J947" s="364">
        <f t="shared" si="335"/>
        <v>738.18</v>
      </c>
      <c r="K947" s="364">
        <f t="shared" si="335"/>
        <v>738.18</v>
      </c>
      <c r="L947" s="364">
        <f t="shared" si="335"/>
        <v>724.51</v>
      </c>
      <c r="M947" s="364">
        <f t="shared" si="335"/>
        <v>724.51</v>
      </c>
      <c r="N947" s="364">
        <f t="shared" si="335"/>
        <v>724.51</v>
      </c>
      <c r="O947" s="364">
        <f>O20</f>
        <v>724.51</v>
      </c>
      <c r="P947" s="364">
        <f>P20</f>
        <v>724.51</v>
      </c>
      <c r="Q947" s="364">
        <f>Q20</f>
        <v>724.51</v>
      </c>
      <c r="R947" s="364">
        <f t="shared" ref="R947:R952" si="336">SUM(F947:Q947)</f>
        <v>8776.1400000000012</v>
      </c>
      <c r="S947" s="438">
        <f>R947-'JKP-3.1c - Rev Rates GRC09'!R947</f>
        <v>-337.67999999999847</v>
      </c>
    </row>
    <row r="948" spans="2:19" x14ac:dyDescent="0.2">
      <c r="B948" s="343" t="s">
        <v>828</v>
      </c>
      <c r="F948" s="418">
        <f t="shared" ref="F948:N948" si="337">F39</f>
        <v>51235918</v>
      </c>
      <c r="G948" s="418">
        <f t="shared" si="337"/>
        <v>42001949</v>
      </c>
      <c r="H948" s="418">
        <f t="shared" si="337"/>
        <v>42618957</v>
      </c>
      <c r="I948" s="418">
        <f t="shared" si="337"/>
        <v>33473561</v>
      </c>
      <c r="J948" s="418">
        <f t="shared" si="337"/>
        <v>24026121</v>
      </c>
      <c r="K948" s="418">
        <f t="shared" si="337"/>
        <v>15803211</v>
      </c>
      <c r="L948" s="418">
        <f t="shared" si="337"/>
        <v>10853798</v>
      </c>
      <c r="M948" s="418">
        <f t="shared" si="337"/>
        <v>10212419</v>
      </c>
      <c r="N948" s="418">
        <f t="shared" si="337"/>
        <v>13042929</v>
      </c>
      <c r="O948" s="418">
        <f>O39</f>
        <v>26287544</v>
      </c>
      <c r="P948" s="418">
        <f>P39</f>
        <v>48562048</v>
      </c>
      <c r="Q948" s="418">
        <f>Q39</f>
        <v>60985836</v>
      </c>
      <c r="R948" s="364">
        <f t="shared" si="336"/>
        <v>379104291</v>
      </c>
      <c r="S948" s="438">
        <f>R948-'JKP-3.1c - Rev Rates GRC09'!R948</f>
        <v>-12400502</v>
      </c>
    </row>
    <row r="949" spans="2:19" x14ac:dyDescent="0.2">
      <c r="B949" s="343" t="s">
        <v>829</v>
      </c>
      <c r="F949" s="418">
        <f t="shared" ref="F949:N949" si="338">+F57</f>
        <v>821.31404999999995</v>
      </c>
      <c r="G949" s="418">
        <f t="shared" si="338"/>
        <v>865.38455999999996</v>
      </c>
      <c r="H949" s="418">
        <f t="shared" si="338"/>
        <v>1205.92941</v>
      </c>
      <c r="I949" s="418">
        <f t="shared" si="338"/>
        <v>877.40378999999996</v>
      </c>
      <c r="J949" s="418">
        <f t="shared" si="338"/>
        <v>580.92944999999997</v>
      </c>
      <c r="K949" s="418">
        <f t="shared" si="338"/>
        <v>428.68586999999997</v>
      </c>
      <c r="L949" s="418">
        <f t="shared" si="338"/>
        <v>356.57049000000001</v>
      </c>
      <c r="M949" s="418">
        <f t="shared" si="338"/>
        <v>344.55125999999996</v>
      </c>
      <c r="N949" s="418">
        <f t="shared" si="338"/>
        <v>336.53843999999998</v>
      </c>
      <c r="O949" s="418">
        <f>+O57</f>
        <v>641.02559999999994</v>
      </c>
      <c r="P949" s="418">
        <f>+P57</f>
        <v>889.42301999999995</v>
      </c>
      <c r="Q949" s="418">
        <f>+Q57</f>
        <v>1121.7947999999999</v>
      </c>
      <c r="R949" s="364">
        <f t="shared" si="336"/>
        <v>8469.5507400000006</v>
      </c>
      <c r="S949" s="438">
        <f>R949-'JKP-3.1c - Rev Rates GRC09'!R949</f>
        <v>277.25718000000052</v>
      </c>
    </row>
    <row r="950" spans="2:19" x14ac:dyDescent="0.2">
      <c r="B950" s="346" t="s">
        <v>830</v>
      </c>
      <c r="F950" s="364">
        <f t="shared" ref="F950:Q950" si="339">F86+F414</f>
        <v>17414845.942759998</v>
      </c>
      <c r="G950" s="364">
        <f t="shared" si="339"/>
        <v>14229520.882149998</v>
      </c>
      <c r="H950" s="364">
        <f t="shared" si="339"/>
        <v>14429623.324339999</v>
      </c>
      <c r="I950" s="364">
        <f t="shared" si="339"/>
        <v>11657942.88036</v>
      </c>
      <c r="J950" s="364">
        <f t="shared" si="339"/>
        <v>8974619.8410399985</v>
      </c>
      <c r="K950" s="364">
        <f t="shared" si="339"/>
        <v>6662287.6704999991</v>
      </c>
      <c r="L950" s="364">
        <f t="shared" si="339"/>
        <v>5336720.9887600001</v>
      </c>
      <c r="M950" s="364">
        <f t="shared" si="339"/>
        <v>5226353.1221999992</v>
      </c>
      <c r="N950" s="364">
        <f t="shared" si="339"/>
        <v>5887937.7745999992</v>
      </c>
      <c r="O950" s="364">
        <f t="shared" si="339"/>
        <v>9456018.5564599987</v>
      </c>
      <c r="P950" s="364">
        <f t="shared" si="339"/>
        <v>16154581.72419</v>
      </c>
      <c r="Q950" s="364">
        <f t="shared" si="339"/>
        <v>20559055.060739998</v>
      </c>
      <c r="R950" s="364">
        <f t="shared" si="336"/>
        <v>135989507.76809996</v>
      </c>
      <c r="S950" s="438">
        <f>R950-'JKP-3.1c - Rev Rates GRC09'!R950</f>
        <v>-4683388.1959200501</v>
      </c>
    </row>
    <row r="951" spans="2:19" x14ac:dyDescent="0.2">
      <c r="B951" s="343" t="s">
        <v>832</v>
      </c>
      <c r="F951" s="364">
        <f t="shared" ref="F951:Q951" si="340">F122+F125+F450+F453</f>
        <v>5455030.749400001</v>
      </c>
      <c r="G951" s="364">
        <f t="shared" si="340"/>
        <v>4812714.2074199999</v>
      </c>
      <c r="H951" s="364">
        <f t="shared" si="340"/>
        <v>5135890.1946600005</v>
      </c>
      <c r="I951" s="364">
        <f t="shared" si="340"/>
        <v>4569837.7531199995</v>
      </c>
      <c r="J951" s="364">
        <f t="shared" si="340"/>
        <v>4129966.33458</v>
      </c>
      <c r="K951" s="364">
        <f t="shared" si="340"/>
        <v>3424993.0913</v>
      </c>
      <c r="L951" s="364">
        <f t="shared" si="340"/>
        <v>3001226.5172999999</v>
      </c>
      <c r="M951" s="364">
        <f t="shared" si="340"/>
        <v>2987817.9660999994</v>
      </c>
      <c r="N951" s="364">
        <f t="shared" si="340"/>
        <v>3155679.5590400002</v>
      </c>
      <c r="O951" s="364">
        <f t="shared" si="340"/>
        <v>4030050.0619600001</v>
      </c>
      <c r="P951" s="364">
        <f t="shared" si="340"/>
        <v>5114764.8950200006</v>
      </c>
      <c r="Q951" s="364">
        <f t="shared" si="340"/>
        <v>5684252.2627800005</v>
      </c>
      <c r="R951" s="364">
        <f t="shared" si="336"/>
        <v>51502223.59268</v>
      </c>
      <c r="S951" s="438">
        <f>R951-'JKP-3.1c - Rev Rates GRC09'!R951</f>
        <v>-2444165.1319399998</v>
      </c>
    </row>
    <row r="952" spans="2:19" x14ac:dyDescent="0.2">
      <c r="B952" s="343" t="s">
        <v>836</v>
      </c>
      <c r="R952" s="364">
        <f t="shared" si="336"/>
        <v>0</v>
      </c>
      <c r="S952" s="438">
        <f>R952-'JKP-3.1c - Rev Rates GRC09'!R952</f>
        <v>0</v>
      </c>
    </row>
    <row r="953" spans="2:19" x14ac:dyDescent="0.2">
      <c r="B953" s="343" t="s">
        <v>837</v>
      </c>
      <c r="F953" s="364">
        <f t="shared" ref="F953:Q953" si="341">F292+F296+F651+F655</f>
        <v>1190573.4712499999</v>
      </c>
      <c r="G953" s="364">
        <f t="shared" si="341"/>
        <v>1066122.2537499999</v>
      </c>
      <c r="H953" s="364">
        <f t="shared" si="341"/>
        <v>1196391.8099999998</v>
      </c>
      <c r="I953" s="364">
        <f t="shared" si="341"/>
        <v>1061962.99125</v>
      </c>
      <c r="J953" s="364">
        <f t="shared" si="341"/>
        <v>919489.40500000014</v>
      </c>
      <c r="K953" s="364">
        <f t="shared" si="341"/>
        <v>727831.38249999995</v>
      </c>
      <c r="L953" s="364">
        <f t="shared" si="341"/>
        <v>625707.9325</v>
      </c>
      <c r="M953" s="364">
        <f t="shared" si="341"/>
        <v>630318.15249999997</v>
      </c>
      <c r="N953" s="364">
        <f t="shared" si="341"/>
        <v>666302.73125000007</v>
      </c>
      <c r="O953" s="364">
        <f t="shared" si="341"/>
        <v>886764.14249999996</v>
      </c>
      <c r="P953" s="364">
        <f t="shared" si="341"/>
        <v>1139981.2337499999</v>
      </c>
      <c r="Q953" s="364">
        <f t="shared" si="341"/>
        <v>1211965.5699999998</v>
      </c>
      <c r="R953" s="364">
        <f t="shared" ref="R953:R960" si="342">SUM(F953:Q953)</f>
        <v>11323411.07625</v>
      </c>
      <c r="S953" s="438">
        <f>R953-'JKP-3.1c - Rev Rates GRC09'!R953</f>
        <v>-521703.80142000131</v>
      </c>
    </row>
    <row r="954" spans="2:19" x14ac:dyDescent="0.2">
      <c r="B954" s="343" t="s">
        <v>839</v>
      </c>
      <c r="F954" s="364">
        <f t="shared" ref="F954:Q954" si="343">F334+F338+F693+F697</f>
        <v>1231628.8218800002</v>
      </c>
      <c r="G954" s="364">
        <f t="shared" si="343"/>
        <v>1045572.71564</v>
      </c>
      <c r="H954" s="364">
        <f t="shared" si="343"/>
        <v>1027466.7778200001</v>
      </c>
      <c r="I954" s="364">
        <f t="shared" si="343"/>
        <v>848784.24047000008</v>
      </c>
      <c r="J954" s="364">
        <f t="shared" si="343"/>
        <v>705332.99782000005</v>
      </c>
      <c r="K954" s="364">
        <f t="shared" si="343"/>
        <v>482784.92248999997</v>
      </c>
      <c r="L954" s="364">
        <f t="shared" si="343"/>
        <v>288183.92418999999</v>
      </c>
      <c r="M954" s="364">
        <f t="shared" si="343"/>
        <v>255697.86974000002</v>
      </c>
      <c r="N954" s="364">
        <f t="shared" si="343"/>
        <v>355459.12822999997</v>
      </c>
      <c r="O954" s="364">
        <f t="shared" si="343"/>
        <v>646431.51114999992</v>
      </c>
      <c r="P954" s="364">
        <f t="shared" si="343"/>
        <v>1038838.36957</v>
      </c>
      <c r="Q954" s="364">
        <f t="shared" si="343"/>
        <v>1186636.0586100002</v>
      </c>
      <c r="R954" s="364">
        <f t="shared" si="342"/>
        <v>9112817.3376099989</v>
      </c>
      <c r="S954" s="438">
        <f>R954-'JKP-3.1c - Rev Rates GRC09'!R954</f>
        <v>-392694.18651000224</v>
      </c>
    </row>
    <row r="955" spans="2:19" x14ac:dyDescent="0.2">
      <c r="B955" s="343" t="s">
        <v>841</v>
      </c>
      <c r="F955" s="364">
        <f t="shared" ref="F955:Q955" si="344">F388+F392+F747+F751</f>
        <v>2029154.6421400001</v>
      </c>
      <c r="G955" s="364">
        <f t="shared" si="344"/>
        <v>1815479.9972400002</v>
      </c>
      <c r="H955" s="364">
        <f t="shared" si="344"/>
        <v>1905201.7161700001</v>
      </c>
      <c r="I955" s="364">
        <f t="shared" si="344"/>
        <v>1733396.0636200001</v>
      </c>
      <c r="J955" s="364">
        <f t="shared" si="344"/>
        <v>1602587.5312000001</v>
      </c>
      <c r="K955" s="364">
        <f t="shared" si="344"/>
        <v>1321918.5414800004</v>
      </c>
      <c r="L955" s="364">
        <f t="shared" si="344"/>
        <v>1102353.1532600001</v>
      </c>
      <c r="M955" s="364">
        <f t="shared" si="344"/>
        <v>1040824.16781</v>
      </c>
      <c r="N955" s="364">
        <f t="shared" si="344"/>
        <v>1141358.5531900001</v>
      </c>
      <c r="O955" s="364">
        <f t="shared" si="344"/>
        <v>1560353.1703100002</v>
      </c>
      <c r="P955" s="364">
        <f t="shared" si="344"/>
        <v>1985369.7732400002</v>
      </c>
      <c r="Q955" s="364">
        <f t="shared" si="344"/>
        <v>2237817.0110400002</v>
      </c>
      <c r="R955" s="364">
        <f t="shared" si="342"/>
        <v>19475814.320700005</v>
      </c>
      <c r="S955" s="438">
        <f>R955-'JKP-3.1c - Rev Rates GRC09'!R955</f>
        <v>-903480.43735999614</v>
      </c>
    </row>
    <row r="956" spans="2:19" x14ac:dyDescent="0.2">
      <c r="B956" s="32" t="s">
        <v>1184</v>
      </c>
      <c r="F956" s="364">
        <f t="shared" ref="F956:R956" si="345">F161+F489</f>
        <v>286.80399999999997</v>
      </c>
      <c r="G956" s="364">
        <f t="shared" si="345"/>
        <v>269.68270000000001</v>
      </c>
      <c r="H956" s="364">
        <f t="shared" si="345"/>
        <v>312.03409999999997</v>
      </c>
      <c r="I956" s="364">
        <f t="shared" si="345"/>
        <v>298.20769999999999</v>
      </c>
      <c r="J956" s="364">
        <f t="shared" si="345"/>
        <v>273.65449999999998</v>
      </c>
      <c r="K956" s="364">
        <f t="shared" si="345"/>
        <v>279.66399999999999</v>
      </c>
      <c r="L956" s="364">
        <f t="shared" si="345"/>
        <v>351.47490000000005</v>
      </c>
      <c r="M956" s="364">
        <f t="shared" si="345"/>
        <v>353.78980000000001</v>
      </c>
      <c r="N956" s="364">
        <f t="shared" si="345"/>
        <v>367.34530000000001</v>
      </c>
      <c r="O956" s="364">
        <f t="shared" si="345"/>
        <v>396.58219999999994</v>
      </c>
      <c r="P956" s="364">
        <f t="shared" si="345"/>
        <v>495.28710000000001</v>
      </c>
      <c r="Q956" s="364">
        <f t="shared" si="345"/>
        <v>569.26940000000002</v>
      </c>
      <c r="R956" s="364">
        <f t="shared" si="345"/>
        <v>4253.7957000000006</v>
      </c>
      <c r="S956" s="438">
        <f>R956-'JKP-3.1c - Rev Rates GRC09'!R956</f>
        <v>0</v>
      </c>
    </row>
    <row r="957" spans="2:19" x14ac:dyDescent="0.2">
      <c r="B957" s="32" t="s">
        <v>1185</v>
      </c>
      <c r="F957" s="364">
        <f t="shared" ref="F957:R957" si="346">F197+F525</f>
        <v>3723.9342000000001</v>
      </c>
      <c r="G957" s="364">
        <f t="shared" si="346"/>
        <v>3544.1875</v>
      </c>
      <c r="H957" s="364">
        <f t="shared" si="346"/>
        <v>4044.5383999999995</v>
      </c>
      <c r="I957" s="364">
        <f t="shared" si="346"/>
        <v>3846.3018999999999</v>
      </c>
      <c r="J957" s="364">
        <f t="shared" si="346"/>
        <v>3822.9169999999999</v>
      </c>
      <c r="K957" s="364">
        <f t="shared" si="346"/>
        <v>4028.395</v>
      </c>
      <c r="L957" s="364">
        <f t="shared" si="346"/>
        <v>3660.6954999999998</v>
      </c>
      <c r="M957" s="364">
        <f t="shared" si="346"/>
        <v>3777.5598</v>
      </c>
      <c r="N957" s="364">
        <f t="shared" si="346"/>
        <v>3590.7269999999999</v>
      </c>
      <c r="O957" s="364">
        <f t="shared" si="346"/>
        <v>3908.1637000000001</v>
      </c>
      <c r="P957" s="364">
        <f t="shared" si="346"/>
        <v>3915.8714</v>
      </c>
      <c r="Q957" s="364">
        <f t="shared" si="346"/>
        <v>3807.2195000000002</v>
      </c>
      <c r="R957" s="364">
        <f t="shared" si="346"/>
        <v>45670.510899999994</v>
      </c>
      <c r="S957" s="438">
        <f>R957-'JKP-3.1c - Rev Rates GRC09'!R957</f>
        <v>0</v>
      </c>
    </row>
    <row r="958" spans="2:19" x14ac:dyDescent="0.2">
      <c r="B958" s="338" t="s">
        <v>1186</v>
      </c>
      <c r="F958" s="364">
        <f>F557</f>
        <v>0</v>
      </c>
      <c r="G958" s="364">
        <f t="shared" ref="G958:R958" si="347">G557</f>
        <v>0</v>
      </c>
      <c r="H958" s="364">
        <f t="shared" si="347"/>
        <v>0</v>
      </c>
      <c r="I958" s="364">
        <f t="shared" si="347"/>
        <v>0</v>
      </c>
      <c r="J958" s="364">
        <f t="shared" si="347"/>
        <v>0</v>
      </c>
      <c r="K958" s="364">
        <f t="shared" si="347"/>
        <v>0</v>
      </c>
      <c r="L958" s="364">
        <f t="shared" si="347"/>
        <v>0</v>
      </c>
      <c r="M958" s="364">
        <f t="shared" si="347"/>
        <v>1.5105999999999999</v>
      </c>
      <c r="N958" s="364">
        <f t="shared" si="347"/>
        <v>6.3441000000000001</v>
      </c>
      <c r="O958" s="364">
        <f t="shared" si="347"/>
        <v>5.6685999999999996</v>
      </c>
      <c r="P958" s="364">
        <f t="shared" si="347"/>
        <v>0.67410000000000003</v>
      </c>
      <c r="Q958" s="364">
        <f t="shared" si="347"/>
        <v>0.13789999999999999</v>
      </c>
      <c r="R958" s="364">
        <f t="shared" si="347"/>
        <v>14.335299999999998</v>
      </c>
      <c r="S958" s="438">
        <f>R958-'JKP-3.1c - Rev Rates GRC09'!R958</f>
        <v>0</v>
      </c>
    </row>
    <row r="959" spans="2:19" x14ac:dyDescent="0.2">
      <c r="B959" s="32" t="s">
        <v>1187</v>
      </c>
      <c r="F959" s="364">
        <f t="shared" ref="F959:R959" si="348">F241+F601</f>
        <v>6451.6479999999992</v>
      </c>
      <c r="G959" s="364">
        <f t="shared" si="348"/>
        <v>5226.2154</v>
      </c>
      <c r="H959" s="364">
        <f t="shared" si="348"/>
        <v>6116.6651000000002</v>
      </c>
      <c r="I959" s="364">
        <f t="shared" si="348"/>
        <v>5975.9755999999998</v>
      </c>
      <c r="J959" s="364">
        <f t="shared" si="348"/>
        <v>6659.9875999999995</v>
      </c>
      <c r="K959" s="364">
        <f t="shared" si="348"/>
        <v>5603.8289999999997</v>
      </c>
      <c r="L959" s="364">
        <f t="shared" si="348"/>
        <v>5947.7403999999997</v>
      </c>
      <c r="M959" s="364">
        <f t="shared" si="348"/>
        <v>6029.3373000000001</v>
      </c>
      <c r="N959" s="364">
        <f t="shared" si="348"/>
        <v>5279.5568000000003</v>
      </c>
      <c r="O959" s="364">
        <f t="shared" si="348"/>
        <v>5567.7152999999998</v>
      </c>
      <c r="P959" s="364">
        <f t="shared" si="348"/>
        <v>5093.8768999999993</v>
      </c>
      <c r="Q959" s="364">
        <f t="shared" si="348"/>
        <v>5364.8202999999994</v>
      </c>
      <c r="R959" s="364">
        <f t="shared" si="348"/>
        <v>69317.367700000003</v>
      </c>
      <c r="S959" s="438">
        <f>R959-'JKP-3.1c - Rev Rates GRC09'!R959</f>
        <v>0</v>
      </c>
    </row>
    <row r="960" spans="2:19" x14ac:dyDescent="0.2">
      <c r="B960" s="343" t="s">
        <v>144</v>
      </c>
      <c r="F960" s="364">
        <v>0</v>
      </c>
      <c r="G960" s="364">
        <v>0</v>
      </c>
      <c r="H960" s="364">
        <v>0</v>
      </c>
      <c r="I960" s="364">
        <v>0</v>
      </c>
      <c r="J960" s="364">
        <v>0</v>
      </c>
      <c r="K960" s="364">
        <v>0</v>
      </c>
      <c r="L960" s="364">
        <v>0</v>
      </c>
      <c r="M960" s="364">
        <v>0</v>
      </c>
      <c r="N960" s="364">
        <v>0</v>
      </c>
      <c r="O960" s="364">
        <v>0</v>
      </c>
      <c r="P960" s="364">
        <v>0</v>
      </c>
      <c r="Q960" s="364">
        <v>0</v>
      </c>
      <c r="R960" s="364">
        <f t="shared" si="342"/>
        <v>0</v>
      </c>
      <c r="S960" s="438">
        <f>R960-'JKP-3.1c - Rev Rates GRC09'!R960</f>
        <v>0</v>
      </c>
    </row>
    <row r="961" spans="2:24" x14ac:dyDescent="0.2">
      <c r="B961" s="343" t="s">
        <v>1189</v>
      </c>
      <c r="F961" s="365">
        <f t="shared" ref="F961:N961" si="349">SUM(F947:F960)</f>
        <v>78569173.507679999</v>
      </c>
      <c r="G961" s="365">
        <f t="shared" si="349"/>
        <v>64982002.70635999</v>
      </c>
      <c r="H961" s="365">
        <f t="shared" si="349"/>
        <v>66325948.170000009</v>
      </c>
      <c r="I961" s="365">
        <f t="shared" si="349"/>
        <v>53357220.997809991</v>
      </c>
      <c r="J961" s="365">
        <f t="shared" si="349"/>
        <v>40370192.778189994</v>
      </c>
      <c r="K961" s="365">
        <f t="shared" si="349"/>
        <v>28434105.36214</v>
      </c>
      <c r="L961" s="365">
        <f t="shared" si="349"/>
        <v>21219031.507300004</v>
      </c>
      <c r="M961" s="365">
        <f t="shared" si="349"/>
        <v>20364661.537109997</v>
      </c>
      <c r="N961" s="365">
        <f t="shared" si="349"/>
        <v>24259971.767950002</v>
      </c>
      <c r="O961" s="365">
        <f>SUM(O947:O960)</f>
        <v>42878405.107779995</v>
      </c>
      <c r="P961" s="365">
        <f>SUM(P947:P960)</f>
        <v>74006703.638290003</v>
      </c>
      <c r="Q961" s="365">
        <f>SUM(Q947:Q960)</f>
        <v>91877149.715069994</v>
      </c>
      <c r="R961" s="365">
        <f>SUM(R947:R960)</f>
        <v>606644566.79567993</v>
      </c>
      <c r="S961" s="365">
        <f>SUM(S947:S960)</f>
        <v>-21345994.175970055</v>
      </c>
    </row>
    <row r="962" spans="2:24" s="336" customFormat="1" x14ac:dyDescent="0.2">
      <c r="B962" s="336" t="s">
        <v>131</v>
      </c>
      <c r="F962" s="418">
        <f>F961-F922-F923</f>
        <v>-1.1014890333171934E-8</v>
      </c>
      <c r="G962" s="418">
        <f t="shared" ref="G962:R962" si="350">G961-G922-G923</f>
        <v>-1.102444002754055E-8</v>
      </c>
      <c r="H962" s="418">
        <f t="shared" si="350"/>
        <v>1.8026867110165767E-8</v>
      </c>
      <c r="I962" s="418">
        <f t="shared" si="350"/>
        <v>-3.2701450436434243E-8</v>
      </c>
      <c r="J962" s="418">
        <f t="shared" si="350"/>
        <v>-9.6082430900423788E-9</v>
      </c>
      <c r="K962" s="418">
        <f t="shared" si="350"/>
        <v>-7.7005779530736618E-10</v>
      </c>
      <c r="L962" s="418">
        <f t="shared" si="350"/>
        <v>-1.0931557881121989E-9</v>
      </c>
      <c r="M962" s="418">
        <f t="shared" si="350"/>
        <v>-5.4931206250330433E-9</v>
      </c>
      <c r="N962" s="418">
        <f t="shared" si="350"/>
        <v>7.7164372669358272E-9</v>
      </c>
      <c r="O962" s="418">
        <f t="shared" si="350"/>
        <v>-6.2345861806534231E-9</v>
      </c>
      <c r="P962" s="418">
        <f t="shared" si="350"/>
        <v>2.0127345123910345E-8</v>
      </c>
      <c r="Q962" s="418">
        <f t="shared" si="350"/>
        <v>-1.5973000699887052E-9</v>
      </c>
      <c r="R962" s="418">
        <f t="shared" si="350"/>
        <v>-1.1562406143639237E-7</v>
      </c>
      <c r="S962" s="418"/>
      <c r="T962" s="415"/>
    </row>
    <row r="964" spans="2:24" x14ac:dyDescent="0.2">
      <c r="B964" s="488" t="s">
        <v>1190</v>
      </c>
      <c r="S964" s="438"/>
    </row>
    <row r="965" spans="2:24" x14ac:dyDescent="0.2">
      <c r="B965" s="343" t="s">
        <v>827</v>
      </c>
      <c r="F965" s="364">
        <f t="shared" ref="F965:Q978" si="351">F930+F947</f>
        <v>1248.48</v>
      </c>
      <c r="G965" s="364">
        <f t="shared" si="351"/>
        <v>1248.48</v>
      </c>
      <c r="H965" s="364">
        <f t="shared" si="351"/>
        <v>1248.48</v>
      </c>
      <c r="I965" s="364">
        <f t="shared" si="351"/>
        <v>1248.48</v>
      </c>
      <c r="J965" s="364">
        <f t="shared" si="351"/>
        <v>1248.4799999999998</v>
      </c>
      <c r="K965" s="364">
        <f t="shared" si="351"/>
        <v>1248.48</v>
      </c>
      <c r="L965" s="364">
        <f t="shared" si="351"/>
        <v>1225.3599999999999</v>
      </c>
      <c r="M965" s="364">
        <f t="shared" si="351"/>
        <v>1225.3599999999999</v>
      </c>
      <c r="N965" s="364">
        <f t="shared" si="351"/>
        <v>1225.3599999999999</v>
      </c>
      <c r="O965" s="364">
        <f t="shared" si="351"/>
        <v>1225.3599999999999</v>
      </c>
      <c r="P965" s="364">
        <f t="shared" si="351"/>
        <v>1225.3599999999999</v>
      </c>
      <c r="Q965" s="364">
        <f t="shared" si="351"/>
        <v>1225.3599999999999</v>
      </c>
      <c r="R965" s="364">
        <f t="shared" ref="R965:R968" si="352">SUM(F965:Q965)</f>
        <v>14843.040000000003</v>
      </c>
      <c r="S965" s="438">
        <f>R965-'JKP-3.1c - Rev Rates GRC09'!R965</f>
        <v>-337.67999999999847</v>
      </c>
      <c r="V965" s="364"/>
      <c r="X965" s="349"/>
    </row>
    <row r="966" spans="2:24" x14ac:dyDescent="0.2">
      <c r="B966" s="343" t="s">
        <v>828</v>
      </c>
      <c r="F966" s="364">
        <f t="shared" si="351"/>
        <v>83077937</v>
      </c>
      <c r="G966" s="364">
        <f t="shared" si="351"/>
        <v>69379264</v>
      </c>
      <c r="H966" s="364">
        <f t="shared" si="351"/>
        <v>70305856</v>
      </c>
      <c r="I966" s="364">
        <f t="shared" si="351"/>
        <v>56729362</v>
      </c>
      <c r="J966" s="364">
        <f t="shared" si="351"/>
        <v>42707943</v>
      </c>
      <c r="K966" s="364">
        <f t="shared" si="351"/>
        <v>30509253</v>
      </c>
      <c r="L966" s="364">
        <f t="shared" si="351"/>
        <v>23163976</v>
      </c>
      <c r="M966" s="364">
        <f t="shared" si="351"/>
        <v>22203677</v>
      </c>
      <c r="N966" s="364">
        <f t="shared" si="351"/>
        <v>26418485</v>
      </c>
      <c r="O966" s="364">
        <f t="shared" si="351"/>
        <v>46074755</v>
      </c>
      <c r="P966" s="364">
        <f t="shared" si="351"/>
        <v>79154618</v>
      </c>
      <c r="Q966" s="364">
        <f t="shared" si="351"/>
        <v>97605933</v>
      </c>
      <c r="R966" s="364">
        <f t="shared" si="352"/>
        <v>647331059</v>
      </c>
      <c r="S966" s="438">
        <f>R966-'JKP-3.1c - Rev Rates GRC09'!R966</f>
        <v>-12400502</v>
      </c>
      <c r="T966" s="417"/>
      <c r="V966" s="364"/>
      <c r="X966" s="349"/>
    </row>
    <row r="967" spans="2:24" x14ac:dyDescent="0.2">
      <c r="B967" s="343" t="s">
        <v>829</v>
      </c>
      <c r="F967" s="364">
        <f t="shared" si="351"/>
        <v>942.85289999999998</v>
      </c>
      <c r="G967" s="364">
        <f t="shared" si="351"/>
        <v>990.76207999999997</v>
      </c>
      <c r="H967" s="364">
        <f t="shared" si="351"/>
        <v>1360.96938</v>
      </c>
      <c r="I967" s="364">
        <f t="shared" si="351"/>
        <v>1003.82822</v>
      </c>
      <c r="J967" s="364">
        <f t="shared" si="351"/>
        <v>681.53009999999995</v>
      </c>
      <c r="K967" s="364">
        <f t="shared" si="351"/>
        <v>516.02566000000002</v>
      </c>
      <c r="L967" s="364">
        <f t="shared" si="351"/>
        <v>447.62882000000002</v>
      </c>
      <c r="M967" s="364">
        <f t="shared" si="351"/>
        <v>434.56267999999994</v>
      </c>
      <c r="N967" s="364">
        <f t="shared" si="351"/>
        <v>415.85191999999995</v>
      </c>
      <c r="O967" s="364">
        <f t="shared" si="351"/>
        <v>746.86079999999993</v>
      </c>
      <c r="P967" s="364">
        <f t="shared" si="351"/>
        <v>1016.89436</v>
      </c>
      <c r="Q967" s="364">
        <f t="shared" si="351"/>
        <v>1259.5064</v>
      </c>
      <c r="R967" s="364">
        <f t="shared" si="352"/>
        <v>9817.2733200000002</v>
      </c>
      <c r="S967" s="438">
        <f>R967-'JKP-3.1c - Rev Rates GRC09'!R967</f>
        <v>277.2571799999987</v>
      </c>
      <c r="T967" s="417"/>
      <c r="V967" s="364"/>
      <c r="X967" s="349"/>
    </row>
    <row r="968" spans="2:24" x14ac:dyDescent="0.2">
      <c r="B968" s="346" t="s">
        <v>830</v>
      </c>
      <c r="F968" s="364">
        <f t="shared" si="351"/>
        <v>26441701.4208</v>
      </c>
      <c r="G968" s="364">
        <f t="shared" si="351"/>
        <v>21914174.671999998</v>
      </c>
      <c r="H968" s="364">
        <f t="shared" si="351"/>
        <v>22196953.747200001</v>
      </c>
      <c r="I968" s="364">
        <f t="shared" si="351"/>
        <v>18256884.6448</v>
      </c>
      <c r="J968" s="364">
        <f t="shared" si="351"/>
        <v>14440325.683199998</v>
      </c>
      <c r="K968" s="364">
        <f t="shared" si="351"/>
        <v>11152559.440000001</v>
      </c>
      <c r="L968" s="364">
        <f t="shared" si="351"/>
        <v>9267379.9008000009</v>
      </c>
      <c r="M968" s="364">
        <f t="shared" si="351"/>
        <v>9109083.3759999983</v>
      </c>
      <c r="N968" s="364">
        <f t="shared" si="351"/>
        <v>10048676.368000001</v>
      </c>
      <c r="O968" s="364">
        <f t="shared" si="351"/>
        <v>15122019.516799998</v>
      </c>
      <c r="P968" s="364">
        <f t="shared" si="351"/>
        <v>24638866.835200001</v>
      </c>
      <c r="Q968" s="364">
        <f t="shared" si="351"/>
        <v>30900674.659199998</v>
      </c>
      <c r="R968" s="364">
        <f t="shared" si="352"/>
        <v>213489300.264</v>
      </c>
      <c r="S968" s="438">
        <f>R968-'JKP-3.1c - Rev Rates GRC09'!R968</f>
        <v>-4683388.1959200501</v>
      </c>
      <c r="V968" s="364"/>
      <c r="X968" s="349"/>
    </row>
    <row r="969" spans="2:24" x14ac:dyDescent="0.2">
      <c r="B969" s="343" t="s">
        <v>832</v>
      </c>
      <c r="F969" s="364">
        <f t="shared" si="351"/>
        <v>7168788.4889900014</v>
      </c>
      <c r="G969" s="364">
        <f t="shared" si="351"/>
        <v>6401589.8244399996</v>
      </c>
      <c r="H969" s="364">
        <f t="shared" si="351"/>
        <v>6785075.70438</v>
      </c>
      <c r="I969" s="364">
        <f t="shared" si="351"/>
        <v>6109245.3557399996</v>
      </c>
      <c r="J969" s="364">
        <f t="shared" si="351"/>
        <v>5584926.21789</v>
      </c>
      <c r="K969" s="364">
        <f t="shared" si="351"/>
        <v>4766814.7617100002</v>
      </c>
      <c r="L969" s="364">
        <f t="shared" si="351"/>
        <v>4284831.1546900002</v>
      </c>
      <c r="M969" s="364">
        <f t="shared" si="351"/>
        <v>4263004.6723099994</v>
      </c>
      <c r="N969" s="364">
        <f t="shared" si="351"/>
        <v>4447528.0319699999</v>
      </c>
      <c r="O969" s="364">
        <f t="shared" si="351"/>
        <v>5456757.8141399994</v>
      </c>
      <c r="P969" s="364">
        <f t="shared" si="351"/>
        <v>6746605.6622200003</v>
      </c>
      <c r="Q969" s="364">
        <f t="shared" si="351"/>
        <v>7426517.2859600009</v>
      </c>
      <c r="R969" s="364">
        <f t="shared" ref="R969:R978" si="353">SUM(F969:Q969)</f>
        <v>69441684.974440008</v>
      </c>
      <c r="S969" s="438">
        <f>R969-'JKP-3.1c - Rev Rates GRC09'!R969</f>
        <v>-2444165.1319399774</v>
      </c>
      <c r="V969" s="364"/>
      <c r="X969" s="349"/>
    </row>
    <row r="970" spans="2:24" x14ac:dyDescent="0.2">
      <c r="B970" s="343" t="s">
        <v>836</v>
      </c>
      <c r="F970" s="364">
        <f t="shared" si="351"/>
        <v>9391.0000000000018</v>
      </c>
      <c r="G970" s="364">
        <f t="shared" si="351"/>
        <v>9391.0000000000018</v>
      </c>
      <c r="H970" s="364">
        <f t="shared" si="351"/>
        <v>9416.5000000000018</v>
      </c>
      <c r="I970" s="364">
        <f t="shared" si="351"/>
        <v>9391.0000000000018</v>
      </c>
      <c r="J970" s="364">
        <f t="shared" si="351"/>
        <v>9628.3000000000011</v>
      </c>
      <c r="K970" s="364">
        <f t="shared" si="351"/>
        <v>9509.0000000000018</v>
      </c>
      <c r="L970" s="364">
        <f t="shared" si="351"/>
        <v>9708.5000000000018</v>
      </c>
      <c r="M970" s="364">
        <f t="shared" si="351"/>
        <v>9824.3000000000011</v>
      </c>
      <c r="N970" s="364">
        <f t="shared" si="351"/>
        <v>9763.0000000000018</v>
      </c>
      <c r="O970" s="364">
        <f t="shared" si="351"/>
        <v>9763.0000000000018</v>
      </c>
      <c r="P970" s="364">
        <f t="shared" si="351"/>
        <v>9763.0000000000018</v>
      </c>
      <c r="Q970" s="364">
        <f t="shared" si="351"/>
        <v>9763.0000000000018</v>
      </c>
      <c r="R970" s="364">
        <f t="shared" si="353"/>
        <v>115311.60000000002</v>
      </c>
      <c r="S970" s="438">
        <f>R970-'JKP-3.1c - Rev Rates GRC09'!R970</f>
        <v>0</v>
      </c>
      <c r="V970" s="364"/>
      <c r="X970" s="349"/>
    </row>
    <row r="971" spans="2:24" x14ac:dyDescent="0.2">
      <c r="B971" s="343" t="s">
        <v>837</v>
      </c>
      <c r="F971" s="364">
        <f t="shared" si="351"/>
        <v>1364476.4066399999</v>
      </c>
      <c r="G971" s="364">
        <f t="shared" si="351"/>
        <v>1241618.0684199999</v>
      </c>
      <c r="H971" s="364">
        <f t="shared" si="351"/>
        <v>1371176.3668199999</v>
      </c>
      <c r="I971" s="364">
        <f t="shared" si="351"/>
        <v>1224522.7363700001</v>
      </c>
      <c r="J971" s="364">
        <f t="shared" si="351"/>
        <v>1067175.3684700001</v>
      </c>
      <c r="K971" s="364">
        <f t="shared" si="351"/>
        <v>857351.87663999991</v>
      </c>
      <c r="L971" s="364">
        <f t="shared" si="351"/>
        <v>742625.22184999997</v>
      </c>
      <c r="M971" s="364">
        <f t="shared" si="351"/>
        <v>752288.21733999997</v>
      </c>
      <c r="N971" s="364">
        <f t="shared" si="351"/>
        <v>791540.25691</v>
      </c>
      <c r="O971" s="364">
        <f t="shared" si="351"/>
        <v>1031406.93888</v>
      </c>
      <c r="P971" s="364">
        <f t="shared" si="351"/>
        <v>1308885.8506999998</v>
      </c>
      <c r="Q971" s="364">
        <f t="shared" si="351"/>
        <v>1399085.2405499998</v>
      </c>
      <c r="R971" s="364">
        <f t="shared" si="353"/>
        <v>13152152.549590001</v>
      </c>
      <c r="S971" s="438">
        <f>R971-'JKP-3.1c - Rev Rates GRC09'!R971</f>
        <v>-521703.80142000131</v>
      </c>
      <c r="V971" s="364"/>
      <c r="X971" s="349"/>
    </row>
    <row r="972" spans="2:24" x14ac:dyDescent="0.2">
      <c r="B972" s="343" t="s">
        <v>839</v>
      </c>
      <c r="F972" s="364">
        <f t="shared" si="351"/>
        <v>1581303.7504400001</v>
      </c>
      <c r="G972" s="364">
        <f t="shared" si="351"/>
        <v>1355219.96392</v>
      </c>
      <c r="H972" s="364">
        <f t="shared" si="351"/>
        <v>1330558.8845600002</v>
      </c>
      <c r="I972" s="364">
        <f t="shared" si="351"/>
        <v>1111236.23826</v>
      </c>
      <c r="J972" s="364">
        <f t="shared" si="351"/>
        <v>935051.49786</v>
      </c>
      <c r="K972" s="364">
        <f t="shared" si="351"/>
        <v>659314.52211999998</v>
      </c>
      <c r="L972" s="364">
        <f t="shared" si="351"/>
        <v>415799.32621999999</v>
      </c>
      <c r="M972" s="364">
        <f t="shared" si="351"/>
        <v>377040.88182000001</v>
      </c>
      <c r="N972" s="364">
        <f t="shared" si="351"/>
        <v>524653.79434000002</v>
      </c>
      <c r="O972" s="364">
        <f t="shared" si="351"/>
        <v>859909.56479999993</v>
      </c>
      <c r="P972" s="364">
        <f t="shared" si="351"/>
        <v>1342386.9851599999</v>
      </c>
      <c r="Q972" s="364">
        <f t="shared" si="351"/>
        <v>1522162.4170800003</v>
      </c>
      <c r="R972" s="364">
        <f t="shared" si="353"/>
        <v>12014637.826580001</v>
      </c>
      <c r="S972" s="438">
        <f>R972-'JKP-3.1c - Rev Rates GRC09'!R972</f>
        <v>-392694.18651000038</v>
      </c>
      <c r="V972" s="364"/>
      <c r="X972" s="349"/>
    </row>
    <row r="973" spans="2:24" x14ac:dyDescent="0.2">
      <c r="B973" s="343" t="s">
        <v>841</v>
      </c>
      <c r="F973" s="364">
        <f t="shared" si="351"/>
        <v>2181175.7084000004</v>
      </c>
      <c r="G973" s="364">
        <f t="shared" si="351"/>
        <v>2027514.2627400002</v>
      </c>
      <c r="H973" s="364">
        <f t="shared" si="351"/>
        <v>2052310.2674700001</v>
      </c>
      <c r="I973" s="364">
        <f t="shared" si="351"/>
        <v>1871393.4719900002</v>
      </c>
      <c r="J973" s="364">
        <f t="shared" si="351"/>
        <v>1734218.94304</v>
      </c>
      <c r="K973" s="364">
        <f t="shared" si="351"/>
        <v>1439419.5621900004</v>
      </c>
      <c r="L973" s="364">
        <f t="shared" si="351"/>
        <v>1207734.8718300001</v>
      </c>
      <c r="M973" s="364">
        <f t="shared" si="351"/>
        <v>1142791.6022300001</v>
      </c>
      <c r="N973" s="364">
        <f t="shared" si="351"/>
        <v>1250551.6040800002</v>
      </c>
      <c r="O973" s="364">
        <f t="shared" si="351"/>
        <v>1703659.1521300003</v>
      </c>
      <c r="P973" s="364">
        <f t="shared" si="351"/>
        <v>2136280.6397000002</v>
      </c>
      <c r="Q973" s="364">
        <f t="shared" si="351"/>
        <v>2399249.4202000001</v>
      </c>
      <c r="R973" s="364">
        <f t="shared" si="353"/>
        <v>21146299.506000005</v>
      </c>
      <c r="S973" s="438">
        <f>R973-'JKP-3.1c - Rev Rates GRC09'!R973</f>
        <v>-903480.43735999614</v>
      </c>
      <c r="V973" s="364"/>
      <c r="X973" s="349"/>
    </row>
    <row r="974" spans="2:24" x14ac:dyDescent="0.2">
      <c r="B974" s="32" t="s">
        <v>1184</v>
      </c>
      <c r="F974" s="364">
        <f t="shared" si="351"/>
        <v>83337.623000000021</v>
      </c>
      <c r="G974" s="364">
        <f t="shared" si="351"/>
        <v>80629.24311000001</v>
      </c>
      <c r="H974" s="364">
        <f t="shared" si="351"/>
        <v>84083.612640000007</v>
      </c>
      <c r="I974" s="364">
        <f t="shared" si="351"/>
        <v>81909.526000000013</v>
      </c>
      <c r="J974" s="364">
        <f t="shared" si="351"/>
        <v>78108.960080000004</v>
      </c>
      <c r="K974" s="364">
        <f t="shared" si="351"/>
        <v>78957.655039999998</v>
      </c>
      <c r="L974" s="364">
        <f t="shared" si="351"/>
        <v>93823.537319999989</v>
      </c>
      <c r="M974" s="364">
        <f t="shared" si="351"/>
        <v>94805.548820000011</v>
      </c>
      <c r="N974" s="364">
        <f t="shared" si="351"/>
        <v>97462.175090000004</v>
      </c>
      <c r="O974" s="364">
        <f t="shared" si="351"/>
        <v>105332.47352000001</v>
      </c>
      <c r="P974" s="364">
        <f t="shared" si="351"/>
        <v>127134.42008000003</v>
      </c>
      <c r="Q974" s="364">
        <f t="shared" si="351"/>
        <v>148508.13256</v>
      </c>
      <c r="R974" s="364">
        <f t="shared" si="353"/>
        <v>1154092.9072600002</v>
      </c>
      <c r="S974" s="438">
        <f>R974-'JKP-3.1c - Rev Rates GRC09'!R974</f>
        <v>0</v>
      </c>
      <c r="V974" s="364"/>
      <c r="X974" s="349"/>
    </row>
    <row r="975" spans="2:24" x14ac:dyDescent="0.2">
      <c r="B975" s="32" t="s">
        <v>1185</v>
      </c>
      <c r="F975" s="364">
        <f t="shared" si="351"/>
        <v>541385.59440000006</v>
      </c>
      <c r="G975" s="364">
        <f t="shared" si="351"/>
        <v>533720.96895000013</v>
      </c>
      <c r="H975" s="364">
        <f t="shared" si="351"/>
        <v>588414.50708999997</v>
      </c>
      <c r="I975" s="364">
        <f t="shared" si="351"/>
        <v>763450.12389000005</v>
      </c>
      <c r="J975" s="364">
        <f t="shared" si="351"/>
        <v>688854.92426999996</v>
      </c>
      <c r="K975" s="364">
        <f t="shared" si="351"/>
        <v>590052.56180000002</v>
      </c>
      <c r="L975" s="364">
        <f t="shared" si="351"/>
        <v>548032.02373999998</v>
      </c>
      <c r="M975" s="364">
        <f t="shared" si="351"/>
        <v>546781.00615999999</v>
      </c>
      <c r="N975" s="364">
        <f t="shared" si="351"/>
        <v>551397.42083000008</v>
      </c>
      <c r="O975" s="364">
        <f t="shared" si="351"/>
        <v>554803.43170000007</v>
      </c>
      <c r="P975" s="364">
        <f t="shared" si="351"/>
        <v>562581.07813000004</v>
      </c>
      <c r="Q975" s="364">
        <f t="shared" si="351"/>
        <v>536633.42272000003</v>
      </c>
      <c r="R975" s="364">
        <f t="shared" si="353"/>
        <v>7006107.0636800015</v>
      </c>
      <c r="S975" s="438">
        <f>R975-'JKP-3.1c - Rev Rates GRC09'!R975</f>
        <v>0</v>
      </c>
      <c r="V975" s="364"/>
      <c r="X975" s="349"/>
    </row>
    <row r="976" spans="2:24" x14ac:dyDescent="0.2">
      <c r="B976" s="338" t="s">
        <v>1186</v>
      </c>
      <c r="F976" s="364">
        <f>F941+F958</f>
        <v>0</v>
      </c>
      <c r="G976" s="364">
        <f t="shared" si="351"/>
        <v>0</v>
      </c>
      <c r="H976" s="364">
        <f t="shared" si="351"/>
        <v>0</v>
      </c>
      <c r="I976" s="364">
        <f t="shared" si="351"/>
        <v>0</v>
      </c>
      <c r="J976" s="364">
        <f t="shared" si="351"/>
        <v>0</v>
      </c>
      <c r="K976" s="364">
        <f t="shared" si="351"/>
        <v>443.45</v>
      </c>
      <c r="L976" s="364">
        <f t="shared" si="351"/>
        <v>443.45</v>
      </c>
      <c r="M976" s="364">
        <f t="shared" si="351"/>
        <v>807.7124</v>
      </c>
      <c r="N976" s="364">
        <f t="shared" si="351"/>
        <v>1862.2364000000002</v>
      </c>
      <c r="O976" s="364">
        <f t="shared" si="351"/>
        <v>1655.9444000000001</v>
      </c>
      <c r="P976" s="364">
        <f t="shared" si="351"/>
        <v>634.99069999999995</v>
      </c>
      <c r="Q976" s="364">
        <f t="shared" si="351"/>
        <v>482.63330000000002</v>
      </c>
      <c r="R976" s="364">
        <f t="shared" si="353"/>
        <v>6330.4172000000008</v>
      </c>
      <c r="S976" s="438">
        <f>R976-'JKP-3.1c - Rev Rates GRC09'!R976</f>
        <v>0</v>
      </c>
      <c r="V976" s="364"/>
      <c r="X976" s="349"/>
    </row>
    <row r="977" spans="2:24" x14ac:dyDescent="0.2">
      <c r="B977" s="32" t="s">
        <v>1187</v>
      </c>
      <c r="F977" s="364">
        <f t="shared" ref="F977:N978" si="354">F942+F959</f>
        <v>351262.47582999995</v>
      </c>
      <c r="G977" s="364">
        <f t="shared" si="354"/>
        <v>313595.04773999995</v>
      </c>
      <c r="H977" s="364">
        <f t="shared" si="354"/>
        <v>342563.37021999998</v>
      </c>
      <c r="I977" s="364">
        <f t="shared" si="354"/>
        <v>339613.47752999997</v>
      </c>
      <c r="J977" s="364">
        <f t="shared" si="354"/>
        <v>384924.29988999997</v>
      </c>
      <c r="K977" s="364">
        <f t="shared" si="354"/>
        <v>327851.72025999997</v>
      </c>
      <c r="L977" s="364">
        <f t="shared" si="354"/>
        <v>371543.42099999997</v>
      </c>
      <c r="M977" s="364">
        <f t="shared" si="354"/>
        <v>350076.25526000001</v>
      </c>
      <c r="N977" s="364">
        <f t="shared" si="354"/>
        <v>331285.87760999997</v>
      </c>
      <c r="O977" s="364">
        <f t="shared" si="351"/>
        <v>334885.63246999995</v>
      </c>
      <c r="P977" s="364">
        <f t="shared" si="351"/>
        <v>315608.19679999998</v>
      </c>
      <c r="Q977" s="364">
        <f t="shared" si="351"/>
        <v>315935.45724000002</v>
      </c>
      <c r="R977" s="364">
        <f t="shared" si="353"/>
        <v>4079145.2318499996</v>
      </c>
      <c r="S977" s="438">
        <f>R977-'JKP-3.1c - Rev Rates GRC09'!R977</f>
        <v>0</v>
      </c>
      <c r="V977" s="364"/>
      <c r="X977" s="349"/>
    </row>
    <row r="978" spans="2:24" x14ac:dyDescent="0.2">
      <c r="B978" s="343" t="s">
        <v>844</v>
      </c>
      <c r="F978" s="364">
        <f t="shared" si="354"/>
        <v>146430.75884000002</v>
      </c>
      <c r="G978" s="364">
        <f t="shared" si="354"/>
        <v>143226.45925000001</v>
      </c>
      <c r="H978" s="364">
        <f t="shared" si="354"/>
        <v>147107.09406999999</v>
      </c>
      <c r="I978" s="364">
        <f t="shared" si="354"/>
        <v>140095.63293000002</v>
      </c>
      <c r="J978" s="364">
        <f t="shared" si="354"/>
        <v>133281.78002000001</v>
      </c>
      <c r="K978" s="364">
        <f t="shared" si="354"/>
        <v>123236.08813</v>
      </c>
      <c r="L978" s="364">
        <f t="shared" si="354"/>
        <v>120042.19259999999</v>
      </c>
      <c r="M978" s="364">
        <f t="shared" si="354"/>
        <v>118730.64383</v>
      </c>
      <c r="N978" s="364">
        <f t="shared" si="354"/>
        <v>120351.65416999999</v>
      </c>
      <c r="O978" s="364">
        <f t="shared" si="351"/>
        <v>135276.70224000001</v>
      </c>
      <c r="P978" s="364">
        <f t="shared" si="351"/>
        <v>151959.92145000002</v>
      </c>
      <c r="Q978" s="364">
        <f t="shared" si="351"/>
        <v>153029.35573000001</v>
      </c>
      <c r="R978" s="364">
        <f t="shared" si="353"/>
        <v>1632768.2832599999</v>
      </c>
      <c r="S978" s="438">
        <f>R978-'JKP-3.1c - Rev Rates GRC09'!R978</f>
        <v>0</v>
      </c>
      <c r="V978" s="364"/>
      <c r="X978" s="349"/>
    </row>
    <row r="979" spans="2:24" x14ac:dyDescent="0.2">
      <c r="B979" s="343" t="s">
        <v>1191</v>
      </c>
      <c r="F979" s="365">
        <f t="shared" ref="F979:N979" si="355">SUM(F965:F978)</f>
        <v>122949381.56023999</v>
      </c>
      <c r="G979" s="365">
        <f t="shared" si="355"/>
        <v>103402182.75264999</v>
      </c>
      <c r="H979" s="365">
        <f t="shared" si="355"/>
        <v>105216125.50383002</v>
      </c>
      <c r="I979" s="365">
        <f t="shared" si="355"/>
        <v>86639356.515729994</v>
      </c>
      <c r="J979" s="365">
        <f t="shared" si="355"/>
        <v>67766368.984819978</v>
      </c>
      <c r="K979" s="365">
        <f t="shared" si="355"/>
        <v>50516528.143550016</v>
      </c>
      <c r="L979" s="365">
        <f t="shared" si="355"/>
        <v>40227612.588869996</v>
      </c>
      <c r="M979" s="365">
        <f t="shared" si="355"/>
        <v>38970571.138849981</v>
      </c>
      <c r="N979" s="365">
        <f t="shared" si="355"/>
        <v>44595198.631319992</v>
      </c>
      <c r="O979" s="365">
        <f>SUM(O965:O978)</f>
        <v>71392197.391879991</v>
      </c>
      <c r="P979" s="365">
        <f>SUM(P965:P978)</f>
        <v>116497567.83450001</v>
      </c>
      <c r="Q979" s="365">
        <f>SUM(Q965:Q978)</f>
        <v>142420458.89094001</v>
      </c>
      <c r="R979" s="365">
        <f>SUM(R965:R978)</f>
        <v>990593549.93717992</v>
      </c>
      <c r="S979" s="365">
        <f>SUM(S965:S978)</f>
        <v>-21345994.175970029</v>
      </c>
      <c r="V979" s="364"/>
      <c r="W979" s="336"/>
      <c r="X979" s="508"/>
    </row>
    <row r="980" spans="2:24" s="336" customFormat="1" x14ac:dyDescent="0.2">
      <c r="B980" s="336" t="s">
        <v>131</v>
      </c>
      <c r="F980" s="418">
        <f t="shared" ref="F980:N980" si="356">F979-F944-F961</f>
        <v>0</v>
      </c>
      <c r="G980" s="418">
        <f t="shared" si="356"/>
        <v>0</v>
      </c>
      <c r="H980" s="418">
        <f t="shared" si="356"/>
        <v>0</v>
      </c>
      <c r="I980" s="418">
        <f t="shared" si="356"/>
        <v>0</v>
      </c>
      <c r="J980" s="418">
        <f t="shared" si="356"/>
        <v>0</v>
      </c>
      <c r="K980" s="418">
        <f t="shared" si="356"/>
        <v>0</v>
      </c>
      <c r="L980" s="418">
        <f t="shared" si="356"/>
        <v>0</v>
      </c>
      <c r="M980" s="418">
        <f t="shared" si="356"/>
        <v>0</v>
      </c>
      <c r="N980" s="418">
        <f t="shared" si="356"/>
        <v>0</v>
      </c>
      <c r="O980" s="418">
        <f>O979-O944-O961</f>
        <v>0</v>
      </c>
      <c r="P980" s="418">
        <f>P979-P944-P961</f>
        <v>0</v>
      </c>
      <c r="Q980" s="418">
        <f>Q979-Q944-Q961</f>
        <v>0</v>
      </c>
      <c r="R980" s="418">
        <f>R979-R944-R961</f>
        <v>0</v>
      </c>
      <c r="S980" s="418"/>
      <c r="T980" s="390"/>
      <c r="U980" s="32"/>
      <c r="W980" s="32"/>
      <c r="X980" s="32"/>
    </row>
    <row r="981" spans="2:24" x14ac:dyDescent="0.2">
      <c r="B981" s="336" t="s">
        <v>131</v>
      </c>
      <c r="F981" s="364">
        <f>F979-SUM(F922:F924)</f>
        <v>0</v>
      </c>
      <c r="G981" s="364">
        <f t="shared" ref="G981:R981" si="357">G979-SUM(G922:G924)</f>
        <v>0</v>
      </c>
      <c r="H981" s="364">
        <f t="shared" si="357"/>
        <v>0</v>
      </c>
      <c r="I981" s="364">
        <f t="shared" si="357"/>
        <v>0</v>
      </c>
      <c r="J981" s="364">
        <f t="shared" si="357"/>
        <v>0</v>
      </c>
      <c r="K981" s="364">
        <f t="shared" si="357"/>
        <v>0</v>
      </c>
      <c r="L981" s="364">
        <f t="shared" si="357"/>
        <v>0</v>
      </c>
      <c r="M981" s="364">
        <f t="shared" si="357"/>
        <v>0</v>
      </c>
      <c r="N981" s="364">
        <f t="shared" si="357"/>
        <v>0</v>
      </c>
      <c r="O981" s="364">
        <f t="shared" si="357"/>
        <v>0</v>
      </c>
      <c r="P981" s="364">
        <f t="shared" si="357"/>
        <v>0</v>
      </c>
      <c r="Q981" s="364">
        <f t="shared" si="357"/>
        <v>0</v>
      </c>
      <c r="R981" s="364">
        <f t="shared" si="357"/>
        <v>0</v>
      </c>
    </row>
    <row r="982" spans="2:24" ht="13.5" thickBot="1" x14ac:dyDescent="0.25"/>
    <row r="983" spans="2:24" x14ac:dyDescent="0.2">
      <c r="B983" s="401" t="s">
        <v>1192</v>
      </c>
      <c r="C983" s="402"/>
      <c r="D983" s="402"/>
      <c r="E983" s="402"/>
      <c r="F983" s="489">
        <f>'JKP-3.1c - Therms Data'!E103</f>
        <v>128745037</v>
      </c>
      <c r="G983" s="489">
        <f>'JKP-3.1c - Therms Data'!F103</f>
        <v>107438064</v>
      </c>
      <c r="H983" s="489">
        <f>'JKP-3.1c - Therms Data'!G103</f>
        <v>111751312</v>
      </c>
      <c r="I983" s="489">
        <f>'JKP-3.1c - Therms Data'!H103</f>
        <v>92608599</v>
      </c>
      <c r="J983" s="489">
        <f>'JKP-3.1c - Therms Data'!I103</f>
        <v>74871801</v>
      </c>
      <c r="K983" s="489">
        <f>'JKP-3.1c - Therms Data'!J103</f>
        <v>56233148</v>
      </c>
      <c r="L983" s="489">
        <f>'JKP-3.1c - Therms Data'!K103</f>
        <v>45903282</v>
      </c>
      <c r="M983" s="489">
        <f>'JKP-3.1c - Therms Data'!L103</f>
        <v>44931622</v>
      </c>
      <c r="N983" s="489">
        <f>'JKP-3.1c - Therms Data'!M103</f>
        <v>49140650</v>
      </c>
      <c r="O983" s="489">
        <f>'JKP-3.1c - Therms Data'!N103</f>
        <v>77063218</v>
      </c>
      <c r="P983" s="489">
        <f>'JKP-3.1c - Therms Data'!O103</f>
        <v>121261601</v>
      </c>
      <c r="Q983" s="489">
        <f>'JKP-3.1c - Therms Data'!P103</f>
        <v>146682209</v>
      </c>
      <c r="R983" s="509">
        <f>'JKP-3.1c - Therms Data'!Q103</f>
        <v>1056630543</v>
      </c>
      <c r="T983" s="415"/>
      <c r="U983" s="336"/>
    </row>
    <row r="984" spans="2:24" x14ac:dyDescent="0.2">
      <c r="B984" s="405" t="s">
        <v>131</v>
      </c>
      <c r="C984" s="390"/>
      <c r="D984" s="390"/>
      <c r="E984" s="390"/>
      <c r="F984" s="412">
        <f t="shared" ref="F984:R984" si="358">F866-F983</f>
        <v>0</v>
      </c>
      <c r="G984" s="412">
        <f t="shared" si="358"/>
        <v>0</v>
      </c>
      <c r="H984" s="412">
        <f t="shared" si="358"/>
        <v>0</v>
      </c>
      <c r="I984" s="412">
        <f t="shared" si="358"/>
        <v>0</v>
      </c>
      <c r="J984" s="412">
        <f t="shared" si="358"/>
        <v>0</v>
      </c>
      <c r="K984" s="412">
        <f t="shared" si="358"/>
        <v>0</v>
      </c>
      <c r="L984" s="412">
        <f t="shared" si="358"/>
        <v>0</v>
      </c>
      <c r="M984" s="412">
        <f t="shared" si="358"/>
        <v>0</v>
      </c>
      <c r="N984" s="412">
        <f t="shared" si="358"/>
        <v>0</v>
      </c>
      <c r="O984" s="412">
        <f t="shared" si="358"/>
        <v>0</v>
      </c>
      <c r="P984" s="412">
        <f t="shared" si="358"/>
        <v>0</v>
      </c>
      <c r="Q984" s="412">
        <f t="shared" si="358"/>
        <v>0</v>
      </c>
      <c r="R984" s="491">
        <f t="shared" si="358"/>
        <v>0</v>
      </c>
    </row>
    <row r="985" spans="2:24" x14ac:dyDescent="0.2">
      <c r="B985" s="405"/>
      <c r="C985" s="390"/>
      <c r="D985" s="390"/>
      <c r="E985" s="390"/>
      <c r="F985" s="412"/>
      <c r="G985" s="412"/>
      <c r="H985" s="412"/>
      <c r="I985" s="412"/>
      <c r="J985" s="412"/>
      <c r="K985" s="412"/>
      <c r="L985" s="412"/>
      <c r="M985" s="412"/>
      <c r="N985" s="412"/>
      <c r="O985" s="412"/>
      <c r="P985" s="412"/>
      <c r="Q985" s="412"/>
      <c r="R985" s="491"/>
    </row>
    <row r="986" spans="2:24" x14ac:dyDescent="0.2">
      <c r="B986" s="492" t="s">
        <v>1193</v>
      </c>
      <c r="C986" s="390"/>
      <c r="D986" s="390"/>
      <c r="E986" s="390"/>
      <c r="F986" s="406">
        <f>'JKP-3.1c - Data'!C158</f>
        <v>757684</v>
      </c>
      <c r="G986" s="406">
        <f>'JKP-3.1c - Data'!D158</f>
        <v>758885</v>
      </c>
      <c r="H986" s="406">
        <f>'JKP-3.1c - Data'!E158</f>
        <v>759873</v>
      </c>
      <c r="I986" s="406">
        <f>'JKP-3.1c - Data'!F158</f>
        <v>760124.03</v>
      </c>
      <c r="J986" s="406">
        <f>'JKP-3.1c - Data'!G158</f>
        <v>760670</v>
      </c>
      <c r="K986" s="406">
        <f>'JKP-3.1c - Data'!H158</f>
        <v>761724</v>
      </c>
      <c r="L986" s="406">
        <f>'JKP-3.1c - Data'!I158</f>
        <v>762056</v>
      </c>
      <c r="M986" s="406">
        <f>'JKP-3.1c - Data'!J158</f>
        <v>761195</v>
      </c>
      <c r="N986" s="406">
        <f>'JKP-3.1c - Data'!K158</f>
        <v>762357</v>
      </c>
      <c r="O986" s="406">
        <f>'JKP-3.1c - Data'!L158</f>
        <v>761431</v>
      </c>
      <c r="P986" s="406">
        <f>'JKP-3.1c - Data'!M158</f>
        <v>761918</v>
      </c>
      <c r="Q986" s="406">
        <f>'JKP-3.1c - Data'!N158</f>
        <v>762413</v>
      </c>
      <c r="R986" s="510">
        <f>'JKP-3.1c - Data'!O158</f>
        <v>9130330.0299999993</v>
      </c>
    </row>
    <row r="987" spans="2:24" x14ac:dyDescent="0.2">
      <c r="B987" s="492" t="s">
        <v>131</v>
      </c>
      <c r="C987" s="390"/>
      <c r="D987" s="390"/>
      <c r="E987" s="390"/>
      <c r="F987" s="412">
        <f t="shared" ref="F987:R987" si="359">F821-F986</f>
        <v>0</v>
      </c>
      <c r="G987" s="412">
        <f t="shared" si="359"/>
        <v>0</v>
      </c>
      <c r="H987" s="412">
        <f t="shared" si="359"/>
        <v>0</v>
      </c>
      <c r="I987" s="412">
        <f t="shared" si="359"/>
        <v>0</v>
      </c>
      <c r="J987" s="412">
        <f t="shared" si="359"/>
        <v>0</v>
      </c>
      <c r="K987" s="412">
        <f t="shared" si="359"/>
        <v>0</v>
      </c>
      <c r="L987" s="412">
        <f t="shared" si="359"/>
        <v>0</v>
      </c>
      <c r="M987" s="412">
        <f t="shared" si="359"/>
        <v>0</v>
      </c>
      <c r="N987" s="412">
        <f t="shared" si="359"/>
        <v>0</v>
      </c>
      <c r="O987" s="412">
        <f t="shared" si="359"/>
        <v>0</v>
      </c>
      <c r="P987" s="412">
        <f t="shared" si="359"/>
        <v>0</v>
      </c>
      <c r="Q987" s="412">
        <f t="shared" si="359"/>
        <v>0</v>
      </c>
      <c r="R987" s="491">
        <f t="shared" si="359"/>
        <v>0</v>
      </c>
    </row>
    <row r="988" spans="2:24" x14ac:dyDescent="0.2">
      <c r="B988" s="492"/>
      <c r="C988" s="390"/>
      <c r="D988" s="390"/>
      <c r="E988" s="390"/>
      <c r="F988" s="412"/>
      <c r="G988" s="412"/>
      <c r="H988" s="412"/>
      <c r="I988" s="412"/>
      <c r="J988" s="412"/>
      <c r="K988" s="412"/>
      <c r="L988" s="412"/>
      <c r="M988" s="412"/>
      <c r="N988" s="412"/>
      <c r="O988" s="412"/>
      <c r="P988" s="412"/>
      <c r="Q988" s="412"/>
      <c r="R988" s="491"/>
    </row>
    <row r="989" spans="2:24" x14ac:dyDescent="0.2">
      <c r="B989" s="492" t="s">
        <v>1194</v>
      </c>
      <c r="C989" s="390"/>
      <c r="D989" s="390"/>
      <c r="E989" s="390"/>
      <c r="F989" s="406">
        <f>'JKP-3.1c - Data'!C178</f>
        <v>585396.33000000007</v>
      </c>
      <c r="G989" s="406">
        <f>'JKP-3.1c - Data'!D178</f>
        <v>585521.33000000007</v>
      </c>
      <c r="H989" s="406">
        <f>'JKP-3.1c - Data'!E178</f>
        <v>580796.33000000007</v>
      </c>
      <c r="I989" s="406">
        <f>'JKP-3.1c - Data'!F178</f>
        <v>581357.35</v>
      </c>
      <c r="J989" s="406">
        <f>'JKP-3.1c - Data'!G178</f>
        <v>578333.31999999995</v>
      </c>
      <c r="K989" s="406">
        <f>'JKP-3.1c - Data'!H178</f>
        <v>582867.33000000007</v>
      </c>
      <c r="L989" s="406">
        <f>'JKP-3.1c - Data'!I178</f>
        <v>587397.64</v>
      </c>
      <c r="M989" s="406">
        <f>'JKP-3.1c - Data'!J178</f>
        <v>583485</v>
      </c>
      <c r="N989" s="406">
        <f>'JKP-3.1c - Data'!K178</f>
        <v>583414</v>
      </c>
      <c r="O989" s="406">
        <f>'JKP-3.1c - Data'!L178</f>
        <v>575686</v>
      </c>
      <c r="P989" s="406">
        <f>'JKP-3.1c - Data'!M178</f>
        <v>574594</v>
      </c>
      <c r="Q989" s="406">
        <f>'JKP-3.1c - Data'!N178</f>
        <v>576081</v>
      </c>
      <c r="R989" s="510">
        <f>'JKP-3.1c - Data'!O178</f>
        <v>6974929.6299999999</v>
      </c>
    </row>
    <row r="990" spans="2:24" x14ac:dyDescent="0.2">
      <c r="B990" s="492" t="s">
        <v>131</v>
      </c>
      <c r="C990" s="390"/>
      <c r="D990" s="390"/>
      <c r="E990" s="390"/>
      <c r="F990" s="412">
        <f>F905-F989-SUM(F886:F888)</f>
        <v>-1.1641532182693481E-10</v>
      </c>
      <c r="G990" s="412">
        <f t="shared" ref="G990:R990" si="360">G905-G989-SUM(G886:G888)</f>
        <v>-1.1641532182693481E-10</v>
      </c>
      <c r="H990" s="412">
        <f t="shared" si="360"/>
        <v>-1.1641532182693481E-10</v>
      </c>
      <c r="I990" s="412">
        <f t="shared" si="360"/>
        <v>0</v>
      </c>
      <c r="J990" s="412">
        <f t="shared" si="360"/>
        <v>0</v>
      </c>
      <c r="K990" s="412">
        <f t="shared" si="360"/>
        <v>0</v>
      </c>
      <c r="L990" s="412">
        <f t="shared" si="360"/>
        <v>0</v>
      </c>
      <c r="M990" s="412">
        <f t="shared" si="360"/>
        <v>0</v>
      </c>
      <c r="N990" s="412">
        <f t="shared" si="360"/>
        <v>0</v>
      </c>
      <c r="O990" s="412">
        <f t="shared" si="360"/>
        <v>0</v>
      </c>
      <c r="P990" s="412">
        <f t="shared" si="360"/>
        <v>0</v>
      </c>
      <c r="Q990" s="412">
        <f t="shared" si="360"/>
        <v>0</v>
      </c>
      <c r="R990" s="491">
        <f t="shared" si="360"/>
        <v>0</v>
      </c>
    </row>
    <row r="991" spans="2:24" x14ac:dyDescent="0.2">
      <c r="B991" s="492"/>
      <c r="C991" s="390"/>
      <c r="D991" s="390"/>
      <c r="E991" s="390"/>
      <c r="F991" s="412"/>
      <c r="G991" s="412"/>
      <c r="H991" s="412"/>
      <c r="I991" s="412"/>
      <c r="J991" s="412"/>
      <c r="K991" s="412"/>
      <c r="L991" s="412"/>
      <c r="M991" s="412"/>
      <c r="N991" s="412"/>
      <c r="O991" s="412"/>
      <c r="P991" s="412"/>
      <c r="Q991" s="412"/>
      <c r="R991" s="491"/>
    </row>
    <row r="992" spans="2:24" x14ac:dyDescent="0.2">
      <c r="B992" s="405"/>
      <c r="C992" s="390"/>
      <c r="D992" s="390"/>
      <c r="E992" s="390"/>
      <c r="F992" s="417"/>
      <c r="G992" s="417"/>
      <c r="H992" s="417"/>
      <c r="I992" s="417"/>
      <c r="J992" s="417"/>
      <c r="K992" s="417"/>
      <c r="L992" s="417"/>
      <c r="M992" s="417"/>
      <c r="N992" s="417"/>
      <c r="O992" s="417"/>
      <c r="P992" s="417"/>
      <c r="Q992" s="417"/>
      <c r="R992" s="511"/>
      <c r="W992" s="336"/>
      <c r="X992" s="336"/>
    </row>
    <row r="993" spans="2:24" s="336" customFormat="1" ht="13.5" thickBot="1" x14ac:dyDescent="0.25">
      <c r="B993" s="493"/>
      <c r="C993" s="512"/>
      <c r="D993" s="512"/>
      <c r="E993" s="512"/>
      <c r="F993" s="513"/>
      <c r="G993" s="513"/>
      <c r="H993" s="513"/>
      <c r="I993" s="513"/>
      <c r="J993" s="513"/>
      <c r="K993" s="513"/>
      <c r="L993" s="513"/>
      <c r="M993" s="513"/>
      <c r="N993" s="513"/>
      <c r="O993" s="513"/>
      <c r="P993" s="513"/>
      <c r="Q993" s="513"/>
      <c r="R993" s="514"/>
      <c r="S993" s="335"/>
      <c r="T993" s="390"/>
      <c r="U993" s="32"/>
      <c r="W993" s="32"/>
      <c r="X993" s="32"/>
    </row>
    <row r="994" spans="2:24" x14ac:dyDescent="0.2">
      <c r="B994" s="415"/>
      <c r="C994" s="390"/>
      <c r="D994" s="390"/>
      <c r="E994" s="390"/>
      <c r="F994" s="412"/>
      <c r="G994" s="412"/>
      <c r="H994" s="412"/>
      <c r="I994" s="412"/>
      <c r="J994" s="412"/>
      <c r="K994" s="412"/>
      <c r="L994" s="412"/>
      <c r="M994" s="412"/>
      <c r="N994" s="412"/>
      <c r="O994" s="412"/>
      <c r="P994" s="412"/>
      <c r="Q994" s="412"/>
      <c r="R994" s="412"/>
    </row>
    <row r="995" spans="2:24" x14ac:dyDescent="0.2">
      <c r="F995" s="364"/>
      <c r="G995" s="364"/>
      <c r="H995" s="364"/>
      <c r="I995" s="364"/>
      <c r="J995" s="364"/>
      <c r="K995" s="364"/>
      <c r="L995" s="364"/>
      <c r="M995" s="364"/>
      <c r="N995" s="364"/>
      <c r="O995" s="364"/>
      <c r="P995" s="364"/>
      <c r="Q995" s="364"/>
      <c r="R995" s="364"/>
      <c r="W995" s="336"/>
      <c r="X995" s="336"/>
    </row>
    <row r="996" spans="2:24" s="336" customFormat="1" ht="25.5" customHeight="1" x14ac:dyDescent="0.2">
      <c r="B996" s="1868"/>
      <c r="C996" s="1868"/>
      <c r="D996" s="1868"/>
      <c r="E996" s="1868"/>
      <c r="F996" s="1868"/>
      <c r="G996" s="1868"/>
      <c r="H996" s="1868"/>
      <c r="I996" s="1868"/>
      <c r="J996" s="1868"/>
      <c r="K996" s="1868"/>
      <c r="L996" s="1868"/>
      <c r="M996" s="1868"/>
      <c r="N996" s="1868"/>
      <c r="O996" s="1868"/>
      <c r="P996" s="1868"/>
      <c r="Q996" s="1868"/>
      <c r="R996" s="367"/>
      <c r="S996" s="335"/>
      <c r="T996" s="415"/>
      <c r="W996" s="32"/>
      <c r="X996" s="32"/>
    </row>
    <row r="999" spans="2:24" x14ac:dyDescent="0.2">
      <c r="T999" s="415"/>
      <c r="U999" s="336"/>
    </row>
    <row r="1002" spans="2:24" x14ac:dyDescent="0.2">
      <c r="R1002" s="364"/>
    </row>
  </sheetData>
  <mergeCells count="1">
    <mergeCell ref="B996:Q996"/>
  </mergeCells>
  <pageMargins left="0.7" right="0.7" top="0.75" bottom="0.75" header="0.3" footer="0.3"/>
  <pageSetup orientation="portrait" r:id="rId1"/>
  <rowBreaks count="19" manualBreakCount="19">
    <brk id="43" max="16383" man="1"/>
    <brk id="71" max="16383" man="1"/>
    <brk id="132" min="1" max="17" man="1"/>
    <brk id="168" min="1" max="17" man="1"/>
    <brk id="203" min="1" max="17" man="1"/>
    <brk id="247" max="16383" man="1"/>
    <brk id="303" max="16383" man="1"/>
    <brk id="345" max="16383" man="1"/>
    <brk id="399" max="16383" man="1"/>
    <brk id="460" min="1" max="17" man="1"/>
    <brk id="496" min="1" max="17" man="1"/>
    <brk id="563" min="1" max="17" man="1"/>
    <brk id="607" max="16383" man="1"/>
    <brk id="662" max="16383" man="1"/>
    <brk id="704" max="16383" man="1"/>
    <brk id="758" max="16383" man="1"/>
    <brk id="795" max="16383" man="1"/>
    <brk id="854" max="16383" man="1"/>
    <brk id="920" min="1" max="17" man="1"/>
  </rowBreaks>
  <colBreaks count="1" manualBreakCount="1">
    <brk id="18"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F1002"/>
  <sheetViews>
    <sheetView topLeftCell="A511" workbookViewId="0">
      <selection activeCell="C35" sqref="C35"/>
    </sheetView>
  </sheetViews>
  <sheetFormatPr defaultRowHeight="12.75" x14ac:dyDescent="0.2"/>
  <cols>
    <col min="1" max="1" width="7.5703125" style="32" bestFit="1" customWidth="1"/>
    <col min="2" max="2" width="1.42578125" style="32" customWidth="1"/>
    <col min="3" max="3" width="40" style="32" customWidth="1"/>
    <col min="4" max="4" width="7.7109375" style="32" customWidth="1"/>
    <col min="5" max="5" width="9.140625" style="32"/>
    <col min="6" max="8" width="13.42578125" style="32" bestFit="1" customWidth="1"/>
    <col min="9" max="12" width="12.28515625" style="32" bestFit="1" customWidth="1"/>
    <col min="13" max="13" width="13.5703125" style="32" customWidth="1"/>
    <col min="14" max="15" width="12.28515625" style="32" bestFit="1" customWidth="1"/>
    <col min="16" max="17" width="13.42578125" style="32" bestFit="1" customWidth="1"/>
    <col min="18" max="18" width="15" style="32" bestFit="1" customWidth="1"/>
    <col min="19" max="19" width="14.42578125" style="391" bestFit="1" customWidth="1"/>
    <col min="20" max="20" width="12.85546875" style="390" customWidth="1"/>
    <col min="21" max="22" width="14.5703125" style="32" bestFit="1" customWidth="1"/>
    <col min="23" max="23" width="44.42578125" style="32" bestFit="1" customWidth="1"/>
    <col min="24" max="24" width="16.85546875" style="32" bestFit="1" customWidth="1"/>
    <col min="25" max="16384" width="9.140625" style="32"/>
  </cols>
  <sheetData>
    <row r="1" spans="1:20" x14ac:dyDescent="0.2">
      <c r="B1" s="385" t="str">
        <f>'JKP-3.1c - Revenue'!$B$1</f>
        <v>Puget Sound Energy</v>
      </c>
      <c r="C1" s="386"/>
      <c r="D1" s="387"/>
      <c r="E1" s="387"/>
      <c r="F1" s="387"/>
      <c r="G1" s="386"/>
      <c r="H1" s="386"/>
      <c r="I1" s="386"/>
      <c r="J1" s="386"/>
      <c r="K1" s="386"/>
      <c r="L1" s="386"/>
      <c r="M1" s="386"/>
      <c r="N1" s="386"/>
      <c r="O1" s="386"/>
      <c r="P1" s="386"/>
      <c r="Q1" s="386"/>
      <c r="R1" s="386"/>
    </row>
    <row r="2" spans="1:20" x14ac:dyDescent="0.2">
      <c r="B2" s="385" t="str">
        <f>'JKP-3.1c - Revenue'!$B$2</f>
        <v>2011 General Rate Case - Gas</v>
      </c>
      <c r="C2" s="386"/>
      <c r="D2" s="386"/>
      <c r="E2" s="386"/>
      <c r="F2" s="388"/>
      <c r="G2" s="386"/>
      <c r="H2" s="386"/>
      <c r="I2" s="386"/>
      <c r="J2" s="386"/>
      <c r="K2" s="386"/>
      <c r="L2" s="386"/>
      <c r="M2" s="386"/>
      <c r="N2" s="386"/>
      <c r="O2" s="386"/>
      <c r="P2" s="386"/>
      <c r="Q2" s="386"/>
      <c r="R2" s="386"/>
    </row>
    <row r="3" spans="1:20" x14ac:dyDescent="0.2">
      <c r="B3" s="386" t="s">
        <v>1200</v>
      </c>
      <c r="C3" s="386"/>
      <c r="D3" s="386"/>
      <c r="E3" s="386"/>
      <c r="F3" s="389"/>
      <c r="G3" s="389"/>
      <c r="H3" s="388"/>
      <c r="I3" s="389"/>
      <c r="J3" s="389"/>
      <c r="K3" s="389"/>
      <c r="L3" s="389"/>
      <c r="M3" s="389"/>
      <c r="N3" s="389"/>
      <c r="O3" s="389"/>
      <c r="P3" s="389"/>
      <c r="Q3" s="389"/>
      <c r="R3" s="386"/>
    </row>
    <row r="4" spans="1:20" x14ac:dyDescent="0.2">
      <c r="B4" s="385" t="str">
        <f>'JKP-3.1c - Revenue'!$B$4</f>
        <v>Test Year Ended December 31, 2010</v>
      </c>
      <c r="C4" s="386"/>
      <c r="D4" s="386"/>
      <c r="E4" s="386"/>
      <c r="F4" s="386"/>
      <c r="G4" s="386"/>
      <c r="H4" s="386"/>
      <c r="I4" s="386"/>
      <c r="J4" s="386"/>
      <c r="K4" s="386"/>
      <c r="L4" s="386"/>
      <c r="M4" s="386"/>
      <c r="N4" s="386"/>
      <c r="O4" s="386"/>
      <c r="P4" s="386"/>
      <c r="Q4" s="386"/>
      <c r="R4" s="386"/>
    </row>
    <row r="5" spans="1:20" s="336" customFormat="1" x14ac:dyDescent="0.2">
      <c r="B5" s="431"/>
      <c r="C5" s="387"/>
      <c r="D5" s="387"/>
      <c r="E5" s="387"/>
      <c r="F5" s="32"/>
      <c r="G5" s="32"/>
      <c r="H5" s="32"/>
      <c r="I5" s="32"/>
      <c r="J5" s="32"/>
      <c r="K5" s="32"/>
      <c r="L5" s="32"/>
      <c r="M5" s="32"/>
      <c r="N5" s="32"/>
      <c r="O5" s="32"/>
      <c r="P5" s="32"/>
      <c r="Q5" s="32"/>
      <c r="R5" s="276"/>
      <c r="S5" s="335"/>
      <c r="T5" s="335"/>
    </row>
    <row r="6" spans="1:20" x14ac:dyDescent="0.2">
      <c r="A6" s="432" t="s">
        <v>445</v>
      </c>
      <c r="B6" s="433" t="s">
        <v>3</v>
      </c>
      <c r="C6" s="433"/>
      <c r="D6" s="333" t="s">
        <v>25</v>
      </c>
      <c r="E6" s="333"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c r="S6" s="333" t="s">
        <v>1201</v>
      </c>
      <c r="T6" s="391"/>
    </row>
    <row r="7" spans="1:20" x14ac:dyDescent="0.2">
      <c r="B7" s="276" t="s">
        <v>1046</v>
      </c>
      <c r="C7" s="276"/>
    </row>
    <row r="8" spans="1:20" s="336" customFormat="1" x14ac:dyDescent="0.2">
      <c r="B8" s="182" t="s">
        <v>5</v>
      </c>
      <c r="C8" s="182"/>
      <c r="S8" s="335"/>
      <c r="T8" s="415"/>
    </row>
    <row r="9" spans="1:20" s="415" customFormat="1" x14ac:dyDescent="0.2">
      <c r="B9" s="415" t="s">
        <v>1047</v>
      </c>
      <c r="D9" s="415">
        <v>16</v>
      </c>
      <c r="E9" s="32" t="s">
        <v>1048</v>
      </c>
      <c r="F9" s="434">
        <v>9.92</v>
      </c>
      <c r="G9" s="434">
        <v>9.92</v>
      </c>
      <c r="H9" s="434">
        <v>9.92</v>
      </c>
      <c r="I9" s="434">
        <v>9.92</v>
      </c>
      <c r="J9" s="434">
        <v>9.92</v>
      </c>
      <c r="K9" s="434">
        <v>9.92</v>
      </c>
      <c r="L9" s="434">
        <v>9.92</v>
      </c>
      <c r="M9" s="434">
        <v>9.92</v>
      </c>
      <c r="N9" s="434">
        <v>9.92</v>
      </c>
      <c r="O9" s="434">
        <v>9.92</v>
      </c>
      <c r="P9" s="434">
        <v>9.92</v>
      </c>
      <c r="Q9" s="434">
        <v>9.92</v>
      </c>
      <c r="R9" s="435"/>
      <c r="S9" s="335"/>
    </row>
    <row r="10" spans="1:20" s="415" customFormat="1" x14ac:dyDescent="0.2">
      <c r="B10" s="415" t="s">
        <v>1067</v>
      </c>
      <c r="D10" s="32">
        <v>101</v>
      </c>
      <c r="E10" s="32" t="s">
        <v>1048</v>
      </c>
      <c r="F10" s="494">
        <f>'JKP-3.1c - Rev Rates PGA Nov10'!F10</f>
        <v>13.67</v>
      </c>
      <c r="G10" s="494">
        <f>'JKP-3.1c - Rev Rates PGA Nov10'!G10</f>
        <v>13.67</v>
      </c>
      <c r="H10" s="494">
        <f>'JKP-3.1c - Rev Rates PGA Nov10'!H10</f>
        <v>13.67</v>
      </c>
      <c r="I10" s="494">
        <f>'JKP-3.1c - Rev Rates PGA Nov10'!I10</f>
        <v>13.67</v>
      </c>
      <c r="J10" s="494">
        <f>'JKP-3.1c - Rev Rates PGA Nov10'!J10</f>
        <v>13.67</v>
      </c>
      <c r="K10" s="494">
        <f>'JKP-3.1c - Rev Rates PGA Nov10'!K10</f>
        <v>13.67</v>
      </c>
      <c r="L10" s="494">
        <f>'JKP-3.1c - Rev Rates PGA Nov10'!L10</f>
        <v>13.67</v>
      </c>
      <c r="M10" s="494">
        <f>'JKP-3.1c - Rev Rates PGA Nov10'!M10</f>
        <v>13.67</v>
      </c>
      <c r="N10" s="494">
        <f>'JKP-3.1c - Rev Rates PGA Nov10'!N10</f>
        <v>13.67</v>
      </c>
      <c r="O10" s="494">
        <f>'JKP-3.1c - Rev Rates PGA Nov10'!O10</f>
        <v>13.67</v>
      </c>
      <c r="P10" s="494">
        <f>'JKP-3.1c - Rev Rates PGA Nov10'!P10</f>
        <v>13.67</v>
      </c>
      <c r="Q10" s="494">
        <f>'JKP-3.1c - Rev Rates PGA Nov10'!Q10</f>
        <v>13.67</v>
      </c>
      <c r="R10" s="435"/>
      <c r="S10" s="335"/>
    </row>
    <row r="11" spans="1:20" s="415" customFormat="1" x14ac:dyDescent="0.2">
      <c r="B11" s="415" t="s">
        <v>1197</v>
      </c>
      <c r="D11" s="32"/>
      <c r="E11" s="32"/>
      <c r="F11" s="494">
        <f>'JKP-3.1c - Rev Rates PGA Nov10'!F11</f>
        <v>13.08</v>
      </c>
      <c r="G11" s="494">
        <f>'JKP-3.1c - Rev Rates PGA Nov10'!G11</f>
        <v>13.08</v>
      </c>
      <c r="H11" s="494">
        <f>'JKP-3.1c - Rev Rates PGA Nov10'!H11</f>
        <v>13.08</v>
      </c>
      <c r="I11" s="494">
        <f>'JKP-3.1c - Rev Rates PGA Nov10'!I11</f>
        <v>13.08</v>
      </c>
      <c r="J11" s="494">
        <f>'JKP-3.1c - Rev Rates PGA Nov10'!J11</f>
        <v>13.08</v>
      </c>
      <c r="K11" s="494">
        <f>'JKP-3.1c - Rev Rates PGA Nov10'!K11</f>
        <v>13.08</v>
      </c>
      <c r="L11" s="494">
        <f>'JKP-3.1c - Rev Rates PGA Nov10'!L11</f>
        <v>13.08</v>
      </c>
      <c r="M11" s="494">
        <f>'JKP-3.1c - Rev Rates PGA Nov10'!M11</f>
        <v>13.08</v>
      </c>
      <c r="N11" s="494">
        <f>'JKP-3.1c - Rev Rates PGA Nov10'!N11</f>
        <v>13.08</v>
      </c>
      <c r="O11" s="494">
        <f>'JKP-3.1c - Rev Rates PGA Nov10'!O11</f>
        <v>13.08</v>
      </c>
      <c r="P11" s="494">
        <f>'JKP-3.1c - Rev Rates PGA Nov10'!P11</f>
        <v>13.08</v>
      </c>
      <c r="Q11" s="494">
        <f>'JKP-3.1c - Rev Rates PGA Nov10'!Q11</f>
        <v>13.08</v>
      </c>
      <c r="R11" s="435"/>
      <c r="S11" s="335"/>
    </row>
    <row r="12" spans="1:20" s="336" customFormat="1" x14ac:dyDescent="0.2">
      <c r="S12" s="335"/>
      <c r="T12" s="415"/>
    </row>
    <row r="13" spans="1:20" s="336" customFormat="1" x14ac:dyDescent="0.2">
      <c r="B13" s="182" t="s">
        <v>982</v>
      </c>
      <c r="E13" s="415"/>
      <c r="F13" s="415"/>
      <c r="G13" s="415"/>
      <c r="H13" s="415"/>
      <c r="I13" s="415"/>
      <c r="J13" s="415"/>
      <c r="K13" s="415"/>
      <c r="L13" s="415"/>
      <c r="M13" s="415"/>
      <c r="N13" s="415"/>
      <c r="O13" s="415"/>
      <c r="P13" s="415"/>
      <c r="Q13" s="415"/>
      <c r="R13" s="415"/>
      <c r="S13" s="335"/>
      <c r="T13" s="415"/>
    </row>
    <row r="14" spans="1:20" s="336" customFormat="1" x14ac:dyDescent="0.2">
      <c r="B14" s="415" t="s">
        <v>9</v>
      </c>
      <c r="F14" s="478">
        <f>'JKP-3.1c - Data'!C122</f>
        <v>54</v>
      </c>
      <c r="G14" s="478">
        <f>'JKP-3.1c - Data'!D122</f>
        <v>54</v>
      </c>
      <c r="H14" s="478">
        <f>'JKP-3.1c - Data'!E122</f>
        <v>54</v>
      </c>
      <c r="I14" s="478">
        <f>'JKP-3.1c - Data'!F122</f>
        <v>54</v>
      </c>
      <c r="J14" s="478">
        <f>'JKP-3.1c - Data'!G122</f>
        <v>53.999999999999993</v>
      </c>
      <c r="K14" s="478">
        <f>'JKP-3.1c - Data'!H122</f>
        <v>54</v>
      </c>
      <c r="L14" s="478">
        <f>'JKP-3.1c - Data'!I122</f>
        <v>53</v>
      </c>
      <c r="M14" s="478">
        <f>'JKP-3.1c - Data'!J122</f>
        <v>53</v>
      </c>
      <c r="N14" s="478">
        <f>'JKP-3.1c - Data'!K122</f>
        <v>53</v>
      </c>
      <c r="O14" s="478">
        <f>'JKP-3.1c - Data'!L122</f>
        <v>53</v>
      </c>
      <c r="P14" s="478">
        <f>'JKP-3.1c - Data'!M122</f>
        <v>53</v>
      </c>
      <c r="Q14" s="478">
        <f>'JKP-3.1c - Data'!N122</f>
        <v>53</v>
      </c>
      <c r="R14" s="476">
        <f>SUM(F14:Q14)</f>
        <v>642</v>
      </c>
      <c r="S14" s="335"/>
      <c r="T14" s="415"/>
    </row>
    <row r="15" spans="1:20" s="336" customFormat="1" x14ac:dyDescent="0.2">
      <c r="B15" s="415" t="s">
        <v>1052</v>
      </c>
      <c r="E15" s="416">
        <v>19</v>
      </c>
      <c r="F15" s="380"/>
      <c r="G15" s="380"/>
      <c r="H15" s="380"/>
      <c r="I15" s="380"/>
      <c r="J15" s="380"/>
      <c r="K15" s="380"/>
      <c r="L15" s="380"/>
      <c r="M15" s="380"/>
      <c r="N15" s="380"/>
      <c r="O15" s="380"/>
      <c r="P15" s="380"/>
      <c r="Q15" s="380"/>
      <c r="R15" s="378"/>
      <c r="S15" s="335"/>
      <c r="T15" s="415"/>
    </row>
    <row r="16" spans="1:20" s="336" customFormat="1" x14ac:dyDescent="0.2">
      <c r="B16" s="415" t="s">
        <v>1053</v>
      </c>
      <c r="E16" s="416"/>
      <c r="F16" s="378">
        <f t="shared" ref="F16:Q16" si="0">F14*$E$15</f>
        <v>1026</v>
      </c>
      <c r="G16" s="378">
        <f t="shared" si="0"/>
        <v>1026</v>
      </c>
      <c r="H16" s="378">
        <f t="shared" si="0"/>
        <v>1026</v>
      </c>
      <c r="I16" s="378">
        <f t="shared" si="0"/>
        <v>1026</v>
      </c>
      <c r="J16" s="378">
        <f t="shared" si="0"/>
        <v>1025.9999999999998</v>
      </c>
      <c r="K16" s="378">
        <f t="shared" si="0"/>
        <v>1026</v>
      </c>
      <c r="L16" s="378">
        <f t="shared" si="0"/>
        <v>1007</v>
      </c>
      <c r="M16" s="378">
        <f t="shared" si="0"/>
        <v>1007</v>
      </c>
      <c r="N16" s="378">
        <f t="shared" si="0"/>
        <v>1007</v>
      </c>
      <c r="O16" s="378">
        <f t="shared" si="0"/>
        <v>1007</v>
      </c>
      <c r="P16" s="378">
        <f t="shared" si="0"/>
        <v>1007</v>
      </c>
      <c r="Q16" s="378">
        <f t="shared" si="0"/>
        <v>1007</v>
      </c>
      <c r="R16" s="378">
        <f>SUM(F16:Q16)</f>
        <v>12198</v>
      </c>
      <c r="S16" s="335"/>
      <c r="T16" s="415"/>
    </row>
    <row r="17" spans="1:23" s="336" customFormat="1" x14ac:dyDescent="0.2">
      <c r="R17" s="179"/>
      <c r="S17" s="335"/>
      <c r="T17" s="415"/>
    </row>
    <row r="18" spans="1:23" s="336" customFormat="1" x14ac:dyDescent="0.2">
      <c r="B18" s="182" t="s">
        <v>985</v>
      </c>
      <c r="F18" s="415"/>
      <c r="G18" s="415"/>
      <c r="H18" s="415"/>
      <c r="I18" s="415"/>
      <c r="J18" s="415"/>
      <c r="K18" s="415"/>
      <c r="L18" s="415"/>
      <c r="M18" s="415"/>
      <c r="N18" s="415"/>
      <c r="O18" s="415"/>
      <c r="P18" s="415"/>
      <c r="Q18" s="415"/>
      <c r="R18" s="195"/>
      <c r="S18" s="335"/>
      <c r="T18" s="415"/>
    </row>
    <row r="19" spans="1:23" s="336" customFormat="1" x14ac:dyDescent="0.2">
      <c r="A19" s="336" t="s">
        <v>1054</v>
      </c>
      <c r="B19" s="415" t="s">
        <v>1202</v>
      </c>
      <c r="D19" s="415"/>
      <c r="F19" s="340">
        <f t="shared" ref="F19:Q19" si="1">F9*F14</f>
        <v>535.67999999999995</v>
      </c>
      <c r="G19" s="340">
        <f t="shared" si="1"/>
        <v>535.67999999999995</v>
      </c>
      <c r="H19" s="340">
        <f t="shared" si="1"/>
        <v>535.67999999999995</v>
      </c>
      <c r="I19" s="340">
        <f t="shared" si="1"/>
        <v>535.67999999999995</v>
      </c>
      <c r="J19" s="340">
        <f t="shared" si="1"/>
        <v>535.67999999999995</v>
      </c>
      <c r="K19" s="340">
        <f t="shared" si="1"/>
        <v>535.67999999999995</v>
      </c>
      <c r="L19" s="340">
        <f t="shared" si="1"/>
        <v>525.76</v>
      </c>
      <c r="M19" s="340">
        <f t="shared" si="1"/>
        <v>525.76</v>
      </c>
      <c r="N19" s="340">
        <f t="shared" si="1"/>
        <v>525.76</v>
      </c>
      <c r="O19" s="340">
        <f t="shared" si="1"/>
        <v>525.76</v>
      </c>
      <c r="P19" s="340">
        <f t="shared" si="1"/>
        <v>525.76</v>
      </c>
      <c r="Q19" s="340">
        <f t="shared" si="1"/>
        <v>525.76</v>
      </c>
      <c r="R19" s="340">
        <f>SUM(F19:Q19)</f>
        <v>6368.64</v>
      </c>
      <c r="S19" s="335"/>
      <c r="T19" s="415"/>
    </row>
    <row r="20" spans="1:23" s="336" customFormat="1" x14ac:dyDescent="0.2">
      <c r="A20" s="336" t="s">
        <v>1056</v>
      </c>
      <c r="B20" s="415" t="s">
        <v>1057</v>
      </c>
      <c r="D20" s="32">
        <v>101</v>
      </c>
      <c r="F20" s="340">
        <f t="shared" ref="F20:Q20" si="2">F10*F14</f>
        <v>738.18</v>
      </c>
      <c r="G20" s="340">
        <f t="shared" si="2"/>
        <v>738.18</v>
      </c>
      <c r="H20" s="340">
        <f t="shared" si="2"/>
        <v>738.18</v>
      </c>
      <c r="I20" s="340">
        <f t="shared" si="2"/>
        <v>738.18</v>
      </c>
      <c r="J20" s="340">
        <f t="shared" si="2"/>
        <v>738.18</v>
      </c>
      <c r="K20" s="340">
        <f t="shared" si="2"/>
        <v>738.18</v>
      </c>
      <c r="L20" s="340">
        <f t="shared" si="2"/>
        <v>724.51</v>
      </c>
      <c r="M20" s="340">
        <f t="shared" si="2"/>
        <v>724.51</v>
      </c>
      <c r="N20" s="340">
        <f t="shared" si="2"/>
        <v>724.51</v>
      </c>
      <c r="O20" s="340">
        <f t="shared" si="2"/>
        <v>724.51</v>
      </c>
      <c r="P20" s="340">
        <f t="shared" si="2"/>
        <v>724.51</v>
      </c>
      <c r="Q20" s="340">
        <f t="shared" si="2"/>
        <v>724.51</v>
      </c>
      <c r="R20" s="437">
        <f>SUM(F20:Q20)</f>
        <v>8776.1400000000012</v>
      </c>
      <c r="S20" s="335"/>
      <c r="T20" s="415"/>
      <c r="U20" s="415"/>
      <c r="V20" s="415"/>
      <c r="W20" s="415"/>
    </row>
    <row r="21" spans="1:23" s="336" customFormat="1" x14ac:dyDescent="0.2">
      <c r="B21" s="32" t="s">
        <v>986</v>
      </c>
      <c r="F21" s="339">
        <f t="shared" ref="F21:R21" si="3">F19+F20</f>
        <v>1273.8599999999999</v>
      </c>
      <c r="G21" s="339">
        <f t="shared" si="3"/>
        <v>1273.8599999999999</v>
      </c>
      <c r="H21" s="339">
        <f t="shared" si="3"/>
        <v>1273.8599999999999</v>
      </c>
      <c r="I21" s="339">
        <f t="shared" si="3"/>
        <v>1273.8599999999999</v>
      </c>
      <c r="J21" s="339">
        <f t="shared" si="3"/>
        <v>1273.8599999999999</v>
      </c>
      <c r="K21" s="339">
        <f t="shared" si="3"/>
        <v>1273.8599999999999</v>
      </c>
      <c r="L21" s="339">
        <f t="shared" si="3"/>
        <v>1250.27</v>
      </c>
      <c r="M21" s="339">
        <f t="shared" si="3"/>
        <v>1250.27</v>
      </c>
      <c r="N21" s="339">
        <f t="shared" si="3"/>
        <v>1250.27</v>
      </c>
      <c r="O21" s="339">
        <f t="shared" si="3"/>
        <v>1250.27</v>
      </c>
      <c r="P21" s="339">
        <f t="shared" si="3"/>
        <v>1250.27</v>
      </c>
      <c r="Q21" s="339">
        <f t="shared" si="3"/>
        <v>1250.27</v>
      </c>
      <c r="R21" s="339">
        <f t="shared" si="3"/>
        <v>15144.780000000002</v>
      </c>
      <c r="S21" s="335"/>
      <c r="T21" s="340"/>
    </row>
    <row r="22" spans="1:23" x14ac:dyDescent="0.2">
      <c r="D22" s="391"/>
      <c r="E22" s="391"/>
      <c r="F22" s="392"/>
      <c r="G22" s="392"/>
      <c r="H22" s="392"/>
      <c r="I22" s="392"/>
      <c r="J22" s="392"/>
      <c r="K22" s="392"/>
      <c r="L22" s="392"/>
      <c r="M22" s="392"/>
      <c r="N22" s="392"/>
      <c r="O22" s="392"/>
      <c r="P22" s="392"/>
      <c r="Q22" s="392"/>
      <c r="R22" s="391"/>
    </row>
    <row r="23" spans="1:23" x14ac:dyDescent="0.2">
      <c r="A23" s="32" t="s">
        <v>1058</v>
      </c>
      <c r="B23" s="32" t="s">
        <v>1050</v>
      </c>
      <c r="D23" s="391"/>
      <c r="E23" s="391"/>
      <c r="F23" s="340">
        <f>F11*F14</f>
        <v>706.32</v>
      </c>
      <c r="G23" s="340">
        <f t="shared" ref="G23:Q23" si="4">G11*G14</f>
        <v>706.32</v>
      </c>
      <c r="H23" s="340">
        <f t="shared" si="4"/>
        <v>706.32</v>
      </c>
      <c r="I23" s="340">
        <f t="shared" si="4"/>
        <v>706.32</v>
      </c>
      <c r="J23" s="340">
        <f t="shared" si="4"/>
        <v>706.31999999999994</v>
      </c>
      <c r="K23" s="340">
        <f t="shared" si="4"/>
        <v>706.32</v>
      </c>
      <c r="L23" s="340">
        <f t="shared" si="4"/>
        <v>693.24</v>
      </c>
      <c r="M23" s="340">
        <f t="shared" si="4"/>
        <v>693.24</v>
      </c>
      <c r="N23" s="340">
        <f t="shared" si="4"/>
        <v>693.24</v>
      </c>
      <c r="O23" s="340">
        <f t="shared" si="4"/>
        <v>693.24</v>
      </c>
      <c r="P23" s="340">
        <f t="shared" si="4"/>
        <v>693.24</v>
      </c>
      <c r="Q23" s="340">
        <f t="shared" si="4"/>
        <v>693.24</v>
      </c>
      <c r="R23" s="438">
        <f>SUM(F23:Q23)</f>
        <v>8397.3599999999988</v>
      </c>
    </row>
    <row r="24" spans="1:23" x14ac:dyDescent="0.2">
      <c r="D24" s="391"/>
      <c r="E24" s="391"/>
      <c r="F24" s="392"/>
      <c r="G24" s="392"/>
      <c r="H24" s="392"/>
      <c r="I24" s="392"/>
      <c r="J24" s="392"/>
      <c r="K24" s="392"/>
      <c r="L24" s="392"/>
      <c r="M24" s="392"/>
      <c r="N24" s="392"/>
      <c r="O24" s="392"/>
      <c r="P24" s="392"/>
      <c r="Q24" s="392"/>
      <c r="R24" s="391"/>
    </row>
    <row r="25" spans="1:23" x14ac:dyDescent="0.2">
      <c r="B25" s="276" t="s">
        <v>953</v>
      </c>
      <c r="C25" s="276"/>
    </row>
    <row r="26" spans="1:23" x14ac:dyDescent="0.2">
      <c r="B26" s="276" t="s">
        <v>5</v>
      </c>
      <c r="C26" s="276"/>
    </row>
    <row r="27" spans="1:23" x14ac:dyDescent="0.2">
      <c r="B27" s="32" t="s">
        <v>1059</v>
      </c>
      <c r="D27" s="32">
        <v>23</v>
      </c>
      <c r="E27" s="32" t="s">
        <v>976</v>
      </c>
      <c r="F27" s="414">
        <v>10</v>
      </c>
      <c r="G27" s="414">
        <v>10</v>
      </c>
      <c r="H27" s="414">
        <v>10</v>
      </c>
      <c r="I27" s="414">
        <v>10</v>
      </c>
      <c r="J27" s="414">
        <v>10</v>
      </c>
      <c r="K27" s="414">
        <v>10</v>
      </c>
      <c r="L27" s="414">
        <v>10</v>
      </c>
      <c r="M27" s="414">
        <v>10</v>
      </c>
      <c r="N27" s="414">
        <v>10</v>
      </c>
      <c r="O27" s="414">
        <v>10</v>
      </c>
      <c r="P27" s="414">
        <v>10</v>
      </c>
      <c r="Q27" s="414">
        <v>10</v>
      </c>
      <c r="R27" s="439"/>
    </row>
    <row r="28" spans="1:23" x14ac:dyDescent="0.2">
      <c r="B28" s="32" t="s">
        <v>1047</v>
      </c>
      <c r="D28" s="32">
        <v>23</v>
      </c>
      <c r="E28" s="32" t="s">
        <v>957</v>
      </c>
      <c r="F28" s="515">
        <v>0.37372</v>
      </c>
      <c r="G28" s="515">
        <v>0.37372</v>
      </c>
      <c r="H28" s="515">
        <v>0.37372</v>
      </c>
      <c r="I28" s="515">
        <v>0.37372</v>
      </c>
      <c r="J28" s="515">
        <v>0.37372</v>
      </c>
      <c r="K28" s="515">
        <v>0.37372</v>
      </c>
      <c r="L28" s="515">
        <v>0.37372</v>
      </c>
      <c r="M28" s="515">
        <v>0.37372</v>
      </c>
      <c r="N28" s="515">
        <v>0.37372</v>
      </c>
      <c r="O28" s="515">
        <v>0.37372</v>
      </c>
      <c r="P28" s="515">
        <v>0.37372</v>
      </c>
      <c r="Q28" s="515">
        <v>0.37372</v>
      </c>
      <c r="R28" s="394"/>
    </row>
    <row r="29" spans="1:23" x14ac:dyDescent="0.2">
      <c r="B29" s="415" t="s">
        <v>1067</v>
      </c>
      <c r="D29" s="32">
        <v>101</v>
      </c>
      <c r="E29" s="32" t="s">
        <v>957</v>
      </c>
      <c r="F29" s="495">
        <f>'JKP-3.1c - Rev Rates PGA Nov10'!F29</f>
        <v>0.71972999999999998</v>
      </c>
      <c r="G29" s="495">
        <f>'JKP-3.1c - Rev Rates PGA Nov10'!G29</f>
        <v>0.71972999999999998</v>
      </c>
      <c r="H29" s="495">
        <f>'JKP-3.1c - Rev Rates PGA Nov10'!H29</f>
        <v>0.71972999999999998</v>
      </c>
      <c r="I29" s="495">
        <f>'JKP-3.1c - Rev Rates PGA Nov10'!I29</f>
        <v>0.71972999999999998</v>
      </c>
      <c r="J29" s="495">
        <f>'JKP-3.1c - Rev Rates PGA Nov10'!J29</f>
        <v>0.71972999999999998</v>
      </c>
      <c r="K29" s="495">
        <f>'JKP-3.1c - Rev Rates PGA Nov10'!K29</f>
        <v>0.71972999999999998</v>
      </c>
      <c r="L29" s="495">
        <f>'JKP-3.1c - Rev Rates PGA Nov10'!L29</f>
        <v>0.71972999999999998</v>
      </c>
      <c r="M29" s="495">
        <f>'JKP-3.1c - Rev Rates PGA Nov10'!M29</f>
        <v>0.71972999999999998</v>
      </c>
      <c r="N29" s="495">
        <f>'JKP-3.1c - Rev Rates PGA Nov10'!N29</f>
        <v>0.71972999999999998</v>
      </c>
      <c r="O29" s="495">
        <f>'JKP-3.1c - Rev Rates PGA Nov10'!O29</f>
        <v>0.71972999999999998</v>
      </c>
      <c r="P29" s="495">
        <f>'JKP-3.1c - Rev Rates PGA Nov10'!P29</f>
        <v>0.71972999999999998</v>
      </c>
      <c r="Q29" s="495">
        <f>'JKP-3.1c - Rev Rates PGA Nov10'!Q29</f>
        <v>0.71972999999999998</v>
      </c>
      <c r="R29" s="394"/>
    </row>
    <row r="30" spans="1:23" x14ac:dyDescent="0.2">
      <c r="B30" s="415" t="s">
        <v>1197</v>
      </c>
      <c r="F30" s="495">
        <f>'JKP-3.1c - Rev Rates PGA Nov10'!F30</f>
        <v>0.68861000000000006</v>
      </c>
      <c r="G30" s="495">
        <f>'JKP-3.1c - Rev Rates PGA Nov10'!G30</f>
        <v>0.68861000000000006</v>
      </c>
      <c r="H30" s="495">
        <f>'JKP-3.1c - Rev Rates PGA Nov10'!H30</f>
        <v>0.68861000000000006</v>
      </c>
      <c r="I30" s="495">
        <f>'JKP-3.1c - Rev Rates PGA Nov10'!I30</f>
        <v>0.68861000000000006</v>
      </c>
      <c r="J30" s="495">
        <f>'JKP-3.1c - Rev Rates PGA Nov10'!J30</f>
        <v>0.68861000000000006</v>
      </c>
      <c r="K30" s="495">
        <f>'JKP-3.1c - Rev Rates PGA Nov10'!K30</f>
        <v>0.68861000000000006</v>
      </c>
      <c r="L30" s="495">
        <f>'JKP-3.1c - Rev Rates PGA Nov10'!L30</f>
        <v>0.68861000000000006</v>
      </c>
      <c r="M30" s="495">
        <f>'JKP-3.1c - Rev Rates PGA Nov10'!M30</f>
        <v>0.68861000000000006</v>
      </c>
      <c r="N30" s="495">
        <f>'JKP-3.1c - Rev Rates PGA Nov10'!N30</f>
        <v>0.68861000000000006</v>
      </c>
      <c r="O30" s="495">
        <f>'JKP-3.1c - Rev Rates PGA Nov10'!O30</f>
        <v>0.68861000000000006</v>
      </c>
      <c r="P30" s="495">
        <f>'JKP-3.1c - Rev Rates PGA Nov10'!P30</f>
        <v>0.68861000000000006</v>
      </c>
      <c r="Q30" s="495">
        <f>'JKP-3.1c - Rev Rates PGA Nov10'!Q30</f>
        <v>0.68861000000000006</v>
      </c>
      <c r="R30" s="394"/>
    </row>
    <row r="32" spans="1:23" x14ac:dyDescent="0.2">
      <c r="B32" s="276" t="s">
        <v>982</v>
      </c>
    </row>
    <row r="33" spans="1:20" x14ac:dyDescent="0.2">
      <c r="B33" s="32" t="s">
        <v>67</v>
      </c>
      <c r="E33" s="32" t="s">
        <v>67</v>
      </c>
      <c r="F33" s="397">
        <f>'JKP-3.1c - Data'!C138</f>
        <v>699965</v>
      </c>
      <c r="G33" s="397">
        <f>'JKP-3.1c - Data'!D138</f>
        <v>701215</v>
      </c>
      <c r="H33" s="397">
        <f>'JKP-3.1c - Data'!E138</f>
        <v>702257</v>
      </c>
      <c r="I33" s="397">
        <f>'JKP-3.1c - Data'!F138</f>
        <v>702573</v>
      </c>
      <c r="J33" s="397">
        <f>'JKP-3.1c - Data'!G138</f>
        <v>703246</v>
      </c>
      <c r="K33" s="397">
        <f>'JKP-3.1c - Data'!H138</f>
        <v>704366</v>
      </c>
      <c r="L33" s="397">
        <f>'JKP-3.1c - Data'!I138</f>
        <v>704758</v>
      </c>
      <c r="M33" s="397">
        <f>'JKP-3.1c - Data'!J138</f>
        <v>703964</v>
      </c>
      <c r="N33" s="397">
        <f>'JKP-3.1c - Data'!K138</f>
        <v>705153</v>
      </c>
      <c r="O33" s="397">
        <f>'JKP-3.1c - Data'!L138</f>
        <v>704137</v>
      </c>
      <c r="P33" s="397">
        <f>'JKP-3.1c - Data'!M138</f>
        <v>704666</v>
      </c>
      <c r="Q33" s="397">
        <f>'JKP-3.1c - Data'!N138</f>
        <v>705036</v>
      </c>
      <c r="R33" s="398">
        <f>SUM(F33:Q33)</f>
        <v>8441336</v>
      </c>
    </row>
    <row r="34" spans="1:20" x14ac:dyDescent="0.2">
      <c r="B34" s="32" t="s">
        <v>76</v>
      </c>
      <c r="E34" s="32" t="s">
        <v>10</v>
      </c>
      <c r="F34" s="397">
        <f>'JKP-3.1c - Rev Actual Rates'!F45</f>
        <v>71187692</v>
      </c>
      <c r="G34" s="397">
        <f>'JKP-3.1c - Rev Actual Rates'!G45</f>
        <v>58357925</v>
      </c>
      <c r="H34" s="397">
        <f>'JKP-3.1c - Rev Actual Rates'!H45</f>
        <v>59215201</v>
      </c>
      <c r="I34" s="397">
        <f>'JKP-3.1c - Rev Actual Rates'!I45</f>
        <v>46508498</v>
      </c>
      <c r="J34" s="397">
        <f>'JKP-3.1c - Rev Actual Rates'!J45</f>
        <v>33382131</v>
      </c>
      <c r="K34" s="397">
        <f>'JKP-3.1c - Rev Actual Rates'!K45</f>
        <v>21957138</v>
      </c>
      <c r="L34" s="397">
        <f>'JKP-3.1c - Rev Actual Rates'!L45</f>
        <v>15080375</v>
      </c>
      <c r="M34" s="397">
        <f>'JKP-3.1c - Rev Actual Rates'!M45</f>
        <v>14189236</v>
      </c>
      <c r="N34" s="397">
        <f>'JKP-3.1c - Rev Actual Rates'!N45</f>
        <v>18121975</v>
      </c>
      <c r="O34" s="397">
        <f>'JKP-3.1c - Rev Actual Rates'!O45</f>
        <v>36524174</v>
      </c>
      <c r="P34" s="397">
        <f>'JKP-3.1c - Rev Actual Rates'!P45</f>
        <v>67472591</v>
      </c>
      <c r="Q34" s="397">
        <f>'JKP-3.1c - Rev Actual Rates'!Q45</f>
        <v>84734325</v>
      </c>
      <c r="R34" s="398">
        <f>SUM(F34:Q34)</f>
        <v>526731261</v>
      </c>
    </row>
    <row r="35" spans="1:20" x14ac:dyDescent="0.2">
      <c r="R35" s="277"/>
    </row>
    <row r="36" spans="1:20" x14ac:dyDescent="0.2">
      <c r="B36" s="276" t="s">
        <v>985</v>
      </c>
      <c r="R36" s="277"/>
    </row>
    <row r="37" spans="1:20" x14ac:dyDescent="0.2">
      <c r="A37" s="32" t="s">
        <v>1054</v>
      </c>
      <c r="B37" s="32" t="s">
        <v>1059</v>
      </c>
      <c r="D37" s="32">
        <v>23</v>
      </c>
      <c r="F37" s="364">
        <f t="shared" ref="F37:Q38" si="5">ROUND(F27*F33,0)</f>
        <v>6999650</v>
      </c>
      <c r="G37" s="364">
        <f t="shared" si="5"/>
        <v>7012150</v>
      </c>
      <c r="H37" s="364">
        <f t="shared" si="5"/>
        <v>7022570</v>
      </c>
      <c r="I37" s="364">
        <f t="shared" si="5"/>
        <v>7025730</v>
      </c>
      <c r="J37" s="364">
        <f t="shared" si="5"/>
        <v>7032460</v>
      </c>
      <c r="K37" s="364">
        <f t="shared" si="5"/>
        <v>7043660</v>
      </c>
      <c r="L37" s="364">
        <f t="shared" si="5"/>
        <v>7047580</v>
      </c>
      <c r="M37" s="364">
        <f t="shared" si="5"/>
        <v>7039640</v>
      </c>
      <c r="N37" s="364">
        <f t="shared" si="5"/>
        <v>7051530</v>
      </c>
      <c r="O37" s="364">
        <f t="shared" si="5"/>
        <v>7041370</v>
      </c>
      <c r="P37" s="364">
        <f t="shared" si="5"/>
        <v>7046660</v>
      </c>
      <c r="Q37" s="364">
        <f t="shared" si="5"/>
        <v>7050360</v>
      </c>
      <c r="R37" s="341">
        <f>SUM(F37:Q37)</f>
        <v>84413360</v>
      </c>
    </row>
    <row r="38" spans="1:20" x14ac:dyDescent="0.2">
      <c r="A38" s="32" t="s">
        <v>1054</v>
      </c>
      <c r="B38" s="32" t="s">
        <v>1047</v>
      </c>
      <c r="D38" s="32">
        <v>23</v>
      </c>
      <c r="F38" s="364">
        <f t="shared" si="5"/>
        <v>26604264</v>
      </c>
      <c r="G38" s="364">
        <f t="shared" si="5"/>
        <v>21809524</v>
      </c>
      <c r="H38" s="364">
        <f t="shared" si="5"/>
        <v>22129905</v>
      </c>
      <c r="I38" s="364">
        <f t="shared" si="5"/>
        <v>17381156</v>
      </c>
      <c r="J38" s="364">
        <f t="shared" si="5"/>
        <v>12475570</v>
      </c>
      <c r="K38" s="364">
        <f t="shared" si="5"/>
        <v>8205822</v>
      </c>
      <c r="L38" s="364">
        <f t="shared" si="5"/>
        <v>5635838</v>
      </c>
      <c r="M38" s="364">
        <f t="shared" si="5"/>
        <v>5302801</v>
      </c>
      <c r="N38" s="364">
        <f t="shared" si="5"/>
        <v>6772544</v>
      </c>
      <c r="O38" s="364">
        <f t="shared" si="5"/>
        <v>13649814</v>
      </c>
      <c r="P38" s="364">
        <f t="shared" si="5"/>
        <v>25215857</v>
      </c>
      <c r="Q38" s="364">
        <f t="shared" si="5"/>
        <v>31666912</v>
      </c>
      <c r="R38" s="341">
        <f>SUM(F38:Q38)</f>
        <v>196850007</v>
      </c>
    </row>
    <row r="39" spans="1:20" x14ac:dyDescent="0.2">
      <c r="A39" s="336" t="s">
        <v>1056</v>
      </c>
      <c r="B39" s="415" t="s">
        <v>1057</v>
      </c>
      <c r="D39" s="32">
        <v>101</v>
      </c>
      <c r="F39" s="364">
        <f t="shared" ref="F39:Q39" si="6">ROUND(F29*F34,0)</f>
        <v>51235918</v>
      </c>
      <c r="G39" s="364">
        <f t="shared" si="6"/>
        <v>42001949</v>
      </c>
      <c r="H39" s="364">
        <f t="shared" si="6"/>
        <v>42618957</v>
      </c>
      <c r="I39" s="364">
        <f t="shared" si="6"/>
        <v>33473561</v>
      </c>
      <c r="J39" s="364">
        <f t="shared" si="6"/>
        <v>24026121</v>
      </c>
      <c r="K39" s="364">
        <f t="shared" si="6"/>
        <v>15803211</v>
      </c>
      <c r="L39" s="364">
        <f t="shared" si="6"/>
        <v>10853798</v>
      </c>
      <c r="M39" s="364">
        <f t="shared" si="6"/>
        <v>10212419</v>
      </c>
      <c r="N39" s="364">
        <f t="shared" si="6"/>
        <v>13042929</v>
      </c>
      <c r="O39" s="364">
        <f t="shared" si="6"/>
        <v>26287544</v>
      </c>
      <c r="P39" s="364">
        <f t="shared" si="6"/>
        <v>48562048</v>
      </c>
      <c r="Q39" s="364">
        <f t="shared" si="6"/>
        <v>60985836</v>
      </c>
      <c r="R39" s="341">
        <f>SUM(F39:Q39)</f>
        <v>379104291</v>
      </c>
    </row>
    <row r="40" spans="1:20" x14ac:dyDescent="0.2">
      <c r="B40" s="32" t="s">
        <v>986</v>
      </c>
      <c r="F40" s="365">
        <f t="shared" ref="F40:R40" si="7">F37+F38+F39</f>
        <v>84839832</v>
      </c>
      <c r="G40" s="365">
        <f t="shared" si="7"/>
        <v>70823623</v>
      </c>
      <c r="H40" s="365">
        <f t="shared" si="7"/>
        <v>71771432</v>
      </c>
      <c r="I40" s="365">
        <f t="shared" si="7"/>
        <v>57880447</v>
      </c>
      <c r="J40" s="365">
        <f t="shared" si="7"/>
        <v>43534151</v>
      </c>
      <c r="K40" s="365">
        <f t="shared" si="7"/>
        <v>31052693</v>
      </c>
      <c r="L40" s="365">
        <f t="shared" si="7"/>
        <v>23537216</v>
      </c>
      <c r="M40" s="365">
        <f t="shared" si="7"/>
        <v>22554860</v>
      </c>
      <c r="N40" s="365">
        <f t="shared" si="7"/>
        <v>26867003</v>
      </c>
      <c r="O40" s="365">
        <f t="shared" si="7"/>
        <v>46978728</v>
      </c>
      <c r="P40" s="365">
        <f t="shared" si="7"/>
        <v>80824565</v>
      </c>
      <c r="Q40" s="365">
        <f t="shared" si="7"/>
        <v>99703108</v>
      </c>
      <c r="R40" s="365">
        <f t="shared" si="7"/>
        <v>660367658</v>
      </c>
      <c r="T40" s="340"/>
    </row>
    <row r="42" spans="1:20" x14ac:dyDescent="0.2">
      <c r="A42" s="32" t="s">
        <v>1058</v>
      </c>
      <c r="B42" s="32" t="s">
        <v>1050</v>
      </c>
      <c r="F42" s="364">
        <f>F30*F34</f>
        <v>49020556.588120006</v>
      </c>
      <c r="G42" s="364">
        <f t="shared" ref="G42:Q42" si="8">G30*G34</f>
        <v>40185850.734250002</v>
      </c>
      <c r="H42" s="364">
        <f t="shared" si="8"/>
        <v>40776179.560610004</v>
      </c>
      <c r="I42" s="364">
        <f t="shared" si="8"/>
        <v>32026216.807780001</v>
      </c>
      <c r="J42" s="364">
        <f t="shared" si="8"/>
        <v>22987269.227910001</v>
      </c>
      <c r="K42" s="364">
        <f t="shared" si="8"/>
        <v>15119904.798180001</v>
      </c>
      <c r="L42" s="364">
        <f t="shared" si="8"/>
        <v>10384497.028750001</v>
      </c>
      <c r="M42" s="364">
        <f t="shared" si="8"/>
        <v>9770849.8019600008</v>
      </c>
      <c r="N42" s="364">
        <f t="shared" si="8"/>
        <v>12478973.204750001</v>
      </c>
      <c r="O42" s="364">
        <f t="shared" si="8"/>
        <v>25150911.458140001</v>
      </c>
      <c r="P42" s="364">
        <f t="shared" si="8"/>
        <v>46462300.888510004</v>
      </c>
      <c r="Q42" s="364">
        <f t="shared" si="8"/>
        <v>58348903.538250007</v>
      </c>
      <c r="R42" s="364">
        <f>SUM(F42:Q42)</f>
        <v>362712413.63721007</v>
      </c>
    </row>
    <row r="44" spans="1:20" x14ac:dyDescent="0.2">
      <c r="B44" s="276" t="s">
        <v>1060</v>
      </c>
      <c r="C44" s="276"/>
      <c r="R44" s="364"/>
    </row>
    <row r="45" spans="1:20" x14ac:dyDescent="0.2">
      <c r="B45" s="276" t="s">
        <v>5</v>
      </c>
      <c r="C45" s="276"/>
      <c r="R45" s="364"/>
    </row>
    <row r="46" spans="1:20" x14ac:dyDescent="0.2">
      <c r="B46" s="32" t="s">
        <v>1059</v>
      </c>
      <c r="D46" s="32">
        <v>53</v>
      </c>
      <c r="E46" s="32" t="s">
        <v>976</v>
      </c>
      <c r="F46" s="414">
        <v>10</v>
      </c>
      <c r="G46" s="414">
        <v>10</v>
      </c>
      <c r="H46" s="414">
        <v>10</v>
      </c>
      <c r="I46" s="414">
        <v>10</v>
      </c>
      <c r="J46" s="414">
        <v>10</v>
      </c>
      <c r="K46" s="414">
        <v>10</v>
      </c>
      <c r="L46" s="414">
        <v>10</v>
      </c>
      <c r="M46" s="414">
        <v>10</v>
      </c>
      <c r="N46" s="414">
        <v>10</v>
      </c>
      <c r="O46" s="414">
        <v>10</v>
      </c>
      <c r="P46" s="414">
        <v>10</v>
      </c>
      <c r="Q46" s="414">
        <v>10</v>
      </c>
      <c r="R46" s="439"/>
    </row>
    <row r="47" spans="1:20" x14ac:dyDescent="0.2">
      <c r="B47" s="32" t="s">
        <v>1047</v>
      </c>
      <c r="D47" s="32">
        <v>53</v>
      </c>
      <c r="E47" s="32" t="s">
        <v>957</v>
      </c>
      <c r="F47" s="395">
        <v>0.37372</v>
      </c>
      <c r="G47" s="395">
        <v>0.37372</v>
      </c>
      <c r="H47" s="395">
        <v>0.37372</v>
      </c>
      <c r="I47" s="395">
        <v>0.37372</v>
      </c>
      <c r="J47" s="395">
        <v>0.37372</v>
      </c>
      <c r="K47" s="395">
        <v>0.37372</v>
      </c>
      <c r="L47" s="395">
        <v>0.37372</v>
      </c>
      <c r="M47" s="395">
        <v>0.37372</v>
      </c>
      <c r="N47" s="395">
        <v>0.37372</v>
      </c>
      <c r="O47" s="395">
        <v>0.37372</v>
      </c>
      <c r="P47" s="395">
        <v>0.37372</v>
      </c>
      <c r="Q47" s="395">
        <v>0.37372</v>
      </c>
      <c r="R47" s="394"/>
    </row>
    <row r="48" spans="1:20" s="336" customFormat="1" x14ac:dyDescent="0.2">
      <c r="B48" s="415" t="s">
        <v>1198</v>
      </c>
      <c r="D48" s="336">
        <v>101</v>
      </c>
      <c r="E48" s="336" t="s">
        <v>957</v>
      </c>
      <c r="F48" s="440">
        <v>4.0064099999999998</v>
      </c>
      <c r="G48" s="440">
        <v>4.0064099999999998</v>
      </c>
      <c r="H48" s="440">
        <v>4.0064099999999998</v>
      </c>
      <c r="I48" s="440">
        <v>4.0064099999999998</v>
      </c>
      <c r="J48" s="440">
        <v>4.0064099999999998</v>
      </c>
      <c r="K48" s="440">
        <v>4.0064099999999998</v>
      </c>
      <c r="L48" s="440">
        <v>4.0064099999999998</v>
      </c>
      <c r="M48" s="440">
        <v>4.0064099999999998</v>
      </c>
      <c r="N48" s="440">
        <v>4.0064099999999998</v>
      </c>
      <c r="O48" s="440">
        <v>4.0064099999999998</v>
      </c>
      <c r="P48" s="440">
        <v>4.0064099999999998</v>
      </c>
      <c r="Q48" s="440">
        <v>4.0064099999999998</v>
      </c>
      <c r="R48" s="441"/>
      <c r="S48" s="335"/>
      <c r="T48" s="415"/>
    </row>
    <row r="49" spans="1:20" x14ac:dyDescent="0.2">
      <c r="B49" s="415"/>
    </row>
    <row r="50" spans="1:20" x14ac:dyDescent="0.2">
      <c r="B50" s="276" t="s">
        <v>982</v>
      </c>
    </row>
    <row r="51" spans="1:20" x14ac:dyDescent="0.2">
      <c r="B51" s="32" t="s">
        <v>67</v>
      </c>
      <c r="E51" s="32" t="s">
        <v>67</v>
      </c>
      <c r="F51" s="397">
        <f>'JKP-3.1c - Data'!C145</f>
        <v>5</v>
      </c>
      <c r="G51" s="397">
        <f>'JKP-3.1c - Data'!D145</f>
        <v>5</v>
      </c>
      <c r="H51" s="397">
        <f>'JKP-3.1c - Data'!E145</f>
        <v>5</v>
      </c>
      <c r="I51" s="397">
        <f>'JKP-3.1c - Data'!F145</f>
        <v>5</v>
      </c>
      <c r="J51" s="397">
        <f>'JKP-3.1c - Data'!G145</f>
        <v>5</v>
      </c>
      <c r="K51" s="397">
        <f>'JKP-3.1c - Data'!H145</f>
        <v>5</v>
      </c>
      <c r="L51" s="397">
        <f>'JKP-3.1c - Data'!I145</f>
        <v>6</v>
      </c>
      <c r="M51" s="397">
        <f>'JKP-3.1c - Data'!J145</f>
        <v>6</v>
      </c>
      <c r="N51" s="397">
        <f>'JKP-3.1c - Data'!K145</f>
        <v>5</v>
      </c>
      <c r="O51" s="397">
        <f>'JKP-3.1c - Data'!L145</f>
        <v>5</v>
      </c>
      <c r="P51" s="397">
        <f>'JKP-3.1c - Data'!M145</f>
        <v>5</v>
      </c>
      <c r="Q51" s="397">
        <f>'JKP-3.1c - Data'!N145</f>
        <v>4</v>
      </c>
      <c r="R51" s="378">
        <f>SUM(F51:Q51)</f>
        <v>61</v>
      </c>
    </row>
    <row r="52" spans="1:20" x14ac:dyDescent="0.2">
      <c r="B52" s="32" t="s">
        <v>76</v>
      </c>
      <c r="E52" s="32" t="s">
        <v>10</v>
      </c>
      <c r="F52" s="397">
        <f>'JKP-3.1c - Rev Actual Rates'!F63</f>
        <v>205</v>
      </c>
      <c r="G52" s="397">
        <f>'JKP-3.1c - Rev Actual Rates'!G63</f>
        <v>216</v>
      </c>
      <c r="H52" s="397">
        <f>'JKP-3.1c - Rev Actual Rates'!H63</f>
        <v>301</v>
      </c>
      <c r="I52" s="397">
        <f>'JKP-3.1c - Rev Actual Rates'!I63</f>
        <v>219</v>
      </c>
      <c r="J52" s="397">
        <f>'JKP-3.1c - Rev Actual Rates'!J63</f>
        <v>145</v>
      </c>
      <c r="K52" s="397">
        <f>'JKP-3.1c - Rev Actual Rates'!K63</f>
        <v>107</v>
      </c>
      <c r="L52" s="397">
        <f>'JKP-3.1c - Rev Actual Rates'!L63</f>
        <v>89</v>
      </c>
      <c r="M52" s="397">
        <f>'JKP-3.1c - Rev Actual Rates'!M63</f>
        <v>86</v>
      </c>
      <c r="N52" s="397">
        <f>'JKP-3.1c - Rev Actual Rates'!N63</f>
        <v>84</v>
      </c>
      <c r="O52" s="397">
        <f>'JKP-3.1c - Rev Actual Rates'!O63</f>
        <v>160</v>
      </c>
      <c r="P52" s="397">
        <f>'JKP-3.1c - Rev Actual Rates'!P63</f>
        <v>222</v>
      </c>
      <c r="Q52" s="397">
        <f>'JKP-3.1c - Rev Actual Rates'!Q63</f>
        <v>280</v>
      </c>
      <c r="R52" s="378">
        <f>SUM(F52:Q52)</f>
        <v>2114</v>
      </c>
    </row>
    <row r="53" spans="1:20" x14ac:dyDescent="0.2">
      <c r="R53" s="277"/>
    </row>
    <row r="54" spans="1:20" x14ac:dyDescent="0.2">
      <c r="B54" s="276" t="s">
        <v>985</v>
      </c>
      <c r="R54" s="277"/>
    </row>
    <row r="55" spans="1:20" x14ac:dyDescent="0.2">
      <c r="A55" s="32" t="s">
        <v>1054</v>
      </c>
      <c r="B55" s="32" t="s">
        <v>1059</v>
      </c>
      <c r="D55" s="32">
        <v>53</v>
      </c>
      <c r="F55" s="364">
        <f t="shared" ref="F55:Q56" si="9">F46*F51</f>
        <v>50</v>
      </c>
      <c r="G55" s="364">
        <f t="shared" si="9"/>
        <v>50</v>
      </c>
      <c r="H55" s="364">
        <f t="shared" si="9"/>
        <v>50</v>
      </c>
      <c r="I55" s="364">
        <f t="shared" si="9"/>
        <v>50</v>
      </c>
      <c r="J55" s="364">
        <f t="shared" si="9"/>
        <v>50</v>
      </c>
      <c r="K55" s="364">
        <f t="shared" si="9"/>
        <v>50</v>
      </c>
      <c r="L55" s="364">
        <f t="shared" si="9"/>
        <v>60</v>
      </c>
      <c r="M55" s="364">
        <f t="shared" si="9"/>
        <v>60</v>
      </c>
      <c r="N55" s="364">
        <f t="shared" si="9"/>
        <v>50</v>
      </c>
      <c r="O55" s="364">
        <f t="shared" si="9"/>
        <v>50</v>
      </c>
      <c r="P55" s="364">
        <f t="shared" si="9"/>
        <v>50</v>
      </c>
      <c r="Q55" s="364">
        <f t="shared" si="9"/>
        <v>40</v>
      </c>
      <c r="R55" s="341">
        <f>SUM(F55:Q55)</f>
        <v>610</v>
      </c>
    </row>
    <row r="56" spans="1:20" x14ac:dyDescent="0.2">
      <c r="A56" s="32" t="s">
        <v>1054</v>
      </c>
      <c r="B56" s="32" t="s">
        <v>1047</v>
      </c>
      <c r="D56" s="32">
        <v>53</v>
      </c>
      <c r="F56" s="364">
        <f t="shared" si="9"/>
        <v>76.6126</v>
      </c>
      <c r="G56" s="364">
        <f t="shared" si="9"/>
        <v>80.723519999999994</v>
      </c>
      <c r="H56" s="364">
        <f t="shared" si="9"/>
        <v>112.48972000000001</v>
      </c>
      <c r="I56" s="364">
        <f t="shared" si="9"/>
        <v>81.844679999999997</v>
      </c>
      <c r="J56" s="364">
        <f t="shared" si="9"/>
        <v>54.189399999999999</v>
      </c>
      <c r="K56" s="364">
        <f t="shared" si="9"/>
        <v>39.988039999999998</v>
      </c>
      <c r="L56" s="364">
        <f t="shared" si="9"/>
        <v>33.26108</v>
      </c>
      <c r="M56" s="364">
        <f t="shared" si="9"/>
        <v>32.139919999999996</v>
      </c>
      <c r="N56" s="364">
        <f t="shared" si="9"/>
        <v>31.392479999999999</v>
      </c>
      <c r="O56" s="364">
        <f t="shared" si="9"/>
        <v>59.795200000000001</v>
      </c>
      <c r="P56" s="364">
        <f t="shared" si="9"/>
        <v>82.96584</v>
      </c>
      <c r="Q56" s="364">
        <f t="shared" si="9"/>
        <v>104.6416</v>
      </c>
      <c r="R56" s="341">
        <f>SUM(F56:Q56)</f>
        <v>790.04408000000001</v>
      </c>
    </row>
    <row r="57" spans="1:20" x14ac:dyDescent="0.2">
      <c r="A57" s="32" t="s">
        <v>1056</v>
      </c>
      <c r="B57" s="32" t="s">
        <v>1061</v>
      </c>
      <c r="D57" s="32">
        <v>101</v>
      </c>
      <c r="F57" s="364">
        <f t="shared" ref="F57:Q57" si="10">F48*F52</f>
        <v>821.31404999999995</v>
      </c>
      <c r="G57" s="364">
        <f t="shared" si="10"/>
        <v>865.38455999999996</v>
      </c>
      <c r="H57" s="364">
        <f t="shared" si="10"/>
        <v>1205.92941</v>
      </c>
      <c r="I57" s="364">
        <f t="shared" si="10"/>
        <v>877.40378999999996</v>
      </c>
      <c r="J57" s="364">
        <f t="shared" si="10"/>
        <v>580.92944999999997</v>
      </c>
      <c r="K57" s="364">
        <f t="shared" si="10"/>
        <v>428.68586999999997</v>
      </c>
      <c r="L57" s="364">
        <f t="shared" si="10"/>
        <v>356.57049000000001</v>
      </c>
      <c r="M57" s="364">
        <f t="shared" si="10"/>
        <v>344.55125999999996</v>
      </c>
      <c r="N57" s="364">
        <f t="shared" si="10"/>
        <v>336.53843999999998</v>
      </c>
      <c r="O57" s="364">
        <f t="shared" si="10"/>
        <v>641.02559999999994</v>
      </c>
      <c r="P57" s="364">
        <f t="shared" si="10"/>
        <v>889.42301999999995</v>
      </c>
      <c r="Q57" s="364">
        <f t="shared" si="10"/>
        <v>1121.7947999999999</v>
      </c>
      <c r="R57" s="341">
        <f>SUM(F57:Q57)</f>
        <v>8469.5507400000006</v>
      </c>
      <c r="S57" s="438"/>
    </row>
    <row r="58" spans="1:20" x14ac:dyDescent="0.2">
      <c r="B58" s="32" t="s">
        <v>986</v>
      </c>
      <c r="F58" s="365">
        <f t="shared" ref="F58:R58" si="11">F55+F56+F57</f>
        <v>947.92665</v>
      </c>
      <c r="G58" s="365">
        <f t="shared" si="11"/>
        <v>996.10807999999997</v>
      </c>
      <c r="H58" s="365">
        <f t="shared" si="11"/>
        <v>1368.41913</v>
      </c>
      <c r="I58" s="365">
        <f t="shared" si="11"/>
        <v>1009.24847</v>
      </c>
      <c r="J58" s="365">
        <f t="shared" si="11"/>
        <v>685.11884999999995</v>
      </c>
      <c r="K58" s="365">
        <f t="shared" si="11"/>
        <v>518.67390999999998</v>
      </c>
      <c r="L58" s="365">
        <f t="shared" si="11"/>
        <v>449.83157</v>
      </c>
      <c r="M58" s="365">
        <f t="shared" si="11"/>
        <v>436.69117999999992</v>
      </c>
      <c r="N58" s="365">
        <f t="shared" si="11"/>
        <v>417.93092000000001</v>
      </c>
      <c r="O58" s="365">
        <f t="shared" si="11"/>
        <v>750.82079999999996</v>
      </c>
      <c r="P58" s="365">
        <f t="shared" si="11"/>
        <v>1022.38886</v>
      </c>
      <c r="Q58" s="365">
        <f t="shared" si="11"/>
        <v>1266.4363999999998</v>
      </c>
      <c r="R58" s="365">
        <f t="shared" si="11"/>
        <v>9869.5948200000003</v>
      </c>
      <c r="T58" s="340"/>
    </row>
    <row r="59" spans="1:20" x14ac:dyDescent="0.2">
      <c r="F59" s="417"/>
      <c r="G59" s="417"/>
      <c r="H59" s="417"/>
      <c r="I59" s="417"/>
      <c r="J59" s="417"/>
      <c r="K59" s="417"/>
      <c r="L59" s="417"/>
      <c r="M59" s="417"/>
      <c r="N59" s="417"/>
      <c r="O59" s="417"/>
      <c r="P59" s="417"/>
      <c r="Q59" s="417"/>
      <c r="R59" s="417"/>
      <c r="T59" s="340"/>
    </row>
    <row r="60" spans="1:20" x14ac:dyDescent="0.2">
      <c r="A60" s="32" t="s">
        <v>1058</v>
      </c>
      <c r="B60" s="32" t="s">
        <v>1050</v>
      </c>
      <c r="F60" s="417">
        <f>F48*F52</f>
        <v>821.31404999999995</v>
      </c>
      <c r="G60" s="417">
        <f t="shared" ref="G60:Q60" si="12">G48*G52</f>
        <v>865.38455999999996</v>
      </c>
      <c r="H60" s="417">
        <f t="shared" si="12"/>
        <v>1205.92941</v>
      </c>
      <c r="I60" s="417">
        <f t="shared" si="12"/>
        <v>877.40378999999996</v>
      </c>
      <c r="J60" s="417">
        <f t="shared" si="12"/>
        <v>580.92944999999997</v>
      </c>
      <c r="K60" s="417">
        <f t="shared" si="12"/>
        <v>428.68586999999997</v>
      </c>
      <c r="L60" s="417">
        <f t="shared" si="12"/>
        <v>356.57049000000001</v>
      </c>
      <c r="M60" s="417">
        <f t="shared" si="12"/>
        <v>344.55125999999996</v>
      </c>
      <c r="N60" s="417">
        <f t="shared" si="12"/>
        <v>336.53843999999998</v>
      </c>
      <c r="O60" s="417">
        <f t="shared" si="12"/>
        <v>641.02559999999994</v>
      </c>
      <c r="P60" s="417">
        <f t="shared" si="12"/>
        <v>889.42301999999995</v>
      </c>
      <c r="Q60" s="417">
        <f t="shared" si="12"/>
        <v>1121.7947999999999</v>
      </c>
      <c r="R60" s="417">
        <f>SUM(F60:Q60)</f>
        <v>8469.5507400000006</v>
      </c>
      <c r="T60" s="340"/>
    </row>
    <row r="61" spans="1:20" x14ac:dyDescent="0.2">
      <c r="F61" s="364"/>
      <c r="G61" s="364"/>
      <c r="H61" s="364"/>
      <c r="I61" s="364"/>
      <c r="J61" s="364"/>
      <c r="K61" s="364"/>
      <c r="L61" s="364"/>
      <c r="M61" s="364"/>
      <c r="N61" s="364"/>
      <c r="O61" s="364"/>
      <c r="P61" s="364"/>
      <c r="Q61" s="364"/>
      <c r="R61" s="341"/>
      <c r="T61" s="415"/>
    </row>
    <row r="62" spans="1:20" s="336" customFormat="1" x14ac:dyDescent="0.2">
      <c r="B62" s="182" t="s">
        <v>1062</v>
      </c>
      <c r="S62" s="335"/>
      <c r="T62" s="415"/>
    </row>
    <row r="63" spans="1:20" s="336" customFormat="1" x14ac:dyDescent="0.2">
      <c r="B63" s="182" t="s">
        <v>5</v>
      </c>
      <c r="S63" s="335"/>
      <c r="T63" s="415"/>
    </row>
    <row r="64" spans="1:20" s="336" customFormat="1" x14ac:dyDescent="0.2">
      <c r="B64" s="336" t="s">
        <v>1063</v>
      </c>
      <c r="D64" s="336">
        <v>61</v>
      </c>
      <c r="E64" s="336" t="s">
        <v>1064</v>
      </c>
      <c r="F64" s="442">
        <v>0.1</v>
      </c>
      <c r="G64" s="442">
        <v>0.1</v>
      </c>
      <c r="H64" s="442">
        <v>0.1</v>
      </c>
      <c r="I64" s="442">
        <v>0.1</v>
      </c>
      <c r="J64" s="442">
        <v>0.1</v>
      </c>
      <c r="K64" s="442">
        <v>0.1</v>
      </c>
      <c r="L64" s="442">
        <v>0.1</v>
      </c>
      <c r="M64" s="442">
        <v>0.1</v>
      </c>
      <c r="N64" s="442">
        <v>0.1</v>
      </c>
      <c r="O64" s="442">
        <v>0.1</v>
      </c>
      <c r="P64" s="442">
        <v>0.1</v>
      </c>
      <c r="Q64" s="442">
        <v>0.1</v>
      </c>
      <c r="S64" s="335"/>
      <c r="T64" s="415"/>
    </row>
    <row r="65" spans="1:20" s="336" customFormat="1" x14ac:dyDescent="0.2">
      <c r="S65" s="335"/>
      <c r="T65" s="415"/>
    </row>
    <row r="66" spans="1:20" s="336" customFormat="1" x14ac:dyDescent="0.2">
      <c r="B66" s="182" t="s">
        <v>982</v>
      </c>
      <c r="S66" s="335"/>
      <c r="T66" s="415"/>
    </row>
    <row r="67" spans="1:20" s="336" customFormat="1" x14ac:dyDescent="0.2">
      <c r="B67" s="336" t="s">
        <v>74</v>
      </c>
      <c r="F67" s="421">
        <f>'JKP-3.1c - Data'!C131</f>
        <v>4027</v>
      </c>
      <c r="G67" s="421">
        <f>'JKP-3.1c - Data'!D131</f>
        <v>4027</v>
      </c>
      <c r="H67" s="421">
        <f>'JKP-3.1c - Data'!E131</f>
        <v>4027</v>
      </c>
      <c r="I67" s="421">
        <f>'JKP-3.1c - Data'!F131</f>
        <v>4027</v>
      </c>
      <c r="J67" s="421">
        <f>'JKP-3.1c - Data'!G131</f>
        <v>4027</v>
      </c>
      <c r="K67" s="421">
        <f>'JKP-3.1c - Data'!H131</f>
        <v>4027</v>
      </c>
      <c r="L67" s="421">
        <f>'JKP-3.1c - Data'!I131</f>
        <v>4027</v>
      </c>
      <c r="M67" s="421">
        <f>'JKP-3.1c - Data'!J131</f>
        <v>4027</v>
      </c>
      <c r="N67" s="421">
        <f>'JKP-3.1c - Data'!K131</f>
        <v>4027</v>
      </c>
      <c r="O67" s="421">
        <f>'JKP-3.1c - Data'!L131</f>
        <v>4027</v>
      </c>
      <c r="P67" s="421">
        <f>'JKP-3.1c - Data'!M131</f>
        <v>4027</v>
      </c>
      <c r="Q67" s="421">
        <f>'JKP-3.1c - Data'!N131</f>
        <v>4027</v>
      </c>
      <c r="R67" s="362">
        <f>SUM(F67:Q67)</f>
        <v>48324</v>
      </c>
      <c r="S67" s="335"/>
      <c r="T67" s="415"/>
    </row>
    <row r="68" spans="1:20" s="336" customFormat="1" x14ac:dyDescent="0.2">
      <c r="S68" s="335"/>
      <c r="T68" s="415"/>
    </row>
    <row r="69" spans="1:20" s="336" customFormat="1" x14ac:dyDescent="0.2">
      <c r="B69" s="182" t="s">
        <v>985</v>
      </c>
      <c r="S69" s="335"/>
      <c r="T69" s="415"/>
    </row>
    <row r="70" spans="1:20" s="336" customFormat="1" x14ac:dyDescent="0.2">
      <c r="A70" s="336" t="s">
        <v>1054</v>
      </c>
      <c r="B70" s="336" t="s">
        <v>1063</v>
      </c>
      <c r="F70" s="418">
        <f t="shared" ref="F70:Q70" si="13">F64*F67</f>
        <v>402.70000000000005</v>
      </c>
      <c r="G70" s="418">
        <f t="shared" si="13"/>
        <v>402.70000000000005</v>
      </c>
      <c r="H70" s="418">
        <f t="shared" si="13"/>
        <v>402.70000000000005</v>
      </c>
      <c r="I70" s="418">
        <f t="shared" si="13"/>
        <v>402.70000000000005</v>
      </c>
      <c r="J70" s="418">
        <f t="shared" si="13"/>
        <v>402.70000000000005</v>
      </c>
      <c r="K70" s="418">
        <f t="shared" si="13"/>
        <v>402.70000000000005</v>
      </c>
      <c r="L70" s="418">
        <f t="shared" si="13"/>
        <v>402.70000000000005</v>
      </c>
      <c r="M70" s="418">
        <f t="shared" si="13"/>
        <v>402.70000000000005</v>
      </c>
      <c r="N70" s="418">
        <f t="shared" si="13"/>
        <v>402.70000000000005</v>
      </c>
      <c r="O70" s="418">
        <f t="shared" si="13"/>
        <v>402.70000000000005</v>
      </c>
      <c r="P70" s="418">
        <f t="shared" si="13"/>
        <v>402.70000000000005</v>
      </c>
      <c r="Q70" s="418">
        <f t="shared" si="13"/>
        <v>402.70000000000005</v>
      </c>
      <c r="R70" s="418">
        <f>SUM(F70:Q70)</f>
        <v>4832.3999999999996</v>
      </c>
      <c r="S70" s="335"/>
      <c r="T70" s="415"/>
    </row>
    <row r="71" spans="1:20" x14ac:dyDescent="0.2">
      <c r="C71" s="336"/>
      <c r="D71" s="336"/>
      <c r="E71" s="336"/>
      <c r="F71" s="340"/>
      <c r="G71" s="340"/>
      <c r="H71" s="340"/>
      <c r="I71" s="340"/>
      <c r="J71" s="340"/>
      <c r="K71" s="340"/>
      <c r="L71" s="340"/>
      <c r="M71" s="340"/>
      <c r="N71" s="340"/>
      <c r="O71" s="340"/>
      <c r="P71" s="340"/>
      <c r="Q71" s="340"/>
      <c r="R71" s="340"/>
    </row>
    <row r="72" spans="1:20" x14ac:dyDescent="0.2">
      <c r="B72" s="276" t="s">
        <v>967</v>
      </c>
      <c r="C72" s="276"/>
    </row>
    <row r="73" spans="1:20" x14ac:dyDescent="0.2">
      <c r="B73" s="276" t="s">
        <v>5</v>
      </c>
      <c r="C73" s="276"/>
    </row>
    <row r="74" spans="1:20" x14ac:dyDescent="0.2">
      <c r="B74" s="32" t="s">
        <v>1059</v>
      </c>
      <c r="D74" s="32">
        <v>31</v>
      </c>
      <c r="E74" s="32" t="s">
        <v>976</v>
      </c>
      <c r="F74" s="414">
        <v>32.32</v>
      </c>
      <c r="G74" s="414">
        <v>32.32</v>
      </c>
      <c r="H74" s="414">
        <v>32.32</v>
      </c>
      <c r="I74" s="414">
        <v>32.32</v>
      </c>
      <c r="J74" s="414">
        <v>32.32</v>
      </c>
      <c r="K74" s="414">
        <v>32.32</v>
      </c>
      <c r="L74" s="414">
        <v>32.32</v>
      </c>
      <c r="M74" s="414">
        <v>32.32</v>
      </c>
      <c r="N74" s="414">
        <v>32.32</v>
      </c>
      <c r="O74" s="414">
        <v>32.32</v>
      </c>
      <c r="P74" s="414">
        <v>32.32</v>
      </c>
      <c r="Q74" s="414">
        <v>32.32</v>
      </c>
      <c r="R74" s="439"/>
    </row>
    <row r="75" spans="1:20" x14ac:dyDescent="0.2">
      <c r="B75" s="32" t="s">
        <v>1047</v>
      </c>
      <c r="D75" s="32">
        <v>31</v>
      </c>
      <c r="E75" s="32" t="s">
        <v>957</v>
      </c>
      <c r="F75" s="395">
        <v>0.31526999999999999</v>
      </c>
      <c r="G75" s="395">
        <v>0.31526999999999999</v>
      </c>
      <c r="H75" s="395">
        <v>0.31526999999999999</v>
      </c>
      <c r="I75" s="395">
        <v>0.31526999999999999</v>
      </c>
      <c r="J75" s="395">
        <v>0.31526999999999999</v>
      </c>
      <c r="K75" s="395">
        <v>0.31526999999999999</v>
      </c>
      <c r="L75" s="395">
        <v>0.31526999999999999</v>
      </c>
      <c r="M75" s="395">
        <v>0.31526999999999999</v>
      </c>
      <c r="N75" s="395">
        <v>0.31526999999999999</v>
      </c>
      <c r="O75" s="395">
        <v>0.31526999999999999</v>
      </c>
      <c r="P75" s="395">
        <v>0.31526999999999999</v>
      </c>
      <c r="Q75" s="395">
        <v>0.31526999999999999</v>
      </c>
      <c r="R75" s="394"/>
    </row>
    <row r="76" spans="1:20" x14ac:dyDescent="0.2">
      <c r="A76" s="336"/>
      <c r="B76" s="415" t="s">
        <v>1067</v>
      </c>
      <c r="D76" s="32">
        <v>101</v>
      </c>
      <c r="E76" s="32" t="s">
        <v>957</v>
      </c>
      <c r="F76" s="495">
        <f>'JKP-3.1c - Rev Rates PGA Nov10'!F76</f>
        <v>0.71392999999999995</v>
      </c>
      <c r="G76" s="495">
        <f>'JKP-3.1c - Rev Rates PGA Nov10'!G76</f>
        <v>0.71392999999999995</v>
      </c>
      <c r="H76" s="495">
        <f>'JKP-3.1c - Rev Rates PGA Nov10'!H76</f>
        <v>0.71392999999999995</v>
      </c>
      <c r="I76" s="495">
        <f>'JKP-3.1c - Rev Rates PGA Nov10'!I76</f>
        <v>0.71392999999999995</v>
      </c>
      <c r="J76" s="495">
        <f>'JKP-3.1c - Rev Rates PGA Nov10'!J76</f>
        <v>0.71392999999999995</v>
      </c>
      <c r="K76" s="495">
        <f>'JKP-3.1c - Rev Rates PGA Nov10'!K76</f>
        <v>0.71392999999999995</v>
      </c>
      <c r="L76" s="495">
        <f>'JKP-3.1c - Rev Rates PGA Nov10'!L76</f>
        <v>0.71392999999999995</v>
      </c>
      <c r="M76" s="495">
        <f>'JKP-3.1c - Rev Rates PGA Nov10'!M76</f>
        <v>0.71392999999999995</v>
      </c>
      <c r="N76" s="495">
        <f>'JKP-3.1c - Rev Rates PGA Nov10'!N76</f>
        <v>0.71392999999999995</v>
      </c>
      <c r="O76" s="495">
        <f>'JKP-3.1c - Rev Rates PGA Nov10'!O76</f>
        <v>0.71392999999999995</v>
      </c>
      <c r="P76" s="495">
        <f>'JKP-3.1c - Rev Rates PGA Nov10'!P76</f>
        <v>0.71392999999999995</v>
      </c>
      <c r="Q76" s="495">
        <f>'JKP-3.1c - Rev Rates PGA Nov10'!Q76</f>
        <v>0.71392999999999995</v>
      </c>
      <c r="R76" s="394"/>
    </row>
    <row r="77" spans="1:20" x14ac:dyDescent="0.2">
      <c r="A77" s="336"/>
      <c r="B77" s="415" t="s">
        <v>1197</v>
      </c>
      <c r="F77" s="495">
        <f>'JKP-3.1c - Rev Rates PGA Nov10'!F77</f>
        <v>0.68306</v>
      </c>
      <c r="G77" s="495">
        <f>'JKP-3.1c - Rev Rates PGA Nov10'!G77</f>
        <v>0.68306</v>
      </c>
      <c r="H77" s="495">
        <f>'JKP-3.1c - Rev Rates PGA Nov10'!H77</f>
        <v>0.68306</v>
      </c>
      <c r="I77" s="495">
        <f>'JKP-3.1c - Rev Rates PGA Nov10'!I77</f>
        <v>0.68306</v>
      </c>
      <c r="J77" s="495">
        <f>'JKP-3.1c - Rev Rates PGA Nov10'!J77</f>
        <v>0.68306</v>
      </c>
      <c r="K77" s="495">
        <f>'JKP-3.1c - Rev Rates PGA Nov10'!K77</f>
        <v>0.68306</v>
      </c>
      <c r="L77" s="495">
        <f>'JKP-3.1c - Rev Rates PGA Nov10'!L77</f>
        <v>0.68306</v>
      </c>
      <c r="M77" s="495">
        <f>'JKP-3.1c - Rev Rates PGA Nov10'!M77</f>
        <v>0.68306</v>
      </c>
      <c r="N77" s="495">
        <f>'JKP-3.1c - Rev Rates PGA Nov10'!N77</f>
        <v>0.68306</v>
      </c>
      <c r="O77" s="495">
        <f>'JKP-3.1c - Rev Rates PGA Nov10'!O77</f>
        <v>0.68306</v>
      </c>
      <c r="P77" s="495">
        <f>'JKP-3.1c - Rev Rates PGA Nov10'!P77</f>
        <v>0.68306</v>
      </c>
      <c r="Q77" s="495">
        <f>'JKP-3.1c - Rev Rates PGA Nov10'!Q77</f>
        <v>0.68306</v>
      </c>
      <c r="R77" s="394"/>
    </row>
    <row r="78" spans="1:20" s="336" customFormat="1" x14ac:dyDescent="0.2">
      <c r="S78" s="335"/>
      <c r="T78" s="415"/>
    </row>
    <row r="79" spans="1:20" x14ac:dyDescent="0.2">
      <c r="B79" s="276" t="s">
        <v>982</v>
      </c>
    </row>
    <row r="80" spans="1:20" x14ac:dyDescent="0.2">
      <c r="B80" s="32" t="s">
        <v>67</v>
      </c>
      <c r="E80" s="32" t="s">
        <v>67</v>
      </c>
      <c r="F80" s="397">
        <f>'JKP-3.1c - Data'!C139</f>
        <v>52658</v>
      </c>
      <c r="G80" s="397">
        <f>'JKP-3.1c - Data'!D139</f>
        <v>52610</v>
      </c>
      <c r="H80" s="397">
        <f>'JKP-3.1c - Data'!E139</f>
        <v>52574</v>
      </c>
      <c r="I80" s="397">
        <f>'JKP-3.1c - Data'!F139</f>
        <v>52525</v>
      </c>
      <c r="J80" s="397">
        <f>'JKP-3.1c - Data'!G139</f>
        <v>52396</v>
      </c>
      <c r="K80" s="397">
        <f>'JKP-3.1c - Data'!H139</f>
        <v>52307</v>
      </c>
      <c r="L80" s="397">
        <f>'JKP-3.1c - Data'!I139</f>
        <v>52272</v>
      </c>
      <c r="M80" s="397">
        <f>'JKP-3.1c - Data'!J139</f>
        <v>52234</v>
      </c>
      <c r="N80" s="397">
        <f>'JKP-3.1c - Data'!K139</f>
        <v>52221</v>
      </c>
      <c r="O80" s="397">
        <f>'JKP-3.1c - Data'!L139</f>
        <v>52328</v>
      </c>
      <c r="P80" s="397">
        <f>'JKP-3.1c - Data'!M139</f>
        <v>52300</v>
      </c>
      <c r="Q80" s="397">
        <f>'JKP-3.1c - Data'!N139</f>
        <v>52414</v>
      </c>
      <c r="R80" s="378">
        <f>SUM(F80:Q80)</f>
        <v>628839</v>
      </c>
    </row>
    <row r="81" spans="1:20" x14ac:dyDescent="0.2">
      <c r="B81" s="32" t="s">
        <v>76</v>
      </c>
      <c r="E81" s="32" t="s">
        <v>10</v>
      </c>
      <c r="F81" s="397">
        <f>'JKP-3.1c - Rev Actual Rates'!F92</f>
        <v>22530052</v>
      </c>
      <c r="G81" s="397">
        <f>'JKP-3.1c - Rev Actual Rates'!G92</f>
        <v>18400356</v>
      </c>
      <c r="H81" s="397">
        <f>'JKP-3.1c - Rev Actual Rates'!H92</f>
        <v>18722609</v>
      </c>
      <c r="I81" s="397">
        <f>'JKP-3.1c - Rev Actual Rates'!I92</f>
        <v>15159542</v>
      </c>
      <c r="J81" s="397">
        <f>'JKP-3.1c - Rev Actual Rates'!J92</f>
        <v>11739148</v>
      </c>
      <c r="K81" s="397">
        <f>'JKP-3.1c - Rev Actual Rates'!K92</f>
        <v>8759117</v>
      </c>
      <c r="L81" s="397">
        <f>'JKP-3.1c - Rev Actual Rates'!L92</f>
        <v>7017499</v>
      </c>
      <c r="M81" s="397">
        <f>'JKP-3.1c - Rev Actual Rates'!M92</f>
        <v>6870079</v>
      </c>
      <c r="N81" s="397">
        <f>'JKP-3.1c - Rev Actual Rates'!N92</f>
        <v>7730919</v>
      </c>
      <c r="O81" s="397">
        <f>'JKP-3.1c - Rev Actual Rates'!O92</f>
        <v>12369351</v>
      </c>
      <c r="P81" s="397">
        <f>'JKP-3.1c - Rev Actual Rates'!P92</f>
        <v>21057029</v>
      </c>
      <c r="Q81" s="397">
        <f>'JKP-3.1c - Rev Actual Rates'!Q92</f>
        <v>26731097</v>
      </c>
      <c r="R81" s="378">
        <f>SUM(F81:Q81)</f>
        <v>177086798</v>
      </c>
    </row>
    <row r="82" spans="1:20" x14ac:dyDescent="0.2">
      <c r="R82" s="277"/>
    </row>
    <row r="83" spans="1:20" x14ac:dyDescent="0.2">
      <c r="B83" s="276" t="s">
        <v>985</v>
      </c>
      <c r="R83" s="277"/>
    </row>
    <row r="84" spans="1:20" x14ac:dyDescent="0.2">
      <c r="A84" s="32" t="s">
        <v>1054</v>
      </c>
      <c r="B84" s="32" t="s">
        <v>1059</v>
      </c>
      <c r="D84" s="32">
        <v>31</v>
      </c>
      <c r="F84" s="364">
        <f t="shared" ref="F84:Q85" si="14">F74*F80</f>
        <v>1701906.56</v>
      </c>
      <c r="G84" s="364">
        <f t="shared" si="14"/>
        <v>1700355.2</v>
      </c>
      <c r="H84" s="364">
        <f t="shared" si="14"/>
        <v>1699191.68</v>
      </c>
      <c r="I84" s="364">
        <f t="shared" si="14"/>
        <v>1697608</v>
      </c>
      <c r="J84" s="364">
        <f t="shared" si="14"/>
        <v>1693438.72</v>
      </c>
      <c r="K84" s="364">
        <f t="shared" si="14"/>
        <v>1690562.24</v>
      </c>
      <c r="L84" s="364">
        <f t="shared" si="14"/>
        <v>1689431.04</v>
      </c>
      <c r="M84" s="364">
        <f t="shared" si="14"/>
        <v>1688202.8800000001</v>
      </c>
      <c r="N84" s="364">
        <f t="shared" si="14"/>
        <v>1687782.72</v>
      </c>
      <c r="O84" s="364">
        <f t="shared" si="14"/>
        <v>1691240.96</v>
      </c>
      <c r="P84" s="364">
        <f t="shared" si="14"/>
        <v>1690336</v>
      </c>
      <c r="Q84" s="364">
        <f t="shared" si="14"/>
        <v>1694020.48</v>
      </c>
      <c r="R84" s="341">
        <f>SUM(F84:Q84)</f>
        <v>20324076.480000004</v>
      </c>
    </row>
    <row r="85" spans="1:20" x14ac:dyDescent="0.2">
      <c r="A85" s="32" t="s">
        <v>1054</v>
      </c>
      <c r="B85" s="32" t="s">
        <v>1047</v>
      </c>
      <c r="D85" s="32">
        <v>31</v>
      </c>
      <c r="F85" s="364">
        <f t="shared" si="14"/>
        <v>7103049.4940400003</v>
      </c>
      <c r="G85" s="364">
        <f t="shared" si="14"/>
        <v>5801080.2361199996</v>
      </c>
      <c r="H85" s="364">
        <f t="shared" si="14"/>
        <v>5902676.9394300003</v>
      </c>
      <c r="I85" s="364">
        <f t="shared" si="14"/>
        <v>4779348.8063399997</v>
      </c>
      <c r="J85" s="364">
        <f t="shared" si="14"/>
        <v>3701001.1899600001</v>
      </c>
      <c r="K85" s="364">
        <f t="shared" si="14"/>
        <v>2761486.8165899999</v>
      </c>
      <c r="L85" s="364">
        <f t="shared" si="14"/>
        <v>2212406.90973</v>
      </c>
      <c r="M85" s="364">
        <f t="shared" si="14"/>
        <v>2165929.8063300001</v>
      </c>
      <c r="N85" s="364">
        <f t="shared" si="14"/>
        <v>2437326.8331300002</v>
      </c>
      <c r="O85" s="364">
        <f t="shared" si="14"/>
        <v>3899685.2897700001</v>
      </c>
      <c r="P85" s="364">
        <f t="shared" si="14"/>
        <v>6638649.5328299999</v>
      </c>
      <c r="Q85" s="364">
        <f t="shared" si="14"/>
        <v>8427512.9511900004</v>
      </c>
      <c r="R85" s="341">
        <f>SUM(F85:Q85)</f>
        <v>55830154.805459999</v>
      </c>
    </row>
    <row r="86" spans="1:20" x14ac:dyDescent="0.2">
      <c r="A86" s="336" t="s">
        <v>1056</v>
      </c>
      <c r="B86" s="415" t="s">
        <v>1057</v>
      </c>
      <c r="D86" s="32">
        <v>101</v>
      </c>
      <c r="F86" s="364">
        <f t="shared" ref="F86:Q86" si="15">F76*F81</f>
        <v>16084880.024359999</v>
      </c>
      <c r="G86" s="364">
        <f t="shared" si="15"/>
        <v>13136566.159079999</v>
      </c>
      <c r="H86" s="364">
        <f t="shared" si="15"/>
        <v>13366632.243369998</v>
      </c>
      <c r="I86" s="364">
        <f t="shared" si="15"/>
        <v>10822851.82006</v>
      </c>
      <c r="J86" s="364">
        <f t="shared" si="15"/>
        <v>8380929.9316399992</v>
      </c>
      <c r="K86" s="364">
        <f t="shared" si="15"/>
        <v>6253396.3998099994</v>
      </c>
      <c r="L86" s="364">
        <f t="shared" si="15"/>
        <v>5010003.0610699998</v>
      </c>
      <c r="M86" s="364">
        <f t="shared" si="15"/>
        <v>4904755.5004699994</v>
      </c>
      <c r="N86" s="364">
        <f t="shared" si="15"/>
        <v>5519335.0016699992</v>
      </c>
      <c r="O86" s="364">
        <f t="shared" si="15"/>
        <v>8830850.7594299987</v>
      </c>
      <c r="P86" s="364">
        <f t="shared" si="15"/>
        <v>15033244.71397</v>
      </c>
      <c r="Q86" s="364">
        <f t="shared" si="15"/>
        <v>19084132.081209999</v>
      </c>
      <c r="R86" s="364">
        <f>SUM(F86:Q86)</f>
        <v>126427577.69614001</v>
      </c>
    </row>
    <row r="87" spans="1:20" x14ac:dyDescent="0.2">
      <c r="B87" s="32" t="s">
        <v>986</v>
      </c>
      <c r="F87" s="365">
        <f t="shared" ref="F87:R87" si="16">F84+F85+F86</f>
        <v>24889836.078400001</v>
      </c>
      <c r="G87" s="365">
        <f t="shared" si="16"/>
        <v>20638001.595199998</v>
      </c>
      <c r="H87" s="365">
        <f t="shared" si="16"/>
        <v>20968500.862799998</v>
      </c>
      <c r="I87" s="365">
        <f t="shared" si="16"/>
        <v>17299808.626400001</v>
      </c>
      <c r="J87" s="365">
        <f t="shared" si="16"/>
        <v>13775369.841599999</v>
      </c>
      <c r="K87" s="365">
        <f t="shared" si="16"/>
        <v>10705445.4564</v>
      </c>
      <c r="L87" s="365">
        <f t="shared" si="16"/>
        <v>8911841.0108000003</v>
      </c>
      <c r="M87" s="365">
        <f t="shared" si="16"/>
        <v>8758888.1867999993</v>
      </c>
      <c r="N87" s="365">
        <f t="shared" si="16"/>
        <v>9644444.5548</v>
      </c>
      <c r="O87" s="365">
        <f t="shared" si="16"/>
        <v>14421777.009199999</v>
      </c>
      <c r="P87" s="365">
        <f t="shared" si="16"/>
        <v>23362230.246799998</v>
      </c>
      <c r="Q87" s="365">
        <f t="shared" si="16"/>
        <v>29205665.512400001</v>
      </c>
      <c r="R87" s="365">
        <f t="shared" si="16"/>
        <v>202581808.98159999</v>
      </c>
      <c r="T87" s="340"/>
    </row>
    <row r="88" spans="1:20" x14ac:dyDescent="0.2">
      <c r="F88" s="364"/>
      <c r="G88" s="364"/>
      <c r="H88" s="364"/>
      <c r="I88" s="364"/>
      <c r="J88" s="364"/>
      <c r="K88" s="364"/>
      <c r="L88" s="364"/>
      <c r="M88" s="364"/>
      <c r="N88" s="364"/>
      <c r="O88" s="364"/>
      <c r="P88" s="364"/>
      <c r="Q88" s="364"/>
      <c r="R88" s="341"/>
      <c r="T88" s="415"/>
    </row>
    <row r="89" spans="1:20" x14ac:dyDescent="0.2">
      <c r="A89" s="32" t="s">
        <v>1058</v>
      </c>
      <c r="B89" s="32" t="s">
        <v>1050</v>
      </c>
      <c r="F89" s="364">
        <f>F77*F81</f>
        <v>15389377.319119999</v>
      </c>
      <c r="G89" s="364">
        <f t="shared" ref="G89:Q89" si="17">G77*G81</f>
        <v>12568547.169360001</v>
      </c>
      <c r="H89" s="364">
        <f t="shared" si="17"/>
        <v>12788665.303540001</v>
      </c>
      <c r="I89" s="364">
        <f t="shared" si="17"/>
        <v>10354876.75852</v>
      </c>
      <c r="J89" s="364">
        <f t="shared" si="17"/>
        <v>8018542.4328800002</v>
      </c>
      <c r="K89" s="364">
        <f t="shared" si="17"/>
        <v>5983002.4580199998</v>
      </c>
      <c r="L89" s="364">
        <f t="shared" si="17"/>
        <v>4793372.8669400001</v>
      </c>
      <c r="M89" s="364">
        <f t="shared" si="17"/>
        <v>4692676.1617400004</v>
      </c>
      <c r="N89" s="364">
        <f t="shared" si="17"/>
        <v>5280681.5321399998</v>
      </c>
      <c r="O89" s="364">
        <f t="shared" si="17"/>
        <v>8449008.8940600008</v>
      </c>
      <c r="P89" s="364">
        <f t="shared" si="17"/>
        <v>14383214.228739999</v>
      </c>
      <c r="Q89" s="364">
        <f t="shared" si="17"/>
        <v>18258943.11682</v>
      </c>
      <c r="R89" s="341">
        <f>SUM(F89:Q89)</f>
        <v>120960908.24188003</v>
      </c>
      <c r="T89" s="415"/>
    </row>
    <row r="90" spans="1:20" x14ac:dyDescent="0.2">
      <c r="F90" s="364"/>
      <c r="G90" s="364"/>
      <c r="H90" s="364"/>
      <c r="I90" s="364"/>
      <c r="J90" s="364"/>
      <c r="K90" s="364"/>
      <c r="L90" s="364"/>
      <c r="M90" s="364"/>
      <c r="N90" s="364"/>
      <c r="O90" s="364"/>
      <c r="P90" s="364"/>
      <c r="Q90" s="364"/>
      <c r="R90" s="341"/>
      <c r="T90" s="415"/>
    </row>
    <row r="91" spans="1:20" x14ac:dyDescent="0.2">
      <c r="B91" s="276" t="s">
        <v>968</v>
      </c>
      <c r="C91" s="276"/>
    </row>
    <row r="92" spans="1:20" x14ac:dyDescent="0.2">
      <c r="B92" s="276" t="s">
        <v>5</v>
      </c>
      <c r="C92" s="276"/>
    </row>
    <row r="93" spans="1:20" x14ac:dyDescent="0.2">
      <c r="B93" s="32" t="s">
        <v>1059</v>
      </c>
      <c r="D93" s="32">
        <v>41</v>
      </c>
      <c r="E93" s="32" t="s">
        <v>976</v>
      </c>
      <c r="F93" s="414">
        <v>111.92</v>
      </c>
      <c r="G93" s="414">
        <v>111.92</v>
      </c>
      <c r="H93" s="414">
        <v>111.92</v>
      </c>
      <c r="I93" s="414">
        <v>111.92</v>
      </c>
      <c r="J93" s="414">
        <v>111.92</v>
      </c>
      <c r="K93" s="414">
        <v>111.92</v>
      </c>
      <c r="L93" s="414">
        <v>111.92</v>
      </c>
      <c r="M93" s="414">
        <v>111.92</v>
      </c>
      <c r="N93" s="414">
        <v>111.92</v>
      </c>
      <c r="O93" s="414">
        <v>111.92</v>
      </c>
      <c r="P93" s="414">
        <v>111.92</v>
      </c>
      <c r="Q93" s="414">
        <v>111.92</v>
      </c>
      <c r="R93" s="439"/>
    </row>
    <row r="94" spans="1:20" x14ac:dyDescent="0.2">
      <c r="B94" s="32" t="s">
        <v>1047</v>
      </c>
      <c r="F94" s="393"/>
      <c r="G94" s="393"/>
      <c r="H94" s="393"/>
      <c r="I94" s="393"/>
      <c r="J94" s="393"/>
      <c r="K94" s="393"/>
      <c r="L94" s="393"/>
      <c r="M94" s="393"/>
      <c r="N94" s="393"/>
      <c r="O94" s="393"/>
      <c r="P94" s="393"/>
      <c r="Q94" s="393"/>
      <c r="R94" s="394"/>
    </row>
    <row r="95" spans="1:20" x14ac:dyDescent="0.2">
      <c r="C95" s="32" t="s">
        <v>1065</v>
      </c>
      <c r="D95" s="32">
        <v>41</v>
      </c>
      <c r="E95" s="32" t="s">
        <v>957</v>
      </c>
      <c r="F95" s="395">
        <v>0.14354</v>
      </c>
      <c r="G95" s="395">
        <v>0.14354</v>
      </c>
      <c r="H95" s="395">
        <v>0.14354</v>
      </c>
      <c r="I95" s="395">
        <v>0.14354</v>
      </c>
      <c r="J95" s="395">
        <v>0.14354</v>
      </c>
      <c r="K95" s="395">
        <v>0.14354</v>
      </c>
      <c r="L95" s="395">
        <v>0.14354</v>
      </c>
      <c r="M95" s="395">
        <v>0.14354</v>
      </c>
      <c r="N95" s="395">
        <v>0.14354</v>
      </c>
      <c r="O95" s="395">
        <v>0.14354</v>
      </c>
      <c r="P95" s="395">
        <v>0.14354</v>
      </c>
      <c r="Q95" s="395">
        <v>0.14354</v>
      </c>
      <c r="R95" s="394"/>
    </row>
    <row r="96" spans="1:20" x14ac:dyDescent="0.2">
      <c r="C96" s="32" t="s">
        <v>1066</v>
      </c>
      <c r="D96" s="32">
        <v>41</v>
      </c>
      <c r="E96" s="32" t="s">
        <v>957</v>
      </c>
      <c r="F96" s="395">
        <v>0.11713999999999999</v>
      </c>
      <c r="G96" s="395">
        <v>0.11713999999999999</v>
      </c>
      <c r="H96" s="395">
        <v>0.11713999999999999</v>
      </c>
      <c r="I96" s="395">
        <v>0.11713999999999999</v>
      </c>
      <c r="J96" s="395">
        <v>0.11713999999999999</v>
      </c>
      <c r="K96" s="395">
        <v>0.11713999999999999</v>
      </c>
      <c r="L96" s="395">
        <v>0.11713999999999999</v>
      </c>
      <c r="M96" s="395">
        <v>0.11713999999999999</v>
      </c>
      <c r="N96" s="395">
        <v>0.11713999999999999</v>
      </c>
      <c r="O96" s="395">
        <v>0.11713999999999999</v>
      </c>
      <c r="P96" s="395">
        <v>0.11713999999999999</v>
      </c>
      <c r="Q96" s="395">
        <v>0.11713999999999999</v>
      </c>
      <c r="R96" s="394"/>
    </row>
    <row r="97" spans="1:20" x14ac:dyDescent="0.2">
      <c r="A97" s="336"/>
      <c r="B97" s="415" t="s">
        <v>1067</v>
      </c>
      <c r="D97" s="32">
        <v>101</v>
      </c>
      <c r="E97" s="32" t="s">
        <v>957</v>
      </c>
      <c r="F97" s="495">
        <f>'JKP-3.1c - Rev Rates PGA Nov10'!F97</f>
        <v>0.62878000000000001</v>
      </c>
      <c r="G97" s="495">
        <f>'JKP-3.1c - Rev Rates PGA Nov10'!G97</f>
        <v>0.62878000000000001</v>
      </c>
      <c r="H97" s="495">
        <f>'JKP-3.1c - Rev Rates PGA Nov10'!H97</f>
        <v>0.62878000000000001</v>
      </c>
      <c r="I97" s="495">
        <f>'JKP-3.1c - Rev Rates PGA Nov10'!I97</f>
        <v>0.62878000000000001</v>
      </c>
      <c r="J97" s="495">
        <f>'JKP-3.1c - Rev Rates PGA Nov10'!J97</f>
        <v>0.62878000000000001</v>
      </c>
      <c r="K97" s="495">
        <f>'JKP-3.1c - Rev Rates PGA Nov10'!K97</f>
        <v>0.62878000000000001</v>
      </c>
      <c r="L97" s="495">
        <f>'JKP-3.1c - Rev Rates PGA Nov10'!L97</f>
        <v>0.62878000000000001</v>
      </c>
      <c r="M97" s="495">
        <f>'JKP-3.1c - Rev Rates PGA Nov10'!M97</f>
        <v>0.62878000000000001</v>
      </c>
      <c r="N97" s="495">
        <f>'JKP-3.1c - Rev Rates PGA Nov10'!N97</f>
        <v>0.62878000000000001</v>
      </c>
      <c r="O97" s="495">
        <f>'JKP-3.1c - Rev Rates PGA Nov10'!O97</f>
        <v>0.62878000000000001</v>
      </c>
      <c r="P97" s="495">
        <f>'JKP-3.1c - Rev Rates PGA Nov10'!P97</f>
        <v>0.62878000000000001</v>
      </c>
      <c r="Q97" s="495">
        <f>'JKP-3.1c - Rev Rates PGA Nov10'!Q97</f>
        <v>0.62878000000000001</v>
      </c>
      <c r="R97" s="394"/>
    </row>
    <row r="98" spans="1:20" x14ac:dyDescent="0.2">
      <c r="B98" s="32" t="s">
        <v>1068</v>
      </c>
      <c r="F98" s="394"/>
      <c r="G98" s="394"/>
      <c r="H98" s="394"/>
      <c r="I98" s="394"/>
      <c r="J98" s="394"/>
      <c r="K98" s="394"/>
      <c r="L98" s="394"/>
      <c r="M98" s="394"/>
      <c r="N98" s="394"/>
      <c r="O98" s="394"/>
      <c r="P98" s="394"/>
      <c r="Q98" s="394"/>
      <c r="R98" s="394"/>
    </row>
    <row r="99" spans="1:20" x14ac:dyDescent="0.2">
      <c r="A99" s="336"/>
      <c r="C99" s="32" t="s">
        <v>1069</v>
      </c>
      <c r="D99" s="32">
        <v>41</v>
      </c>
      <c r="E99" s="32" t="s">
        <v>957</v>
      </c>
      <c r="F99" s="414">
        <v>1.1399999999999999</v>
      </c>
      <c r="G99" s="414">
        <v>1.1399999999999999</v>
      </c>
      <c r="H99" s="414">
        <v>1.1399999999999999</v>
      </c>
      <c r="I99" s="414">
        <v>1.1399999999999999</v>
      </c>
      <c r="J99" s="414">
        <v>1.1399999999999999</v>
      </c>
      <c r="K99" s="414">
        <v>1.1399999999999999</v>
      </c>
      <c r="L99" s="414">
        <v>1.1399999999999999</v>
      </c>
      <c r="M99" s="414">
        <v>1.1399999999999999</v>
      </c>
      <c r="N99" s="414">
        <v>1.1399999999999999</v>
      </c>
      <c r="O99" s="414">
        <v>1.1399999999999999</v>
      </c>
      <c r="P99" s="414">
        <v>1.1399999999999999</v>
      </c>
      <c r="Q99" s="414">
        <v>1.1399999999999999</v>
      </c>
      <c r="R99" s="394"/>
    </row>
    <row r="100" spans="1:20" x14ac:dyDescent="0.2">
      <c r="A100" s="336"/>
      <c r="C100" s="32" t="s">
        <v>1070</v>
      </c>
      <c r="D100" s="32">
        <v>101</v>
      </c>
      <c r="E100" s="32" t="s">
        <v>957</v>
      </c>
      <c r="F100" s="414">
        <v>1.05</v>
      </c>
      <c r="G100" s="414">
        <v>1.05</v>
      </c>
      <c r="H100" s="414">
        <v>1.05</v>
      </c>
      <c r="I100" s="414">
        <v>1.05</v>
      </c>
      <c r="J100" s="414">
        <v>1.05</v>
      </c>
      <c r="K100" s="414">
        <v>1.05</v>
      </c>
      <c r="L100" s="414">
        <v>1.05</v>
      </c>
      <c r="M100" s="414">
        <v>1.05</v>
      </c>
      <c r="N100" s="414">
        <v>1.05</v>
      </c>
      <c r="O100" s="414">
        <v>1.05</v>
      </c>
      <c r="P100" s="414">
        <v>1.05</v>
      </c>
      <c r="Q100" s="414">
        <v>1.05</v>
      </c>
      <c r="R100" s="394"/>
    </row>
    <row r="101" spans="1:20" x14ac:dyDescent="0.2">
      <c r="B101" s="32" t="s">
        <v>1071</v>
      </c>
      <c r="D101" s="32">
        <v>41</v>
      </c>
      <c r="E101" s="32" t="s">
        <v>67</v>
      </c>
      <c r="F101" s="414">
        <v>129.19</v>
      </c>
      <c r="G101" s="414">
        <v>129.19</v>
      </c>
      <c r="H101" s="414">
        <v>129.19</v>
      </c>
      <c r="I101" s="414">
        <v>129.19</v>
      </c>
      <c r="J101" s="414">
        <v>129.19</v>
      </c>
      <c r="K101" s="414">
        <v>129.19</v>
      </c>
      <c r="L101" s="414">
        <v>129.19</v>
      </c>
      <c r="M101" s="414">
        <v>129.19</v>
      </c>
      <c r="N101" s="414">
        <v>129.19</v>
      </c>
      <c r="O101" s="414">
        <v>129.19</v>
      </c>
      <c r="P101" s="414">
        <v>129.19</v>
      </c>
      <c r="Q101" s="414">
        <v>129.19</v>
      </c>
      <c r="R101" s="394"/>
    </row>
    <row r="102" spans="1:20" x14ac:dyDescent="0.2">
      <c r="B102" s="415" t="s">
        <v>1197</v>
      </c>
      <c r="F102" s="495">
        <f>'JKP-3.1c - Rev Rates PGA Nov10'!F102</f>
        <v>0.60158999999999996</v>
      </c>
      <c r="G102" s="495">
        <f>'JKP-3.1c - Rev Rates PGA Nov10'!G102</f>
        <v>0.60158999999999996</v>
      </c>
      <c r="H102" s="495">
        <f>'JKP-3.1c - Rev Rates PGA Nov10'!H102</f>
        <v>0.60158999999999996</v>
      </c>
      <c r="I102" s="495">
        <f>'JKP-3.1c - Rev Rates PGA Nov10'!I102</f>
        <v>0.60158999999999996</v>
      </c>
      <c r="J102" s="495">
        <f>'JKP-3.1c - Rev Rates PGA Nov10'!J102</f>
        <v>0.60158999999999996</v>
      </c>
      <c r="K102" s="495">
        <f>'JKP-3.1c - Rev Rates PGA Nov10'!K102</f>
        <v>0.60158999999999996</v>
      </c>
      <c r="L102" s="495">
        <f>'JKP-3.1c - Rev Rates PGA Nov10'!L102</f>
        <v>0.60158999999999996</v>
      </c>
      <c r="M102" s="495">
        <f>'JKP-3.1c - Rev Rates PGA Nov10'!M102</f>
        <v>0.60158999999999996</v>
      </c>
      <c r="N102" s="495">
        <f>'JKP-3.1c - Rev Rates PGA Nov10'!N102</f>
        <v>0.60158999999999996</v>
      </c>
      <c r="O102" s="495">
        <f>'JKP-3.1c - Rev Rates PGA Nov10'!O102</f>
        <v>0.60158999999999996</v>
      </c>
      <c r="P102" s="495">
        <f>'JKP-3.1c - Rev Rates PGA Nov10'!P102</f>
        <v>0.60158999999999996</v>
      </c>
      <c r="Q102" s="495">
        <f>'JKP-3.1c - Rev Rates PGA Nov10'!Q102</f>
        <v>0.60158999999999996</v>
      </c>
      <c r="R102" s="394"/>
    </row>
    <row r="103" spans="1:20" x14ac:dyDescent="0.2">
      <c r="B103" s="415" t="s">
        <v>1072</v>
      </c>
      <c r="F103" s="414">
        <v>1</v>
      </c>
      <c r="G103" s="414">
        <v>1</v>
      </c>
      <c r="H103" s="414">
        <v>1</v>
      </c>
      <c r="I103" s="414">
        <v>1</v>
      </c>
      <c r="J103" s="414">
        <v>1</v>
      </c>
      <c r="K103" s="414">
        <v>1</v>
      </c>
      <c r="L103" s="414">
        <v>1</v>
      </c>
      <c r="M103" s="414">
        <v>1</v>
      </c>
      <c r="N103" s="414">
        <v>1</v>
      </c>
      <c r="O103" s="414">
        <v>1</v>
      </c>
      <c r="P103" s="414">
        <v>1</v>
      </c>
      <c r="Q103" s="414">
        <v>1</v>
      </c>
      <c r="R103" s="394"/>
    </row>
    <row r="105" spans="1:20" x14ac:dyDescent="0.2">
      <c r="B105" s="276" t="s">
        <v>982</v>
      </c>
    </row>
    <row r="106" spans="1:20" x14ac:dyDescent="0.2">
      <c r="B106" s="32" t="s">
        <v>67</v>
      </c>
      <c r="E106" s="32" t="s">
        <v>67</v>
      </c>
      <c r="F106" s="397">
        <f>'JKP-3.1c - Data'!C141</f>
        <v>1953</v>
      </c>
      <c r="G106" s="397">
        <f>'JKP-3.1c - Data'!D141</f>
        <v>1949</v>
      </c>
      <c r="H106" s="397">
        <f>'JKP-3.1c - Data'!E141</f>
        <v>1949</v>
      </c>
      <c r="I106" s="397">
        <f>'JKP-3.1c - Data'!F141</f>
        <v>1951</v>
      </c>
      <c r="J106" s="397">
        <f>'JKP-3.1c - Data'!G141</f>
        <v>1946</v>
      </c>
      <c r="K106" s="397">
        <f>'JKP-3.1c - Data'!H141</f>
        <v>1952</v>
      </c>
      <c r="L106" s="397">
        <f>'JKP-3.1c - Data'!I141</f>
        <v>1951</v>
      </c>
      <c r="M106" s="397">
        <f>'JKP-3.1c - Data'!J141</f>
        <v>1936</v>
      </c>
      <c r="N106" s="397">
        <f>'JKP-3.1c - Data'!K141</f>
        <v>1923</v>
      </c>
      <c r="O106" s="397">
        <f>'JKP-3.1c - Data'!L141</f>
        <v>1902</v>
      </c>
      <c r="P106" s="397">
        <f>'JKP-3.1c - Data'!M141</f>
        <v>1884</v>
      </c>
      <c r="Q106" s="397">
        <f>'JKP-3.1c - Data'!N141</f>
        <v>1883</v>
      </c>
      <c r="R106" s="378">
        <f>SUM(F106:Q106)</f>
        <v>23179</v>
      </c>
    </row>
    <row r="107" spans="1:20" x14ac:dyDescent="0.2">
      <c r="B107" s="32" t="s">
        <v>76</v>
      </c>
      <c r="D107" s="336"/>
      <c r="E107" s="336"/>
      <c r="F107" s="381"/>
      <c r="G107" s="381"/>
      <c r="H107" s="381"/>
      <c r="I107" s="381"/>
      <c r="J107" s="381"/>
      <c r="K107" s="381"/>
      <c r="L107" s="381"/>
      <c r="M107" s="381"/>
      <c r="N107" s="381"/>
      <c r="O107" s="381"/>
      <c r="P107" s="381"/>
      <c r="Q107" s="381"/>
      <c r="R107" s="398"/>
    </row>
    <row r="108" spans="1:20" x14ac:dyDescent="0.2">
      <c r="C108" s="32" t="s">
        <v>1073</v>
      </c>
      <c r="D108" s="336"/>
      <c r="E108" s="336" t="s">
        <v>10</v>
      </c>
      <c r="F108" s="421">
        <f>'JKP-3.1c - Rev Actual Rates'!F119</f>
        <v>1696262</v>
      </c>
      <c r="G108" s="421">
        <f>'JKP-3.1c - Rev Actual Rates'!G119</f>
        <v>1676732</v>
      </c>
      <c r="H108" s="421">
        <f>'JKP-3.1c - Rev Actual Rates'!H119</f>
        <v>1688404</v>
      </c>
      <c r="I108" s="421">
        <f>'JKP-3.1c - Rev Actual Rates'!I119</f>
        <v>1670584</v>
      </c>
      <c r="J108" s="421">
        <f>'JKP-3.1c - Rev Actual Rates'!J119</f>
        <v>1617103</v>
      </c>
      <c r="K108" s="421">
        <f>'JKP-3.1c - Rev Actual Rates'!K119</f>
        <v>1436746</v>
      </c>
      <c r="L108" s="421">
        <f>'JKP-3.1c - Rev Actual Rates'!L119</f>
        <v>1214265</v>
      </c>
      <c r="M108" s="421">
        <f>'JKP-3.1c - Rev Actual Rates'!M119</f>
        <v>1189032</v>
      </c>
      <c r="N108" s="421">
        <f>'JKP-3.1c - Rev Actual Rates'!N119</f>
        <v>1320118</v>
      </c>
      <c r="O108" s="421">
        <f>'JKP-3.1c - Rev Actual Rates'!O119</f>
        <v>1555455</v>
      </c>
      <c r="P108" s="421">
        <f>'JKP-3.1c - Rev Actual Rates'!P119</f>
        <v>1620879</v>
      </c>
      <c r="Q108" s="421">
        <f>'JKP-3.1c - Rev Actual Rates'!Q119</f>
        <v>1621716</v>
      </c>
      <c r="R108" s="378">
        <f>SUM(F108:Q108)</f>
        <v>18307296</v>
      </c>
    </row>
    <row r="109" spans="1:20" s="336" customFormat="1" x14ac:dyDescent="0.2">
      <c r="C109" s="32" t="s">
        <v>1074</v>
      </c>
      <c r="E109" s="336" t="s">
        <v>10</v>
      </c>
      <c r="F109" s="421">
        <f>'JKP-3.1c - Rev Actual Rates'!F120</f>
        <v>3194830</v>
      </c>
      <c r="G109" s="421">
        <f>'JKP-3.1c - Rev Actual Rates'!G120</f>
        <v>2729188</v>
      </c>
      <c r="H109" s="421">
        <f>'JKP-3.1c - Rev Actual Rates'!H120</f>
        <v>2892127</v>
      </c>
      <c r="I109" s="421">
        <f>'JKP-3.1c - Rev Actual Rates'!I120</f>
        <v>2441803</v>
      </c>
      <c r="J109" s="421">
        <f>'JKP-3.1c - Rev Actual Rates'!J120</f>
        <v>2045385</v>
      </c>
      <c r="K109" s="421">
        <f>'JKP-3.1c - Rev Actual Rates'!K120</f>
        <v>1542820</v>
      </c>
      <c r="L109" s="421">
        <f>'JKP-3.1c - Rev Actual Rates'!L120</f>
        <v>1219078</v>
      </c>
      <c r="M109" s="421">
        <f>'JKP-3.1c - Rev Actual Rates'!M120</f>
        <v>1163563</v>
      </c>
      <c r="N109" s="421">
        <f>'JKP-3.1c - Rev Actual Rates'!N120</f>
        <v>1298603</v>
      </c>
      <c r="O109" s="421">
        <f>'JKP-3.1c - Rev Actual Rates'!O120</f>
        <v>1938810</v>
      </c>
      <c r="P109" s="421">
        <f>'JKP-3.1c - Rev Actual Rates'!P120</f>
        <v>2887105</v>
      </c>
      <c r="Q109" s="421">
        <f>'JKP-3.1c - Rev Actual Rates'!Q120</f>
        <v>3310445</v>
      </c>
      <c r="R109" s="378">
        <f>SUM(F109:Q109)</f>
        <v>26663757</v>
      </c>
      <c r="S109" s="335"/>
      <c r="T109" s="415"/>
    </row>
    <row r="110" spans="1:20" s="336" customFormat="1" x14ac:dyDescent="0.2">
      <c r="C110" s="32" t="s">
        <v>1066</v>
      </c>
      <c r="E110" s="336" t="s">
        <v>10</v>
      </c>
      <c r="F110" s="421">
        <f>'JKP-3.1c - Rev Actual Rates'!F121</f>
        <v>1787862</v>
      </c>
      <c r="G110" s="421">
        <f>'JKP-3.1c - Rev Actual Rates'!G121</f>
        <v>1350276</v>
      </c>
      <c r="H110" s="421">
        <f>'JKP-3.1c - Rev Actual Rates'!H121</f>
        <v>1515815</v>
      </c>
      <c r="I110" s="421">
        <f>'JKP-3.1c - Rev Actual Rates'!I121</f>
        <v>1136357</v>
      </c>
      <c r="J110" s="421">
        <f>'JKP-3.1c - Rev Actual Rates'!J121</f>
        <v>894300</v>
      </c>
      <c r="K110" s="421">
        <f>'JKP-3.1c - Rev Actual Rates'!K121</f>
        <v>589925</v>
      </c>
      <c r="L110" s="421">
        <f>'JKP-3.1c - Rev Actual Rates'!L121</f>
        <v>491954</v>
      </c>
      <c r="M110" s="421">
        <f>'JKP-3.1c - Rev Actual Rates'!M121</f>
        <v>506826</v>
      </c>
      <c r="N110" s="421">
        <f>'JKP-3.1c - Rev Actual Rates'!N121</f>
        <v>527214</v>
      </c>
      <c r="O110" s="421">
        <f>'JKP-3.1c - Rev Actual Rates'!O121</f>
        <v>911563</v>
      </c>
      <c r="P110" s="421">
        <f>'JKP-3.1c - Rev Actual Rates'!P121</f>
        <v>1578849</v>
      </c>
      <c r="Q110" s="421">
        <f>'JKP-3.1c - Rev Actual Rates'!Q121</f>
        <v>2066356</v>
      </c>
      <c r="R110" s="378">
        <f>SUM(F110:Q110)</f>
        <v>13357297</v>
      </c>
      <c r="S110" s="335"/>
      <c r="T110" s="415"/>
    </row>
    <row r="111" spans="1:20" x14ac:dyDescent="0.2">
      <c r="C111" s="32" t="s">
        <v>1075</v>
      </c>
      <c r="E111" s="32" t="s">
        <v>10</v>
      </c>
      <c r="F111" s="430">
        <f t="shared" ref="F111:R111" si="18">SUM(F108:F110)</f>
        <v>6678954</v>
      </c>
      <c r="G111" s="430">
        <f t="shared" si="18"/>
        <v>5756196</v>
      </c>
      <c r="H111" s="430">
        <f t="shared" si="18"/>
        <v>6096346</v>
      </c>
      <c r="I111" s="430">
        <f t="shared" si="18"/>
        <v>5248744</v>
      </c>
      <c r="J111" s="430">
        <f t="shared" si="18"/>
        <v>4556788</v>
      </c>
      <c r="K111" s="430">
        <f t="shared" si="18"/>
        <v>3569491</v>
      </c>
      <c r="L111" s="430">
        <f t="shared" si="18"/>
        <v>2925297</v>
      </c>
      <c r="M111" s="430">
        <f t="shared" si="18"/>
        <v>2859421</v>
      </c>
      <c r="N111" s="430">
        <f t="shared" si="18"/>
        <v>3145935</v>
      </c>
      <c r="O111" s="430">
        <f t="shared" si="18"/>
        <v>4405828</v>
      </c>
      <c r="P111" s="430">
        <f t="shared" si="18"/>
        <v>6086833</v>
      </c>
      <c r="Q111" s="430">
        <f t="shared" si="18"/>
        <v>6998517</v>
      </c>
      <c r="R111" s="430">
        <f t="shared" si="18"/>
        <v>58328350</v>
      </c>
    </row>
    <row r="112" spans="1:20" s="336" customFormat="1" x14ac:dyDescent="0.2">
      <c r="B112" s="336" t="s">
        <v>74</v>
      </c>
      <c r="E112" s="336" t="s">
        <v>1076</v>
      </c>
      <c r="F112" s="421">
        <f>'JKP-3.1c - Rev Actual Rates'!F123</f>
        <v>345023.82</v>
      </c>
      <c r="G112" s="421">
        <f>'JKP-3.1c - Rev Actual Rates'!G123</f>
        <v>345483.82</v>
      </c>
      <c r="H112" s="421">
        <f>'JKP-3.1c - Rev Actual Rates'!H123</f>
        <v>343434.82</v>
      </c>
      <c r="I112" s="421">
        <f>'JKP-3.1c - Rev Actual Rates'!I123</f>
        <v>344454.82999999996</v>
      </c>
      <c r="J112" s="421">
        <f>'JKP-3.1c - Rev Actual Rates'!J123</f>
        <v>343545.81999999995</v>
      </c>
      <c r="K112" s="421">
        <f>'JKP-3.1c - Rev Actual Rates'!K123</f>
        <v>347633.82000000007</v>
      </c>
      <c r="L112" s="421">
        <f>'JKP-3.1c - Rev Actual Rates'!L123</f>
        <v>349911.64</v>
      </c>
      <c r="M112" s="421">
        <f>'JKP-3.1c - Rev Actual Rates'!M123</f>
        <v>346640</v>
      </c>
      <c r="N112" s="421">
        <f>'JKP-3.1c - Rev Actual Rates'!N123</f>
        <v>346444</v>
      </c>
      <c r="O112" s="421">
        <f>'JKP-3.1c - Rev Actual Rates'!O123</f>
        <v>339453</v>
      </c>
      <c r="P112" s="421">
        <f>'JKP-3.1c - Rev Actual Rates'!P123</f>
        <v>337940</v>
      </c>
      <c r="Q112" s="421">
        <f>'JKP-3.1c - Rev Actual Rates'!Q123</f>
        <v>335944</v>
      </c>
      <c r="R112" s="378">
        <f>SUM(F112:Q112)</f>
        <v>4125909.57</v>
      </c>
      <c r="S112" s="335"/>
      <c r="T112" s="415"/>
    </row>
    <row r="113" spans="1:20" s="336" customFormat="1" x14ac:dyDescent="0.2">
      <c r="B113" s="336" t="s">
        <v>1071</v>
      </c>
      <c r="E113" s="336" t="s">
        <v>67</v>
      </c>
      <c r="F113" s="398">
        <f t="shared" ref="F113:Q113" si="19">F106</f>
        <v>1953</v>
      </c>
      <c r="G113" s="398">
        <f t="shared" si="19"/>
        <v>1949</v>
      </c>
      <c r="H113" s="398">
        <f t="shared" si="19"/>
        <v>1949</v>
      </c>
      <c r="I113" s="398">
        <f t="shared" si="19"/>
        <v>1951</v>
      </c>
      <c r="J113" s="398">
        <f t="shared" si="19"/>
        <v>1946</v>
      </c>
      <c r="K113" s="398">
        <f t="shared" si="19"/>
        <v>1952</v>
      </c>
      <c r="L113" s="398">
        <f t="shared" si="19"/>
        <v>1951</v>
      </c>
      <c r="M113" s="398">
        <f t="shared" si="19"/>
        <v>1936</v>
      </c>
      <c r="N113" s="398">
        <f t="shared" si="19"/>
        <v>1923</v>
      </c>
      <c r="O113" s="398">
        <f t="shared" si="19"/>
        <v>1902</v>
      </c>
      <c r="P113" s="398">
        <f t="shared" si="19"/>
        <v>1884</v>
      </c>
      <c r="Q113" s="398">
        <f t="shared" si="19"/>
        <v>1883</v>
      </c>
      <c r="R113" s="378">
        <f>SUM(F113:Q113)</f>
        <v>23179</v>
      </c>
      <c r="S113" s="335"/>
      <c r="T113" s="415"/>
    </row>
    <row r="114" spans="1:20" s="336" customFormat="1" x14ac:dyDescent="0.2">
      <c r="F114" s="380"/>
      <c r="G114" s="380"/>
      <c r="H114" s="380"/>
      <c r="I114" s="380"/>
      <c r="J114" s="380"/>
      <c r="K114" s="380"/>
      <c r="L114" s="380"/>
      <c r="M114" s="380"/>
      <c r="N114" s="380"/>
      <c r="O114" s="380"/>
      <c r="P114" s="380"/>
      <c r="Q114" s="380"/>
      <c r="R114" s="378"/>
      <c r="S114" s="335"/>
      <c r="T114" s="415"/>
    </row>
    <row r="115" spans="1:20" x14ac:dyDescent="0.2">
      <c r="B115" s="276" t="s">
        <v>985</v>
      </c>
      <c r="R115" s="277"/>
    </row>
    <row r="116" spans="1:20" x14ac:dyDescent="0.2">
      <c r="A116" s="32" t="s">
        <v>1054</v>
      </c>
      <c r="B116" s="32" t="s">
        <v>1059</v>
      </c>
      <c r="D116" s="32">
        <v>41</v>
      </c>
      <c r="F116" s="364">
        <f t="shared" ref="F116:Q116" si="20">F93*F106</f>
        <v>218579.76</v>
      </c>
      <c r="G116" s="364">
        <f t="shared" si="20"/>
        <v>218132.08000000002</v>
      </c>
      <c r="H116" s="364">
        <f t="shared" si="20"/>
        <v>218132.08000000002</v>
      </c>
      <c r="I116" s="364">
        <f t="shared" si="20"/>
        <v>218355.92</v>
      </c>
      <c r="J116" s="364">
        <f t="shared" si="20"/>
        <v>217796.32</v>
      </c>
      <c r="K116" s="364">
        <f t="shared" si="20"/>
        <v>218467.84</v>
      </c>
      <c r="L116" s="364">
        <f t="shared" si="20"/>
        <v>218355.92</v>
      </c>
      <c r="M116" s="364">
        <f t="shared" si="20"/>
        <v>216677.12</v>
      </c>
      <c r="N116" s="364">
        <f t="shared" si="20"/>
        <v>215222.16</v>
      </c>
      <c r="O116" s="364">
        <f t="shared" si="20"/>
        <v>212871.84</v>
      </c>
      <c r="P116" s="364">
        <f t="shared" si="20"/>
        <v>210857.28</v>
      </c>
      <c r="Q116" s="364">
        <f t="shared" si="20"/>
        <v>210745.36000000002</v>
      </c>
      <c r="R116" s="341">
        <f>SUM(F116:Q116)</f>
        <v>2594193.6799999997</v>
      </c>
    </row>
    <row r="117" spans="1:20" x14ac:dyDescent="0.2">
      <c r="B117" s="32" t="s">
        <v>1047</v>
      </c>
      <c r="F117" s="364"/>
      <c r="G117" s="364"/>
      <c r="H117" s="364"/>
      <c r="I117" s="364"/>
      <c r="J117" s="364"/>
      <c r="K117" s="364"/>
      <c r="L117" s="364"/>
      <c r="M117" s="364"/>
      <c r="N117" s="364"/>
      <c r="O117" s="364"/>
      <c r="P117" s="364"/>
      <c r="Q117" s="364"/>
      <c r="R117" s="341"/>
    </row>
    <row r="118" spans="1:20" x14ac:dyDescent="0.2">
      <c r="C118" s="32" t="s">
        <v>1073</v>
      </c>
      <c r="F118" s="350">
        <v>0</v>
      </c>
      <c r="G118" s="350">
        <v>0</v>
      </c>
      <c r="H118" s="350">
        <v>0</v>
      </c>
      <c r="I118" s="350">
        <v>0</v>
      </c>
      <c r="J118" s="350">
        <v>0</v>
      </c>
      <c r="K118" s="350">
        <v>0</v>
      </c>
      <c r="L118" s="350">
        <v>0</v>
      </c>
      <c r="M118" s="350">
        <v>0</v>
      </c>
      <c r="N118" s="350">
        <v>0</v>
      </c>
      <c r="O118" s="350">
        <v>0</v>
      </c>
      <c r="P118" s="350">
        <v>0</v>
      </c>
      <c r="Q118" s="350">
        <v>0</v>
      </c>
      <c r="R118" s="341">
        <f>SUM(F118:Q118)</f>
        <v>0</v>
      </c>
    </row>
    <row r="119" spans="1:20" x14ac:dyDescent="0.2">
      <c r="C119" s="32" t="s">
        <v>1074</v>
      </c>
      <c r="D119" s="32">
        <v>41</v>
      </c>
      <c r="F119" s="364">
        <f t="shared" ref="F119:Q120" si="21">F95*F109</f>
        <v>458585.8982</v>
      </c>
      <c r="G119" s="364">
        <f t="shared" si="21"/>
        <v>391747.64552000002</v>
      </c>
      <c r="H119" s="364">
        <f t="shared" si="21"/>
        <v>415135.90957999998</v>
      </c>
      <c r="I119" s="364">
        <f t="shared" si="21"/>
        <v>350496.40262000001</v>
      </c>
      <c r="J119" s="364">
        <f t="shared" si="21"/>
        <v>293594.56290000002</v>
      </c>
      <c r="K119" s="364">
        <f t="shared" si="21"/>
        <v>221456.38279999999</v>
      </c>
      <c r="L119" s="364">
        <f t="shared" si="21"/>
        <v>174986.45611999999</v>
      </c>
      <c r="M119" s="364">
        <f t="shared" si="21"/>
        <v>167017.83301999999</v>
      </c>
      <c r="N119" s="364">
        <f t="shared" si="21"/>
        <v>186401.47461999999</v>
      </c>
      <c r="O119" s="364">
        <f t="shared" si="21"/>
        <v>278296.78740000003</v>
      </c>
      <c r="P119" s="364">
        <f t="shared" si="21"/>
        <v>414415.05170000001</v>
      </c>
      <c r="Q119" s="364">
        <f t="shared" si="21"/>
        <v>475181.27529999998</v>
      </c>
      <c r="R119" s="341">
        <f>SUM(F119:Q119)</f>
        <v>3827315.6797800004</v>
      </c>
    </row>
    <row r="120" spans="1:20" x14ac:dyDescent="0.2">
      <c r="C120" s="32" t="s">
        <v>1066</v>
      </c>
      <c r="D120" s="32">
        <v>41</v>
      </c>
      <c r="F120" s="364">
        <f t="shared" si="21"/>
        <v>209430.15467999998</v>
      </c>
      <c r="G120" s="364">
        <f t="shared" si="21"/>
        <v>158171.33064</v>
      </c>
      <c r="H120" s="364">
        <f t="shared" si="21"/>
        <v>177562.56909999999</v>
      </c>
      <c r="I120" s="364">
        <f t="shared" si="21"/>
        <v>133112.85897999999</v>
      </c>
      <c r="J120" s="364">
        <f t="shared" si="21"/>
        <v>104758.302</v>
      </c>
      <c r="K120" s="364">
        <f t="shared" si="21"/>
        <v>69103.814499999993</v>
      </c>
      <c r="L120" s="364">
        <f t="shared" si="21"/>
        <v>57627.491559999995</v>
      </c>
      <c r="M120" s="364">
        <f t="shared" si="21"/>
        <v>59369.59764</v>
      </c>
      <c r="N120" s="364">
        <f t="shared" si="21"/>
        <v>61757.847959999999</v>
      </c>
      <c r="O120" s="364">
        <f t="shared" si="21"/>
        <v>106780.48981999999</v>
      </c>
      <c r="P120" s="364">
        <f t="shared" si="21"/>
        <v>184946.37185999998</v>
      </c>
      <c r="Q120" s="364">
        <f t="shared" si="21"/>
        <v>242052.94183999998</v>
      </c>
      <c r="R120" s="341">
        <f>SUM(F120:Q120)</f>
        <v>1564673.77058</v>
      </c>
    </row>
    <row r="121" spans="1:20" x14ac:dyDescent="0.2">
      <c r="A121" s="32" t="s">
        <v>1054</v>
      </c>
      <c r="C121" s="32" t="s">
        <v>1077</v>
      </c>
      <c r="F121" s="365">
        <f t="shared" ref="F121:R121" si="22">SUM(F118:F120)</f>
        <v>668016.05287999997</v>
      </c>
      <c r="G121" s="365">
        <f t="shared" si="22"/>
        <v>549918.97616000008</v>
      </c>
      <c r="H121" s="365">
        <f t="shared" si="22"/>
        <v>592698.47867999994</v>
      </c>
      <c r="I121" s="365">
        <f t="shared" si="22"/>
        <v>483609.26159999997</v>
      </c>
      <c r="J121" s="365">
        <f t="shared" si="22"/>
        <v>398352.86490000004</v>
      </c>
      <c r="K121" s="365">
        <f t="shared" si="22"/>
        <v>290560.1973</v>
      </c>
      <c r="L121" s="365">
        <f t="shared" si="22"/>
        <v>232613.94767999998</v>
      </c>
      <c r="M121" s="365">
        <f t="shared" si="22"/>
        <v>226387.43065999998</v>
      </c>
      <c r="N121" s="365">
        <f t="shared" si="22"/>
        <v>248159.32257999998</v>
      </c>
      <c r="O121" s="365">
        <f t="shared" si="22"/>
        <v>385077.27722000005</v>
      </c>
      <c r="P121" s="365">
        <f t="shared" si="22"/>
        <v>599361.42356000002</v>
      </c>
      <c r="Q121" s="365">
        <f t="shared" si="22"/>
        <v>717234.21713999996</v>
      </c>
      <c r="R121" s="365">
        <f t="shared" si="22"/>
        <v>5391989.4503600001</v>
      </c>
    </row>
    <row r="122" spans="1:20" x14ac:dyDescent="0.2">
      <c r="A122" s="32" t="s">
        <v>1056</v>
      </c>
      <c r="B122" s="415" t="s">
        <v>1057</v>
      </c>
      <c r="D122" s="32">
        <v>101</v>
      </c>
      <c r="F122" s="364">
        <f t="shared" ref="F122:Q122" si="23">F97*F111</f>
        <v>4199592.6961200004</v>
      </c>
      <c r="G122" s="364">
        <f t="shared" si="23"/>
        <v>3619380.9208800001</v>
      </c>
      <c r="H122" s="364">
        <f t="shared" si="23"/>
        <v>3833260.4378800001</v>
      </c>
      <c r="I122" s="364">
        <f t="shared" si="23"/>
        <v>3300305.25232</v>
      </c>
      <c r="J122" s="364">
        <f t="shared" si="23"/>
        <v>2865217.15864</v>
      </c>
      <c r="K122" s="364">
        <f t="shared" si="23"/>
        <v>2244424.5509799998</v>
      </c>
      <c r="L122" s="364">
        <f t="shared" si="23"/>
        <v>1839368.2476600001</v>
      </c>
      <c r="M122" s="364">
        <f t="shared" si="23"/>
        <v>1797946.7363799999</v>
      </c>
      <c r="N122" s="364">
        <f t="shared" si="23"/>
        <v>1978101.0093</v>
      </c>
      <c r="O122" s="364">
        <f t="shared" si="23"/>
        <v>2770296.52984</v>
      </c>
      <c r="P122" s="364">
        <f t="shared" si="23"/>
        <v>3827278.8537400002</v>
      </c>
      <c r="Q122" s="364">
        <f t="shared" si="23"/>
        <v>4400527.5192600004</v>
      </c>
      <c r="R122" s="341">
        <f>SUM(F122:Q122)</f>
        <v>36675699.913000003</v>
      </c>
    </row>
    <row r="123" spans="1:20" x14ac:dyDescent="0.2">
      <c r="B123" s="32" t="s">
        <v>1068</v>
      </c>
      <c r="F123" s="364"/>
      <c r="G123" s="364"/>
      <c r="H123" s="364"/>
      <c r="I123" s="364"/>
      <c r="J123" s="364"/>
      <c r="K123" s="364"/>
      <c r="L123" s="364"/>
      <c r="M123" s="364"/>
      <c r="N123" s="364"/>
      <c r="O123" s="364"/>
      <c r="P123" s="364"/>
      <c r="Q123" s="364"/>
      <c r="R123" s="341"/>
    </row>
    <row r="124" spans="1:20" x14ac:dyDescent="0.2">
      <c r="A124" s="32" t="s">
        <v>1054</v>
      </c>
      <c r="C124" s="32" t="s">
        <v>1069</v>
      </c>
      <c r="D124" s="32">
        <v>41</v>
      </c>
      <c r="F124" s="364">
        <f t="shared" ref="F124:Q124" si="24">F99*F112</f>
        <v>393327.15479999996</v>
      </c>
      <c r="G124" s="364">
        <f t="shared" si="24"/>
        <v>393851.55479999998</v>
      </c>
      <c r="H124" s="364">
        <f t="shared" si="24"/>
        <v>391515.6948</v>
      </c>
      <c r="I124" s="364">
        <f t="shared" si="24"/>
        <v>392678.50619999995</v>
      </c>
      <c r="J124" s="364">
        <f t="shared" si="24"/>
        <v>391642.23479999992</v>
      </c>
      <c r="K124" s="364">
        <f t="shared" si="24"/>
        <v>396302.55480000004</v>
      </c>
      <c r="L124" s="364">
        <f t="shared" si="24"/>
        <v>398899.2696</v>
      </c>
      <c r="M124" s="364">
        <f t="shared" si="24"/>
        <v>395169.6</v>
      </c>
      <c r="N124" s="364">
        <f t="shared" si="24"/>
        <v>394946.16</v>
      </c>
      <c r="O124" s="364">
        <f t="shared" si="24"/>
        <v>386976.42</v>
      </c>
      <c r="P124" s="364">
        <f t="shared" si="24"/>
        <v>385251.6</v>
      </c>
      <c r="Q124" s="364">
        <f t="shared" si="24"/>
        <v>382976.16</v>
      </c>
      <c r="R124" s="341">
        <f>SUM(F124:Q124)</f>
        <v>4703536.9098000005</v>
      </c>
    </row>
    <row r="125" spans="1:20" x14ac:dyDescent="0.2">
      <c r="A125" s="32" t="s">
        <v>1056</v>
      </c>
      <c r="C125" s="32" t="s">
        <v>1070</v>
      </c>
      <c r="D125" s="32">
        <v>101</v>
      </c>
      <c r="F125" s="364">
        <f t="shared" ref="F125:Q125" si="25">F100*F112</f>
        <v>362275.011</v>
      </c>
      <c r="G125" s="364">
        <f t="shared" si="25"/>
        <v>362758.011</v>
      </c>
      <c r="H125" s="364">
        <f t="shared" si="25"/>
        <v>360606.56100000005</v>
      </c>
      <c r="I125" s="364">
        <f t="shared" si="25"/>
        <v>361677.57149999996</v>
      </c>
      <c r="J125" s="364">
        <f t="shared" si="25"/>
        <v>360723.11099999998</v>
      </c>
      <c r="K125" s="364">
        <f t="shared" si="25"/>
        <v>365015.51100000006</v>
      </c>
      <c r="L125" s="364">
        <f t="shared" si="25"/>
        <v>367407.22200000001</v>
      </c>
      <c r="M125" s="364">
        <f t="shared" si="25"/>
        <v>363972</v>
      </c>
      <c r="N125" s="364">
        <f t="shared" si="25"/>
        <v>363766.2</v>
      </c>
      <c r="O125" s="364">
        <f t="shared" si="25"/>
        <v>356425.65</v>
      </c>
      <c r="P125" s="364">
        <f t="shared" si="25"/>
        <v>354837</v>
      </c>
      <c r="Q125" s="364">
        <f t="shared" si="25"/>
        <v>352741.2</v>
      </c>
      <c r="R125" s="341">
        <f>SUM(F125:Q125)</f>
        <v>4332205.0485000005</v>
      </c>
    </row>
    <row r="126" spans="1:20" x14ac:dyDescent="0.2">
      <c r="C126" s="32" t="s">
        <v>1078</v>
      </c>
      <c r="F126" s="365">
        <f t="shared" ref="F126:R126" si="26">SUM(F124:F125)</f>
        <v>755602.16579999996</v>
      </c>
      <c r="G126" s="365">
        <f t="shared" si="26"/>
        <v>756609.56579999998</v>
      </c>
      <c r="H126" s="365">
        <f t="shared" si="26"/>
        <v>752122.25580000004</v>
      </c>
      <c r="I126" s="365">
        <f t="shared" si="26"/>
        <v>754356.07769999991</v>
      </c>
      <c r="J126" s="365">
        <f t="shared" si="26"/>
        <v>752365.34579999989</v>
      </c>
      <c r="K126" s="365">
        <f t="shared" si="26"/>
        <v>761318.0658000001</v>
      </c>
      <c r="L126" s="365">
        <f t="shared" si="26"/>
        <v>766306.49160000007</v>
      </c>
      <c r="M126" s="365">
        <f t="shared" si="26"/>
        <v>759141.6</v>
      </c>
      <c r="N126" s="365">
        <f t="shared" si="26"/>
        <v>758712.36</v>
      </c>
      <c r="O126" s="365">
        <f t="shared" si="26"/>
        <v>743402.07000000007</v>
      </c>
      <c r="P126" s="365">
        <f t="shared" si="26"/>
        <v>740088.6</v>
      </c>
      <c r="Q126" s="365">
        <f t="shared" si="26"/>
        <v>735717.36</v>
      </c>
      <c r="R126" s="365">
        <f t="shared" si="26"/>
        <v>9035741.9583000019</v>
      </c>
    </row>
    <row r="127" spans="1:20" s="336" customFormat="1" x14ac:dyDescent="0.2">
      <c r="A127" s="336" t="s">
        <v>1054</v>
      </c>
      <c r="B127" s="336" t="s">
        <v>1071</v>
      </c>
      <c r="D127" s="336">
        <v>41</v>
      </c>
      <c r="F127" s="418">
        <f t="shared" ref="F127:Q127" si="27">F106*F101</f>
        <v>252308.07</v>
      </c>
      <c r="G127" s="418">
        <f t="shared" si="27"/>
        <v>251791.31</v>
      </c>
      <c r="H127" s="418">
        <f t="shared" si="27"/>
        <v>251791.31</v>
      </c>
      <c r="I127" s="418">
        <f t="shared" si="27"/>
        <v>252049.69</v>
      </c>
      <c r="J127" s="418">
        <f t="shared" si="27"/>
        <v>251403.74</v>
      </c>
      <c r="K127" s="418">
        <f t="shared" si="27"/>
        <v>252178.88</v>
      </c>
      <c r="L127" s="418">
        <f t="shared" si="27"/>
        <v>252049.69</v>
      </c>
      <c r="M127" s="418">
        <f t="shared" si="27"/>
        <v>250111.84</v>
      </c>
      <c r="N127" s="418">
        <f t="shared" si="27"/>
        <v>248432.37</v>
      </c>
      <c r="O127" s="418">
        <f t="shared" si="27"/>
        <v>245719.38</v>
      </c>
      <c r="P127" s="418">
        <f t="shared" si="27"/>
        <v>243393.96</v>
      </c>
      <c r="Q127" s="418">
        <f t="shared" si="27"/>
        <v>243264.77</v>
      </c>
      <c r="R127" s="437">
        <f>SUM(F127:Q127)</f>
        <v>2994495.01</v>
      </c>
      <c r="S127" s="335"/>
      <c r="T127" s="415"/>
    </row>
    <row r="128" spans="1:20" x14ac:dyDescent="0.2">
      <c r="B128" s="32" t="s">
        <v>1079</v>
      </c>
      <c r="F128" s="365">
        <f t="shared" ref="F128:R128" si="28">F122+F125</f>
        <v>4561867.7071200004</v>
      </c>
      <c r="G128" s="365">
        <f t="shared" si="28"/>
        <v>3982138.93188</v>
      </c>
      <c r="H128" s="365">
        <f t="shared" si="28"/>
        <v>4193866.9988800003</v>
      </c>
      <c r="I128" s="365">
        <f t="shared" si="28"/>
        <v>3661982.82382</v>
      </c>
      <c r="J128" s="365">
        <f t="shared" si="28"/>
        <v>3225940.2696400001</v>
      </c>
      <c r="K128" s="365">
        <f t="shared" si="28"/>
        <v>2609440.0619799998</v>
      </c>
      <c r="L128" s="365">
        <f t="shared" si="28"/>
        <v>2206775.4696599999</v>
      </c>
      <c r="M128" s="365">
        <f t="shared" si="28"/>
        <v>2161918.7363799997</v>
      </c>
      <c r="N128" s="365">
        <f t="shared" si="28"/>
        <v>2341867.2093000002</v>
      </c>
      <c r="O128" s="365">
        <f t="shared" si="28"/>
        <v>3126722.1798399999</v>
      </c>
      <c r="P128" s="365">
        <f t="shared" si="28"/>
        <v>4182115.8537400002</v>
      </c>
      <c r="Q128" s="365">
        <f t="shared" si="28"/>
        <v>4753268.7192600006</v>
      </c>
      <c r="R128" s="365">
        <f t="shared" si="28"/>
        <v>41007904.961500004</v>
      </c>
    </row>
    <row r="129" spans="1:20" x14ac:dyDescent="0.2">
      <c r="B129" s="32" t="s">
        <v>986</v>
      </c>
      <c r="F129" s="365">
        <f t="shared" ref="F129:R129" si="29">F116+F121+F122+F126+F127</f>
        <v>6094098.7448000005</v>
      </c>
      <c r="G129" s="365">
        <f t="shared" si="29"/>
        <v>5395832.8528399998</v>
      </c>
      <c r="H129" s="365">
        <f t="shared" si="29"/>
        <v>5648004.5623599999</v>
      </c>
      <c r="I129" s="365">
        <f t="shared" si="29"/>
        <v>5008676.2016200004</v>
      </c>
      <c r="J129" s="365">
        <f t="shared" si="29"/>
        <v>4485135.4293400003</v>
      </c>
      <c r="K129" s="365">
        <f t="shared" si="29"/>
        <v>3766949.5340799997</v>
      </c>
      <c r="L129" s="365">
        <f t="shared" si="29"/>
        <v>3308694.2969400003</v>
      </c>
      <c r="M129" s="365">
        <f t="shared" si="29"/>
        <v>3250264.7270399998</v>
      </c>
      <c r="N129" s="365">
        <f t="shared" si="29"/>
        <v>3448627.2218800001</v>
      </c>
      <c r="O129" s="365">
        <f t="shared" si="29"/>
        <v>4357367.0970599996</v>
      </c>
      <c r="P129" s="365">
        <f t="shared" si="29"/>
        <v>5620980.1173</v>
      </c>
      <c r="Q129" s="365">
        <f t="shared" si="29"/>
        <v>6307489.2264</v>
      </c>
      <c r="R129" s="365">
        <f t="shared" si="29"/>
        <v>56692120.011660002</v>
      </c>
      <c r="T129" s="340"/>
    </row>
    <row r="130" spans="1:20" s="336" customFormat="1" x14ac:dyDescent="0.2">
      <c r="F130" s="418"/>
      <c r="G130" s="418"/>
      <c r="H130" s="418"/>
      <c r="I130" s="418"/>
      <c r="J130" s="418"/>
      <c r="K130" s="418"/>
      <c r="L130" s="418"/>
      <c r="M130" s="418"/>
      <c r="N130" s="418"/>
      <c r="O130" s="418"/>
      <c r="P130" s="418"/>
      <c r="Q130" s="418"/>
      <c r="R130" s="437"/>
      <c r="S130" s="335"/>
      <c r="T130" s="415"/>
    </row>
    <row r="131" spans="1:20" s="336" customFormat="1" x14ac:dyDescent="0.2">
      <c r="A131" s="32" t="s">
        <v>1058</v>
      </c>
      <c r="B131" s="32" t="s">
        <v>1050</v>
      </c>
      <c r="C131" s="32"/>
      <c r="F131" s="418">
        <f>F111*F102+F112*F103</f>
        <v>4363015.7568600001</v>
      </c>
      <c r="G131" s="418">
        <f t="shared" ref="G131:Q131" si="30">G111*G102+G112*G103</f>
        <v>3808353.7716399995</v>
      </c>
      <c r="H131" s="418">
        <f t="shared" si="30"/>
        <v>4010935.6101399995</v>
      </c>
      <c r="I131" s="418">
        <f t="shared" si="30"/>
        <v>3502046.7329599997</v>
      </c>
      <c r="J131" s="418">
        <f t="shared" si="30"/>
        <v>3084863.9129199996</v>
      </c>
      <c r="K131" s="418">
        <f t="shared" si="30"/>
        <v>2495003.9106900003</v>
      </c>
      <c r="L131" s="418">
        <f t="shared" si="30"/>
        <v>2109741.0622299998</v>
      </c>
      <c r="M131" s="418">
        <f t="shared" si="30"/>
        <v>2066839.0793899999</v>
      </c>
      <c r="N131" s="418">
        <f t="shared" si="30"/>
        <v>2239007.0366500001</v>
      </c>
      <c r="O131" s="418">
        <f t="shared" si="30"/>
        <v>2989955.0665199999</v>
      </c>
      <c r="P131" s="418">
        <f t="shared" si="30"/>
        <v>3999717.8644699999</v>
      </c>
      <c r="Q131" s="418">
        <f t="shared" si="30"/>
        <v>4546181.8420299999</v>
      </c>
      <c r="R131" s="437">
        <f>SUM(F131:Q131)</f>
        <v>39215661.646499991</v>
      </c>
      <c r="S131" s="335"/>
      <c r="T131" s="415"/>
    </row>
    <row r="132" spans="1:20" s="336" customFormat="1" x14ac:dyDescent="0.2">
      <c r="F132" s="418"/>
      <c r="G132" s="418"/>
      <c r="H132" s="418"/>
      <c r="I132" s="418"/>
      <c r="J132" s="418"/>
      <c r="K132" s="418"/>
      <c r="L132" s="418"/>
      <c r="M132" s="418"/>
      <c r="N132" s="418"/>
      <c r="O132" s="418"/>
      <c r="P132" s="418"/>
      <c r="Q132" s="418"/>
      <c r="R132" s="437"/>
      <c r="S132" s="335"/>
      <c r="T132" s="415"/>
    </row>
    <row r="133" spans="1:20" x14ac:dyDescent="0.2">
      <c r="B133" s="276" t="s">
        <v>1080</v>
      </c>
      <c r="C133" s="276"/>
      <c r="F133" s="390"/>
      <c r="G133" s="390"/>
      <c r="H133" s="390"/>
      <c r="I133" s="390"/>
      <c r="J133" s="390"/>
      <c r="S133" s="32"/>
      <c r="T133" s="32"/>
    </row>
    <row r="134" spans="1:20" x14ac:dyDescent="0.2">
      <c r="B134" s="276" t="s">
        <v>5</v>
      </c>
      <c r="C134" s="276"/>
      <c r="F134" s="390"/>
      <c r="G134" s="390"/>
      <c r="H134" s="390"/>
      <c r="I134" s="390"/>
      <c r="J134" s="390"/>
      <c r="S134" s="32"/>
      <c r="T134" s="32"/>
    </row>
    <row r="135" spans="1:20" x14ac:dyDescent="0.2">
      <c r="B135" s="32" t="s">
        <v>1059</v>
      </c>
      <c r="D135" s="444" t="s">
        <v>808</v>
      </c>
      <c r="E135" s="32" t="s">
        <v>976</v>
      </c>
      <c r="F135" s="414">
        <v>431.69</v>
      </c>
      <c r="G135" s="414">
        <v>431.69</v>
      </c>
      <c r="H135" s="414">
        <v>431.69</v>
      </c>
      <c r="I135" s="414">
        <v>431.69</v>
      </c>
      <c r="J135" s="414">
        <v>431.69</v>
      </c>
      <c r="K135" s="414">
        <v>431.69</v>
      </c>
      <c r="L135" s="414">
        <v>431.69</v>
      </c>
      <c r="M135" s="414">
        <v>431.69</v>
      </c>
      <c r="N135" s="414">
        <v>431.69</v>
      </c>
      <c r="O135" s="414">
        <v>431.69</v>
      </c>
      <c r="P135" s="414">
        <v>431.69</v>
      </c>
      <c r="Q135" s="414">
        <v>431.69</v>
      </c>
      <c r="S135" s="32"/>
      <c r="T135" s="32"/>
    </row>
    <row r="136" spans="1:20" x14ac:dyDescent="0.2">
      <c r="B136" s="32" t="s">
        <v>1047</v>
      </c>
      <c r="D136" s="444"/>
      <c r="F136" s="393"/>
      <c r="G136" s="393"/>
      <c r="H136" s="393"/>
      <c r="I136" s="393"/>
      <c r="J136" s="393"/>
      <c r="K136" s="393"/>
      <c r="L136" s="393"/>
      <c r="M136" s="393"/>
      <c r="N136" s="393"/>
      <c r="O136" s="393"/>
      <c r="P136" s="393"/>
      <c r="Q136" s="393"/>
      <c r="S136" s="32"/>
      <c r="T136" s="32"/>
    </row>
    <row r="137" spans="1:20" x14ac:dyDescent="0.2">
      <c r="C137" s="32" t="s">
        <v>1065</v>
      </c>
      <c r="D137" s="444" t="s">
        <v>808</v>
      </c>
      <c r="E137" s="32" t="s">
        <v>957</v>
      </c>
      <c r="F137" s="395">
        <v>0.14354</v>
      </c>
      <c r="G137" s="395">
        <v>0.14354</v>
      </c>
      <c r="H137" s="395">
        <v>0.14354</v>
      </c>
      <c r="I137" s="395">
        <v>0.14354</v>
      </c>
      <c r="J137" s="395">
        <v>0.14354</v>
      </c>
      <c r="K137" s="395">
        <v>0.14354</v>
      </c>
      <c r="L137" s="395">
        <v>0.14354</v>
      </c>
      <c r="M137" s="395">
        <v>0.14354</v>
      </c>
      <c r="N137" s="395">
        <v>0.14354</v>
      </c>
      <c r="O137" s="395">
        <v>0.14354</v>
      </c>
      <c r="P137" s="395">
        <v>0.14354</v>
      </c>
      <c r="Q137" s="395">
        <v>0.14354</v>
      </c>
      <c r="S137" s="32"/>
      <c r="T137" s="32"/>
    </row>
    <row r="138" spans="1:20" x14ac:dyDescent="0.2">
      <c r="C138" s="32" t="s">
        <v>1066</v>
      </c>
      <c r="D138" s="444" t="s">
        <v>808</v>
      </c>
      <c r="E138" s="32" t="s">
        <v>957</v>
      </c>
      <c r="F138" s="395">
        <v>0.11713999999999999</v>
      </c>
      <c r="G138" s="395">
        <v>0.11713999999999999</v>
      </c>
      <c r="H138" s="395">
        <v>0.11713999999999999</v>
      </c>
      <c r="I138" s="395">
        <v>0.11713999999999999</v>
      </c>
      <c r="J138" s="395">
        <v>0.11713999999999999</v>
      </c>
      <c r="K138" s="395">
        <v>0.11713999999999999</v>
      </c>
      <c r="L138" s="395">
        <v>0.11713999999999999</v>
      </c>
      <c r="M138" s="395">
        <v>0.11713999999999999</v>
      </c>
      <c r="N138" s="395">
        <v>0.11713999999999999</v>
      </c>
      <c r="O138" s="395">
        <v>0.11713999999999999</v>
      </c>
      <c r="P138" s="395">
        <v>0.11713999999999999</v>
      </c>
      <c r="Q138" s="395">
        <v>0.11713999999999999</v>
      </c>
      <c r="S138" s="32"/>
      <c r="T138" s="32"/>
    </row>
    <row r="139" spans="1:20" x14ac:dyDescent="0.2">
      <c r="B139" s="336" t="s">
        <v>1081</v>
      </c>
      <c r="D139" s="444" t="s">
        <v>808</v>
      </c>
      <c r="E139" s="32" t="s">
        <v>957</v>
      </c>
      <c r="F139" s="395">
        <v>6.9999999999999999E-4</v>
      </c>
      <c r="G139" s="395">
        <v>6.9999999999999999E-4</v>
      </c>
      <c r="H139" s="395">
        <v>6.9999999999999999E-4</v>
      </c>
      <c r="I139" s="395">
        <v>6.9999999999999999E-4</v>
      </c>
      <c r="J139" s="395">
        <v>6.9999999999999999E-4</v>
      </c>
      <c r="K139" s="395">
        <v>6.9999999999999999E-4</v>
      </c>
      <c r="L139" s="395">
        <v>6.9999999999999999E-4</v>
      </c>
      <c r="M139" s="395">
        <v>6.9999999999999999E-4</v>
      </c>
      <c r="N139" s="395">
        <v>6.9999999999999999E-4</v>
      </c>
      <c r="O139" s="395">
        <v>6.9999999999999999E-4</v>
      </c>
      <c r="P139" s="395">
        <v>6.9999999999999999E-4</v>
      </c>
      <c r="Q139" s="395">
        <v>6.9999999999999999E-4</v>
      </c>
      <c r="S139" s="32"/>
      <c r="T139" s="32"/>
    </row>
    <row r="140" spans="1:20" x14ac:dyDescent="0.2">
      <c r="B140" s="32" t="s">
        <v>1082</v>
      </c>
      <c r="F140" s="395">
        <v>-5.1999999999999998E-3</v>
      </c>
      <c r="G140" s="395">
        <v>-5.1999999999999998E-3</v>
      </c>
      <c r="H140" s="395">
        <v>-5.1999999999999998E-3</v>
      </c>
      <c r="I140" s="395">
        <v>-5.1999999999999998E-3</v>
      </c>
      <c r="J140" s="395">
        <v>-5.1999999999999998E-3</v>
      </c>
      <c r="K140" s="395">
        <v>-5.1999999999999998E-3</v>
      </c>
      <c r="L140" s="395">
        <v>-5.1999999999999998E-3</v>
      </c>
      <c r="M140" s="395">
        <v>-5.1999999999999998E-3</v>
      </c>
      <c r="N140" s="395">
        <v>-5.1999999999999998E-3</v>
      </c>
      <c r="O140" s="395">
        <v>-5.1999999999999998E-3</v>
      </c>
      <c r="P140" s="395">
        <v>-5.1999999999999998E-3</v>
      </c>
      <c r="Q140" s="395">
        <v>-5.1999999999999998E-3</v>
      </c>
      <c r="S140" s="32"/>
      <c r="T140" s="32"/>
    </row>
    <row r="141" spans="1:20" x14ac:dyDescent="0.2">
      <c r="A141" s="336"/>
      <c r="B141" s="32" t="s">
        <v>1203</v>
      </c>
      <c r="D141" s="444" t="s">
        <v>808</v>
      </c>
      <c r="E141" s="32" t="s">
        <v>957</v>
      </c>
      <c r="F141" s="414">
        <v>1.1399999999999999</v>
      </c>
      <c r="G141" s="414">
        <v>1.1399999999999999</v>
      </c>
      <c r="H141" s="414">
        <v>1.1399999999999999</v>
      </c>
      <c r="I141" s="414">
        <v>1.1399999999999999</v>
      </c>
      <c r="J141" s="414">
        <v>1.1399999999999999</v>
      </c>
      <c r="K141" s="414">
        <v>1.1399999999999999</v>
      </c>
      <c r="L141" s="414">
        <v>1.1399999999999999</v>
      </c>
      <c r="M141" s="414">
        <v>1.1399999999999999</v>
      </c>
      <c r="N141" s="414">
        <v>1.1399999999999999</v>
      </c>
      <c r="O141" s="414">
        <v>1.1399999999999999</v>
      </c>
      <c r="P141" s="414">
        <v>1.1399999999999999</v>
      </c>
      <c r="Q141" s="414">
        <v>1.1399999999999999</v>
      </c>
      <c r="S141" s="32"/>
      <c r="T141" s="32"/>
    </row>
    <row r="142" spans="1:20" x14ac:dyDescent="0.2">
      <c r="B142" s="32" t="s">
        <v>1071</v>
      </c>
      <c r="D142" s="444" t="s">
        <v>808</v>
      </c>
      <c r="E142" s="32" t="s">
        <v>67</v>
      </c>
      <c r="F142" s="414">
        <v>129.19</v>
      </c>
      <c r="G142" s="414">
        <v>129.19</v>
      </c>
      <c r="H142" s="414">
        <v>129.19</v>
      </c>
      <c r="I142" s="414">
        <v>129.19</v>
      </c>
      <c r="J142" s="414">
        <v>129.19</v>
      </c>
      <c r="K142" s="414">
        <v>129.19</v>
      </c>
      <c r="L142" s="414">
        <v>129.19</v>
      </c>
      <c r="M142" s="414">
        <v>129.19</v>
      </c>
      <c r="N142" s="414">
        <v>129.19</v>
      </c>
      <c r="O142" s="414">
        <v>129.19</v>
      </c>
      <c r="P142" s="414">
        <v>129.19</v>
      </c>
      <c r="Q142" s="414">
        <v>129.19</v>
      </c>
      <c r="S142" s="32"/>
      <c r="T142" s="32"/>
    </row>
    <row r="143" spans="1:20" x14ac:dyDescent="0.2">
      <c r="S143" s="32"/>
      <c r="T143" s="32"/>
    </row>
    <row r="144" spans="1:20" x14ac:dyDescent="0.2">
      <c r="B144" s="276" t="s">
        <v>1083</v>
      </c>
      <c r="S144" s="32"/>
      <c r="T144" s="32"/>
    </row>
    <row r="145" spans="1:20" x14ac:dyDescent="0.2">
      <c r="B145" s="32" t="s">
        <v>67</v>
      </c>
      <c r="E145" s="32" t="s">
        <v>67</v>
      </c>
      <c r="F145" s="397">
        <f>'JKP-3.1c - Data'!C143</f>
        <v>10</v>
      </c>
      <c r="G145" s="397">
        <f>'JKP-3.1c - Data'!D143</f>
        <v>10</v>
      </c>
      <c r="H145" s="397">
        <f>'JKP-3.1c - Data'!E143</f>
        <v>10</v>
      </c>
      <c r="I145" s="397">
        <f>'JKP-3.1c - Data'!F143</f>
        <v>10</v>
      </c>
      <c r="J145" s="397">
        <f>'JKP-3.1c - Data'!G143</f>
        <v>10</v>
      </c>
      <c r="K145" s="397">
        <f>'JKP-3.1c - Data'!H143</f>
        <v>10</v>
      </c>
      <c r="L145" s="397">
        <f>'JKP-3.1c - Data'!I143</f>
        <v>10</v>
      </c>
      <c r="M145" s="397">
        <f>'JKP-3.1c - Data'!J143</f>
        <v>10</v>
      </c>
      <c r="N145" s="397">
        <f>'JKP-3.1c - Data'!K143</f>
        <v>11</v>
      </c>
      <c r="O145" s="397">
        <f>'JKP-3.1c - Data'!L143</f>
        <v>12</v>
      </c>
      <c r="P145" s="397">
        <f>'JKP-3.1c - Data'!M143</f>
        <v>20</v>
      </c>
      <c r="Q145" s="397">
        <f>'JKP-3.1c - Data'!N143</f>
        <v>30</v>
      </c>
      <c r="R145" s="398">
        <f>SUM(F145:Q145)</f>
        <v>153</v>
      </c>
      <c r="S145" s="32"/>
      <c r="T145" s="32"/>
    </row>
    <row r="146" spans="1:20" x14ac:dyDescent="0.2">
      <c r="B146" s="32" t="s">
        <v>76</v>
      </c>
      <c r="D146" s="336"/>
      <c r="E146" s="336"/>
      <c r="F146" s="380"/>
      <c r="G146" s="380"/>
      <c r="H146" s="380"/>
      <c r="I146" s="380"/>
      <c r="J146" s="380"/>
      <c r="K146" s="380"/>
      <c r="L146" s="380"/>
      <c r="M146" s="380"/>
      <c r="N146" s="380"/>
      <c r="O146" s="380"/>
      <c r="P146" s="380"/>
      <c r="Q146" s="380"/>
      <c r="R146" s="378"/>
      <c r="S146" s="32"/>
      <c r="T146" s="32"/>
    </row>
    <row r="147" spans="1:20" x14ac:dyDescent="0.2">
      <c r="C147" s="32" t="s">
        <v>1073</v>
      </c>
      <c r="D147" s="444" t="s">
        <v>808</v>
      </c>
      <c r="E147" s="336" t="s">
        <v>10</v>
      </c>
      <c r="F147" s="421">
        <f>'JKP-3.1c - Rev Actual Rates'!F158</f>
        <v>9000</v>
      </c>
      <c r="G147" s="421">
        <f>'JKP-3.1c - Rev Actual Rates'!G158</f>
        <v>9000</v>
      </c>
      <c r="H147" s="421">
        <f>'JKP-3.1c - Rev Actual Rates'!H158</f>
        <v>9000</v>
      </c>
      <c r="I147" s="421">
        <f>'JKP-3.1c - Rev Actual Rates'!I158</f>
        <v>9000</v>
      </c>
      <c r="J147" s="421">
        <f>'JKP-3.1c - Rev Actual Rates'!J158</f>
        <v>9000</v>
      </c>
      <c r="K147" s="421">
        <f>'JKP-3.1c - Rev Actual Rates'!K158</f>
        <v>9000</v>
      </c>
      <c r="L147" s="421">
        <f>'JKP-3.1c - Rev Actual Rates'!L158</f>
        <v>9000</v>
      </c>
      <c r="M147" s="421">
        <f>'JKP-3.1c - Rev Actual Rates'!M158</f>
        <v>8730</v>
      </c>
      <c r="N147" s="421">
        <f>'JKP-3.1c - Rev Actual Rates'!N158</f>
        <v>10283</v>
      </c>
      <c r="O147" s="421">
        <f>'JKP-3.1c - Rev Actual Rates'!O158</f>
        <v>10800</v>
      </c>
      <c r="P147" s="421">
        <f>'JKP-3.1c - Rev Actual Rates'!P158</f>
        <v>18000</v>
      </c>
      <c r="Q147" s="421">
        <f>'JKP-3.1c - Rev Actual Rates'!Q158</f>
        <v>27000</v>
      </c>
      <c r="R147" s="378">
        <f t="shared" ref="R147:R152" si="31">SUM(F147:Q147)</f>
        <v>137813</v>
      </c>
      <c r="S147" s="32"/>
      <c r="T147" s="32"/>
    </row>
    <row r="148" spans="1:20" s="336" customFormat="1" x14ac:dyDescent="0.2">
      <c r="C148" s="32" t="s">
        <v>1074</v>
      </c>
      <c r="D148" s="444" t="s">
        <v>808</v>
      </c>
      <c r="E148" s="336" t="s">
        <v>10</v>
      </c>
      <c r="F148" s="421">
        <f>'JKP-3.1c - Rev Actual Rates'!F159</f>
        <v>33855</v>
      </c>
      <c r="G148" s="421">
        <f>'JKP-3.1c - Rev Actual Rates'!G159</f>
        <v>32604</v>
      </c>
      <c r="H148" s="421">
        <f>'JKP-3.1c - Rev Actual Rates'!H159</f>
        <v>33321</v>
      </c>
      <c r="I148" s="421">
        <f>'JKP-3.1c - Rev Actual Rates'!I159</f>
        <v>31834</v>
      </c>
      <c r="J148" s="421">
        <f>'JKP-3.1c - Rev Actual Rates'!J159</f>
        <v>31568</v>
      </c>
      <c r="K148" s="421">
        <f>'JKP-3.1c - Rev Actual Rates'!K159</f>
        <v>28419</v>
      </c>
      <c r="L148" s="421">
        <f>'JKP-3.1c - Rev Actual Rates'!L159</f>
        <v>27720</v>
      </c>
      <c r="M148" s="421">
        <f>'JKP-3.1c - Rev Actual Rates'!M159</f>
        <v>24993</v>
      </c>
      <c r="N148" s="421">
        <f>'JKP-3.1c - Rev Actual Rates'!N159</f>
        <v>32804</v>
      </c>
      <c r="O148" s="421">
        <f>'JKP-3.1c - Rev Actual Rates'!O159</f>
        <v>35856</v>
      </c>
      <c r="P148" s="421">
        <f>'JKP-3.1c - Rev Actual Rates'!P159</f>
        <v>71760</v>
      </c>
      <c r="Q148" s="421">
        <f>'JKP-3.1c - Rev Actual Rates'!Q159</f>
        <v>112844</v>
      </c>
      <c r="R148" s="378">
        <f t="shared" si="31"/>
        <v>497578</v>
      </c>
    </row>
    <row r="149" spans="1:20" s="336" customFormat="1" x14ac:dyDescent="0.2">
      <c r="C149" s="32" t="s">
        <v>1066</v>
      </c>
      <c r="D149" s="444" t="s">
        <v>808</v>
      </c>
      <c r="E149" s="336" t="s">
        <v>10</v>
      </c>
      <c r="F149" s="421">
        <f>'JKP-3.1c - Rev Actual Rates'!F160</f>
        <v>57836</v>
      </c>
      <c r="G149" s="421">
        <f>'JKP-3.1c - Rev Actual Rates'!G160</f>
        <v>55602</v>
      </c>
      <c r="H149" s="421">
        <f>'JKP-3.1c - Rev Actual Rates'!H160</f>
        <v>75339</v>
      </c>
      <c r="I149" s="421">
        <f>'JKP-3.1c - Rev Actual Rates'!I160</f>
        <v>73828</v>
      </c>
      <c r="J149" s="421">
        <f>'JKP-3.1c - Rev Actual Rates'!J160</f>
        <v>62393</v>
      </c>
      <c r="K149" s="421">
        <f>'JKP-3.1c - Rev Actual Rates'!K160</f>
        <v>52202</v>
      </c>
      <c r="L149" s="421">
        <f>'JKP-3.1c - Rev Actual Rates'!L160</f>
        <v>59668</v>
      </c>
      <c r="M149" s="421">
        <f>'JKP-3.1c - Rev Actual Rates'!M160</f>
        <v>56940</v>
      </c>
      <c r="N149" s="421">
        <f>'JKP-3.1c - Rev Actual Rates'!N160</f>
        <v>88560</v>
      </c>
      <c r="O149" s="421">
        <f>'JKP-3.1c - Rev Actual Rates'!O160</f>
        <v>90619</v>
      </c>
      <c r="P149" s="421">
        <f>'JKP-3.1c - Rev Actual Rates'!P160</f>
        <v>138545</v>
      </c>
      <c r="Q149" s="421">
        <f>'JKP-3.1c - Rev Actual Rates'!Q160</f>
        <v>178640</v>
      </c>
      <c r="R149" s="378">
        <f t="shared" si="31"/>
        <v>990172</v>
      </c>
    </row>
    <row r="150" spans="1:20" x14ac:dyDescent="0.2">
      <c r="C150" s="32" t="s">
        <v>1075</v>
      </c>
      <c r="D150" s="444" t="s">
        <v>808</v>
      </c>
      <c r="E150" s="32" t="s">
        <v>10</v>
      </c>
      <c r="F150" s="443">
        <f>'JKP-3.1c - Rev Actual Rates'!F161</f>
        <v>100691</v>
      </c>
      <c r="G150" s="443">
        <f>'JKP-3.1c - Rev Actual Rates'!G161</f>
        <v>97206</v>
      </c>
      <c r="H150" s="443">
        <f>'JKP-3.1c - Rev Actual Rates'!H161</f>
        <v>117660</v>
      </c>
      <c r="I150" s="443">
        <f>'JKP-3.1c - Rev Actual Rates'!I161</f>
        <v>114662</v>
      </c>
      <c r="J150" s="443">
        <f>'JKP-3.1c - Rev Actual Rates'!J161</f>
        <v>102961</v>
      </c>
      <c r="K150" s="443">
        <f>'JKP-3.1c - Rev Actual Rates'!K161</f>
        <v>89621</v>
      </c>
      <c r="L150" s="443">
        <f>'JKP-3.1c - Rev Actual Rates'!L161</f>
        <v>96388</v>
      </c>
      <c r="M150" s="443">
        <f>'JKP-3.1c - Rev Actual Rates'!M161</f>
        <v>90663</v>
      </c>
      <c r="N150" s="443">
        <f>'JKP-3.1c - Rev Actual Rates'!N161</f>
        <v>131647</v>
      </c>
      <c r="O150" s="443">
        <f>'JKP-3.1c - Rev Actual Rates'!O161</f>
        <v>137275</v>
      </c>
      <c r="P150" s="443">
        <f>'JKP-3.1c - Rev Actual Rates'!P161</f>
        <v>228305</v>
      </c>
      <c r="Q150" s="443">
        <f>'JKP-3.1c - Rev Actual Rates'!Q161</f>
        <v>318484</v>
      </c>
      <c r="R150" s="430">
        <f t="shared" si="31"/>
        <v>1625563</v>
      </c>
      <c r="S150" s="32"/>
      <c r="T150" s="32"/>
    </row>
    <row r="151" spans="1:20" s="336" customFormat="1" x14ac:dyDescent="0.2">
      <c r="B151" s="336" t="s">
        <v>74</v>
      </c>
      <c r="D151" s="444" t="s">
        <v>808</v>
      </c>
      <c r="E151" s="336" t="s">
        <v>1076</v>
      </c>
      <c r="F151" s="421">
        <f>'JKP-3.1c - Rev Actual Rates'!F162</f>
        <v>6680</v>
      </c>
      <c r="G151" s="421">
        <f>'JKP-3.1c - Rev Actual Rates'!G162</f>
        <v>6680</v>
      </c>
      <c r="H151" s="421">
        <f>'JKP-3.1c - Rev Actual Rates'!H162</f>
        <v>6680</v>
      </c>
      <c r="I151" s="421">
        <f>'JKP-3.1c - Rev Actual Rates'!I162</f>
        <v>6680</v>
      </c>
      <c r="J151" s="421">
        <f>'JKP-3.1c - Rev Actual Rates'!J162</f>
        <v>6679.9999999999991</v>
      </c>
      <c r="K151" s="421">
        <f>'JKP-3.1c - Rev Actual Rates'!K162</f>
        <v>6680</v>
      </c>
      <c r="L151" s="421">
        <f>'JKP-3.1c - Rev Actual Rates'!L162</f>
        <v>5996</v>
      </c>
      <c r="M151" s="421">
        <f>'JKP-3.1c - Rev Actual Rates'!M162</f>
        <v>5996</v>
      </c>
      <c r="N151" s="421">
        <f>'JKP-3.1c - Rev Actual Rates'!N162</f>
        <v>5996</v>
      </c>
      <c r="O151" s="421">
        <f>'JKP-3.1c - Rev Actual Rates'!O162</f>
        <v>8026</v>
      </c>
      <c r="P151" s="421">
        <f>'JKP-3.1c - Rev Actual Rates'!P162</f>
        <v>8026</v>
      </c>
      <c r="Q151" s="421">
        <f>'JKP-3.1c - Rev Actual Rates'!Q162</f>
        <v>12103</v>
      </c>
      <c r="R151" s="378">
        <f t="shared" si="31"/>
        <v>86223</v>
      </c>
    </row>
    <row r="152" spans="1:20" s="336" customFormat="1" x14ac:dyDescent="0.2">
      <c r="B152" s="336" t="s">
        <v>1071</v>
      </c>
      <c r="D152" s="444" t="s">
        <v>808</v>
      </c>
      <c r="E152" s="336" t="s">
        <v>67</v>
      </c>
      <c r="F152" s="398">
        <f t="shared" ref="F152:Q152" si="32">F145</f>
        <v>10</v>
      </c>
      <c r="G152" s="398">
        <f t="shared" si="32"/>
        <v>10</v>
      </c>
      <c r="H152" s="398">
        <f t="shared" si="32"/>
        <v>10</v>
      </c>
      <c r="I152" s="398">
        <f t="shared" si="32"/>
        <v>10</v>
      </c>
      <c r="J152" s="398">
        <f t="shared" si="32"/>
        <v>10</v>
      </c>
      <c r="K152" s="398">
        <f t="shared" si="32"/>
        <v>10</v>
      </c>
      <c r="L152" s="398">
        <f t="shared" si="32"/>
        <v>10</v>
      </c>
      <c r="M152" s="398">
        <f t="shared" si="32"/>
        <v>10</v>
      </c>
      <c r="N152" s="398">
        <f t="shared" si="32"/>
        <v>11</v>
      </c>
      <c r="O152" s="398">
        <f t="shared" si="32"/>
        <v>12</v>
      </c>
      <c r="P152" s="398">
        <f t="shared" si="32"/>
        <v>20</v>
      </c>
      <c r="Q152" s="398">
        <f t="shared" si="32"/>
        <v>30</v>
      </c>
      <c r="R152" s="398">
        <f t="shared" si="31"/>
        <v>153</v>
      </c>
    </row>
    <row r="153" spans="1:20" x14ac:dyDescent="0.2">
      <c r="F153" s="279"/>
      <c r="G153" s="279"/>
      <c r="H153" s="279"/>
      <c r="I153" s="279"/>
      <c r="J153" s="279"/>
      <c r="K153" s="279"/>
      <c r="L153" s="279"/>
      <c r="M153" s="279"/>
      <c r="N153" s="279"/>
      <c r="O153" s="279"/>
      <c r="P153" s="279"/>
      <c r="Q153" s="279"/>
      <c r="R153" s="279"/>
      <c r="S153" s="32"/>
      <c r="T153" s="32"/>
    </row>
    <row r="154" spans="1:20" x14ac:dyDescent="0.2">
      <c r="B154" s="276" t="s">
        <v>1084</v>
      </c>
      <c r="S154" s="32"/>
      <c r="T154" s="32"/>
    </row>
    <row r="155" spans="1:20" x14ac:dyDescent="0.2">
      <c r="A155" s="32" t="s">
        <v>1054</v>
      </c>
      <c r="B155" s="32" t="s">
        <v>1059</v>
      </c>
      <c r="D155" s="444" t="s">
        <v>808</v>
      </c>
      <c r="F155" s="364">
        <f t="shared" ref="F155:Q155" si="33">F135*F145</f>
        <v>4316.8999999999996</v>
      </c>
      <c r="G155" s="364">
        <f t="shared" si="33"/>
        <v>4316.8999999999996</v>
      </c>
      <c r="H155" s="364">
        <f t="shared" si="33"/>
        <v>4316.8999999999996</v>
      </c>
      <c r="I155" s="364">
        <f t="shared" si="33"/>
        <v>4316.8999999999996</v>
      </c>
      <c r="J155" s="364">
        <f t="shared" si="33"/>
        <v>4316.8999999999996</v>
      </c>
      <c r="K155" s="364">
        <f t="shared" si="33"/>
        <v>4316.8999999999996</v>
      </c>
      <c r="L155" s="364">
        <f t="shared" si="33"/>
        <v>4316.8999999999996</v>
      </c>
      <c r="M155" s="364">
        <f t="shared" si="33"/>
        <v>4316.8999999999996</v>
      </c>
      <c r="N155" s="364">
        <f t="shared" si="33"/>
        <v>4748.59</v>
      </c>
      <c r="O155" s="364">
        <f t="shared" si="33"/>
        <v>5180.28</v>
      </c>
      <c r="P155" s="364">
        <f t="shared" si="33"/>
        <v>8633.7999999999993</v>
      </c>
      <c r="Q155" s="364">
        <f t="shared" si="33"/>
        <v>12950.7</v>
      </c>
      <c r="R155" s="364">
        <f>SUM(F155:Q155)</f>
        <v>66048.570000000007</v>
      </c>
      <c r="S155" s="32"/>
      <c r="T155" s="32"/>
    </row>
    <row r="156" spans="1:20" x14ac:dyDescent="0.2">
      <c r="B156" s="32" t="s">
        <v>1047</v>
      </c>
      <c r="F156" s="364"/>
      <c r="G156" s="364"/>
      <c r="H156" s="364"/>
      <c r="I156" s="364"/>
      <c r="J156" s="364"/>
      <c r="K156" s="364"/>
      <c r="L156" s="364"/>
      <c r="M156" s="364"/>
      <c r="N156" s="364"/>
      <c r="O156" s="364"/>
      <c r="P156" s="364"/>
      <c r="Q156" s="364"/>
      <c r="R156" s="364"/>
      <c r="S156" s="32"/>
      <c r="T156" s="32"/>
    </row>
    <row r="157" spans="1:20" x14ac:dyDescent="0.2">
      <c r="C157" s="32" t="s">
        <v>1073</v>
      </c>
      <c r="F157" s="350">
        <v>0</v>
      </c>
      <c r="G157" s="350">
        <v>0</v>
      </c>
      <c r="H157" s="350">
        <v>0</v>
      </c>
      <c r="I157" s="350">
        <v>0</v>
      </c>
      <c r="J157" s="350">
        <v>0</v>
      </c>
      <c r="K157" s="350">
        <v>0</v>
      </c>
      <c r="L157" s="350">
        <v>0</v>
      </c>
      <c r="M157" s="350">
        <v>0</v>
      </c>
      <c r="N157" s="350">
        <v>0</v>
      </c>
      <c r="O157" s="350">
        <v>0</v>
      </c>
      <c r="P157" s="350">
        <v>0</v>
      </c>
      <c r="Q157" s="350">
        <v>0</v>
      </c>
      <c r="R157" s="350">
        <f t="shared" ref="R157:R164" si="34">SUM(F157:Q157)</f>
        <v>0</v>
      </c>
      <c r="S157" s="32"/>
      <c r="T157" s="32"/>
    </row>
    <row r="158" spans="1:20" x14ac:dyDescent="0.2">
      <c r="C158" s="32" t="s">
        <v>1074</v>
      </c>
      <c r="D158" s="444" t="s">
        <v>808</v>
      </c>
      <c r="F158" s="364">
        <f t="shared" ref="F158:Q159" si="35">F137*F148</f>
        <v>4859.5466999999999</v>
      </c>
      <c r="G158" s="364">
        <f t="shared" si="35"/>
        <v>4679.9781599999997</v>
      </c>
      <c r="H158" s="364">
        <f t="shared" si="35"/>
        <v>4782.8963400000002</v>
      </c>
      <c r="I158" s="364">
        <f t="shared" si="35"/>
        <v>4569.4523600000002</v>
      </c>
      <c r="J158" s="364">
        <f t="shared" si="35"/>
        <v>4531.2707200000004</v>
      </c>
      <c r="K158" s="364">
        <f t="shared" si="35"/>
        <v>4079.2632600000002</v>
      </c>
      <c r="L158" s="364">
        <f t="shared" si="35"/>
        <v>3978.9288000000001</v>
      </c>
      <c r="M158" s="364">
        <f t="shared" si="35"/>
        <v>3587.4952200000002</v>
      </c>
      <c r="N158" s="364">
        <f t="shared" si="35"/>
        <v>4708.6861600000002</v>
      </c>
      <c r="O158" s="364">
        <f t="shared" si="35"/>
        <v>5146.7702399999998</v>
      </c>
      <c r="P158" s="364">
        <f t="shared" si="35"/>
        <v>10300.430399999999</v>
      </c>
      <c r="Q158" s="364">
        <f t="shared" si="35"/>
        <v>16197.627759999999</v>
      </c>
      <c r="R158" s="364">
        <f t="shared" si="34"/>
        <v>71422.346119999987</v>
      </c>
      <c r="S158" s="32"/>
      <c r="T158" s="32"/>
    </row>
    <row r="159" spans="1:20" x14ac:dyDescent="0.2">
      <c r="C159" s="32" t="s">
        <v>1066</v>
      </c>
      <c r="D159" s="444" t="s">
        <v>808</v>
      </c>
      <c r="F159" s="364">
        <f t="shared" si="35"/>
        <v>6774.9090399999995</v>
      </c>
      <c r="G159" s="364">
        <f t="shared" si="35"/>
        <v>6513.21828</v>
      </c>
      <c r="H159" s="364">
        <f t="shared" si="35"/>
        <v>8825.2104600000002</v>
      </c>
      <c r="I159" s="364">
        <f t="shared" si="35"/>
        <v>8648.2119199999997</v>
      </c>
      <c r="J159" s="364">
        <f t="shared" si="35"/>
        <v>7308.7160199999998</v>
      </c>
      <c r="K159" s="364">
        <f t="shared" si="35"/>
        <v>6114.9422799999993</v>
      </c>
      <c r="L159" s="364">
        <f t="shared" si="35"/>
        <v>6989.5095199999996</v>
      </c>
      <c r="M159" s="364">
        <f t="shared" si="35"/>
        <v>6669.9515999999994</v>
      </c>
      <c r="N159" s="364">
        <f t="shared" si="35"/>
        <v>10373.918399999999</v>
      </c>
      <c r="O159" s="364">
        <f t="shared" si="35"/>
        <v>10615.10966</v>
      </c>
      <c r="P159" s="364">
        <f t="shared" si="35"/>
        <v>16229.1613</v>
      </c>
      <c r="Q159" s="364">
        <f t="shared" si="35"/>
        <v>20925.889599999999</v>
      </c>
      <c r="R159" s="364">
        <f t="shared" si="34"/>
        <v>115988.74807999999</v>
      </c>
      <c r="S159" s="32"/>
      <c r="T159" s="32"/>
    </row>
    <row r="160" spans="1:20" x14ac:dyDescent="0.2">
      <c r="A160" s="32" t="s">
        <v>1054</v>
      </c>
      <c r="C160" s="32" t="s">
        <v>1077</v>
      </c>
      <c r="F160" s="365">
        <f t="shared" ref="F160:Q160" si="36">SUM(F157:F159)</f>
        <v>11634.455739999999</v>
      </c>
      <c r="G160" s="365">
        <f t="shared" si="36"/>
        <v>11193.19644</v>
      </c>
      <c r="H160" s="365">
        <f t="shared" si="36"/>
        <v>13608.106800000001</v>
      </c>
      <c r="I160" s="365">
        <f t="shared" si="36"/>
        <v>13217.664280000001</v>
      </c>
      <c r="J160" s="365">
        <f t="shared" si="36"/>
        <v>11839.98674</v>
      </c>
      <c r="K160" s="365">
        <f t="shared" si="36"/>
        <v>10194.205539999999</v>
      </c>
      <c r="L160" s="365">
        <f t="shared" si="36"/>
        <v>10968.438319999999</v>
      </c>
      <c r="M160" s="365">
        <f t="shared" si="36"/>
        <v>10257.446819999999</v>
      </c>
      <c r="N160" s="365">
        <f t="shared" si="36"/>
        <v>15082.60456</v>
      </c>
      <c r="O160" s="365">
        <f t="shared" si="36"/>
        <v>15761.8799</v>
      </c>
      <c r="P160" s="365">
        <f t="shared" si="36"/>
        <v>26529.591699999997</v>
      </c>
      <c r="Q160" s="365">
        <f t="shared" si="36"/>
        <v>37123.517359999998</v>
      </c>
      <c r="R160" s="365">
        <f t="shared" si="34"/>
        <v>187411.09419999999</v>
      </c>
      <c r="S160" s="32"/>
      <c r="T160" s="32"/>
    </row>
    <row r="161" spans="1:20" x14ac:dyDescent="0.2">
      <c r="A161" s="32" t="s">
        <v>1056</v>
      </c>
      <c r="B161" s="336" t="s">
        <v>1081</v>
      </c>
      <c r="D161" s="444" t="s">
        <v>808</v>
      </c>
      <c r="F161" s="418">
        <f t="shared" ref="F161:Q161" si="37">F139*F150</f>
        <v>70.483699999999999</v>
      </c>
      <c r="G161" s="418">
        <f t="shared" si="37"/>
        <v>68.044200000000004</v>
      </c>
      <c r="H161" s="418">
        <f t="shared" si="37"/>
        <v>82.361999999999995</v>
      </c>
      <c r="I161" s="418">
        <f t="shared" si="37"/>
        <v>80.263400000000004</v>
      </c>
      <c r="J161" s="418">
        <f t="shared" si="37"/>
        <v>72.072699999999998</v>
      </c>
      <c r="K161" s="418">
        <f t="shared" si="37"/>
        <v>62.734699999999997</v>
      </c>
      <c r="L161" s="418">
        <f t="shared" si="37"/>
        <v>67.471599999999995</v>
      </c>
      <c r="M161" s="418">
        <f t="shared" si="37"/>
        <v>63.464100000000002</v>
      </c>
      <c r="N161" s="418">
        <f t="shared" si="37"/>
        <v>92.152900000000002</v>
      </c>
      <c r="O161" s="418">
        <f t="shared" si="37"/>
        <v>96.092500000000001</v>
      </c>
      <c r="P161" s="418">
        <f t="shared" si="37"/>
        <v>159.8135</v>
      </c>
      <c r="Q161" s="418">
        <f t="shared" si="37"/>
        <v>222.93879999999999</v>
      </c>
      <c r="R161" s="418">
        <f t="shared" si="34"/>
        <v>1137.8941</v>
      </c>
      <c r="S161" s="32"/>
      <c r="T161" s="32"/>
    </row>
    <row r="162" spans="1:20" x14ac:dyDescent="0.2">
      <c r="A162" s="32" t="s">
        <v>1054</v>
      </c>
      <c r="B162" s="32" t="s">
        <v>1082</v>
      </c>
      <c r="F162" s="418">
        <f t="shared" ref="F162:Q164" si="38">F140*F150</f>
        <v>-523.59320000000002</v>
      </c>
      <c r="G162" s="418">
        <f t="shared" si="38"/>
        <v>-505.47119999999995</v>
      </c>
      <c r="H162" s="418">
        <f t="shared" si="38"/>
        <v>-611.83199999999999</v>
      </c>
      <c r="I162" s="418">
        <f t="shared" si="38"/>
        <v>-596.24239999999998</v>
      </c>
      <c r="J162" s="418">
        <f t="shared" si="38"/>
        <v>-535.3972</v>
      </c>
      <c r="K162" s="418">
        <f t="shared" si="38"/>
        <v>-466.0292</v>
      </c>
      <c r="L162" s="418">
        <f t="shared" si="38"/>
        <v>-501.2176</v>
      </c>
      <c r="M162" s="418">
        <f t="shared" si="38"/>
        <v>-471.44759999999997</v>
      </c>
      <c r="N162" s="418">
        <f t="shared" si="38"/>
        <v>-684.56439999999998</v>
      </c>
      <c r="O162" s="418">
        <f t="shared" si="38"/>
        <v>-713.82999999999993</v>
      </c>
      <c r="P162" s="418">
        <f t="shared" si="38"/>
        <v>-1187.1859999999999</v>
      </c>
      <c r="Q162" s="418">
        <f t="shared" si="38"/>
        <v>-1656.1168</v>
      </c>
      <c r="R162" s="418">
        <f t="shared" si="34"/>
        <v>-8452.9276000000009</v>
      </c>
      <c r="S162" s="32"/>
      <c r="T162" s="32"/>
    </row>
    <row r="163" spans="1:20" x14ac:dyDescent="0.2">
      <c r="A163" s="32" t="s">
        <v>1054</v>
      </c>
      <c r="B163" s="32" t="s">
        <v>1069</v>
      </c>
      <c r="D163" s="444" t="s">
        <v>808</v>
      </c>
      <c r="F163" s="364">
        <f t="shared" si="38"/>
        <v>7615.1999999999989</v>
      </c>
      <c r="G163" s="364">
        <f t="shared" si="38"/>
        <v>7615.1999999999989</v>
      </c>
      <c r="H163" s="364">
        <f t="shared" si="38"/>
        <v>7615.1999999999989</v>
      </c>
      <c r="I163" s="364">
        <f t="shared" si="38"/>
        <v>7615.1999999999989</v>
      </c>
      <c r="J163" s="364">
        <f t="shared" si="38"/>
        <v>7615.199999999998</v>
      </c>
      <c r="K163" s="364">
        <f t="shared" si="38"/>
        <v>7615.1999999999989</v>
      </c>
      <c r="L163" s="364">
        <f t="shared" si="38"/>
        <v>6835.44</v>
      </c>
      <c r="M163" s="364">
        <f t="shared" si="38"/>
        <v>6835.44</v>
      </c>
      <c r="N163" s="364">
        <f t="shared" si="38"/>
        <v>6835.44</v>
      </c>
      <c r="O163" s="364">
        <f t="shared" si="38"/>
        <v>9149.64</v>
      </c>
      <c r="P163" s="364">
        <f t="shared" si="38"/>
        <v>9149.64</v>
      </c>
      <c r="Q163" s="364">
        <f t="shared" si="38"/>
        <v>13797.419999999998</v>
      </c>
      <c r="R163" s="364">
        <f t="shared" si="34"/>
        <v>98294.219999999987</v>
      </c>
      <c r="S163" s="32"/>
      <c r="T163" s="32"/>
    </row>
    <row r="164" spans="1:20" s="336" customFormat="1" x14ac:dyDescent="0.2">
      <c r="A164" s="336" t="s">
        <v>1054</v>
      </c>
      <c r="B164" s="336" t="s">
        <v>1071</v>
      </c>
      <c r="D164" s="444" t="s">
        <v>808</v>
      </c>
      <c r="F164" s="418">
        <f t="shared" si="38"/>
        <v>1291.9000000000001</v>
      </c>
      <c r="G164" s="418">
        <f t="shared" si="38"/>
        <v>1291.9000000000001</v>
      </c>
      <c r="H164" s="418">
        <f t="shared" si="38"/>
        <v>1291.9000000000001</v>
      </c>
      <c r="I164" s="418">
        <f t="shared" si="38"/>
        <v>1291.9000000000001</v>
      </c>
      <c r="J164" s="418">
        <f t="shared" si="38"/>
        <v>1291.9000000000001</v>
      </c>
      <c r="K164" s="418">
        <f t="shared" si="38"/>
        <v>1291.9000000000001</v>
      </c>
      <c r="L164" s="418">
        <f t="shared" si="38"/>
        <v>1291.9000000000001</v>
      </c>
      <c r="M164" s="418">
        <f t="shared" si="38"/>
        <v>1291.9000000000001</v>
      </c>
      <c r="N164" s="418">
        <f t="shared" si="38"/>
        <v>1421.09</v>
      </c>
      <c r="O164" s="418">
        <f t="shared" si="38"/>
        <v>1550.28</v>
      </c>
      <c r="P164" s="418">
        <f t="shared" si="38"/>
        <v>2583.8000000000002</v>
      </c>
      <c r="Q164" s="418">
        <f t="shared" si="38"/>
        <v>3875.7</v>
      </c>
      <c r="R164" s="418">
        <f t="shared" si="34"/>
        <v>19766.07</v>
      </c>
    </row>
    <row r="165" spans="1:20" x14ac:dyDescent="0.2">
      <c r="B165" s="32" t="s">
        <v>986</v>
      </c>
      <c r="F165" s="365">
        <f t="shared" ref="F165:R165" si="39">F155+F160+F163+F164+F161+F162</f>
        <v>24405.346239999999</v>
      </c>
      <c r="G165" s="365">
        <f t="shared" si="39"/>
        <v>23979.76944</v>
      </c>
      <c r="H165" s="365">
        <f t="shared" si="39"/>
        <v>26302.636800000004</v>
      </c>
      <c r="I165" s="365">
        <f t="shared" si="39"/>
        <v>25925.685279999998</v>
      </c>
      <c r="J165" s="365">
        <f t="shared" si="39"/>
        <v>24600.662240000001</v>
      </c>
      <c r="K165" s="365">
        <f t="shared" si="39"/>
        <v>23014.911039999999</v>
      </c>
      <c r="L165" s="365">
        <f t="shared" si="39"/>
        <v>22978.93232</v>
      </c>
      <c r="M165" s="365">
        <f t="shared" si="39"/>
        <v>22293.703320000001</v>
      </c>
      <c r="N165" s="365">
        <f t="shared" si="39"/>
        <v>27495.31306</v>
      </c>
      <c r="O165" s="365">
        <f t="shared" si="39"/>
        <v>31024.342399999994</v>
      </c>
      <c r="P165" s="365">
        <f t="shared" si="39"/>
        <v>45869.45919999999</v>
      </c>
      <c r="Q165" s="365">
        <f t="shared" si="39"/>
        <v>66314.159359999991</v>
      </c>
      <c r="R165" s="365">
        <f t="shared" si="39"/>
        <v>364204.92069999996</v>
      </c>
      <c r="S165" s="32"/>
      <c r="T165" s="32"/>
    </row>
    <row r="166" spans="1:20" x14ac:dyDescent="0.2">
      <c r="F166" s="364"/>
      <c r="G166" s="364"/>
      <c r="H166" s="364"/>
      <c r="I166" s="364"/>
      <c r="J166" s="364"/>
      <c r="K166" s="364"/>
      <c r="L166" s="364"/>
      <c r="M166" s="364"/>
      <c r="N166" s="364"/>
      <c r="O166" s="364"/>
      <c r="P166" s="364"/>
      <c r="Q166" s="364"/>
      <c r="S166" s="32"/>
      <c r="T166" s="32"/>
    </row>
    <row r="167" spans="1:20" x14ac:dyDescent="0.2">
      <c r="A167" s="32" t="s">
        <v>1058</v>
      </c>
      <c r="B167" s="32" t="s">
        <v>1050</v>
      </c>
      <c r="F167" s="364">
        <f>F161</f>
        <v>70.483699999999999</v>
      </c>
      <c r="G167" s="364">
        <f t="shared" ref="G167:Q167" si="40">G161</f>
        <v>68.044200000000004</v>
      </c>
      <c r="H167" s="364">
        <f t="shared" si="40"/>
        <v>82.361999999999995</v>
      </c>
      <c r="I167" s="364">
        <f t="shared" si="40"/>
        <v>80.263400000000004</v>
      </c>
      <c r="J167" s="364">
        <f t="shared" si="40"/>
        <v>72.072699999999998</v>
      </c>
      <c r="K167" s="364">
        <f t="shared" si="40"/>
        <v>62.734699999999997</v>
      </c>
      <c r="L167" s="364">
        <f t="shared" si="40"/>
        <v>67.471599999999995</v>
      </c>
      <c r="M167" s="364">
        <f t="shared" si="40"/>
        <v>63.464100000000002</v>
      </c>
      <c r="N167" s="364">
        <f t="shared" si="40"/>
        <v>92.152900000000002</v>
      </c>
      <c r="O167" s="364">
        <f t="shared" si="40"/>
        <v>96.092500000000001</v>
      </c>
      <c r="P167" s="364">
        <f t="shared" si="40"/>
        <v>159.8135</v>
      </c>
      <c r="Q167" s="364">
        <f t="shared" si="40"/>
        <v>222.93879999999999</v>
      </c>
      <c r="R167" s="364">
        <f>SUM(F167:Q167)</f>
        <v>1137.8941</v>
      </c>
      <c r="S167" s="32"/>
      <c r="T167" s="32"/>
    </row>
    <row r="168" spans="1:20" x14ac:dyDescent="0.2">
      <c r="F168" s="364"/>
      <c r="G168" s="364"/>
      <c r="H168" s="364"/>
      <c r="I168" s="364"/>
      <c r="J168" s="364"/>
      <c r="K168" s="364"/>
      <c r="L168" s="364"/>
      <c r="M168" s="364"/>
      <c r="N168" s="364"/>
      <c r="O168" s="364"/>
      <c r="P168" s="364"/>
      <c r="Q168" s="364"/>
      <c r="S168" s="32"/>
      <c r="T168" s="32"/>
    </row>
    <row r="169" spans="1:20" s="336" customFormat="1" x14ac:dyDescent="0.2">
      <c r="B169" s="182" t="s">
        <v>1085</v>
      </c>
      <c r="C169" s="182"/>
    </row>
    <row r="170" spans="1:20" x14ac:dyDescent="0.2">
      <c r="B170" s="276" t="s">
        <v>5</v>
      </c>
      <c r="C170" s="276"/>
      <c r="D170" s="444"/>
      <c r="S170" s="32"/>
      <c r="T170" s="32"/>
    </row>
    <row r="171" spans="1:20" x14ac:dyDescent="0.2">
      <c r="B171" s="32" t="s">
        <v>1059</v>
      </c>
      <c r="D171" s="444" t="s">
        <v>809</v>
      </c>
      <c r="E171" s="32" t="s">
        <v>976</v>
      </c>
      <c r="F171" s="414">
        <v>893.87</v>
      </c>
      <c r="G171" s="414">
        <v>893.87</v>
      </c>
      <c r="H171" s="414">
        <v>893.87</v>
      </c>
      <c r="I171" s="414">
        <v>893.87</v>
      </c>
      <c r="J171" s="414">
        <v>893.87</v>
      </c>
      <c r="K171" s="414">
        <v>893.87</v>
      </c>
      <c r="L171" s="414">
        <v>893.87</v>
      </c>
      <c r="M171" s="414">
        <v>893.87</v>
      </c>
      <c r="N171" s="414">
        <v>893.87</v>
      </c>
      <c r="O171" s="414">
        <v>893.87</v>
      </c>
      <c r="P171" s="414">
        <v>893.87</v>
      </c>
      <c r="Q171" s="414">
        <v>893.87</v>
      </c>
      <c r="S171" s="32"/>
      <c r="T171" s="32"/>
    </row>
    <row r="172" spans="1:20" x14ac:dyDescent="0.2">
      <c r="B172" s="32" t="s">
        <v>1047</v>
      </c>
      <c r="D172" s="444"/>
      <c r="F172" s="393"/>
      <c r="G172" s="393"/>
      <c r="H172" s="393"/>
      <c r="I172" s="393"/>
      <c r="J172" s="393"/>
      <c r="K172" s="393"/>
      <c r="L172" s="393"/>
      <c r="M172" s="393"/>
      <c r="N172" s="393"/>
      <c r="O172" s="393"/>
      <c r="P172" s="393"/>
      <c r="Q172" s="393"/>
      <c r="S172" s="32"/>
      <c r="T172" s="32"/>
    </row>
    <row r="173" spans="1:20" x14ac:dyDescent="0.2">
      <c r="C173" s="32" t="s">
        <v>1086</v>
      </c>
      <c r="D173" s="444" t="s">
        <v>809</v>
      </c>
      <c r="E173" s="32" t="s">
        <v>957</v>
      </c>
      <c r="F173" s="440">
        <v>0.10491</v>
      </c>
      <c r="G173" s="440">
        <v>0.10491</v>
      </c>
      <c r="H173" s="440">
        <v>0.10491</v>
      </c>
      <c r="I173" s="440">
        <v>0.10491</v>
      </c>
      <c r="J173" s="440">
        <v>0.10491</v>
      </c>
      <c r="K173" s="440">
        <v>0.10491</v>
      </c>
      <c r="L173" s="440">
        <v>0.10491</v>
      </c>
      <c r="M173" s="440">
        <v>0.10491</v>
      </c>
      <c r="N173" s="440">
        <v>0.10491</v>
      </c>
      <c r="O173" s="440">
        <v>0.10491</v>
      </c>
      <c r="P173" s="440">
        <v>0.10491</v>
      </c>
      <c r="Q173" s="440">
        <v>0.10491</v>
      </c>
      <c r="S173" s="32"/>
      <c r="T173" s="32"/>
    </row>
    <row r="174" spans="1:20" x14ac:dyDescent="0.2">
      <c r="C174" s="32" t="s">
        <v>1087</v>
      </c>
      <c r="D174" s="444" t="s">
        <v>809</v>
      </c>
      <c r="E174" s="32" t="s">
        <v>957</v>
      </c>
      <c r="F174" s="440">
        <v>5.3780000000000001E-2</v>
      </c>
      <c r="G174" s="440">
        <v>5.3780000000000001E-2</v>
      </c>
      <c r="H174" s="440">
        <v>5.3780000000000001E-2</v>
      </c>
      <c r="I174" s="440">
        <v>5.3780000000000001E-2</v>
      </c>
      <c r="J174" s="440">
        <v>5.3780000000000001E-2</v>
      </c>
      <c r="K174" s="440">
        <v>5.3780000000000001E-2</v>
      </c>
      <c r="L174" s="440">
        <v>5.3780000000000001E-2</v>
      </c>
      <c r="M174" s="440">
        <v>5.3780000000000001E-2</v>
      </c>
      <c r="N174" s="440">
        <v>5.3780000000000001E-2</v>
      </c>
      <c r="O174" s="440">
        <v>5.3780000000000001E-2</v>
      </c>
      <c r="P174" s="440">
        <v>5.3780000000000001E-2</v>
      </c>
      <c r="Q174" s="440">
        <v>5.3780000000000001E-2</v>
      </c>
      <c r="S174" s="32"/>
      <c r="T174" s="32"/>
    </row>
    <row r="175" spans="1:20" x14ac:dyDescent="0.2">
      <c r="C175" s="32" t="s">
        <v>1088</v>
      </c>
      <c r="D175" s="444" t="s">
        <v>809</v>
      </c>
      <c r="E175" s="32" t="s">
        <v>957</v>
      </c>
      <c r="F175" s="440">
        <v>5.1619999999999999E-2</v>
      </c>
      <c r="G175" s="440">
        <v>5.1619999999999999E-2</v>
      </c>
      <c r="H175" s="440">
        <v>5.1619999999999999E-2</v>
      </c>
      <c r="I175" s="440">
        <v>5.1619999999999999E-2</v>
      </c>
      <c r="J175" s="440">
        <v>5.1619999999999999E-2</v>
      </c>
      <c r="K175" s="440">
        <v>5.1619999999999999E-2</v>
      </c>
      <c r="L175" s="440">
        <v>5.1619999999999999E-2</v>
      </c>
      <c r="M175" s="440">
        <v>5.1619999999999999E-2</v>
      </c>
      <c r="N175" s="440">
        <v>5.1619999999999999E-2</v>
      </c>
      <c r="O175" s="440">
        <v>5.1619999999999999E-2</v>
      </c>
      <c r="P175" s="440">
        <v>5.1619999999999999E-2</v>
      </c>
      <c r="Q175" s="440">
        <v>5.1619999999999999E-2</v>
      </c>
      <c r="S175" s="32"/>
      <c r="T175" s="32"/>
    </row>
    <row r="176" spans="1:20" s="336" customFormat="1" x14ac:dyDescent="0.2">
      <c r="B176" s="336" t="s">
        <v>1081</v>
      </c>
      <c r="D176" s="382" t="s">
        <v>809</v>
      </c>
      <c r="E176" s="336" t="s">
        <v>957</v>
      </c>
      <c r="F176" s="440">
        <v>6.9999999999999999E-4</v>
      </c>
      <c r="G176" s="440">
        <v>6.9999999999999999E-4</v>
      </c>
      <c r="H176" s="440">
        <v>6.9999999999999999E-4</v>
      </c>
      <c r="I176" s="440">
        <v>6.9999999999999999E-4</v>
      </c>
      <c r="J176" s="440">
        <v>6.9999999999999999E-4</v>
      </c>
      <c r="K176" s="440">
        <v>6.9999999999999999E-4</v>
      </c>
      <c r="L176" s="440">
        <v>6.9999999999999999E-4</v>
      </c>
      <c r="M176" s="440">
        <v>6.9999999999999999E-4</v>
      </c>
      <c r="N176" s="440">
        <v>6.9999999999999999E-4</v>
      </c>
      <c r="O176" s="440">
        <v>6.9999999999999999E-4</v>
      </c>
      <c r="P176" s="440">
        <v>6.9999999999999999E-4</v>
      </c>
      <c r="Q176" s="440">
        <v>6.9999999999999999E-4</v>
      </c>
    </row>
    <row r="177" spans="1:18" s="336" customFormat="1" x14ac:dyDescent="0.2">
      <c r="B177" s="336" t="s">
        <v>1069</v>
      </c>
      <c r="D177" s="382" t="s">
        <v>809</v>
      </c>
      <c r="E177" s="336" t="s">
        <v>957</v>
      </c>
      <c r="F177" s="442">
        <v>1.1399999999999999</v>
      </c>
      <c r="G177" s="442">
        <v>1.1399999999999999</v>
      </c>
      <c r="H177" s="442">
        <v>1.1399999999999999</v>
      </c>
      <c r="I177" s="442">
        <v>1.1399999999999999</v>
      </c>
      <c r="J177" s="442">
        <v>1.1399999999999999</v>
      </c>
      <c r="K177" s="442">
        <v>1.1399999999999999</v>
      </c>
      <c r="L177" s="442">
        <v>1.1399999999999999</v>
      </c>
      <c r="M177" s="442">
        <v>1.1399999999999999</v>
      </c>
      <c r="N177" s="442">
        <v>1.1399999999999999</v>
      </c>
      <c r="O177" s="442">
        <v>1.1399999999999999</v>
      </c>
      <c r="P177" s="442">
        <v>1.1399999999999999</v>
      </c>
      <c r="Q177" s="442">
        <v>1.1399999999999999</v>
      </c>
    </row>
    <row r="178" spans="1:18" s="336" customFormat="1" x14ac:dyDescent="0.2">
      <c r="B178" s="336" t="s">
        <v>1071</v>
      </c>
      <c r="D178" s="382" t="s">
        <v>809</v>
      </c>
      <c r="E178" s="336" t="s">
        <v>67</v>
      </c>
      <c r="F178" s="442"/>
      <c r="G178" s="442"/>
      <c r="H178" s="442"/>
      <c r="I178" s="442"/>
      <c r="J178" s="442"/>
      <c r="K178" s="442"/>
      <c r="L178" s="442"/>
      <c r="M178" s="442"/>
      <c r="N178" s="460"/>
      <c r="O178" s="460"/>
      <c r="P178" s="460"/>
      <c r="Q178" s="460"/>
    </row>
    <row r="179" spans="1:18" s="336" customFormat="1" x14ac:dyDescent="0.2"/>
    <row r="180" spans="1:18" s="336" customFormat="1" x14ac:dyDescent="0.2">
      <c r="B180" s="182" t="s">
        <v>982</v>
      </c>
    </row>
    <row r="181" spans="1:18" s="336" customFormat="1" x14ac:dyDescent="0.2">
      <c r="B181" s="336" t="s">
        <v>67</v>
      </c>
      <c r="D181" s="444" t="s">
        <v>809</v>
      </c>
      <c r="E181" s="336" t="s">
        <v>67</v>
      </c>
      <c r="F181" s="421">
        <f>'JKP-3.1c - Data'!C148</f>
        <v>35</v>
      </c>
      <c r="G181" s="421">
        <f>'JKP-3.1c - Data'!D148</f>
        <v>37</v>
      </c>
      <c r="H181" s="421">
        <f>'JKP-3.1c - Data'!E148</f>
        <v>36</v>
      </c>
      <c r="I181" s="421">
        <f>'JKP-3.1c - Data'!F148</f>
        <v>36</v>
      </c>
      <c r="J181" s="421">
        <f>'JKP-3.1c - Data'!G148</f>
        <v>37</v>
      </c>
      <c r="K181" s="421">
        <f>'JKP-3.1c - Data'!H148</f>
        <v>37</v>
      </c>
      <c r="L181" s="421">
        <f>'JKP-3.1c - Data'!I148</f>
        <v>37</v>
      </c>
      <c r="M181" s="421">
        <f>'JKP-3.1c - Data'!J148</f>
        <v>37</v>
      </c>
      <c r="N181" s="421">
        <f>'JKP-3.1c - Data'!K148</f>
        <v>37</v>
      </c>
      <c r="O181" s="421">
        <f>'JKP-3.1c - Data'!L148</f>
        <v>36</v>
      </c>
      <c r="P181" s="421">
        <f>'JKP-3.1c - Data'!M148</f>
        <v>35</v>
      </c>
      <c r="Q181" s="421">
        <f>'JKP-3.1c - Data'!N148</f>
        <v>35</v>
      </c>
      <c r="R181" s="362">
        <f>SUM(F181:Q181)</f>
        <v>435</v>
      </c>
    </row>
    <row r="182" spans="1:18" s="336" customFormat="1" x14ac:dyDescent="0.2">
      <c r="B182" s="336" t="s">
        <v>76</v>
      </c>
      <c r="F182" s="380"/>
      <c r="G182" s="380"/>
      <c r="H182" s="380"/>
      <c r="I182" s="380"/>
      <c r="J182" s="380"/>
      <c r="K182" s="380"/>
      <c r="L182" s="380"/>
      <c r="M182" s="380"/>
      <c r="N182" s="380"/>
      <c r="O182" s="380"/>
      <c r="P182" s="380"/>
      <c r="Q182" s="380"/>
    </row>
    <row r="183" spans="1:18" s="336" customFormat="1" x14ac:dyDescent="0.2">
      <c r="C183" s="336" t="s">
        <v>1086</v>
      </c>
      <c r="D183" s="444" t="s">
        <v>809</v>
      </c>
      <c r="E183" s="336" t="s">
        <v>10</v>
      </c>
      <c r="F183" s="421">
        <f>'JKP-3.1c - Rev Actual Rates'!F194</f>
        <v>835710</v>
      </c>
      <c r="G183" s="421">
        <f>'JKP-3.1c - Rev Actual Rates'!G194</f>
        <v>829317</v>
      </c>
      <c r="H183" s="421">
        <f>'JKP-3.1c - Rev Actual Rates'!H194</f>
        <v>856671</v>
      </c>
      <c r="I183" s="421">
        <f>'JKP-3.1c - Rev Actual Rates'!I194</f>
        <v>854188</v>
      </c>
      <c r="J183" s="421">
        <f>'JKP-3.1c - Rev Actual Rates'!J194</f>
        <v>842571</v>
      </c>
      <c r="K183" s="421">
        <f>'JKP-3.1c - Rev Actual Rates'!K194</f>
        <v>839353</v>
      </c>
      <c r="L183" s="421">
        <f>'JKP-3.1c - Rev Actual Rates'!L194</f>
        <v>831109</v>
      </c>
      <c r="M183" s="421">
        <f>'JKP-3.1c - Rev Actual Rates'!M194</f>
        <v>840441</v>
      </c>
      <c r="N183" s="421">
        <f>'JKP-3.1c - Rev Actual Rates'!N194</f>
        <v>825435</v>
      </c>
      <c r="O183" s="421">
        <f>'JKP-3.1c - Rev Actual Rates'!O194</f>
        <v>826176</v>
      </c>
      <c r="P183" s="421">
        <f>'JKP-3.1c - Rev Actual Rates'!P194</f>
        <v>832441</v>
      </c>
      <c r="Q183" s="421">
        <f>'JKP-3.1c - Rev Actual Rates'!Q194</f>
        <v>797486</v>
      </c>
      <c r="R183" s="362">
        <f>SUM(F183:Q183)</f>
        <v>10010898</v>
      </c>
    </row>
    <row r="184" spans="1:18" s="336" customFormat="1" x14ac:dyDescent="0.2">
      <c r="C184" s="336" t="s">
        <v>1087</v>
      </c>
      <c r="D184" s="444" t="s">
        <v>809</v>
      </c>
      <c r="E184" s="336" t="s">
        <v>10</v>
      </c>
      <c r="F184" s="421">
        <f>'JKP-3.1c - Rev Actual Rates'!F195</f>
        <v>562708</v>
      </c>
      <c r="G184" s="421">
        <f>'JKP-3.1c - Rev Actual Rates'!G195</f>
        <v>542564</v>
      </c>
      <c r="H184" s="421">
        <f>'JKP-3.1c - Rev Actual Rates'!H195</f>
        <v>572338</v>
      </c>
      <c r="I184" s="421">
        <f>'JKP-3.1c - Rev Actual Rates'!I195</f>
        <v>560929</v>
      </c>
      <c r="J184" s="421">
        <f>'JKP-3.1c - Rev Actual Rates'!J195</f>
        <v>542145</v>
      </c>
      <c r="K184" s="421">
        <f>'JKP-3.1c - Rev Actual Rates'!K195</f>
        <v>532842</v>
      </c>
      <c r="L184" s="421">
        <f>'JKP-3.1c - Rev Actual Rates'!L195</f>
        <v>501530</v>
      </c>
      <c r="M184" s="421">
        <f>'JKP-3.1c - Rev Actual Rates'!M195</f>
        <v>522712</v>
      </c>
      <c r="N184" s="421">
        <f>'JKP-3.1c - Rev Actual Rates'!N195</f>
        <v>504320</v>
      </c>
      <c r="O184" s="421">
        <f>'JKP-3.1c - Rev Actual Rates'!O195</f>
        <v>546949</v>
      </c>
      <c r="P184" s="421">
        <f>'JKP-3.1c - Rev Actual Rates'!P195</f>
        <v>561163</v>
      </c>
      <c r="Q184" s="421">
        <f>'JKP-3.1c - Rev Actual Rates'!Q195</f>
        <v>573133</v>
      </c>
      <c r="R184" s="362">
        <f>SUM(F184:Q184)</f>
        <v>6523333</v>
      </c>
    </row>
    <row r="185" spans="1:18" s="336" customFormat="1" x14ac:dyDescent="0.2">
      <c r="C185" s="336" t="s">
        <v>1088</v>
      </c>
      <c r="D185" s="444" t="s">
        <v>809</v>
      </c>
      <c r="E185" s="336" t="s">
        <v>10</v>
      </c>
      <c r="F185" s="421">
        <f>'JKP-3.1c - Rev Actual Rates'!F196</f>
        <v>724575</v>
      </c>
      <c r="G185" s="421">
        <f>'JKP-3.1c - Rev Actual Rates'!G196</f>
        <v>540280</v>
      </c>
      <c r="H185" s="421">
        <f>'JKP-3.1c - Rev Actual Rates'!H196</f>
        <v>722420</v>
      </c>
      <c r="I185" s="421">
        <f>'JKP-3.1c - Rev Actual Rates'!I196</f>
        <v>566337</v>
      </c>
      <c r="J185" s="421">
        <f>'JKP-3.1c - Rev Actual Rates'!J196</f>
        <v>501703</v>
      </c>
      <c r="K185" s="421">
        <f>'JKP-3.1c - Rev Actual Rates'!K196</f>
        <v>398410</v>
      </c>
      <c r="L185" s="421">
        <f>'JKP-3.1c - Rev Actual Rates'!L196</f>
        <v>331802</v>
      </c>
      <c r="M185" s="421">
        <f>'JKP-3.1c - Rev Actual Rates'!M196</f>
        <v>358067</v>
      </c>
      <c r="N185" s="421">
        <f>'JKP-3.1c - Rev Actual Rates'!N196</f>
        <v>372450</v>
      </c>
      <c r="O185" s="421">
        <f>'JKP-3.1c - Rev Actual Rates'!O196</f>
        <v>567828</v>
      </c>
      <c r="P185" s="421">
        <f>'JKP-3.1c - Rev Actual Rates'!P196</f>
        <v>696923</v>
      </c>
      <c r="Q185" s="421">
        <f>'JKP-3.1c - Rev Actual Rates'!Q196</f>
        <v>826761</v>
      </c>
      <c r="R185" s="362">
        <f>SUM(F185:Q185)</f>
        <v>6607556</v>
      </c>
    </row>
    <row r="186" spans="1:18" s="336" customFormat="1" x14ac:dyDescent="0.2">
      <c r="C186" s="336" t="s">
        <v>1075</v>
      </c>
      <c r="D186" s="444" t="s">
        <v>809</v>
      </c>
      <c r="E186" s="336" t="s">
        <v>10</v>
      </c>
      <c r="F186" s="436">
        <f t="shared" ref="F186:Q186" si="41">SUM(F183:F185)</f>
        <v>2122993</v>
      </c>
      <c r="G186" s="436">
        <f t="shared" si="41"/>
        <v>1912161</v>
      </c>
      <c r="H186" s="436">
        <f t="shared" si="41"/>
        <v>2151429</v>
      </c>
      <c r="I186" s="436">
        <f t="shared" si="41"/>
        <v>1981454</v>
      </c>
      <c r="J186" s="436">
        <f t="shared" si="41"/>
        <v>1886419</v>
      </c>
      <c r="K186" s="436">
        <f t="shared" si="41"/>
        <v>1770605</v>
      </c>
      <c r="L186" s="436">
        <f t="shared" si="41"/>
        <v>1664441</v>
      </c>
      <c r="M186" s="436">
        <f t="shared" si="41"/>
        <v>1721220</v>
      </c>
      <c r="N186" s="436">
        <f t="shared" si="41"/>
        <v>1702205</v>
      </c>
      <c r="O186" s="436">
        <f t="shared" si="41"/>
        <v>1940953</v>
      </c>
      <c r="P186" s="436">
        <f t="shared" si="41"/>
        <v>2090527</v>
      </c>
      <c r="Q186" s="436">
        <f t="shared" si="41"/>
        <v>2197380</v>
      </c>
      <c r="R186" s="436">
        <f>SUM(F186:Q186)</f>
        <v>23141787</v>
      </c>
    </row>
    <row r="187" spans="1:18" s="336" customFormat="1" x14ac:dyDescent="0.2">
      <c r="B187" s="336" t="s">
        <v>74</v>
      </c>
      <c r="D187" s="444" t="s">
        <v>809</v>
      </c>
      <c r="E187" s="336" t="s">
        <v>1076</v>
      </c>
      <c r="F187" s="421">
        <f>'JKP-3.1c - Rev Actual Rates'!F198</f>
        <v>22456</v>
      </c>
      <c r="G187" s="421">
        <f>'JKP-3.1c - Rev Actual Rates'!G198</f>
        <v>24856</v>
      </c>
      <c r="H187" s="421">
        <f>'JKP-3.1c - Rev Actual Rates'!H198</f>
        <v>23656</v>
      </c>
      <c r="I187" s="421">
        <f>'JKP-3.1c - Rev Actual Rates'!I198</f>
        <v>23656</v>
      </c>
      <c r="J187" s="421">
        <f>'JKP-3.1c - Rev Actual Rates'!J198</f>
        <v>23656</v>
      </c>
      <c r="K187" s="421">
        <f>'JKP-3.1c - Rev Actual Rates'!K198</f>
        <v>23656</v>
      </c>
      <c r="L187" s="421">
        <f>'JKP-3.1c - Rev Actual Rates'!L198</f>
        <v>23656</v>
      </c>
      <c r="M187" s="421">
        <f>'JKP-3.1c - Rev Actual Rates'!M198</f>
        <v>23656</v>
      </c>
      <c r="N187" s="421">
        <f>'JKP-3.1c - Rev Actual Rates'!N198</f>
        <v>23656</v>
      </c>
      <c r="O187" s="421">
        <f>'JKP-3.1c - Rev Actual Rates'!O198</f>
        <v>21156</v>
      </c>
      <c r="P187" s="421">
        <f>'JKP-3.1c - Rev Actual Rates'!P198</f>
        <v>19656</v>
      </c>
      <c r="Q187" s="421">
        <f>'JKP-3.1c - Rev Actual Rates'!Q198</f>
        <v>19356</v>
      </c>
      <c r="R187" s="362">
        <f>SUM(F187:Q187)</f>
        <v>273072</v>
      </c>
    </row>
    <row r="188" spans="1:18" s="336" customFormat="1" x14ac:dyDescent="0.2">
      <c r="B188" s="336" t="s">
        <v>1071</v>
      </c>
      <c r="F188" s="380"/>
      <c r="G188" s="380"/>
      <c r="H188" s="380"/>
      <c r="I188" s="380"/>
      <c r="J188" s="380"/>
      <c r="K188" s="380"/>
      <c r="L188" s="380"/>
      <c r="M188" s="380"/>
      <c r="N188" s="380"/>
      <c r="O188" s="380"/>
      <c r="P188" s="380"/>
      <c r="Q188" s="380"/>
    </row>
    <row r="189" spans="1:18" s="336" customFormat="1" x14ac:dyDescent="0.2"/>
    <row r="190" spans="1:18" s="336" customFormat="1" x14ac:dyDescent="0.2">
      <c r="B190" s="182" t="s">
        <v>985</v>
      </c>
    </row>
    <row r="191" spans="1:18" s="336" customFormat="1" x14ac:dyDescent="0.2">
      <c r="A191" s="336" t="s">
        <v>1054</v>
      </c>
      <c r="B191" s="336" t="s">
        <v>1059</v>
      </c>
      <c r="D191" s="382" t="s">
        <v>809</v>
      </c>
      <c r="F191" s="418">
        <f t="shared" ref="F191:Q191" si="42">F171*F181</f>
        <v>31285.45</v>
      </c>
      <c r="G191" s="418">
        <f t="shared" si="42"/>
        <v>33073.19</v>
      </c>
      <c r="H191" s="418">
        <f t="shared" si="42"/>
        <v>32179.32</v>
      </c>
      <c r="I191" s="418">
        <f t="shared" si="42"/>
        <v>32179.32</v>
      </c>
      <c r="J191" s="418">
        <f t="shared" si="42"/>
        <v>33073.19</v>
      </c>
      <c r="K191" s="418">
        <f t="shared" si="42"/>
        <v>33073.19</v>
      </c>
      <c r="L191" s="418">
        <f t="shared" si="42"/>
        <v>33073.19</v>
      </c>
      <c r="M191" s="418">
        <f t="shared" si="42"/>
        <v>33073.19</v>
      </c>
      <c r="N191" s="418">
        <f t="shared" si="42"/>
        <v>33073.19</v>
      </c>
      <c r="O191" s="418">
        <f t="shared" si="42"/>
        <v>32179.32</v>
      </c>
      <c r="P191" s="418">
        <f t="shared" si="42"/>
        <v>31285.45</v>
      </c>
      <c r="Q191" s="418">
        <f t="shared" si="42"/>
        <v>31285.45</v>
      </c>
      <c r="R191" s="418">
        <f>SUM(F191:Q191)</f>
        <v>388833.45</v>
      </c>
    </row>
    <row r="192" spans="1:18" s="336" customFormat="1" x14ac:dyDescent="0.2">
      <c r="B192" s="336" t="s">
        <v>1047</v>
      </c>
      <c r="F192" s="418"/>
      <c r="G192" s="418"/>
      <c r="H192" s="418"/>
      <c r="I192" s="418"/>
      <c r="J192" s="418"/>
      <c r="K192" s="418"/>
      <c r="L192" s="418"/>
      <c r="M192" s="418"/>
      <c r="N192" s="418"/>
      <c r="O192" s="418"/>
      <c r="P192" s="418"/>
      <c r="Q192" s="418"/>
      <c r="R192" s="418"/>
    </row>
    <row r="193" spans="1:20" s="336" customFormat="1" x14ac:dyDescent="0.2">
      <c r="C193" s="336" t="s">
        <v>1086</v>
      </c>
      <c r="D193" s="382" t="s">
        <v>809</v>
      </c>
      <c r="F193" s="418">
        <f t="shared" ref="F193:Q195" si="43">F173*F183</f>
        <v>87674.3361</v>
      </c>
      <c r="G193" s="418">
        <f t="shared" si="43"/>
        <v>87003.646470000007</v>
      </c>
      <c r="H193" s="418">
        <f t="shared" si="43"/>
        <v>89873.354610000009</v>
      </c>
      <c r="I193" s="418">
        <f t="shared" si="43"/>
        <v>89612.863079999996</v>
      </c>
      <c r="J193" s="418">
        <f t="shared" si="43"/>
        <v>88394.12361000001</v>
      </c>
      <c r="K193" s="418">
        <f t="shared" si="43"/>
        <v>88056.523230000006</v>
      </c>
      <c r="L193" s="418">
        <f t="shared" si="43"/>
        <v>87191.645189999996</v>
      </c>
      <c r="M193" s="418">
        <f t="shared" si="43"/>
        <v>88170.665309999997</v>
      </c>
      <c r="N193" s="418">
        <f t="shared" si="43"/>
        <v>86596.385850000006</v>
      </c>
      <c r="O193" s="418">
        <f t="shared" si="43"/>
        <v>86674.124160000007</v>
      </c>
      <c r="P193" s="418">
        <f t="shared" si="43"/>
        <v>87331.385309999998</v>
      </c>
      <c r="Q193" s="418">
        <f t="shared" si="43"/>
        <v>83664.256260000009</v>
      </c>
      <c r="R193" s="418">
        <f t="shared" ref="R193:R199" si="44">SUM(F193:Q193)</f>
        <v>1050243.3091799999</v>
      </c>
    </row>
    <row r="194" spans="1:20" s="336" customFormat="1" x14ac:dyDescent="0.2">
      <c r="C194" s="336" t="s">
        <v>1087</v>
      </c>
      <c r="D194" s="382" t="s">
        <v>809</v>
      </c>
      <c r="F194" s="418">
        <f t="shared" si="43"/>
        <v>30262.436239999999</v>
      </c>
      <c r="G194" s="418">
        <f t="shared" si="43"/>
        <v>29179.091920000003</v>
      </c>
      <c r="H194" s="418">
        <f t="shared" si="43"/>
        <v>30780.337640000002</v>
      </c>
      <c r="I194" s="418">
        <f t="shared" si="43"/>
        <v>30166.761620000001</v>
      </c>
      <c r="J194" s="418">
        <f t="shared" si="43"/>
        <v>29156.558100000002</v>
      </c>
      <c r="K194" s="418">
        <f t="shared" si="43"/>
        <v>28656.242760000001</v>
      </c>
      <c r="L194" s="418">
        <f t="shared" si="43"/>
        <v>26972.2834</v>
      </c>
      <c r="M194" s="418">
        <f t="shared" si="43"/>
        <v>28111.451359999999</v>
      </c>
      <c r="N194" s="418">
        <f t="shared" si="43"/>
        <v>27122.329600000001</v>
      </c>
      <c r="O194" s="418">
        <f t="shared" si="43"/>
        <v>29414.917219999999</v>
      </c>
      <c r="P194" s="418">
        <f t="shared" si="43"/>
        <v>30179.346140000001</v>
      </c>
      <c r="Q194" s="418">
        <f t="shared" si="43"/>
        <v>30823.09274</v>
      </c>
      <c r="R194" s="418">
        <f t="shared" si="44"/>
        <v>350824.84873999999</v>
      </c>
    </row>
    <row r="195" spans="1:20" x14ac:dyDescent="0.2">
      <c r="C195" s="32" t="s">
        <v>1088</v>
      </c>
      <c r="D195" s="382" t="s">
        <v>809</v>
      </c>
      <c r="F195" s="364">
        <f t="shared" si="43"/>
        <v>37402.561499999996</v>
      </c>
      <c r="G195" s="364">
        <f t="shared" si="43"/>
        <v>27889.2536</v>
      </c>
      <c r="H195" s="364">
        <f t="shared" si="43"/>
        <v>37291.320399999997</v>
      </c>
      <c r="I195" s="364">
        <f t="shared" si="43"/>
        <v>29234.31594</v>
      </c>
      <c r="J195" s="364">
        <f t="shared" si="43"/>
        <v>25897.90886</v>
      </c>
      <c r="K195" s="364">
        <f t="shared" si="43"/>
        <v>20565.924200000001</v>
      </c>
      <c r="L195" s="364">
        <f t="shared" si="43"/>
        <v>17127.61924</v>
      </c>
      <c r="M195" s="364">
        <f t="shared" si="43"/>
        <v>18483.418539999999</v>
      </c>
      <c r="N195" s="364">
        <f t="shared" si="43"/>
        <v>19225.868999999999</v>
      </c>
      <c r="O195" s="364">
        <f t="shared" si="43"/>
        <v>29311.281360000001</v>
      </c>
      <c r="P195" s="364">
        <f t="shared" si="43"/>
        <v>35975.165260000002</v>
      </c>
      <c r="Q195" s="364">
        <f t="shared" si="43"/>
        <v>42677.402820000003</v>
      </c>
      <c r="R195" s="364">
        <f t="shared" si="44"/>
        <v>341082.04071999999</v>
      </c>
      <c r="S195" s="32"/>
      <c r="T195" s="32"/>
    </row>
    <row r="196" spans="1:20" x14ac:dyDescent="0.2">
      <c r="A196" s="32" t="s">
        <v>1054</v>
      </c>
      <c r="C196" s="32" t="s">
        <v>1077</v>
      </c>
      <c r="F196" s="365">
        <f t="shared" ref="F196:Q196" si="45">SUM(F193:F195)</f>
        <v>155339.33383999998</v>
      </c>
      <c r="G196" s="365">
        <f t="shared" si="45"/>
        <v>144071.99199000001</v>
      </c>
      <c r="H196" s="365">
        <f t="shared" si="45"/>
        <v>157945.01264999999</v>
      </c>
      <c r="I196" s="365">
        <f t="shared" si="45"/>
        <v>149013.94063999999</v>
      </c>
      <c r="J196" s="365">
        <f t="shared" si="45"/>
        <v>143448.59057</v>
      </c>
      <c r="K196" s="365">
        <f t="shared" si="45"/>
        <v>137278.69019000002</v>
      </c>
      <c r="L196" s="365">
        <f t="shared" si="45"/>
        <v>131291.54783</v>
      </c>
      <c r="M196" s="365">
        <f t="shared" si="45"/>
        <v>134765.53521</v>
      </c>
      <c r="N196" s="365">
        <f t="shared" si="45"/>
        <v>132944.58444999999</v>
      </c>
      <c r="O196" s="365">
        <f t="shared" si="45"/>
        <v>145400.32274</v>
      </c>
      <c r="P196" s="365">
        <f t="shared" si="45"/>
        <v>153485.89671</v>
      </c>
      <c r="Q196" s="365">
        <f t="shared" si="45"/>
        <v>157164.75182</v>
      </c>
      <c r="R196" s="365">
        <f t="shared" si="44"/>
        <v>1742150.1986400001</v>
      </c>
      <c r="S196" s="32"/>
      <c r="T196" s="32"/>
    </row>
    <row r="197" spans="1:20" x14ac:dyDescent="0.2">
      <c r="A197" s="32" t="s">
        <v>1056</v>
      </c>
      <c r="B197" s="336" t="s">
        <v>1081</v>
      </c>
      <c r="D197" s="382" t="s">
        <v>809</v>
      </c>
      <c r="F197" s="446">
        <f t="shared" ref="F197:Q198" si="46">F176*F186</f>
        <v>1486.0951</v>
      </c>
      <c r="G197" s="446">
        <f t="shared" si="46"/>
        <v>1338.5127</v>
      </c>
      <c r="H197" s="446">
        <f t="shared" si="46"/>
        <v>1506.0002999999999</v>
      </c>
      <c r="I197" s="446">
        <f t="shared" si="46"/>
        <v>1387.0178000000001</v>
      </c>
      <c r="J197" s="446">
        <f t="shared" si="46"/>
        <v>1320.4933000000001</v>
      </c>
      <c r="K197" s="446">
        <f t="shared" si="46"/>
        <v>1239.4234999999999</v>
      </c>
      <c r="L197" s="446">
        <f t="shared" si="46"/>
        <v>1165.1087</v>
      </c>
      <c r="M197" s="446">
        <f t="shared" si="46"/>
        <v>1204.854</v>
      </c>
      <c r="N197" s="446">
        <f t="shared" si="46"/>
        <v>1191.5435</v>
      </c>
      <c r="O197" s="446">
        <f t="shared" si="46"/>
        <v>1358.6670999999999</v>
      </c>
      <c r="P197" s="446">
        <f t="shared" si="46"/>
        <v>1463.3688999999999</v>
      </c>
      <c r="Q197" s="446">
        <f t="shared" si="46"/>
        <v>1538.1659999999999</v>
      </c>
      <c r="R197" s="446">
        <f t="shared" si="44"/>
        <v>16199.250899999997</v>
      </c>
      <c r="S197" s="32"/>
      <c r="T197" s="32"/>
    </row>
    <row r="198" spans="1:20" x14ac:dyDescent="0.2">
      <c r="A198" s="32" t="s">
        <v>1054</v>
      </c>
      <c r="B198" s="32" t="s">
        <v>1069</v>
      </c>
      <c r="D198" s="382" t="s">
        <v>809</v>
      </c>
      <c r="F198" s="364">
        <f t="shared" si="46"/>
        <v>25599.839999999997</v>
      </c>
      <c r="G198" s="364">
        <f t="shared" si="46"/>
        <v>28335.839999999997</v>
      </c>
      <c r="H198" s="364">
        <f t="shared" si="46"/>
        <v>26967.839999999997</v>
      </c>
      <c r="I198" s="364">
        <f t="shared" si="46"/>
        <v>26967.839999999997</v>
      </c>
      <c r="J198" s="364">
        <f t="shared" si="46"/>
        <v>26967.839999999997</v>
      </c>
      <c r="K198" s="364">
        <f t="shared" si="46"/>
        <v>26967.839999999997</v>
      </c>
      <c r="L198" s="364">
        <f t="shared" si="46"/>
        <v>26967.839999999997</v>
      </c>
      <c r="M198" s="364">
        <f t="shared" si="46"/>
        <v>26967.839999999997</v>
      </c>
      <c r="N198" s="364">
        <f t="shared" si="46"/>
        <v>26967.839999999997</v>
      </c>
      <c r="O198" s="364">
        <f t="shared" si="46"/>
        <v>24117.839999999997</v>
      </c>
      <c r="P198" s="364">
        <f t="shared" si="46"/>
        <v>22407.839999999997</v>
      </c>
      <c r="Q198" s="364">
        <f t="shared" si="46"/>
        <v>22065.839999999997</v>
      </c>
      <c r="R198" s="364">
        <f t="shared" si="44"/>
        <v>311302.07999999996</v>
      </c>
      <c r="S198" s="32"/>
      <c r="T198" s="32"/>
    </row>
    <row r="199" spans="1:20" s="336" customFormat="1" x14ac:dyDescent="0.2">
      <c r="A199" s="336" t="s">
        <v>1054</v>
      </c>
      <c r="B199" s="336" t="s">
        <v>1071</v>
      </c>
      <c r="D199" s="382" t="s">
        <v>809</v>
      </c>
      <c r="F199" s="447">
        <f>'JKP-3.1c - Rev Actual Rates'!F210</f>
        <v>0</v>
      </c>
      <c r="G199" s="447">
        <f>'JKP-3.1c - Rev Actual Rates'!G210</f>
        <v>0</v>
      </c>
      <c r="H199" s="447">
        <f>'JKP-3.1c - Rev Actual Rates'!H210</f>
        <v>9926.75</v>
      </c>
      <c r="I199" s="447">
        <f>'JKP-3.1c - Rev Actual Rates'!I210</f>
        <v>0</v>
      </c>
      <c r="J199" s="447">
        <f>'JKP-3.1c - Rev Actual Rates'!J210</f>
        <v>0</v>
      </c>
      <c r="K199" s="447">
        <f>'JKP-3.1c - Rev Actual Rates'!K210</f>
        <v>19921.75</v>
      </c>
      <c r="L199" s="447">
        <f>'JKP-3.1c - Rev Actual Rates'!L210</f>
        <v>0</v>
      </c>
      <c r="M199" s="447">
        <f>'JKP-3.1c - Rev Actual Rates'!M210</f>
        <v>0</v>
      </c>
      <c r="N199" s="447">
        <f>'JKP-3.1c - Rev Actual Rates'!N210</f>
        <v>0</v>
      </c>
      <c r="O199" s="447">
        <f>'JKP-3.1c - Rev Actual Rates'!O210</f>
        <v>0</v>
      </c>
      <c r="P199" s="447">
        <f>'JKP-3.1c - Rev Actual Rates'!P210</f>
        <v>442.69</v>
      </c>
      <c r="Q199" s="447">
        <f>'JKP-3.1c - Rev Actual Rates'!Q210</f>
        <v>0</v>
      </c>
      <c r="R199" s="437">
        <f t="shared" si="44"/>
        <v>30291.19</v>
      </c>
    </row>
    <row r="200" spans="1:20" x14ac:dyDescent="0.2">
      <c r="B200" s="32" t="s">
        <v>986</v>
      </c>
      <c r="F200" s="365">
        <f>F191+F196+F197+F198+F199</f>
        <v>213710.71893999999</v>
      </c>
      <c r="G200" s="365">
        <f t="shared" ref="G200:R200" si="47">G191+G196+G197+G198+G199</f>
        <v>206819.53469</v>
      </c>
      <c r="H200" s="365">
        <f t="shared" si="47"/>
        <v>228524.92295000001</v>
      </c>
      <c r="I200" s="365">
        <f t="shared" si="47"/>
        <v>209548.11843999999</v>
      </c>
      <c r="J200" s="365">
        <f t="shared" si="47"/>
        <v>204810.11387</v>
      </c>
      <c r="K200" s="365">
        <f t="shared" si="47"/>
        <v>218480.89369000003</v>
      </c>
      <c r="L200" s="365">
        <f t="shared" si="47"/>
        <v>192497.68653000001</v>
      </c>
      <c r="M200" s="365">
        <f t="shared" si="47"/>
        <v>196011.41920999999</v>
      </c>
      <c r="N200" s="365">
        <f t="shared" si="47"/>
        <v>194177.15794999999</v>
      </c>
      <c r="O200" s="365">
        <f t="shared" si="47"/>
        <v>203056.14984</v>
      </c>
      <c r="P200" s="365">
        <f t="shared" si="47"/>
        <v>209085.24561000001</v>
      </c>
      <c r="Q200" s="365">
        <f t="shared" si="47"/>
        <v>212054.20782000001</v>
      </c>
      <c r="R200" s="365">
        <f t="shared" si="47"/>
        <v>2488776.1695400001</v>
      </c>
      <c r="S200" s="32"/>
      <c r="T200" s="32"/>
    </row>
    <row r="201" spans="1:20" s="336" customFormat="1" x14ac:dyDescent="0.2">
      <c r="F201" s="418"/>
      <c r="G201" s="418"/>
      <c r="H201" s="418"/>
      <c r="I201" s="418"/>
      <c r="J201" s="418"/>
      <c r="K201" s="418"/>
      <c r="L201" s="418"/>
      <c r="M201" s="418"/>
      <c r="N201" s="418"/>
      <c r="O201" s="418"/>
      <c r="P201" s="418"/>
      <c r="Q201" s="418"/>
      <c r="R201" s="418">
        <f>SUM(F201:Q201)</f>
        <v>0</v>
      </c>
    </row>
    <row r="202" spans="1:20" s="336" customFormat="1" x14ac:dyDescent="0.2">
      <c r="A202" s="336" t="s">
        <v>1058</v>
      </c>
      <c r="B202" s="336" t="s">
        <v>1050</v>
      </c>
      <c r="F202" s="418">
        <f>F197</f>
        <v>1486.0951</v>
      </c>
      <c r="G202" s="418">
        <f t="shared" ref="G202:Q202" si="48">G197</f>
        <v>1338.5127</v>
      </c>
      <c r="H202" s="418">
        <f t="shared" si="48"/>
        <v>1506.0002999999999</v>
      </c>
      <c r="I202" s="418">
        <f t="shared" si="48"/>
        <v>1387.0178000000001</v>
      </c>
      <c r="J202" s="418">
        <f t="shared" si="48"/>
        <v>1320.4933000000001</v>
      </c>
      <c r="K202" s="418">
        <f t="shared" si="48"/>
        <v>1239.4234999999999</v>
      </c>
      <c r="L202" s="418">
        <f t="shared" si="48"/>
        <v>1165.1087</v>
      </c>
      <c r="M202" s="418">
        <f t="shared" si="48"/>
        <v>1204.854</v>
      </c>
      <c r="N202" s="418">
        <f t="shared" si="48"/>
        <v>1191.5435</v>
      </c>
      <c r="O202" s="418">
        <f t="shared" si="48"/>
        <v>1358.6670999999999</v>
      </c>
      <c r="P202" s="418">
        <f t="shared" si="48"/>
        <v>1463.3688999999999</v>
      </c>
      <c r="Q202" s="418">
        <f t="shared" si="48"/>
        <v>1538.1659999999999</v>
      </c>
      <c r="R202" s="418">
        <f>SUM(F202:Q202)</f>
        <v>16199.250899999997</v>
      </c>
    </row>
    <row r="203" spans="1:20" s="336" customFormat="1" x14ac:dyDescent="0.2">
      <c r="F203" s="418"/>
      <c r="G203" s="418"/>
      <c r="H203" s="418"/>
      <c r="I203" s="418"/>
      <c r="J203" s="418"/>
      <c r="K203" s="418"/>
      <c r="L203" s="418"/>
      <c r="M203" s="418"/>
      <c r="N203" s="418"/>
      <c r="O203" s="418"/>
      <c r="P203" s="418"/>
      <c r="Q203" s="418"/>
      <c r="R203" s="418"/>
    </row>
    <row r="204" spans="1:20" s="336" customFormat="1" x14ac:dyDescent="0.2">
      <c r="B204" s="182" t="s">
        <v>1089</v>
      </c>
      <c r="C204" s="182"/>
    </row>
    <row r="205" spans="1:20" s="336" customFormat="1" x14ac:dyDescent="0.2">
      <c r="B205" s="182" t="s">
        <v>5</v>
      </c>
      <c r="C205" s="182"/>
    </row>
    <row r="206" spans="1:20" s="336" customFormat="1" x14ac:dyDescent="0.2">
      <c r="B206" s="336" t="s">
        <v>1059</v>
      </c>
      <c r="D206" s="382" t="s">
        <v>811</v>
      </c>
      <c r="E206" s="336" t="s">
        <v>976</v>
      </c>
      <c r="F206" s="442">
        <v>893.47</v>
      </c>
      <c r="G206" s="442">
        <v>893.47</v>
      </c>
      <c r="H206" s="442">
        <v>893.47</v>
      </c>
      <c r="I206" s="442">
        <v>893.47</v>
      </c>
      <c r="J206" s="442">
        <v>893.47</v>
      </c>
      <c r="K206" s="442">
        <v>893.47</v>
      </c>
      <c r="L206" s="442">
        <v>893.47</v>
      </c>
      <c r="M206" s="442">
        <v>893.47</v>
      </c>
      <c r="N206" s="442">
        <v>893.47</v>
      </c>
      <c r="O206" s="442">
        <v>893.47</v>
      </c>
      <c r="P206" s="442">
        <v>893.47</v>
      </c>
      <c r="Q206" s="442">
        <v>893.47</v>
      </c>
    </row>
    <row r="207" spans="1:20" s="336" customFormat="1" x14ac:dyDescent="0.2">
      <c r="C207" s="336" t="s">
        <v>1047</v>
      </c>
      <c r="F207" s="448"/>
      <c r="G207" s="448"/>
      <c r="H207" s="448"/>
      <c r="I207" s="448"/>
      <c r="J207" s="448"/>
      <c r="K207" s="448"/>
      <c r="L207" s="448"/>
      <c r="M207" s="448"/>
      <c r="N207" s="448"/>
      <c r="O207" s="448"/>
      <c r="P207" s="448"/>
      <c r="Q207" s="448"/>
    </row>
    <row r="208" spans="1:20" s="336" customFormat="1" x14ac:dyDescent="0.2">
      <c r="C208" s="336" t="s">
        <v>1086</v>
      </c>
      <c r="D208" s="382" t="s">
        <v>811</v>
      </c>
      <c r="E208" s="336" t="s">
        <v>957</v>
      </c>
      <c r="F208" s="440">
        <v>0.14158000000000001</v>
      </c>
      <c r="G208" s="440">
        <v>0.14158000000000001</v>
      </c>
      <c r="H208" s="440">
        <v>0.14158000000000001</v>
      </c>
      <c r="I208" s="440">
        <v>0.14158000000000001</v>
      </c>
      <c r="J208" s="440">
        <v>0.14158000000000001</v>
      </c>
      <c r="K208" s="440">
        <v>0.14158000000000001</v>
      </c>
      <c r="L208" s="440">
        <v>0.14158000000000001</v>
      </c>
      <c r="M208" s="440">
        <v>0.14158000000000001</v>
      </c>
      <c r="N208" s="440">
        <v>0.14158000000000001</v>
      </c>
      <c r="O208" s="440">
        <v>0.14158000000000001</v>
      </c>
      <c r="P208" s="440">
        <v>0.14158000000000001</v>
      </c>
      <c r="Q208" s="440">
        <v>0.14158000000000001</v>
      </c>
    </row>
    <row r="209" spans="2:20" s="336" customFormat="1" x14ac:dyDescent="0.2">
      <c r="C209" s="336" t="s">
        <v>1087</v>
      </c>
      <c r="D209" s="382" t="s">
        <v>811</v>
      </c>
      <c r="E209" s="336" t="s">
        <v>957</v>
      </c>
      <c r="F209" s="440">
        <v>8.6440000000000003E-2</v>
      </c>
      <c r="G209" s="440">
        <v>8.6440000000000003E-2</v>
      </c>
      <c r="H209" s="440">
        <v>8.6440000000000003E-2</v>
      </c>
      <c r="I209" s="440">
        <v>8.6440000000000003E-2</v>
      </c>
      <c r="J209" s="440">
        <v>8.6440000000000003E-2</v>
      </c>
      <c r="K209" s="440">
        <v>8.6440000000000003E-2</v>
      </c>
      <c r="L209" s="440">
        <v>8.6440000000000003E-2</v>
      </c>
      <c r="M209" s="440">
        <v>8.6440000000000003E-2</v>
      </c>
      <c r="N209" s="440">
        <v>8.6440000000000003E-2</v>
      </c>
      <c r="O209" s="440">
        <v>8.6440000000000003E-2</v>
      </c>
      <c r="P209" s="440">
        <v>8.6440000000000003E-2</v>
      </c>
      <c r="Q209" s="440">
        <v>8.6440000000000003E-2</v>
      </c>
    </row>
    <row r="210" spans="2:20" s="336" customFormat="1" x14ac:dyDescent="0.2">
      <c r="C210" s="336" t="s">
        <v>1090</v>
      </c>
      <c r="D210" s="382" t="s">
        <v>811</v>
      </c>
      <c r="E210" s="336" t="s">
        <v>957</v>
      </c>
      <c r="F210" s="440">
        <v>5.5809999999999998E-2</v>
      </c>
      <c r="G210" s="440">
        <v>5.5809999999999998E-2</v>
      </c>
      <c r="H210" s="440">
        <v>5.5809999999999998E-2</v>
      </c>
      <c r="I210" s="440">
        <v>5.5809999999999998E-2</v>
      </c>
      <c r="J210" s="440">
        <v>5.5809999999999998E-2</v>
      </c>
      <c r="K210" s="440">
        <v>5.5809999999999998E-2</v>
      </c>
      <c r="L210" s="440">
        <v>5.5809999999999998E-2</v>
      </c>
      <c r="M210" s="440">
        <v>5.5809999999999998E-2</v>
      </c>
      <c r="N210" s="440">
        <v>5.5809999999999998E-2</v>
      </c>
      <c r="O210" s="440">
        <v>5.5809999999999998E-2</v>
      </c>
      <c r="P210" s="440">
        <v>5.5809999999999998E-2</v>
      </c>
      <c r="Q210" s="440">
        <v>5.5809999999999998E-2</v>
      </c>
    </row>
    <row r="211" spans="2:20" s="336" customFormat="1" x14ac:dyDescent="0.2">
      <c r="C211" s="336" t="s">
        <v>1091</v>
      </c>
      <c r="D211" s="382" t="s">
        <v>811</v>
      </c>
      <c r="E211" s="336" t="s">
        <v>957</v>
      </c>
      <c r="F211" s="440">
        <v>3.6589999999999998E-2</v>
      </c>
      <c r="G211" s="440">
        <v>3.6589999999999998E-2</v>
      </c>
      <c r="H211" s="440">
        <v>3.6589999999999998E-2</v>
      </c>
      <c r="I211" s="440">
        <v>3.6589999999999998E-2</v>
      </c>
      <c r="J211" s="440">
        <v>3.6589999999999998E-2</v>
      </c>
      <c r="K211" s="440">
        <v>3.6589999999999998E-2</v>
      </c>
      <c r="L211" s="440">
        <v>3.6589999999999998E-2</v>
      </c>
      <c r="M211" s="440">
        <v>3.6589999999999998E-2</v>
      </c>
      <c r="N211" s="440">
        <v>3.6589999999999998E-2</v>
      </c>
      <c r="O211" s="440">
        <v>3.6589999999999998E-2</v>
      </c>
      <c r="P211" s="440">
        <v>3.6589999999999998E-2</v>
      </c>
      <c r="Q211" s="440">
        <v>3.6589999999999998E-2</v>
      </c>
    </row>
    <row r="212" spans="2:20" s="336" customFormat="1" x14ac:dyDescent="0.2">
      <c r="C212" s="336" t="s">
        <v>1092</v>
      </c>
      <c r="D212" s="382" t="s">
        <v>811</v>
      </c>
      <c r="E212" s="336" t="s">
        <v>957</v>
      </c>
      <c r="F212" s="440">
        <v>2.6950000000000002E-2</v>
      </c>
      <c r="G212" s="440">
        <v>2.6950000000000002E-2</v>
      </c>
      <c r="H212" s="440">
        <v>2.6950000000000002E-2</v>
      </c>
      <c r="I212" s="440">
        <v>2.6950000000000002E-2</v>
      </c>
      <c r="J212" s="440">
        <v>2.6950000000000002E-2</v>
      </c>
      <c r="K212" s="440">
        <v>2.6950000000000002E-2</v>
      </c>
      <c r="L212" s="440">
        <v>2.6950000000000002E-2</v>
      </c>
      <c r="M212" s="440">
        <v>2.6950000000000002E-2</v>
      </c>
      <c r="N212" s="440">
        <v>2.6950000000000002E-2</v>
      </c>
      <c r="O212" s="440">
        <v>2.6950000000000002E-2</v>
      </c>
      <c r="P212" s="440">
        <v>2.6950000000000002E-2</v>
      </c>
      <c r="Q212" s="440">
        <v>2.6950000000000002E-2</v>
      </c>
    </row>
    <row r="213" spans="2:20" s="336" customFormat="1" x14ac:dyDescent="0.2">
      <c r="C213" s="336" t="s">
        <v>1093</v>
      </c>
      <c r="D213" s="382" t="s">
        <v>811</v>
      </c>
      <c r="E213" s="336" t="s">
        <v>957</v>
      </c>
      <c r="F213" s="440">
        <v>2.129E-2</v>
      </c>
      <c r="G213" s="440">
        <v>2.129E-2</v>
      </c>
      <c r="H213" s="440">
        <v>2.129E-2</v>
      </c>
      <c r="I213" s="440">
        <v>2.129E-2</v>
      </c>
      <c r="J213" s="440">
        <v>2.129E-2</v>
      </c>
      <c r="K213" s="440">
        <v>2.129E-2</v>
      </c>
      <c r="L213" s="440">
        <v>2.129E-2</v>
      </c>
      <c r="M213" s="440">
        <v>2.129E-2</v>
      </c>
      <c r="N213" s="440">
        <v>2.129E-2</v>
      </c>
      <c r="O213" s="440">
        <v>2.129E-2</v>
      </c>
      <c r="P213" s="440">
        <v>2.129E-2</v>
      </c>
      <c r="Q213" s="440">
        <v>2.129E-2</v>
      </c>
    </row>
    <row r="214" spans="2:20" s="336" customFormat="1" x14ac:dyDescent="0.2">
      <c r="B214" s="336" t="s">
        <v>1081</v>
      </c>
      <c r="D214" s="382" t="s">
        <v>811</v>
      </c>
      <c r="E214" s="336" t="s">
        <v>957</v>
      </c>
      <c r="F214" s="440">
        <v>6.9999999999999999E-4</v>
      </c>
      <c r="G214" s="440">
        <v>6.9999999999999999E-4</v>
      </c>
      <c r="H214" s="440">
        <v>6.9999999999999999E-4</v>
      </c>
      <c r="I214" s="440">
        <v>6.9999999999999999E-4</v>
      </c>
      <c r="J214" s="440">
        <v>6.9999999999999999E-4</v>
      </c>
      <c r="K214" s="440">
        <v>6.9999999999999999E-4</v>
      </c>
      <c r="L214" s="440">
        <v>6.9999999999999999E-4</v>
      </c>
      <c r="M214" s="440">
        <v>6.9999999999999999E-4</v>
      </c>
      <c r="N214" s="440">
        <v>6.9999999999999999E-4</v>
      </c>
      <c r="O214" s="440">
        <v>6.9999999999999999E-4</v>
      </c>
      <c r="P214" s="440">
        <v>6.9999999999999999E-4</v>
      </c>
      <c r="Q214" s="440">
        <v>6.9999999999999999E-4</v>
      </c>
    </row>
    <row r="215" spans="2:20" s="336" customFormat="1" x14ac:dyDescent="0.2">
      <c r="B215" s="336" t="s">
        <v>1069</v>
      </c>
      <c r="D215" s="382" t="s">
        <v>811</v>
      </c>
      <c r="E215" s="336" t="s">
        <v>957</v>
      </c>
      <c r="F215" s="442">
        <v>1.1399999999999999</v>
      </c>
      <c r="G215" s="442">
        <v>1.1399999999999999</v>
      </c>
      <c r="H215" s="442">
        <v>1.1399999999999999</v>
      </c>
      <c r="I215" s="442">
        <v>1.1399999999999999</v>
      </c>
      <c r="J215" s="442">
        <v>1.1399999999999999</v>
      </c>
      <c r="K215" s="442">
        <v>1.1399999999999999</v>
      </c>
      <c r="L215" s="442">
        <v>1.1399999999999999</v>
      </c>
      <c r="M215" s="442">
        <v>1.1399999999999999</v>
      </c>
      <c r="N215" s="442">
        <v>1.1399999999999999</v>
      </c>
      <c r="O215" s="442">
        <v>1.1399999999999999</v>
      </c>
      <c r="P215" s="442">
        <v>1.1399999999999999</v>
      </c>
      <c r="Q215" s="442">
        <v>1.1399999999999999</v>
      </c>
    </row>
    <row r="216" spans="2:20" s="336" customFormat="1" x14ac:dyDescent="0.2">
      <c r="B216" s="336" t="s">
        <v>1071</v>
      </c>
      <c r="D216" s="382" t="s">
        <v>811</v>
      </c>
      <c r="E216" s="336" t="s">
        <v>67</v>
      </c>
      <c r="F216" s="442"/>
      <c r="G216" s="442"/>
      <c r="H216" s="442"/>
      <c r="I216" s="442"/>
      <c r="J216" s="442"/>
      <c r="K216" s="442"/>
      <c r="L216" s="442"/>
      <c r="M216" s="442"/>
      <c r="N216" s="442"/>
      <c r="O216" s="442"/>
      <c r="P216" s="442"/>
      <c r="Q216" s="442"/>
    </row>
    <row r="217" spans="2:20" s="336" customFormat="1" x14ac:dyDescent="0.2"/>
    <row r="218" spans="2:20" x14ac:dyDescent="0.2">
      <c r="B218" s="276" t="s">
        <v>1083</v>
      </c>
      <c r="S218" s="32"/>
      <c r="T218" s="32"/>
    </row>
    <row r="219" spans="2:20" x14ac:dyDescent="0.2">
      <c r="B219" s="32" t="s">
        <v>67</v>
      </c>
      <c r="D219" s="382" t="s">
        <v>811</v>
      </c>
      <c r="E219" s="32" t="s">
        <v>67</v>
      </c>
      <c r="F219" s="397">
        <f>'JKP-3.1c - Data'!C155</f>
        <v>2</v>
      </c>
      <c r="G219" s="397">
        <f>'JKP-3.1c - Data'!D155</f>
        <v>2</v>
      </c>
      <c r="H219" s="397">
        <f>'JKP-3.1c - Data'!E155</f>
        <v>2</v>
      </c>
      <c r="I219" s="397">
        <f>'JKP-3.1c - Data'!F155</f>
        <v>2</v>
      </c>
      <c r="J219" s="397">
        <f>'JKP-3.1c - Data'!G155</f>
        <v>2</v>
      </c>
      <c r="K219" s="397">
        <f>'JKP-3.1c - Data'!H155</f>
        <v>2</v>
      </c>
      <c r="L219" s="397">
        <f>'JKP-3.1c - Data'!I155</f>
        <v>2</v>
      </c>
      <c r="M219" s="397">
        <f>'JKP-3.1c - Data'!J155</f>
        <v>2</v>
      </c>
      <c r="N219" s="397">
        <f>'JKP-3.1c - Data'!K155</f>
        <v>2</v>
      </c>
      <c r="O219" s="397">
        <f>'JKP-3.1c - Data'!L155</f>
        <v>2</v>
      </c>
      <c r="P219" s="397">
        <f>'JKP-3.1c - Data'!M155</f>
        <v>2</v>
      </c>
      <c r="Q219" s="397">
        <f>'JKP-3.1c - Data'!N155</f>
        <v>2</v>
      </c>
      <c r="R219" s="279">
        <f t="shared" ref="R219:R228" si="49">SUM(F219:Q219)</f>
        <v>24</v>
      </c>
      <c r="S219" s="32"/>
      <c r="T219" s="32"/>
    </row>
    <row r="220" spans="2:20" s="336" customFormat="1" x14ac:dyDescent="0.2">
      <c r="B220" s="336" t="s">
        <v>76</v>
      </c>
      <c r="F220" s="380"/>
      <c r="G220" s="380"/>
      <c r="H220" s="380"/>
      <c r="I220" s="380"/>
      <c r="J220" s="380"/>
      <c r="K220" s="380"/>
      <c r="L220" s="380"/>
      <c r="M220" s="380"/>
      <c r="N220" s="380"/>
      <c r="O220" s="380"/>
      <c r="P220" s="380"/>
      <c r="Q220" s="380"/>
      <c r="R220" s="279">
        <f t="shared" si="49"/>
        <v>0</v>
      </c>
    </row>
    <row r="221" spans="2:20" s="336" customFormat="1" x14ac:dyDescent="0.2">
      <c r="C221" s="336" t="s">
        <v>1086</v>
      </c>
      <c r="D221" s="382" t="s">
        <v>811</v>
      </c>
      <c r="E221" s="336" t="s">
        <v>10</v>
      </c>
      <c r="F221" s="421">
        <f>'JKP-3.1c - Rev Actual Rates'!F232</f>
        <v>50000</v>
      </c>
      <c r="G221" s="421">
        <f>'JKP-3.1c - Rev Actual Rates'!G232</f>
        <v>50000</v>
      </c>
      <c r="H221" s="421">
        <f>'JKP-3.1c - Rev Actual Rates'!H232</f>
        <v>50000</v>
      </c>
      <c r="I221" s="421">
        <f>'JKP-3.1c - Rev Actual Rates'!I232</f>
        <v>50000</v>
      </c>
      <c r="J221" s="421">
        <f>'JKP-3.1c - Rev Actual Rates'!J232</f>
        <v>50000</v>
      </c>
      <c r="K221" s="421">
        <f>'JKP-3.1c - Rev Actual Rates'!K232</f>
        <v>50000</v>
      </c>
      <c r="L221" s="421">
        <f>'JKP-3.1c - Rev Actual Rates'!L232</f>
        <v>50000</v>
      </c>
      <c r="M221" s="421">
        <f>'JKP-3.1c - Rev Actual Rates'!M232</f>
        <v>50000</v>
      </c>
      <c r="N221" s="421">
        <f>'JKP-3.1c - Rev Actual Rates'!N232</f>
        <v>50000</v>
      </c>
      <c r="O221" s="421">
        <f>'JKP-3.1c - Rev Actual Rates'!O232</f>
        <v>50000</v>
      </c>
      <c r="P221" s="421">
        <f>'JKP-3.1c - Rev Actual Rates'!P232</f>
        <v>50000</v>
      </c>
      <c r="Q221" s="421">
        <f>'JKP-3.1c - Rev Actual Rates'!Q232</f>
        <v>50000</v>
      </c>
      <c r="R221" s="279">
        <f t="shared" si="49"/>
        <v>600000</v>
      </c>
    </row>
    <row r="222" spans="2:20" s="336" customFormat="1" x14ac:dyDescent="0.2">
      <c r="C222" s="336" t="s">
        <v>1087</v>
      </c>
      <c r="D222" s="382" t="s">
        <v>811</v>
      </c>
      <c r="E222" s="336" t="s">
        <v>10</v>
      </c>
      <c r="F222" s="421">
        <f>'JKP-3.1c - Rev Actual Rates'!F233</f>
        <v>50000</v>
      </c>
      <c r="G222" s="421">
        <f>'JKP-3.1c - Rev Actual Rates'!G233</f>
        <v>50000</v>
      </c>
      <c r="H222" s="421">
        <f>'JKP-3.1c - Rev Actual Rates'!H233</f>
        <v>50000</v>
      </c>
      <c r="I222" s="421">
        <f>'JKP-3.1c - Rev Actual Rates'!I233</f>
        <v>50000</v>
      </c>
      <c r="J222" s="421">
        <f>'JKP-3.1c - Rev Actual Rates'!J233</f>
        <v>50000</v>
      </c>
      <c r="K222" s="421">
        <f>'JKP-3.1c - Rev Actual Rates'!K233</f>
        <v>50000</v>
      </c>
      <c r="L222" s="421">
        <f>'JKP-3.1c - Rev Actual Rates'!L233</f>
        <v>50000</v>
      </c>
      <c r="M222" s="421">
        <f>'JKP-3.1c - Rev Actual Rates'!M233</f>
        <v>50000</v>
      </c>
      <c r="N222" s="421">
        <f>'JKP-3.1c - Rev Actual Rates'!N233</f>
        <v>50000</v>
      </c>
      <c r="O222" s="421">
        <f>'JKP-3.1c - Rev Actual Rates'!O233</f>
        <v>50000</v>
      </c>
      <c r="P222" s="421">
        <f>'JKP-3.1c - Rev Actual Rates'!P233</f>
        <v>50000</v>
      </c>
      <c r="Q222" s="421">
        <f>'JKP-3.1c - Rev Actual Rates'!Q233</f>
        <v>50000</v>
      </c>
      <c r="R222" s="279">
        <f t="shared" si="49"/>
        <v>600000</v>
      </c>
    </row>
    <row r="223" spans="2:20" s="336" customFormat="1" x14ac:dyDescent="0.2">
      <c r="C223" s="336" t="s">
        <v>1090</v>
      </c>
      <c r="D223" s="382" t="s">
        <v>811</v>
      </c>
      <c r="E223" s="336" t="s">
        <v>10</v>
      </c>
      <c r="F223" s="421">
        <f>'JKP-3.1c - Rev Actual Rates'!F234</f>
        <v>100000</v>
      </c>
      <c r="G223" s="421">
        <f>'JKP-3.1c - Rev Actual Rates'!G234</f>
        <v>100000</v>
      </c>
      <c r="H223" s="421">
        <f>'JKP-3.1c - Rev Actual Rates'!H234</f>
        <v>100000</v>
      </c>
      <c r="I223" s="421">
        <f>'JKP-3.1c - Rev Actual Rates'!I234</f>
        <v>100000</v>
      </c>
      <c r="J223" s="421">
        <f>'JKP-3.1c - Rev Actual Rates'!J234</f>
        <v>100000</v>
      </c>
      <c r="K223" s="421">
        <f>'JKP-3.1c - Rev Actual Rates'!K234</f>
        <v>100000</v>
      </c>
      <c r="L223" s="421">
        <f>'JKP-3.1c - Rev Actual Rates'!L234</f>
        <v>100000</v>
      </c>
      <c r="M223" s="421">
        <f>'JKP-3.1c - Rev Actual Rates'!M234</f>
        <v>100000</v>
      </c>
      <c r="N223" s="421">
        <f>'JKP-3.1c - Rev Actual Rates'!N234</f>
        <v>100000</v>
      </c>
      <c r="O223" s="421">
        <f>'JKP-3.1c - Rev Actual Rates'!O234</f>
        <v>100000</v>
      </c>
      <c r="P223" s="421">
        <f>'JKP-3.1c - Rev Actual Rates'!P234</f>
        <v>100000</v>
      </c>
      <c r="Q223" s="421">
        <f>'JKP-3.1c - Rev Actual Rates'!Q234</f>
        <v>100000</v>
      </c>
      <c r="R223" s="279">
        <f t="shared" si="49"/>
        <v>1200000</v>
      </c>
    </row>
    <row r="224" spans="2:20" s="336" customFormat="1" x14ac:dyDescent="0.2">
      <c r="C224" s="336" t="s">
        <v>1091</v>
      </c>
      <c r="D224" s="382" t="s">
        <v>811</v>
      </c>
      <c r="E224" s="336" t="s">
        <v>10</v>
      </c>
      <c r="F224" s="421">
        <f>'JKP-3.1c - Rev Actual Rates'!F235</f>
        <v>200000</v>
      </c>
      <c r="G224" s="421">
        <f>'JKP-3.1c - Rev Actual Rates'!G235</f>
        <v>200000</v>
      </c>
      <c r="H224" s="421">
        <f>'JKP-3.1c - Rev Actual Rates'!H235</f>
        <v>200000</v>
      </c>
      <c r="I224" s="421">
        <f>'JKP-3.1c - Rev Actual Rates'!I235</f>
        <v>200000</v>
      </c>
      <c r="J224" s="421">
        <f>'JKP-3.1c - Rev Actual Rates'!J235</f>
        <v>200000</v>
      </c>
      <c r="K224" s="421">
        <f>'JKP-3.1c - Rev Actual Rates'!K235</f>
        <v>200000</v>
      </c>
      <c r="L224" s="421">
        <f>'JKP-3.1c - Rev Actual Rates'!L235</f>
        <v>200000</v>
      </c>
      <c r="M224" s="421">
        <f>'JKP-3.1c - Rev Actual Rates'!M235</f>
        <v>200000</v>
      </c>
      <c r="N224" s="421">
        <f>'JKP-3.1c - Rev Actual Rates'!N235</f>
        <v>200000</v>
      </c>
      <c r="O224" s="421">
        <f>'JKP-3.1c - Rev Actual Rates'!O235</f>
        <v>200000</v>
      </c>
      <c r="P224" s="421">
        <f>'JKP-3.1c - Rev Actual Rates'!P235</f>
        <v>200000</v>
      </c>
      <c r="Q224" s="421">
        <f>'JKP-3.1c - Rev Actual Rates'!Q235</f>
        <v>200000</v>
      </c>
      <c r="R224" s="279">
        <f t="shared" si="49"/>
        <v>2400000</v>
      </c>
    </row>
    <row r="225" spans="1:20" s="336" customFormat="1" x14ac:dyDescent="0.2">
      <c r="C225" s="336" t="s">
        <v>1092</v>
      </c>
      <c r="D225" s="382" t="s">
        <v>811</v>
      </c>
      <c r="E225" s="336" t="s">
        <v>10</v>
      </c>
      <c r="F225" s="421">
        <f>'JKP-3.1c - Rev Actual Rates'!F236</f>
        <v>382651</v>
      </c>
      <c r="G225" s="421">
        <f>'JKP-3.1c - Rev Actual Rates'!G236</f>
        <v>364894</v>
      </c>
      <c r="H225" s="421">
        <f>'JKP-3.1c - Rev Actual Rates'!H236</f>
        <v>402729</v>
      </c>
      <c r="I225" s="421">
        <f>'JKP-3.1c - Rev Actual Rates'!I236</f>
        <v>390552</v>
      </c>
      <c r="J225" s="421">
        <f>'JKP-3.1c - Rev Actual Rates'!J236</f>
        <v>385110</v>
      </c>
      <c r="K225" s="421">
        <f>'JKP-3.1c - Rev Actual Rates'!K236</f>
        <v>396126</v>
      </c>
      <c r="L225" s="421">
        <f>'JKP-3.1c - Rev Actual Rates'!L236</f>
        <v>396365</v>
      </c>
      <c r="M225" s="421">
        <f>'JKP-3.1c - Rev Actual Rates'!M236</f>
        <v>399724</v>
      </c>
      <c r="N225" s="421">
        <f>'JKP-3.1c - Rev Actual Rates'!N236</f>
        <v>400295</v>
      </c>
      <c r="O225" s="421">
        <f>'JKP-3.1c - Rev Actual Rates'!O236</f>
        <v>393470</v>
      </c>
      <c r="P225" s="421">
        <f>'JKP-3.1c - Rev Actual Rates'!P236</f>
        <v>381020</v>
      </c>
      <c r="Q225" s="421">
        <f>'JKP-3.1c - Rev Actual Rates'!Q236</f>
        <v>394288</v>
      </c>
      <c r="R225" s="279">
        <f t="shared" si="49"/>
        <v>4687224</v>
      </c>
    </row>
    <row r="226" spans="1:20" s="336" customFormat="1" x14ac:dyDescent="0.2">
      <c r="C226" s="336" t="s">
        <v>1093</v>
      </c>
      <c r="D226" s="382" t="s">
        <v>811</v>
      </c>
      <c r="E226" s="336" t="s">
        <v>10</v>
      </c>
      <c r="F226" s="421">
        <f>'JKP-3.1c - Rev Actual Rates'!F237</f>
        <v>1155301</v>
      </c>
      <c r="G226" s="421">
        <f>'JKP-3.1c - Rev Actual Rates'!G237</f>
        <v>942918</v>
      </c>
      <c r="H226" s="421">
        <f>'JKP-3.1c - Rev Actual Rates'!H237</f>
        <v>1018640</v>
      </c>
      <c r="I226" s="421">
        <f>'JKP-3.1c - Rev Actual Rates'!I237</f>
        <v>888255</v>
      </c>
      <c r="J226" s="421">
        <f>'JKP-3.1c - Rev Actual Rates'!J237</f>
        <v>759568</v>
      </c>
      <c r="K226" s="421">
        <f>'JKP-3.1c - Rev Actual Rates'!K237</f>
        <v>498303</v>
      </c>
      <c r="L226" s="421">
        <f>'JKP-3.1c - Rev Actual Rates'!L237</f>
        <v>400327</v>
      </c>
      <c r="M226" s="421">
        <f>'JKP-3.1c - Rev Actual Rates'!M237</f>
        <v>365087</v>
      </c>
      <c r="N226" s="421">
        <f>'JKP-3.1c - Rev Actual Rates'!N237</f>
        <v>437462</v>
      </c>
      <c r="O226" s="421">
        <f>'JKP-3.1c - Rev Actual Rates'!O237</f>
        <v>693649</v>
      </c>
      <c r="P226" s="421">
        <f>'JKP-3.1c - Rev Actual Rates'!P237</f>
        <v>1200237</v>
      </c>
      <c r="Q226" s="421">
        <f>'JKP-3.1c - Rev Actual Rates'!Q237</f>
        <v>1196610</v>
      </c>
      <c r="R226" s="279">
        <f t="shared" si="49"/>
        <v>9556357</v>
      </c>
    </row>
    <row r="227" spans="1:20" s="336" customFormat="1" x14ac:dyDescent="0.2">
      <c r="C227" s="336" t="s">
        <v>1075</v>
      </c>
      <c r="D227" s="382" t="s">
        <v>811</v>
      </c>
      <c r="E227" s="336" t="s">
        <v>10</v>
      </c>
      <c r="F227" s="436">
        <f>'JKP-3.1c - Rev Actual Rates'!F238</f>
        <v>1937952</v>
      </c>
      <c r="G227" s="436">
        <f>'JKP-3.1c - Rev Actual Rates'!G238</f>
        <v>1707812</v>
      </c>
      <c r="H227" s="436">
        <f>'JKP-3.1c - Rev Actual Rates'!H238</f>
        <v>1821369</v>
      </c>
      <c r="I227" s="436">
        <f>'JKP-3.1c - Rev Actual Rates'!I238</f>
        <v>1678807</v>
      </c>
      <c r="J227" s="436">
        <f>'JKP-3.1c - Rev Actual Rates'!J238</f>
        <v>1544678</v>
      </c>
      <c r="K227" s="436">
        <f>'JKP-3.1c - Rev Actual Rates'!K238</f>
        <v>1294429</v>
      </c>
      <c r="L227" s="436">
        <f>'JKP-3.1c - Rev Actual Rates'!L238</f>
        <v>1196692</v>
      </c>
      <c r="M227" s="436">
        <f>'JKP-3.1c - Rev Actual Rates'!M238</f>
        <v>1164811</v>
      </c>
      <c r="N227" s="436">
        <f>'JKP-3.1c - Rev Actual Rates'!N238</f>
        <v>1237757</v>
      </c>
      <c r="O227" s="436">
        <f>'JKP-3.1c - Rev Actual Rates'!O238</f>
        <v>1487119</v>
      </c>
      <c r="P227" s="436">
        <f>'JKP-3.1c - Rev Actual Rates'!P238</f>
        <v>1981257</v>
      </c>
      <c r="Q227" s="436">
        <f>'JKP-3.1c - Rev Actual Rates'!Q238</f>
        <v>1990898</v>
      </c>
      <c r="R227" s="436">
        <f t="shared" si="49"/>
        <v>19043581</v>
      </c>
    </row>
    <row r="228" spans="1:20" s="336" customFormat="1" x14ac:dyDescent="0.2">
      <c r="B228" s="336" t="s">
        <v>74</v>
      </c>
      <c r="D228" s="382" t="s">
        <v>811</v>
      </c>
      <c r="E228" s="336" t="s">
        <v>1076</v>
      </c>
      <c r="F228" s="421">
        <f>'JKP-3.1c - Rev Actual Rates'!F239</f>
        <v>2</v>
      </c>
      <c r="G228" s="421">
        <f>'JKP-3.1c - Rev Actual Rates'!G239</f>
        <v>2</v>
      </c>
      <c r="H228" s="421">
        <f>'JKP-3.1c - Rev Actual Rates'!H239</f>
        <v>2</v>
      </c>
      <c r="I228" s="421">
        <f>'JKP-3.1c - Rev Actual Rates'!I239</f>
        <v>2</v>
      </c>
      <c r="J228" s="421">
        <f>'JKP-3.1c - Rev Actual Rates'!J239</f>
        <v>2</v>
      </c>
      <c r="K228" s="421">
        <f>'JKP-3.1c - Rev Actual Rates'!K239</f>
        <v>2</v>
      </c>
      <c r="L228" s="421">
        <f>'JKP-3.1c - Rev Actual Rates'!L239</f>
        <v>2</v>
      </c>
      <c r="M228" s="421">
        <f>'JKP-3.1c - Rev Actual Rates'!M239</f>
        <v>2</v>
      </c>
      <c r="N228" s="421">
        <f>'JKP-3.1c - Rev Actual Rates'!N239</f>
        <v>2</v>
      </c>
      <c r="O228" s="421">
        <f>'JKP-3.1c - Rev Actual Rates'!O239</f>
        <v>2</v>
      </c>
      <c r="P228" s="421">
        <f>'JKP-3.1c - Rev Actual Rates'!P239</f>
        <v>2</v>
      </c>
      <c r="Q228" s="421">
        <f>'JKP-3.1c - Rev Actual Rates'!Q239</f>
        <v>2</v>
      </c>
      <c r="R228" s="279">
        <f t="shared" si="49"/>
        <v>24</v>
      </c>
    </row>
    <row r="229" spans="1:20" s="336" customFormat="1" x14ac:dyDescent="0.2">
      <c r="B229" s="336" t="s">
        <v>1071</v>
      </c>
      <c r="F229" s="380"/>
      <c r="G229" s="380"/>
      <c r="H229" s="380"/>
      <c r="I229" s="380"/>
      <c r="J229" s="380"/>
      <c r="K229" s="380"/>
      <c r="L229" s="380"/>
      <c r="M229" s="380"/>
      <c r="N229" s="380"/>
      <c r="O229" s="380"/>
      <c r="P229" s="380"/>
      <c r="Q229" s="380"/>
    </row>
    <row r="230" spans="1:20" s="336" customFormat="1" x14ac:dyDescent="0.2"/>
    <row r="231" spans="1:20" s="336" customFormat="1" x14ac:dyDescent="0.2">
      <c r="B231" s="182" t="s">
        <v>985</v>
      </c>
    </row>
    <row r="232" spans="1:20" s="336" customFormat="1" x14ac:dyDescent="0.2">
      <c r="A232" s="336" t="s">
        <v>1054</v>
      </c>
      <c r="B232" s="336" t="s">
        <v>1059</v>
      </c>
      <c r="D232" s="382" t="s">
        <v>811</v>
      </c>
      <c r="F232" s="418">
        <f t="shared" ref="F232:Q232" si="50">F206*F219</f>
        <v>1786.94</v>
      </c>
      <c r="G232" s="418">
        <f t="shared" si="50"/>
        <v>1786.94</v>
      </c>
      <c r="H232" s="418">
        <f t="shared" si="50"/>
        <v>1786.94</v>
      </c>
      <c r="I232" s="418">
        <f t="shared" si="50"/>
        <v>1786.94</v>
      </c>
      <c r="J232" s="418">
        <f t="shared" si="50"/>
        <v>1786.94</v>
      </c>
      <c r="K232" s="418">
        <f t="shared" si="50"/>
        <v>1786.94</v>
      </c>
      <c r="L232" s="418">
        <f t="shared" si="50"/>
        <v>1786.94</v>
      </c>
      <c r="M232" s="418">
        <f t="shared" si="50"/>
        <v>1786.94</v>
      </c>
      <c r="N232" s="418">
        <f t="shared" si="50"/>
        <v>1786.94</v>
      </c>
      <c r="O232" s="418">
        <f t="shared" si="50"/>
        <v>1786.94</v>
      </c>
      <c r="P232" s="418">
        <f t="shared" si="50"/>
        <v>1786.94</v>
      </c>
      <c r="Q232" s="418">
        <f t="shared" si="50"/>
        <v>1786.94</v>
      </c>
      <c r="R232" s="418">
        <f t="shared" ref="R232:R243" si="51">SUM(F232:Q232)</f>
        <v>21443.279999999999</v>
      </c>
    </row>
    <row r="233" spans="1:20" s="336" customFormat="1" x14ac:dyDescent="0.2">
      <c r="B233" s="336" t="s">
        <v>1047</v>
      </c>
      <c r="F233" s="418"/>
      <c r="G233" s="418"/>
      <c r="H233" s="418"/>
      <c r="I233" s="418"/>
      <c r="J233" s="418"/>
      <c r="K233" s="418"/>
      <c r="L233" s="418"/>
      <c r="M233" s="418"/>
      <c r="N233" s="418"/>
      <c r="O233" s="418"/>
      <c r="P233" s="418"/>
      <c r="Q233" s="418"/>
      <c r="R233" s="418">
        <f t="shared" si="51"/>
        <v>0</v>
      </c>
    </row>
    <row r="234" spans="1:20" s="336" customFormat="1" x14ac:dyDescent="0.2">
      <c r="C234" s="336" t="s">
        <v>1086</v>
      </c>
      <c r="D234" s="382" t="s">
        <v>811</v>
      </c>
      <c r="F234" s="418">
        <f t="shared" ref="F234:Q239" si="52">F208*F221</f>
        <v>7079.0000000000009</v>
      </c>
      <c r="G234" s="418">
        <f t="shared" si="52"/>
        <v>7079.0000000000009</v>
      </c>
      <c r="H234" s="418">
        <f t="shared" si="52"/>
        <v>7079.0000000000009</v>
      </c>
      <c r="I234" s="418">
        <f t="shared" si="52"/>
        <v>7079.0000000000009</v>
      </c>
      <c r="J234" s="418">
        <f t="shared" si="52"/>
        <v>7079.0000000000009</v>
      </c>
      <c r="K234" s="418">
        <f t="shared" si="52"/>
        <v>7079.0000000000009</v>
      </c>
      <c r="L234" s="418">
        <f t="shared" si="52"/>
        <v>7079.0000000000009</v>
      </c>
      <c r="M234" s="418">
        <f t="shared" si="52"/>
        <v>7079.0000000000009</v>
      </c>
      <c r="N234" s="418">
        <f t="shared" si="52"/>
        <v>7079.0000000000009</v>
      </c>
      <c r="O234" s="418">
        <f t="shared" si="52"/>
        <v>7079.0000000000009</v>
      </c>
      <c r="P234" s="418">
        <f t="shared" si="52"/>
        <v>7079.0000000000009</v>
      </c>
      <c r="Q234" s="418">
        <f t="shared" si="52"/>
        <v>7079.0000000000009</v>
      </c>
      <c r="R234" s="418">
        <f t="shared" si="51"/>
        <v>84948.000000000015</v>
      </c>
    </row>
    <row r="235" spans="1:20" s="336" customFormat="1" x14ac:dyDescent="0.2">
      <c r="C235" s="336" t="s">
        <v>1087</v>
      </c>
      <c r="D235" s="382" t="s">
        <v>811</v>
      </c>
      <c r="F235" s="418">
        <f t="shared" si="52"/>
        <v>4322</v>
      </c>
      <c r="G235" s="418">
        <f t="shared" si="52"/>
        <v>4322</v>
      </c>
      <c r="H235" s="418">
        <f t="shared" si="52"/>
        <v>4322</v>
      </c>
      <c r="I235" s="418">
        <f t="shared" si="52"/>
        <v>4322</v>
      </c>
      <c r="J235" s="418">
        <f t="shared" si="52"/>
        <v>4322</v>
      </c>
      <c r="K235" s="418">
        <f t="shared" si="52"/>
        <v>4322</v>
      </c>
      <c r="L235" s="418">
        <f t="shared" si="52"/>
        <v>4322</v>
      </c>
      <c r="M235" s="418">
        <f t="shared" si="52"/>
        <v>4322</v>
      </c>
      <c r="N235" s="418">
        <f t="shared" si="52"/>
        <v>4322</v>
      </c>
      <c r="O235" s="418">
        <f t="shared" si="52"/>
        <v>4322</v>
      </c>
      <c r="P235" s="418">
        <f t="shared" si="52"/>
        <v>4322</v>
      </c>
      <c r="Q235" s="418">
        <f t="shared" si="52"/>
        <v>4322</v>
      </c>
      <c r="R235" s="418">
        <f t="shared" si="51"/>
        <v>51864</v>
      </c>
    </row>
    <row r="236" spans="1:20" s="336" customFormat="1" x14ac:dyDescent="0.2">
      <c r="C236" s="336" t="s">
        <v>1090</v>
      </c>
      <c r="D236" s="382" t="s">
        <v>811</v>
      </c>
      <c r="F236" s="418">
        <f t="shared" si="52"/>
        <v>5581</v>
      </c>
      <c r="G236" s="418">
        <f t="shared" si="52"/>
        <v>5581</v>
      </c>
      <c r="H236" s="418">
        <f t="shared" si="52"/>
        <v>5581</v>
      </c>
      <c r="I236" s="418">
        <f t="shared" si="52"/>
        <v>5581</v>
      </c>
      <c r="J236" s="418">
        <f t="shared" si="52"/>
        <v>5581</v>
      </c>
      <c r="K236" s="418">
        <f t="shared" si="52"/>
        <v>5581</v>
      </c>
      <c r="L236" s="418">
        <f t="shared" si="52"/>
        <v>5581</v>
      </c>
      <c r="M236" s="418">
        <f t="shared" si="52"/>
        <v>5581</v>
      </c>
      <c r="N236" s="418">
        <f t="shared" si="52"/>
        <v>5581</v>
      </c>
      <c r="O236" s="418">
        <f t="shared" si="52"/>
        <v>5581</v>
      </c>
      <c r="P236" s="418">
        <f t="shared" si="52"/>
        <v>5581</v>
      </c>
      <c r="Q236" s="418">
        <f t="shared" si="52"/>
        <v>5581</v>
      </c>
      <c r="R236" s="418">
        <f t="shared" si="51"/>
        <v>66972</v>
      </c>
    </row>
    <row r="237" spans="1:20" x14ac:dyDescent="0.2">
      <c r="C237" s="32" t="s">
        <v>1091</v>
      </c>
      <c r="D237" s="382" t="s">
        <v>811</v>
      </c>
      <c r="F237" s="364">
        <f t="shared" si="52"/>
        <v>7317.9999999999991</v>
      </c>
      <c r="G237" s="364">
        <f t="shared" si="52"/>
        <v>7317.9999999999991</v>
      </c>
      <c r="H237" s="364">
        <f t="shared" si="52"/>
        <v>7317.9999999999991</v>
      </c>
      <c r="I237" s="364">
        <f t="shared" si="52"/>
        <v>7317.9999999999991</v>
      </c>
      <c r="J237" s="364">
        <f t="shared" si="52"/>
        <v>7317.9999999999991</v>
      </c>
      <c r="K237" s="364">
        <f t="shared" si="52"/>
        <v>7317.9999999999991</v>
      </c>
      <c r="L237" s="364">
        <f t="shared" si="52"/>
        <v>7317.9999999999991</v>
      </c>
      <c r="M237" s="364">
        <f t="shared" si="52"/>
        <v>7317.9999999999991</v>
      </c>
      <c r="N237" s="364">
        <f t="shared" si="52"/>
        <v>7317.9999999999991</v>
      </c>
      <c r="O237" s="364">
        <f t="shared" si="52"/>
        <v>7317.9999999999991</v>
      </c>
      <c r="P237" s="364">
        <f t="shared" si="52"/>
        <v>7317.9999999999991</v>
      </c>
      <c r="Q237" s="364">
        <f t="shared" si="52"/>
        <v>7317.9999999999991</v>
      </c>
      <c r="R237" s="364">
        <f t="shared" si="51"/>
        <v>87815.999999999985</v>
      </c>
      <c r="S237" s="32"/>
      <c r="T237" s="32"/>
    </row>
    <row r="238" spans="1:20" x14ac:dyDescent="0.2">
      <c r="C238" s="32" t="s">
        <v>1092</v>
      </c>
      <c r="D238" s="382" t="s">
        <v>811</v>
      </c>
      <c r="F238" s="364">
        <f t="shared" si="52"/>
        <v>10312.444450000001</v>
      </c>
      <c r="G238" s="364">
        <f t="shared" si="52"/>
        <v>9833.8932999999997</v>
      </c>
      <c r="H238" s="364">
        <f t="shared" si="52"/>
        <v>10853.546550000001</v>
      </c>
      <c r="I238" s="364">
        <f t="shared" si="52"/>
        <v>10525.376400000001</v>
      </c>
      <c r="J238" s="364">
        <f t="shared" si="52"/>
        <v>10378.7145</v>
      </c>
      <c r="K238" s="364">
        <f t="shared" si="52"/>
        <v>10675.5957</v>
      </c>
      <c r="L238" s="364">
        <f t="shared" si="52"/>
        <v>10682.036750000001</v>
      </c>
      <c r="M238" s="364">
        <f t="shared" si="52"/>
        <v>10772.561800000001</v>
      </c>
      <c r="N238" s="364">
        <f t="shared" si="52"/>
        <v>10787.95025</v>
      </c>
      <c r="O238" s="364">
        <f t="shared" si="52"/>
        <v>10604.016500000002</v>
      </c>
      <c r="P238" s="364">
        <f t="shared" si="52"/>
        <v>10268.489000000001</v>
      </c>
      <c r="Q238" s="364">
        <f t="shared" si="52"/>
        <v>10626.061600000001</v>
      </c>
      <c r="R238" s="364">
        <f t="shared" si="51"/>
        <v>126320.6868</v>
      </c>
      <c r="S238" s="32"/>
      <c r="T238" s="32"/>
    </row>
    <row r="239" spans="1:20" x14ac:dyDescent="0.2">
      <c r="C239" s="32" t="s">
        <v>1093</v>
      </c>
      <c r="D239" s="382" t="s">
        <v>811</v>
      </c>
      <c r="F239" s="364">
        <f t="shared" si="52"/>
        <v>24596.35829</v>
      </c>
      <c r="G239" s="364">
        <f t="shared" si="52"/>
        <v>20074.72422</v>
      </c>
      <c r="H239" s="364">
        <f t="shared" si="52"/>
        <v>21686.845600000001</v>
      </c>
      <c r="I239" s="364">
        <f t="shared" si="52"/>
        <v>18910.948949999998</v>
      </c>
      <c r="J239" s="364">
        <f t="shared" si="52"/>
        <v>16171.202719999999</v>
      </c>
      <c r="K239" s="364">
        <f t="shared" si="52"/>
        <v>10608.870870000001</v>
      </c>
      <c r="L239" s="364">
        <f t="shared" si="52"/>
        <v>8522.9618300000002</v>
      </c>
      <c r="M239" s="364">
        <f t="shared" si="52"/>
        <v>7772.7022299999999</v>
      </c>
      <c r="N239" s="364">
        <f t="shared" si="52"/>
        <v>9313.5659799999994</v>
      </c>
      <c r="O239" s="364">
        <f t="shared" si="52"/>
        <v>14767.78721</v>
      </c>
      <c r="P239" s="364">
        <f t="shared" si="52"/>
        <v>25553.045730000002</v>
      </c>
      <c r="Q239" s="364">
        <f t="shared" si="52"/>
        <v>25475.8269</v>
      </c>
      <c r="R239" s="364">
        <f t="shared" si="51"/>
        <v>203454.84053000004</v>
      </c>
      <c r="S239" s="32"/>
      <c r="T239" s="32"/>
    </row>
    <row r="240" spans="1:20" x14ac:dyDescent="0.2">
      <c r="A240" s="32" t="s">
        <v>1054</v>
      </c>
      <c r="C240" s="32" t="s">
        <v>1077</v>
      </c>
      <c r="F240" s="365">
        <f t="shared" ref="F240:Q240" si="53">SUM(F234:F239)</f>
        <v>59208.802739999999</v>
      </c>
      <c r="G240" s="365">
        <f t="shared" si="53"/>
        <v>54208.61752</v>
      </c>
      <c r="H240" s="365">
        <f t="shared" si="53"/>
        <v>56840.39215</v>
      </c>
      <c r="I240" s="365">
        <f t="shared" si="53"/>
        <v>53736.325349999999</v>
      </c>
      <c r="J240" s="365">
        <f t="shared" si="53"/>
        <v>50849.917220000003</v>
      </c>
      <c r="K240" s="365">
        <f t="shared" si="53"/>
        <v>45584.466569999997</v>
      </c>
      <c r="L240" s="365">
        <f t="shared" si="53"/>
        <v>43504.998579999999</v>
      </c>
      <c r="M240" s="365">
        <f t="shared" si="53"/>
        <v>42845.264030000006</v>
      </c>
      <c r="N240" s="365">
        <f t="shared" si="53"/>
        <v>44401.516230000001</v>
      </c>
      <c r="O240" s="365">
        <f t="shared" si="53"/>
        <v>49671.80371</v>
      </c>
      <c r="P240" s="365">
        <f t="shared" si="53"/>
        <v>60121.534729999999</v>
      </c>
      <c r="Q240" s="365">
        <f t="shared" si="53"/>
        <v>60401.888500000001</v>
      </c>
      <c r="R240" s="365">
        <f t="shared" si="51"/>
        <v>621375.52733000007</v>
      </c>
      <c r="S240" s="32"/>
      <c r="T240" s="32"/>
    </row>
    <row r="241" spans="1:20" x14ac:dyDescent="0.2">
      <c r="A241" s="32" t="s">
        <v>1056</v>
      </c>
      <c r="B241" s="336" t="s">
        <v>1081</v>
      </c>
      <c r="D241" s="382" t="s">
        <v>811</v>
      </c>
      <c r="F241" s="365">
        <f t="shared" ref="F241:Q242" si="54">F214*F227</f>
        <v>1356.5663999999999</v>
      </c>
      <c r="G241" s="365">
        <f t="shared" si="54"/>
        <v>1195.4684</v>
      </c>
      <c r="H241" s="365">
        <f t="shared" si="54"/>
        <v>1274.9583</v>
      </c>
      <c r="I241" s="365">
        <f t="shared" si="54"/>
        <v>1175.1649</v>
      </c>
      <c r="J241" s="365">
        <f t="shared" si="54"/>
        <v>1081.2746</v>
      </c>
      <c r="K241" s="365">
        <f t="shared" si="54"/>
        <v>906.10029999999995</v>
      </c>
      <c r="L241" s="365">
        <f t="shared" si="54"/>
        <v>837.68439999999998</v>
      </c>
      <c r="M241" s="365">
        <f t="shared" si="54"/>
        <v>815.36770000000001</v>
      </c>
      <c r="N241" s="365">
        <f t="shared" si="54"/>
        <v>866.42989999999998</v>
      </c>
      <c r="O241" s="365">
        <f t="shared" si="54"/>
        <v>1040.9833000000001</v>
      </c>
      <c r="P241" s="365">
        <f t="shared" si="54"/>
        <v>1386.8798999999999</v>
      </c>
      <c r="Q241" s="365">
        <f t="shared" si="54"/>
        <v>1393.6286</v>
      </c>
      <c r="R241" s="365">
        <f t="shared" si="51"/>
        <v>13330.506699999998</v>
      </c>
      <c r="S241" s="32"/>
      <c r="T241" s="32"/>
    </row>
    <row r="242" spans="1:20" x14ac:dyDescent="0.2">
      <c r="A242" s="32" t="s">
        <v>1054</v>
      </c>
      <c r="B242" s="32" t="s">
        <v>1069</v>
      </c>
      <c r="D242" s="382" t="s">
        <v>811</v>
      </c>
      <c r="F242" s="364">
        <f t="shared" si="54"/>
        <v>2.2799999999999998</v>
      </c>
      <c r="G242" s="364">
        <f t="shared" si="54"/>
        <v>2.2799999999999998</v>
      </c>
      <c r="H242" s="364">
        <f t="shared" si="54"/>
        <v>2.2799999999999998</v>
      </c>
      <c r="I242" s="364">
        <f t="shared" si="54"/>
        <v>2.2799999999999998</v>
      </c>
      <c r="J242" s="364">
        <f t="shared" si="54"/>
        <v>2.2799999999999998</v>
      </c>
      <c r="K242" s="364">
        <f t="shared" si="54"/>
        <v>2.2799999999999998</v>
      </c>
      <c r="L242" s="364">
        <f t="shared" si="54"/>
        <v>2.2799999999999998</v>
      </c>
      <c r="M242" s="364">
        <f t="shared" si="54"/>
        <v>2.2799999999999998</v>
      </c>
      <c r="N242" s="364">
        <f t="shared" si="54"/>
        <v>2.2799999999999998</v>
      </c>
      <c r="O242" s="364">
        <f t="shared" si="54"/>
        <v>2.2799999999999998</v>
      </c>
      <c r="P242" s="364">
        <f t="shared" si="54"/>
        <v>2.2799999999999998</v>
      </c>
      <c r="Q242" s="364">
        <f t="shared" si="54"/>
        <v>2.2799999999999998</v>
      </c>
      <c r="R242" s="364">
        <f t="shared" si="51"/>
        <v>27.360000000000003</v>
      </c>
      <c r="S242" s="32"/>
      <c r="T242" s="32"/>
    </row>
    <row r="243" spans="1:20" s="336" customFormat="1" x14ac:dyDescent="0.2">
      <c r="A243" s="336" t="s">
        <v>1054</v>
      </c>
      <c r="B243" s="336" t="s">
        <v>1071</v>
      </c>
      <c r="D243" s="382" t="s">
        <v>811</v>
      </c>
      <c r="F243" s="447">
        <f>'JKP-3.1c - Rev Actual Rates'!F254</f>
        <v>0</v>
      </c>
      <c r="G243" s="447">
        <f>'JKP-3.1c - Rev Actual Rates'!G254</f>
        <v>0</v>
      </c>
      <c r="H243" s="447">
        <f>'JKP-3.1c - Rev Actual Rates'!H254</f>
        <v>0</v>
      </c>
      <c r="I243" s="447">
        <f>'JKP-3.1c - Rev Actual Rates'!I254</f>
        <v>0</v>
      </c>
      <c r="J243" s="447">
        <f>'JKP-3.1c - Rev Actual Rates'!J254</f>
        <v>0</v>
      </c>
      <c r="K243" s="447">
        <f>'JKP-3.1c - Rev Actual Rates'!K254</f>
        <v>0</v>
      </c>
      <c r="L243" s="447">
        <f>'JKP-3.1c - Rev Actual Rates'!L254</f>
        <v>0</v>
      </c>
      <c r="M243" s="447">
        <f>'JKP-3.1c - Rev Actual Rates'!M254</f>
        <v>0</v>
      </c>
      <c r="N243" s="447">
        <f>'JKP-3.1c - Rev Actual Rates'!N254</f>
        <v>0</v>
      </c>
      <c r="O243" s="447">
        <f>'JKP-3.1c - Rev Actual Rates'!O254</f>
        <v>0</v>
      </c>
      <c r="P243" s="447">
        <f>'JKP-3.1c - Rev Actual Rates'!P254</f>
        <v>0</v>
      </c>
      <c r="Q243" s="447">
        <f>'JKP-3.1c - Rev Actual Rates'!Q254</f>
        <v>0</v>
      </c>
      <c r="R243" s="437">
        <f t="shared" si="51"/>
        <v>0</v>
      </c>
    </row>
    <row r="244" spans="1:20" s="336" customFormat="1" x14ac:dyDescent="0.2">
      <c r="B244" s="336" t="s">
        <v>986</v>
      </c>
      <c r="F244" s="339">
        <f>F232+F240+F241+F242+F243</f>
        <v>62354.589140000004</v>
      </c>
      <c r="G244" s="339">
        <f t="shared" ref="G244:R244" si="55">G232+G240+G241+G242+G243</f>
        <v>57193.305919999999</v>
      </c>
      <c r="H244" s="339">
        <f t="shared" si="55"/>
        <v>59904.570449999999</v>
      </c>
      <c r="I244" s="339">
        <f t="shared" si="55"/>
        <v>56700.710250000004</v>
      </c>
      <c r="J244" s="339">
        <f t="shared" si="55"/>
        <v>53720.411820000001</v>
      </c>
      <c r="K244" s="339">
        <f t="shared" si="55"/>
        <v>48279.786869999996</v>
      </c>
      <c r="L244" s="339">
        <f t="shared" si="55"/>
        <v>46131.902979999999</v>
      </c>
      <c r="M244" s="339">
        <f t="shared" si="55"/>
        <v>45449.851730000009</v>
      </c>
      <c r="N244" s="339">
        <f t="shared" si="55"/>
        <v>47057.166130000005</v>
      </c>
      <c r="O244" s="339">
        <f t="shared" si="55"/>
        <v>52502.007010000001</v>
      </c>
      <c r="P244" s="339">
        <f t="shared" si="55"/>
        <v>63297.63463</v>
      </c>
      <c r="Q244" s="339">
        <f t="shared" si="55"/>
        <v>63584.737099999998</v>
      </c>
      <c r="R244" s="339">
        <f t="shared" si="55"/>
        <v>656176.67403000011</v>
      </c>
    </row>
    <row r="245" spans="1:20" s="336" customFormat="1" x14ac:dyDescent="0.2">
      <c r="F245" s="415"/>
      <c r="G245" s="415"/>
      <c r="H245" s="415"/>
      <c r="I245" s="415"/>
      <c r="J245" s="415"/>
    </row>
    <row r="246" spans="1:20" s="336" customFormat="1" x14ac:dyDescent="0.2">
      <c r="A246" s="336" t="s">
        <v>1058</v>
      </c>
      <c r="B246" s="336" t="s">
        <v>1050</v>
      </c>
      <c r="F246" s="340">
        <f>F241</f>
        <v>1356.5663999999999</v>
      </c>
      <c r="G246" s="340">
        <f t="shared" ref="G246:Q246" si="56">G241</f>
        <v>1195.4684</v>
      </c>
      <c r="H246" s="340">
        <f t="shared" si="56"/>
        <v>1274.9583</v>
      </c>
      <c r="I246" s="340">
        <f t="shared" si="56"/>
        <v>1175.1649</v>
      </c>
      <c r="J246" s="340">
        <f t="shared" si="56"/>
        <v>1081.2746</v>
      </c>
      <c r="K246" s="340">
        <f t="shared" si="56"/>
        <v>906.10029999999995</v>
      </c>
      <c r="L246" s="340">
        <f t="shared" si="56"/>
        <v>837.68439999999998</v>
      </c>
      <c r="M246" s="340">
        <f t="shared" si="56"/>
        <v>815.36770000000001</v>
      </c>
      <c r="N246" s="340">
        <f t="shared" si="56"/>
        <v>866.42989999999998</v>
      </c>
      <c r="O246" s="340">
        <f t="shared" si="56"/>
        <v>1040.9833000000001</v>
      </c>
      <c r="P246" s="340">
        <f t="shared" si="56"/>
        <v>1386.8798999999999</v>
      </c>
      <c r="Q246" s="340">
        <f t="shared" si="56"/>
        <v>1393.6286</v>
      </c>
      <c r="R246" s="418">
        <f>SUM(F246:Q246)</f>
        <v>13330.506699999998</v>
      </c>
    </row>
    <row r="247" spans="1:20" s="336" customFormat="1" x14ac:dyDescent="0.2">
      <c r="F247" s="415"/>
      <c r="G247" s="415"/>
      <c r="H247" s="415"/>
      <c r="I247" s="415"/>
      <c r="J247" s="415"/>
    </row>
    <row r="248" spans="1:20" x14ac:dyDescent="0.2">
      <c r="B248" s="276" t="s">
        <v>1094</v>
      </c>
    </row>
    <row r="249" spans="1:20" x14ac:dyDescent="0.2">
      <c r="B249" s="276" t="s">
        <v>5</v>
      </c>
    </row>
    <row r="250" spans="1:20" x14ac:dyDescent="0.2">
      <c r="B250" s="32" t="s">
        <v>1063</v>
      </c>
      <c r="D250" s="32">
        <v>61</v>
      </c>
      <c r="E250" s="32" t="s">
        <v>1064</v>
      </c>
      <c r="F250" s="414">
        <v>0.1</v>
      </c>
      <c r="G250" s="414">
        <v>0.1</v>
      </c>
      <c r="H250" s="414">
        <v>0.1</v>
      </c>
      <c r="I250" s="414">
        <v>0.1</v>
      </c>
      <c r="J250" s="414">
        <v>0.1</v>
      </c>
      <c r="K250" s="414">
        <v>0.1</v>
      </c>
      <c r="L250" s="414">
        <v>0.1</v>
      </c>
      <c r="M250" s="414">
        <v>0.1</v>
      </c>
      <c r="N250" s="414">
        <v>0.1</v>
      </c>
      <c r="O250" s="414">
        <v>0.1</v>
      </c>
      <c r="P250" s="414">
        <v>0.1</v>
      </c>
      <c r="Q250" s="414">
        <v>0.1</v>
      </c>
    </row>
    <row r="252" spans="1:20" x14ac:dyDescent="0.2">
      <c r="B252" s="276" t="s">
        <v>982</v>
      </c>
    </row>
    <row r="253" spans="1:20" s="336" customFormat="1" x14ac:dyDescent="0.2">
      <c r="B253" s="336" t="s">
        <v>74</v>
      </c>
      <c r="F253" s="421">
        <f>'JKP-3.1c - Data'!C129</f>
        <v>88936</v>
      </c>
      <c r="G253" s="421">
        <f>'JKP-3.1c - Data'!D129</f>
        <v>88936</v>
      </c>
      <c r="H253" s="421">
        <f>'JKP-3.1c - Data'!E129</f>
        <v>89191</v>
      </c>
      <c r="I253" s="421">
        <f>'JKP-3.1c - Data'!F129</f>
        <v>88936</v>
      </c>
      <c r="J253" s="421">
        <f>'JKP-3.1c - Data'!G129</f>
        <v>91309</v>
      </c>
      <c r="K253" s="421">
        <f>'JKP-3.1c - Data'!H129</f>
        <v>90116</v>
      </c>
      <c r="L253" s="421">
        <f>'JKP-3.1c - Data'!I129</f>
        <v>92111</v>
      </c>
      <c r="M253" s="421">
        <f>'JKP-3.1c - Data'!J129</f>
        <v>93269</v>
      </c>
      <c r="N253" s="421">
        <f>'JKP-3.1c - Data'!K129</f>
        <v>92656</v>
      </c>
      <c r="O253" s="421">
        <f>'JKP-3.1c - Data'!L129</f>
        <v>92656</v>
      </c>
      <c r="P253" s="421">
        <f>'JKP-3.1c - Data'!M129</f>
        <v>92656</v>
      </c>
      <c r="Q253" s="421">
        <f>'JKP-3.1c - Data'!N129</f>
        <v>92656</v>
      </c>
      <c r="R253" s="378">
        <f>SUM(F253:Q253)</f>
        <v>1093428</v>
      </c>
      <c r="S253" s="335"/>
      <c r="T253" s="415"/>
    </row>
    <row r="255" spans="1:20" x14ac:dyDescent="0.2">
      <c r="B255" s="276" t="s">
        <v>985</v>
      </c>
    </row>
    <row r="256" spans="1:20" x14ac:dyDescent="0.2">
      <c r="A256" s="32" t="s">
        <v>1054</v>
      </c>
      <c r="B256" s="32" t="s">
        <v>1063</v>
      </c>
      <c r="F256" s="364">
        <f t="shared" ref="F256:Q256" si="57">F250*F253</f>
        <v>8893.6</v>
      </c>
      <c r="G256" s="364">
        <f t="shared" si="57"/>
        <v>8893.6</v>
      </c>
      <c r="H256" s="364">
        <f t="shared" si="57"/>
        <v>8919.1</v>
      </c>
      <c r="I256" s="364">
        <f t="shared" si="57"/>
        <v>8893.6</v>
      </c>
      <c r="J256" s="364">
        <f t="shared" si="57"/>
        <v>9130.9</v>
      </c>
      <c r="K256" s="364">
        <f t="shared" si="57"/>
        <v>9011.6</v>
      </c>
      <c r="L256" s="364">
        <f t="shared" si="57"/>
        <v>9211.1</v>
      </c>
      <c r="M256" s="364">
        <f t="shared" si="57"/>
        <v>9326.9</v>
      </c>
      <c r="N256" s="364">
        <f t="shared" si="57"/>
        <v>9265.6</v>
      </c>
      <c r="O256" s="364">
        <f t="shared" si="57"/>
        <v>9265.6</v>
      </c>
      <c r="P256" s="364">
        <f t="shared" si="57"/>
        <v>9265.6</v>
      </c>
      <c r="Q256" s="364">
        <f t="shared" si="57"/>
        <v>9265.6</v>
      </c>
      <c r="R256" s="364">
        <f>SUM(F256:Q256)</f>
        <v>109342.80000000002</v>
      </c>
    </row>
    <row r="257" spans="2:20" x14ac:dyDescent="0.2">
      <c r="F257" s="364"/>
      <c r="G257" s="364"/>
      <c r="H257" s="364"/>
      <c r="I257" s="364"/>
      <c r="J257" s="364"/>
      <c r="K257" s="364"/>
      <c r="L257" s="364"/>
      <c r="M257" s="364"/>
      <c r="N257" s="364"/>
      <c r="O257" s="364"/>
      <c r="P257" s="364"/>
      <c r="Q257" s="364"/>
      <c r="R257" s="364"/>
    </row>
    <row r="259" spans="2:20" s="336" customFormat="1" x14ac:dyDescent="0.2">
      <c r="B259" s="182" t="s">
        <v>1095</v>
      </c>
      <c r="C259" s="182"/>
      <c r="S259" s="335"/>
      <c r="T259" s="415"/>
    </row>
    <row r="260" spans="2:20" x14ac:dyDescent="0.2">
      <c r="B260" s="276" t="s">
        <v>5</v>
      </c>
      <c r="C260" s="276"/>
    </row>
    <row r="261" spans="2:20" x14ac:dyDescent="0.2">
      <c r="B261" s="32" t="s">
        <v>1059</v>
      </c>
      <c r="D261" s="32">
        <v>85</v>
      </c>
      <c r="E261" s="32" t="s">
        <v>976</v>
      </c>
      <c r="F261" s="414">
        <v>558.67999999999995</v>
      </c>
      <c r="G261" s="414">
        <v>558.67999999999995</v>
      </c>
      <c r="H261" s="414">
        <v>558.67999999999995</v>
      </c>
      <c r="I261" s="414">
        <v>558.67999999999995</v>
      </c>
      <c r="J261" s="414">
        <v>558.67999999999995</v>
      </c>
      <c r="K261" s="414">
        <v>558.67999999999995</v>
      </c>
      <c r="L261" s="414">
        <v>558.67999999999995</v>
      </c>
      <c r="M261" s="414">
        <v>558.67999999999995</v>
      </c>
      <c r="N261" s="414">
        <v>558.67999999999995</v>
      </c>
      <c r="O261" s="414">
        <v>558.67999999999995</v>
      </c>
      <c r="P261" s="414">
        <v>558.67999999999995</v>
      </c>
      <c r="Q261" s="414">
        <v>558.67999999999995</v>
      </c>
      <c r="R261" s="439"/>
    </row>
    <row r="262" spans="2:20" x14ac:dyDescent="0.2">
      <c r="B262" s="32" t="s">
        <v>1047</v>
      </c>
      <c r="F262" s="393"/>
      <c r="G262" s="393"/>
      <c r="H262" s="393"/>
      <c r="I262" s="393"/>
      <c r="J262" s="393"/>
      <c r="K262" s="393"/>
      <c r="L262" s="393"/>
      <c r="M262" s="393"/>
      <c r="N262" s="393"/>
      <c r="O262" s="393"/>
      <c r="P262" s="393"/>
      <c r="Q262" s="393"/>
      <c r="R262" s="394"/>
    </row>
    <row r="263" spans="2:20" x14ac:dyDescent="0.2">
      <c r="C263" s="32" t="s">
        <v>1086</v>
      </c>
      <c r="D263" s="32">
        <v>85</v>
      </c>
      <c r="E263" s="32" t="s">
        <v>957</v>
      </c>
      <c r="F263" s="440">
        <v>0.10491</v>
      </c>
      <c r="G263" s="440">
        <v>0.10491</v>
      </c>
      <c r="H263" s="440">
        <v>0.10491</v>
      </c>
      <c r="I263" s="440">
        <v>0.10491</v>
      </c>
      <c r="J263" s="440">
        <v>0.10491</v>
      </c>
      <c r="K263" s="440">
        <v>0.10491</v>
      </c>
      <c r="L263" s="440">
        <v>0.10491</v>
      </c>
      <c r="M263" s="440">
        <v>0.10491</v>
      </c>
      <c r="N263" s="440">
        <v>0.10491</v>
      </c>
      <c r="O263" s="440">
        <v>0.10491</v>
      </c>
      <c r="P263" s="440">
        <v>0.10491</v>
      </c>
      <c r="Q263" s="440">
        <v>0.10491</v>
      </c>
      <c r="R263" s="394"/>
    </row>
    <row r="264" spans="2:20" x14ac:dyDescent="0.2">
      <c r="C264" s="32" t="s">
        <v>1087</v>
      </c>
      <c r="D264" s="32">
        <v>85</v>
      </c>
      <c r="E264" s="32" t="s">
        <v>957</v>
      </c>
      <c r="F264" s="440">
        <v>5.3780000000000001E-2</v>
      </c>
      <c r="G264" s="440">
        <v>5.3780000000000001E-2</v>
      </c>
      <c r="H264" s="440">
        <v>5.3780000000000001E-2</v>
      </c>
      <c r="I264" s="440">
        <v>5.3780000000000001E-2</v>
      </c>
      <c r="J264" s="440">
        <v>5.3780000000000001E-2</v>
      </c>
      <c r="K264" s="440">
        <v>5.3780000000000001E-2</v>
      </c>
      <c r="L264" s="440">
        <v>5.3780000000000001E-2</v>
      </c>
      <c r="M264" s="440">
        <v>5.3780000000000001E-2</v>
      </c>
      <c r="N264" s="440">
        <v>5.3780000000000001E-2</v>
      </c>
      <c r="O264" s="440">
        <v>5.3780000000000001E-2</v>
      </c>
      <c r="P264" s="440">
        <v>5.3780000000000001E-2</v>
      </c>
      <c r="Q264" s="440">
        <v>5.3780000000000001E-2</v>
      </c>
      <c r="R264" s="394"/>
    </row>
    <row r="265" spans="2:20" x14ac:dyDescent="0.2">
      <c r="C265" s="32" t="s">
        <v>1088</v>
      </c>
      <c r="D265" s="32">
        <v>85</v>
      </c>
      <c r="E265" s="32" t="s">
        <v>957</v>
      </c>
      <c r="F265" s="440">
        <v>5.1619999999999999E-2</v>
      </c>
      <c r="G265" s="440">
        <v>5.1619999999999999E-2</v>
      </c>
      <c r="H265" s="440">
        <v>5.1619999999999999E-2</v>
      </c>
      <c r="I265" s="440">
        <v>5.1619999999999999E-2</v>
      </c>
      <c r="J265" s="440">
        <v>5.1619999999999999E-2</v>
      </c>
      <c r="K265" s="440">
        <v>5.1619999999999999E-2</v>
      </c>
      <c r="L265" s="440">
        <v>5.1619999999999999E-2</v>
      </c>
      <c r="M265" s="440">
        <v>5.1619999999999999E-2</v>
      </c>
      <c r="N265" s="440">
        <v>5.1619999999999999E-2</v>
      </c>
      <c r="O265" s="440">
        <v>5.1619999999999999E-2</v>
      </c>
      <c r="P265" s="440">
        <v>5.1619999999999999E-2</v>
      </c>
      <c r="Q265" s="440">
        <v>5.1619999999999999E-2</v>
      </c>
      <c r="R265" s="394"/>
    </row>
    <row r="266" spans="2:20" x14ac:dyDescent="0.2">
      <c r="B266" s="415" t="s">
        <v>1067</v>
      </c>
      <c r="D266" s="32">
        <v>101</v>
      </c>
      <c r="E266" s="32" t="s">
        <v>957</v>
      </c>
      <c r="F266" s="495">
        <f>'JKP-3.1c - Rev Rates PGA Nov10'!F266</f>
        <v>0.66125</v>
      </c>
      <c r="G266" s="495">
        <f>'JKP-3.1c - Rev Rates PGA Nov10'!G266</f>
        <v>0.66125</v>
      </c>
      <c r="H266" s="495">
        <f>'JKP-3.1c - Rev Rates PGA Nov10'!H266</f>
        <v>0.66125</v>
      </c>
      <c r="I266" s="495">
        <f>'JKP-3.1c - Rev Rates PGA Nov10'!I266</f>
        <v>0.66125</v>
      </c>
      <c r="J266" s="495">
        <f>'JKP-3.1c - Rev Rates PGA Nov10'!J266</f>
        <v>0.66125</v>
      </c>
      <c r="K266" s="495">
        <f>'JKP-3.1c - Rev Rates PGA Nov10'!K266</f>
        <v>0.66125</v>
      </c>
      <c r="L266" s="495">
        <f>'JKP-3.1c - Rev Rates PGA Nov10'!L266</f>
        <v>0.66125</v>
      </c>
      <c r="M266" s="495">
        <f>'JKP-3.1c - Rev Rates PGA Nov10'!M266</f>
        <v>0.66125</v>
      </c>
      <c r="N266" s="495">
        <f>'JKP-3.1c - Rev Rates PGA Nov10'!N266</f>
        <v>0.66125</v>
      </c>
      <c r="O266" s="495">
        <f>'JKP-3.1c - Rev Rates PGA Nov10'!O266</f>
        <v>0.66125</v>
      </c>
      <c r="P266" s="495">
        <f>'JKP-3.1c - Rev Rates PGA Nov10'!P266</f>
        <v>0.66125</v>
      </c>
      <c r="Q266" s="495">
        <f>'JKP-3.1c - Rev Rates PGA Nov10'!Q266</f>
        <v>0.66125</v>
      </c>
      <c r="R266" s="394"/>
    </row>
    <row r="267" spans="2:20" s="336" customFormat="1" x14ac:dyDescent="0.2">
      <c r="B267" s="336" t="s">
        <v>1096</v>
      </c>
      <c r="D267" s="382">
        <v>85</v>
      </c>
      <c r="E267" s="336" t="s">
        <v>957</v>
      </c>
      <c r="F267" s="440">
        <v>6.7600000000000004E-3</v>
      </c>
      <c r="G267" s="440">
        <v>6.7600000000000004E-3</v>
      </c>
      <c r="H267" s="440">
        <v>6.7600000000000004E-3</v>
      </c>
      <c r="I267" s="440">
        <v>6.7600000000000004E-3</v>
      </c>
      <c r="J267" s="440">
        <v>6.7600000000000004E-3</v>
      </c>
      <c r="K267" s="440">
        <v>6.7600000000000004E-3</v>
      </c>
      <c r="L267" s="440">
        <v>6.7600000000000004E-3</v>
      </c>
      <c r="M267" s="440">
        <v>6.7600000000000004E-3</v>
      </c>
      <c r="N267" s="440">
        <v>6.7600000000000004E-3</v>
      </c>
      <c r="O267" s="440">
        <v>6.7600000000000004E-3</v>
      </c>
      <c r="P267" s="440">
        <v>6.7600000000000004E-3</v>
      </c>
      <c r="Q267" s="440">
        <v>6.7600000000000004E-3</v>
      </c>
      <c r="R267" s="441"/>
      <c r="S267" s="516"/>
      <c r="T267" s="415"/>
    </row>
    <row r="268" spans="2:20" s="336" customFormat="1" x14ac:dyDescent="0.2">
      <c r="B268" s="336" t="s">
        <v>1068</v>
      </c>
      <c r="F268" s="441"/>
      <c r="G268" s="441"/>
      <c r="H268" s="441"/>
      <c r="I268" s="441"/>
      <c r="J268" s="441"/>
      <c r="K268" s="441"/>
      <c r="L268" s="441"/>
      <c r="M268" s="441"/>
      <c r="N268" s="441"/>
      <c r="O268" s="441"/>
      <c r="P268" s="441"/>
      <c r="Q268" s="441"/>
      <c r="R268" s="441"/>
      <c r="S268" s="335"/>
      <c r="T268" s="415"/>
    </row>
    <row r="269" spans="2:20" s="336" customFormat="1" x14ac:dyDescent="0.2">
      <c r="C269" s="336" t="s">
        <v>1069</v>
      </c>
      <c r="D269" s="336">
        <v>85</v>
      </c>
      <c r="E269" s="336" t="s">
        <v>957</v>
      </c>
      <c r="F269" s="442">
        <v>1.1399999999999999</v>
      </c>
      <c r="G269" s="442">
        <v>1.1399999999999999</v>
      </c>
      <c r="H269" s="442">
        <v>1.1399999999999999</v>
      </c>
      <c r="I269" s="442">
        <v>1.1399999999999999</v>
      </c>
      <c r="J269" s="442">
        <v>1.1399999999999999</v>
      </c>
      <c r="K269" s="442">
        <v>1.1399999999999999</v>
      </c>
      <c r="L269" s="442">
        <v>1.1399999999999999</v>
      </c>
      <c r="M269" s="442">
        <v>1.1399999999999999</v>
      </c>
      <c r="N269" s="442">
        <v>1.1399999999999999</v>
      </c>
      <c r="O269" s="442">
        <v>1.1399999999999999</v>
      </c>
      <c r="P269" s="442">
        <v>1.1399999999999999</v>
      </c>
      <c r="Q269" s="442">
        <v>1.1399999999999999</v>
      </c>
      <c r="R269" s="441"/>
      <c r="S269" s="335"/>
      <c r="T269" s="415"/>
    </row>
    <row r="270" spans="2:20" s="336" customFormat="1" x14ac:dyDescent="0.2">
      <c r="C270" s="336" t="s">
        <v>1070</v>
      </c>
      <c r="D270" s="336">
        <v>101</v>
      </c>
      <c r="E270" s="336" t="s">
        <v>957</v>
      </c>
      <c r="F270" s="442">
        <v>1.05</v>
      </c>
      <c r="G270" s="442">
        <v>1.05</v>
      </c>
      <c r="H270" s="442">
        <v>1.05</v>
      </c>
      <c r="I270" s="442">
        <v>1.05</v>
      </c>
      <c r="J270" s="442">
        <v>1.05</v>
      </c>
      <c r="K270" s="442">
        <v>1.05</v>
      </c>
      <c r="L270" s="442">
        <v>1.05</v>
      </c>
      <c r="M270" s="442">
        <v>1.05</v>
      </c>
      <c r="N270" s="442">
        <v>1.05</v>
      </c>
      <c r="O270" s="442">
        <v>1.05</v>
      </c>
      <c r="P270" s="442">
        <v>1.05</v>
      </c>
      <c r="Q270" s="442">
        <v>1.05</v>
      </c>
      <c r="R270" s="441"/>
      <c r="S270" s="335"/>
      <c r="T270" s="415"/>
    </row>
    <row r="271" spans="2:20" s="336" customFormat="1" x14ac:dyDescent="0.2">
      <c r="B271" s="336" t="s">
        <v>1071</v>
      </c>
      <c r="D271" s="336">
        <v>85</v>
      </c>
      <c r="E271" s="336" t="s">
        <v>67</v>
      </c>
      <c r="F271" s="450"/>
      <c r="G271" s="450"/>
      <c r="H271" s="442"/>
      <c r="I271" s="450"/>
      <c r="J271" s="450"/>
      <c r="K271" s="450"/>
      <c r="L271" s="450"/>
      <c r="M271" s="450"/>
      <c r="N271" s="450"/>
      <c r="O271" s="450"/>
      <c r="P271" s="450"/>
      <c r="Q271" s="450"/>
      <c r="R271" s="441"/>
      <c r="S271" s="335"/>
      <c r="T271" s="415"/>
    </row>
    <row r="272" spans="2:20" s="336" customFormat="1" x14ac:dyDescent="0.2">
      <c r="B272" s="415" t="s">
        <v>1197</v>
      </c>
      <c r="F272" s="495">
        <f>'JKP-3.1c - Rev Rates PGA Nov10'!F272</f>
        <v>0.63265000000000005</v>
      </c>
      <c r="G272" s="495">
        <f>'JKP-3.1c - Rev Rates PGA Nov10'!G272</f>
        <v>0.63265000000000005</v>
      </c>
      <c r="H272" s="495">
        <f>'JKP-3.1c - Rev Rates PGA Nov10'!H272</f>
        <v>0.63265000000000005</v>
      </c>
      <c r="I272" s="495">
        <f>'JKP-3.1c - Rev Rates PGA Nov10'!I272</f>
        <v>0.63265000000000005</v>
      </c>
      <c r="J272" s="495">
        <f>'JKP-3.1c - Rev Rates PGA Nov10'!J272</f>
        <v>0.63265000000000005</v>
      </c>
      <c r="K272" s="495">
        <f>'JKP-3.1c - Rev Rates PGA Nov10'!K272</f>
        <v>0.63265000000000005</v>
      </c>
      <c r="L272" s="495">
        <f>'JKP-3.1c - Rev Rates PGA Nov10'!L272</f>
        <v>0.63265000000000005</v>
      </c>
      <c r="M272" s="495">
        <f>'JKP-3.1c - Rev Rates PGA Nov10'!M272</f>
        <v>0.63265000000000005</v>
      </c>
      <c r="N272" s="495">
        <f>'JKP-3.1c - Rev Rates PGA Nov10'!N272</f>
        <v>0.63265000000000005</v>
      </c>
      <c r="O272" s="495">
        <f>'JKP-3.1c - Rev Rates PGA Nov10'!O272</f>
        <v>0.63265000000000005</v>
      </c>
      <c r="P272" s="495">
        <f>'JKP-3.1c - Rev Rates PGA Nov10'!P272</f>
        <v>0.63265000000000005</v>
      </c>
      <c r="Q272" s="495">
        <f>'JKP-3.1c - Rev Rates PGA Nov10'!Q272</f>
        <v>0.63265000000000005</v>
      </c>
      <c r="S272" s="335"/>
      <c r="T272" s="415"/>
    </row>
    <row r="273" spans="1:20" s="336" customFormat="1" x14ac:dyDescent="0.2">
      <c r="B273" s="415" t="s">
        <v>1072</v>
      </c>
      <c r="F273" s="442">
        <v>1</v>
      </c>
      <c r="G273" s="442">
        <v>1</v>
      </c>
      <c r="H273" s="442">
        <v>1</v>
      </c>
      <c r="I273" s="442">
        <v>1</v>
      </c>
      <c r="J273" s="442">
        <v>1</v>
      </c>
      <c r="K273" s="442">
        <v>1</v>
      </c>
      <c r="L273" s="442">
        <v>1</v>
      </c>
      <c r="M273" s="442">
        <v>1</v>
      </c>
      <c r="N273" s="442">
        <v>1</v>
      </c>
      <c r="O273" s="442">
        <v>1</v>
      </c>
      <c r="P273" s="442">
        <v>1</v>
      </c>
      <c r="Q273" s="442">
        <v>1</v>
      </c>
      <c r="S273" s="335"/>
      <c r="T273" s="415"/>
    </row>
    <row r="274" spans="1:20" s="336" customFormat="1" x14ac:dyDescent="0.2">
      <c r="S274" s="335"/>
      <c r="T274" s="415"/>
    </row>
    <row r="275" spans="1:20" s="336" customFormat="1" x14ac:dyDescent="0.2">
      <c r="B275" s="182" t="s">
        <v>982</v>
      </c>
      <c r="S275" s="335"/>
      <c r="T275" s="415"/>
    </row>
    <row r="276" spans="1:20" s="336" customFormat="1" x14ac:dyDescent="0.2">
      <c r="B276" s="336" t="s">
        <v>67</v>
      </c>
      <c r="E276" s="336" t="s">
        <v>67</v>
      </c>
      <c r="F276" s="421">
        <f>'JKP-3.1c - Data'!C146</f>
        <v>25</v>
      </c>
      <c r="G276" s="421">
        <f>'JKP-3.1c - Data'!D146</f>
        <v>25</v>
      </c>
      <c r="H276" s="421">
        <f>'JKP-3.1c - Data'!E146</f>
        <v>27</v>
      </c>
      <c r="I276" s="421">
        <f>'JKP-3.1c - Data'!F146</f>
        <v>27</v>
      </c>
      <c r="J276" s="421">
        <f>'JKP-3.1c - Data'!G146</f>
        <v>27</v>
      </c>
      <c r="K276" s="421">
        <f>'JKP-3.1c - Data'!H146</f>
        <v>27</v>
      </c>
      <c r="L276" s="421">
        <f>'JKP-3.1c - Data'!I146</f>
        <v>27</v>
      </c>
      <c r="M276" s="421">
        <f>'JKP-3.1c - Data'!J146</f>
        <v>28</v>
      </c>
      <c r="N276" s="421">
        <f>'JKP-3.1c - Data'!K146</f>
        <v>27</v>
      </c>
      <c r="O276" s="421">
        <f>'JKP-3.1c - Data'!L146</f>
        <v>27</v>
      </c>
      <c r="P276" s="421">
        <f>'JKP-3.1c - Data'!M146</f>
        <v>27</v>
      </c>
      <c r="Q276" s="421">
        <f>'JKP-3.1c - Data'!N146</f>
        <v>27</v>
      </c>
      <c r="R276" s="378">
        <f>SUM(F276:Q276)</f>
        <v>321</v>
      </c>
      <c r="S276" s="335"/>
      <c r="T276" s="415"/>
    </row>
    <row r="277" spans="1:20" s="336" customFormat="1" x14ac:dyDescent="0.2">
      <c r="B277" s="336" t="s">
        <v>76</v>
      </c>
      <c r="F277" s="380"/>
      <c r="G277" s="380"/>
      <c r="H277" s="380"/>
      <c r="I277" s="380"/>
      <c r="J277" s="380"/>
      <c r="K277" s="380"/>
      <c r="L277" s="380"/>
      <c r="M277" s="380"/>
      <c r="N277" s="380"/>
      <c r="O277" s="380"/>
      <c r="P277" s="380"/>
      <c r="Q277" s="380"/>
      <c r="R277" s="378"/>
      <c r="S277" s="335"/>
      <c r="T277" s="415"/>
    </row>
    <row r="278" spans="1:20" s="336" customFormat="1" x14ac:dyDescent="0.2">
      <c r="C278" s="336" t="s">
        <v>1086</v>
      </c>
      <c r="E278" s="336" t="s">
        <v>10</v>
      </c>
      <c r="F278" s="421">
        <f>'JKP-3.1c - Rev Actual Rates'!F289</f>
        <v>579204</v>
      </c>
      <c r="G278" s="421">
        <f>'JKP-3.1c - Rev Actual Rates'!G289</f>
        <v>571053</v>
      </c>
      <c r="H278" s="421">
        <f>'JKP-3.1c - Rev Actual Rates'!H289</f>
        <v>627459</v>
      </c>
      <c r="I278" s="421">
        <f>'JKP-3.1c - Rev Actual Rates'!I289</f>
        <v>616245</v>
      </c>
      <c r="J278" s="421">
        <f>'JKP-3.1c - Rev Actual Rates'!J289</f>
        <v>589190</v>
      </c>
      <c r="K278" s="421">
        <f>'JKP-3.1c - Rev Actual Rates'!K289</f>
        <v>532748</v>
      </c>
      <c r="L278" s="421">
        <f>'JKP-3.1c - Rev Actual Rates'!L289</f>
        <v>489709</v>
      </c>
      <c r="M278" s="421">
        <f>'JKP-3.1c - Rev Actual Rates'!M289</f>
        <v>482494</v>
      </c>
      <c r="N278" s="421">
        <f>'JKP-3.1c - Rev Actual Rates'!N289</f>
        <v>496035</v>
      </c>
      <c r="O278" s="421">
        <f>'JKP-3.1c - Rev Actual Rates'!O289</f>
        <v>576969</v>
      </c>
      <c r="P278" s="421">
        <f>'JKP-3.1c - Rev Actual Rates'!P289</f>
        <v>621973</v>
      </c>
      <c r="Q278" s="421">
        <f>'JKP-3.1c - Rev Actual Rates'!Q289</f>
        <v>643793</v>
      </c>
      <c r="R278" s="378">
        <f>SUM(F278:Q278)</f>
        <v>6826872</v>
      </c>
      <c r="S278" s="335"/>
      <c r="T278" s="415"/>
    </row>
    <row r="279" spans="1:20" s="336" customFormat="1" x14ac:dyDescent="0.2">
      <c r="C279" s="336" t="s">
        <v>1087</v>
      </c>
      <c r="E279" s="336" t="s">
        <v>10</v>
      </c>
      <c r="F279" s="421">
        <f>'JKP-3.1c - Rev Actual Rates'!F290</f>
        <v>316044</v>
      </c>
      <c r="G279" s="421">
        <f>'JKP-3.1c - Rev Actual Rates'!G290</f>
        <v>266208</v>
      </c>
      <c r="H279" s="421">
        <f>'JKP-3.1c - Rev Actual Rates'!H290</f>
        <v>328534</v>
      </c>
      <c r="I279" s="421">
        <f>'JKP-3.1c - Rev Actual Rates'!I290</f>
        <v>286112</v>
      </c>
      <c r="J279" s="421">
        <f>'JKP-3.1c - Rev Actual Rates'!J290</f>
        <v>232846</v>
      </c>
      <c r="K279" s="421">
        <f>'JKP-3.1c - Rev Actual Rates'!K290</f>
        <v>196378</v>
      </c>
      <c r="L279" s="421">
        <f>'JKP-3.1c - Rev Actual Rates'!L290</f>
        <v>177019</v>
      </c>
      <c r="M279" s="421">
        <f>'JKP-3.1c - Rev Actual Rates'!M290</f>
        <v>177009</v>
      </c>
      <c r="N279" s="421">
        <f>'JKP-3.1c - Rev Actual Rates'!N290</f>
        <v>183789</v>
      </c>
      <c r="O279" s="421">
        <f>'JKP-3.1c - Rev Actual Rates'!O290</f>
        <v>253149</v>
      </c>
      <c r="P279" s="421">
        <f>'JKP-3.1c - Rev Actual Rates'!P290</f>
        <v>336943</v>
      </c>
      <c r="Q279" s="421">
        <f>'JKP-3.1c - Rev Actual Rates'!Q290</f>
        <v>381036</v>
      </c>
      <c r="R279" s="378">
        <f>SUM(F279:Q279)</f>
        <v>3135067</v>
      </c>
      <c r="S279" s="335"/>
      <c r="T279" s="415"/>
    </row>
    <row r="280" spans="1:20" s="336" customFormat="1" x14ac:dyDescent="0.2">
      <c r="C280" s="336" t="s">
        <v>1088</v>
      </c>
      <c r="E280" s="336" t="s">
        <v>10</v>
      </c>
      <c r="F280" s="421">
        <f>'JKP-3.1c - Rev Actual Rates'!F291</f>
        <v>645280</v>
      </c>
      <c r="G280" s="421">
        <f>'JKP-3.1c - Rev Actual Rates'!G291</f>
        <v>528649</v>
      </c>
      <c r="H280" s="421">
        <f>'JKP-3.1c - Rev Actual Rates'!H291</f>
        <v>587049</v>
      </c>
      <c r="I280" s="421">
        <f>'JKP-3.1c - Rev Actual Rates'!I291</f>
        <v>449290</v>
      </c>
      <c r="J280" s="421">
        <f>'JKP-3.1c - Rev Actual Rates'!J291</f>
        <v>320771</v>
      </c>
      <c r="K280" s="421">
        <f>'JKP-3.1c - Rev Actual Rates'!K291</f>
        <v>132163</v>
      </c>
      <c r="L280" s="421">
        <f>'JKP-3.1c - Rev Actual Rates'!L291</f>
        <v>52731</v>
      </c>
      <c r="M280" s="421">
        <f>'JKP-3.1c - Rev Actual Rates'!M291</f>
        <v>22848</v>
      </c>
      <c r="N280" s="421">
        <f>'JKP-3.1c - Rev Actual Rates'!N291</f>
        <v>58092</v>
      </c>
      <c r="O280" s="421">
        <f>'JKP-3.1c - Rev Actual Rates'!O291</f>
        <v>258373</v>
      </c>
      <c r="P280" s="421">
        <f>'JKP-3.1c - Rev Actual Rates'!P291</f>
        <v>511067</v>
      </c>
      <c r="Q280" s="421">
        <f>'JKP-3.1c - Rev Actual Rates'!Q291</f>
        <v>542545</v>
      </c>
      <c r="R280" s="378">
        <f>SUM(F280:Q280)</f>
        <v>4108858</v>
      </c>
      <c r="S280" s="335"/>
      <c r="T280" s="415"/>
    </row>
    <row r="281" spans="1:20" s="336" customFormat="1" x14ac:dyDescent="0.2">
      <c r="C281" s="336" t="s">
        <v>1075</v>
      </c>
      <c r="E281" s="336" t="s">
        <v>10</v>
      </c>
      <c r="F281" s="436">
        <f t="shared" ref="F281:R281" si="58">SUM(F278:F280)</f>
        <v>1540528</v>
      </c>
      <c r="G281" s="436">
        <f t="shared" si="58"/>
        <v>1365910</v>
      </c>
      <c r="H281" s="436">
        <f t="shared" si="58"/>
        <v>1543042</v>
      </c>
      <c r="I281" s="436">
        <f t="shared" si="58"/>
        <v>1351647</v>
      </c>
      <c r="J281" s="436">
        <f t="shared" si="58"/>
        <v>1142807</v>
      </c>
      <c r="K281" s="436">
        <f t="shared" si="58"/>
        <v>861289</v>
      </c>
      <c r="L281" s="436">
        <f t="shared" si="58"/>
        <v>719459</v>
      </c>
      <c r="M281" s="436">
        <f t="shared" si="58"/>
        <v>682351</v>
      </c>
      <c r="N281" s="436">
        <f t="shared" si="58"/>
        <v>737916</v>
      </c>
      <c r="O281" s="436">
        <f t="shared" si="58"/>
        <v>1088491</v>
      </c>
      <c r="P281" s="436">
        <f t="shared" si="58"/>
        <v>1469983</v>
      </c>
      <c r="Q281" s="436">
        <f t="shared" si="58"/>
        <v>1567374</v>
      </c>
      <c r="R281" s="436">
        <f t="shared" si="58"/>
        <v>14070797</v>
      </c>
      <c r="S281" s="335"/>
      <c r="T281" s="415"/>
    </row>
    <row r="282" spans="1:20" s="336" customFormat="1" x14ac:dyDescent="0.2">
      <c r="B282" s="336" t="s">
        <v>74</v>
      </c>
      <c r="E282" s="336" t="s">
        <v>1076</v>
      </c>
      <c r="F282" s="421">
        <f>'JKP-3.1c - Rev Actual Rates'!F293</f>
        <v>7593</v>
      </c>
      <c r="G282" s="421">
        <f>'JKP-3.1c - Rev Actual Rates'!G293</f>
        <v>7593</v>
      </c>
      <c r="H282" s="421">
        <f>'JKP-3.1c - Rev Actual Rates'!H293</f>
        <v>7593</v>
      </c>
      <c r="I282" s="421">
        <f>'JKP-3.1c - Rev Actual Rates'!I293</f>
        <v>7593</v>
      </c>
      <c r="J282" s="421">
        <f>'JKP-3.1c - Rev Actual Rates'!J293</f>
        <v>7593</v>
      </c>
      <c r="K282" s="421">
        <f>'JKP-3.1c - Rev Actual Rates'!K293</f>
        <v>7593</v>
      </c>
      <c r="L282" s="421">
        <f>'JKP-3.1c - Rev Actual Rates'!L293</f>
        <v>7593</v>
      </c>
      <c r="M282" s="421">
        <f>'JKP-3.1c - Rev Actual Rates'!M293</f>
        <v>7661</v>
      </c>
      <c r="N282" s="421">
        <f>'JKP-3.1c - Rev Actual Rates'!N293</f>
        <v>7593</v>
      </c>
      <c r="O282" s="421">
        <f>'JKP-3.1c - Rev Actual Rates'!O293</f>
        <v>7593</v>
      </c>
      <c r="P282" s="421">
        <f>'JKP-3.1c - Rev Actual Rates'!P293</f>
        <v>7593</v>
      </c>
      <c r="Q282" s="421">
        <f>'JKP-3.1c - Rev Actual Rates'!Q293</f>
        <v>7593</v>
      </c>
      <c r="R282" s="378">
        <f>SUM(F282:Q282)</f>
        <v>91184</v>
      </c>
      <c r="S282" s="335"/>
      <c r="T282" s="415"/>
    </row>
    <row r="283" spans="1:20" s="336" customFormat="1" x14ac:dyDescent="0.2">
      <c r="B283" s="336" t="s">
        <v>1071</v>
      </c>
      <c r="F283" s="380"/>
      <c r="G283" s="380"/>
      <c r="H283" s="380"/>
      <c r="I283" s="380"/>
      <c r="J283" s="380"/>
      <c r="K283" s="380"/>
      <c r="L283" s="380"/>
      <c r="M283" s="380"/>
      <c r="N283" s="380"/>
      <c r="O283" s="380"/>
      <c r="P283" s="380"/>
      <c r="Q283" s="380"/>
      <c r="R283" s="378"/>
      <c r="S283" s="335"/>
      <c r="T283" s="415"/>
    </row>
    <row r="284" spans="1:20" s="336" customFormat="1" x14ac:dyDescent="0.2">
      <c r="R284" s="179"/>
      <c r="S284" s="335"/>
      <c r="T284" s="415"/>
    </row>
    <row r="285" spans="1:20" s="336" customFormat="1" x14ac:dyDescent="0.2">
      <c r="B285" s="182" t="s">
        <v>985</v>
      </c>
      <c r="R285" s="179"/>
      <c r="S285" s="335"/>
      <c r="T285" s="415"/>
    </row>
    <row r="286" spans="1:20" s="336" customFormat="1" x14ac:dyDescent="0.2">
      <c r="A286" s="336" t="s">
        <v>1054</v>
      </c>
      <c r="B286" s="336" t="s">
        <v>1059</v>
      </c>
      <c r="D286" s="336">
        <v>85</v>
      </c>
      <c r="F286" s="418">
        <f t="shared" ref="F286:Q286" si="59">F261*F276</f>
        <v>13966.999999999998</v>
      </c>
      <c r="G286" s="418">
        <f t="shared" si="59"/>
        <v>13966.999999999998</v>
      </c>
      <c r="H286" s="418">
        <f t="shared" si="59"/>
        <v>15084.359999999999</v>
      </c>
      <c r="I286" s="418">
        <f t="shared" si="59"/>
        <v>15084.359999999999</v>
      </c>
      <c r="J286" s="418">
        <f t="shared" si="59"/>
        <v>15084.359999999999</v>
      </c>
      <c r="K286" s="418">
        <f t="shared" si="59"/>
        <v>15084.359999999999</v>
      </c>
      <c r="L286" s="418">
        <f t="shared" si="59"/>
        <v>15084.359999999999</v>
      </c>
      <c r="M286" s="418">
        <f t="shared" si="59"/>
        <v>15643.039999999999</v>
      </c>
      <c r="N286" s="418">
        <f t="shared" si="59"/>
        <v>15084.359999999999</v>
      </c>
      <c r="O286" s="418">
        <f t="shared" si="59"/>
        <v>15084.359999999999</v>
      </c>
      <c r="P286" s="418">
        <f t="shared" si="59"/>
        <v>15084.359999999999</v>
      </c>
      <c r="Q286" s="418">
        <f t="shared" si="59"/>
        <v>15084.359999999999</v>
      </c>
      <c r="R286" s="437">
        <f>SUM(F286:Q286)</f>
        <v>179336.27999999994</v>
      </c>
      <c r="S286" s="335"/>
      <c r="T286" s="415"/>
    </row>
    <row r="287" spans="1:20" s="336" customFormat="1" x14ac:dyDescent="0.2">
      <c r="B287" s="336" t="s">
        <v>1047</v>
      </c>
      <c r="F287" s="418"/>
      <c r="G287" s="418"/>
      <c r="H287" s="418"/>
      <c r="I287" s="418"/>
      <c r="J287" s="418"/>
      <c r="K287" s="418"/>
      <c r="L287" s="418"/>
      <c r="M287" s="418"/>
      <c r="N287" s="418"/>
      <c r="O287" s="418"/>
      <c r="P287" s="418"/>
      <c r="Q287" s="418"/>
      <c r="R287" s="437"/>
      <c r="S287" s="335"/>
      <c r="T287" s="415"/>
    </row>
    <row r="288" spans="1:20" s="336" customFormat="1" x14ac:dyDescent="0.2">
      <c r="C288" s="336" t="s">
        <v>1086</v>
      </c>
      <c r="D288" s="336">
        <v>85</v>
      </c>
      <c r="F288" s="418">
        <f t="shared" ref="F288:Q290" si="60">F263*F278</f>
        <v>60764.291640000003</v>
      </c>
      <c r="G288" s="418">
        <f t="shared" si="60"/>
        <v>59909.170230000003</v>
      </c>
      <c r="H288" s="418">
        <f t="shared" si="60"/>
        <v>65826.723689999999</v>
      </c>
      <c r="I288" s="418">
        <f t="shared" si="60"/>
        <v>64650.262950000004</v>
      </c>
      <c r="J288" s="418">
        <f t="shared" si="60"/>
        <v>61811.922900000005</v>
      </c>
      <c r="K288" s="418">
        <f t="shared" si="60"/>
        <v>55890.592680000002</v>
      </c>
      <c r="L288" s="418">
        <f t="shared" si="60"/>
        <v>51375.371189999998</v>
      </c>
      <c r="M288" s="418">
        <f t="shared" si="60"/>
        <v>50618.445540000001</v>
      </c>
      <c r="N288" s="418">
        <f t="shared" si="60"/>
        <v>52039.031849999999</v>
      </c>
      <c r="O288" s="418">
        <f t="shared" si="60"/>
        <v>60529.817790000001</v>
      </c>
      <c r="P288" s="418">
        <f t="shared" si="60"/>
        <v>65251.187430000005</v>
      </c>
      <c r="Q288" s="418">
        <f t="shared" si="60"/>
        <v>67540.323629999999</v>
      </c>
      <c r="R288" s="437">
        <f>SUM(F288:Q288)</f>
        <v>716207.14152000006</v>
      </c>
      <c r="S288" s="335"/>
      <c r="T288" s="415"/>
    </row>
    <row r="289" spans="1:20" s="336" customFormat="1" x14ac:dyDescent="0.2">
      <c r="C289" s="336" t="s">
        <v>1087</v>
      </c>
      <c r="D289" s="336">
        <v>85</v>
      </c>
      <c r="F289" s="418">
        <f t="shared" si="60"/>
        <v>16996.846320000001</v>
      </c>
      <c r="G289" s="418">
        <f t="shared" si="60"/>
        <v>14316.66624</v>
      </c>
      <c r="H289" s="418">
        <f t="shared" si="60"/>
        <v>17668.558519999999</v>
      </c>
      <c r="I289" s="418">
        <f t="shared" si="60"/>
        <v>15387.103360000001</v>
      </c>
      <c r="J289" s="418">
        <f t="shared" si="60"/>
        <v>12522.45788</v>
      </c>
      <c r="K289" s="418">
        <f t="shared" si="60"/>
        <v>10561.208840000001</v>
      </c>
      <c r="L289" s="418">
        <f t="shared" si="60"/>
        <v>9520.0818199999994</v>
      </c>
      <c r="M289" s="418">
        <f t="shared" si="60"/>
        <v>9519.5440199999994</v>
      </c>
      <c r="N289" s="418">
        <f t="shared" si="60"/>
        <v>9884.1724200000008</v>
      </c>
      <c r="O289" s="418">
        <f t="shared" si="60"/>
        <v>13614.353220000001</v>
      </c>
      <c r="P289" s="418">
        <f t="shared" si="60"/>
        <v>18120.794539999999</v>
      </c>
      <c r="Q289" s="418">
        <f t="shared" si="60"/>
        <v>20492.11608</v>
      </c>
      <c r="R289" s="437">
        <f>SUM(F289:Q289)</f>
        <v>168603.90326000002</v>
      </c>
      <c r="S289" s="335"/>
      <c r="T289" s="415"/>
    </row>
    <row r="290" spans="1:20" x14ac:dyDescent="0.2">
      <c r="C290" s="32" t="s">
        <v>1088</v>
      </c>
      <c r="D290" s="32">
        <v>85</v>
      </c>
      <c r="F290" s="364">
        <f t="shared" si="60"/>
        <v>33309.353600000002</v>
      </c>
      <c r="G290" s="364">
        <f t="shared" si="60"/>
        <v>27288.861379999998</v>
      </c>
      <c r="H290" s="364">
        <f t="shared" si="60"/>
        <v>30303.469379999999</v>
      </c>
      <c r="I290" s="364">
        <f t="shared" si="60"/>
        <v>23192.3498</v>
      </c>
      <c r="J290" s="364">
        <f t="shared" si="60"/>
        <v>16558.19902</v>
      </c>
      <c r="K290" s="364">
        <f t="shared" si="60"/>
        <v>6822.2540600000002</v>
      </c>
      <c r="L290" s="364">
        <f t="shared" si="60"/>
        <v>2721.9742200000001</v>
      </c>
      <c r="M290" s="364">
        <f t="shared" si="60"/>
        <v>1179.4137599999999</v>
      </c>
      <c r="N290" s="364">
        <f t="shared" si="60"/>
        <v>2998.7090399999997</v>
      </c>
      <c r="O290" s="364">
        <f t="shared" si="60"/>
        <v>13337.214260000001</v>
      </c>
      <c r="P290" s="364">
        <f t="shared" si="60"/>
        <v>26381.278539999999</v>
      </c>
      <c r="Q290" s="364">
        <f t="shared" si="60"/>
        <v>28006.172900000001</v>
      </c>
      <c r="R290" s="341">
        <f>SUM(F290:Q290)</f>
        <v>212099.24995999999</v>
      </c>
    </row>
    <row r="291" spans="1:20" x14ac:dyDescent="0.2">
      <c r="A291" s="32" t="s">
        <v>1054</v>
      </c>
      <c r="C291" s="32" t="s">
        <v>1077</v>
      </c>
      <c r="F291" s="365">
        <f t="shared" ref="F291:R291" si="61">SUM(F288:F290)</f>
        <v>111070.49156000001</v>
      </c>
      <c r="G291" s="365">
        <f t="shared" si="61"/>
        <v>101514.69785000001</v>
      </c>
      <c r="H291" s="365">
        <f t="shared" si="61"/>
        <v>113798.75159</v>
      </c>
      <c r="I291" s="365">
        <f t="shared" si="61"/>
        <v>103229.71611000001</v>
      </c>
      <c r="J291" s="365">
        <f t="shared" si="61"/>
        <v>90892.579800000007</v>
      </c>
      <c r="K291" s="365">
        <f t="shared" si="61"/>
        <v>73274.055580000015</v>
      </c>
      <c r="L291" s="365">
        <f t="shared" si="61"/>
        <v>63617.427230000001</v>
      </c>
      <c r="M291" s="365">
        <f t="shared" si="61"/>
        <v>61317.403320000005</v>
      </c>
      <c r="N291" s="365">
        <f t="shared" si="61"/>
        <v>64921.913310000004</v>
      </c>
      <c r="O291" s="365">
        <f t="shared" si="61"/>
        <v>87481.385269999999</v>
      </c>
      <c r="P291" s="365">
        <f t="shared" si="61"/>
        <v>109753.26051000001</v>
      </c>
      <c r="Q291" s="365">
        <f t="shared" si="61"/>
        <v>116038.61261000001</v>
      </c>
      <c r="R291" s="365">
        <f t="shared" si="61"/>
        <v>1096910.29474</v>
      </c>
    </row>
    <row r="292" spans="1:20" x14ac:dyDescent="0.2">
      <c r="A292" s="32" t="s">
        <v>1056</v>
      </c>
      <c r="B292" s="415" t="s">
        <v>1057</v>
      </c>
      <c r="D292" s="32">
        <v>101</v>
      </c>
      <c r="F292" s="364">
        <f t="shared" ref="F292:Q292" si="62">F266*F281</f>
        <v>1018674.14</v>
      </c>
      <c r="G292" s="364">
        <f t="shared" si="62"/>
        <v>903207.98750000005</v>
      </c>
      <c r="H292" s="364">
        <f t="shared" si="62"/>
        <v>1020336.5225</v>
      </c>
      <c r="I292" s="364">
        <f t="shared" si="62"/>
        <v>893776.57874999999</v>
      </c>
      <c r="J292" s="364">
        <f t="shared" si="62"/>
        <v>755681.12875000003</v>
      </c>
      <c r="K292" s="364">
        <f t="shared" si="62"/>
        <v>569527.35124999995</v>
      </c>
      <c r="L292" s="364">
        <f t="shared" si="62"/>
        <v>475742.26374999998</v>
      </c>
      <c r="M292" s="364">
        <f t="shared" si="62"/>
        <v>451204.59875</v>
      </c>
      <c r="N292" s="364">
        <f t="shared" si="62"/>
        <v>487946.95500000002</v>
      </c>
      <c r="O292" s="364">
        <f t="shared" si="62"/>
        <v>719764.67374999996</v>
      </c>
      <c r="P292" s="364">
        <f t="shared" si="62"/>
        <v>972026.25875000004</v>
      </c>
      <c r="Q292" s="364">
        <f t="shared" si="62"/>
        <v>1036426.0575</v>
      </c>
      <c r="R292" s="341">
        <f>SUM(F292:Q292)</f>
        <v>9304314.5162499994</v>
      </c>
    </row>
    <row r="293" spans="1:20" x14ac:dyDescent="0.2">
      <c r="A293" s="32" t="s">
        <v>1054</v>
      </c>
      <c r="B293" s="32" t="s">
        <v>1096</v>
      </c>
      <c r="D293" s="444">
        <v>85</v>
      </c>
      <c r="F293" s="446">
        <f t="shared" ref="F293:Q293" si="63">F267*F281</f>
        <v>10413.969280000001</v>
      </c>
      <c r="G293" s="446">
        <f t="shared" si="63"/>
        <v>9233.5516000000007</v>
      </c>
      <c r="H293" s="446">
        <f t="shared" si="63"/>
        <v>10430.96392</v>
      </c>
      <c r="I293" s="446">
        <f t="shared" si="63"/>
        <v>9137.1337199999998</v>
      </c>
      <c r="J293" s="446">
        <f t="shared" si="63"/>
        <v>7725.3753200000001</v>
      </c>
      <c r="K293" s="446">
        <f t="shared" si="63"/>
        <v>5822.3136400000003</v>
      </c>
      <c r="L293" s="446">
        <f t="shared" si="63"/>
        <v>4863.5428400000001</v>
      </c>
      <c r="M293" s="446">
        <f t="shared" si="63"/>
        <v>4612.6927599999999</v>
      </c>
      <c r="N293" s="446">
        <f t="shared" si="63"/>
        <v>4988.3121600000004</v>
      </c>
      <c r="O293" s="446">
        <f t="shared" si="63"/>
        <v>7358.1991600000001</v>
      </c>
      <c r="P293" s="446">
        <f t="shared" si="63"/>
        <v>9937.0850800000007</v>
      </c>
      <c r="Q293" s="446">
        <f t="shared" si="63"/>
        <v>10595.44824</v>
      </c>
      <c r="R293" s="451">
        <f>SUM(F293:Q293)</f>
        <v>95118.58772000001</v>
      </c>
    </row>
    <row r="294" spans="1:20" x14ac:dyDescent="0.2">
      <c r="B294" s="32" t="s">
        <v>1068</v>
      </c>
      <c r="F294" s="364"/>
      <c r="G294" s="364"/>
      <c r="H294" s="364"/>
      <c r="I294" s="364"/>
      <c r="J294" s="364"/>
      <c r="K294" s="364"/>
      <c r="L294" s="364"/>
      <c r="M294" s="364"/>
      <c r="N294" s="364"/>
      <c r="O294" s="364"/>
      <c r="P294" s="364"/>
      <c r="Q294" s="364"/>
      <c r="R294" s="341"/>
    </row>
    <row r="295" spans="1:20" x14ac:dyDescent="0.2">
      <c r="A295" s="32" t="s">
        <v>1054</v>
      </c>
      <c r="C295" s="32" t="s">
        <v>1069</v>
      </c>
      <c r="D295" s="32">
        <v>85</v>
      </c>
      <c r="F295" s="364">
        <f t="shared" ref="F295:Q295" si="64">F269*F282</f>
        <v>8656.0199999999986</v>
      </c>
      <c r="G295" s="364">
        <f t="shared" si="64"/>
        <v>8656.0199999999986</v>
      </c>
      <c r="H295" s="364">
        <f t="shared" si="64"/>
        <v>8656.0199999999986</v>
      </c>
      <c r="I295" s="364">
        <f t="shared" si="64"/>
        <v>8656.0199999999986</v>
      </c>
      <c r="J295" s="364">
        <f t="shared" si="64"/>
        <v>8656.0199999999986</v>
      </c>
      <c r="K295" s="364">
        <f t="shared" si="64"/>
        <v>8656.0199999999986</v>
      </c>
      <c r="L295" s="364">
        <f t="shared" si="64"/>
        <v>8656.0199999999986</v>
      </c>
      <c r="M295" s="364">
        <f t="shared" si="64"/>
        <v>8733.5399999999991</v>
      </c>
      <c r="N295" s="364">
        <f t="shared" si="64"/>
        <v>8656.0199999999986</v>
      </c>
      <c r="O295" s="364">
        <f t="shared" si="64"/>
        <v>8656.0199999999986</v>
      </c>
      <c r="P295" s="364">
        <f t="shared" si="64"/>
        <v>8656.0199999999986</v>
      </c>
      <c r="Q295" s="364">
        <f t="shared" si="64"/>
        <v>8656.0199999999986</v>
      </c>
      <c r="R295" s="341">
        <f>SUM(F295:Q295)</f>
        <v>103949.75999999999</v>
      </c>
    </row>
    <row r="296" spans="1:20" x14ac:dyDescent="0.2">
      <c r="A296" s="32" t="s">
        <v>1056</v>
      </c>
      <c r="C296" s="32" t="s">
        <v>1070</v>
      </c>
      <c r="D296" s="32">
        <v>101</v>
      </c>
      <c r="F296" s="364">
        <f t="shared" ref="F296:Q296" si="65">F270*F282</f>
        <v>7972.6500000000005</v>
      </c>
      <c r="G296" s="364">
        <f t="shared" si="65"/>
        <v>7972.6500000000005</v>
      </c>
      <c r="H296" s="364">
        <f t="shared" si="65"/>
        <v>7972.6500000000005</v>
      </c>
      <c r="I296" s="364">
        <f t="shared" si="65"/>
        <v>7972.6500000000005</v>
      </c>
      <c r="J296" s="364">
        <f t="shared" si="65"/>
        <v>7972.6500000000005</v>
      </c>
      <c r="K296" s="364">
        <f t="shared" si="65"/>
        <v>7972.6500000000005</v>
      </c>
      <c r="L296" s="364">
        <f t="shared" si="65"/>
        <v>7972.6500000000005</v>
      </c>
      <c r="M296" s="364">
        <f t="shared" si="65"/>
        <v>8044.05</v>
      </c>
      <c r="N296" s="364">
        <f t="shared" si="65"/>
        <v>7972.6500000000005</v>
      </c>
      <c r="O296" s="364">
        <f t="shared" si="65"/>
        <v>7972.6500000000005</v>
      </c>
      <c r="P296" s="364">
        <f t="shared" si="65"/>
        <v>7972.6500000000005</v>
      </c>
      <c r="Q296" s="364">
        <f t="shared" si="65"/>
        <v>7972.6500000000005</v>
      </c>
      <c r="R296" s="341">
        <f>SUM(F296:Q296)</f>
        <v>95743.199999999983</v>
      </c>
    </row>
    <row r="297" spans="1:20" x14ac:dyDescent="0.2">
      <c r="C297" s="32" t="s">
        <v>1078</v>
      </c>
      <c r="F297" s="365">
        <f t="shared" ref="F297:R297" si="66">SUM(F295:F296)</f>
        <v>16628.669999999998</v>
      </c>
      <c r="G297" s="365">
        <f t="shared" si="66"/>
        <v>16628.669999999998</v>
      </c>
      <c r="H297" s="365">
        <f t="shared" si="66"/>
        <v>16628.669999999998</v>
      </c>
      <c r="I297" s="365">
        <f t="shared" si="66"/>
        <v>16628.669999999998</v>
      </c>
      <c r="J297" s="365">
        <f t="shared" si="66"/>
        <v>16628.669999999998</v>
      </c>
      <c r="K297" s="365">
        <f t="shared" si="66"/>
        <v>16628.669999999998</v>
      </c>
      <c r="L297" s="365">
        <f t="shared" si="66"/>
        <v>16628.669999999998</v>
      </c>
      <c r="M297" s="365">
        <f t="shared" si="66"/>
        <v>16777.59</v>
      </c>
      <c r="N297" s="365">
        <f t="shared" si="66"/>
        <v>16628.669999999998</v>
      </c>
      <c r="O297" s="365">
        <f t="shared" si="66"/>
        <v>16628.669999999998</v>
      </c>
      <c r="P297" s="365">
        <f t="shared" si="66"/>
        <v>16628.669999999998</v>
      </c>
      <c r="Q297" s="365">
        <f t="shared" si="66"/>
        <v>16628.669999999998</v>
      </c>
      <c r="R297" s="365">
        <f t="shared" si="66"/>
        <v>199692.95999999996</v>
      </c>
    </row>
    <row r="298" spans="1:20" s="336" customFormat="1" x14ac:dyDescent="0.2">
      <c r="A298" s="336" t="s">
        <v>1054</v>
      </c>
      <c r="B298" s="336" t="s">
        <v>1071</v>
      </c>
      <c r="D298" s="336">
        <v>85</v>
      </c>
      <c r="F298" s="447">
        <f>'JKP-3.1c - Rev Actual Rates'!F309</f>
        <v>3471.6600000000035</v>
      </c>
      <c r="G298" s="447">
        <f>'JKP-3.1c - Rev Actual Rates'!G309</f>
        <v>0</v>
      </c>
      <c r="H298" s="447">
        <f>'JKP-3.1c - Rev Actual Rates'!H309</f>
        <v>0</v>
      </c>
      <c r="I298" s="447">
        <f>'JKP-3.1c - Rev Actual Rates'!I309</f>
        <v>0</v>
      </c>
      <c r="J298" s="447">
        <f>'JKP-3.1c - Rev Actual Rates'!J309</f>
        <v>0</v>
      </c>
      <c r="K298" s="447">
        <f>'JKP-3.1c - Rev Actual Rates'!K309</f>
        <v>1102.1300000000001</v>
      </c>
      <c r="L298" s="447">
        <f>'JKP-3.1c - Rev Actual Rates'!L309</f>
        <v>0</v>
      </c>
      <c r="M298" s="447">
        <f>'JKP-3.1c - Rev Actual Rates'!M309</f>
        <v>2939.99</v>
      </c>
      <c r="N298" s="447">
        <f>'JKP-3.1c - Rev Actual Rates'!N309</f>
        <v>2856.66</v>
      </c>
      <c r="O298" s="447">
        <f>'JKP-3.1c - Rev Actual Rates'!O309</f>
        <v>0</v>
      </c>
      <c r="P298" s="447">
        <f>'JKP-3.1c - Rev Actual Rates'!P309</f>
        <v>0</v>
      </c>
      <c r="Q298" s="447">
        <f>'JKP-3.1c - Rev Actual Rates'!Q309</f>
        <v>9865.4599999999991</v>
      </c>
      <c r="R298" s="437">
        <f>SUM(F298:Q298)</f>
        <v>20235.900000000001</v>
      </c>
      <c r="S298" s="335"/>
      <c r="T298" s="415"/>
    </row>
    <row r="299" spans="1:20" x14ac:dyDescent="0.2">
      <c r="B299" s="32" t="s">
        <v>1079</v>
      </c>
      <c r="F299" s="417">
        <f t="shared" ref="F299:R299" si="67">F292+F296</f>
        <v>1026646.79</v>
      </c>
      <c r="G299" s="417">
        <f t="shared" si="67"/>
        <v>911180.63750000007</v>
      </c>
      <c r="H299" s="417">
        <f t="shared" si="67"/>
        <v>1028309.1725</v>
      </c>
      <c r="I299" s="417">
        <f t="shared" si="67"/>
        <v>901749.22875000001</v>
      </c>
      <c r="J299" s="417">
        <f t="shared" si="67"/>
        <v>763653.77875000006</v>
      </c>
      <c r="K299" s="417">
        <f t="shared" si="67"/>
        <v>577500.00124999997</v>
      </c>
      <c r="L299" s="417">
        <f t="shared" si="67"/>
        <v>483714.91375000001</v>
      </c>
      <c r="M299" s="417">
        <f t="shared" si="67"/>
        <v>459248.64874999999</v>
      </c>
      <c r="N299" s="417">
        <f t="shared" si="67"/>
        <v>495919.60500000004</v>
      </c>
      <c r="O299" s="417">
        <f t="shared" si="67"/>
        <v>727737.32374999998</v>
      </c>
      <c r="P299" s="417">
        <f t="shared" si="67"/>
        <v>979998.90875000006</v>
      </c>
      <c r="Q299" s="417">
        <f t="shared" si="67"/>
        <v>1044398.7075</v>
      </c>
      <c r="R299" s="417">
        <f t="shared" si="67"/>
        <v>9400057.7162499987</v>
      </c>
    </row>
    <row r="300" spans="1:20" x14ac:dyDescent="0.2">
      <c r="B300" s="32" t="s">
        <v>986</v>
      </c>
      <c r="F300" s="365">
        <f t="shared" ref="F300:R300" si="68">F286+F291+F292+F293+F297+F298</f>
        <v>1174225.93084</v>
      </c>
      <c r="G300" s="365">
        <f t="shared" si="68"/>
        <v>1044551.9069500001</v>
      </c>
      <c r="H300" s="365">
        <f t="shared" si="68"/>
        <v>1176279.26801</v>
      </c>
      <c r="I300" s="365">
        <f t="shared" si="68"/>
        <v>1037856.4585800001</v>
      </c>
      <c r="J300" s="365">
        <f t="shared" si="68"/>
        <v>886012.11387000012</v>
      </c>
      <c r="K300" s="365">
        <f t="shared" si="68"/>
        <v>681438.88046999997</v>
      </c>
      <c r="L300" s="365">
        <f t="shared" si="68"/>
        <v>575936.26381999999</v>
      </c>
      <c r="M300" s="365">
        <f t="shared" si="68"/>
        <v>552495.31482999993</v>
      </c>
      <c r="N300" s="365">
        <f t="shared" si="68"/>
        <v>592426.87047000008</v>
      </c>
      <c r="O300" s="365">
        <f t="shared" si="68"/>
        <v>846317.28817999992</v>
      </c>
      <c r="P300" s="365">
        <f t="shared" si="68"/>
        <v>1123429.6343400001</v>
      </c>
      <c r="Q300" s="365">
        <f t="shared" si="68"/>
        <v>1204638.6083499999</v>
      </c>
      <c r="R300" s="365">
        <f t="shared" si="68"/>
        <v>10895608.53871</v>
      </c>
      <c r="T300" s="340"/>
    </row>
    <row r="301" spans="1:20" x14ac:dyDescent="0.2">
      <c r="F301" s="364"/>
      <c r="G301" s="364"/>
      <c r="H301" s="364"/>
      <c r="I301" s="364"/>
      <c r="J301" s="364"/>
      <c r="K301" s="364"/>
      <c r="L301" s="364"/>
      <c r="M301" s="364"/>
      <c r="N301" s="364"/>
      <c r="O301" s="364"/>
      <c r="P301" s="364"/>
      <c r="Q301" s="364"/>
      <c r="R301" s="341"/>
      <c r="T301" s="415"/>
    </row>
    <row r="302" spans="1:20" x14ac:dyDescent="0.2">
      <c r="A302" s="32" t="s">
        <v>1058</v>
      </c>
      <c r="B302" s="32" t="s">
        <v>1050</v>
      </c>
      <c r="F302" s="364">
        <f>F272*F281+F282*F273</f>
        <v>982208.03920000012</v>
      </c>
      <c r="G302" s="364">
        <f t="shared" ref="G302:Q302" si="69">G272*G281+G282*G273</f>
        <v>871735.96150000009</v>
      </c>
      <c r="H302" s="364">
        <f t="shared" si="69"/>
        <v>983798.52130000002</v>
      </c>
      <c r="I302" s="364">
        <f t="shared" si="69"/>
        <v>862712.47455000004</v>
      </c>
      <c r="J302" s="364">
        <f t="shared" si="69"/>
        <v>730589.84855</v>
      </c>
      <c r="K302" s="364">
        <f t="shared" si="69"/>
        <v>552487.48585000006</v>
      </c>
      <c r="L302" s="364">
        <f t="shared" si="69"/>
        <v>462758.73635000002</v>
      </c>
      <c r="M302" s="364">
        <f t="shared" si="69"/>
        <v>439350.36015000002</v>
      </c>
      <c r="N302" s="364">
        <f t="shared" si="69"/>
        <v>474435.55740000005</v>
      </c>
      <c r="O302" s="364">
        <f t="shared" si="69"/>
        <v>696226.8311500001</v>
      </c>
      <c r="P302" s="364">
        <f t="shared" si="69"/>
        <v>937577.74495000008</v>
      </c>
      <c r="Q302" s="364">
        <f t="shared" si="69"/>
        <v>999192.16110000003</v>
      </c>
      <c r="R302" s="341">
        <f>SUM(F302:Q302)</f>
        <v>8993073.72205</v>
      </c>
      <c r="T302" s="415"/>
    </row>
    <row r="303" spans="1:20" x14ac:dyDescent="0.2">
      <c r="F303" s="364"/>
      <c r="G303" s="364"/>
      <c r="H303" s="364"/>
      <c r="I303" s="364"/>
      <c r="J303" s="364"/>
      <c r="K303" s="364"/>
      <c r="L303" s="364"/>
      <c r="M303" s="364"/>
      <c r="N303" s="364"/>
      <c r="O303" s="364"/>
      <c r="P303" s="364"/>
      <c r="Q303" s="364"/>
      <c r="R303" s="341"/>
      <c r="T303" s="415"/>
    </row>
    <row r="304" spans="1:20" s="336" customFormat="1" x14ac:dyDescent="0.2">
      <c r="B304" s="182" t="s">
        <v>1097</v>
      </c>
      <c r="C304" s="182"/>
      <c r="S304" s="335"/>
      <c r="T304" s="415"/>
    </row>
    <row r="305" spans="1:20" x14ac:dyDescent="0.2">
      <c r="B305" s="276" t="s">
        <v>5</v>
      </c>
      <c r="C305" s="276"/>
    </row>
    <row r="306" spans="1:20" x14ac:dyDescent="0.2">
      <c r="B306" s="32" t="s">
        <v>1059</v>
      </c>
      <c r="D306" s="444">
        <v>86</v>
      </c>
      <c r="E306" s="32" t="s">
        <v>976</v>
      </c>
      <c r="F306" s="414">
        <v>142.79</v>
      </c>
      <c r="G306" s="414">
        <v>142.79</v>
      </c>
      <c r="H306" s="414">
        <v>142.79</v>
      </c>
      <c r="I306" s="414">
        <v>142.79</v>
      </c>
      <c r="J306" s="414">
        <v>142.79</v>
      </c>
      <c r="K306" s="414">
        <v>142.79</v>
      </c>
      <c r="L306" s="414">
        <v>142.79</v>
      </c>
      <c r="M306" s="414">
        <v>142.79</v>
      </c>
      <c r="N306" s="414">
        <v>142.79</v>
      </c>
      <c r="O306" s="414">
        <v>142.79</v>
      </c>
      <c r="P306" s="414">
        <v>142.79</v>
      </c>
      <c r="Q306" s="414">
        <v>142.79</v>
      </c>
      <c r="R306" s="439"/>
    </row>
    <row r="307" spans="1:20" x14ac:dyDescent="0.2">
      <c r="B307" s="32" t="s">
        <v>1047</v>
      </c>
      <c r="F307" s="393"/>
      <c r="G307" s="393"/>
      <c r="H307" s="393"/>
      <c r="I307" s="393"/>
      <c r="J307" s="393"/>
      <c r="K307" s="393"/>
      <c r="L307" s="393"/>
      <c r="M307" s="393"/>
      <c r="N307" s="393"/>
      <c r="O307" s="393"/>
      <c r="P307" s="393"/>
      <c r="Q307" s="393"/>
      <c r="R307" s="394"/>
    </row>
    <row r="308" spans="1:20" x14ac:dyDescent="0.2">
      <c r="C308" s="32" t="s">
        <v>1098</v>
      </c>
      <c r="D308" s="444">
        <v>86</v>
      </c>
      <c r="E308" s="32" t="s">
        <v>957</v>
      </c>
      <c r="F308" s="395">
        <v>0.20305999999999999</v>
      </c>
      <c r="G308" s="395">
        <v>0.20305999999999999</v>
      </c>
      <c r="H308" s="395">
        <v>0.20305999999999999</v>
      </c>
      <c r="I308" s="395">
        <v>0.20305999999999999</v>
      </c>
      <c r="J308" s="395">
        <v>0.20305999999999999</v>
      </c>
      <c r="K308" s="395">
        <v>0.20305999999999999</v>
      </c>
      <c r="L308" s="395">
        <v>0.20305999999999999</v>
      </c>
      <c r="M308" s="395">
        <v>0.20305999999999999</v>
      </c>
      <c r="N308" s="395">
        <v>0.20305999999999999</v>
      </c>
      <c r="O308" s="395">
        <v>0.20305999999999999</v>
      </c>
      <c r="P308" s="395">
        <v>0.20305999999999999</v>
      </c>
      <c r="Q308" s="395">
        <v>0.20305999999999999</v>
      </c>
      <c r="R308" s="394"/>
    </row>
    <row r="309" spans="1:20" x14ac:dyDescent="0.2">
      <c r="C309" s="32" t="s">
        <v>1099</v>
      </c>
      <c r="D309" s="444">
        <v>86</v>
      </c>
      <c r="E309" s="32" t="s">
        <v>957</v>
      </c>
      <c r="F309" s="395">
        <v>0.14559</v>
      </c>
      <c r="G309" s="395">
        <v>0.14559</v>
      </c>
      <c r="H309" s="395">
        <v>0.14559</v>
      </c>
      <c r="I309" s="395">
        <v>0.14559</v>
      </c>
      <c r="J309" s="395">
        <v>0.14559</v>
      </c>
      <c r="K309" s="395">
        <v>0.14559</v>
      </c>
      <c r="L309" s="395">
        <v>0.14559</v>
      </c>
      <c r="M309" s="395">
        <v>0.14559</v>
      </c>
      <c r="N309" s="395">
        <v>0.14559</v>
      </c>
      <c r="O309" s="395">
        <v>0.14559</v>
      </c>
      <c r="P309" s="395">
        <v>0.14559</v>
      </c>
      <c r="Q309" s="395">
        <v>0.14559</v>
      </c>
      <c r="R309" s="394"/>
    </row>
    <row r="310" spans="1:20" x14ac:dyDescent="0.2">
      <c r="B310" s="415" t="s">
        <v>1067</v>
      </c>
      <c r="D310" s="32">
        <v>101</v>
      </c>
      <c r="E310" s="32" t="s">
        <v>957</v>
      </c>
      <c r="F310" s="495">
        <f>'JKP-3.1c - Rev Rates PGA Nov10'!F310</f>
        <v>0.66556999999999999</v>
      </c>
      <c r="G310" s="495">
        <f>'JKP-3.1c - Rev Rates PGA Nov10'!G310</f>
        <v>0.66556999999999999</v>
      </c>
      <c r="H310" s="495">
        <f>'JKP-3.1c - Rev Rates PGA Nov10'!H310</f>
        <v>0.66556999999999999</v>
      </c>
      <c r="I310" s="495">
        <f>'JKP-3.1c - Rev Rates PGA Nov10'!I310</f>
        <v>0.66556999999999999</v>
      </c>
      <c r="J310" s="495">
        <f>'JKP-3.1c - Rev Rates PGA Nov10'!J310</f>
        <v>0.66556999999999999</v>
      </c>
      <c r="K310" s="495">
        <f>'JKP-3.1c - Rev Rates PGA Nov10'!K310</f>
        <v>0.66556999999999999</v>
      </c>
      <c r="L310" s="495">
        <f>'JKP-3.1c - Rev Rates PGA Nov10'!L310</f>
        <v>0.66556999999999999</v>
      </c>
      <c r="M310" s="495">
        <f>'JKP-3.1c - Rev Rates PGA Nov10'!M310</f>
        <v>0.66556999999999999</v>
      </c>
      <c r="N310" s="495">
        <f>'JKP-3.1c - Rev Rates PGA Nov10'!N310</f>
        <v>0.66556999999999999</v>
      </c>
      <c r="O310" s="495">
        <f>'JKP-3.1c - Rev Rates PGA Nov10'!O310</f>
        <v>0.66556999999999999</v>
      </c>
      <c r="P310" s="495">
        <f>'JKP-3.1c - Rev Rates PGA Nov10'!P310</f>
        <v>0.66556999999999999</v>
      </c>
      <c r="Q310" s="495">
        <f>'JKP-3.1c - Rev Rates PGA Nov10'!Q310</f>
        <v>0.66556999999999999</v>
      </c>
      <c r="R310" s="394"/>
    </row>
    <row r="311" spans="1:20" s="336" customFormat="1" x14ac:dyDescent="0.2">
      <c r="B311" s="336" t="s">
        <v>1096</v>
      </c>
      <c r="D311" s="382">
        <v>86</v>
      </c>
      <c r="E311" s="336" t="s">
        <v>957</v>
      </c>
      <c r="F311" s="452">
        <v>6.7499999999999999E-3</v>
      </c>
      <c r="G311" s="452">
        <v>6.7499999999999999E-3</v>
      </c>
      <c r="H311" s="452">
        <v>6.7499999999999999E-3</v>
      </c>
      <c r="I311" s="452">
        <v>6.7499999999999999E-3</v>
      </c>
      <c r="J311" s="452">
        <v>6.7499999999999999E-3</v>
      </c>
      <c r="K311" s="452">
        <v>6.7499999999999999E-3</v>
      </c>
      <c r="L311" s="452">
        <v>6.7499999999999999E-3</v>
      </c>
      <c r="M311" s="452">
        <v>6.7499999999999999E-3</v>
      </c>
      <c r="N311" s="452">
        <v>6.7499999999999999E-3</v>
      </c>
      <c r="O311" s="452">
        <v>6.7499999999999999E-3</v>
      </c>
      <c r="P311" s="452">
        <v>6.7499999999999999E-3</v>
      </c>
      <c r="Q311" s="452">
        <v>6.7499999999999999E-3</v>
      </c>
      <c r="R311" s="441"/>
      <c r="S311" s="335"/>
      <c r="T311" s="415"/>
    </row>
    <row r="312" spans="1:20" s="336" customFormat="1" x14ac:dyDescent="0.2">
      <c r="B312" s="336" t="s">
        <v>1068</v>
      </c>
      <c r="F312" s="441"/>
      <c r="G312" s="441"/>
      <c r="H312" s="441"/>
      <c r="I312" s="441"/>
      <c r="J312" s="441"/>
      <c r="K312" s="441"/>
      <c r="L312" s="441"/>
      <c r="M312" s="441"/>
      <c r="N312" s="441"/>
      <c r="O312" s="441"/>
      <c r="P312" s="441"/>
      <c r="Q312" s="441"/>
      <c r="R312" s="441"/>
      <c r="S312" s="335"/>
      <c r="T312" s="415"/>
    </row>
    <row r="313" spans="1:20" s="336" customFormat="1" x14ac:dyDescent="0.2">
      <c r="C313" s="336" t="s">
        <v>1069</v>
      </c>
      <c r="D313" s="336">
        <v>86</v>
      </c>
      <c r="E313" s="336" t="s">
        <v>957</v>
      </c>
      <c r="F313" s="442">
        <v>1.1399999999999999</v>
      </c>
      <c r="G313" s="442">
        <v>1.1399999999999999</v>
      </c>
      <c r="H313" s="442">
        <v>1.1399999999999999</v>
      </c>
      <c r="I313" s="442">
        <v>1.1399999999999999</v>
      </c>
      <c r="J313" s="442">
        <v>1.1399999999999999</v>
      </c>
      <c r="K313" s="442">
        <v>1.1399999999999999</v>
      </c>
      <c r="L313" s="442">
        <v>1.1399999999999999</v>
      </c>
      <c r="M313" s="442">
        <v>1.1399999999999999</v>
      </c>
      <c r="N313" s="442">
        <v>1.1399999999999999</v>
      </c>
      <c r="O313" s="442">
        <v>1.1399999999999999</v>
      </c>
      <c r="P313" s="442">
        <v>1.1399999999999999</v>
      </c>
      <c r="Q313" s="442">
        <v>1.1399999999999999</v>
      </c>
      <c r="R313" s="441"/>
      <c r="S313" s="335"/>
      <c r="T313" s="415"/>
    </row>
    <row r="314" spans="1:20" s="336" customFormat="1" x14ac:dyDescent="0.2">
      <c r="A314" s="32"/>
      <c r="C314" s="336" t="s">
        <v>1070</v>
      </c>
      <c r="D314" s="336">
        <v>101</v>
      </c>
      <c r="E314" s="336" t="s">
        <v>957</v>
      </c>
      <c r="F314" s="442">
        <v>1.05</v>
      </c>
      <c r="G314" s="442">
        <v>1.05</v>
      </c>
      <c r="H314" s="442">
        <v>1.05</v>
      </c>
      <c r="I314" s="442">
        <v>1.05</v>
      </c>
      <c r="J314" s="442">
        <v>1.05</v>
      </c>
      <c r="K314" s="442">
        <v>1.05</v>
      </c>
      <c r="L314" s="442">
        <v>1.05</v>
      </c>
      <c r="M314" s="442">
        <v>1.05</v>
      </c>
      <c r="N314" s="442">
        <v>1.05</v>
      </c>
      <c r="O314" s="442">
        <v>1.05</v>
      </c>
      <c r="P314" s="442">
        <v>1.05</v>
      </c>
      <c r="Q314" s="442">
        <v>1.05</v>
      </c>
      <c r="R314" s="441"/>
      <c r="S314" s="335"/>
      <c r="T314" s="415"/>
    </row>
    <row r="315" spans="1:20" s="336" customFormat="1" x14ac:dyDescent="0.2">
      <c r="B315" s="336" t="s">
        <v>1071</v>
      </c>
      <c r="D315" s="382">
        <v>86</v>
      </c>
      <c r="E315" s="336" t="s">
        <v>67</v>
      </c>
      <c r="F315" s="450"/>
      <c r="G315" s="450"/>
      <c r="H315" s="442"/>
      <c r="I315" s="450"/>
      <c r="J315" s="450"/>
      <c r="K315" s="450"/>
      <c r="L315" s="450"/>
      <c r="M315" s="450"/>
      <c r="N315" s="450"/>
      <c r="O315" s="450"/>
      <c r="P315" s="450"/>
      <c r="Q315" s="450"/>
      <c r="R315" s="441"/>
      <c r="S315" s="335"/>
      <c r="T315" s="415"/>
    </row>
    <row r="316" spans="1:20" s="336" customFormat="1" x14ac:dyDescent="0.2">
      <c r="B316" s="336" t="s">
        <v>1050</v>
      </c>
      <c r="D316" s="382"/>
      <c r="F316" s="495">
        <f>'JKP-3.1c - Rev Rates PGA Nov10'!F316</f>
        <v>0.63678999999999997</v>
      </c>
      <c r="G316" s="495">
        <f>'JKP-3.1c - Rev Rates PGA Nov10'!G316</f>
        <v>0.63678999999999997</v>
      </c>
      <c r="H316" s="495">
        <f>'JKP-3.1c - Rev Rates PGA Nov10'!H316</f>
        <v>0.63678999999999997</v>
      </c>
      <c r="I316" s="495">
        <f>'JKP-3.1c - Rev Rates PGA Nov10'!I316</f>
        <v>0.63678999999999997</v>
      </c>
      <c r="J316" s="495">
        <f>'JKP-3.1c - Rev Rates PGA Nov10'!J316</f>
        <v>0.63678999999999997</v>
      </c>
      <c r="K316" s="495">
        <f>'JKP-3.1c - Rev Rates PGA Nov10'!K316</f>
        <v>0.63678999999999997</v>
      </c>
      <c r="L316" s="495">
        <f>'JKP-3.1c - Rev Rates PGA Nov10'!L316</f>
        <v>0.63678999999999997</v>
      </c>
      <c r="M316" s="495">
        <f>'JKP-3.1c - Rev Rates PGA Nov10'!M316</f>
        <v>0.63678999999999997</v>
      </c>
      <c r="N316" s="495">
        <f>'JKP-3.1c - Rev Rates PGA Nov10'!N316</f>
        <v>0.63678999999999997</v>
      </c>
      <c r="O316" s="495">
        <f>'JKP-3.1c - Rev Rates PGA Nov10'!O316</f>
        <v>0.63678999999999997</v>
      </c>
      <c r="P316" s="495">
        <f>'JKP-3.1c - Rev Rates PGA Nov10'!P316</f>
        <v>0.63678999999999997</v>
      </c>
      <c r="Q316" s="495">
        <f>'JKP-3.1c - Rev Rates PGA Nov10'!Q316</f>
        <v>0.63678999999999997</v>
      </c>
      <c r="R316" s="441"/>
      <c r="S316" s="335"/>
      <c r="T316" s="415"/>
    </row>
    <row r="317" spans="1:20" s="336" customFormat="1" x14ac:dyDescent="0.2">
      <c r="B317" s="336" t="s">
        <v>1072</v>
      </c>
      <c r="D317" s="382"/>
      <c r="F317" s="442">
        <v>1</v>
      </c>
      <c r="G317" s="442">
        <v>1</v>
      </c>
      <c r="H317" s="442">
        <v>1</v>
      </c>
      <c r="I317" s="442">
        <v>1</v>
      </c>
      <c r="J317" s="442">
        <v>1</v>
      </c>
      <c r="K317" s="442">
        <v>1</v>
      </c>
      <c r="L317" s="442">
        <v>1</v>
      </c>
      <c r="M317" s="442">
        <v>1</v>
      </c>
      <c r="N317" s="442">
        <v>1</v>
      </c>
      <c r="O317" s="442">
        <v>1</v>
      </c>
      <c r="P317" s="442">
        <v>1</v>
      </c>
      <c r="Q317" s="442">
        <v>1</v>
      </c>
      <c r="R317" s="441"/>
      <c r="S317" s="335"/>
      <c r="T317" s="415"/>
    </row>
    <row r="318" spans="1:20" s="336" customFormat="1" x14ac:dyDescent="0.2">
      <c r="S318" s="335"/>
      <c r="T318" s="415"/>
    </row>
    <row r="319" spans="1:20" s="336" customFormat="1" x14ac:dyDescent="0.2">
      <c r="B319" s="182" t="s">
        <v>982</v>
      </c>
      <c r="S319" s="335"/>
      <c r="T319" s="415"/>
    </row>
    <row r="320" spans="1:20" s="336" customFormat="1" x14ac:dyDescent="0.2">
      <c r="B320" s="336" t="s">
        <v>67</v>
      </c>
      <c r="E320" s="336" t="s">
        <v>67</v>
      </c>
      <c r="F320" s="421">
        <f>'JKP-3.1c - Data'!C150</f>
        <v>334</v>
      </c>
      <c r="G320" s="421">
        <f>'JKP-3.1c - Data'!D150</f>
        <v>334</v>
      </c>
      <c r="H320" s="421">
        <f>'JKP-3.1c - Data'!E150</f>
        <v>330</v>
      </c>
      <c r="I320" s="421">
        <f>'JKP-3.1c - Data'!F150</f>
        <v>327</v>
      </c>
      <c r="J320" s="421">
        <f>'JKP-3.1c - Data'!G150</f>
        <v>329</v>
      </c>
      <c r="K320" s="421">
        <f>'JKP-3.1c - Data'!H150</f>
        <v>329</v>
      </c>
      <c r="L320" s="421">
        <f>'JKP-3.1c - Data'!I150</f>
        <v>326</v>
      </c>
      <c r="M320" s="421">
        <f>'JKP-3.1c - Data'!J150</f>
        <v>324</v>
      </c>
      <c r="N320" s="421">
        <f>'JKP-3.1c - Data'!K150</f>
        <v>320</v>
      </c>
      <c r="O320" s="421">
        <f>'JKP-3.1c - Data'!L150</f>
        <v>317</v>
      </c>
      <c r="P320" s="421">
        <f>'JKP-3.1c - Data'!M150</f>
        <v>318</v>
      </c>
      <c r="Q320" s="421">
        <f>'JKP-3.1c - Data'!N150</f>
        <v>317</v>
      </c>
      <c r="R320" s="378">
        <f>SUM(F320:Q320)</f>
        <v>3905</v>
      </c>
      <c r="S320" s="335"/>
      <c r="T320" s="415"/>
    </row>
    <row r="321" spans="1:20" s="336" customFormat="1" x14ac:dyDescent="0.2">
      <c r="B321" s="336" t="s">
        <v>76</v>
      </c>
      <c r="F321" s="380"/>
      <c r="G321" s="380"/>
      <c r="H321" s="380"/>
      <c r="I321" s="380"/>
      <c r="J321" s="380"/>
      <c r="K321" s="380"/>
      <c r="L321" s="380"/>
      <c r="M321" s="380"/>
      <c r="N321" s="380"/>
      <c r="O321" s="380"/>
      <c r="P321" s="380"/>
      <c r="Q321" s="380"/>
      <c r="R321" s="378"/>
      <c r="S321" s="335"/>
      <c r="T321" s="415"/>
    </row>
    <row r="322" spans="1:20" s="336" customFormat="1" x14ac:dyDescent="0.2">
      <c r="C322" s="336" t="s">
        <v>1098</v>
      </c>
      <c r="E322" s="336" t="s">
        <v>10</v>
      </c>
      <c r="F322" s="421">
        <f>'JKP-3.1c - Rev Actual Rates'!F333</f>
        <v>317200</v>
      </c>
      <c r="G322" s="421">
        <f>'JKP-3.1c - Rev Actual Rates'!G333</f>
        <v>312703</v>
      </c>
      <c r="H322" s="421">
        <f>'JKP-3.1c - Rev Actual Rates'!H333</f>
        <v>312470</v>
      </c>
      <c r="I322" s="421">
        <f>'JKP-3.1c - Rev Actual Rates'!I333</f>
        <v>309585</v>
      </c>
      <c r="J322" s="421">
        <f>'JKP-3.1c - Rev Actual Rates'!J333</f>
        <v>289084</v>
      </c>
      <c r="K322" s="421">
        <f>'JKP-3.1c - Rev Actual Rates'!K333</f>
        <v>229972</v>
      </c>
      <c r="L322" s="421">
        <f>'JKP-3.1c - Rev Actual Rates'!L333</f>
        <v>138603</v>
      </c>
      <c r="M322" s="421">
        <f>'JKP-3.1c - Rev Actual Rates'!M333</f>
        <v>134877</v>
      </c>
      <c r="N322" s="421">
        <f>'JKP-3.1c - Rev Actual Rates'!N333</f>
        <v>195782</v>
      </c>
      <c r="O322" s="421">
        <f>'JKP-3.1c - Rev Actual Rates'!O333</f>
        <v>278396</v>
      </c>
      <c r="P322" s="421">
        <f>'JKP-3.1c - Rev Actual Rates'!P333</f>
        <v>315100</v>
      </c>
      <c r="Q322" s="421">
        <f>'JKP-3.1c - Rev Actual Rates'!Q333</f>
        <v>302539</v>
      </c>
      <c r="R322" s="378">
        <f>SUM(F322:Q322)</f>
        <v>3136311</v>
      </c>
      <c r="S322" s="335"/>
      <c r="T322" s="415"/>
    </row>
    <row r="323" spans="1:20" s="336" customFormat="1" x14ac:dyDescent="0.2">
      <c r="C323" s="336" t="s">
        <v>1099</v>
      </c>
      <c r="E323" s="336" t="s">
        <v>10</v>
      </c>
      <c r="F323" s="421">
        <f>'JKP-3.1c - Rev Actual Rates'!F334</f>
        <v>1346579</v>
      </c>
      <c r="G323" s="421">
        <f>'JKP-3.1c - Rev Actual Rates'!G334</f>
        <v>1096766</v>
      </c>
      <c r="H323" s="421">
        <f>'JKP-3.1c - Rev Actual Rates'!H334</f>
        <v>1149541</v>
      </c>
      <c r="I323" s="421">
        <f>'JKP-3.1c - Rev Actual Rates'!I334</f>
        <v>910372</v>
      </c>
      <c r="J323" s="421">
        <f>'JKP-3.1c - Rev Actual Rates'!J334</f>
        <v>690814</v>
      </c>
      <c r="K323" s="421">
        <f>'JKP-3.1c - Rev Actual Rates'!K334</f>
        <v>396709</v>
      </c>
      <c r="L323" s="421">
        <f>'JKP-3.1c - Rev Actual Rates'!L334</f>
        <v>224236</v>
      </c>
      <c r="M323" s="421">
        <f>'JKP-3.1c - Rev Actual Rates'!M334</f>
        <v>203654</v>
      </c>
      <c r="N323" s="421">
        <f>'JKP-3.1c - Rev Actual Rates'!N334</f>
        <v>298614</v>
      </c>
      <c r="O323" s="421">
        <f>'JKP-3.1c - Rev Actual Rates'!O334</f>
        <v>649108</v>
      </c>
      <c r="P323" s="421">
        <f>'JKP-3.1c - Rev Actual Rates'!P334</f>
        <v>1179847</v>
      </c>
      <c r="Q323" s="421">
        <f>'JKP-3.1c - Rev Actual Rates'!Q334</f>
        <v>1404490</v>
      </c>
      <c r="R323" s="378">
        <f>SUM(F323:Q323)</f>
        <v>9550730</v>
      </c>
      <c r="S323" s="335"/>
      <c r="T323" s="415"/>
    </row>
    <row r="324" spans="1:20" s="336" customFormat="1" x14ac:dyDescent="0.2">
      <c r="C324" s="336" t="s">
        <v>1075</v>
      </c>
      <c r="E324" s="336" t="s">
        <v>10</v>
      </c>
      <c r="F324" s="436">
        <f t="shared" ref="F324:R324" si="70">SUM(F322:F323)</f>
        <v>1663779</v>
      </c>
      <c r="G324" s="436">
        <f t="shared" si="70"/>
        <v>1409469</v>
      </c>
      <c r="H324" s="436">
        <f t="shared" si="70"/>
        <v>1462011</v>
      </c>
      <c r="I324" s="436">
        <f t="shared" si="70"/>
        <v>1219957</v>
      </c>
      <c r="J324" s="436">
        <f t="shared" si="70"/>
        <v>979898</v>
      </c>
      <c r="K324" s="436">
        <f t="shared" si="70"/>
        <v>626681</v>
      </c>
      <c r="L324" s="436">
        <f t="shared" si="70"/>
        <v>362839</v>
      </c>
      <c r="M324" s="436">
        <f t="shared" si="70"/>
        <v>338531</v>
      </c>
      <c r="N324" s="436">
        <f t="shared" si="70"/>
        <v>494396</v>
      </c>
      <c r="O324" s="436">
        <f t="shared" si="70"/>
        <v>927504</v>
      </c>
      <c r="P324" s="436">
        <f t="shared" si="70"/>
        <v>1494947</v>
      </c>
      <c r="Q324" s="436">
        <f t="shared" si="70"/>
        <v>1707029</v>
      </c>
      <c r="R324" s="436">
        <f t="shared" si="70"/>
        <v>12687041</v>
      </c>
      <c r="S324" s="335"/>
      <c r="T324" s="415"/>
    </row>
    <row r="325" spans="1:20" s="336" customFormat="1" x14ac:dyDescent="0.2">
      <c r="B325" s="336" t="s">
        <v>74</v>
      </c>
      <c r="E325" s="336" t="s">
        <v>1076</v>
      </c>
      <c r="F325" s="421">
        <f>'JKP-3.1c - Rev Actual Rates'!F336</f>
        <v>9510</v>
      </c>
      <c r="G325" s="421">
        <f>'JKP-3.1c - Rev Actual Rates'!G336</f>
        <v>9429</v>
      </c>
      <c r="H325" s="421">
        <f>'JKP-3.1c - Rev Actual Rates'!H336</f>
        <v>9258</v>
      </c>
      <c r="I325" s="421">
        <f>'JKP-3.1c - Rev Actual Rates'!I336</f>
        <v>9188</v>
      </c>
      <c r="J325" s="421">
        <f>'JKP-3.1c - Rev Actual Rates'!J336</f>
        <v>9260</v>
      </c>
      <c r="K325" s="421">
        <f>'JKP-3.1c - Rev Actual Rates'!K336</f>
        <v>9258</v>
      </c>
      <c r="L325" s="421">
        <f>'JKP-3.1c - Rev Actual Rates'!L336</f>
        <v>9136</v>
      </c>
      <c r="M325" s="421">
        <f>'JKP-3.1c - Rev Actual Rates'!M336</f>
        <v>8867</v>
      </c>
      <c r="N325" s="421">
        <f>'JKP-3.1c - Rev Actual Rates'!N336</f>
        <v>8570</v>
      </c>
      <c r="O325" s="421">
        <f>'JKP-3.1c - Rev Actual Rates'!O336</f>
        <v>8457</v>
      </c>
      <c r="P325" s="421">
        <f>'JKP-3.1c - Rev Actual Rates'!P336</f>
        <v>8504</v>
      </c>
      <c r="Q325" s="421">
        <f>'JKP-3.1c - Rev Actual Rates'!Q336</f>
        <v>8244</v>
      </c>
      <c r="R325" s="378">
        <f>SUM(F325:Q325)</f>
        <v>107681</v>
      </c>
      <c r="S325" s="335"/>
      <c r="T325" s="415"/>
    </row>
    <row r="326" spans="1:20" s="336" customFormat="1" x14ac:dyDescent="0.2">
      <c r="B326" s="336" t="s">
        <v>1071</v>
      </c>
      <c r="F326" s="380"/>
      <c r="G326" s="380"/>
      <c r="H326" s="380"/>
      <c r="I326" s="380"/>
      <c r="J326" s="380"/>
      <c r="K326" s="380"/>
      <c r="L326" s="380"/>
      <c r="M326" s="380"/>
      <c r="N326" s="380"/>
      <c r="O326" s="380"/>
      <c r="P326" s="380"/>
      <c r="Q326" s="380"/>
      <c r="R326" s="378"/>
      <c r="S326" s="335"/>
      <c r="T326" s="415"/>
    </row>
    <row r="327" spans="1:20" s="336" customFormat="1" x14ac:dyDescent="0.2">
      <c r="R327" s="179"/>
      <c r="S327" s="335"/>
      <c r="T327" s="415"/>
    </row>
    <row r="328" spans="1:20" s="336" customFormat="1" x14ac:dyDescent="0.2">
      <c r="B328" s="182" t="s">
        <v>985</v>
      </c>
      <c r="R328" s="179"/>
      <c r="S328" s="335"/>
      <c r="T328" s="415"/>
    </row>
    <row r="329" spans="1:20" s="336" customFormat="1" x14ac:dyDescent="0.2">
      <c r="A329" s="336" t="s">
        <v>1054</v>
      </c>
      <c r="B329" s="336" t="s">
        <v>1059</v>
      </c>
      <c r="D329" s="336">
        <v>86</v>
      </c>
      <c r="F329" s="418">
        <f t="shared" ref="F329:Q329" si="71">F306*F320</f>
        <v>47691.86</v>
      </c>
      <c r="G329" s="418">
        <f t="shared" si="71"/>
        <v>47691.86</v>
      </c>
      <c r="H329" s="418">
        <f t="shared" si="71"/>
        <v>47120.7</v>
      </c>
      <c r="I329" s="418">
        <f t="shared" si="71"/>
        <v>46692.329999999994</v>
      </c>
      <c r="J329" s="418">
        <f t="shared" si="71"/>
        <v>46977.909999999996</v>
      </c>
      <c r="K329" s="418">
        <f t="shared" si="71"/>
        <v>46977.909999999996</v>
      </c>
      <c r="L329" s="418">
        <f t="shared" si="71"/>
        <v>46549.54</v>
      </c>
      <c r="M329" s="418">
        <f t="shared" si="71"/>
        <v>46263.96</v>
      </c>
      <c r="N329" s="418">
        <f t="shared" si="71"/>
        <v>45692.799999999996</v>
      </c>
      <c r="O329" s="418">
        <f t="shared" si="71"/>
        <v>45264.43</v>
      </c>
      <c r="P329" s="418">
        <f t="shared" si="71"/>
        <v>45407.219999999994</v>
      </c>
      <c r="Q329" s="418">
        <f t="shared" si="71"/>
        <v>45264.43</v>
      </c>
      <c r="R329" s="437">
        <f>SUM(F329:Q329)</f>
        <v>557594.94999999995</v>
      </c>
      <c r="S329" s="335"/>
      <c r="T329" s="415"/>
    </row>
    <row r="330" spans="1:20" x14ac:dyDescent="0.2">
      <c r="B330" s="32" t="s">
        <v>1047</v>
      </c>
      <c r="F330" s="364"/>
      <c r="G330" s="364"/>
      <c r="H330" s="364"/>
      <c r="I330" s="364"/>
      <c r="J330" s="364"/>
      <c r="K330" s="364"/>
      <c r="L330" s="364"/>
      <c r="M330" s="364"/>
      <c r="N330" s="364"/>
      <c r="O330" s="364"/>
      <c r="P330" s="364"/>
      <c r="Q330" s="364"/>
      <c r="R330" s="341"/>
    </row>
    <row r="331" spans="1:20" x14ac:dyDescent="0.2">
      <c r="C331" s="32" t="s">
        <v>1098</v>
      </c>
      <c r="D331" s="32">
        <v>86</v>
      </c>
      <c r="F331" s="364">
        <f t="shared" ref="F331:Q332" si="72">F308*F322</f>
        <v>64410.631999999998</v>
      </c>
      <c r="G331" s="364">
        <f t="shared" si="72"/>
        <v>63497.47118</v>
      </c>
      <c r="H331" s="364">
        <f t="shared" si="72"/>
        <v>63450.158199999998</v>
      </c>
      <c r="I331" s="364">
        <f t="shared" si="72"/>
        <v>62864.330099999999</v>
      </c>
      <c r="J331" s="364">
        <f t="shared" si="72"/>
        <v>58701.397039999996</v>
      </c>
      <c r="K331" s="364">
        <f t="shared" si="72"/>
        <v>46698.114320000001</v>
      </c>
      <c r="L331" s="364">
        <f t="shared" si="72"/>
        <v>28144.725179999998</v>
      </c>
      <c r="M331" s="364">
        <f t="shared" si="72"/>
        <v>27388.123619999998</v>
      </c>
      <c r="N331" s="364">
        <f t="shared" si="72"/>
        <v>39755.492919999997</v>
      </c>
      <c r="O331" s="364">
        <f t="shared" si="72"/>
        <v>56531.091759999996</v>
      </c>
      <c r="P331" s="364">
        <f t="shared" si="72"/>
        <v>63984.205999999998</v>
      </c>
      <c r="Q331" s="364">
        <f t="shared" si="72"/>
        <v>61433.569339999995</v>
      </c>
      <c r="R331" s="341">
        <f>SUM(F331:Q331)</f>
        <v>636859.31166000001</v>
      </c>
    </row>
    <row r="332" spans="1:20" x14ac:dyDescent="0.2">
      <c r="C332" s="32" t="s">
        <v>1099</v>
      </c>
      <c r="D332" s="32">
        <v>86</v>
      </c>
      <c r="F332" s="364">
        <f t="shared" si="72"/>
        <v>196048.43661</v>
      </c>
      <c r="G332" s="364">
        <f t="shared" si="72"/>
        <v>159678.16193999999</v>
      </c>
      <c r="H332" s="364">
        <f t="shared" si="72"/>
        <v>167361.67418999999</v>
      </c>
      <c r="I332" s="364">
        <f t="shared" si="72"/>
        <v>132541.05948</v>
      </c>
      <c r="J332" s="364">
        <f t="shared" si="72"/>
        <v>100575.61026</v>
      </c>
      <c r="K332" s="364">
        <f t="shared" si="72"/>
        <v>57756.863310000001</v>
      </c>
      <c r="L332" s="364">
        <f t="shared" si="72"/>
        <v>32646.519239999998</v>
      </c>
      <c r="M332" s="364">
        <f t="shared" si="72"/>
        <v>29649.985860000001</v>
      </c>
      <c r="N332" s="364">
        <f t="shared" si="72"/>
        <v>43475.21226</v>
      </c>
      <c r="O332" s="364">
        <f t="shared" si="72"/>
        <v>94503.633719999998</v>
      </c>
      <c r="P332" s="364">
        <f t="shared" si="72"/>
        <v>171773.92473</v>
      </c>
      <c r="Q332" s="364">
        <f t="shared" si="72"/>
        <v>204479.6991</v>
      </c>
      <c r="R332" s="341">
        <f>SUM(F332:Q332)</f>
        <v>1390490.7807000002</v>
      </c>
    </row>
    <row r="333" spans="1:20" x14ac:dyDescent="0.2">
      <c r="A333" s="32" t="s">
        <v>1054</v>
      </c>
      <c r="C333" s="32" t="s">
        <v>1077</v>
      </c>
      <c r="F333" s="365">
        <f t="shared" ref="F333:R333" si="73">SUM(F331:F332)</f>
        <v>260459.06861000002</v>
      </c>
      <c r="G333" s="365">
        <f t="shared" si="73"/>
        <v>223175.63311999998</v>
      </c>
      <c r="H333" s="365">
        <f t="shared" si="73"/>
        <v>230811.83239</v>
      </c>
      <c r="I333" s="365">
        <f t="shared" si="73"/>
        <v>195405.38957999999</v>
      </c>
      <c r="J333" s="365">
        <f t="shared" si="73"/>
        <v>159277.0073</v>
      </c>
      <c r="K333" s="365">
        <f t="shared" si="73"/>
        <v>104454.97763000001</v>
      </c>
      <c r="L333" s="365">
        <f t="shared" si="73"/>
        <v>60791.244419999995</v>
      </c>
      <c r="M333" s="365">
        <f t="shared" si="73"/>
        <v>57038.109479999999</v>
      </c>
      <c r="N333" s="365">
        <f t="shared" si="73"/>
        <v>83230.70517999999</v>
      </c>
      <c r="O333" s="365">
        <f t="shared" si="73"/>
        <v>151034.72547999999</v>
      </c>
      <c r="P333" s="365">
        <f t="shared" si="73"/>
        <v>235758.13073</v>
      </c>
      <c r="Q333" s="365">
        <f t="shared" si="73"/>
        <v>265913.26844000001</v>
      </c>
      <c r="R333" s="365">
        <f t="shared" si="73"/>
        <v>2027350.0923600001</v>
      </c>
    </row>
    <row r="334" spans="1:20" x14ac:dyDescent="0.2">
      <c r="A334" s="336" t="s">
        <v>1056</v>
      </c>
      <c r="B334" s="415" t="s">
        <v>1057</v>
      </c>
      <c r="D334" s="32">
        <v>101</v>
      </c>
      <c r="F334" s="364">
        <f t="shared" ref="F334:Q334" si="74">F310*F324</f>
        <v>1107361.38903</v>
      </c>
      <c r="G334" s="364">
        <f t="shared" si="74"/>
        <v>938100.28232999996</v>
      </c>
      <c r="H334" s="364">
        <f t="shared" si="74"/>
        <v>973070.66127000004</v>
      </c>
      <c r="I334" s="364">
        <f t="shared" si="74"/>
        <v>811966.78049000003</v>
      </c>
      <c r="J334" s="364">
        <f t="shared" si="74"/>
        <v>652190.71186000004</v>
      </c>
      <c r="K334" s="364">
        <f t="shared" si="74"/>
        <v>417100.07316999999</v>
      </c>
      <c r="L334" s="364">
        <f t="shared" si="74"/>
        <v>241494.75323</v>
      </c>
      <c r="M334" s="364">
        <f t="shared" si="74"/>
        <v>225316.07767</v>
      </c>
      <c r="N334" s="364">
        <f t="shared" si="74"/>
        <v>329055.14571999997</v>
      </c>
      <c r="O334" s="364">
        <f t="shared" si="74"/>
        <v>617318.83727999998</v>
      </c>
      <c r="P334" s="364">
        <f t="shared" si="74"/>
        <v>994991.87479000003</v>
      </c>
      <c r="Q334" s="364">
        <f t="shared" si="74"/>
        <v>1136147.29153</v>
      </c>
      <c r="R334" s="341">
        <f>SUM(F334:Q334)</f>
        <v>8444113.8783699982</v>
      </c>
    </row>
    <row r="335" spans="1:20" x14ac:dyDescent="0.2">
      <c r="A335" s="32" t="s">
        <v>1054</v>
      </c>
      <c r="B335" s="32" t="s">
        <v>1096</v>
      </c>
      <c r="D335" s="444"/>
      <c r="F335" s="365">
        <f t="shared" ref="F335:Q335" si="75">F311*F324</f>
        <v>11230.508250000001</v>
      </c>
      <c r="G335" s="365">
        <f t="shared" si="75"/>
        <v>9513.9157500000001</v>
      </c>
      <c r="H335" s="365">
        <f t="shared" si="75"/>
        <v>9868.5742499999997</v>
      </c>
      <c r="I335" s="365">
        <f t="shared" si="75"/>
        <v>8234.70975</v>
      </c>
      <c r="J335" s="365">
        <f t="shared" si="75"/>
        <v>6614.3114999999998</v>
      </c>
      <c r="K335" s="365">
        <f t="shared" si="75"/>
        <v>4230.0967499999997</v>
      </c>
      <c r="L335" s="365">
        <f t="shared" si="75"/>
        <v>2449.1632500000001</v>
      </c>
      <c r="M335" s="365">
        <f t="shared" si="75"/>
        <v>2285.0842499999999</v>
      </c>
      <c r="N335" s="365">
        <f t="shared" si="75"/>
        <v>3337.1729999999998</v>
      </c>
      <c r="O335" s="365">
        <f t="shared" si="75"/>
        <v>6260.652</v>
      </c>
      <c r="P335" s="365">
        <f t="shared" si="75"/>
        <v>10090.892250000001</v>
      </c>
      <c r="Q335" s="365">
        <f t="shared" si="75"/>
        <v>11522.445750000001</v>
      </c>
      <c r="R335" s="365">
        <f>SUM(F335:Q335)</f>
        <v>85637.52674999999</v>
      </c>
    </row>
    <row r="336" spans="1:20" x14ac:dyDescent="0.2">
      <c r="B336" s="32" t="s">
        <v>1068</v>
      </c>
      <c r="F336" s="364"/>
      <c r="G336" s="364"/>
      <c r="H336" s="364"/>
      <c r="I336" s="364"/>
      <c r="J336" s="364"/>
      <c r="K336" s="364"/>
      <c r="L336" s="364"/>
      <c r="M336" s="364"/>
      <c r="N336" s="364"/>
      <c r="O336" s="364"/>
      <c r="P336" s="364"/>
      <c r="Q336" s="364"/>
      <c r="R336" s="341"/>
    </row>
    <row r="337" spans="1:20" x14ac:dyDescent="0.2">
      <c r="A337" s="32" t="s">
        <v>1054</v>
      </c>
      <c r="C337" s="32" t="s">
        <v>1069</v>
      </c>
      <c r="D337" s="32">
        <v>86</v>
      </c>
      <c r="F337" s="364">
        <f t="shared" ref="F337:Q337" si="76">F313*F325</f>
        <v>10841.4</v>
      </c>
      <c r="G337" s="364">
        <f t="shared" si="76"/>
        <v>10749.06</v>
      </c>
      <c r="H337" s="364">
        <f t="shared" si="76"/>
        <v>10554.119999999999</v>
      </c>
      <c r="I337" s="364">
        <f t="shared" si="76"/>
        <v>10474.32</v>
      </c>
      <c r="J337" s="364">
        <f t="shared" si="76"/>
        <v>10556.4</v>
      </c>
      <c r="K337" s="364">
        <f t="shared" si="76"/>
        <v>10554.119999999999</v>
      </c>
      <c r="L337" s="364">
        <f t="shared" si="76"/>
        <v>10415.039999999999</v>
      </c>
      <c r="M337" s="364">
        <f t="shared" si="76"/>
        <v>10108.379999999999</v>
      </c>
      <c r="N337" s="364">
        <f t="shared" si="76"/>
        <v>9769.7999999999993</v>
      </c>
      <c r="O337" s="364">
        <f t="shared" si="76"/>
        <v>9640.98</v>
      </c>
      <c r="P337" s="364">
        <f t="shared" si="76"/>
        <v>9694.56</v>
      </c>
      <c r="Q337" s="364">
        <f t="shared" si="76"/>
        <v>9398.16</v>
      </c>
      <c r="R337" s="341">
        <f>SUM(F337:Q337)</f>
        <v>122756.34</v>
      </c>
    </row>
    <row r="338" spans="1:20" s="336" customFormat="1" x14ac:dyDescent="0.2">
      <c r="A338" s="336" t="s">
        <v>1056</v>
      </c>
      <c r="C338" s="336" t="s">
        <v>1070</v>
      </c>
      <c r="D338" s="336">
        <v>101</v>
      </c>
      <c r="F338" s="418">
        <f t="shared" ref="F338:Q338" si="77">F314*F325</f>
        <v>9985.5</v>
      </c>
      <c r="G338" s="418">
        <f t="shared" si="77"/>
        <v>9900.4500000000007</v>
      </c>
      <c r="H338" s="418">
        <f t="shared" si="77"/>
        <v>9720.9</v>
      </c>
      <c r="I338" s="418">
        <f t="shared" si="77"/>
        <v>9647.4</v>
      </c>
      <c r="J338" s="418">
        <f t="shared" si="77"/>
        <v>9723</v>
      </c>
      <c r="K338" s="418">
        <f t="shared" si="77"/>
        <v>9720.9</v>
      </c>
      <c r="L338" s="418">
        <f t="shared" si="77"/>
        <v>9592.8000000000011</v>
      </c>
      <c r="M338" s="418">
        <f t="shared" si="77"/>
        <v>9310.35</v>
      </c>
      <c r="N338" s="418">
        <f t="shared" si="77"/>
        <v>8998.5</v>
      </c>
      <c r="O338" s="418">
        <f t="shared" si="77"/>
        <v>8879.85</v>
      </c>
      <c r="P338" s="418">
        <f t="shared" si="77"/>
        <v>8929.2000000000007</v>
      </c>
      <c r="Q338" s="418">
        <f t="shared" si="77"/>
        <v>8656.2000000000007</v>
      </c>
      <c r="R338" s="437">
        <f>SUM(F338:Q338)</f>
        <v>113065.05</v>
      </c>
      <c r="S338" s="335"/>
      <c r="T338" s="415"/>
    </row>
    <row r="339" spans="1:20" s="336" customFormat="1" x14ac:dyDescent="0.2">
      <c r="C339" s="336" t="s">
        <v>1078</v>
      </c>
      <c r="F339" s="339">
        <f t="shared" ref="F339:R339" si="78">SUM(F337:F338)</f>
        <v>20826.900000000001</v>
      </c>
      <c r="G339" s="339">
        <f t="shared" si="78"/>
        <v>20649.510000000002</v>
      </c>
      <c r="H339" s="339">
        <f t="shared" si="78"/>
        <v>20275.019999999997</v>
      </c>
      <c r="I339" s="339">
        <f t="shared" si="78"/>
        <v>20121.72</v>
      </c>
      <c r="J339" s="339">
        <f t="shared" si="78"/>
        <v>20279.400000000001</v>
      </c>
      <c r="K339" s="339">
        <f t="shared" si="78"/>
        <v>20275.019999999997</v>
      </c>
      <c r="L339" s="339">
        <f t="shared" si="78"/>
        <v>20007.84</v>
      </c>
      <c r="M339" s="339">
        <f t="shared" si="78"/>
        <v>19418.73</v>
      </c>
      <c r="N339" s="339">
        <f t="shared" si="78"/>
        <v>18768.3</v>
      </c>
      <c r="O339" s="339">
        <f t="shared" si="78"/>
        <v>18520.830000000002</v>
      </c>
      <c r="P339" s="339">
        <f t="shared" si="78"/>
        <v>18623.760000000002</v>
      </c>
      <c r="Q339" s="339">
        <f t="shared" si="78"/>
        <v>18054.36</v>
      </c>
      <c r="R339" s="339">
        <f t="shared" si="78"/>
        <v>235821.39</v>
      </c>
      <c r="S339" s="335"/>
      <c r="T339" s="415"/>
    </row>
    <row r="340" spans="1:20" s="336" customFormat="1" x14ac:dyDescent="0.2">
      <c r="A340" s="336" t="s">
        <v>1054</v>
      </c>
      <c r="B340" s="336" t="s">
        <v>1071</v>
      </c>
      <c r="D340" s="336">
        <v>86</v>
      </c>
      <c r="F340" s="447">
        <f>'JKP-3.1c - Rev Actual Rates'!F351</f>
        <v>0</v>
      </c>
      <c r="G340" s="447">
        <f>'JKP-3.1c - Rev Actual Rates'!G351</f>
        <v>1587.1599999999999</v>
      </c>
      <c r="H340" s="447">
        <f>'JKP-3.1c - Rev Actual Rates'!H351</f>
        <v>0</v>
      </c>
      <c r="I340" s="447">
        <f>'JKP-3.1c - Rev Actual Rates'!I351</f>
        <v>0</v>
      </c>
      <c r="J340" s="447">
        <f>'JKP-3.1c - Rev Actual Rates'!J351</f>
        <v>0</v>
      </c>
      <c r="K340" s="447">
        <f>'JKP-3.1c - Rev Actual Rates'!K351</f>
        <v>0</v>
      </c>
      <c r="L340" s="447">
        <f>'JKP-3.1c - Rev Actual Rates'!L351</f>
        <v>116.15</v>
      </c>
      <c r="M340" s="447">
        <f>'JKP-3.1c - Rev Actual Rates'!M351</f>
        <v>1787.29</v>
      </c>
      <c r="N340" s="447">
        <f>'JKP-3.1c - Rev Actual Rates'!N351</f>
        <v>23486.960000000003</v>
      </c>
      <c r="O340" s="447">
        <f>'JKP-3.1c - Rev Actual Rates'!O351</f>
        <v>0</v>
      </c>
      <c r="P340" s="447">
        <f>'JKP-3.1c - Rev Actual Rates'!P351</f>
        <v>0</v>
      </c>
      <c r="Q340" s="447">
        <f>'JKP-3.1c - Rev Actual Rates'!Q351</f>
        <v>0</v>
      </c>
      <c r="R340" s="437">
        <f>SUM(F340:Q340)</f>
        <v>26977.56</v>
      </c>
      <c r="S340" s="335"/>
      <c r="T340" s="415"/>
    </row>
    <row r="341" spans="1:20" s="336" customFormat="1" x14ac:dyDescent="0.2">
      <c r="B341" s="336" t="s">
        <v>1079</v>
      </c>
      <c r="F341" s="339">
        <f t="shared" ref="F341:R341" si="79">F334+F338</f>
        <v>1117346.88903</v>
      </c>
      <c r="G341" s="339">
        <f t="shared" si="79"/>
        <v>948000.73232999991</v>
      </c>
      <c r="H341" s="339">
        <f t="shared" si="79"/>
        <v>982791.56127000006</v>
      </c>
      <c r="I341" s="339">
        <f t="shared" si="79"/>
        <v>821614.18049000006</v>
      </c>
      <c r="J341" s="339">
        <f t="shared" si="79"/>
        <v>661913.71186000004</v>
      </c>
      <c r="K341" s="339">
        <f t="shared" si="79"/>
        <v>426820.97317000001</v>
      </c>
      <c r="L341" s="339">
        <f t="shared" si="79"/>
        <v>251087.55322999999</v>
      </c>
      <c r="M341" s="339">
        <f t="shared" si="79"/>
        <v>234626.42767</v>
      </c>
      <c r="N341" s="339">
        <f t="shared" si="79"/>
        <v>338053.64571999997</v>
      </c>
      <c r="O341" s="339">
        <f t="shared" si="79"/>
        <v>626198.68727999995</v>
      </c>
      <c r="P341" s="339">
        <f t="shared" si="79"/>
        <v>1003921.07479</v>
      </c>
      <c r="Q341" s="339">
        <f t="shared" si="79"/>
        <v>1144803.49153</v>
      </c>
      <c r="R341" s="339">
        <f t="shared" si="79"/>
        <v>8557178.9283699989</v>
      </c>
      <c r="S341" s="335"/>
      <c r="T341" s="415"/>
    </row>
    <row r="342" spans="1:20" s="336" customFormat="1" x14ac:dyDescent="0.2">
      <c r="B342" s="336" t="s">
        <v>986</v>
      </c>
      <c r="F342" s="339">
        <f t="shared" ref="F342:R342" si="80">F329+F333+F334+F335+F339+F340</f>
        <v>1447569.7258899999</v>
      </c>
      <c r="G342" s="339">
        <f t="shared" si="80"/>
        <v>1240718.3611999999</v>
      </c>
      <c r="H342" s="339">
        <f t="shared" si="80"/>
        <v>1281146.7879100002</v>
      </c>
      <c r="I342" s="339">
        <f t="shared" si="80"/>
        <v>1082420.92982</v>
      </c>
      <c r="J342" s="339">
        <f t="shared" si="80"/>
        <v>885339.34065999999</v>
      </c>
      <c r="K342" s="339">
        <f t="shared" si="80"/>
        <v>593038.07755000005</v>
      </c>
      <c r="L342" s="339">
        <f t="shared" si="80"/>
        <v>371408.69090000005</v>
      </c>
      <c r="M342" s="339">
        <f t="shared" si="80"/>
        <v>352109.25139999995</v>
      </c>
      <c r="N342" s="339">
        <f t="shared" si="80"/>
        <v>503571.08389999997</v>
      </c>
      <c r="O342" s="339">
        <f t="shared" si="80"/>
        <v>838399.4747599999</v>
      </c>
      <c r="P342" s="339">
        <f t="shared" si="80"/>
        <v>1304871.8777700001</v>
      </c>
      <c r="Q342" s="339">
        <f t="shared" si="80"/>
        <v>1476901.7957200001</v>
      </c>
      <c r="R342" s="339">
        <f t="shared" si="80"/>
        <v>11377495.39748</v>
      </c>
      <c r="S342" s="335"/>
      <c r="T342" s="340"/>
    </row>
    <row r="343" spans="1:20" s="336" customFormat="1" x14ac:dyDescent="0.2">
      <c r="F343" s="418"/>
      <c r="G343" s="418"/>
      <c r="H343" s="418"/>
      <c r="I343" s="418"/>
      <c r="J343" s="418"/>
      <c r="K343" s="418"/>
      <c r="L343" s="418"/>
      <c r="M343" s="418"/>
      <c r="N343" s="418"/>
      <c r="O343" s="418"/>
      <c r="P343" s="418"/>
      <c r="Q343" s="418"/>
      <c r="R343" s="437"/>
      <c r="S343" s="335"/>
      <c r="T343" s="415"/>
    </row>
    <row r="344" spans="1:20" s="336" customFormat="1" x14ac:dyDescent="0.2">
      <c r="A344" s="32" t="s">
        <v>1058</v>
      </c>
      <c r="B344" s="32" t="s">
        <v>1050</v>
      </c>
      <c r="C344" s="32"/>
      <c r="F344" s="418">
        <f>F316*F324+F325*F317</f>
        <v>1068987.82941</v>
      </c>
      <c r="G344" s="418">
        <f t="shared" ref="G344:Q344" si="81">G316*G324+G325*G317</f>
        <v>906964.76451000001</v>
      </c>
      <c r="H344" s="418">
        <f t="shared" si="81"/>
        <v>940251.98468999995</v>
      </c>
      <c r="I344" s="418">
        <f t="shared" si="81"/>
        <v>786044.41802999994</v>
      </c>
      <c r="J344" s="418">
        <f t="shared" si="81"/>
        <v>633249.24741999991</v>
      </c>
      <c r="K344" s="418">
        <f t="shared" si="81"/>
        <v>408322.19399</v>
      </c>
      <c r="L344" s="418">
        <f t="shared" si="81"/>
        <v>240188.24680999998</v>
      </c>
      <c r="M344" s="418">
        <f t="shared" si="81"/>
        <v>224440.15548999998</v>
      </c>
      <c r="N344" s="418">
        <f t="shared" si="81"/>
        <v>323396.42884000001</v>
      </c>
      <c r="O344" s="418">
        <f t="shared" si="81"/>
        <v>599082.27215999993</v>
      </c>
      <c r="P344" s="418">
        <f t="shared" si="81"/>
        <v>960471.30012999999</v>
      </c>
      <c r="Q344" s="418">
        <f t="shared" si="81"/>
        <v>1095262.99691</v>
      </c>
      <c r="R344" s="437">
        <f>SUM(F344:Q344)</f>
        <v>8186661.8383900002</v>
      </c>
      <c r="S344" s="335"/>
      <c r="T344" s="415"/>
    </row>
    <row r="345" spans="1:20" s="336" customFormat="1" x14ac:dyDescent="0.2">
      <c r="F345" s="418"/>
      <c r="G345" s="418"/>
      <c r="H345" s="418"/>
      <c r="I345" s="418"/>
      <c r="J345" s="418"/>
      <c r="K345" s="418"/>
      <c r="L345" s="418"/>
      <c r="M345" s="418"/>
      <c r="N345" s="418"/>
      <c r="O345" s="418"/>
      <c r="P345" s="418"/>
      <c r="Q345" s="418"/>
      <c r="R345" s="437"/>
      <c r="S345" s="335"/>
      <c r="T345" s="415"/>
    </row>
    <row r="346" spans="1:20" s="336" customFormat="1" x14ac:dyDescent="0.2">
      <c r="B346" s="182" t="s">
        <v>1100</v>
      </c>
      <c r="C346" s="182"/>
      <c r="S346" s="335"/>
      <c r="T346" s="415"/>
    </row>
    <row r="347" spans="1:20" s="336" customFormat="1" x14ac:dyDescent="0.2">
      <c r="B347" s="182" t="s">
        <v>5</v>
      </c>
      <c r="C347" s="182"/>
      <c r="S347" s="335"/>
      <c r="T347" s="415"/>
    </row>
    <row r="348" spans="1:20" s="336" customFormat="1" x14ac:dyDescent="0.2">
      <c r="B348" s="336" t="s">
        <v>1059</v>
      </c>
      <c r="D348" s="336">
        <v>87</v>
      </c>
      <c r="E348" s="336" t="s">
        <v>976</v>
      </c>
      <c r="F348" s="442">
        <v>558.41999999999996</v>
      </c>
      <c r="G348" s="442">
        <v>558.41999999999996</v>
      </c>
      <c r="H348" s="442">
        <v>558.41999999999996</v>
      </c>
      <c r="I348" s="442">
        <v>558.41999999999996</v>
      </c>
      <c r="J348" s="442">
        <v>558.41999999999996</v>
      </c>
      <c r="K348" s="442">
        <v>558.41999999999996</v>
      </c>
      <c r="L348" s="442">
        <v>558.41999999999996</v>
      </c>
      <c r="M348" s="442">
        <v>558.41999999999996</v>
      </c>
      <c r="N348" s="442">
        <v>558.41999999999996</v>
      </c>
      <c r="O348" s="442">
        <v>558.41999999999996</v>
      </c>
      <c r="P348" s="442">
        <v>558.41999999999996</v>
      </c>
      <c r="Q348" s="442">
        <v>558.41999999999996</v>
      </c>
      <c r="R348" s="435"/>
      <c r="S348" s="335"/>
      <c r="T348" s="415"/>
    </row>
    <row r="349" spans="1:20" s="336" customFormat="1" x14ac:dyDescent="0.2">
      <c r="B349" s="336" t="s">
        <v>1047</v>
      </c>
      <c r="F349" s="448"/>
      <c r="G349" s="448"/>
      <c r="H349" s="448"/>
      <c r="I349" s="448"/>
      <c r="J349" s="448"/>
      <c r="K349" s="448"/>
      <c r="L349" s="448"/>
      <c r="M349" s="448"/>
      <c r="N349" s="448"/>
      <c r="O349" s="448"/>
      <c r="P349" s="448"/>
      <c r="Q349" s="448"/>
      <c r="R349" s="441"/>
      <c r="S349" s="335"/>
      <c r="T349" s="415"/>
    </row>
    <row r="350" spans="1:20" s="336" customFormat="1" x14ac:dyDescent="0.2">
      <c r="C350" s="336" t="s">
        <v>1086</v>
      </c>
      <c r="D350" s="336">
        <v>87</v>
      </c>
      <c r="E350" s="336" t="s">
        <v>957</v>
      </c>
      <c r="F350" s="440">
        <v>0.14158000000000001</v>
      </c>
      <c r="G350" s="440">
        <v>0.14158000000000001</v>
      </c>
      <c r="H350" s="440">
        <v>0.14158000000000001</v>
      </c>
      <c r="I350" s="440">
        <v>0.14158000000000001</v>
      </c>
      <c r="J350" s="440">
        <v>0.14158000000000001</v>
      </c>
      <c r="K350" s="440">
        <v>0.14158000000000001</v>
      </c>
      <c r="L350" s="440">
        <v>0.14158000000000001</v>
      </c>
      <c r="M350" s="440">
        <v>0.14158000000000001</v>
      </c>
      <c r="N350" s="440">
        <v>0.14158000000000001</v>
      </c>
      <c r="O350" s="440">
        <v>0.14158000000000001</v>
      </c>
      <c r="P350" s="440">
        <v>0.14158000000000001</v>
      </c>
      <c r="Q350" s="440">
        <v>0.14158000000000001</v>
      </c>
      <c r="R350" s="441"/>
      <c r="S350" s="335"/>
      <c r="T350" s="415"/>
    </row>
    <row r="351" spans="1:20" s="336" customFormat="1" x14ac:dyDescent="0.2">
      <c r="C351" s="336" t="s">
        <v>1087</v>
      </c>
      <c r="D351" s="336">
        <v>87</v>
      </c>
      <c r="E351" s="336" t="s">
        <v>957</v>
      </c>
      <c r="F351" s="440">
        <v>8.6440000000000003E-2</v>
      </c>
      <c r="G351" s="440">
        <v>8.6440000000000003E-2</v>
      </c>
      <c r="H351" s="440">
        <v>8.6440000000000003E-2</v>
      </c>
      <c r="I351" s="440">
        <v>8.6440000000000003E-2</v>
      </c>
      <c r="J351" s="440">
        <v>8.6440000000000003E-2</v>
      </c>
      <c r="K351" s="440">
        <v>8.6440000000000003E-2</v>
      </c>
      <c r="L351" s="440">
        <v>8.6440000000000003E-2</v>
      </c>
      <c r="M351" s="440">
        <v>8.6440000000000003E-2</v>
      </c>
      <c r="N351" s="440">
        <v>8.6440000000000003E-2</v>
      </c>
      <c r="O351" s="440">
        <v>8.6440000000000003E-2</v>
      </c>
      <c r="P351" s="440">
        <v>8.6440000000000003E-2</v>
      </c>
      <c r="Q351" s="440">
        <v>8.6440000000000003E-2</v>
      </c>
      <c r="R351" s="441"/>
      <c r="S351" s="335"/>
      <c r="T351" s="415"/>
    </row>
    <row r="352" spans="1:20" s="336" customFormat="1" x14ac:dyDescent="0.2">
      <c r="C352" s="336" t="s">
        <v>1090</v>
      </c>
      <c r="D352" s="336">
        <v>87</v>
      </c>
      <c r="E352" s="336" t="s">
        <v>957</v>
      </c>
      <c r="F352" s="440">
        <v>5.5809999999999998E-2</v>
      </c>
      <c r="G352" s="440">
        <v>5.5809999999999998E-2</v>
      </c>
      <c r="H352" s="440">
        <v>5.5809999999999998E-2</v>
      </c>
      <c r="I352" s="440">
        <v>5.5809999999999998E-2</v>
      </c>
      <c r="J352" s="440">
        <v>5.5809999999999998E-2</v>
      </c>
      <c r="K352" s="440">
        <v>5.5809999999999998E-2</v>
      </c>
      <c r="L352" s="440">
        <v>5.5809999999999998E-2</v>
      </c>
      <c r="M352" s="440">
        <v>5.5809999999999998E-2</v>
      </c>
      <c r="N352" s="440">
        <v>5.5809999999999998E-2</v>
      </c>
      <c r="O352" s="440">
        <v>5.5809999999999998E-2</v>
      </c>
      <c r="P352" s="440">
        <v>5.5809999999999998E-2</v>
      </c>
      <c r="Q352" s="440">
        <v>5.5809999999999998E-2</v>
      </c>
      <c r="R352" s="441"/>
      <c r="S352" s="335"/>
      <c r="T352" s="415"/>
    </row>
    <row r="353" spans="2:20" s="336" customFormat="1" x14ac:dyDescent="0.2">
      <c r="C353" s="336" t="s">
        <v>1091</v>
      </c>
      <c r="D353" s="336">
        <v>87</v>
      </c>
      <c r="E353" s="336" t="s">
        <v>957</v>
      </c>
      <c r="F353" s="440">
        <v>3.6589999999999998E-2</v>
      </c>
      <c r="G353" s="440">
        <v>3.6589999999999998E-2</v>
      </c>
      <c r="H353" s="440">
        <v>3.6589999999999998E-2</v>
      </c>
      <c r="I353" s="440">
        <v>3.6589999999999998E-2</v>
      </c>
      <c r="J353" s="440">
        <v>3.6589999999999998E-2</v>
      </c>
      <c r="K353" s="440">
        <v>3.6589999999999998E-2</v>
      </c>
      <c r="L353" s="440">
        <v>3.6589999999999998E-2</v>
      </c>
      <c r="M353" s="440">
        <v>3.6589999999999998E-2</v>
      </c>
      <c r="N353" s="440">
        <v>3.6589999999999998E-2</v>
      </c>
      <c r="O353" s="440">
        <v>3.6589999999999998E-2</v>
      </c>
      <c r="P353" s="440">
        <v>3.6589999999999998E-2</v>
      </c>
      <c r="Q353" s="440">
        <v>3.6589999999999998E-2</v>
      </c>
      <c r="R353" s="441"/>
      <c r="S353" s="335"/>
      <c r="T353" s="415"/>
    </row>
    <row r="354" spans="2:20" s="336" customFormat="1" x14ac:dyDescent="0.2">
      <c r="C354" s="336" t="s">
        <v>1092</v>
      </c>
      <c r="D354" s="336">
        <v>87</v>
      </c>
      <c r="E354" s="336" t="s">
        <v>957</v>
      </c>
      <c r="F354" s="440">
        <v>2.6950000000000002E-2</v>
      </c>
      <c r="G354" s="440">
        <v>2.6950000000000002E-2</v>
      </c>
      <c r="H354" s="440">
        <v>2.6950000000000002E-2</v>
      </c>
      <c r="I354" s="440">
        <v>2.6950000000000002E-2</v>
      </c>
      <c r="J354" s="440">
        <v>2.6950000000000002E-2</v>
      </c>
      <c r="K354" s="440">
        <v>2.6950000000000002E-2</v>
      </c>
      <c r="L354" s="440">
        <v>2.6950000000000002E-2</v>
      </c>
      <c r="M354" s="440">
        <v>2.6950000000000002E-2</v>
      </c>
      <c r="N354" s="440">
        <v>2.6950000000000002E-2</v>
      </c>
      <c r="O354" s="440">
        <v>2.6950000000000002E-2</v>
      </c>
      <c r="P354" s="440">
        <v>2.6950000000000002E-2</v>
      </c>
      <c r="Q354" s="440">
        <v>2.6950000000000002E-2</v>
      </c>
      <c r="R354" s="441"/>
      <c r="S354" s="335"/>
      <c r="T354" s="415"/>
    </row>
    <row r="355" spans="2:20" s="336" customFormat="1" x14ac:dyDescent="0.2">
      <c r="C355" s="336" t="s">
        <v>1093</v>
      </c>
      <c r="D355" s="336">
        <v>87</v>
      </c>
      <c r="E355" s="336" t="s">
        <v>957</v>
      </c>
      <c r="F355" s="440">
        <v>2.129E-2</v>
      </c>
      <c r="G355" s="440">
        <v>2.129E-2</v>
      </c>
      <c r="H355" s="440">
        <v>2.129E-2</v>
      </c>
      <c r="I355" s="440">
        <v>2.129E-2</v>
      </c>
      <c r="J355" s="440">
        <v>2.129E-2</v>
      </c>
      <c r="K355" s="440">
        <v>2.129E-2</v>
      </c>
      <c r="L355" s="440">
        <v>2.129E-2</v>
      </c>
      <c r="M355" s="440">
        <v>2.129E-2</v>
      </c>
      <c r="N355" s="440">
        <v>2.129E-2</v>
      </c>
      <c r="O355" s="440">
        <v>2.129E-2</v>
      </c>
      <c r="P355" s="440">
        <v>2.129E-2</v>
      </c>
      <c r="Q355" s="440">
        <v>2.129E-2</v>
      </c>
      <c r="R355" s="441"/>
      <c r="S355" s="335"/>
      <c r="T355" s="415"/>
    </row>
    <row r="356" spans="2:20" s="336" customFormat="1" x14ac:dyDescent="0.2">
      <c r="B356" s="415" t="s">
        <v>1067</v>
      </c>
      <c r="D356" s="336">
        <v>101</v>
      </c>
      <c r="E356" s="336" t="s">
        <v>957</v>
      </c>
      <c r="F356" s="496">
        <f>'JKP-3.1c - Rev Rates PGA Nov10'!F356</f>
        <v>0.65951000000000004</v>
      </c>
      <c r="G356" s="496">
        <f>'JKP-3.1c - Rev Rates PGA Nov10'!G356</f>
        <v>0.65951000000000004</v>
      </c>
      <c r="H356" s="496">
        <f>'JKP-3.1c - Rev Rates PGA Nov10'!H356</f>
        <v>0.65951000000000004</v>
      </c>
      <c r="I356" s="496">
        <f>'JKP-3.1c - Rev Rates PGA Nov10'!I356</f>
        <v>0.65951000000000004</v>
      </c>
      <c r="J356" s="496">
        <f>'JKP-3.1c - Rev Rates PGA Nov10'!J356</f>
        <v>0.65951000000000004</v>
      </c>
      <c r="K356" s="496">
        <f>'JKP-3.1c - Rev Rates PGA Nov10'!K356</f>
        <v>0.65951000000000004</v>
      </c>
      <c r="L356" s="496">
        <f>'JKP-3.1c - Rev Rates PGA Nov10'!L356</f>
        <v>0.65951000000000004</v>
      </c>
      <c r="M356" s="496">
        <f>'JKP-3.1c - Rev Rates PGA Nov10'!M356</f>
        <v>0.65951000000000004</v>
      </c>
      <c r="N356" s="496">
        <f>'JKP-3.1c - Rev Rates PGA Nov10'!N356</f>
        <v>0.65951000000000004</v>
      </c>
      <c r="O356" s="496">
        <f>'JKP-3.1c - Rev Rates PGA Nov10'!O356</f>
        <v>0.65951000000000004</v>
      </c>
      <c r="P356" s="496">
        <f>'JKP-3.1c - Rev Rates PGA Nov10'!P356</f>
        <v>0.65951000000000004</v>
      </c>
      <c r="Q356" s="496">
        <f>'JKP-3.1c - Rev Rates PGA Nov10'!Q356</f>
        <v>0.65951000000000004</v>
      </c>
      <c r="R356" s="441"/>
      <c r="S356" s="335"/>
      <c r="T356" s="415"/>
    </row>
    <row r="357" spans="2:20" s="336" customFormat="1" x14ac:dyDescent="0.2">
      <c r="B357" s="336" t="s">
        <v>1096</v>
      </c>
      <c r="D357" s="382">
        <v>87</v>
      </c>
      <c r="E357" s="336" t="s">
        <v>957</v>
      </c>
      <c r="F357" s="440">
        <v>5.1999999999999998E-3</v>
      </c>
      <c r="G357" s="440">
        <v>5.1999999999999998E-3</v>
      </c>
      <c r="H357" s="440">
        <v>5.1999999999999998E-3</v>
      </c>
      <c r="I357" s="440">
        <v>5.1999999999999998E-3</v>
      </c>
      <c r="J357" s="440">
        <v>5.1999999999999998E-3</v>
      </c>
      <c r="K357" s="440">
        <v>5.1999999999999998E-3</v>
      </c>
      <c r="L357" s="440">
        <v>5.1999999999999998E-3</v>
      </c>
      <c r="M357" s="440">
        <v>5.1999999999999998E-3</v>
      </c>
      <c r="N357" s="440">
        <v>5.1999999999999998E-3</v>
      </c>
      <c r="O357" s="440">
        <v>5.1999999999999998E-3</v>
      </c>
      <c r="P357" s="440">
        <v>5.1999999999999998E-3</v>
      </c>
      <c r="Q357" s="440">
        <v>5.1999999999999998E-3</v>
      </c>
      <c r="R357" s="441"/>
      <c r="S357" s="335"/>
      <c r="T357" s="415"/>
    </row>
    <row r="358" spans="2:20" s="336" customFormat="1" x14ac:dyDescent="0.2">
      <c r="B358" s="336" t="s">
        <v>1068</v>
      </c>
      <c r="F358" s="441"/>
      <c r="G358" s="441"/>
      <c r="H358" s="441"/>
      <c r="I358" s="441"/>
      <c r="J358" s="441"/>
      <c r="K358" s="441"/>
      <c r="L358" s="441"/>
      <c r="M358" s="441"/>
      <c r="N358" s="441"/>
      <c r="O358" s="441"/>
      <c r="P358" s="441"/>
      <c r="Q358" s="441"/>
      <c r="R358" s="441"/>
      <c r="S358" s="335"/>
      <c r="T358" s="415"/>
    </row>
    <row r="359" spans="2:20" s="336" customFormat="1" x14ac:dyDescent="0.2">
      <c r="C359" s="336" t="s">
        <v>1069</v>
      </c>
      <c r="D359" s="336">
        <v>87</v>
      </c>
      <c r="E359" s="336" t="s">
        <v>957</v>
      </c>
      <c r="F359" s="442">
        <v>1.1399999999999999</v>
      </c>
      <c r="G359" s="442">
        <v>1.1399999999999999</v>
      </c>
      <c r="H359" s="442">
        <v>1.1399999999999999</v>
      </c>
      <c r="I359" s="442">
        <v>1.1399999999999999</v>
      </c>
      <c r="J359" s="442">
        <v>1.1399999999999999</v>
      </c>
      <c r="K359" s="442">
        <v>1.1399999999999999</v>
      </c>
      <c r="L359" s="442">
        <v>1.1399999999999999</v>
      </c>
      <c r="M359" s="442">
        <v>1.1399999999999999</v>
      </c>
      <c r="N359" s="442">
        <v>1.1399999999999999</v>
      </c>
      <c r="O359" s="442">
        <v>1.1399999999999999</v>
      </c>
      <c r="P359" s="442">
        <v>1.1399999999999999</v>
      </c>
      <c r="Q359" s="442">
        <v>1.1399999999999999</v>
      </c>
      <c r="R359" s="441"/>
      <c r="S359" s="335"/>
      <c r="T359" s="415"/>
    </row>
    <row r="360" spans="2:20" s="336" customFormat="1" x14ac:dyDescent="0.2">
      <c r="C360" s="336" t="s">
        <v>1070</v>
      </c>
      <c r="D360" s="336">
        <v>101</v>
      </c>
      <c r="E360" s="336" t="s">
        <v>957</v>
      </c>
      <c r="F360" s="442">
        <v>1.05</v>
      </c>
      <c r="G360" s="442">
        <v>1.05</v>
      </c>
      <c r="H360" s="442">
        <v>1.05</v>
      </c>
      <c r="I360" s="442">
        <v>1.05</v>
      </c>
      <c r="J360" s="442">
        <v>1.05</v>
      </c>
      <c r="K360" s="442">
        <v>1.05</v>
      </c>
      <c r="L360" s="442">
        <v>1.05</v>
      </c>
      <c r="M360" s="442">
        <v>1.05</v>
      </c>
      <c r="N360" s="442">
        <v>1.05</v>
      </c>
      <c r="O360" s="442">
        <v>1.05</v>
      </c>
      <c r="P360" s="442">
        <v>1.05</v>
      </c>
      <c r="Q360" s="442">
        <v>1.05</v>
      </c>
      <c r="R360" s="441"/>
      <c r="S360" s="335"/>
      <c r="T360" s="415"/>
    </row>
    <row r="361" spans="2:20" s="336" customFormat="1" x14ac:dyDescent="0.2">
      <c r="B361" s="336" t="s">
        <v>1071</v>
      </c>
      <c r="D361" s="336">
        <v>87</v>
      </c>
      <c r="E361" s="336" t="s">
        <v>67</v>
      </c>
      <c r="F361" s="450"/>
      <c r="G361" s="450"/>
      <c r="H361" s="442"/>
      <c r="I361" s="450"/>
      <c r="J361" s="450"/>
      <c r="K361" s="450"/>
      <c r="L361" s="450"/>
      <c r="M361" s="450"/>
      <c r="N361" s="450"/>
      <c r="O361" s="450"/>
      <c r="P361" s="450"/>
      <c r="Q361" s="450"/>
      <c r="R361" s="441"/>
      <c r="S361" s="335"/>
      <c r="T361" s="415"/>
    </row>
    <row r="362" spans="2:20" s="336" customFormat="1" x14ac:dyDescent="0.2">
      <c r="B362" s="336" t="s">
        <v>1050</v>
      </c>
      <c r="F362" s="496">
        <f>'JKP-3.1c - Rev Rates PGA Nov10'!F362</f>
        <v>0.63099000000000005</v>
      </c>
      <c r="G362" s="496">
        <f>'JKP-3.1c - Rev Rates PGA Nov10'!G362</f>
        <v>0.63099000000000005</v>
      </c>
      <c r="H362" s="496">
        <f>'JKP-3.1c - Rev Rates PGA Nov10'!H362</f>
        <v>0.63099000000000005</v>
      </c>
      <c r="I362" s="496">
        <f>'JKP-3.1c - Rev Rates PGA Nov10'!I362</f>
        <v>0.63099000000000005</v>
      </c>
      <c r="J362" s="496">
        <f>'JKP-3.1c - Rev Rates PGA Nov10'!J362</f>
        <v>0.63099000000000005</v>
      </c>
      <c r="K362" s="496">
        <f>'JKP-3.1c - Rev Rates PGA Nov10'!K362</f>
        <v>0.63099000000000005</v>
      </c>
      <c r="L362" s="496">
        <f>'JKP-3.1c - Rev Rates PGA Nov10'!L362</f>
        <v>0.63099000000000005</v>
      </c>
      <c r="M362" s="496">
        <f>'JKP-3.1c - Rev Rates PGA Nov10'!M362</f>
        <v>0.63099000000000005</v>
      </c>
      <c r="N362" s="496">
        <f>'JKP-3.1c - Rev Rates PGA Nov10'!N362</f>
        <v>0.63099000000000005</v>
      </c>
      <c r="O362" s="496">
        <f>'JKP-3.1c - Rev Rates PGA Nov10'!O362</f>
        <v>0.63099000000000005</v>
      </c>
      <c r="P362" s="496">
        <f>'JKP-3.1c - Rev Rates PGA Nov10'!P362</f>
        <v>0.63099000000000005</v>
      </c>
      <c r="Q362" s="496">
        <f>'JKP-3.1c - Rev Rates PGA Nov10'!Q362</f>
        <v>0.63099000000000005</v>
      </c>
      <c r="R362" s="441"/>
      <c r="S362" s="335"/>
      <c r="T362" s="415"/>
    </row>
    <row r="363" spans="2:20" s="336" customFormat="1" x14ac:dyDescent="0.2">
      <c r="B363" s="336" t="s">
        <v>1072</v>
      </c>
      <c r="F363" s="442">
        <v>1</v>
      </c>
      <c r="G363" s="442">
        <v>1</v>
      </c>
      <c r="H363" s="442">
        <v>1</v>
      </c>
      <c r="I363" s="442">
        <v>1</v>
      </c>
      <c r="J363" s="442">
        <v>1</v>
      </c>
      <c r="K363" s="442">
        <v>1</v>
      </c>
      <c r="L363" s="442">
        <v>1</v>
      </c>
      <c r="M363" s="442">
        <v>1</v>
      </c>
      <c r="N363" s="442">
        <v>1</v>
      </c>
      <c r="O363" s="442">
        <v>1</v>
      </c>
      <c r="P363" s="442">
        <v>1</v>
      </c>
      <c r="Q363" s="442">
        <v>1</v>
      </c>
      <c r="R363" s="441"/>
      <c r="S363" s="335"/>
      <c r="T363" s="415"/>
    </row>
    <row r="364" spans="2:20" s="336" customFormat="1" x14ac:dyDescent="0.2">
      <c r="S364" s="335"/>
      <c r="T364" s="415"/>
    </row>
    <row r="365" spans="2:20" x14ac:dyDescent="0.2">
      <c r="B365" s="276" t="s">
        <v>982</v>
      </c>
    </row>
    <row r="366" spans="2:20" x14ac:dyDescent="0.2">
      <c r="B366" s="32" t="s">
        <v>67</v>
      </c>
      <c r="E366" s="32" t="s">
        <v>67</v>
      </c>
      <c r="F366" s="397">
        <f>'JKP-3.1c - Data'!C153</f>
        <v>8</v>
      </c>
      <c r="G366" s="397">
        <f>'JKP-3.1c - Data'!D153</f>
        <v>8</v>
      </c>
      <c r="H366" s="397">
        <f>'JKP-3.1c - Data'!E153</f>
        <v>8</v>
      </c>
      <c r="I366" s="397">
        <f>'JKP-3.1c - Data'!F153</f>
        <v>8</v>
      </c>
      <c r="J366" s="397">
        <f>'JKP-3.1c - Data'!G153</f>
        <v>8</v>
      </c>
      <c r="K366" s="397">
        <f>'JKP-3.1c - Data'!H153</f>
        <v>8</v>
      </c>
      <c r="L366" s="397">
        <f>'JKP-3.1c - Data'!I153</f>
        <v>8</v>
      </c>
      <c r="M366" s="397">
        <f>'JKP-3.1c - Data'!J153</f>
        <v>8</v>
      </c>
      <c r="N366" s="397">
        <f>'JKP-3.1c - Data'!K153</f>
        <v>8</v>
      </c>
      <c r="O366" s="397">
        <f>'JKP-3.1c - Data'!L153</f>
        <v>8</v>
      </c>
      <c r="P366" s="397">
        <f>'JKP-3.1c - Data'!M153</f>
        <v>8</v>
      </c>
      <c r="Q366" s="397">
        <f>'JKP-3.1c - Data'!N153</f>
        <v>8</v>
      </c>
      <c r="R366" s="378">
        <f>SUM(F366:Q366)</f>
        <v>96</v>
      </c>
    </row>
    <row r="367" spans="2:20" s="336" customFormat="1" x14ac:dyDescent="0.2">
      <c r="B367" s="336" t="s">
        <v>76</v>
      </c>
      <c r="F367" s="380"/>
      <c r="G367" s="380"/>
      <c r="H367" s="380"/>
      <c r="I367" s="380"/>
      <c r="J367" s="380"/>
      <c r="K367" s="380"/>
      <c r="L367" s="380"/>
      <c r="M367" s="380"/>
      <c r="N367" s="380"/>
      <c r="O367" s="380"/>
      <c r="P367" s="380"/>
      <c r="Q367" s="380"/>
      <c r="R367" s="378"/>
      <c r="S367" s="335"/>
      <c r="T367" s="415"/>
    </row>
    <row r="368" spans="2:20" s="336" customFormat="1" x14ac:dyDescent="0.2">
      <c r="C368" s="336" t="s">
        <v>1086</v>
      </c>
      <c r="E368" s="336" t="s">
        <v>10</v>
      </c>
      <c r="F368" s="421">
        <f>'JKP-3.1c - Rev Actual Rates'!F379</f>
        <v>200000</v>
      </c>
      <c r="G368" s="421">
        <f>'JKP-3.1c - Rev Actual Rates'!G379</f>
        <v>200000</v>
      </c>
      <c r="H368" s="421">
        <f>'JKP-3.1c - Rev Actual Rates'!H379</f>
        <v>200000</v>
      </c>
      <c r="I368" s="421">
        <f>'JKP-3.1c - Rev Actual Rates'!I379</f>
        <v>200000</v>
      </c>
      <c r="J368" s="421">
        <f>'JKP-3.1c - Rev Actual Rates'!J379</f>
        <v>200000</v>
      </c>
      <c r="K368" s="421">
        <f>'JKP-3.1c - Rev Actual Rates'!K379</f>
        <v>200000</v>
      </c>
      <c r="L368" s="421">
        <f>'JKP-3.1c - Rev Actual Rates'!L379</f>
        <v>200000</v>
      </c>
      <c r="M368" s="421">
        <f>'JKP-3.1c - Rev Actual Rates'!M379</f>
        <v>200000</v>
      </c>
      <c r="N368" s="421">
        <f>'JKP-3.1c - Rev Actual Rates'!N379</f>
        <v>200000</v>
      </c>
      <c r="O368" s="421">
        <f>'JKP-3.1c - Rev Actual Rates'!O379</f>
        <v>200000</v>
      </c>
      <c r="P368" s="421">
        <f>'JKP-3.1c - Rev Actual Rates'!P379</f>
        <v>200000</v>
      </c>
      <c r="Q368" s="421">
        <f>'JKP-3.1c - Rev Actual Rates'!Q379</f>
        <v>200000</v>
      </c>
      <c r="R368" s="378">
        <f t="shared" ref="R368:R373" si="82">SUM(F368:Q368)</f>
        <v>2400000</v>
      </c>
      <c r="S368" s="335"/>
      <c r="T368" s="415"/>
    </row>
    <row r="369" spans="1:20" s="336" customFormat="1" x14ac:dyDescent="0.2">
      <c r="C369" s="336" t="s">
        <v>1087</v>
      </c>
      <c r="E369" s="336" t="s">
        <v>10</v>
      </c>
      <c r="F369" s="421">
        <f>'JKP-3.1c - Rev Actual Rates'!F380</f>
        <v>200000</v>
      </c>
      <c r="G369" s="421">
        <f>'JKP-3.1c - Rev Actual Rates'!G380</f>
        <v>200000</v>
      </c>
      <c r="H369" s="421">
        <f>'JKP-3.1c - Rev Actual Rates'!H380</f>
        <v>200000</v>
      </c>
      <c r="I369" s="421">
        <f>'JKP-3.1c - Rev Actual Rates'!I380</f>
        <v>200000</v>
      </c>
      <c r="J369" s="421">
        <f>'JKP-3.1c - Rev Actual Rates'!J380</f>
        <v>200000</v>
      </c>
      <c r="K369" s="421">
        <f>'JKP-3.1c - Rev Actual Rates'!K380</f>
        <v>195699</v>
      </c>
      <c r="L369" s="421">
        <f>'JKP-3.1c - Rev Actual Rates'!L380</f>
        <v>186566</v>
      </c>
      <c r="M369" s="421">
        <f>'JKP-3.1c - Rev Actual Rates'!M380</f>
        <v>184560</v>
      </c>
      <c r="N369" s="421">
        <f>'JKP-3.1c - Rev Actual Rates'!N380</f>
        <v>191740</v>
      </c>
      <c r="O369" s="421">
        <f>'JKP-3.1c - Rev Actual Rates'!O380</f>
        <v>200000</v>
      </c>
      <c r="P369" s="421">
        <f>'JKP-3.1c - Rev Actual Rates'!P380</f>
        <v>200000</v>
      </c>
      <c r="Q369" s="421">
        <f>'JKP-3.1c - Rev Actual Rates'!Q380</f>
        <v>200000</v>
      </c>
      <c r="R369" s="378">
        <f t="shared" si="82"/>
        <v>2358565</v>
      </c>
      <c r="S369" s="335"/>
      <c r="T369" s="415"/>
    </row>
    <row r="370" spans="1:20" s="336" customFormat="1" x14ac:dyDescent="0.2">
      <c r="C370" s="336" t="s">
        <v>1090</v>
      </c>
      <c r="E370" s="336" t="s">
        <v>10</v>
      </c>
      <c r="F370" s="421">
        <f>'JKP-3.1c - Rev Actual Rates'!F381</f>
        <v>400000</v>
      </c>
      <c r="G370" s="421">
        <f>'JKP-3.1c - Rev Actual Rates'!G381</f>
        <v>374635</v>
      </c>
      <c r="H370" s="421">
        <f>'JKP-3.1c - Rev Actual Rates'!H381</f>
        <v>392434</v>
      </c>
      <c r="I370" s="421">
        <f>'JKP-3.1c - Rev Actual Rates'!I381</f>
        <v>373808</v>
      </c>
      <c r="J370" s="421">
        <f>'JKP-3.1c - Rev Actual Rates'!J381</f>
        <v>339785</v>
      </c>
      <c r="K370" s="421">
        <f>'JKP-3.1c - Rev Actual Rates'!K381</f>
        <v>310346</v>
      </c>
      <c r="L370" s="421">
        <f>'JKP-3.1c - Rev Actual Rates'!L381</f>
        <v>286477</v>
      </c>
      <c r="M370" s="421">
        <f>'JKP-3.1c - Rev Actual Rates'!M381</f>
        <v>268194</v>
      </c>
      <c r="N370" s="421">
        <f>'JKP-3.1c - Rev Actual Rates'!N381</f>
        <v>291399</v>
      </c>
      <c r="O370" s="421">
        <f>'JKP-3.1c - Rev Actual Rates'!O381</f>
        <v>340058</v>
      </c>
      <c r="P370" s="421">
        <f>'JKP-3.1c - Rev Actual Rates'!P381</f>
        <v>390038</v>
      </c>
      <c r="Q370" s="421">
        <f>'JKP-3.1c - Rev Actual Rates'!Q381</f>
        <v>385191</v>
      </c>
      <c r="R370" s="378">
        <f t="shared" si="82"/>
        <v>4152365</v>
      </c>
      <c r="S370" s="335"/>
      <c r="T370" s="415"/>
    </row>
    <row r="371" spans="1:20" s="336" customFormat="1" x14ac:dyDescent="0.2">
      <c r="C371" s="336" t="s">
        <v>1091</v>
      </c>
      <c r="E371" s="336" t="s">
        <v>10</v>
      </c>
      <c r="F371" s="421">
        <f>'JKP-3.1c - Rev Actual Rates'!F382</f>
        <v>602411</v>
      </c>
      <c r="G371" s="421">
        <f>'JKP-3.1c - Rev Actual Rates'!G382</f>
        <v>518545</v>
      </c>
      <c r="H371" s="421">
        <f>'JKP-3.1c - Rev Actual Rates'!H382</f>
        <v>546752</v>
      </c>
      <c r="I371" s="421">
        <f>'JKP-3.1c - Rev Actual Rates'!I382</f>
        <v>493433</v>
      </c>
      <c r="J371" s="421">
        <f>'JKP-3.1c - Rev Actual Rates'!J382</f>
        <v>443750</v>
      </c>
      <c r="K371" s="421">
        <f>'JKP-3.1c - Rev Actual Rates'!K382</f>
        <v>333966</v>
      </c>
      <c r="L371" s="421">
        <f>'JKP-3.1c - Rev Actual Rates'!L382</f>
        <v>253590</v>
      </c>
      <c r="M371" s="421">
        <f>'JKP-3.1c - Rev Actual Rates'!M382</f>
        <v>224223</v>
      </c>
      <c r="N371" s="421">
        <f>'JKP-3.1c - Rev Actual Rates'!N382</f>
        <v>241817</v>
      </c>
      <c r="O371" s="421">
        <f>'JKP-3.1c - Rev Actual Rates'!O382</f>
        <v>455596</v>
      </c>
      <c r="P371" s="421">
        <f>'JKP-3.1c - Rev Actual Rates'!P382</f>
        <v>566933</v>
      </c>
      <c r="Q371" s="421">
        <f>'JKP-3.1c - Rev Actual Rates'!Q382</f>
        <v>615230</v>
      </c>
      <c r="R371" s="378">
        <f t="shared" si="82"/>
        <v>5296246</v>
      </c>
      <c r="S371" s="335"/>
      <c r="T371" s="415"/>
    </row>
    <row r="372" spans="1:20" s="336" customFormat="1" x14ac:dyDescent="0.2">
      <c r="C372" s="336" t="s">
        <v>1092</v>
      </c>
      <c r="E372" s="336" t="s">
        <v>10</v>
      </c>
      <c r="F372" s="421">
        <f>'JKP-3.1c - Rev Actual Rates'!F383</f>
        <v>492049</v>
      </c>
      <c r="G372" s="421">
        <f>'JKP-3.1c - Rev Actual Rates'!G383</f>
        <v>410145</v>
      </c>
      <c r="H372" s="421">
        <f>'JKP-3.1c - Rev Actual Rates'!H383</f>
        <v>431231</v>
      </c>
      <c r="I372" s="421">
        <f>'JKP-3.1c - Rev Actual Rates'!I383</f>
        <v>374849</v>
      </c>
      <c r="J372" s="421">
        <f>'JKP-3.1c - Rev Actual Rates'!J383</f>
        <v>327086</v>
      </c>
      <c r="K372" s="421">
        <f>'JKP-3.1c - Rev Actual Rates'!K383</f>
        <v>300000</v>
      </c>
      <c r="L372" s="421">
        <f>'JKP-3.1c - Rev Actual Rates'!L383</f>
        <v>300000</v>
      </c>
      <c r="M372" s="421">
        <f>'JKP-3.1c - Rev Actual Rates'!M383</f>
        <v>300000</v>
      </c>
      <c r="N372" s="421">
        <f>'JKP-3.1c - Rev Actual Rates'!N383</f>
        <v>300000</v>
      </c>
      <c r="O372" s="421">
        <f>'JKP-3.1c - Rev Actual Rates'!O383</f>
        <v>310252</v>
      </c>
      <c r="P372" s="421">
        <f>'JKP-3.1c - Rev Actual Rates'!P383</f>
        <v>485655</v>
      </c>
      <c r="Q372" s="421">
        <f>'JKP-3.1c - Rev Actual Rates'!Q383</f>
        <v>573924</v>
      </c>
      <c r="R372" s="378">
        <f t="shared" si="82"/>
        <v>4605191</v>
      </c>
      <c r="S372" s="335"/>
      <c r="T372" s="415"/>
    </row>
    <row r="373" spans="1:20" s="336" customFormat="1" x14ac:dyDescent="0.2">
      <c r="C373" s="336" t="s">
        <v>1093</v>
      </c>
      <c r="E373" s="336" t="s">
        <v>10</v>
      </c>
      <c r="F373" s="421">
        <f>'JKP-3.1c - Rev Actual Rates'!F384</f>
        <v>1097684</v>
      </c>
      <c r="G373" s="421">
        <f>'JKP-3.1c - Rev Actual Rates'!G384</f>
        <v>933206</v>
      </c>
      <c r="H373" s="421">
        <f>'JKP-3.1c - Rev Actual Rates'!H384</f>
        <v>999161</v>
      </c>
      <c r="I373" s="421">
        <f>'JKP-3.1c - Rev Actual Rates'!I384</f>
        <v>837145</v>
      </c>
      <c r="J373" s="421">
        <f>'JKP-3.1c - Rev Actual Rates'!J384</f>
        <v>745732</v>
      </c>
      <c r="K373" s="421">
        <f>'JKP-3.1c - Rev Actual Rates'!K384</f>
        <v>532592</v>
      </c>
      <c r="L373" s="421">
        <f>'JKP-3.1c - Rev Actual Rates'!L384</f>
        <v>338959</v>
      </c>
      <c r="M373" s="421">
        <f>'JKP-3.1c - Rev Actual Rates'!M384</f>
        <v>246873</v>
      </c>
      <c r="N373" s="421">
        <f>'JKP-3.1c - Rev Actual Rates'!N384</f>
        <v>304576</v>
      </c>
      <c r="O373" s="421">
        <f>'JKP-3.1c - Rev Actual Rates'!O384</f>
        <v>636811</v>
      </c>
      <c r="P373" s="421">
        <f>'JKP-3.1c - Rev Actual Rates'!P384</f>
        <v>964890</v>
      </c>
      <c r="Q373" s="421">
        <f>'JKP-3.1c - Rev Actual Rates'!Q384</f>
        <v>1281536</v>
      </c>
      <c r="R373" s="378">
        <f t="shared" si="82"/>
        <v>8919165</v>
      </c>
      <c r="S373" s="335"/>
      <c r="T373" s="415"/>
    </row>
    <row r="374" spans="1:20" s="336" customFormat="1" x14ac:dyDescent="0.2">
      <c r="C374" s="336" t="s">
        <v>1075</v>
      </c>
      <c r="E374" s="336" t="s">
        <v>10</v>
      </c>
      <c r="F374" s="436">
        <f t="shared" ref="F374:R374" si="83">SUM(F368:F373)</f>
        <v>2992144</v>
      </c>
      <c r="G374" s="436">
        <f t="shared" si="83"/>
        <v>2636531</v>
      </c>
      <c r="H374" s="436">
        <f t="shared" si="83"/>
        <v>2769578</v>
      </c>
      <c r="I374" s="436">
        <f t="shared" si="83"/>
        <v>2479235</v>
      </c>
      <c r="J374" s="436">
        <f t="shared" si="83"/>
        <v>2256353</v>
      </c>
      <c r="K374" s="436">
        <f t="shared" si="83"/>
        <v>1872603</v>
      </c>
      <c r="L374" s="436">
        <f t="shared" si="83"/>
        <v>1565592</v>
      </c>
      <c r="M374" s="436">
        <f t="shared" si="83"/>
        <v>1423850</v>
      </c>
      <c r="N374" s="436">
        <f t="shared" si="83"/>
        <v>1529532</v>
      </c>
      <c r="O374" s="436">
        <f t="shared" si="83"/>
        <v>2142717</v>
      </c>
      <c r="P374" s="436">
        <f t="shared" si="83"/>
        <v>2807516</v>
      </c>
      <c r="Q374" s="436">
        <f t="shared" si="83"/>
        <v>3255881</v>
      </c>
      <c r="R374" s="436">
        <f t="shared" si="83"/>
        <v>27731532</v>
      </c>
      <c r="S374" s="335"/>
      <c r="T374" s="415"/>
    </row>
    <row r="375" spans="1:20" s="336" customFormat="1" x14ac:dyDescent="0.2">
      <c r="B375" s="336" t="s">
        <v>74</v>
      </c>
      <c r="E375" s="336" t="s">
        <v>1076</v>
      </c>
      <c r="F375" s="421">
        <f>'JKP-3.1c - Rev Actual Rates'!F386</f>
        <v>532</v>
      </c>
      <c r="G375" s="421">
        <f>'JKP-3.1c - Rev Actual Rates'!G386</f>
        <v>532</v>
      </c>
      <c r="H375" s="421">
        <f>'JKP-3.1c - Rev Actual Rates'!H386</f>
        <v>532</v>
      </c>
      <c r="I375" s="421">
        <f>'JKP-3.1c - Rev Actual Rates'!I386</f>
        <v>532</v>
      </c>
      <c r="J375" s="421">
        <f>'JKP-3.1c - Rev Actual Rates'!J386</f>
        <v>532</v>
      </c>
      <c r="K375" s="421">
        <f>'JKP-3.1c - Rev Actual Rates'!K386</f>
        <v>532</v>
      </c>
      <c r="L375" s="421">
        <f>'JKP-3.1c - Rev Actual Rates'!L386</f>
        <v>532</v>
      </c>
      <c r="M375" s="421">
        <f>'JKP-3.1c - Rev Actual Rates'!M386</f>
        <v>532</v>
      </c>
      <c r="N375" s="421">
        <f>'JKP-3.1c - Rev Actual Rates'!N386</f>
        <v>532</v>
      </c>
      <c r="O375" s="421">
        <f>'JKP-3.1c - Rev Actual Rates'!O386</f>
        <v>532</v>
      </c>
      <c r="P375" s="421">
        <f>'JKP-3.1c - Rev Actual Rates'!P386</f>
        <v>532</v>
      </c>
      <c r="Q375" s="421">
        <f>'JKP-3.1c - Rev Actual Rates'!Q386</f>
        <v>532</v>
      </c>
      <c r="R375" s="378">
        <f>SUM(F375:Q375)</f>
        <v>6384</v>
      </c>
      <c r="S375" s="335"/>
      <c r="T375" s="415"/>
    </row>
    <row r="376" spans="1:20" s="336" customFormat="1" x14ac:dyDescent="0.2">
      <c r="B376" s="336" t="s">
        <v>1071</v>
      </c>
      <c r="F376" s="380"/>
      <c r="G376" s="380"/>
      <c r="H376" s="380"/>
      <c r="I376" s="380"/>
      <c r="J376" s="380"/>
      <c r="K376" s="380"/>
      <c r="L376" s="380"/>
      <c r="M376" s="380"/>
      <c r="N376" s="380"/>
      <c r="O376" s="380"/>
      <c r="P376" s="380"/>
      <c r="Q376" s="380"/>
      <c r="R376" s="378"/>
      <c r="S376" s="335"/>
      <c r="T376" s="415"/>
    </row>
    <row r="377" spans="1:20" s="336" customFormat="1" x14ac:dyDescent="0.2">
      <c r="R377" s="179"/>
      <c r="S377" s="335"/>
      <c r="T377" s="415"/>
    </row>
    <row r="378" spans="1:20" s="336" customFormat="1" x14ac:dyDescent="0.2">
      <c r="B378" s="182" t="s">
        <v>985</v>
      </c>
      <c r="R378" s="179"/>
      <c r="S378" s="335"/>
      <c r="T378" s="415"/>
    </row>
    <row r="379" spans="1:20" s="336" customFormat="1" x14ac:dyDescent="0.2">
      <c r="A379" s="336" t="s">
        <v>1054</v>
      </c>
      <c r="B379" s="336" t="s">
        <v>1059</v>
      </c>
      <c r="D379" s="336">
        <v>87</v>
      </c>
      <c r="F379" s="418">
        <f t="shared" ref="F379:Q379" si="84">F348*F366</f>
        <v>4467.3599999999997</v>
      </c>
      <c r="G379" s="418">
        <f t="shared" si="84"/>
        <v>4467.3599999999997</v>
      </c>
      <c r="H379" s="418">
        <f t="shared" si="84"/>
        <v>4467.3599999999997</v>
      </c>
      <c r="I379" s="418">
        <f t="shared" si="84"/>
        <v>4467.3599999999997</v>
      </c>
      <c r="J379" s="418">
        <f t="shared" si="84"/>
        <v>4467.3599999999997</v>
      </c>
      <c r="K379" s="418">
        <f t="shared" si="84"/>
        <v>4467.3599999999997</v>
      </c>
      <c r="L379" s="418">
        <f t="shared" si="84"/>
        <v>4467.3599999999997</v>
      </c>
      <c r="M379" s="418">
        <f t="shared" si="84"/>
        <v>4467.3599999999997</v>
      </c>
      <c r="N379" s="418">
        <f t="shared" si="84"/>
        <v>4467.3599999999997</v>
      </c>
      <c r="O379" s="418">
        <f t="shared" si="84"/>
        <v>4467.3599999999997</v>
      </c>
      <c r="P379" s="418">
        <f t="shared" si="84"/>
        <v>4467.3599999999997</v>
      </c>
      <c r="Q379" s="418">
        <f t="shared" si="84"/>
        <v>4467.3599999999997</v>
      </c>
      <c r="R379" s="437">
        <f>SUM(F379:Q379)</f>
        <v>53608.32</v>
      </c>
      <c r="S379" s="335"/>
      <c r="T379" s="415"/>
    </row>
    <row r="380" spans="1:20" s="336" customFormat="1" x14ac:dyDescent="0.2">
      <c r="B380" s="336" t="s">
        <v>1047</v>
      </c>
      <c r="F380" s="418"/>
      <c r="G380" s="418"/>
      <c r="H380" s="418"/>
      <c r="I380" s="418"/>
      <c r="J380" s="418"/>
      <c r="K380" s="418"/>
      <c r="L380" s="418"/>
      <c r="M380" s="418"/>
      <c r="N380" s="418"/>
      <c r="O380" s="418"/>
      <c r="P380" s="418"/>
      <c r="Q380" s="418"/>
      <c r="R380" s="437"/>
      <c r="S380" s="335"/>
      <c r="T380" s="415"/>
    </row>
    <row r="381" spans="1:20" s="336" customFormat="1" x14ac:dyDescent="0.2">
      <c r="C381" s="336" t="s">
        <v>1086</v>
      </c>
      <c r="D381" s="336">
        <v>87</v>
      </c>
      <c r="F381" s="418">
        <f t="shared" ref="F381:Q386" si="85">F350*F368</f>
        <v>28316.000000000004</v>
      </c>
      <c r="G381" s="418">
        <f t="shared" si="85"/>
        <v>28316.000000000004</v>
      </c>
      <c r="H381" s="418">
        <f t="shared" si="85"/>
        <v>28316.000000000004</v>
      </c>
      <c r="I381" s="418">
        <f t="shared" si="85"/>
        <v>28316.000000000004</v>
      </c>
      <c r="J381" s="418">
        <f t="shared" si="85"/>
        <v>28316.000000000004</v>
      </c>
      <c r="K381" s="418">
        <f t="shared" si="85"/>
        <v>28316.000000000004</v>
      </c>
      <c r="L381" s="418">
        <f t="shared" si="85"/>
        <v>28316.000000000004</v>
      </c>
      <c r="M381" s="418">
        <f t="shared" si="85"/>
        <v>28316.000000000004</v>
      </c>
      <c r="N381" s="418">
        <f t="shared" si="85"/>
        <v>28316.000000000004</v>
      </c>
      <c r="O381" s="418">
        <f t="shared" si="85"/>
        <v>28316.000000000004</v>
      </c>
      <c r="P381" s="418">
        <f t="shared" si="85"/>
        <v>28316.000000000004</v>
      </c>
      <c r="Q381" s="418">
        <f t="shared" si="85"/>
        <v>28316.000000000004</v>
      </c>
      <c r="R381" s="437">
        <f t="shared" ref="R381:R386" si="86">SUM(F381:Q381)</f>
        <v>339792.00000000006</v>
      </c>
      <c r="S381" s="335"/>
      <c r="T381" s="415"/>
    </row>
    <row r="382" spans="1:20" s="336" customFormat="1" x14ac:dyDescent="0.2">
      <c r="C382" s="336" t="s">
        <v>1087</v>
      </c>
      <c r="D382" s="336">
        <v>87</v>
      </c>
      <c r="F382" s="418">
        <f t="shared" si="85"/>
        <v>17288</v>
      </c>
      <c r="G382" s="418">
        <f t="shared" si="85"/>
        <v>17288</v>
      </c>
      <c r="H382" s="418">
        <f t="shared" si="85"/>
        <v>17288</v>
      </c>
      <c r="I382" s="418">
        <f t="shared" si="85"/>
        <v>17288</v>
      </c>
      <c r="J382" s="418">
        <f t="shared" si="85"/>
        <v>17288</v>
      </c>
      <c r="K382" s="418">
        <f t="shared" si="85"/>
        <v>16916.221560000002</v>
      </c>
      <c r="L382" s="418">
        <f t="shared" si="85"/>
        <v>16126.76504</v>
      </c>
      <c r="M382" s="418">
        <f t="shared" si="85"/>
        <v>15953.366400000001</v>
      </c>
      <c r="N382" s="418">
        <f t="shared" si="85"/>
        <v>16574.0056</v>
      </c>
      <c r="O382" s="418">
        <f t="shared" si="85"/>
        <v>17288</v>
      </c>
      <c r="P382" s="418">
        <f t="shared" si="85"/>
        <v>17288</v>
      </c>
      <c r="Q382" s="418">
        <f t="shared" si="85"/>
        <v>17288</v>
      </c>
      <c r="R382" s="437">
        <f t="shared" si="86"/>
        <v>203874.35860000001</v>
      </c>
      <c r="S382" s="335"/>
      <c r="T382" s="415"/>
    </row>
    <row r="383" spans="1:20" s="336" customFormat="1" x14ac:dyDescent="0.2">
      <c r="C383" s="336" t="s">
        <v>1090</v>
      </c>
      <c r="D383" s="336">
        <v>87</v>
      </c>
      <c r="F383" s="418">
        <f t="shared" si="85"/>
        <v>22324</v>
      </c>
      <c r="G383" s="418">
        <f t="shared" si="85"/>
        <v>20908.379349999999</v>
      </c>
      <c r="H383" s="418">
        <f t="shared" si="85"/>
        <v>21901.741539999999</v>
      </c>
      <c r="I383" s="418">
        <f t="shared" si="85"/>
        <v>20862.224480000001</v>
      </c>
      <c r="J383" s="418">
        <f t="shared" si="85"/>
        <v>18963.400849999998</v>
      </c>
      <c r="K383" s="418">
        <f t="shared" si="85"/>
        <v>17320.410260000001</v>
      </c>
      <c r="L383" s="418">
        <f t="shared" si="85"/>
        <v>15988.281369999999</v>
      </c>
      <c r="M383" s="418">
        <f t="shared" si="85"/>
        <v>14967.907139999999</v>
      </c>
      <c r="N383" s="418">
        <f t="shared" si="85"/>
        <v>16262.97819</v>
      </c>
      <c r="O383" s="418">
        <f t="shared" si="85"/>
        <v>18978.636979999999</v>
      </c>
      <c r="P383" s="418">
        <f t="shared" si="85"/>
        <v>21768.020779999999</v>
      </c>
      <c r="Q383" s="418">
        <f t="shared" si="85"/>
        <v>21497.509709999998</v>
      </c>
      <c r="R383" s="437">
        <f t="shared" si="86"/>
        <v>231743.49064999999</v>
      </c>
      <c r="S383" s="335"/>
      <c r="T383" s="415"/>
    </row>
    <row r="384" spans="1:20" x14ac:dyDescent="0.2">
      <c r="C384" s="32" t="s">
        <v>1091</v>
      </c>
      <c r="D384" s="32">
        <v>87</v>
      </c>
      <c r="F384" s="364">
        <f t="shared" si="85"/>
        <v>22042.218489999999</v>
      </c>
      <c r="G384" s="364">
        <f t="shared" si="85"/>
        <v>18973.561549999999</v>
      </c>
      <c r="H384" s="364">
        <f t="shared" si="85"/>
        <v>20005.65568</v>
      </c>
      <c r="I384" s="364">
        <f t="shared" si="85"/>
        <v>18054.713469999999</v>
      </c>
      <c r="J384" s="364">
        <f t="shared" si="85"/>
        <v>16236.812499999998</v>
      </c>
      <c r="K384" s="364">
        <f t="shared" si="85"/>
        <v>12219.815939999999</v>
      </c>
      <c r="L384" s="364">
        <f t="shared" si="85"/>
        <v>9278.8580999999995</v>
      </c>
      <c r="M384" s="364">
        <f t="shared" si="85"/>
        <v>8204.3195699999997</v>
      </c>
      <c r="N384" s="364">
        <f t="shared" si="85"/>
        <v>8848.08403</v>
      </c>
      <c r="O384" s="364">
        <f t="shared" si="85"/>
        <v>16670.25764</v>
      </c>
      <c r="P384" s="364">
        <f t="shared" si="85"/>
        <v>20744.07847</v>
      </c>
      <c r="Q384" s="364">
        <f t="shared" si="85"/>
        <v>22511.2657</v>
      </c>
      <c r="R384" s="341">
        <f t="shared" si="86"/>
        <v>193789.64113999999</v>
      </c>
    </row>
    <row r="385" spans="1:20" x14ac:dyDescent="0.2">
      <c r="C385" s="32" t="s">
        <v>1092</v>
      </c>
      <c r="D385" s="32">
        <v>87</v>
      </c>
      <c r="F385" s="364">
        <f t="shared" si="85"/>
        <v>13260.72055</v>
      </c>
      <c r="G385" s="364">
        <f t="shared" si="85"/>
        <v>11053.40775</v>
      </c>
      <c r="H385" s="364">
        <f t="shared" si="85"/>
        <v>11621.675450000001</v>
      </c>
      <c r="I385" s="364">
        <f t="shared" si="85"/>
        <v>10102.180550000001</v>
      </c>
      <c r="J385" s="364">
        <f t="shared" si="85"/>
        <v>8814.9677000000011</v>
      </c>
      <c r="K385" s="364">
        <f t="shared" si="85"/>
        <v>8085.0000000000009</v>
      </c>
      <c r="L385" s="364">
        <f t="shared" si="85"/>
        <v>8085.0000000000009</v>
      </c>
      <c r="M385" s="364">
        <f t="shared" si="85"/>
        <v>8085.0000000000009</v>
      </c>
      <c r="N385" s="364">
        <f t="shared" si="85"/>
        <v>8085.0000000000009</v>
      </c>
      <c r="O385" s="364">
        <f t="shared" si="85"/>
        <v>8361.2914000000001</v>
      </c>
      <c r="P385" s="364">
        <f t="shared" si="85"/>
        <v>13088.402250000001</v>
      </c>
      <c r="Q385" s="364">
        <f t="shared" si="85"/>
        <v>15467.251800000002</v>
      </c>
      <c r="R385" s="341">
        <f t="shared" si="86"/>
        <v>124109.89745</v>
      </c>
    </row>
    <row r="386" spans="1:20" x14ac:dyDescent="0.2">
      <c r="C386" s="32" t="s">
        <v>1093</v>
      </c>
      <c r="D386" s="32">
        <v>87</v>
      </c>
      <c r="F386" s="364">
        <f t="shared" si="85"/>
        <v>23369.692360000001</v>
      </c>
      <c r="G386" s="364">
        <f t="shared" si="85"/>
        <v>19867.955740000001</v>
      </c>
      <c r="H386" s="364">
        <f t="shared" si="85"/>
        <v>21272.13769</v>
      </c>
      <c r="I386" s="364">
        <f t="shared" si="85"/>
        <v>17822.817050000001</v>
      </c>
      <c r="J386" s="364">
        <f t="shared" si="85"/>
        <v>15876.63428</v>
      </c>
      <c r="K386" s="364">
        <f t="shared" si="85"/>
        <v>11338.883680000001</v>
      </c>
      <c r="L386" s="364">
        <f t="shared" si="85"/>
        <v>7216.4371099999998</v>
      </c>
      <c r="M386" s="364">
        <f t="shared" si="85"/>
        <v>5255.9261699999997</v>
      </c>
      <c r="N386" s="364">
        <f t="shared" si="85"/>
        <v>6484.4230399999997</v>
      </c>
      <c r="O386" s="364">
        <f t="shared" si="85"/>
        <v>13557.706190000001</v>
      </c>
      <c r="P386" s="364">
        <f t="shared" si="85"/>
        <v>20542.508099999999</v>
      </c>
      <c r="Q386" s="364">
        <f t="shared" si="85"/>
        <v>27283.901440000001</v>
      </c>
      <c r="R386" s="341">
        <f t="shared" si="86"/>
        <v>189889.02285000001</v>
      </c>
    </row>
    <row r="387" spans="1:20" x14ac:dyDescent="0.2">
      <c r="A387" s="32" t="s">
        <v>1054</v>
      </c>
      <c r="C387" s="32" t="s">
        <v>1077</v>
      </c>
      <c r="F387" s="365">
        <f t="shared" ref="F387:R387" si="87">SUM(F381:F386)</f>
        <v>126600.6314</v>
      </c>
      <c r="G387" s="365">
        <f t="shared" si="87"/>
        <v>116407.30439</v>
      </c>
      <c r="H387" s="365">
        <f t="shared" si="87"/>
        <v>120405.21036</v>
      </c>
      <c r="I387" s="365">
        <f t="shared" si="87"/>
        <v>112445.93555000001</v>
      </c>
      <c r="J387" s="365">
        <f t="shared" si="87"/>
        <v>105495.81532999998</v>
      </c>
      <c r="K387" s="365">
        <f t="shared" si="87"/>
        <v>94196.331440000009</v>
      </c>
      <c r="L387" s="365">
        <f t="shared" si="87"/>
        <v>85011.341620000007</v>
      </c>
      <c r="M387" s="365">
        <f t="shared" si="87"/>
        <v>80782.519280000022</v>
      </c>
      <c r="N387" s="365">
        <f t="shared" si="87"/>
        <v>84570.490860000005</v>
      </c>
      <c r="O387" s="365">
        <f t="shared" si="87"/>
        <v>103171.89220999999</v>
      </c>
      <c r="P387" s="365">
        <f t="shared" si="87"/>
        <v>121747.00959999999</v>
      </c>
      <c r="Q387" s="365">
        <f t="shared" si="87"/>
        <v>132363.92865000002</v>
      </c>
      <c r="R387" s="365">
        <f t="shared" si="87"/>
        <v>1283198.41069</v>
      </c>
    </row>
    <row r="388" spans="1:20" x14ac:dyDescent="0.2">
      <c r="A388" s="336" t="s">
        <v>1056</v>
      </c>
      <c r="B388" s="415" t="s">
        <v>1057</v>
      </c>
      <c r="D388" s="32">
        <v>101</v>
      </c>
      <c r="F388" s="364">
        <f t="shared" ref="F388:Q388" si="88">F356*F374</f>
        <v>1973348.8894400001</v>
      </c>
      <c r="G388" s="364">
        <f t="shared" si="88"/>
        <v>1738818.55981</v>
      </c>
      <c r="H388" s="364">
        <f t="shared" si="88"/>
        <v>1826564.3867800001</v>
      </c>
      <c r="I388" s="364">
        <f t="shared" si="88"/>
        <v>1635080.2748500002</v>
      </c>
      <c r="J388" s="364">
        <f t="shared" si="88"/>
        <v>1488087.3670300001</v>
      </c>
      <c r="K388" s="364">
        <f t="shared" si="88"/>
        <v>1235000.4045300002</v>
      </c>
      <c r="L388" s="364">
        <f t="shared" si="88"/>
        <v>1032523.57992</v>
      </c>
      <c r="M388" s="364">
        <f t="shared" si="88"/>
        <v>939043.31350000005</v>
      </c>
      <c r="N388" s="364">
        <f t="shared" si="88"/>
        <v>1008741.6493200001</v>
      </c>
      <c r="O388" s="364">
        <f t="shared" si="88"/>
        <v>1413143.2886700002</v>
      </c>
      <c r="P388" s="364">
        <f t="shared" si="88"/>
        <v>1851584.8771600001</v>
      </c>
      <c r="Q388" s="364">
        <f t="shared" si="88"/>
        <v>2147286.0783100002</v>
      </c>
      <c r="R388" s="341">
        <f>SUM(F388:Q388)</f>
        <v>18289222.669320002</v>
      </c>
    </row>
    <row r="389" spans="1:20" x14ac:dyDescent="0.2">
      <c r="A389" s="32" t="s">
        <v>1054</v>
      </c>
      <c r="B389" s="32" t="s">
        <v>1096</v>
      </c>
      <c r="D389" s="444">
        <v>87</v>
      </c>
      <c r="F389" s="365">
        <f t="shared" ref="F389:Q389" si="89">F357*F374</f>
        <v>15559.148799999999</v>
      </c>
      <c r="G389" s="365">
        <f t="shared" si="89"/>
        <v>13709.9612</v>
      </c>
      <c r="H389" s="365">
        <f t="shared" si="89"/>
        <v>14401.8056</v>
      </c>
      <c r="I389" s="365">
        <f t="shared" si="89"/>
        <v>12892.021999999999</v>
      </c>
      <c r="J389" s="365">
        <f t="shared" si="89"/>
        <v>11733.035599999999</v>
      </c>
      <c r="K389" s="365">
        <f t="shared" si="89"/>
        <v>9737.5355999999992</v>
      </c>
      <c r="L389" s="365">
        <f t="shared" si="89"/>
        <v>8141.0783999999994</v>
      </c>
      <c r="M389" s="365">
        <f t="shared" si="89"/>
        <v>7404.0199999999995</v>
      </c>
      <c r="N389" s="365">
        <f t="shared" si="89"/>
        <v>7953.5663999999997</v>
      </c>
      <c r="O389" s="365">
        <f t="shared" si="89"/>
        <v>11142.1284</v>
      </c>
      <c r="P389" s="365">
        <f t="shared" si="89"/>
        <v>14599.083199999999</v>
      </c>
      <c r="Q389" s="365">
        <f t="shared" si="89"/>
        <v>16930.581200000001</v>
      </c>
      <c r="R389" s="341">
        <f>SUM(F389:Q389)</f>
        <v>144203.96639999998</v>
      </c>
    </row>
    <row r="390" spans="1:20" x14ac:dyDescent="0.2">
      <c r="B390" s="32" t="s">
        <v>1068</v>
      </c>
      <c r="F390" s="364"/>
      <c r="G390" s="364"/>
      <c r="H390" s="364"/>
      <c r="I390" s="364"/>
      <c r="J390" s="364"/>
      <c r="K390" s="364"/>
      <c r="L390" s="364"/>
      <c r="M390" s="364"/>
      <c r="N390" s="364"/>
      <c r="O390" s="364"/>
      <c r="P390" s="364"/>
      <c r="Q390" s="364"/>
      <c r="R390" s="341"/>
    </row>
    <row r="391" spans="1:20" x14ac:dyDescent="0.2">
      <c r="A391" s="32" t="s">
        <v>1054</v>
      </c>
      <c r="C391" s="32" t="s">
        <v>1069</v>
      </c>
      <c r="D391" s="444">
        <v>87</v>
      </c>
      <c r="F391" s="364">
        <f t="shared" ref="F391:Q391" si="90">F359*F375</f>
        <v>606.4799999999999</v>
      </c>
      <c r="G391" s="364">
        <f t="shared" si="90"/>
        <v>606.4799999999999</v>
      </c>
      <c r="H391" s="364">
        <f t="shared" si="90"/>
        <v>606.4799999999999</v>
      </c>
      <c r="I391" s="364">
        <f t="shared" si="90"/>
        <v>606.4799999999999</v>
      </c>
      <c r="J391" s="364">
        <f t="shared" si="90"/>
        <v>606.4799999999999</v>
      </c>
      <c r="K391" s="364">
        <f t="shared" si="90"/>
        <v>606.4799999999999</v>
      </c>
      <c r="L391" s="364">
        <f t="shared" si="90"/>
        <v>606.4799999999999</v>
      </c>
      <c r="M391" s="364">
        <f t="shared" si="90"/>
        <v>606.4799999999999</v>
      </c>
      <c r="N391" s="364">
        <f t="shared" si="90"/>
        <v>606.4799999999999</v>
      </c>
      <c r="O391" s="364">
        <f t="shared" si="90"/>
        <v>606.4799999999999</v>
      </c>
      <c r="P391" s="364">
        <f t="shared" si="90"/>
        <v>606.4799999999999</v>
      </c>
      <c r="Q391" s="364">
        <f t="shared" si="90"/>
        <v>606.4799999999999</v>
      </c>
      <c r="R391" s="341">
        <f>SUM(F391:Q391)</f>
        <v>7277.7599999999975</v>
      </c>
    </row>
    <row r="392" spans="1:20" x14ac:dyDescent="0.2">
      <c r="A392" s="336" t="s">
        <v>1056</v>
      </c>
      <c r="C392" s="32" t="s">
        <v>1070</v>
      </c>
      <c r="D392" s="32">
        <v>101</v>
      </c>
      <c r="F392" s="364">
        <f t="shared" ref="F392:Q392" si="91">F360*F375</f>
        <v>558.6</v>
      </c>
      <c r="G392" s="364">
        <f t="shared" si="91"/>
        <v>558.6</v>
      </c>
      <c r="H392" s="364">
        <f t="shared" si="91"/>
        <v>558.6</v>
      </c>
      <c r="I392" s="364">
        <f t="shared" si="91"/>
        <v>558.6</v>
      </c>
      <c r="J392" s="364">
        <f t="shared" si="91"/>
        <v>558.6</v>
      </c>
      <c r="K392" s="364">
        <f t="shared" si="91"/>
        <v>558.6</v>
      </c>
      <c r="L392" s="364">
        <f t="shared" si="91"/>
        <v>558.6</v>
      </c>
      <c r="M392" s="364">
        <f t="shared" si="91"/>
        <v>558.6</v>
      </c>
      <c r="N392" s="364">
        <f t="shared" si="91"/>
        <v>558.6</v>
      </c>
      <c r="O392" s="364">
        <f t="shared" si="91"/>
        <v>558.6</v>
      </c>
      <c r="P392" s="364">
        <f t="shared" si="91"/>
        <v>558.6</v>
      </c>
      <c r="Q392" s="364">
        <f t="shared" si="91"/>
        <v>558.6</v>
      </c>
      <c r="R392" s="341">
        <f>SUM(F392:Q392)</f>
        <v>6703.2000000000016</v>
      </c>
    </row>
    <row r="393" spans="1:20" s="336" customFormat="1" x14ac:dyDescent="0.2">
      <c r="C393" s="336" t="s">
        <v>1078</v>
      </c>
      <c r="F393" s="339">
        <f t="shared" ref="F393:R393" si="92">SUM(F391:F392)</f>
        <v>1165.08</v>
      </c>
      <c r="G393" s="339">
        <f t="shared" si="92"/>
        <v>1165.08</v>
      </c>
      <c r="H393" s="339">
        <f t="shared" si="92"/>
        <v>1165.08</v>
      </c>
      <c r="I393" s="339">
        <f t="shared" si="92"/>
        <v>1165.08</v>
      </c>
      <c r="J393" s="339">
        <f t="shared" si="92"/>
        <v>1165.08</v>
      </c>
      <c r="K393" s="339">
        <f t="shared" si="92"/>
        <v>1165.08</v>
      </c>
      <c r="L393" s="339">
        <f t="shared" si="92"/>
        <v>1165.08</v>
      </c>
      <c r="M393" s="339">
        <f t="shared" si="92"/>
        <v>1165.08</v>
      </c>
      <c r="N393" s="339">
        <f t="shared" si="92"/>
        <v>1165.08</v>
      </c>
      <c r="O393" s="339">
        <f t="shared" si="92"/>
        <v>1165.08</v>
      </c>
      <c r="P393" s="339">
        <f t="shared" si="92"/>
        <v>1165.08</v>
      </c>
      <c r="Q393" s="339">
        <f t="shared" si="92"/>
        <v>1165.08</v>
      </c>
      <c r="R393" s="339">
        <f t="shared" si="92"/>
        <v>13980.96</v>
      </c>
      <c r="S393" s="335"/>
      <c r="T393" s="415"/>
    </row>
    <row r="394" spans="1:20" s="336" customFormat="1" x14ac:dyDescent="0.2">
      <c r="A394" s="336" t="s">
        <v>1054</v>
      </c>
      <c r="B394" s="336" t="s">
        <v>1071</v>
      </c>
      <c r="D394" s="382">
        <v>87</v>
      </c>
      <c r="F394" s="447">
        <f>'JKP-3.1c - Rev Actual Rates'!F405</f>
        <v>0</v>
      </c>
      <c r="G394" s="447">
        <f>'JKP-3.1c - Rev Actual Rates'!G405</f>
        <v>0</v>
      </c>
      <c r="H394" s="447">
        <f>'JKP-3.1c - Rev Actual Rates'!H405</f>
        <v>0</v>
      </c>
      <c r="I394" s="447">
        <f>'JKP-3.1c - Rev Actual Rates'!I405</f>
        <v>0</v>
      </c>
      <c r="J394" s="447">
        <f>'JKP-3.1c - Rev Actual Rates'!J405</f>
        <v>0</v>
      </c>
      <c r="K394" s="447">
        <f>'JKP-3.1c - Rev Actual Rates'!K405</f>
        <v>0</v>
      </c>
      <c r="L394" s="447">
        <f>'JKP-3.1c - Rev Actual Rates'!L405</f>
        <v>0</v>
      </c>
      <c r="M394" s="447">
        <f>'JKP-3.1c - Rev Actual Rates'!M405</f>
        <v>0</v>
      </c>
      <c r="N394" s="447">
        <f>'JKP-3.1c - Rev Actual Rates'!N405</f>
        <v>0</v>
      </c>
      <c r="O394" s="447">
        <f>'JKP-3.1c - Rev Actual Rates'!O405</f>
        <v>12706.11</v>
      </c>
      <c r="P394" s="447">
        <f>'JKP-3.1c - Rev Actual Rates'!P405</f>
        <v>0</v>
      </c>
      <c r="Q394" s="447">
        <f>'JKP-3.1c - Rev Actual Rates'!Q405</f>
        <v>0</v>
      </c>
      <c r="R394" s="437">
        <f>SUM(F394:Q394)</f>
        <v>12706.11</v>
      </c>
      <c r="S394" s="335"/>
      <c r="T394" s="415"/>
    </row>
    <row r="395" spans="1:20" s="336" customFormat="1" x14ac:dyDescent="0.2">
      <c r="B395" s="336" t="s">
        <v>1079</v>
      </c>
      <c r="F395" s="339">
        <f t="shared" ref="F395:R395" si="93">F388+F392</f>
        <v>1973907.4894400002</v>
      </c>
      <c r="G395" s="339">
        <f t="shared" si="93"/>
        <v>1739377.1598100001</v>
      </c>
      <c r="H395" s="339">
        <f t="shared" si="93"/>
        <v>1827122.9867800002</v>
      </c>
      <c r="I395" s="339">
        <f t="shared" si="93"/>
        <v>1635638.8748500003</v>
      </c>
      <c r="J395" s="339">
        <f t="shared" si="93"/>
        <v>1488645.9670300002</v>
      </c>
      <c r="K395" s="339">
        <f t="shared" si="93"/>
        <v>1235559.0045300003</v>
      </c>
      <c r="L395" s="339">
        <f t="shared" si="93"/>
        <v>1033082.17992</v>
      </c>
      <c r="M395" s="339">
        <f t="shared" si="93"/>
        <v>939601.91350000002</v>
      </c>
      <c r="N395" s="339">
        <f t="shared" si="93"/>
        <v>1009300.2493200001</v>
      </c>
      <c r="O395" s="339">
        <f t="shared" si="93"/>
        <v>1413701.8886700002</v>
      </c>
      <c r="P395" s="339">
        <f t="shared" si="93"/>
        <v>1852143.4771600002</v>
      </c>
      <c r="Q395" s="339">
        <f t="shared" si="93"/>
        <v>2147844.6783100003</v>
      </c>
      <c r="R395" s="339">
        <f t="shared" si="93"/>
        <v>18295925.869320001</v>
      </c>
      <c r="S395" s="335"/>
      <c r="T395" s="415"/>
    </row>
    <row r="396" spans="1:20" s="336" customFormat="1" x14ac:dyDescent="0.2">
      <c r="B396" s="336" t="s">
        <v>986</v>
      </c>
      <c r="F396" s="339">
        <f t="shared" ref="F396:R396" si="94">F379+F387+F388+F389+F393+F394</f>
        <v>2121141.1096400004</v>
      </c>
      <c r="G396" s="339">
        <f t="shared" si="94"/>
        <v>1874568.2654000001</v>
      </c>
      <c r="H396" s="339">
        <f t="shared" si="94"/>
        <v>1967003.8427400002</v>
      </c>
      <c r="I396" s="339">
        <f t="shared" si="94"/>
        <v>1766050.6724000003</v>
      </c>
      <c r="J396" s="339">
        <f t="shared" si="94"/>
        <v>1610948.6579600002</v>
      </c>
      <c r="K396" s="339">
        <f t="shared" si="94"/>
        <v>1344566.7115700003</v>
      </c>
      <c r="L396" s="339">
        <f t="shared" si="94"/>
        <v>1131308.4399400002</v>
      </c>
      <c r="M396" s="339">
        <f t="shared" si="94"/>
        <v>1032862.29278</v>
      </c>
      <c r="N396" s="339">
        <f t="shared" si="94"/>
        <v>1106898.1465799999</v>
      </c>
      <c r="O396" s="339">
        <f t="shared" si="94"/>
        <v>1545795.8592800004</v>
      </c>
      <c r="P396" s="339">
        <f t="shared" si="94"/>
        <v>1993563.4099600003</v>
      </c>
      <c r="Q396" s="339">
        <f t="shared" si="94"/>
        <v>2302213.0281600002</v>
      </c>
      <c r="R396" s="339">
        <f t="shared" si="94"/>
        <v>19796920.436410002</v>
      </c>
      <c r="S396" s="335"/>
      <c r="T396" s="340"/>
    </row>
    <row r="397" spans="1:20" x14ac:dyDescent="0.2">
      <c r="F397" s="364"/>
      <c r="G397" s="364"/>
      <c r="H397" s="364"/>
      <c r="I397" s="364"/>
      <c r="J397" s="364"/>
      <c r="K397" s="364"/>
      <c r="L397" s="364"/>
      <c r="M397" s="364"/>
      <c r="N397" s="364"/>
      <c r="O397" s="364"/>
      <c r="P397" s="364"/>
      <c r="Q397" s="364"/>
      <c r="R397" s="364"/>
      <c r="T397" s="415"/>
    </row>
    <row r="398" spans="1:20" x14ac:dyDescent="0.2">
      <c r="A398" s="32" t="s">
        <v>1058</v>
      </c>
      <c r="B398" s="32" t="s">
        <v>1050</v>
      </c>
      <c r="F398" s="364">
        <f>F362*F374+F375*F363</f>
        <v>1888544.9425600001</v>
      </c>
      <c r="G398" s="364">
        <f t="shared" ref="G398:Q398" si="95">G362*G374+G375*G363</f>
        <v>1664156.6956900002</v>
      </c>
      <c r="H398" s="364">
        <f t="shared" si="95"/>
        <v>1748108.0222200002</v>
      </c>
      <c r="I398" s="364">
        <f t="shared" si="95"/>
        <v>1564904.4926500001</v>
      </c>
      <c r="J398" s="364">
        <f t="shared" si="95"/>
        <v>1424268.1794700001</v>
      </c>
      <c r="K398" s="364">
        <f t="shared" si="95"/>
        <v>1182125.76697</v>
      </c>
      <c r="L398" s="364">
        <f t="shared" si="95"/>
        <v>988404.89608000009</v>
      </c>
      <c r="M398" s="364">
        <f t="shared" si="95"/>
        <v>898967.11150000012</v>
      </c>
      <c r="N398" s="364">
        <f t="shared" si="95"/>
        <v>965651.39668000012</v>
      </c>
      <c r="O398" s="364">
        <f t="shared" si="95"/>
        <v>1352564.9998300001</v>
      </c>
      <c r="P398" s="364">
        <f t="shared" si="95"/>
        <v>1772046.5208400001</v>
      </c>
      <c r="Q398" s="364">
        <f t="shared" si="95"/>
        <v>2054960.3521900002</v>
      </c>
      <c r="R398" s="364">
        <f>SUM(F398:Q398)</f>
        <v>17504703.376680002</v>
      </c>
      <c r="T398" s="415"/>
    </row>
    <row r="399" spans="1:20" x14ac:dyDescent="0.2">
      <c r="F399" s="364"/>
      <c r="G399" s="364"/>
      <c r="H399" s="364"/>
      <c r="I399" s="364"/>
      <c r="J399" s="364"/>
      <c r="K399" s="364"/>
      <c r="L399" s="364"/>
      <c r="M399" s="364"/>
      <c r="N399" s="364"/>
      <c r="O399" s="364"/>
      <c r="P399" s="364"/>
      <c r="Q399" s="364"/>
      <c r="R399" s="364"/>
      <c r="T399" s="415"/>
    </row>
    <row r="400" spans="1:20" x14ac:dyDescent="0.2">
      <c r="B400" s="276" t="s">
        <v>970</v>
      </c>
      <c r="C400" s="276"/>
    </row>
    <row r="401" spans="1:20" x14ac:dyDescent="0.2">
      <c r="B401" s="276" t="s">
        <v>5</v>
      </c>
      <c r="C401" s="276"/>
    </row>
    <row r="402" spans="1:20" x14ac:dyDescent="0.2">
      <c r="B402" s="32" t="s">
        <v>1059</v>
      </c>
      <c r="D402" s="32">
        <v>31</v>
      </c>
      <c r="E402" s="32" t="s">
        <v>976</v>
      </c>
      <c r="F402" s="413">
        <f t="shared" ref="F402:Q405" si="96">F74</f>
        <v>32.32</v>
      </c>
      <c r="G402" s="413">
        <f t="shared" si="96"/>
        <v>32.32</v>
      </c>
      <c r="H402" s="413">
        <f t="shared" si="96"/>
        <v>32.32</v>
      </c>
      <c r="I402" s="413">
        <f t="shared" si="96"/>
        <v>32.32</v>
      </c>
      <c r="J402" s="413">
        <f t="shared" si="96"/>
        <v>32.32</v>
      </c>
      <c r="K402" s="413">
        <f t="shared" si="96"/>
        <v>32.32</v>
      </c>
      <c r="L402" s="413">
        <f t="shared" si="96"/>
        <v>32.32</v>
      </c>
      <c r="M402" s="413">
        <f t="shared" si="96"/>
        <v>32.32</v>
      </c>
      <c r="N402" s="413">
        <f t="shared" si="96"/>
        <v>32.32</v>
      </c>
      <c r="O402" s="413">
        <f t="shared" si="96"/>
        <v>32.32</v>
      </c>
      <c r="P402" s="413">
        <f t="shared" si="96"/>
        <v>32.32</v>
      </c>
      <c r="Q402" s="413">
        <f t="shared" si="96"/>
        <v>32.32</v>
      </c>
      <c r="R402" s="439"/>
    </row>
    <row r="403" spans="1:20" x14ac:dyDescent="0.2">
      <c r="B403" s="32" t="s">
        <v>1047</v>
      </c>
      <c r="D403" s="32">
        <v>31</v>
      </c>
      <c r="E403" s="32" t="s">
        <v>957</v>
      </c>
      <c r="F403" s="393">
        <f t="shared" si="96"/>
        <v>0.31526999999999999</v>
      </c>
      <c r="G403" s="393">
        <f t="shared" si="96"/>
        <v>0.31526999999999999</v>
      </c>
      <c r="H403" s="393">
        <f t="shared" si="96"/>
        <v>0.31526999999999999</v>
      </c>
      <c r="I403" s="393">
        <f t="shared" si="96"/>
        <v>0.31526999999999999</v>
      </c>
      <c r="J403" s="393">
        <f t="shared" si="96"/>
        <v>0.31526999999999999</v>
      </c>
      <c r="K403" s="393">
        <f t="shared" si="96"/>
        <v>0.31526999999999999</v>
      </c>
      <c r="L403" s="393">
        <f t="shared" si="96"/>
        <v>0.31526999999999999</v>
      </c>
      <c r="M403" s="393">
        <f t="shared" si="96"/>
        <v>0.31526999999999999</v>
      </c>
      <c r="N403" s="393">
        <f t="shared" si="96"/>
        <v>0.31526999999999999</v>
      </c>
      <c r="O403" s="393">
        <f t="shared" si="96"/>
        <v>0.31526999999999999</v>
      </c>
      <c r="P403" s="393">
        <f t="shared" si="96"/>
        <v>0.31526999999999999</v>
      </c>
      <c r="Q403" s="393">
        <f t="shared" si="96"/>
        <v>0.31526999999999999</v>
      </c>
      <c r="R403" s="394"/>
    </row>
    <row r="404" spans="1:20" x14ac:dyDescent="0.2">
      <c r="B404" s="415" t="s">
        <v>1067</v>
      </c>
      <c r="D404" s="32">
        <v>101</v>
      </c>
      <c r="E404" s="32" t="s">
        <v>957</v>
      </c>
      <c r="F404" s="453">
        <f t="shared" si="96"/>
        <v>0.71392999999999995</v>
      </c>
      <c r="G404" s="453">
        <f t="shared" si="96"/>
        <v>0.71392999999999995</v>
      </c>
      <c r="H404" s="453">
        <f t="shared" si="96"/>
        <v>0.71392999999999995</v>
      </c>
      <c r="I404" s="453">
        <f t="shared" si="96"/>
        <v>0.71392999999999995</v>
      </c>
      <c r="J404" s="453">
        <f t="shared" si="96"/>
        <v>0.71392999999999995</v>
      </c>
      <c r="K404" s="453">
        <f t="shared" si="96"/>
        <v>0.71392999999999995</v>
      </c>
      <c r="L404" s="453">
        <f t="shared" si="96"/>
        <v>0.71392999999999995</v>
      </c>
      <c r="M404" s="453">
        <f t="shared" si="96"/>
        <v>0.71392999999999995</v>
      </c>
      <c r="N404" s="453">
        <f t="shared" si="96"/>
        <v>0.71392999999999995</v>
      </c>
      <c r="O404" s="453">
        <f t="shared" si="96"/>
        <v>0.71392999999999995</v>
      </c>
      <c r="P404" s="453">
        <f t="shared" si="96"/>
        <v>0.71392999999999995</v>
      </c>
      <c r="Q404" s="453">
        <f t="shared" si="96"/>
        <v>0.71392999999999995</v>
      </c>
      <c r="R404" s="394"/>
    </row>
    <row r="405" spans="1:20" x14ac:dyDescent="0.2">
      <c r="B405" s="415" t="s">
        <v>1050</v>
      </c>
      <c r="F405" s="453">
        <f>F77</f>
        <v>0.68306</v>
      </c>
      <c r="G405" s="453">
        <f t="shared" si="96"/>
        <v>0.68306</v>
      </c>
      <c r="H405" s="453">
        <f t="shared" si="96"/>
        <v>0.68306</v>
      </c>
      <c r="I405" s="453">
        <f t="shared" si="96"/>
        <v>0.68306</v>
      </c>
      <c r="J405" s="453">
        <f t="shared" si="96"/>
        <v>0.68306</v>
      </c>
      <c r="K405" s="453">
        <f t="shared" si="96"/>
        <v>0.68306</v>
      </c>
      <c r="L405" s="453">
        <f t="shared" si="96"/>
        <v>0.68306</v>
      </c>
      <c r="M405" s="453">
        <f t="shared" si="96"/>
        <v>0.68306</v>
      </c>
      <c r="N405" s="453">
        <f t="shared" si="96"/>
        <v>0.68306</v>
      </c>
      <c r="O405" s="453">
        <f t="shared" si="96"/>
        <v>0.68306</v>
      </c>
      <c r="P405" s="453">
        <f t="shared" si="96"/>
        <v>0.68306</v>
      </c>
      <c r="Q405" s="453">
        <f t="shared" si="96"/>
        <v>0.68306</v>
      </c>
      <c r="R405" s="394"/>
    </row>
    <row r="406" spans="1:20" x14ac:dyDescent="0.2">
      <c r="F406" s="393"/>
      <c r="G406" s="393"/>
      <c r="H406" s="393"/>
      <c r="I406" s="393"/>
      <c r="J406" s="393"/>
      <c r="K406" s="393"/>
      <c r="L406" s="393"/>
      <c r="M406" s="393"/>
      <c r="N406" s="393"/>
      <c r="O406" s="393"/>
      <c r="P406" s="393"/>
      <c r="Q406" s="393"/>
    </row>
    <row r="407" spans="1:20" x14ac:dyDescent="0.2">
      <c r="B407" s="276" t="s">
        <v>982</v>
      </c>
    </row>
    <row r="408" spans="1:20" x14ac:dyDescent="0.2">
      <c r="B408" s="32" t="s">
        <v>67</v>
      </c>
      <c r="E408" s="32" t="s">
        <v>67</v>
      </c>
      <c r="F408" s="397">
        <f>'JKP-3.1c - Data'!C140</f>
        <v>2456</v>
      </c>
      <c r="G408" s="397">
        <f>'JKP-3.1c - Data'!D140</f>
        <v>2452</v>
      </c>
      <c r="H408" s="397">
        <f>'JKP-3.1c - Data'!E140</f>
        <v>2438</v>
      </c>
      <c r="I408" s="397">
        <f>'JKP-3.1c - Data'!F140</f>
        <v>2426.02</v>
      </c>
      <c r="J408" s="397">
        <f>'JKP-3.1c - Data'!G140</f>
        <v>2428</v>
      </c>
      <c r="K408" s="397">
        <f>'JKP-3.1c - Data'!H140</f>
        <v>2444</v>
      </c>
      <c r="L408" s="397">
        <f>'JKP-3.1c - Data'!I140</f>
        <v>2423</v>
      </c>
      <c r="M408" s="397">
        <f>'JKP-3.1c - Data'!J140</f>
        <v>2413</v>
      </c>
      <c r="N408" s="397">
        <f>'JKP-3.1c - Data'!K140</f>
        <v>2412</v>
      </c>
      <c r="O408" s="397">
        <f>'JKP-3.1c - Data'!L140</f>
        <v>2421</v>
      </c>
      <c r="P408" s="397">
        <f>'JKP-3.1c - Data'!M140</f>
        <v>2419</v>
      </c>
      <c r="Q408" s="397">
        <f>'JKP-3.1c - Data'!N140</f>
        <v>2423</v>
      </c>
      <c r="R408" s="378">
        <f>SUM(F408:Q408)</f>
        <v>29155.02</v>
      </c>
    </row>
    <row r="409" spans="1:20" x14ac:dyDescent="0.2">
      <c r="B409" s="32" t="s">
        <v>76</v>
      </c>
      <c r="E409" s="32" t="s">
        <v>10</v>
      </c>
      <c r="F409" s="397">
        <f>'JKP-3.1c - Rev Actual Rates'!F420</f>
        <v>1862880</v>
      </c>
      <c r="G409" s="397">
        <f>'JKP-3.1c - Rev Actual Rates'!G420</f>
        <v>1530899</v>
      </c>
      <c r="H409" s="397">
        <f>'JKP-3.1c - Rev Actual Rates'!H420</f>
        <v>1488929</v>
      </c>
      <c r="I409" s="397">
        <f>'JKP-3.1c - Rev Actual Rates'!I420</f>
        <v>1169710</v>
      </c>
      <c r="J409" s="397">
        <f>'JKP-3.1c - Rev Actual Rates'!J420</f>
        <v>831580</v>
      </c>
      <c r="K409" s="397">
        <f>'JKP-3.1c - Rev Actual Rates'!K420</f>
        <v>572733</v>
      </c>
      <c r="L409" s="397">
        <f>'JKP-3.1c - Rev Actual Rates'!L420</f>
        <v>457633</v>
      </c>
      <c r="M409" s="397">
        <f>'JKP-3.1c - Rev Actual Rates'!M420</f>
        <v>450461</v>
      </c>
      <c r="N409" s="397">
        <f>'JKP-3.1c - Rev Actual Rates'!N420</f>
        <v>516301</v>
      </c>
      <c r="O409" s="397">
        <f>'JKP-3.1c - Rev Actual Rates'!O420</f>
        <v>875671</v>
      </c>
      <c r="P409" s="397">
        <f>'JKP-3.1c - Rev Actual Rates'!P420</f>
        <v>1570654</v>
      </c>
      <c r="Q409" s="397">
        <f>'JKP-3.1c - Rev Actual Rates'!Q420</f>
        <v>2065921</v>
      </c>
      <c r="R409" s="378">
        <f>SUM(F409:Q409)</f>
        <v>13393372</v>
      </c>
    </row>
    <row r="410" spans="1:20" x14ac:dyDescent="0.2">
      <c r="R410" s="277"/>
    </row>
    <row r="411" spans="1:20" x14ac:dyDescent="0.2">
      <c r="B411" s="276" t="s">
        <v>985</v>
      </c>
      <c r="R411" s="277"/>
    </row>
    <row r="412" spans="1:20" x14ac:dyDescent="0.2">
      <c r="A412" s="32" t="s">
        <v>1054</v>
      </c>
      <c r="B412" s="32" t="s">
        <v>1059</v>
      </c>
      <c r="D412" s="32">
        <v>31</v>
      </c>
      <c r="F412" s="364">
        <f t="shared" ref="F412:Q413" si="97">F402*F408</f>
        <v>79377.919999999998</v>
      </c>
      <c r="G412" s="364">
        <f t="shared" si="97"/>
        <v>79248.639999999999</v>
      </c>
      <c r="H412" s="364">
        <f t="shared" si="97"/>
        <v>78796.160000000003</v>
      </c>
      <c r="I412" s="364">
        <f t="shared" si="97"/>
        <v>78408.966400000005</v>
      </c>
      <c r="J412" s="364">
        <f t="shared" si="97"/>
        <v>78472.960000000006</v>
      </c>
      <c r="K412" s="364">
        <f t="shared" si="97"/>
        <v>78990.080000000002</v>
      </c>
      <c r="L412" s="364">
        <f t="shared" si="97"/>
        <v>78311.360000000001</v>
      </c>
      <c r="M412" s="364">
        <f t="shared" si="97"/>
        <v>77988.160000000003</v>
      </c>
      <c r="N412" s="364">
        <f t="shared" si="97"/>
        <v>77955.839999999997</v>
      </c>
      <c r="O412" s="364">
        <f t="shared" si="97"/>
        <v>78246.720000000001</v>
      </c>
      <c r="P412" s="364">
        <f t="shared" si="97"/>
        <v>78182.080000000002</v>
      </c>
      <c r="Q412" s="364">
        <f t="shared" si="97"/>
        <v>78311.360000000001</v>
      </c>
      <c r="R412" s="341">
        <f>SUM(F412:Q412)</f>
        <v>942290.24639999995</v>
      </c>
    </row>
    <row r="413" spans="1:20" x14ac:dyDescent="0.2">
      <c r="A413" s="32" t="s">
        <v>1054</v>
      </c>
      <c r="B413" s="32" t="s">
        <v>1047</v>
      </c>
      <c r="D413" s="32">
        <v>31</v>
      </c>
      <c r="F413" s="364">
        <f t="shared" si="97"/>
        <v>587310.17759999994</v>
      </c>
      <c r="G413" s="364">
        <f t="shared" si="97"/>
        <v>482646.52772999997</v>
      </c>
      <c r="H413" s="364">
        <f t="shared" si="97"/>
        <v>469414.64582999999</v>
      </c>
      <c r="I413" s="364">
        <f t="shared" si="97"/>
        <v>368774.47169999999</v>
      </c>
      <c r="J413" s="364">
        <f t="shared" si="97"/>
        <v>262172.22659999999</v>
      </c>
      <c r="K413" s="364">
        <f t="shared" si="97"/>
        <v>180565.53291000001</v>
      </c>
      <c r="L413" s="364">
        <f t="shared" si="97"/>
        <v>144277.95590999999</v>
      </c>
      <c r="M413" s="364">
        <f t="shared" si="97"/>
        <v>142016.83947000001</v>
      </c>
      <c r="N413" s="364">
        <f t="shared" si="97"/>
        <v>162774.21627</v>
      </c>
      <c r="O413" s="364">
        <f t="shared" si="97"/>
        <v>276072.79616999999</v>
      </c>
      <c r="P413" s="364">
        <f t="shared" si="97"/>
        <v>495180.08658</v>
      </c>
      <c r="Q413" s="364">
        <f t="shared" si="97"/>
        <v>651322.91367000004</v>
      </c>
      <c r="R413" s="341">
        <f>SUM(F413:Q413)</f>
        <v>4222528.3904400002</v>
      </c>
    </row>
    <row r="414" spans="1:20" x14ac:dyDescent="0.2">
      <c r="A414" s="336" t="s">
        <v>1056</v>
      </c>
      <c r="B414" s="415" t="s">
        <v>1057</v>
      </c>
      <c r="D414" s="32">
        <v>101</v>
      </c>
      <c r="F414" s="364">
        <f t="shared" ref="F414:Q414" si="98">F404*F409</f>
        <v>1329965.9183999998</v>
      </c>
      <c r="G414" s="364">
        <f t="shared" si="98"/>
        <v>1092954.7230699998</v>
      </c>
      <c r="H414" s="364">
        <f t="shared" si="98"/>
        <v>1062991.08097</v>
      </c>
      <c r="I414" s="364">
        <f t="shared" si="98"/>
        <v>835091.0602999999</v>
      </c>
      <c r="J414" s="364">
        <f t="shared" si="98"/>
        <v>593689.9094</v>
      </c>
      <c r="K414" s="364">
        <f t="shared" si="98"/>
        <v>408891.27068999998</v>
      </c>
      <c r="L414" s="364">
        <f t="shared" si="98"/>
        <v>326717.92768999998</v>
      </c>
      <c r="M414" s="364">
        <f t="shared" si="98"/>
        <v>321597.62172999996</v>
      </c>
      <c r="N414" s="364">
        <f t="shared" si="98"/>
        <v>368602.77292999998</v>
      </c>
      <c r="O414" s="364">
        <f t="shared" si="98"/>
        <v>625167.79703000002</v>
      </c>
      <c r="P414" s="364">
        <f t="shared" si="98"/>
        <v>1121337.0102199998</v>
      </c>
      <c r="Q414" s="364">
        <f t="shared" si="98"/>
        <v>1474922.9795299999</v>
      </c>
      <c r="R414" s="341">
        <f>SUM(F414:Q414)</f>
        <v>9561930.0719599985</v>
      </c>
    </row>
    <row r="415" spans="1:20" x14ac:dyDescent="0.2">
      <c r="B415" s="32" t="s">
        <v>986</v>
      </c>
      <c r="F415" s="365">
        <f t="shared" ref="F415:R415" si="99">F412+F413+F414</f>
        <v>1996654.0159999998</v>
      </c>
      <c r="G415" s="365">
        <f t="shared" si="99"/>
        <v>1654849.8907999997</v>
      </c>
      <c r="H415" s="365">
        <f t="shared" si="99"/>
        <v>1611201.8868</v>
      </c>
      <c r="I415" s="365">
        <f t="shared" si="99"/>
        <v>1282274.4983999999</v>
      </c>
      <c r="J415" s="365">
        <f t="shared" si="99"/>
        <v>934335.09600000002</v>
      </c>
      <c r="K415" s="365">
        <f t="shared" si="99"/>
        <v>668446.88360000006</v>
      </c>
      <c r="L415" s="365">
        <f t="shared" si="99"/>
        <v>549307.24359999993</v>
      </c>
      <c r="M415" s="365">
        <f t="shared" si="99"/>
        <v>541602.62119999994</v>
      </c>
      <c r="N415" s="365">
        <f t="shared" si="99"/>
        <v>609332.82920000004</v>
      </c>
      <c r="O415" s="365">
        <f t="shared" si="99"/>
        <v>979487.31319999998</v>
      </c>
      <c r="P415" s="365">
        <f t="shared" si="99"/>
        <v>1694699.1767999998</v>
      </c>
      <c r="Q415" s="365">
        <f t="shared" si="99"/>
        <v>2204557.2532000002</v>
      </c>
      <c r="R415" s="365">
        <f t="shared" si="99"/>
        <v>14726748.708799999</v>
      </c>
      <c r="T415" s="340"/>
    </row>
    <row r="416" spans="1:20" x14ac:dyDescent="0.2">
      <c r="F416" s="364"/>
      <c r="G416" s="364"/>
      <c r="H416" s="364"/>
      <c r="I416" s="364"/>
      <c r="J416" s="364"/>
      <c r="K416" s="364"/>
      <c r="L416" s="364"/>
      <c r="M416" s="364"/>
      <c r="N416" s="364"/>
      <c r="O416" s="364"/>
      <c r="P416" s="364"/>
      <c r="Q416" s="364"/>
      <c r="R416" s="341"/>
      <c r="T416" s="415"/>
    </row>
    <row r="417" spans="1:20" x14ac:dyDescent="0.2">
      <c r="A417" s="32" t="s">
        <v>1058</v>
      </c>
      <c r="B417" s="32" t="s">
        <v>1050</v>
      </c>
      <c r="F417" s="364">
        <f>F405*F409</f>
        <v>1272458.8128</v>
      </c>
      <c r="G417" s="364">
        <f t="shared" ref="G417:Q417" si="100">G405*G409</f>
        <v>1045695.8709400001</v>
      </c>
      <c r="H417" s="364">
        <f t="shared" si="100"/>
        <v>1017027.84274</v>
      </c>
      <c r="I417" s="364">
        <f t="shared" si="100"/>
        <v>798982.11259999999</v>
      </c>
      <c r="J417" s="364">
        <f t="shared" si="100"/>
        <v>568019.03480000002</v>
      </c>
      <c r="K417" s="364">
        <f t="shared" si="100"/>
        <v>391211.00297999999</v>
      </c>
      <c r="L417" s="364">
        <f t="shared" si="100"/>
        <v>312590.79697999998</v>
      </c>
      <c r="M417" s="364">
        <f t="shared" si="100"/>
        <v>307691.89065999998</v>
      </c>
      <c r="N417" s="364">
        <f t="shared" si="100"/>
        <v>352664.56105999998</v>
      </c>
      <c r="O417" s="364">
        <f t="shared" si="100"/>
        <v>598135.83325999998</v>
      </c>
      <c r="P417" s="364">
        <f t="shared" si="100"/>
        <v>1072850.9212400001</v>
      </c>
      <c r="Q417" s="364">
        <f t="shared" si="100"/>
        <v>1411147.99826</v>
      </c>
      <c r="R417" s="341">
        <f>SUM(F417:Q417)</f>
        <v>9148476.6783200018</v>
      </c>
      <c r="T417" s="415"/>
    </row>
    <row r="418" spans="1:20" x14ac:dyDescent="0.2">
      <c r="F418" s="364"/>
      <c r="G418" s="364"/>
      <c r="H418" s="364"/>
      <c r="I418" s="364"/>
      <c r="J418" s="364"/>
      <c r="K418" s="364"/>
      <c r="L418" s="364"/>
      <c r="M418" s="364"/>
      <c r="N418" s="364"/>
      <c r="O418" s="364"/>
      <c r="P418" s="364"/>
      <c r="Q418" s="364"/>
      <c r="R418" s="341"/>
      <c r="T418" s="415"/>
    </row>
    <row r="419" spans="1:20" x14ac:dyDescent="0.2">
      <c r="B419" s="276" t="s">
        <v>1101</v>
      </c>
      <c r="C419" s="276"/>
    </row>
    <row r="420" spans="1:20" x14ac:dyDescent="0.2">
      <c r="B420" s="276" t="s">
        <v>5</v>
      </c>
      <c r="C420" s="276"/>
    </row>
    <row r="421" spans="1:20" x14ac:dyDescent="0.2">
      <c r="B421" s="32" t="s">
        <v>1059</v>
      </c>
      <c r="D421" s="32">
        <v>41</v>
      </c>
      <c r="E421" s="32" t="s">
        <v>976</v>
      </c>
      <c r="F421" s="413">
        <f t="shared" ref="F421:Q421" si="101">F93</f>
        <v>111.92</v>
      </c>
      <c r="G421" s="413">
        <f t="shared" si="101"/>
        <v>111.92</v>
      </c>
      <c r="H421" s="413">
        <f t="shared" si="101"/>
        <v>111.92</v>
      </c>
      <c r="I421" s="413">
        <f t="shared" si="101"/>
        <v>111.92</v>
      </c>
      <c r="J421" s="413">
        <f t="shared" si="101"/>
        <v>111.92</v>
      </c>
      <c r="K421" s="413">
        <f t="shared" si="101"/>
        <v>111.92</v>
      </c>
      <c r="L421" s="413">
        <f t="shared" si="101"/>
        <v>111.92</v>
      </c>
      <c r="M421" s="413">
        <f t="shared" si="101"/>
        <v>111.92</v>
      </c>
      <c r="N421" s="413">
        <f t="shared" si="101"/>
        <v>111.92</v>
      </c>
      <c r="O421" s="413">
        <f t="shared" si="101"/>
        <v>111.92</v>
      </c>
      <c r="P421" s="413">
        <f t="shared" si="101"/>
        <v>111.92</v>
      </c>
      <c r="Q421" s="413">
        <f t="shared" si="101"/>
        <v>111.92</v>
      </c>
      <c r="R421" s="439"/>
    </row>
    <row r="422" spans="1:20" x14ac:dyDescent="0.2">
      <c r="B422" s="32" t="s">
        <v>1047</v>
      </c>
      <c r="F422" s="393"/>
      <c r="G422" s="393"/>
      <c r="H422" s="393"/>
      <c r="I422" s="393"/>
      <c r="J422" s="393"/>
      <c r="K422" s="393"/>
      <c r="L422" s="393"/>
      <c r="M422" s="393"/>
      <c r="N422" s="393"/>
      <c r="O422" s="393"/>
      <c r="P422" s="393"/>
      <c r="Q422" s="393"/>
      <c r="R422" s="394"/>
    </row>
    <row r="423" spans="1:20" x14ac:dyDescent="0.2">
      <c r="C423" s="32" t="s">
        <v>1065</v>
      </c>
      <c r="D423" s="32">
        <v>41</v>
      </c>
      <c r="E423" s="32" t="s">
        <v>957</v>
      </c>
      <c r="F423" s="393">
        <f t="shared" ref="F423:Q425" si="102">F95</f>
        <v>0.14354</v>
      </c>
      <c r="G423" s="393">
        <f t="shared" si="102"/>
        <v>0.14354</v>
      </c>
      <c r="H423" s="393">
        <f t="shared" si="102"/>
        <v>0.14354</v>
      </c>
      <c r="I423" s="393">
        <f t="shared" si="102"/>
        <v>0.14354</v>
      </c>
      <c r="J423" s="393">
        <f t="shared" si="102"/>
        <v>0.14354</v>
      </c>
      <c r="K423" s="393">
        <f t="shared" si="102"/>
        <v>0.14354</v>
      </c>
      <c r="L423" s="393">
        <f t="shared" si="102"/>
        <v>0.14354</v>
      </c>
      <c r="M423" s="393">
        <f t="shared" si="102"/>
        <v>0.14354</v>
      </c>
      <c r="N423" s="393">
        <f t="shared" si="102"/>
        <v>0.14354</v>
      </c>
      <c r="O423" s="393">
        <f t="shared" si="102"/>
        <v>0.14354</v>
      </c>
      <c r="P423" s="393">
        <f t="shared" si="102"/>
        <v>0.14354</v>
      </c>
      <c r="Q423" s="393">
        <f t="shared" si="102"/>
        <v>0.14354</v>
      </c>
      <c r="R423" s="394"/>
    </row>
    <row r="424" spans="1:20" x14ac:dyDescent="0.2">
      <c r="C424" s="32" t="s">
        <v>1066</v>
      </c>
      <c r="D424" s="32">
        <v>41</v>
      </c>
      <c r="E424" s="32" t="s">
        <v>957</v>
      </c>
      <c r="F424" s="393">
        <f t="shared" si="102"/>
        <v>0.11713999999999999</v>
      </c>
      <c r="G424" s="393">
        <f t="shared" si="102"/>
        <v>0.11713999999999999</v>
      </c>
      <c r="H424" s="393">
        <f t="shared" si="102"/>
        <v>0.11713999999999999</v>
      </c>
      <c r="I424" s="393">
        <f t="shared" si="102"/>
        <v>0.11713999999999999</v>
      </c>
      <c r="J424" s="393">
        <f t="shared" si="102"/>
        <v>0.11713999999999999</v>
      </c>
      <c r="K424" s="393">
        <f t="shared" si="102"/>
        <v>0.11713999999999999</v>
      </c>
      <c r="L424" s="393">
        <f t="shared" si="102"/>
        <v>0.11713999999999999</v>
      </c>
      <c r="M424" s="393">
        <f t="shared" si="102"/>
        <v>0.11713999999999999</v>
      </c>
      <c r="N424" s="393">
        <f t="shared" si="102"/>
        <v>0.11713999999999999</v>
      </c>
      <c r="O424" s="393">
        <f t="shared" si="102"/>
        <v>0.11713999999999999</v>
      </c>
      <c r="P424" s="393">
        <f t="shared" si="102"/>
        <v>0.11713999999999999</v>
      </c>
      <c r="Q424" s="393">
        <f t="shared" si="102"/>
        <v>0.11713999999999999</v>
      </c>
      <c r="R424" s="394"/>
    </row>
    <row r="425" spans="1:20" x14ac:dyDescent="0.2">
      <c r="B425" s="415" t="s">
        <v>1067</v>
      </c>
      <c r="D425" s="32">
        <v>101</v>
      </c>
      <c r="E425" s="32" t="s">
        <v>957</v>
      </c>
      <c r="F425" s="453">
        <f t="shared" si="102"/>
        <v>0.62878000000000001</v>
      </c>
      <c r="G425" s="453">
        <f t="shared" si="102"/>
        <v>0.62878000000000001</v>
      </c>
      <c r="H425" s="453">
        <f t="shared" si="102"/>
        <v>0.62878000000000001</v>
      </c>
      <c r="I425" s="453">
        <f t="shared" si="102"/>
        <v>0.62878000000000001</v>
      </c>
      <c r="J425" s="453">
        <f t="shared" si="102"/>
        <v>0.62878000000000001</v>
      </c>
      <c r="K425" s="453">
        <f t="shared" si="102"/>
        <v>0.62878000000000001</v>
      </c>
      <c r="L425" s="453">
        <f t="shared" si="102"/>
        <v>0.62878000000000001</v>
      </c>
      <c r="M425" s="453">
        <f t="shared" si="102"/>
        <v>0.62878000000000001</v>
      </c>
      <c r="N425" s="453">
        <f t="shared" si="102"/>
        <v>0.62878000000000001</v>
      </c>
      <c r="O425" s="453">
        <f t="shared" si="102"/>
        <v>0.62878000000000001</v>
      </c>
      <c r="P425" s="453">
        <f t="shared" si="102"/>
        <v>0.62878000000000001</v>
      </c>
      <c r="Q425" s="453">
        <f t="shared" si="102"/>
        <v>0.62878000000000001</v>
      </c>
      <c r="R425" s="394"/>
    </row>
    <row r="426" spans="1:20" x14ac:dyDescent="0.2">
      <c r="B426" s="32" t="s">
        <v>1068</v>
      </c>
      <c r="F426" s="394"/>
      <c r="G426" s="394"/>
      <c r="H426" s="394"/>
      <c r="I426" s="394"/>
      <c r="J426" s="394"/>
      <c r="K426" s="394"/>
      <c r="L426" s="394"/>
      <c r="M426" s="394"/>
      <c r="N426" s="394"/>
      <c r="O426" s="394"/>
      <c r="P426" s="394"/>
      <c r="Q426" s="394"/>
      <c r="R426" s="394"/>
    </row>
    <row r="427" spans="1:20" x14ac:dyDescent="0.2">
      <c r="C427" s="32" t="s">
        <v>1069</v>
      </c>
      <c r="D427" s="32">
        <v>41</v>
      </c>
      <c r="E427" s="32" t="s">
        <v>957</v>
      </c>
      <c r="F427" s="454">
        <f t="shared" ref="F427:Q431" si="103">F99</f>
        <v>1.1399999999999999</v>
      </c>
      <c r="G427" s="454">
        <f t="shared" si="103"/>
        <v>1.1399999999999999</v>
      </c>
      <c r="H427" s="454">
        <f t="shared" si="103"/>
        <v>1.1399999999999999</v>
      </c>
      <c r="I427" s="454">
        <f t="shared" si="103"/>
        <v>1.1399999999999999</v>
      </c>
      <c r="J427" s="454">
        <f t="shared" si="103"/>
        <v>1.1399999999999999</v>
      </c>
      <c r="K427" s="454">
        <f t="shared" si="103"/>
        <v>1.1399999999999999</v>
      </c>
      <c r="L427" s="454">
        <f t="shared" si="103"/>
        <v>1.1399999999999999</v>
      </c>
      <c r="M427" s="454">
        <f t="shared" si="103"/>
        <v>1.1399999999999999</v>
      </c>
      <c r="N427" s="454">
        <f t="shared" si="103"/>
        <v>1.1399999999999999</v>
      </c>
      <c r="O427" s="454">
        <f t="shared" si="103"/>
        <v>1.1399999999999999</v>
      </c>
      <c r="P427" s="454">
        <f t="shared" si="103"/>
        <v>1.1399999999999999</v>
      </c>
      <c r="Q427" s="454">
        <f t="shared" si="103"/>
        <v>1.1399999999999999</v>
      </c>
      <c r="R427" s="394"/>
    </row>
    <row r="428" spans="1:20" x14ac:dyDescent="0.2">
      <c r="C428" s="32" t="s">
        <v>1070</v>
      </c>
      <c r="D428" s="32">
        <v>101</v>
      </c>
      <c r="E428" s="32" t="s">
        <v>957</v>
      </c>
      <c r="F428" s="454">
        <f t="shared" si="103"/>
        <v>1.05</v>
      </c>
      <c r="G428" s="454">
        <f t="shared" si="103"/>
        <v>1.05</v>
      </c>
      <c r="H428" s="454">
        <f t="shared" si="103"/>
        <v>1.05</v>
      </c>
      <c r="I428" s="454">
        <f t="shared" si="103"/>
        <v>1.05</v>
      </c>
      <c r="J428" s="454">
        <f t="shared" si="103"/>
        <v>1.05</v>
      </c>
      <c r="K428" s="454">
        <f t="shared" si="103"/>
        <v>1.05</v>
      </c>
      <c r="L428" s="454">
        <f t="shared" si="103"/>
        <v>1.05</v>
      </c>
      <c r="M428" s="454">
        <f t="shared" si="103"/>
        <v>1.05</v>
      </c>
      <c r="N428" s="454">
        <f t="shared" si="103"/>
        <v>1.05</v>
      </c>
      <c r="O428" s="454">
        <f t="shared" si="103"/>
        <v>1.05</v>
      </c>
      <c r="P428" s="454">
        <f t="shared" si="103"/>
        <v>1.05</v>
      </c>
      <c r="Q428" s="454">
        <f t="shared" si="103"/>
        <v>1.05</v>
      </c>
      <c r="R428" s="394"/>
    </row>
    <row r="429" spans="1:20" x14ac:dyDescent="0.2">
      <c r="B429" s="32" t="s">
        <v>1071</v>
      </c>
      <c r="D429" s="32">
        <v>41</v>
      </c>
      <c r="E429" s="32" t="s">
        <v>67</v>
      </c>
      <c r="F429" s="413">
        <f t="shared" si="103"/>
        <v>129.19</v>
      </c>
      <c r="G429" s="413">
        <f t="shared" si="103"/>
        <v>129.19</v>
      </c>
      <c r="H429" s="413">
        <f t="shared" si="103"/>
        <v>129.19</v>
      </c>
      <c r="I429" s="413">
        <f t="shared" si="103"/>
        <v>129.19</v>
      </c>
      <c r="J429" s="413">
        <f t="shared" si="103"/>
        <v>129.19</v>
      </c>
      <c r="K429" s="413">
        <f t="shared" si="103"/>
        <v>129.19</v>
      </c>
      <c r="L429" s="413">
        <f t="shared" si="103"/>
        <v>129.19</v>
      </c>
      <c r="M429" s="413">
        <f t="shared" si="103"/>
        <v>129.19</v>
      </c>
      <c r="N429" s="413">
        <f t="shared" si="103"/>
        <v>129.19</v>
      </c>
      <c r="O429" s="413">
        <f t="shared" si="103"/>
        <v>129.19</v>
      </c>
      <c r="P429" s="413">
        <f t="shared" si="103"/>
        <v>129.19</v>
      </c>
      <c r="Q429" s="413">
        <f t="shared" si="103"/>
        <v>129.19</v>
      </c>
      <c r="R429" s="394"/>
    </row>
    <row r="430" spans="1:20" x14ac:dyDescent="0.2">
      <c r="B430" s="32" t="s">
        <v>1050</v>
      </c>
      <c r="F430" s="453">
        <f>F102</f>
        <v>0.60158999999999996</v>
      </c>
      <c r="G430" s="453">
        <f t="shared" si="103"/>
        <v>0.60158999999999996</v>
      </c>
      <c r="H430" s="453">
        <f t="shared" si="103"/>
        <v>0.60158999999999996</v>
      </c>
      <c r="I430" s="453">
        <f t="shared" si="103"/>
        <v>0.60158999999999996</v>
      </c>
      <c r="J430" s="453">
        <f t="shared" si="103"/>
        <v>0.60158999999999996</v>
      </c>
      <c r="K430" s="453">
        <f t="shared" si="103"/>
        <v>0.60158999999999996</v>
      </c>
      <c r="L430" s="453">
        <f t="shared" si="103"/>
        <v>0.60158999999999996</v>
      </c>
      <c r="M430" s="453">
        <f t="shared" si="103"/>
        <v>0.60158999999999996</v>
      </c>
      <c r="N430" s="453">
        <f t="shared" si="103"/>
        <v>0.60158999999999996</v>
      </c>
      <c r="O430" s="453">
        <f t="shared" si="103"/>
        <v>0.60158999999999996</v>
      </c>
      <c r="P430" s="453">
        <f t="shared" si="103"/>
        <v>0.60158999999999996</v>
      </c>
      <c r="Q430" s="453">
        <f t="shared" si="103"/>
        <v>0.60158999999999996</v>
      </c>
      <c r="R430" s="394"/>
    </row>
    <row r="431" spans="1:20" x14ac:dyDescent="0.2">
      <c r="B431" s="32" t="s">
        <v>1072</v>
      </c>
      <c r="F431" s="517">
        <f>F103</f>
        <v>1</v>
      </c>
      <c r="G431" s="517">
        <f t="shared" si="103"/>
        <v>1</v>
      </c>
      <c r="H431" s="517">
        <f t="shared" si="103"/>
        <v>1</v>
      </c>
      <c r="I431" s="517">
        <f t="shared" si="103"/>
        <v>1</v>
      </c>
      <c r="J431" s="517">
        <f t="shared" si="103"/>
        <v>1</v>
      </c>
      <c r="K431" s="517">
        <f t="shared" si="103"/>
        <v>1</v>
      </c>
      <c r="L431" s="517">
        <f t="shared" si="103"/>
        <v>1</v>
      </c>
      <c r="M431" s="517">
        <f t="shared" si="103"/>
        <v>1</v>
      </c>
      <c r="N431" s="517">
        <f t="shared" si="103"/>
        <v>1</v>
      </c>
      <c r="O431" s="517">
        <f t="shared" si="103"/>
        <v>1</v>
      </c>
      <c r="P431" s="517">
        <f t="shared" si="103"/>
        <v>1</v>
      </c>
      <c r="Q431" s="517">
        <f t="shared" si="103"/>
        <v>1</v>
      </c>
      <c r="R431" s="394"/>
    </row>
    <row r="433" spans="1:20" x14ac:dyDescent="0.2">
      <c r="B433" s="276" t="s">
        <v>982</v>
      </c>
    </row>
    <row r="434" spans="1:20" x14ac:dyDescent="0.2">
      <c r="B434" s="32" t="s">
        <v>67</v>
      </c>
      <c r="E434" s="32" t="s">
        <v>67</v>
      </c>
      <c r="F434" s="397">
        <f>'JKP-3.1c - Data'!C142</f>
        <v>113</v>
      </c>
      <c r="G434" s="397">
        <f>'JKP-3.1c - Data'!D142</f>
        <v>114</v>
      </c>
      <c r="H434" s="397">
        <f>'JKP-3.1c - Data'!E142</f>
        <v>115</v>
      </c>
      <c r="I434" s="397">
        <f>'JKP-3.1c - Data'!F142</f>
        <v>115.00999999999999</v>
      </c>
      <c r="J434" s="397">
        <f>'JKP-3.1c - Data'!G142</f>
        <v>116</v>
      </c>
      <c r="K434" s="397">
        <f>'JKP-3.1c - Data'!H142</f>
        <v>117</v>
      </c>
      <c r="L434" s="397">
        <f>'JKP-3.1c - Data'!I142</f>
        <v>116</v>
      </c>
      <c r="M434" s="397">
        <f>'JKP-3.1c - Data'!J142</f>
        <v>114</v>
      </c>
      <c r="N434" s="397">
        <f>'JKP-3.1c - Data'!K142</f>
        <v>117</v>
      </c>
      <c r="O434" s="397">
        <f>'JKP-3.1c - Data'!L142</f>
        <v>115</v>
      </c>
      <c r="P434" s="397">
        <f>'JKP-3.1c - Data'!M142</f>
        <v>114</v>
      </c>
      <c r="Q434" s="397">
        <f>'JKP-3.1c - Data'!N142</f>
        <v>113</v>
      </c>
      <c r="R434" s="378">
        <f>SUM(F434:Q434)</f>
        <v>1379.01</v>
      </c>
    </row>
    <row r="435" spans="1:20" s="336" customFormat="1" x14ac:dyDescent="0.2">
      <c r="B435" s="336" t="s">
        <v>76</v>
      </c>
      <c r="F435" s="380"/>
      <c r="G435" s="380"/>
      <c r="H435" s="380"/>
      <c r="I435" s="380"/>
      <c r="J435" s="380"/>
      <c r="K435" s="380"/>
      <c r="L435" s="380"/>
      <c r="M435" s="380"/>
      <c r="N435" s="380"/>
      <c r="O435" s="380"/>
      <c r="P435" s="380"/>
      <c r="Q435" s="380"/>
      <c r="R435" s="378"/>
      <c r="S435" s="335"/>
      <c r="T435" s="415"/>
    </row>
    <row r="436" spans="1:20" s="336" customFormat="1" x14ac:dyDescent="0.2">
      <c r="C436" s="32" t="s">
        <v>1073</v>
      </c>
      <c r="E436" s="336" t="s">
        <v>10</v>
      </c>
      <c r="F436" s="421">
        <f>'JKP-3.1c - Rev Actual Rates'!F447</f>
        <v>96708</v>
      </c>
      <c r="G436" s="421">
        <f>'JKP-3.1c - Rev Actual Rates'!G447</f>
        <v>98814</v>
      </c>
      <c r="H436" s="421">
        <f>'JKP-3.1c - Rev Actual Rates'!H447</f>
        <v>100546</v>
      </c>
      <c r="I436" s="421">
        <f>'JKP-3.1c - Rev Actual Rates'!I447</f>
        <v>98365</v>
      </c>
      <c r="J436" s="421">
        <f>'JKP-3.1c - Rev Actual Rates'!J447</f>
        <v>99273</v>
      </c>
      <c r="K436" s="421">
        <f>'JKP-3.1c - Rev Actual Rates'!K447</f>
        <v>98975</v>
      </c>
      <c r="L436" s="421">
        <f>'JKP-3.1c - Rev Actual Rates'!L447</f>
        <v>96263</v>
      </c>
      <c r="M436" s="421">
        <f>'JKP-3.1c - Rev Actual Rates'!M447</f>
        <v>96802</v>
      </c>
      <c r="N436" s="421">
        <f>'JKP-3.1c - Rev Actual Rates'!N447</f>
        <v>96749</v>
      </c>
      <c r="O436" s="421">
        <f>'JKP-3.1c - Rev Actual Rates'!O447</f>
        <v>97341</v>
      </c>
      <c r="P436" s="421">
        <f>'JKP-3.1c - Rev Actual Rates'!P447</f>
        <v>96782</v>
      </c>
      <c r="Q436" s="421">
        <f>'JKP-3.1c - Rev Actual Rates'!Q447</f>
        <v>94311</v>
      </c>
      <c r="R436" s="378">
        <f>SUM(F436:Q436)</f>
        <v>1170929</v>
      </c>
      <c r="S436" s="335"/>
      <c r="T436" s="415"/>
    </row>
    <row r="437" spans="1:20" s="336" customFormat="1" x14ac:dyDescent="0.2">
      <c r="C437" s="32" t="s">
        <v>1074</v>
      </c>
      <c r="E437" s="336" t="s">
        <v>10</v>
      </c>
      <c r="F437" s="421">
        <f>'JKP-3.1c - Rev Actual Rates'!F448</f>
        <v>352054</v>
      </c>
      <c r="G437" s="421">
        <f>'JKP-3.1c - Rev Actual Rates'!G448</f>
        <v>345475</v>
      </c>
      <c r="H437" s="421">
        <f>'JKP-3.1c - Rev Actual Rates'!H448</f>
        <v>367064</v>
      </c>
      <c r="I437" s="421">
        <f>'JKP-3.1c - Rev Actual Rates'!I448</f>
        <v>353189</v>
      </c>
      <c r="J437" s="421">
        <f>'JKP-3.1c - Rev Actual Rates'!J448</f>
        <v>348836</v>
      </c>
      <c r="K437" s="421">
        <f>'JKP-3.1c - Rev Actual Rates'!K448</f>
        <v>334634</v>
      </c>
      <c r="L437" s="421">
        <f>'JKP-3.1c - Rev Actual Rates'!L448</f>
        <v>327120</v>
      </c>
      <c r="M437" s="421">
        <f>'JKP-3.1c - Rev Actual Rates'!M448</f>
        <v>325670</v>
      </c>
      <c r="N437" s="421">
        <f>'JKP-3.1c - Rev Actual Rates'!N448</f>
        <v>325112</v>
      </c>
      <c r="O437" s="421">
        <f>'JKP-3.1c - Rev Actual Rates'!O448</f>
        <v>349000</v>
      </c>
      <c r="P437" s="421">
        <f>'JKP-3.1c - Rev Actual Rates'!P448</f>
        <v>353036</v>
      </c>
      <c r="Q437" s="421">
        <f>'JKP-3.1c - Rev Actual Rates'!Q448</f>
        <v>349916</v>
      </c>
      <c r="R437" s="378">
        <f>SUM(F437:Q437)</f>
        <v>4131106</v>
      </c>
      <c r="S437" s="335"/>
      <c r="T437" s="415"/>
    </row>
    <row r="438" spans="1:20" s="336" customFormat="1" x14ac:dyDescent="0.2">
      <c r="C438" s="32" t="s">
        <v>1066</v>
      </c>
      <c r="E438" s="336" t="s">
        <v>10</v>
      </c>
      <c r="F438" s="421">
        <f>'JKP-3.1c - Rev Actual Rates'!F449</f>
        <v>876339</v>
      </c>
      <c r="G438" s="421">
        <f>'JKP-3.1c - Rev Actual Rates'!G449</f>
        <v>780629</v>
      </c>
      <c r="H438" s="421">
        <f>'JKP-3.1c - Rev Actual Rates'!H449</f>
        <v>932816</v>
      </c>
      <c r="I438" s="421">
        <f>'JKP-3.1c - Rev Actual Rates'!I449</f>
        <v>895181</v>
      </c>
      <c r="J438" s="421">
        <f>'JKP-3.1c - Rev Actual Rates'!J449</f>
        <v>892014</v>
      </c>
      <c r="K438" s="421">
        <f>'JKP-3.1c - Rev Actual Rates'!K449</f>
        <v>765060</v>
      </c>
      <c r="L438" s="421">
        <f>'JKP-3.1c - Rev Actual Rates'!L449</f>
        <v>743455</v>
      </c>
      <c r="M438" s="421">
        <f>'JKP-3.1c - Rev Actual Rates'!M449</f>
        <v>795102</v>
      </c>
      <c r="N438" s="421">
        <f>'JKP-3.1c - Rev Actual Rates'!N449</f>
        <v>775672</v>
      </c>
      <c r="O438" s="421">
        <f>'JKP-3.1c - Rev Actual Rates'!O449</f>
        <v>893813</v>
      </c>
      <c r="P438" s="421">
        <f>'JKP-3.1c - Rev Actual Rates'!P449</f>
        <v>937058</v>
      </c>
      <c r="Q438" s="421">
        <f>'JKP-3.1c - Rev Actual Rates'!Q449</f>
        <v>940057</v>
      </c>
      <c r="R438" s="378">
        <f>SUM(F438:Q438)</f>
        <v>10227196</v>
      </c>
      <c r="S438" s="335"/>
      <c r="T438" s="415"/>
    </row>
    <row r="439" spans="1:20" s="336" customFormat="1" x14ac:dyDescent="0.2">
      <c r="C439" s="336" t="s">
        <v>1075</v>
      </c>
      <c r="E439" s="336" t="s">
        <v>10</v>
      </c>
      <c r="F439" s="436">
        <f t="shared" ref="F439:R439" si="104">SUM(F436:F438)</f>
        <v>1325101</v>
      </c>
      <c r="G439" s="436">
        <f t="shared" si="104"/>
        <v>1224918</v>
      </c>
      <c r="H439" s="436">
        <f t="shared" si="104"/>
        <v>1400426</v>
      </c>
      <c r="I439" s="436">
        <f t="shared" si="104"/>
        <v>1346735</v>
      </c>
      <c r="J439" s="436">
        <f t="shared" si="104"/>
        <v>1340123</v>
      </c>
      <c r="K439" s="436">
        <f t="shared" si="104"/>
        <v>1198669</v>
      </c>
      <c r="L439" s="436">
        <f t="shared" si="104"/>
        <v>1166838</v>
      </c>
      <c r="M439" s="436">
        <f t="shared" si="104"/>
        <v>1217574</v>
      </c>
      <c r="N439" s="436">
        <f t="shared" si="104"/>
        <v>1197533</v>
      </c>
      <c r="O439" s="436">
        <f t="shared" si="104"/>
        <v>1340154</v>
      </c>
      <c r="P439" s="436">
        <f t="shared" si="104"/>
        <v>1386876</v>
      </c>
      <c r="Q439" s="436">
        <f t="shared" si="104"/>
        <v>1384284</v>
      </c>
      <c r="R439" s="436">
        <f t="shared" si="104"/>
        <v>15529231</v>
      </c>
      <c r="S439" s="335"/>
      <c r="T439" s="415"/>
    </row>
    <row r="440" spans="1:20" s="336" customFormat="1" x14ac:dyDescent="0.2">
      <c r="B440" s="336" t="s">
        <v>74</v>
      </c>
      <c r="E440" s="336" t="s">
        <v>1076</v>
      </c>
      <c r="F440" s="421">
        <f>'JKP-3.1c - Rev Actual Rates'!F451</f>
        <v>57110.51</v>
      </c>
      <c r="G440" s="421">
        <f>'JKP-3.1c - Rev Actual Rates'!G451</f>
        <v>57496.51</v>
      </c>
      <c r="H440" s="421">
        <f>'JKP-3.1c - Rev Actual Rates'!H451</f>
        <v>58536.51</v>
      </c>
      <c r="I440" s="421">
        <f>'JKP-3.1c - Rev Actual Rates'!I451</f>
        <v>58147.519999999997</v>
      </c>
      <c r="J440" s="421">
        <f>'JKP-3.1c - Rev Actual Rates'!J451</f>
        <v>58460.499999999993</v>
      </c>
      <c r="K440" s="421">
        <f>'JKP-3.1c - Rev Actual Rates'!K451</f>
        <v>58908.51</v>
      </c>
      <c r="L440" s="421">
        <f>'JKP-3.1c - Rev Actual Rates'!L451</f>
        <v>57873</v>
      </c>
      <c r="M440" s="421">
        <f>'JKP-3.1c - Rev Actual Rates'!M451</f>
        <v>57441</v>
      </c>
      <c r="N440" s="421">
        <f>'JKP-3.1c - Rev Actual Rates'!N451</f>
        <v>57931</v>
      </c>
      <c r="O440" s="421">
        <f>'JKP-3.1c - Rev Actual Rates'!O451</f>
        <v>57777</v>
      </c>
      <c r="P440" s="421">
        <f>'JKP-3.1c - Rev Actual Rates'!P451</f>
        <v>57723</v>
      </c>
      <c r="Q440" s="421">
        <f>'JKP-3.1c - Rev Actual Rates'!Q451</f>
        <v>57689</v>
      </c>
      <c r="R440" s="378">
        <f>SUM(F440:Q440)</f>
        <v>695094.06</v>
      </c>
      <c r="S440" s="335"/>
      <c r="T440" s="415"/>
    </row>
    <row r="441" spans="1:20" s="336" customFormat="1" x14ac:dyDescent="0.2">
      <c r="B441" s="336" t="s">
        <v>1071</v>
      </c>
      <c r="E441" s="336" t="s">
        <v>67</v>
      </c>
      <c r="F441" s="380"/>
      <c r="G441" s="380"/>
      <c r="H441" s="380"/>
      <c r="I441" s="380"/>
      <c r="J441" s="380"/>
      <c r="K441" s="380"/>
      <c r="L441" s="380"/>
      <c r="M441" s="380"/>
      <c r="N441" s="380"/>
      <c r="O441" s="380"/>
      <c r="P441" s="380"/>
      <c r="Q441" s="380"/>
      <c r="R441" s="378"/>
      <c r="S441" s="335"/>
      <c r="T441" s="415"/>
    </row>
    <row r="442" spans="1:20" s="336" customFormat="1" x14ac:dyDescent="0.2">
      <c r="F442" s="362"/>
      <c r="G442" s="362"/>
      <c r="H442" s="362"/>
      <c r="I442" s="362"/>
      <c r="J442" s="362"/>
      <c r="K442" s="362"/>
      <c r="L442" s="362"/>
      <c r="M442" s="362"/>
      <c r="N442" s="362"/>
      <c r="O442" s="362"/>
      <c r="P442" s="362"/>
      <c r="Q442" s="362"/>
      <c r="R442" s="362"/>
      <c r="S442" s="335"/>
      <c r="T442" s="415"/>
    </row>
    <row r="443" spans="1:20" s="336" customFormat="1" x14ac:dyDescent="0.2">
      <c r="B443" s="182" t="s">
        <v>985</v>
      </c>
      <c r="R443" s="179"/>
      <c r="S443" s="335"/>
      <c r="T443" s="415"/>
    </row>
    <row r="444" spans="1:20" s="336" customFormat="1" x14ac:dyDescent="0.2">
      <c r="A444" s="336" t="s">
        <v>1054</v>
      </c>
      <c r="B444" s="336" t="s">
        <v>1059</v>
      </c>
      <c r="D444" s="336">
        <v>41</v>
      </c>
      <c r="F444" s="418">
        <f t="shared" ref="F444:Q444" si="105">F421*F434</f>
        <v>12646.960000000001</v>
      </c>
      <c r="G444" s="418">
        <f t="shared" si="105"/>
        <v>12758.880000000001</v>
      </c>
      <c r="H444" s="418">
        <f t="shared" si="105"/>
        <v>12870.800000000001</v>
      </c>
      <c r="I444" s="418">
        <f t="shared" si="105"/>
        <v>12871.919199999998</v>
      </c>
      <c r="J444" s="418">
        <f t="shared" si="105"/>
        <v>12982.72</v>
      </c>
      <c r="K444" s="418">
        <f t="shared" si="105"/>
        <v>13094.64</v>
      </c>
      <c r="L444" s="418">
        <f t="shared" si="105"/>
        <v>12982.72</v>
      </c>
      <c r="M444" s="418">
        <f t="shared" si="105"/>
        <v>12758.880000000001</v>
      </c>
      <c r="N444" s="418">
        <f t="shared" si="105"/>
        <v>13094.64</v>
      </c>
      <c r="O444" s="418">
        <f t="shared" si="105"/>
        <v>12870.800000000001</v>
      </c>
      <c r="P444" s="418">
        <f t="shared" si="105"/>
        <v>12758.880000000001</v>
      </c>
      <c r="Q444" s="418">
        <f t="shared" si="105"/>
        <v>12646.960000000001</v>
      </c>
      <c r="R444" s="437">
        <f>SUM(F444:Q444)</f>
        <v>154338.79920000001</v>
      </c>
      <c r="S444" s="335"/>
      <c r="T444" s="415"/>
    </row>
    <row r="445" spans="1:20" s="336" customFormat="1" x14ac:dyDescent="0.2">
      <c r="B445" s="336" t="s">
        <v>1047</v>
      </c>
      <c r="F445" s="418"/>
      <c r="G445" s="418"/>
      <c r="H445" s="418"/>
      <c r="I445" s="418"/>
      <c r="J445" s="418"/>
      <c r="K445" s="418"/>
      <c r="L445" s="418"/>
      <c r="M445" s="418"/>
      <c r="N445" s="418"/>
      <c r="O445" s="418"/>
      <c r="P445" s="418"/>
      <c r="Q445" s="418"/>
      <c r="R445" s="437"/>
      <c r="S445" s="335"/>
      <c r="T445" s="415"/>
    </row>
    <row r="446" spans="1:20" s="336" customFormat="1" x14ac:dyDescent="0.2">
      <c r="C446" s="32" t="s">
        <v>1073</v>
      </c>
      <c r="F446" s="350">
        <v>0</v>
      </c>
      <c r="G446" s="350">
        <v>0</v>
      </c>
      <c r="H446" s="350">
        <v>0</v>
      </c>
      <c r="I446" s="350">
        <v>0</v>
      </c>
      <c r="J446" s="350">
        <v>0</v>
      </c>
      <c r="K446" s="350">
        <v>0</v>
      </c>
      <c r="L446" s="350">
        <v>0</v>
      </c>
      <c r="M446" s="350">
        <v>0</v>
      </c>
      <c r="N446" s="350">
        <v>0</v>
      </c>
      <c r="O446" s="350">
        <v>0</v>
      </c>
      <c r="P446" s="350">
        <v>0</v>
      </c>
      <c r="Q446" s="350">
        <v>0</v>
      </c>
      <c r="R446" s="437">
        <f>SUM(F446:Q446)</f>
        <v>0</v>
      </c>
      <c r="S446" s="335"/>
      <c r="T446" s="415"/>
    </row>
    <row r="447" spans="1:20" s="336" customFormat="1" x14ac:dyDescent="0.2">
      <c r="C447" s="32" t="s">
        <v>1074</v>
      </c>
      <c r="D447" s="336">
        <v>41</v>
      </c>
      <c r="F447" s="418">
        <f t="shared" ref="F447:Q448" si="106">F423*F437</f>
        <v>50533.831160000002</v>
      </c>
      <c r="G447" s="418">
        <f t="shared" si="106"/>
        <v>49589.481500000002</v>
      </c>
      <c r="H447" s="418">
        <f t="shared" si="106"/>
        <v>52688.366560000002</v>
      </c>
      <c r="I447" s="418">
        <f t="shared" si="106"/>
        <v>50696.749060000002</v>
      </c>
      <c r="J447" s="418">
        <f t="shared" si="106"/>
        <v>50071.919439999998</v>
      </c>
      <c r="K447" s="418">
        <f t="shared" si="106"/>
        <v>48033.36436</v>
      </c>
      <c r="L447" s="418">
        <f t="shared" si="106"/>
        <v>46954.804799999998</v>
      </c>
      <c r="M447" s="418">
        <f t="shared" si="106"/>
        <v>46746.671800000004</v>
      </c>
      <c r="N447" s="418">
        <f t="shared" si="106"/>
        <v>46666.576480000003</v>
      </c>
      <c r="O447" s="418">
        <f t="shared" si="106"/>
        <v>50095.46</v>
      </c>
      <c r="P447" s="418">
        <f t="shared" si="106"/>
        <v>50674.78744</v>
      </c>
      <c r="Q447" s="418">
        <f t="shared" si="106"/>
        <v>50226.942640000001</v>
      </c>
      <c r="R447" s="437">
        <f>SUM(F447:Q447)</f>
        <v>592978.95524000004</v>
      </c>
      <c r="S447" s="335"/>
      <c r="T447" s="415"/>
    </row>
    <row r="448" spans="1:20" s="336" customFormat="1" x14ac:dyDescent="0.2">
      <c r="C448" s="32" t="s">
        <v>1066</v>
      </c>
      <c r="D448" s="336">
        <v>41</v>
      </c>
      <c r="F448" s="418">
        <f t="shared" si="106"/>
        <v>102654.35046</v>
      </c>
      <c r="G448" s="418">
        <f t="shared" si="106"/>
        <v>91442.88106</v>
      </c>
      <c r="H448" s="418">
        <f t="shared" si="106"/>
        <v>109270.06624</v>
      </c>
      <c r="I448" s="418">
        <f t="shared" si="106"/>
        <v>104861.50233999999</v>
      </c>
      <c r="J448" s="418">
        <f t="shared" si="106"/>
        <v>104490.51995999999</v>
      </c>
      <c r="K448" s="418">
        <f t="shared" si="106"/>
        <v>89619.128400000001</v>
      </c>
      <c r="L448" s="418">
        <f t="shared" si="106"/>
        <v>87088.318699999989</v>
      </c>
      <c r="M448" s="418">
        <f t="shared" si="106"/>
        <v>93138.24828</v>
      </c>
      <c r="N448" s="418">
        <f t="shared" si="106"/>
        <v>90862.218079999991</v>
      </c>
      <c r="O448" s="418">
        <f t="shared" si="106"/>
        <v>104701.25482</v>
      </c>
      <c r="P448" s="418">
        <f t="shared" si="106"/>
        <v>109766.97412</v>
      </c>
      <c r="Q448" s="418">
        <f t="shared" si="106"/>
        <v>110118.27698</v>
      </c>
      <c r="R448" s="437">
        <f>SUM(F448:Q448)</f>
        <v>1198013.7394400002</v>
      </c>
      <c r="S448" s="335"/>
      <c r="T448" s="415"/>
    </row>
    <row r="449" spans="1:20" s="336" customFormat="1" x14ac:dyDescent="0.2">
      <c r="A449" s="336" t="s">
        <v>1054</v>
      </c>
      <c r="C449" s="336" t="s">
        <v>1077</v>
      </c>
      <c r="F449" s="365">
        <f t="shared" ref="F449:R449" si="107">SUM(F446:F448)</f>
        <v>153188.18161999999</v>
      </c>
      <c r="G449" s="365">
        <f t="shared" si="107"/>
        <v>141032.36256000001</v>
      </c>
      <c r="H449" s="365">
        <f t="shared" si="107"/>
        <v>161958.43280000001</v>
      </c>
      <c r="I449" s="365">
        <f t="shared" si="107"/>
        <v>155558.25140000001</v>
      </c>
      <c r="J449" s="365">
        <f t="shared" si="107"/>
        <v>154562.43939999997</v>
      </c>
      <c r="K449" s="365">
        <f t="shared" si="107"/>
        <v>137652.49275999999</v>
      </c>
      <c r="L449" s="365">
        <f t="shared" si="107"/>
        <v>134043.12349999999</v>
      </c>
      <c r="M449" s="365">
        <f t="shared" si="107"/>
        <v>139884.92008000001</v>
      </c>
      <c r="N449" s="365">
        <f t="shared" si="107"/>
        <v>137528.79456000001</v>
      </c>
      <c r="O449" s="365">
        <f t="shared" si="107"/>
        <v>154796.71481999999</v>
      </c>
      <c r="P449" s="365">
        <f t="shared" si="107"/>
        <v>160441.76156000001</v>
      </c>
      <c r="Q449" s="365">
        <f t="shared" si="107"/>
        <v>160345.21961999999</v>
      </c>
      <c r="R449" s="365">
        <f t="shared" si="107"/>
        <v>1790992.6946800002</v>
      </c>
      <c r="S449" s="335"/>
      <c r="T449" s="415"/>
    </row>
    <row r="450" spans="1:20" s="336" customFormat="1" x14ac:dyDescent="0.2">
      <c r="A450" s="336" t="s">
        <v>1056</v>
      </c>
      <c r="B450" s="415" t="s">
        <v>1057</v>
      </c>
      <c r="D450" s="336">
        <v>101</v>
      </c>
      <c r="F450" s="418">
        <f t="shared" ref="F450:Q450" si="108">F425*F439</f>
        <v>833197.00678000005</v>
      </c>
      <c r="G450" s="418">
        <f t="shared" si="108"/>
        <v>770203.94004000002</v>
      </c>
      <c r="H450" s="418">
        <f t="shared" si="108"/>
        <v>880559.86028000002</v>
      </c>
      <c r="I450" s="418">
        <f t="shared" si="108"/>
        <v>846800.03330000001</v>
      </c>
      <c r="J450" s="418">
        <f t="shared" si="108"/>
        <v>842642.53994000005</v>
      </c>
      <c r="K450" s="418">
        <f t="shared" si="108"/>
        <v>753699.09381999995</v>
      </c>
      <c r="L450" s="418">
        <f t="shared" si="108"/>
        <v>733684.39763999998</v>
      </c>
      <c r="M450" s="418">
        <f t="shared" si="108"/>
        <v>765586.17972000001</v>
      </c>
      <c r="N450" s="418">
        <f t="shared" si="108"/>
        <v>752984.79974000005</v>
      </c>
      <c r="O450" s="418">
        <f t="shared" si="108"/>
        <v>842662.03211999999</v>
      </c>
      <c r="P450" s="418">
        <f t="shared" si="108"/>
        <v>872039.89127999998</v>
      </c>
      <c r="Q450" s="418">
        <f t="shared" si="108"/>
        <v>870410.09351999999</v>
      </c>
      <c r="R450" s="437">
        <f>SUM(F450:Q450)</f>
        <v>9764469.8681799993</v>
      </c>
      <c r="S450" s="335"/>
      <c r="T450" s="415"/>
    </row>
    <row r="451" spans="1:20" s="336" customFormat="1" x14ac:dyDescent="0.2">
      <c r="B451" s="336" t="s">
        <v>1068</v>
      </c>
      <c r="F451" s="418"/>
      <c r="G451" s="418"/>
      <c r="H451" s="418"/>
      <c r="I451" s="418"/>
      <c r="J451" s="418"/>
      <c r="K451" s="418"/>
      <c r="L451" s="418"/>
      <c r="M451" s="418"/>
      <c r="N451" s="418"/>
      <c r="O451" s="418"/>
      <c r="P451" s="418"/>
      <c r="Q451" s="418"/>
      <c r="R451" s="437"/>
      <c r="S451" s="335"/>
      <c r="T451" s="415"/>
    </row>
    <row r="452" spans="1:20" s="336" customFormat="1" x14ac:dyDescent="0.2">
      <c r="A452" s="336" t="s">
        <v>1054</v>
      </c>
      <c r="C452" s="336" t="s">
        <v>1069</v>
      </c>
      <c r="D452" s="336">
        <v>41</v>
      </c>
      <c r="F452" s="418">
        <f t="shared" ref="F452:Q452" si="109">F427*F440</f>
        <v>65105.981399999997</v>
      </c>
      <c r="G452" s="418">
        <f t="shared" si="109"/>
        <v>65546.021399999998</v>
      </c>
      <c r="H452" s="418">
        <f t="shared" si="109"/>
        <v>66731.621400000004</v>
      </c>
      <c r="I452" s="418">
        <f t="shared" si="109"/>
        <v>66288.172799999986</v>
      </c>
      <c r="J452" s="418">
        <f t="shared" si="109"/>
        <v>66644.969999999987</v>
      </c>
      <c r="K452" s="418">
        <f t="shared" si="109"/>
        <v>67155.701399999991</v>
      </c>
      <c r="L452" s="418">
        <f t="shared" si="109"/>
        <v>65975.22</v>
      </c>
      <c r="M452" s="418">
        <f t="shared" si="109"/>
        <v>65482.74</v>
      </c>
      <c r="N452" s="418">
        <f t="shared" si="109"/>
        <v>66041.34</v>
      </c>
      <c r="O452" s="418">
        <f t="shared" si="109"/>
        <v>65865.78</v>
      </c>
      <c r="P452" s="418">
        <f t="shared" si="109"/>
        <v>65804.22</v>
      </c>
      <c r="Q452" s="418">
        <f t="shared" si="109"/>
        <v>65765.459999999992</v>
      </c>
      <c r="R452" s="437">
        <f>SUM(F452:Q452)</f>
        <v>792407.22839999979</v>
      </c>
      <c r="S452" s="335"/>
      <c r="T452" s="415"/>
    </row>
    <row r="453" spans="1:20" s="336" customFormat="1" x14ac:dyDescent="0.2">
      <c r="A453" s="336" t="s">
        <v>1056</v>
      </c>
      <c r="C453" s="336" t="s">
        <v>1070</v>
      </c>
      <c r="D453" s="336">
        <v>101</v>
      </c>
      <c r="F453" s="418">
        <f t="shared" ref="F453:Q453" si="110">F428*F440</f>
        <v>59966.035500000005</v>
      </c>
      <c r="G453" s="418">
        <f t="shared" si="110"/>
        <v>60371.335500000008</v>
      </c>
      <c r="H453" s="418">
        <f t="shared" si="110"/>
        <v>61463.335500000008</v>
      </c>
      <c r="I453" s="418">
        <f t="shared" si="110"/>
        <v>61054.896000000001</v>
      </c>
      <c r="J453" s="418">
        <f t="shared" si="110"/>
        <v>61383.524999999994</v>
      </c>
      <c r="K453" s="418">
        <f t="shared" si="110"/>
        <v>61853.935500000007</v>
      </c>
      <c r="L453" s="418">
        <f t="shared" si="110"/>
        <v>60766.65</v>
      </c>
      <c r="M453" s="418">
        <f t="shared" si="110"/>
        <v>60313.05</v>
      </c>
      <c r="N453" s="418">
        <f t="shared" si="110"/>
        <v>60827.55</v>
      </c>
      <c r="O453" s="418">
        <f t="shared" si="110"/>
        <v>60665.850000000006</v>
      </c>
      <c r="P453" s="418">
        <f t="shared" si="110"/>
        <v>60609.15</v>
      </c>
      <c r="Q453" s="418">
        <f t="shared" si="110"/>
        <v>60573.450000000004</v>
      </c>
      <c r="R453" s="437">
        <f>SUM(F453:Q453)</f>
        <v>729848.76300000004</v>
      </c>
      <c r="S453" s="335"/>
      <c r="T453" s="415"/>
    </row>
    <row r="454" spans="1:20" s="336" customFormat="1" x14ac:dyDescent="0.2">
      <c r="C454" s="336" t="s">
        <v>1078</v>
      </c>
      <c r="F454" s="339">
        <f t="shared" ref="F454:R454" si="111">SUM(F452:F453)</f>
        <v>125072.0169</v>
      </c>
      <c r="G454" s="339">
        <f t="shared" si="111"/>
        <v>125917.35690000001</v>
      </c>
      <c r="H454" s="339">
        <f t="shared" si="111"/>
        <v>128194.95690000002</v>
      </c>
      <c r="I454" s="339">
        <f t="shared" si="111"/>
        <v>127343.06879999998</v>
      </c>
      <c r="J454" s="339">
        <f t="shared" si="111"/>
        <v>128028.49499999998</v>
      </c>
      <c r="K454" s="339">
        <f t="shared" si="111"/>
        <v>129009.6369</v>
      </c>
      <c r="L454" s="339">
        <f t="shared" si="111"/>
        <v>126741.87</v>
      </c>
      <c r="M454" s="339">
        <f t="shared" si="111"/>
        <v>125795.79000000001</v>
      </c>
      <c r="N454" s="339">
        <f t="shared" si="111"/>
        <v>126868.89</v>
      </c>
      <c r="O454" s="339">
        <f t="shared" si="111"/>
        <v>126531.63</v>
      </c>
      <c r="P454" s="339">
        <f t="shared" si="111"/>
        <v>126413.37</v>
      </c>
      <c r="Q454" s="339">
        <f t="shared" si="111"/>
        <v>126338.91</v>
      </c>
      <c r="R454" s="339">
        <f t="shared" si="111"/>
        <v>1522255.9913999997</v>
      </c>
      <c r="S454" s="335"/>
      <c r="T454" s="415"/>
    </row>
    <row r="455" spans="1:20" s="336" customFormat="1" x14ac:dyDescent="0.2">
      <c r="A455" s="336" t="s">
        <v>1054</v>
      </c>
      <c r="B455" s="336" t="s">
        <v>1071</v>
      </c>
      <c r="D455" s="336">
        <v>41</v>
      </c>
      <c r="F455" s="418">
        <f t="shared" ref="F455:Q455" si="112">F434*F429</f>
        <v>14598.47</v>
      </c>
      <c r="G455" s="418">
        <f t="shared" si="112"/>
        <v>14727.66</v>
      </c>
      <c r="H455" s="418">
        <f t="shared" si="112"/>
        <v>14856.85</v>
      </c>
      <c r="I455" s="418">
        <f t="shared" si="112"/>
        <v>14858.141899999999</v>
      </c>
      <c r="J455" s="418">
        <f t="shared" si="112"/>
        <v>14986.039999999999</v>
      </c>
      <c r="K455" s="418">
        <f t="shared" si="112"/>
        <v>15115.23</v>
      </c>
      <c r="L455" s="418">
        <f t="shared" si="112"/>
        <v>14986.039999999999</v>
      </c>
      <c r="M455" s="418">
        <f t="shared" si="112"/>
        <v>14727.66</v>
      </c>
      <c r="N455" s="418">
        <f t="shared" si="112"/>
        <v>15115.23</v>
      </c>
      <c r="O455" s="418">
        <f t="shared" si="112"/>
        <v>14856.85</v>
      </c>
      <c r="P455" s="418">
        <f t="shared" si="112"/>
        <v>14727.66</v>
      </c>
      <c r="Q455" s="418">
        <f t="shared" si="112"/>
        <v>14598.47</v>
      </c>
      <c r="R455" s="437">
        <f>SUM(F455:Q455)</f>
        <v>178154.30189999999</v>
      </c>
      <c r="S455" s="335"/>
      <c r="T455" s="415"/>
    </row>
    <row r="456" spans="1:20" s="336" customFormat="1" x14ac:dyDescent="0.2">
      <c r="B456" s="336" t="s">
        <v>1079</v>
      </c>
      <c r="F456" s="339">
        <f t="shared" ref="F456:R456" si="113">F450+F453</f>
        <v>893163.04228000005</v>
      </c>
      <c r="G456" s="339">
        <f t="shared" si="113"/>
        <v>830575.27554000006</v>
      </c>
      <c r="H456" s="339">
        <f t="shared" si="113"/>
        <v>942023.19578000007</v>
      </c>
      <c r="I456" s="339">
        <f t="shared" si="113"/>
        <v>907854.92929999996</v>
      </c>
      <c r="J456" s="339">
        <f t="shared" si="113"/>
        <v>904026.06494000007</v>
      </c>
      <c r="K456" s="339">
        <f t="shared" si="113"/>
        <v>815553.02931999997</v>
      </c>
      <c r="L456" s="339">
        <f t="shared" si="113"/>
        <v>794451.04764</v>
      </c>
      <c r="M456" s="339">
        <f t="shared" si="113"/>
        <v>825899.22972000006</v>
      </c>
      <c r="N456" s="339">
        <f t="shared" si="113"/>
        <v>813812.34974000009</v>
      </c>
      <c r="O456" s="339">
        <f t="shared" si="113"/>
        <v>903327.88211999997</v>
      </c>
      <c r="P456" s="339">
        <f t="shared" si="113"/>
        <v>932649.04128</v>
      </c>
      <c r="Q456" s="339">
        <f t="shared" si="113"/>
        <v>930983.54351999995</v>
      </c>
      <c r="R456" s="339">
        <f t="shared" si="113"/>
        <v>10494318.63118</v>
      </c>
      <c r="S456" s="335"/>
      <c r="T456" s="415"/>
    </row>
    <row r="457" spans="1:20" s="336" customFormat="1" x14ac:dyDescent="0.2">
      <c r="B457" s="336" t="s">
        <v>986</v>
      </c>
      <c r="F457" s="339">
        <f t="shared" ref="F457:R457" si="114">F444+F449+F450+F454+F455</f>
        <v>1138702.6353</v>
      </c>
      <c r="G457" s="339">
        <f t="shared" si="114"/>
        <v>1064640.1994999999</v>
      </c>
      <c r="H457" s="339">
        <f t="shared" si="114"/>
        <v>1198440.8999800002</v>
      </c>
      <c r="I457" s="339">
        <f t="shared" si="114"/>
        <v>1157431.4146</v>
      </c>
      <c r="J457" s="339">
        <f t="shared" si="114"/>
        <v>1153202.23434</v>
      </c>
      <c r="K457" s="339">
        <f t="shared" si="114"/>
        <v>1048571.09348</v>
      </c>
      <c r="L457" s="339">
        <f t="shared" si="114"/>
        <v>1022438.15114</v>
      </c>
      <c r="M457" s="339">
        <f t="shared" si="114"/>
        <v>1058753.4298</v>
      </c>
      <c r="N457" s="339">
        <f t="shared" si="114"/>
        <v>1045592.3543000001</v>
      </c>
      <c r="O457" s="339">
        <f t="shared" si="114"/>
        <v>1151718.0269400002</v>
      </c>
      <c r="P457" s="339">
        <f t="shared" si="114"/>
        <v>1186381.56284</v>
      </c>
      <c r="Q457" s="339">
        <f t="shared" si="114"/>
        <v>1184339.6531399998</v>
      </c>
      <c r="R457" s="339">
        <f t="shared" si="114"/>
        <v>13410211.655359998</v>
      </c>
      <c r="S457" s="335"/>
      <c r="T457" s="340"/>
    </row>
    <row r="458" spans="1:20" s="336" customFormat="1" x14ac:dyDescent="0.2">
      <c r="F458" s="418"/>
      <c r="G458" s="418"/>
      <c r="H458" s="418"/>
      <c r="I458" s="418"/>
      <c r="J458" s="418"/>
      <c r="K458" s="418"/>
      <c r="L458" s="418"/>
      <c r="M458" s="418"/>
      <c r="N458" s="418"/>
      <c r="O458" s="418"/>
      <c r="P458" s="418"/>
      <c r="Q458" s="418"/>
      <c r="R458" s="437"/>
      <c r="S458" s="335"/>
      <c r="T458" s="415"/>
    </row>
    <row r="459" spans="1:20" s="336" customFormat="1" x14ac:dyDescent="0.2">
      <c r="A459" s="32" t="s">
        <v>1058</v>
      </c>
      <c r="B459" s="32" t="s">
        <v>1050</v>
      </c>
      <c r="F459" s="418">
        <f>F430*F439+F440*F431</f>
        <v>854278.02058999997</v>
      </c>
      <c r="G459" s="418">
        <f t="shared" ref="G459:Q459" si="115">G430*G439+G440*G431</f>
        <v>794394.92961999995</v>
      </c>
      <c r="H459" s="418">
        <f t="shared" si="115"/>
        <v>901018.78733999992</v>
      </c>
      <c r="I459" s="418">
        <f t="shared" si="115"/>
        <v>868329.82864999992</v>
      </c>
      <c r="J459" s="418">
        <f t="shared" si="115"/>
        <v>864665.09556999989</v>
      </c>
      <c r="K459" s="418">
        <f t="shared" si="115"/>
        <v>780015.79371</v>
      </c>
      <c r="L459" s="418">
        <f t="shared" si="115"/>
        <v>759831.07241999998</v>
      </c>
      <c r="M459" s="418">
        <f t="shared" si="115"/>
        <v>789921.34265999997</v>
      </c>
      <c r="N459" s="418">
        <f t="shared" si="115"/>
        <v>778354.87746999995</v>
      </c>
      <c r="O459" s="418">
        <f t="shared" si="115"/>
        <v>864000.24485999998</v>
      </c>
      <c r="P459" s="418">
        <f t="shared" si="115"/>
        <v>892053.73283999995</v>
      </c>
      <c r="Q459" s="418">
        <f t="shared" si="115"/>
        <v>890460.41155999992</v>
      </c>
      <c r="R459" s="437">
        <f>SUM(F459:Q459)</f>
        <v>10037324.137289997</v>
      </c>
      <c r="S459" s="335"/>
      <c r="T459" s="415"/>
    </row>
    <row r="460" spans="1:20" s="336" customFormat="1" x14ac:dyDescent="0.2">
      <c r="F460" s="418"/>
      <c r="G460" s="418"/>
      <c r="H460" s="418"/>
      <c r="I460" s="418"/>
      <c r="J460" s="418"/>
      <c r="K460" s="418"/>
      <c r="L460" s="418"/>
      <c r="M460" s="418"/>
      <c r="N460" s="418"/>
      <c r="O460" s="418"/>
      <c r="P460" s="418"/>
      <c r="Q460" s="418"/>
      <c r="R460" s="437"/>
      <c r="S460" s="335"/>
      <c r="T460" s="415"/>
    </row>
    <row r="461" spans="1:20" s="336" customFormat="1" x14ac:dyDescent="0.2">
      <c r="B461" s="182" t="s">
        <v>1102</v>
      </c>
      <c r="C461" s="182"/>
      <c r="F461" s="415"/>
      <c r="G461" s="415"/>
      <c r="H461" s="415"/>
      <c r="I461" s="415"/>
      <c r="J461" s="415"/>
    </row>
    <row r="462" spans="1:20" s="336" customFormat="1" x14ac:dyDescent="0.2">
      <c r="B462" s="182" t="s">
        <v>5</v>
      </c>
      <c r="C462" s="182"/>
      <c r="F462" s="415"/>
      <c r="G462" s="415"/>
      <c r="H462" s="415"/>
      <c r="I462" s="415"/>
      <c r="J462" s="415"/>
    </row>
    <row r="463" spans="1:20" s="336" customFormat="1" x14ac:dyDescent="0.2">
      <c r="B463" s="336" t="s">
        <v>1059</v>
      </c>
      <c r="D463" s="444" t="s">
        <v>808</v>
      </c>
      <c r="E463" s="336" t="s">
        <v>976</v>
      </c>
      <c r="F463" s="455">
        <f t="shared" ref="F463:Q463" si="116">F135</f>
        <v>431.69</v>
      </c>
      <c r="G463" s="455">
        <f t="shared" si="116"/>
        <v>431.69</v>
      </c>
      <c r="H463" s="455">
        <f t="shared" si="116"/>
        <v>431.69</v>
      </c>
      <c r="I463" s="455">
        <f t="shared" si="116"/>
        <v>431.69</v>
      </c>
      <c r="J463" s="455">
        <f t="shared" si="116"/>
        <v>431.69</v>
      </c>
      <c r="K463" s="455">
        <f t="shared" si="116"/>
        <v>431.69</v>
      </c>
      <c r="L463" s="455">
        <f t="shared" si="116"/>
        <v>431.69</v>
      </c>
      <c r="M463" s="455">
        <f t="shared" si="116"/>
        <v>431.69</v>
      </c>
      <c r="N463" s="455">
        <f t="shared" si="116"/>
        <v>431.69</v>
      </c>
      <c r="O463" s="455">
        <f t="shared" si="116"/>
        <v>431.69</v>
      </c>
      <c r="P463" s="455">
        <f t="shared" si="116"/>
        <v>431.69</v>
      </c>
      <c r="Q463" s="455">
        <f t="shared" si="116"/>
        <v>431.69</v>
      </c>
    </row>
    <row r="464" spans="1:20" s="336" customFormat="1" x14ac:dyDescent="0.2">
      <c r="B464" s="336" t="s">
        <v>1047</v>
      </c>
      <c r="F464" s="456"/>
      <c r="G464" s="456"/>
      <c r="H464" s="456"/>
      <c r="I464" s="456"/>
      <c r="J464" s="456"/>
      <c r="K464" s="456"/>
      <c r="L464" s="456"/>
      <c r="M464" s="456"/>
      <c r="N464" s="456"/>
      <c r="O464" s="456"/>
      <c r="P464" s="456"/>
      <c r="Q464" s="456"/>
    </row>
    <row r="465" spans="2:20" s="336" customFormat="1" x14ac:dyDescent="0.2">
      <c r="C465" s="336" t="s">
        <v>1065</v>
      </c>
      <c r="D465" s="444" t="s">
        <v>808</v>
      </c>
      <c r="E465" s="336" t="s">
        <v>957</v>
      </c>
      <c r="F465" s="456">
        <f t="shared" ref="F465:Q470" si="117">F137</f>
        <v>0.14354</v>
      </c>
      <c r="G465" s="456">
        <f t="shared" si="117"/>
        <v>0.14354</v>
      </c>
      <c r="H465" s="456">
        <f t="shared" si="117"/>
        <v>0.14354</v>
      </c>
      <c r="I465" s="456">
        <f t="shared" si="117"/>
        <v>0.14354</v>
      </c>
      <c r="J465" s="456">
        <f t="shared" si="117"/>
        <v>0.14354</v>
      </c>
      <c r="K465" s="456">
        <f t="shared" si="117"/>
        <v>0.14354</v>
      </c>
      <c r="L465" s="456">
        <f t="shared" si="117"/>
        <v>0.14354</v>
      </c>
      <c r="M465" s="456">
        <f t="shared" si="117"/>
        <v>0.14354</v>
      </c>
      <c r="N465" s="456">
        <f t="shared" si="117"/>
        <v>0.14354</v>
      </c>
      <c r="O465" s="456">
        <f t="shared" si="117"/>
        <v>0.14354</v>
      </c>
      <c r="P465" s="456">
        <f t="shared" si="117"/>
        <v>0.14354</v>
      </c>
      <c r="Q465" s="456">
        <f t="shared" si="117"/>
        <v>0.14354</v>
      </c>
    </row>
    <row r="466" spans="2:20" s="336" customFormat="1" x14ac:dyDescent="0.2">
      <c r="C466" s="336" t="s">
        <v>1066</v>
      </c>
      <c r="D466" s="444" t="s">
        <v>808</v>
      </c>
      <c r="E466" s="336" t="s">
        <v>957</v>
      </c>
      <c r="F466" s="456">
        <f t="shared" si="117"/>
        <v>0.11713999999999999</v>
      </c>
      <c r="G466" s="456">
        <f t="shared" si="117"/>
        <v>0.11713999999999999</v>
      </c>
      <c r="H466" s="456">
        <f t="shared" si="117"/>
        <v>0.11713999999999999</v>
      </c>
      <c r="I466" s="456">
        <f t="shared" si="117"/>
        <v>0.11713999999999999</v>
      </c>
      <c r="J466" s="456">
        <f t="shared" si="117"/>
        <v>0.11713999999999999</v>
      </c>
      <c r="K466" s="456">
        <f t="shared" si="117"/>
        <v>0.11713999999999999</v>
      </c>
      <c r="L466" s="456">
        <f t="shared" si="117"/>
        <v>0.11713999999999999</v>
      </c>
      <c r="M466" s="456">
        <f t="shared" si="117"/>
        <v>0.11713999999999999</v>
      </c>
      <c r="N466" s="456">
        <f t="shared" si="117"/>
        <v>0.11713999999999999</v>
      </c>
      <c r="O466" s="456">
        <f t="shared" si="117"/>
        <v>0.11713999999999999</v>
      </c>
      <c r="P466" s="456">
        <f t="shared" si="117"/>
        <v>0.11713999999999999</v>
      </c>
      <c r="Q466" s="456">
        <f t="shared" si="117"/>
        <v>0.11713999999999999</v>
      </c>
    </row>
    <row r="467" spans="2:20" x14ac:dyDescent="0.2">
      <c r="B467" s="336" t="s">
        <v>1081</v>
      </c>
      <c r="D467" s="444" t="s">
        <v>808</v>
      </c>
      <c r="E467" s="32" t="s">
        <v>957</v>
      </c>
      <c r="F467" s="457">
        <f t="shared" si="117"/>
        <v>6.9999999999999999E-4</v>
      </c>
      <c r="G467" s="457">
        <f t="shared" si="117"/>
        <v>6.9999999999999999E-4</v>
      </c>
      <c r="H467" s="457">
        <f t="shared" si="117"/>
        <v>6.9999999999999999E-4</v>
      </c>
      <c r="I467" s="457">
        <f t="shared" si="117"/>
        <v>6.9999999999999999E-4</v>
      </c>
      <c r="J467" s="457">
        <f t="shared" si="117"/>
        <v>6.9999999999999999E-4</v>
      </c>
      <c r="K467" s="457">
        <f t="shared" si="117"/>
        <v>6.9999999999999999E-4</v>
      </c>
      <c r="L467" s="457">
        <f t="shared" si="117"/>
        <v>6.9999999999999999E-4</v>
      </c>
      <c r="M467" s="457">
        <f t="shared" si="117"/>
        <v>6.9999999999999999E-4</v>
      </c>
      <c r="N467" s="457">
        <f t="shared" si="117"/>
        <v>6.9999999999999999E-4</v>
      </c>
      <c r="O467" s="457">
        <f t="shared" si="117"/>
        <v>6.9999999999999999E-4</v>
      </c>
      <c r="P467" s="457">
        <f t="shared" si="117"/>
        <v>6.9999999999999999E-4</v>
      </c>
      <c r="Q467" s="457">
        <f t="shared" si="117"/>
        <v>6.9999999999999999E-4</v>
      </c>
      <c r="S467" s="32"/>
      <c r="T467" s="32"/>
    </row>
    <row r="468" spans="2:20" x14ac:dyDescent="0.2">
      <c r="B468" s="32" t="s">
        <v>1082</v>
      </c>
      <c r="F468" s="457">
        <f t="shared" si="117"/>
        <v>-5.1999999999999998E-3</v>
      </c>
      <c r="G468" s="457">
        <f t="shared" si="117"/>
        <v>-5.1999999999999998E-3</v>
      </c>
      <c r="H468" s="457">
        <f t="shared" si="117"/>
        <v>-5.1999999999999998E-3</v>
      </c>
      <c r="I468" s="457">
        <f t="shared" si="117"/>
        <v>-5.1999999999999998E-3</v>
      </c>
      <c r="J468" s="457">
        <f t="shared" si="117"/>
        <v>-5.1999999999999998E-3</v>
      </c>
      <c r="K468" s="457">
        <f t="shared" si="117"/>
        <v>-5.1999999999999998E-3</v>
      </c>
      <c r="L468" s="457">
        <f t="shared" si="117"/>
        <v>-5.1999999999999998E-3</v>
      </c>
      <c r="M468" s="457">
        <f t="shared" si="117"/>
        <v>-5.1999999999999998E-3</v>
      </c>
      <c r="N468" s="457">
        <f t="shared" si="117"/>
        <v>-5.1999999999999998E-3</v>
      </c>
      <c r="O468" s="457">
        <f t="shared" si="117"/>
        <v>-5.1999999999999998E-3</v>
      </c>
      <c r="P468" s="457">
        <f t="shared" si="117"/>
        <v>-5.1999999999999998E-3</v>
      </c>
      <c r="Q468" s="457">
        <f t="shared" si="117"/>
        <v>-5.1999999999999998E-3</v>
      </c>
      <c r="S468" s="32"/>
      <c r="T468" s="32"/>
    </row>
    <row r="469" spans="2:20" s="336" customFormat="1" x14ac:dyDescent="0.2">
      <c r="B469" s="336" t="s">
        <v>1069</v>
      </c>
      <c r="D469" s="444" t="s">
        <v>808</v>
      </c>
      <c r="E469" s="336" t="s">
        <v>957</v>
      </c>
      <c r="F469" s="458">
        <f t="shared" si="117"/>
        <v>1.1399999999999999</v>
      </c>
      <c r="G469" s="458">
        <f t="shared" si="117"/>
        <v>1.1399999999999999</v>
      </c>
      <c r="H469" s="458">
        <f t="shared" si="117"/>
        <v>1.1399999999999999</v>
      </c>
      <c r="I469" s="458">
        <f t="shared" si="117"/>
        <v>1.1399999999999999</v>
      </c>
      <c r="J469" s="458">
        <f t="shared" si="117"/>
        <v>1.1399999999999999</v>
      </c>
      <c r="K469" s="458">
        <f t="shared" si="117"/>
        <v>1.1399999999999999</v>
      </c>
      <c r="L469" s="458">
        <f t="shared" si="117"/>
        <v>1.1399999999999999</v>
      </c>
      <c r="M469" s="458">
        <f t="shared" si="117"/>
        <v>1.1399999999999999</v>
      </c>
      <c r="N469" s="458">
        <f t="shared" si="117"/>
        <v>1.1399999999999999</v>
      </c>
      <c r="O469" s="458">
        <f t="shared" si="117"/>
        <v>1.1399999999999999</v>
      </c>
      <c r="P469" s="458">
        <f t="shared" si="117"/>
        <v>1.1399999999999999</v>
      </c>
      <c r="Q469" s="458">
        <f t="shared" si="117"/>
        <v>1.1399999999999999</v>
      </c>
    </row>
    <row r="470" spans="2:20" s="336" customFormat="1" x14ac:dyDescent="0.2">
      <c r="B470" s="336" t="s">
        <v>1071</v>
      </c>
      <c r="D470" s="444" t="s">
        <v>808</v>
      </c>
      <c r="E470" s="336" t="s">
        <v>67</v>
      </c>
      <c r="F470" s="458">
        <f t="shared" si="117"/>
        <v>129.19</v>
      </c>
      <c r="G470" s="458">
        <f t="shared" si="117"/>
        <v>129.19</v>
      </c>
      <c r="H470" s="458">
        <f t="shared" si="117"/>
        <v>129.19</v>
      </c>
      <c r="I470" s="458">
        <f t="shared" si="117"/>
        <v>129.19</v>
      </c>
      <c r="J470" s="458">
        <f t="shared" si="117"/>
        <v>129.19</v>
      </c>
      <c r="K470" s="458">
        <f t="shared" si="117"/>
        <v>129.19</v>
      </c>
      <c r="L470" s="458">
        <f t="shared" si="117"/>
        <v>129.19</v>
      </c>
      <c r="M470" s="458">
        <f t="shared" si="117"/>
        <v>129.19</v>
      </c>
      <c r="N470" s="458">
        <f t="shared" si="117"/>
        <v>129.19</v>
      </c>
      <c r="O470" s="458">
        <f t="shared" si="117"/>
        <v>129.19</v>
      </c>
      <c r="P470" s="458">
        <f t="shared" si="117"/>
        <v>129.19</v>
      </c>
      <c r="Q470" s="458">
        <f t="shared" si="117"/>
        <v>129.19</v>
      </c>
    </row>
    <row r="471" spans="2:20" s="336" customFormat="1" x14ac:dyDescent="0.2">
      <c r="M471" s="32"/>
      <c r="N471" s="32"/>
      <c r="O471" s="32"/>
      <c r="P471" s="32"/>
      <c r="Q471" s="32"/>
    </row>
    <row r="472" spans="2:20" s="336" customFormat="1" x14ac:dyDescent="0.2">
      <c r="B472" s="182" t="s">
        <v>982</v>
      </c>
      <c r="M472" s="32"/>
      <c r="N472" s="32"/>
      <c r="O472" s="32"/>
      <c r="P472" s="32"/>
      <c r="Q472" s="32"/>
    </row>
    <row r="473" spans="2:20" s="336" customFormat="1" x14ac:dyDescent="0.2">
      <c r="B473" s="336" t="s">
        <v>67</v>
      </c>
      <c r="D473" s="444" t="s">
        <v>808</v>
      </c>
      <c r="E473" s="336" t="s">
        <v>67</v>
      </c>
      <c r="F473" s="397">
        <f>'JKP-3.1c - Data'!C144</f>
        <v>15</v>
      </c>
      <c r="G473" s="397">
        <f>'JKP-3.1c - Data'!D144</f>
        <v>15</v>
      </c>
      <c r="H473" s="397">
        <f>'JKP-3.1c - Data'!E144</f>
        <v>14</v>
      </c>
      <c r="I473" s="397">
        <f>'JKP-3.1c - Data'!F144</f>
        <v>14</v>
      </c>
      <c r="J473" s="397">
        <f>'JKP-3.1c - Data'!G144</f>
        <v>14</v>
      </c>
      <c r="K473" s="397">
        <f>'JKP-3.1c - Data'!H144</f>
        <v>14</v>
      </c>
      <c r="L473" s="397">
        <f>'JKP-3.1c - Data'!I144</f>
        <v>14</v>
      </c>
      <c r="M473" s="397">
        <f>'JKP-3.1c - Data'!J144</f>
        <v>15</v>
      </c>
      <c r="N473" s="397">
        <f>'JKP-3.1c - Data'!K144</f>
        <v>15</v>
      </c>
      <c r="O473" s="397">
        <f>'JKP-3.1c - Data'!L144</f>
        <v>16</v>
      </c>
      <c r="P473" s="397">
        <f>'JKP-3.1c - Data'!M144</f>
        <v>16</v>
      </c>
      <c r="Q473" s="397">
        <f>'JKP-3.1c - Data'!N144</f>
        <v>16</v>
      </c>
      <c r="R473" s="362">
        <f>SUM(F473:Q473)</f>
        <v>178</v>
      </c>
    </row>
    <row r="474" spans="2:20" s="336" customFormat="1" x14ac:dyDescent="0.2">
      <c r="B474" s="336" t="s">
        <v>76</v>
      </c>
      <c r="F474" s="380"/>
      <c r="G474" s="380"/>
      <c r="H474" s="380"/>
      <c r="I474" s="380"/>
      <c r="J474" s="380"/>
      <c r="K474" s="380"/>
      <c r="L474" s="380"/>
      <c r="M474" s="380"/>
      <c r="N474" s="380"/>
      <c r="O474" s="380"/>
      <c r="P474" s="380"/>
      <c r="Q474" s="380"/>
    </row>
    <row r="475" spans="2:20" s="336" customFormat="1" x14ac:dyDescent="0.2">
      <c r="C475" s="336" t="s">
        <v>1073</v>
      </c>
      <c r="D475" s="444" t="s">
        <v>808</v>
      </c>
      <c r="E475" s="336" t="s">
        <v>10</v>
      </c>
      <c r="F475" s="421">
        <f>'JKP-3.1c - Rev Actual Rates'!F486</f>
        <v>13500</v>
      </c>
      <c r="G475" s="421">
        <f>'JKP-3.1c - Rev Actual Rates'!G486</f>
        <v>12853</v>
      </c>
      <c r="H475" s="421">
        <f>'JKP-3.1c - Rev Actual Rates'!H486</f>
        <v>12600</v>
      </c>
      <c r="I475" s="421">
        <f>'JKP-3.1c - Rev Actual Rates'!I486</f>
        <v>12600</v>
      </c>
      <c r="J475" s="421">
        <f>'JKP-3.1c - Rev Actual Rates'!J486</f>
        <v>12600</v>
      </c>
      <c r="K475" s="421">
        <f>'JKP-3.1c - Rev Actual Rates'!K486</f>
        <v>12600</v>
      </c>
      <c r="L475" s="421">
        <f>'JKP-3.1c - Rev Actual Rates'!L486</f>
        <v>13500</v>
      </c>
      <c r="M475" s="421">
        <f>'JKP-3.1c - Rev Actual Rates'!M486</f>
        <v>13500</v>
      </c>
      <c r="N475" s="421">
        <f>'JKP-3.1c - Rev Actual Rates'!N486</f>
        <v>13500</v>
      </c>
      <c r="O475" s="421">
        <f>'JKP-3.1c - Rev Actual Rates'!O486</f>
        <v>14400</v>
      </c>
      <c r="P475" s="421">
        <f>'JKP-3.1c - Rev Actual Rates'!P486</f>
        <v>14400</v>
      </c>
      <c r="Q475" s="421">
        <f>'JKP-3.1c - Rev Actual Rates'!Q486</f>
        <v>14400</v>
      </c>
      <c r="R475" s="362">
        <f t="shared" ref="R475:R480" si="118">SUM(F475:Q475)</f>
        <v>160453</v>
      </c>
    </row>
    <row r="476" spans="2:20" s="336" customFormat="1" x14ac:dyDescent="0.2">
      <c r="C476" s="336" t="s">
        <v>1074</v>
      </c>
      <c r="D476" s="444" t="s">
        <v>808</v>
      </c>
      <c r="E476" s="336" t="s">
        <v>10</v>
      </c>
      <c r="F476" s="421">
        <f>'JKP-3.1c - Rev Actual Rates'!F487</f>
        <v>61500</v>
      </c>
      <c r="G476" s="421">
        <f>'JKP-3.1c - Rev Actual Rates'!G487</f>
        <v>57400</v>
      </c>
      <c r="H476" s="421">
        <f>'JKP-3.1c - Rev Actual Rates'!H487</f>
        <v>57400</v>
      </c>
      <c r="I476" s="421">
        <f>'JKP-3.1c - Rev Actual Rates'!I487</f>
        <v>57400</v>
      </c>
      <c r="J476" s="421">
        <f>'JKP-3.1c - Rev Actual Rates'!J487</f>
        <v>57400</v>
      </c>
      <c r="K476" s="421">
        <f>'JKP-3.1c - Rev Actual Rates'!K487</f>
        <v>57400</v>
      </c>
      <c r="L476" s="421">
        <f>'JKP-3.1c - Rev Actual Rates'!L487</f>
        <v>61500</v>
      </c>
      <c r="M476" s="421">
        <f>'JKP-3.1c - Rev Actual Rates'!M487</f>
        <v>61500</v>
      </c>
      <c r="N476" s="421">
        <f>'JKP-3.1c - Rev Actual Rates'!N487</f>
        <v>61500</v>
      </c>
      <c r="O476" s="421">
        <f>'JKP-3.1c - Rev Actual Rates'!O487</f>
        <v>65600</v>
      </c>
      <c r="P476" s="421">
        <f>'JKP-3.1c - Rev Actual Rates'!P487</f>
        <v>65600</v>
      </c>
      <c r="Q476" s="421">
        <f>'JKP-3.1c - Rev Actual Rates'!Q487</f>
        <v>65600</v>
      </c>
      <c r="R476" s="362">
        <f t="shared" si="118"/>
        <v>729800</v>
      </c>
    </row>
    <row r="477" spans="2:20" s="336" customFormat="1" x14ac:dyDescent="0.2">
      <c r="C477" s="336" t="s">
        <v>1066</v>
      </c>
      <c r="D477" s="444" t="s">
        <v>808</v>
      </c>
      <c r="E477" s="336" t="s">
        <v>10</v>
      </c>
      <c r="F477" s="421">
        <f>'JKP-3.1c - Rev Actual Rates'!F488</f>
        <v>234029</v>
      </c>
      <c r="G477" s="421">
        <f>'JKP-3.1c - Rev Actual Rates'!G488</f>
        <v>217802</v>
      </c>
      <c r="H477" s="421">
        <f>'JKP-3.1c - Rev Actual Rates'!H488</f>
        <v>258103</v>
      </c>
      <c r="I477" s="421">
        <f>'JKP-3.1c - Rev Actual Rates'!I488</f>
        <v>241349</v>
      </c>
      <c r="J477" s="421">
        <f>'JKP-3.1c - Rev Actual Rates'!J488</f>
        <v>217974</v>
      </c>
      <c r="K477" s="421">
        <f>'JKP-3.1c - Rev Actual Rates'!K488</f>
        <v>239899</v>
      </c>
      <c r="L477" s="421">
        <f>'JKP-3.1c - Rev Actual Rates'!L488</f>
        <v>330719</v>
      </c>
      <c r="M477" s="421">
        <f>'JKP-3.1c - Rev Actual Rates'!M488</f>
        <v>339751</v>
      </c>
      <c r="N477" s="421">
        <f>'JKP-3.1c - Rev Actual Rates'!N488</f>
        <v>318132</v>
      </c>
      <c r="O477" s="421">
        <f>'JKP-3.1c - Rev Actual Rates'!O488</f>
        <v>349271</v>
      </c>
      <c r="P477" s="421">
        <f>'JKP-3.1c - Rev Actual Rates'!P488</f>
        <v>399248</v>
      </c>
      <c r="Q477" s="421">
        <f>'JKP-3.1c - Rev Actual Rates'!Q488</f>
        <v>414758</v>
      </c>
      <c r="R477" s="362">
        <f t="shared" si="118"/>
        <v>3561035</v>
      </c>
    </row>
    <row r="478" spans="2:20" s="336" customFormat="1" x14ac:dyDescent="0.2">
      <c r="C478" s="336" t="s">
        <v>1075</v>
      </c>
      <c r="D478" s="444" t="s">
        <v>808</v>
      </c>
      <c r="E478" s="336" t="s">
        <v>10</v>
      </c>
      <c r="F478" s="430">
        <f t="shared" ref="F478:Q478" si="119">SUM(F475:F477)</f>
        <v>309029</v>
      </c>
      <c r="G478" s="430">
        <f t="shared" si="119"/>
        <v>288055</v>
      </c>
      <c r="H478" s="430">
        <f t="shared" si="119"/>
        <v>328103</v>
      </c>
      <c r="I478" s="430">
        <f t="shared" si="119"/>
        <v>311349</v>
      </c>
      <c r="J478" s="430">
        <f t="shared" si="119"/>
        <v>287974</v>
      </c>
      <c r="K478" s="430">
        <f t="shared" si="119"/>
        <v>309899</v>
      </c>
      <c r="L478" s="430">
        <f t="shared" si="119"/>
        <v>405719</v>
      </c>
      <c r="M478" s="430">
        <f t="shared" si="119"/>
        <v>414751</v>
      </c>
      <c r="N478" s="430">
        <f t="shared" si="119"/>
        <v>393132</v>
      </c>
      <c r="O478" s="430">
        <f t="shared" si="119"/>
        <v>429271</v>
      </c>
      <c r="P478" s="430">
        <f t="shared" si="119"/>
        <v>479248</v>
      </c>
      <c r="Q478" s="430">
        <f t="shared" si="119"/>
        <v>494758</v>
      </c>
      <c r="R478" s="430">
        <f t="shared" si="118"/>
        <v>4451288</v>
      </c>
    </row>
    <row r="479" spans="2:20" s="336" customFormat="1" x14ac:dyDescent="0.2">
      <c r="B479" s="336" t="s">
        <v>74</v>
      </c>
      <c r="D479" s="444" t="s">
        <v>808</v>
      </c>
      <c r="E479" s="336" t="s">
        <v>1076</v>
      </c>
      <c r="F479" s="421">
        <f>'JKP-3.1c - Rev Actual Rates'!F490</f>
        <v>16443</v>
      </c>
      <c r="G479" s="421">
        <f>'JKP-3.1c - Rev Actual Rates'!G490</f>
        <v>16443</v>
      </c>
      <c r="H479" s="421">
        <f>'JKP-3.1c - Rev Actual Rates'!H490</f>
        <v>14103</v>
      </c>
      <c r="I479" s="421">
        <f>'JKP-3.1c - Rev Actual Rates'!I490</f>
        <v>14103</v>
      </c>
      <c r="J479" s="421">
        <f>'JKP-3.1c - Rev Actual Rates'!J490</f>
        <v>14103.000000000002</v>
      </c>
      <c r="K479" s="421">
        <f>'JKP-3.1c - Rev Actual Rates'!K490</f>
        <v>14103</v>
      </c>
      <c r="L479" s="421">
        <f>'JKP-3.1c - Rev Actual Rates'!L490</f>
        <v>18197</v>
      </c>
      <c r="M479" s="421">
        <f>'JKP-3.1c - Rev Actual Rates'!M490</f>
        <v>18309</v>
      </c>
      <c r="N479" s="421">
        <f>'JKP-3.1c - Rev Actual Rates'!N490</f>
        <v>18309</v>
      </c>
      <c r="O479" s="421">
        <f>'JKP-3.1c - Rev Actual Rates'!O490</f>
        <v>18309</v>
      </c>
      <c r="P479" s="421">
        <f>'JKP-3.1c - Rev Actual Rates'!P490</f>
        <v>20237</v>
      </c>
      <c r="Q479" s="421">
        <f>'JKP-3.1c - Rev Actual Rates'!Q490</f>
        <v>20237</v>
      </c>
      <c r="R479" s="362">
        <f t="shared" si="118"/>
        <v>202896</v>
      </c>
    </row>
    <row r="480" spans="2:20" s="336" customFormat="1" x14ac:dyDescent="0.2">
      <c r="B480" s="336" t="s">
        <v>1071</v>
      </c>
      <c r="D480" s="444" t="s">
        <v>808</v>
      </c>
      <c r="E480" s="336" t="s">
        <v>67</v>
      </c>
      <c r="F480" s="398">
        <f t="shared" ref="F480:Q480" si="120">F473</f>
        <v>15</v>
      </c>
      <c r="G480" s="398">
        <f t="shared" si="120"/>
        <v>15</v>
      </c>
      <c r="H480" s="398">
        <f t="shared" si="120"/>
        <v>14</v>
      </c>
      <c r="I480" s="398">
        <f t="shared" si="120"/>
        <v>14</v>
      </c>
      <c r="J480" s="398">
        <f t="shared" si="120"/>
        <v>14</v>
      </c>
      <c r="K480" s="398">
        <f t="shared" si="120"/>
        <v>14</v>
      </c>
      <c r="L480" s="398">
        <f t="shared" si="120"/>
        <v>14</v>
      </c>
      <c r="M480" s="398">
        <f t="shared" si="120"/>
        <v>15</v>
      </c>
      <c r="N480" s="398">
        <f t="shared" si="120"/>
        <v>15</v>
      </c>
      <c r="O480" s="398">
        <f t="shared" si="120"/>
        <v>16</v>
      </c>
      <c r="P480" s="398">
        <f t="shared" si="120"/>
        <v>16</v>
      </c>
      <c r="Q480" s="398">
        <f t="shared" si="120"/>
        <v>16</v>
      </c>
      <c r="R480" s="362">
        <f t="shared" si="118"/>
        <v>178</v>
      </c>
    </row>
    <row r="481" spans="1:20" s="336" customFormat="1" x14ac:dyDescent="0.2">
      <c r="F481" s="362"/>
      <c r="G481" s="362"/>
      <c r="H481" s="362"/>
      <c r="I481" s="362"/>
      <c r="J481" s="362"/>
      <c r="K481" s="362"/>
      <c r="L481" s="362"/>
      <c r="M481" s="279"/>
      <c r="N481" s="279"/>
      <c r="O481" s="279"/>
      <c r="P481" s="279"/>
      <c r="Q481" s="279"/>
    </row>
    <row r="482" spans="1:20" s="336" customFormat="1" x14ac:dyDescent="0.2">
      <c r="B482" s="182" t="s">
        <v>985</v>
      </c>
      <c r="M482" s="32"/>
      <c r="N482" s="32"/>
      <c r="O482" s="32"/>
      <c r="P482" s="32"/>
      <c r="Q482" s="32"/>
    </row>
    <row r="483" spans="1:20" s="336" customFormat="1" x14ac:dyDescent="0.2">
      <c r="A483" s="336" t="s">
        <v>1054</v>
      </c>
      <c r="B483" s="336" t="s">
        <v>1059</v>
      </c>
      <c r="D483" s="444" t="s">
        <v>808</v>
      </c>
      <c r="F483" s="364">
        <f t="shared" ref="F483:Q483" si="121">F463*F473</f>
        <v>6475.35</v>
      </c>
      <c r="G483" s="364">
        <f t="shared" si="121"/>
        <v>6475.35</v>
      </c>
      <c r="H483" s="364">
        <f t="shared" si="121"/>
        <v>6043.66</v>
      </c>
      <c r="I483" s="364">
        <f t="shared" si="121"/>
        <v>6043.66</v>
      </c>
      <c r="J483" s="364">
        <f t="shared" si="121"/>
        <v>6043.66</v>
      </c>
      <c r="K483" s="364">
        <f t="shared" si="121"/>
        <v>6043.66</v>
      </c>
      <c r="L483" s="364">
        <f t="shared" si="121"/>
        <v>6043.66</v>
      </c>
      <c r="M483" s="364">
        <f t="shared" si="121"/>
        <v>6475.35</v>
      </c>
      <c r="N483" s="364">
        <f t="shared" si="121"/>
        <v>6475.35</v>
      </c>
      <c r="O483" s="364">
        <f t="shared" si="121"/>
        <v>6907.04</v>
      </c>
      <c r="P483" s="364">
        <f t="shared" si="121"/>
        <v>6907.04</v>
      </c>
      <c r="Q483" s="364">
        <f t="shared" si="121"/>
        <v>6907.04</v>
      </c>
      <c r="R483" s="364">
        <f>SUM(F483:Q483)</f>
        <v>76840.819999999992</v>
      </c>
    </row>
    <row r="484" spans="1:20" s="336" customFormat="1" x14ac:dyDescent="0.2">
      <c r="B484" s="336" t="s">
        <v>1047</v>
      </c>
      <c r="F484" s="364"/>
      <c r="G484" s="364"/>
      <c r="H484" s="364"/>
      <c r="I484" s="364"/>
      <c r="J484" s="364"/>
      <c r="K484" s="364"/>
      <c r="L484" s="364"/>
      <c r="M484" s="364"/>
      <c r="N484" s="364"/>
      <c r="O484" s="364"/>
      <c r="P484" s="364"/>
      <c r="Q484" s="364"/>
      <c r="R484" s="364"/>
    </row>
    <row r="485" spans="1:20" s="336" customFormat="1" x14ac:dyDescent="0.2">
      <c r="C485" s="336" t="s">
        <v>1073</v>
      </c>
      <c r="F485" s="350">
        <v>0</v>
      </c>
      <c r="G485" s="350">
        <v>0</v>
      </c>
      <c r="H485" s="350">
        <v>0</v>
      </c>
      <c r="I485" s="350">
        <v>0</v>
      </c>
      <c r="J485" s="350">
        <v>0</v>
      </c>
      <c r="K485" s="350">
        <v>0</v>
      </c>
      <c r="L485" s="350">
        <v>0</v>
      </c>
      <c r="M485" s="350">
        <v>0</v>
      </c>
      <c r="N485" s="350">
        <v>0</v>
      </c>
      <c r="O485" s="350">
        <v>0</v>
      </c>
      <c r="P485" s="350">
        <v>0</v>
      </c>
      <c r="Q485" s="350">
        <v>0</v>
      </c>
      <c r="R485" s="350">
        <f t="shared" ref="R485:R490" si="122">SUM(F485:Q485)</f>
        <v>0</v>
      </c>
    </row>
    <row r="486" spans="1:20" s="336" customFormat="1" x14ac:dyDescent="0.2">
      <c r="C486" s="336" t="s">
        <v>1074</v>
      </c>
      <c r="D486" s="444" t="s">
        <v>808</v>
      </c>
      <c r="F486" s="364">
        <f t="shared" ref="F486:Q487" si="123">F465*F476</f>
        <v>8827.7100000000009</v>
      </c>
      <c r="G486" s="364">
        <f t="shared" si="123"/>
        <v>8239.1959999999999</v>
      </c>
      <c r="H486" s="364">
        <f t="shared" si="123"/>
        <v>8239.1959999999999</v>
      </c>
      <c r="I486" s="364">
        <f t="shared" si="123"/>
        <v>8239.1959999999999</v>
      </c>
      <c r="J486" s="364">
        <f t="shared" si="123"/>
        <v>8239.1959999999999</v>
      </c>
      <c r="K486" s="364">
        <f t="shared" si="123"/>
        <v>8239.1959999999999</v>
      </c>
      <c r="L486" s="364">
        <f t="shared" si="123"/>
        <v>8827.7100000000009</v>
      </c>
      <c r="M486" s="364">
        <f t="shared" si="123"/>
        <v>8827.7100000000009</v>
      </c>
      <c r="N486" s="364">
        <f t="shared" si="123"/>
        <v>8827.7100000000009</v>
      </c>
      <c r="O486" s="364">
        <f t="shared" si="123"/>
        <v>9416.2240000000002</v>
      </c>
      <c r="P486" s="364">
        <f t="shared" si="123"/>
        <v>9416.2240000000002</v>
      </c>
      <c r="Q486" s="364">
        <f t="shared" si="123"/>
        <v>9416.2240000000002</v>
      </c>
      <c r="R486" s="364">
        <f t="shared" si="122"/>
        <v>104755.49200000001</v>
      </c>
    </row>
    <row r="487" spans="1:20" s="336" customFormat="1" x14ac:dyDescent="0.2">
      <c r="C487" s="336" t="s">
        <v>1066</v>
      </c>
      <c r="D487" s="444" t="s">
        <v>808</v>
      </c>
      <c r="F487" s="364">
        <f t="shared" si="123"/>
        <v>27414.157059999998</v>
      </c>
      <c r="G487" s="364">
        <f t="shared" si="123"/>
        <v>25513.326279999997</v>
      </c>
      <c r="H487" s="364">
        <f t="shared" si="123"/>
        <v>30234.185419999998</v>
      </c>
      <c r="I487" s="364">
        <f t="shared" si="123"/>
        <v>28271.621859999999</v>
      </c>
      <c r="J487" s="364">
        <f t="shared" si="123"/>
        <v>25533.47436</v>
      </c>
      <c r="K487" s="364">
        <f t="shared" si="123"/>
        <v>28101.76886</v>
      </c>
      <c r="L487" s="364">
        <f t="shared" si="123"/>
        <v>38740.42366</v>
      </c>
      <c r="M487" s="364">
        <f t="shared" si="123"/>
        <v>39798.432139999997</v>
      </c>
      <c r="N487" s="364">
        <f t="shared" si="123"/>
        <v>37265.982479999999</v>
      </c>
      <c r="O487" s="364">
        <f t="shared" si="123"/>
        <v>40913.604939999997</v>
      </c>
      <c r="P487" s="364">
        <f t="shared" si="123"/>
        <v>46767.91072</v>
      </c>
      <c r="Q487" s="364">
        <f t="shared" si="123"/>
        <v>48584.752119999997</v>
      </c>
      <c r="R487" s="364">
        <f t="shared" si="122"/>
        <v>417139.63989999995</v>
      </c>
    </row>
    <row r="488" spans="1:20" s="336" customFormat="1" x14ac:dyDescent="0.2">
      <c r="A488" s="336" t="s">
        <v>1054</v>
      </c>
      <c r="C488" s="336" t="s">
        <v>1077</v>
      </c>
      <c r="F488" s="365">
        <f t="shared" ref="F488:Q488" si="124">SUM(F485:F487)</f>
        <v>36241.867059999997</v>
      </c>
      <c r="G488" s="365">
        <f t="shared" si="124"/>
        <v>33752.522279999997</v>
      </c>
      <c r="H488" s="365">
        <f t="shared" si="124"/>
        <v>38473.381419999998</v>
      </c>
      <c r="I488" s="365">
        <f t="shared" si="124"/>
        <v>36510.817859999996</v>
      </c>
      <c r="J488" s="365">
        <f t="shared" si="124"/>
        <v>33772.670360000004</v>
      </c>
      <c r="K488" s="365">
        <f t="shared" si="124"/>
        <v>36340.96486</v>
      </c>
      <c r="L488" s="365">
        <f t="shared" si="124"/>
        <v>47568.13366</v>
      </c>
      <c r="M488" s="365">
        <f t="shared" si="124"/>
        <v>48626.142139999996</v>
      </c>
      <c r="N488" s="365">
        <f t="shared" si="124"/>
        <v>46093.692479999998</v>
      </c>
      <c r="O488" s="365">
        <f t="shared" si="124"/>
        <v>50329.828939999999</v>
      </c>
      <c r="P488" s="365">
        <f t="shared" si="124"/>
        <v>56184.134720000002</v>
      </c>
      <c r="Q488" s="365">
        <f t="shared" si="124"/>
        <v>58000.976119999999</v>
      </c>
      <c r="R488" s="365">
        <f t="shared" si="122"/>
        <v>521895.13190000004</v>
      </c>
    </row>
    <row r="489" spans="1:20" x14ac:dyDescent="0.2">
      <c r="A489" s="32" t="s">
        <v>1056</v>
      </c>
      <c r="B489" s="336" t="s">
        <v>1081</v>
      </c>
      <c r="D489" s="444" t="s">
        <v>808</v>
      </c>
      <c r="F489" s="418">
        <f t="shared" ref="F489:Q489" si="125">F467*F478</f>
        <v>216.3203</v>
      </c>
      <c r="G489" s="418">
        <f t="shared" si="125"/>
        <v>201.63849999999999</v>
      </c>
      <c r="H489" s="418">
        <f t="shared" si="125"/>
        <v>229.6721</v>
      </c>
      <c r="I489" s="418">
        <f t="shared" si="125"/>
        <v>217.9443</v>
      </c>
      <c r="J489" s="418">
        <f t="shared" si="125"/>
        <v>201.58179999999999</v>
      </c>
      <c r="K489" s="418">
        <f t="shared" si="125"/>
        <v>216.92930000000001</v>
      </c>
      <c r="L489" s="418">
        <f t="shared" si="125"/>
        <v>284.00330000000002</v>
      </c>
      <c r="M489" s="418">
        <f t="shared" si="125"/>
        <v>290.32569999999998</v>
      </c>
      <c r="N489" s="418">
        <f t="shared" si="125"/>
        <v>275.19240000000002</v>
      </c>
      <c r="O489" s="418">
        <f t="shared" si="125"/>
        <v>300.48969999999997</v>
      </c>
      <c r="P489" s="418">
        <f t="shared" si="125"/>
        <v>335.47359999999998</v>
      </c>
      <c r="Q489" s="418">
        <f t="shared" si="125"/>
        <v>346.3306</v>
      </c>
      <c r="R489" s="418">
        <f t="shared" si="122"/>
        <v>3115.9016000000001</v>
      </c>
      <c r="S489" s="32"/>
      <c r="T489" s="32"/>
    </row>
    <row r="490" spans="1:20" x14ac:dyDescent="0.2">
      <c r="A490" s="32" t="s">
        <v>1054</v>
      </c>
      <c r="B490" s="32" t="s">
        <v>1082</v>
      </c>
      <c r="F490" s="418">
        <f t="shared" ref="F490:Q492" si="126">F468*F478</f>
        <v>-1606.9507999999998</v>
      </c>
      <c r="G490" s="418">
        <f t="shared" si="126"/>
        <v>-1497.886</v>
      </c>
      <c r="H490" s="418">
        <f t="shared" si="126"/>
        <v>-1706.1355999999998</v>
      </c>
      <c r="I490" s="418">
        <f t="shared" si="126"/>
        <v>-1619.0147999999999</v>
      </c>
      <c r="J490" s="418">
        <f t="shared" si="126"/>
        <v>-1497.4648</v>
      </c>
      <c r="K490" s="418">
        <f t="shared" si="126"/>
        <v>-1611.4748</v>
      </c>
      <c r="L490" s="418">
        <f t="shared" si="126"/>
        <v>-2109.7388000000001</v>
      </c>
      <c r="M490" s="418">
        <f t="shared" si="126"/>
        <v>-2156.7051999999999</v>
      </c>
      <c r="N490" s="418">
        <f t="shared" si="126"/>
        <v>-2044.2864</v>
      </c>
      <c r="O490" s="418">
        <f t="shared" si="126"/>
        <v>-2232.2091999999998</v>
      </c>
      <c r="P490" s="418">
        <f t="shared" si="126"/>
        <v>-2492.0895999999998</v>
      </c>
      <c r="Q490" s="418">
        <f t="shared" si="126"/>
        <v>-2572.7415999999998</v>
      </c>
      <c r="R490" s="418">
        <f t="shared" si="122"/>
        <v>-23146.697600000003</v>
      </c>
      <c r="S490" s="32"/>
      <c r="T490" s="32"/>
    </row>
    <row r="491" spans="1:20" s="336" customFormat="1" x14ac:dyDescent="0.2">
      <c r="A491" s="336" t="s">
        <v>1054</v>
      </c>
      <c r="B491" s="336" t="s">
        <v>1069</v>
      </c>
      <c r="D491" s="444" t="s">
        <v>808</v>
      </c>
      <c r="F491" s="364">
        <f t="shared" si="126"/>
        <v>18745.019999999997</v>
      </c>
      <c r="G491" s="364">
        <f t="shared" si="126"/>
        <v>18745.019999999997</v>
      </c>
      <c r="H491" s="364">
        <f t="shared" si="126"/>
        <v>16077.419999999998</v>
      </c>
      <c r="I491" s="364">
        <f t="shared" si="126"/>
        <v>16077.419999999998</v>
      </c>
      <c r="J491" s="364">
        <f t="shared" si="126"/>
        <v>16077.42</v>
      </c>
      <c r="K491" s="364">
        <f t="shared" si="126"/>
        <v>16077.419999999998</v>
      </c>
      <c r="L491" s="364">
        <f t="shared" si="126"/>
        <v>20744.579999999998</v>
      </c>
      <c r="M491" s="364">
        <f t="shared" si="126"/>
        <v>20872.259999999998</v>
      </c>
      <c r="N491" s="364">
        <f t="shared" si="126"/>
        <v>20872.259999999998</v>
      </c>
      <c r="O491" s="364">
        <f t="shared" si="126"/>
        <v>20872.259999999998</v>
      </c>
      <c r="P491" s="364">
        <f t="shared" si="126"/>
        <v>23070.179999999997</v>
      </c>
      <c r="Q491" s="364">
        <f t="shared" si="126"/>
        <v>23070.179999999997</v>
      </c>
      <c r="R491" s="364">
        <f>SUM(F491:Q491)</f>
        <v>231301.44</v>
      </c>
    </row>
    <row r="492" spans="1:20" s="336" customFormat="1" x14ac:dyDescent="0.2">
      <c r="A492" s="336" t="s">
        <v>1054</v>
      </c>
      <c r="B492" s="336" t="s">
        <v>1071</v>
      </c>
      <c r="D492" s="444" t="s">
        <v>808</v>
      </c>
      <c r="F492" s="418">
        <f t="shared" si="126"/>
        <v>1937.85</v>
      </c>
      <c r="G492" s="418">
        <f t="shared" si="126"/>
        <v>1937.85</v>
      </c>
      <c r="H492" s="418">
        <f t="shared" si="126"/>
        <v>1808.6599999999999</v>
      </c>
      <c r="I492" s="418">
        <f t="shared" si="126"/>
        <v>1808.6599999999999</v>
      </c>
      <c r="J492" s="418">
        <f t="shared" si="126"/>
        <v>1808.6599999999999</v>
      </c>
      <c r="K492" s="418">
        <f t="shared" si="126"/>
        <v>1808.6599999999999</v>
      </c>
      <c r="L492" s="418">
        <f t="shared" si="126"/>
        <v>1808.6599999999999</v>
      </c>
      <c r="M492" s="418">
        <f t="shared" si="126"/>
        <v>1937.85</v>
      </c>
      <c r="N492" s="418">
        <f t="shared" si="126"/>
        <v>1937.85</v>
      </c>
      <c r="O492" s="418">
        <f t="shared" si="126"/>
        <v>2067.04</v>
      </c>
      <c r="P492" s="418">
        <f t="shared" si="126"/>
        <v>2067.04</v>
      </c>
      <c r="Q492" s="418">
        <f t="shared" si="126"/>
        <v>2067.04</v>
      </c>
      <c r="R492" s="418">
        <f>SUM(F492:Q492)</f>
        <v>22995.820000000003</v>
      </c>
    </row>
    <row r="493" spans="1:20" s="336" customFormat="1" x14ac:dyDescent="0.2">
      <c r="B493" s="336" t="s">
        <v>986</v>
      </c>
      <c r="F493" s="339">
        <f>F483+F488+F491+F492+F489+F490</f>
        <v>62009.456559999991</v>
      </c>
      <c r="G493" s="339">
        <f t="shared" ref="G493:R493" si="127">G483+G488+G491+G492+G489+G490</f>
        <v>59614.494779999994</v>
      </c>
      <c r="H493" s="339">
        <f t="shared" si="127"/>
        <v>60926.657919999998</v>
      </c>
      <c r="I493" s="339">
        <f t="shared" si="127"/>
        <v>59039.487360000006</v>
      </c>
      <c r="J493" s="339">
        <f t="shared" si="127"/>
        <v>56406.527360000007</v>
      </c>
      <c r="K493" s="339">
        <f t="shared" si="127"/>
        <v>58876.159360000005</v>
      </c>
      <c r="L493" s="339">
        <f t="shared" si="127"/>
        <v>74339.298159999991</v>
      </c>
      <c r="M493" s="339">
        <f t="shared" si="127"/>
        <v>76045.222640000007</v>
      </c>
      <c r="N493" s="339">
        <f t="shared" si="127"/>
        <v>73610.058480000007</v>
      </c>
      <c r="O493" s="339">
        <f t="shared" si="127"/>
        <v>78244.449439999997</v>
      </c>
      <c r="P493" s="339">
        <f t="shared" si="127"/>
        <v>86071.778719999988</v>
      </c>
      <c r="Q493" s="339">
        <f t="shared" si="127"/>
        <v>87818.825119999994</v>
      </c>
      <c r="R493" s="339">
        <f t="shared" si="127"/>
        <v>833002.41589999991</v>
      </c>
    </row>
    <row r="494" spans="1:20" s="336" customFormat="1" x14ac:dyDescent="0.2">
      <c r="F494" s="415"/>
      <c r="G494" s="415"/>
      <c r="H494" s="415"/>
      <c r="I494" s="415"/>
      <c r="J494" s="415"/>
    </row>
    <row r="495" spans="1:20" s="336" customFormat="1" x14ac:dyDescent="0.2">
      <c r="A495" s="336" t="s">
        <v>1058</v>
      </c>
      <c r="B495" s="336" t="s">
        <v>1050</v>
      </c>
      <c r="F495" s="340">
        <f>F489</f>
        <v>216.3203</v>
      </c>
      <c r="G495" s="340">
        <f t="shared" ref="G495:Q495" si="128">G489</f>
        <v>201.63849999999999</v>
      </c>
      <c r="H495" s="340">
        <f t="shared" si="128"/>
        <v>229.6721</v>
      </c>
      <c r="I495" s="340">
        <f t="shared" si="128"/>
        <v>217.9443</v>
      </c>
      <c r="J495" s="340">
        <f t="shared" si="128"/>
        <v>201.58179999999999</v>
      </c>
      <c r="K495" s="340">
        <f t="shared" si="128"/>
        <v>216.92930000000001</v>
      </c>
      <c r="L495" s="340">
        <f t="shared" si="128"/>
        <v>284.00330000000002</v>
      </c>
      <c r="M495" s="340">
        <f t="shared" si="128"/>
        <v>290.32569999999998</v>
      </c>
      <c r="N495" s="340">
        <f t="shared" si="128"/>
        <v>275.19240000000002</v>
      </c>
      <c r="O495" s="340">
        <f t="shared" si="128"/>
        <v>300.48969999999997</v>
      </c>
      <c r="P495" s="340">
        <f t="shared" si="128"/>
        <v>335.47359999999998</v>
      </c>
      <c r="Q495" s="340">
        <f t="shared" si="128"/>
        <v>346.3306</v>
      </c>
      <c r="R495" s="418">
        <f>SUM(F495:Q495)</f>
        <v>3115.9016000000001</v>
      </c>
    </row>
    <row r="496" spans="1:20" s="336" customFormat="1" x14ac:dyDescent="0.2">
      <c r="F496" s="415"/>
      <c r="G496" s="415"/>
      <c r="H496" s="415"/>
      <c r="I496" s="415"/>
      <c r="J496" s="415"/>
    </row>
    <row r="497" spans="2:20" x14ac:dyDescent="0.2">
      <c r="B497" s="276" t="s">
        <v>1103</v>
      </c>
      <c r="C497" s="276"/>
      <c r="F497" s="390"/>
      <c r="G497" s="390"/>
      <c r="H497" s="390"/>
      <c r="I497" s="390"/>
      <c r="J497" s="390"/>
      <c r="S497" s="32"/>
      <c r="T497" s="32"/>
    </row>
    <row r="498" spans="2:20" x14ac:dyDescent="0.2">
      <c r="B498" s="276" t="s">
        <v>5</v>
      </c>
      <c r="C498" s="276"/>
      <c r="F498" s="390"/>
      <c r="G498" s="390"/>
      <c r="H498" s="390"/>
      <c r="I498" s="390"/>
      <c r="J498" s="390"/>
      <c r="S498" s="32"/>
      <c r="T498" s="32"/>
    </row>
    <row r="499" spans="2:20" x14ac:dyDescent="0.2">
      <c r="B499" s="32" t="s">
        <v>1059</v>
      </c>
      <c r="D499" s="444" t="s">
        <v>809</v>
      </c>
      <c r="E499" s="32" t="s">
        <v>976</v>
      </c>
      <c r="F499" s="454">
        <f t="shared" ref="F499:Q499" si="129">F171</f>
        <v>893.87</v>
      </c>
      <c r="G499" s="454">
        <f t="shared" si="129"/>
        <v>893.87</v>
      </c>
      <c r="H499" s="454">
        <f t="shared" si="129"/>
        <v>893.87</v>
      </c>
      <c r="I499" s="454">
        <f t="shared" si="129"/>
        <v>893.87</v>
      </c>
      <c r="J499" s="454">
        <f t="shared" si="129"/>
        <v>893.87</v>
      </c>
      <c r="K499" s="454">
        <f t="shared" si="129"/>
        <v>893.87</v>
      </c>
      <c r="L499" s="454">
        <f t="shared" si="129"/>
        <v>893.87</v>
      </c>
      <c r="M499" s="454">
        <f t="shared" si="129"/>
        <v>893.87</v>
      </c>
      <c r="N499" s="454">
        <f t="shared" si="129"/>
        <v>893.87</v>
      </c>
      <c r="O499" s="454">
        <f t="shared" si="129"/>
        <v>893.87</v>
      </c>
      <c r="P499" s="454">
        <f t="shared" si="129"/>
        <v>893.87</v>
      </c>
      <c r="Q499" s="454">
        <f t="shared" si="129"/>
        <v>893.87</v>
      </c>
      <c r="S499" s="32"/>
      <c r="T499" s="32"/>
    </row>
    <row r="500" spans="2:20" x14ac:dyDescent="0.2">
      <c r="B500" s="32" t="s">
        <v>1047</v>
      </c>
      <c r="F500" s="453"/>
      <c r="G500" s="453"/>
      <c r="H500" s="453"/>
      <c r="I500" s="453"/>
      <c r="J500" s="453"/>
      <c r="K500" s="453"/>
      <c r="L500" s="453"/>
      <c r="M500" s="453"/>
      <c r="N500" s="453"/>
      <c r="O500" s="453"/>
      <c r="P500" s="453"/>
      <c r="Q500" s="453"/>
      <c r="S500" s="32"/>
      <c r="T500" s="32"/>
    </row>
    <row r="501" spans="2:20" x14ac:dyDescent="0.2">
      <c r="C501" s="32" t="s">
        <v>1086</v>
      </c>
      <c r="D501" s="444" t="s">
        <v>809</v>
      </c>
      <c r="E501" s="32" t="s">
        <v>957</v>
      </c>
      <c r="F501" s="459">
        <f t="shared" ref="F501:Q505" si="130">F173</f>
        <v>0.10491</v>
      </c>
      <c r="G501" s="459">
        <f t="shared" si="130"/>
        <v>0.10491</v>
      </c>
      <c r="H501" s="459">
        <f t="shared" si="130"/>
        <v>0.10491</v>
      </c>
      <c r="I501" s="459">
        <f t="shared" si="130"/>
        <v>0.10491</v>
      </c>
      <c r="J501" s="459">
        <f t="shared" si="130"/>
        <v>0.10491</v>
      </c>
      <c r="K501" s="459">
        <f t="shared" si="130"/>
        <v>0.10491</v>
      </c>
      <c r="L501" s="459">
        <f t="shared" si="130"/>
        <v>0.10491</v>
      </c>
      <c r="M501" s="459">
        <f t="shared" si="130"/>
        <v>0.10491</v>
      </c>
      <c r="N501" s="459">
        <f t="shared" si="130"/>
        <v>0.10491</v>
      </c>
      <c r="O501" s="459">
        <f t="shared" si="130"/>
        <v>0.10491</v>
      </c>
      <c r="P501" s="459">
        <f t="shared" si="130"/>
        <v>0.10491</v>
      </c>
      <c r="Q501" s="459">
        <f t="shared" si="130"/>
        <v>0.10491</v>
      </c>
      <c r="S501" s="32"/>
      <c r="T501" s="32"/>
    </row>
    <row r="502" spans="2:20" x14ac:dyDescent="0.2">
      <c r="C502" s="32" t="s">
        <v>1087</v>
      </c>
      <c r="D502" s="444" t="s">
        <v>809</v>
      </c>
      <c r="E502" s="32" t="s">
        <v>957</v>
      </c>
      <c r="F502" s="459">
        <f t="shared" si="130"/>
        <v>5.3780000000000001E-2</v>
      </c>
      <c r="G502" s="459">
        <f t="shared" si="130"/>
        <v>5.3780000000000001E-2</v>
      </c>
      <c r="H502" s="459">
        <f t="shared" si="130"/>
        <v>5.3780000000000001E-2</v>
      </c>
      <c r="I502" s="459">
        <f t="shared" si="130"/>
        <v>5.3780000000000001E-2</v>
      </c>
      <c r="J502" s="459">
        <f t="shared" si="130"/>
        <v>5.3780000000000001E-2</v>
      </c>
      <c r="K502" s="459">
        <f t="shared" si="130"/>
        <v>5.3780000000000001E-2</v>
      </c>
      <c r="L502" s="459">
        <f t="shared" si="130"/>
        <v>5.3780000000000001E-2</v>
      </c>
      <c r="M502" s="459">
        <f t="shared" si="130"/>
        <v>5.3780000000000001E-2</v>
      </c>
      <c r="N502" s="459">
        <f t="shared" si="130"/>
        <v>5.3780000000000001E-2</v>
      </c>
      <c r="O502" s="459">
        <f t="shared" si="130"/>
        <v>5.3780000000000001E-2</v>
      </c>
      <c r="P502" s="459">
        <f t="shared" si="130"/>
        <v>5.3780000000000001E-2</v>
      </c>
      <c r="Q502" s="459">
        <f t="shared" si="130"/>
        <v>5.3780000000000001E-2</v>
      </c>
      <c r="S502" s="32"/>
      <c r="T502" s="32"/>
    </row>
    <row r="503" spans="2:20" x14ac:dyDescent="0.2">
      <c r="C503" s="32" t="s">
        <v>1088</v>
      </c>
      <c r="D503" s="444" t="s">
        <v>809</v>
      </c>
      <c r="E503" s="32" t="s">
        <v>957</v>
      </c>
      <c r="F503" s="459">
        <f t="shared" si="130"/>
        <v>5.1619999999999999E-2</v>
      </c>
      <c r="G503" s="459">
        <f t="shared" si="130"/>
        <v>5.1619999999999999E-2</v>
      </c>
      <c r="H503" s="459">
        <f t="shared" si="130"/>
        <v>5.1619999999999999E-2</v>
      </c>
      <c r="I503" s="459">
        <f t="shared" si="130"/>
        <v>5.1619999999999999E-2</v>
      </c>
      <c r="J503" s="459">
        <f t="shared" si="130"/>
        <v>5.1619999999999999E-2</v>
      </c>
      <c r="K503" s="459">
        <f t="shared" si="130"/>
        <v>5.1619999999999999E-2</v>
      </c>
      <c r="L503" s="459">
        <f t="shared" si="130"/>
        <v>5.1619999999999999E-2</v>
      </c>
      <c r="M503" s="459">
        <f t="shared" si="130"/>
        <v>5.1619999999999999E-2</v>
      </c>
      <c r="N503" s="459">
        <f t="shared" si="130"/>
        <v>5.1619999999999999E-2</v>
      </c>
      <c r="O503" s="459">
        <f t="shared" si="130"/>
        <v>5.1619999999999999E-2</v>
      </c>
      <c r="P503" s="459">
        <f t="shared" si="130"/>
        <v>5.1619999999999999E-2</v>
      </c>
      <c r="Q503" s="459">
        <f t="shared" si="130"/>
        <v>5.1619999999999999E-2</v>
      </c>
      <c r="S503" s="32"/>
      <c r="T503" s="32"/>
    </row>
    <row r="504" spans="2:20" x14ac:dyDescent="0.2">
      <c r="B504" s="336" t="s">
        <v>1081</v>
      </c>
      <c r="D504" s="382" t="s">
        <v>809</v>
      </c>
      <c r="E504" s="336" t="s">
        <v>957</v>
      </c>
      <c r="F504" s="459">
        <f t="shared" si="130"/>
        <v>6.9999999999999999E-4</v>
      </c>
      <c r="G504" s="459">
        <f t="shared" si="130"/>
        <v>6.9999999999999999E-4</v>
      </c>
      <c r="H504" s="459">
        <f t="shared" si="130"/>
        <v>6.9999999999999999E-4</v>
      </c>
      <c r="I504" s="459">
        <f t="shared" si="130"/>
        <v>6.9999999999999999E-4</v>
      </c>
      <c r="J504" s="459">
        <f t="shared" si="130"/>
        <v>6.9999999999999999E-4</v>
      </c>
      <c r="K504" s="459">
        <f t="shared" si="130"/>
        <v>6.9999999999999999E-4</v>
      </c>
      <c r="L504" s="459">
        <f t="shared" si="130"/>
        <v>6.9999999999999999E-4</v>
      </c>
      <c r="M504" s="459">
        <f t="shared" si="130"/>
        <v>6.9999999999999999E-4</v>
      </c>
      <c r="N504" s="459">
        <f t="shared" si="130"/>
        <v>6.9999999999999999E-4</v>
      </c>
      <c r="O504" s="459">
        <f t="shared" si="130"/>
        <v>6.9999999999999999E-4</v>
      </c>
      <c r="P504" s="459">
        <f t="shared" si="130"/>
        <v>6.9999999999999999E-4</v>
      </c>
      <c r="Q504" s="459">
        <f t="shared" si="130"/>
        <v>6.9999999999999999E-4</v>
      </c>
      <c r="S504" s="32"/>
      <c r="T504" s="32"/>
    </row>
    <row r="505" spans="2:20" x14ac:dyDescent="0.2">
      <c r="B505" s="32" t="s">
        <v>1069</v>
      </c>
      <c r="D505" s="444" t="s">
        <v>809</v>
      </c>
      <c r="E505" s="32" t="s">
        <v>957</v>
      </c>
      <c r="F505" s="460">
        <f t="shared" si="130"/>
        <v>1.1399999999999999</v>
      </c>
      <c r="G505" s="460">
        <f t="shared" si="130"/>
        <v>1.1399999999999999</v>
      </c>
      <c r="H505" s="460">
        <f t="shared" si="130"/>
        <v>1.1399999999999999</v>
      </c>
      <c r="I505" s="460">
        <f t="shared" si="130"/>
        <v>1.1399999999999999</v>
      </c>
      <c r="J505" s="460">
        <f t="shared" si="130"/>
        <v>1.1399999999999999</v>
      </c>
      <c r="K505" s="460">
        <f t="shared" si="130"/>
        <v>1.1399999999999999</v>
      </c>
      <c r="L505" s="460">
        <f t="shared" si="130"/>
        <v>1.1399999999999999</v>
      </c>
      <c r="M505" s="460">
        <f t="shared" si="130"/>
        <v>1.1399999999999999</v>
      </c>
      <c r="N505" s="460">
        <f t="shared" si="130"/>
        <v>1.1399999999999999</v>
      </c>
      <c r="O505" s="460">
        <f t="shared" si="130"/>
        <v>1.1399999999999999</v>
      </c>
      <c r="P505" s="460">
        <f t="shared" si="130"/>
        <v>1.1399999999999999</v>
      </c>
      <c r="Q505" s="460">
        <f t="shared" si="130"/>
        <v>1.1399999999999999</v>
      </c>
      <c r="S505" s="32"/>
      <c r="T505" s="32"/>
    </row>
    <row r="506" spans="2:20" s="336" customFormat="1" x14ac:dyDescent="0.2">
      <c r="B506" s="336" t="s">
        <v>1071</v>
      </c>
      <c r="D506" s="444" t="s">
        <v>809</v>
      </c>
      <c r="E506" s="336" t="s">
        <v>67</v>
      </c>
      <c r="F506" s="442"/>
      <c r="G506" s="442"/>
      <c r="H506" s="442"/>
      <c r="I506" s="442"/>
      <c r="J506" s="442"/>
      <c r="K506" s="442"/>
      <c r="L506" s="442"/>
      <c r="M506" s="442"/>
      <c r="N506" s="442"/>
      <c r="O506" s="442"/>
      <c r="P506" s="442"/>
      <c r="Q506" s="442"/>
    </row>
    <row r="507" spans="2:20" s="336" customFormat="1" x14ac:dyDescent="0.2">
      <c r="F507" s="415"/>
      <c r="G507" s="415"/>
      <c r="H507" s="415"/>
      <c r="I507" s="415"/>
      <c r="J507" s="415"/>
    </row>
    <row r="508" spans="2:20" s="336" customFormat="1" x14ac:dyDescent="0.2">
      <c r="B508" s="182" t="s">
        <v>1083</v>
      </c>
      <c r="F508" s="415"/>
      <c r="G508" s="415"/>
      <c r="H508" s="415"/>
      <c r="I508" s="415"/>
      <c r="J508" s="415"/>
    </row>
    <row r="509" spans="2:20" s="336" customFormat="1" x14ac:dyDescent="0.2">
      <c r="B509" s="336" t="s">
        <v>67</v>
      </c>
      <c r="D509" s="444" t="s">
        <v>809</v>
      </c>
      <c r="E509" s="336" t="s">
        <v>67</v>
      </c>
      <c r="F509" s="421">
        <f>'JKP-3.1c - Data'!C149</f>
        <v>63</v>
      </c>
      <c r="G509" s="421">
        <f>'JKP-3.1c - Data'!D149</f>
        <v>65</v>
      </c>
      <c r="H509" s="421">
        <f>'JKP-3.1c - Data'!E149</f>
        <v>64</v>
      </c>
      <c r="I509" s="421">
        <f>'JKP-3.1c - Data'!F149</f>
        <v>64</v>
      </c>
      <c r="J509" s="421">
        <f>'JKP-3.1c - Data'!G149</f>
        <v>63.999999999999993</v>
      </c>
      <c r="K509" s="421">
        <f>'JKP-3.1c - Data'!H149</f>
        <v>63</v>
      </c>
      <c r="L509" s="421">
        <f>'JKP-3.1c - Data'!I149</f>
        <v>63</v>
      </c>
      <c r="M509" s="421">
        <f>'JKP-3.1c - Data'!J149</f>
        <v>62</v>
      </c>
      <c r="N509" s="421">
        <f>'JKP-3.1c - Data'!K149</f>
        <v>62</v>
      </c>
      <c r="O509" s="421">
        <f>'JKP-3.1c - Data'!L149</f>
        <v>62</v>
      </c>
      <c r="P509" s="421">
        <f>'JKP-3.1c - Data'!M149</f>
        <v>62</v>
      </c>
      <c r="Q509" s="421">
        <f>'JKP-3.1c - Data'!N149</f>
        <v>63</v>
      </c>
      <c r="R509" s="378">
        <f>SUM(F509:Q509)</f>
        <v>757</v>
      </c>
    </row>
    <row r="510" spans="2:20" s="336" customFormat="1" x14ac:dyDescent="0.2">
      <c r="B510" s="336" t="s">
        <v>76</v>
      </c>
      <c r="F510" s="380"/>
      <c r="G510" s="380"/>
      <c r="H510" s="380"/>
      <c r="I510" s="380"/>
      <c r="J510" s="380"/>
      <c r="K510" s="380"/>
      <c r="L510" s="380"/>
      <c r="M510" s="380"/>
      <c r="N510" s="380"/>
      <c r="O510" s="380"/>
      <c r="P510" s="380"/>
      <c r="Q510" s="380"/>
      <c r="R510" s="378"/>
    </row>
    <row r="511" spans="2:20" s="336" customFormat="1" x14ac:dyDescent="0.2">
      <c r="C511" s="336" t="s">
        <v>1086</v>
      </c>
      <c r="D511" s="444" t="s">
        <v>809</v>
      </c>
      <c r="E511" s="336" t="s">
        <v>10</v>
      </c>
      <c r="F511" s="421">
        <f>'JKP-3.1c - Rev Actual Rates'!F522</f>
        <v>1300086</v>
      </c>
      <c r="G511" s="421">
        <f>'JKP-3.1c - Rev Actual Rates'!G522</f>
        <v>1359088</v>
      </c>
      <c r="H511" s="421">
        <f>'JKP-3.1c - Rev Actual Rates'!H522</f>
        <v>1447827</v>
      </c>
      <c r="I511" s="421">
        <f>'JKP-3.1c - Rev Actual Rates'!I522</f>
        <v>1448608</v>
      </c>
      <c r="J511" s="421">
        <f>'JKP-3.1c - Rev Actual Rates'!J522</f>
        <v>1479655</v>
      </c>
      <c r="K511" s="421">
        <f>'JKP-3.1c - Rev Actual Rates'!K522</f>
        <v>1475803</v>
      </c>
      <c r="L511" s="421">
        <f>'JKP-3.1c - Rev Actual Rates'!L522</f>
        <v>1391248</v>
      </c>
      <c r="M511" s="421">
        <f>'JKP-3.1c - Rev Actual Rates'!M522</f>
        <v>1400299</v>
      </c>
      <c r="N511" s="421">
        <f>'JKP-3.1c - Rev Actual Rates'!N522</f>
        <v>1390439</v>
      </c>
      <c r="O511" s="421">
        <f>'JKP-3.1c - Rev Actual Rates'!O522</f>
        <v>1452877</v>
      </c>
      <c r="P511" s="421">
        <f>'JKP-3.1c - Rev Actual Rates'!P522</f>
        <v>1410443</v>
      </c>
      <c r="Q511" s="421">
        <f>'JKP-3.1c - Rev Actual Rates'!Q522</f>
        <v>1317754</v>
      </c>
      <c r="R511" s="378">
        <f>SUM(F511:Q511)</f>
        <v>16874127</v>
      </c>
    </row>
    <row r="512" spans="2:20" s="336" customFormat="1" x14ac:dyDescent="0.2">
      <c r="C512" s="336" t="s">
        <v>1087</v>
      </c>
      <c r="D512" s="444" t="s">
        <v>809</v>
      </c>
      <c r="E512" s="336" t="s">
        <v>10</v>
      </c>
      <c r="F512" s="421">
        <f>'JKP-3.1c - Rev Actual Rates'!F523</f>
        <v>764738</v>
      </c>
      <c r="G512" s="421">
        <f>'JKP-3.1c - Rev Actual Rates'!G523</f>
        <v>756676</v>
      </c>
      <c r="H512" s="421">
        <f>'JKP-3.1c - Rev Actual Rates'!H523</f>
        <v>896677</v>
      </c>
      <c r="I512" s="421">
        <f>'JKP-3.1c - Rev Actual Rates'!I523</f>
        <v>849173</v>
      </c>
      <c r="J512" s="421">
        <f>'JKP-3.1c - Rev Actual Rates'!J523</f>
        <v>812946</v>
      </c>
      <c r="K512" s="421">
        <f>'JKP-3.1c - Rev Actual Rates'!K523</f>
        <v>944272</v>
      </c>
      <c r="L512" s="421">
        <f>'JKP-3.1c - Rev Actual Rates'!L523</f>
        <v>836907</v>
      </c>
      <c r="M512" s="421">
        <f>'JKP-3.1c - Rev Actual Rates'!M523</f>
        <v>863182</v>
      </c>
      <c r="N512" s="421">
        <f>'JKP-3.1c - Rev Actual Rates'!N523</f>
        <v>882239</v>
      </c>
      <c r="O512" s="421">
        <f>'JKP-3.1c - Rev Actual Rates'!O523</f>
        <v>913470</v>
      </c>
      <c r="P512" s="421">
        <f>'JKP-3.1c - Rev Actual Rates'!P523</f>
        <v>811150</v>
      </c>
      <c r="Q512" s="421">
        <f>'JKP-3.1c - Rev Actual Rates'!Q523</f>
        <v>735474</v>
      </c>
      <c r="R512" s="378">
        <f>SUM(F512:Q512)</f>
        <v>10066904</v>
      </c>
    </row>
    <row r="513" spans="1:20" s="336" customFormat="1" x14ac:dyDescent="0.2">
      <c r="C513" s="336" t="s">
        <v>1088</v>
      </c>
      <c r="D513" s="444" t="s">
        <v>809</v>
      </c>
      <c r="E513" s="336" t="s">
        <v>10</v>
      </c>
      <c r="F513" s="421">
        <f>'JKP-3.1c - Rev Actual Rates'!F524</f>
        <v>1132089</v>
      </c>
      <c r="G513" s="421">
        <f>'JKP-3.1c - Rev Actual Rates'!G524</f>
        <v>1035200</v>
      </c>
      <c r="H513" s="421">
        <f>'JKP-3.1c - Rev Actual Rates'!H524</f>
        <v>1281979</v>
      </c>
      <c r="I513" s="421">
        <f>'JKP-3.1c - Rev Actual Rates'!I524</f>
        <v>1215482</v>
      </c>
      <c r="J513" s="421">
        <f>'JKP-3.1c - Rev Actual Rates'!J524</f>
        <v>1282290</v>
      </c>
      <c r="K513" s="421">
        <f>'JKP-3.1c - Rev Actual Rates'!K524</f>
        <v>1564170</v>
      </c>
      <c r="L513" s="421">
        <f>'JKP-3.1c - Rev Actual Rates'!L524</f>
        <v>1336969</v>
      </c>
      <c r="M513" s="421">
        <f>'JKP-3.1c - Rev Actual Rates'!M524</f>
        <v>1411813</v>
      </c>
      <c r="N513" s="421">
        <f>'JKP-3.1c - Rev Actual Rates'!N524</f>
        <v>1154727</v>
      </c>
      <c r="O513" s="421">
        <f>'JKP-3.1c - Rev Actual Rates'!O524</f>
        <v>1275791</v>
      </c>
      <c r="P513" s="421">
        <f>'JKP-3.1c - Rev Actual Rates'!P524</f>
        <v>1281982</v>
      </c>
      <c r="Q513" s="421">
        <f>'JKP-3.1c - Rev Actual Rates'!Q524</f>
        <v>1188277</v>
      </c>
      <c r="R513" s="378">
        <f>SUM(F513:Q513)</f>
        <v>15160769</v>
      </c>
    </row>
    <row r="514" spans="1:20" s="336" customFormat="1" x14ac:dyDescent="0.2">
      <c r="C514" s="336" t="s">
        <v>1075</v>
      </c>
      <c r="D514" s="444" t="s">
        <v>809</v>
      </c>
      <c r="E514" s="336" t="s">
        <v>10</v>
      </c>
      <c r="F514" s="436">
        <f t="shared" ref="F514:Q514" si="131">SUM(F511:F513)</f>
        <v>3196913</v>
      </c>
      <c r="G514" s="436">
        <f t="shared" si="131"/>
        <v>3150964</v>
      </c>
      <c r="H514" s="436">
        <f t="shared" si="131"/>
        <v>3626483</v>
      </c>
      <c r="I514" s="436">
        <f t="shared" si="131"/>
        <v>3513263</v>
      </c>
      <c r="J514" s="436">
        <f t="shared" si="131"/>
        <v>3574891</v>
      </c>
      <c r="K514" s="436">
        <f t="shared" si="131"/>
        <v>3984245</v>
      </c>
      <c r="L514" s="436">
        <f t="shared" si="131"/>
        <v>3565124</v>
      </c>
      <c r="M514" s="436">
        <f t="shared" si="131"/>
        <v>3675294</v>
      </c>
      <c r="N514" s="436">
        <f t="shared" si="131"/>
        <v>3427405</v>
      </c>
      <c r="O514" s="436">
        <f t="shared" si="131"/>
        <v>3642138</v>
      </c>
      <c r="P514" s="436">
        <f t="shared" si="131"/>
        <v>3503575</v>
      </c>
      <c r="Q514" s="436">
        <f t="shared" si="131"/>
        <v>3241505</v>
      </c>
      <c r="R514" s="436">
        <f>SUM(F514:Q514)</f>
        <v>42101800</v>
      </c>
    </row>
    <row r="515" spans="1:20" s="336" customFormat="1" x14ac:dyDescent="0.2">
      <c r="B515" s="336" t="s">
        <v>74</v>
      </c>
      <c r="D515" s="444" t="s">
        <v>809</v>
      </c>
      <c r="E515" s="336" t="s">
        <v>1076</v>
      </c>
      <c r="F515" s="421">
        <f>'JKP-3.1c - Rev Actual Rates'!F526</f>
        <v>41254</v>
      </c>
      <c r="G515" s="421">
        <f>'JKP-3.1c - Rev Actual Rates'!G526</f>
        <v>38204</v>
      </c>
      <c r="H515" s="421">
        <f>'JKP-3.1c - Rev Actual Rates'!H526</f>
        <v>38204</v>
      </c>
      <c r="I515" s="421">
        <f>'JKP-3.1c - Rev Actual Rates'!I526</f>
        <v>38204</v>
      </c>
      <c r="J515" s="421">
        <f>'JKP-3.1c - Rev Actual Rates'!J526</f>
        <v>35704</v>
      </c>
      <c r="K515" s="421">
        <f>'JKP-3.1c - Rev Actual Rates'!K526</f>
        <v>35704</v>
      </c>
      <c r="L515" s="421">
        <f>'JKP-3.1c - Rev Actual Rates'!L526</f>
        <v>35704</v>
      </c>
      <c r="M515" s="421">
        <f>'JKP-3.1c - Rev Actual Rates'!M526</f>
        <v>35584</v>
      </c>
      <c r="N515" s="421">
        <f>'JKP-3.1c - Rev Actual Rates'!N526</f>
        <v>35584</v>
      </c>
      <c r="O515" s="421">
        <f>'JKP-3.1c - Rev Actual Rates'!O526</f>
        <v>35584</v>
      </c>
      <c r="P515" s="421">
        <f>'JKP-3.1c - Rev Actual Rates'!P526</f>
        <v>35584</v>
      </c>
      <c r="Q515" s="421">
        <f>'JKP-3.1c - Rev Actual Rates'!Q526</f>
        <v>35601</v>
      </c>
      <c r="R515" s="378">
        <f>SUM(F515:Q515)</f>
        <v>440915</v>
      </c>
    </row>
    <row r="516" spans="1:20" s="336" customFormat="1" x14ac:dyDescent="0.2">
      <c r="B516" s="336" t="s">
        <v>1071</v>
      </c>
      <c r="D516" s="382"/>
      <c r="F516" s="380"/>
      <c r="G516" s="380"/>
      <c r="H516" s="380"/>
      <c r="I516" s="380"/>
      <c r="J516" s="380"/>
      <c r="K516" s="380"/>
      <c r="L516" s="380"/>
      <c r="M516" s="380"/>
      <c r="N516" s="380"/>
      <c r="O516" s="380"/>
      <c r="P516" s="380"/>
      <c r="Q516" s="380"/>
      <c r="R516" s="380"/>
    </row>
    <row r="517" spans="1:20" s="336" customFormat="1" x14ac:dyDescent="0.2"/>
    <row r="518" spans="1:20" s="336" customFormat="1" x14ac:dyDescent="0.2">
      <c r="B518" s="182" t="s">
        <v>985</v>
      </c>
    </row>
    <row r="519" spans="1:20" s="336" customFormat="1" x14ac:dyDescent="0.2">
      <c r="A519" s="336" t="s">
        <v>1054</v>
      </c>
      <c r="B519" s="336" t="s">
        <v>1059</v>
      </c>
      <c r="D519" s="444" t="s">
        <v>809</v>
      </c>
      <c r="F519" s="418">
        <f t="shared" ref="F519:Q519" si="132">F499*F509</f>
        <v>56313.81</v>
      </c>
      <c r="G519" s="418">
        <f t="shared" si="132"/>
        <v>58101.55</v>
      </c>
      <c r="H519" s="418">
        <f t="shared" si="132"/>
        <v>57207.68</v>
      </c>
      <c r="I519" s="418">
        <f t="shared" si="132"/>
        <v>57207.68</v>
      </c>
      <c r="J519" s="418">
        <f t="shared" si="132"/>
        <v>57207.679999999993</v>
      </c>
      <c r="K519" s="418">
        <f t="shared" si="132"/>
        <v>56313.81</v>
      </c>
      <c r="L519" s="418">
        <f t="shared" si="132"/>
        <v>56313.81</v>
      </c>
      <c r="M519" s="418">
        <f t="shared" si="132"/>
        <v>55419.94</v>
      </c>
      <c r="N519" s="418">
        <f t="shared" si="132"/>
        <v>55419.94</v>
      </c>
      <c r="O519" s="418">
        <f t="shared" si="132"/>
        <v>55419.94</v>
      </c>
      <c r="P519" s="418">
        <f t="shared" si="132"/>
        <v>55419.94</v>
      </c>
      <c r="Q519" s="418">
        <f t="shared" si="132"/>
        <v>56313.81</v>
      </c>
      <c r="R519" s="418">
        <f>SUM(F519:Q519)</f>
        <v>676659.59000000008</v>
      </c>
    </row>
    <row r="520" spans="1:20" x14ac:dyDescent="0.2">
      <c r="B520" s="32" t="s">
        <v>1047</v>
      </c>
      <c r="D520" s="444"/>
      <c r="F520" s="418"/>
      <c r="G520" s="418"/>
      <c r="H520" s="418"/>
      <c r="I520" s="418"/>
      <c r="J520" s="418"/>
      <c r="K520" s="418"/>
      <c r="L520" s="418"/>
      <c r="M520" s="418"/>
      <c r="N520" s="418"/>
      <c r="O520" s="418"/>
      <c r="P520" s="418"/>
      <c r="Q520" s="418"/>
      <c r="R520" s="418"/>
      <c r="S520" s="32"/>
      <c r="T520" s="32"/>
    </row>
    <row r="521" spans="1:20" x14ac:dyDescent="0.2">
      <c r="C521" s="32" t="s">
        <v>1086</v>
      </c>
      <c r="D521" s="444" t="s">
        <v>809</v>
      </c>
      <c r="F521" s="418">
        <f t="shared" ref="F521:Q523" si="133">F501*F511</f>
        <v>136392.02226</v>
      </c>
      <c r="G521" s="418">
        <f t="shared" si="133"/>
        <v>142581.92208000002</v>
      </c>
      <c r="H521" s="418">
        <f t="shared" si="133"/>
        <v>151891.53057</v>
      </c>
      <c r="I521" s="418">
        <f t="shared" si="133"/>
        <v>151973.46528</v>
      </c>
      <c r="J521" s="418">
        <f t="shared" si="133"/>
        <v>155230.60605</v>
      </c>
      <c r="K521" s="418">
        <f t="shared" si="133"/>
        <v>154826.49273</v>
      </c>
      <c r="L521" s="418">
        <f t="shared" si="133"/>
        <v>145955.82768000002</v>
      </c>
      <c r="M521" s="418">
        <f t="shared" si="133"/>
        <v>146905.36809</v>
      </c>
      <c r="N521" s="418">
        <f t="shared" si="133"/>
        <v>145870.95548999999</v>
      </c>
      <c r="O521" s="418">
        <f t="shared" si="133"/>
        <v>152421.32607000001</v>
      </c>
      <c r="P521" s="418">
        <f t="shared" si="133"/>
        <v>147969.57513000001</v>
      </c>
      <c r="Q521" s="418">
        <f t="shared" si="133"/>
        <v>138245.57214</v>
      </c>
      <c r="R521" s="418">
        <f t="shared" ref="R521:R527" si="134">SUM(F521:Q521)</f>
        <v>1770264.6635700003</v>
      </c>
      <c r="S521" s="32"/>
      <c r="T521" s="32"/>
    </row>
    <row r="522" spans="1:20" x14ac:dyDescent="0.2">
      <c r="C522" s="32" t="s">
        <v>1087</v>
      </c>
      <c r="D522" s="444" t="s">
        <v>809</v>
      </c>
      <c r="F522" s="418">
        <f t="shared" si="133"/>
        <v>41127.609640000002</v>
      </c>
      <c r="G522" s="418">
        <f t="shared" si="133"/>
        <v>40694.035280000004</v>
      </c>
      <c r="H522" s="418">
        <f t="shared" si="133"/>
        <v>48223.289060000003</v>
      </c>
      <c r="I522" s="418">
        <f t="shared" si="133"/>
        <v>45668.523939999999</v>
      </c>
      <c r="J522" s="418">
        <f t="shared" si="133"/>
        <v>43720.23588</v>
      </c>
      <c r="K522" s="418">
        <f t="shared" si="133"/>
        <v>50782.94816</v>
      </c>
      <c r="L522" s="418">
        <f t="shared" si="133"/>
        <v>45008.858460000003</v>
      </c>
      <c r="M522" s="418">
        <f t="shared" si="133"/>
        <v>46421.927960000001</v>
      </c>
      <c r="N522" s="418">
        <f t="shared" si="133"/>
        <v>47446.813419999999</v>
      </c>
      <c r="O522" s="418">
        <f t="shared" si="133"/>
        <v>49126.416600000004</v>
      </c>
      <c r="P522" s="418">
        <f t="shared" si="133"/>
        <v>43623.647000000004</v>
      </c>
      <c r="Q522" s="418">
        <f t="shared" si="133"/>
        <v>39553.791720000001</v>
      </c>
      <c r="R522" s="418">
        <f t="shared" si="134"/>
        <v>541398.09712000005</v>
      </c>
      <c r="S522" s="32"/>
      <c r="T522" s="32"/>
    </row>
    <row r="523" spans="1:20" x14ac:dyDescent="0.2">
      <c r="C523" s="32" t="s">
        <v>1088</v>
      </c>
      <c r="D523" s="444" t="s">
        <v>809</v>
      </c>
      <c r="F523" s="364">
        <f t="shared" si="133"/>
        <v>58438.434179999997</v>
      </c>
      <c r="G523" s="364">
        <f t="shared" si="133"/>
        <v>53437.023999999998</v>
      </c>
      <c r="H523" s="364">
        <f t="shared" si="133"/>
        <v>66175.755980000002</v>
      </c>
      <c r="I523" s="364">
        <f t="shared" si="133"/>
        <v>62743.180840000001</v>
      </c>
      <c r="J523" s="364">
        <f t="shared" si="133"/>
        <v>66191.809800000003</v>
      </c>
      <c r="K523" s="364">
        <f t="shared" si="133"/>
        <v>80742.455399999992</v>
      </c>
      <c r="L523" s="364">
        <f t="shared" si="133"/>
        <v>69014.339779999995</v>
      </c>
      <c r="M523" s="364">
        <f t="shared" si="133"/>
        <v>72877.787060000002</v>
      </c>
      <c r="N523" s="364">
        <f t="shared" si="133"/>
        <v>59607.007740000001</v>
      </c>
      <c r="O523" s="364">
        <f t="shared" si="133"/>
        <v>65856.331420000002</v>
      </c>
      <c r="P523" s="364">
        <f t="shared" si="133"/>
        <v>66175.910839999997</v>
      </c>
      <c r="Q523" s="364">
        <f t="shared" si="133"/>
        <v>61338.858739999996</v>
      </c>
      <c r="R523" s="364">
        <f t="shared" si="134"/>
        <v>782598.8957799999</v>
      </c>
      <c r="S523" s="32"/>
      <c r="T523" s="32"/>
    </row>
    <row r="524" spans="1:20" x14ac:dyDescent="0.2">
      <c r="A524" s="32" t="s">
        <v>1054</v>
      </c>
      <c r="C524" s="32" t="s">
        <v>1077</v>
      </c>
      <c r="D524" s="444"/>
      <c r="F524" s="365">
        <f t="shared" ref="F524:Q524" si="135">SUM(F521:F523)</f>
        <v>235958.06608000002</v>
      </c>
      <c r="G524" s="365">
        <f t="shared" si="135"/>
        <v>236712.98136000003</v>
      </c>
      <c r="H524" s="365">
        <f t="shared" si="135"/>
        <v>266290.57561</v>
      </c>
      <c r="I524" s="365">
        <f t="shared" si="135"/>
        <v>260385.17005999997</v>
      </c>
      <c r="J524" s="365">
        <f t="shared" si="135"/>
        <v>265142.65172999998</v>
      </c>
      <c r="K524" s="365">
        <f t="shared" si="135"/>
        <v>286351.89629</v>
      </c>
      <c r="L524" s="365">
        <f t="shared" si="135"/>
        <v>259979.02591999999</v>
      </c>
      <c r="M524" s="365">
        <f t="shared" si="135"/>
        <v>266205.08311000001</v>
      </c>
      <c r="N524" s="365">
        <f t="shared" si="135"/>
        <v>252924.77664999999</v>
      </c>
      <c r="O524" s="365">
        <f t="shared" si="135"/>
        <v>267404.07409000001</v>
      </c>
      <c r="P524" s="365">
        <f t="shared" si="135"/>
        <v>257769.13297000001</v>
      </c>
      <c r="Q524" s="365">
        <f t="shared" si="135"/>
        <v>239138.22260000001</v>
      </c>
      <c r="R524" s="365">
        <f t="shared" si="134"/>
        <v>3094261.6564700003</v>
      </c>
      <c r="S524" s="32"/>
      <c r="T524" s="32"/>
    </row>
    <row r="525" spans="1:20" x14ac:dyDescent="0.2">
      <c r="A525" s="390" t="s">
        <v>1056</v>
      </c>
      <c r="B525" s="336" t="s">
        <v>1081</v>
      </c>
      <c r="D525" s="444" t="s">
        <v>809</v>
      </c>
      <c r="E525" s="390"/>
      <c r="F525" s="446">
        <f t="shared" ref="F525:Q526" si="136">F504*F514</f>
        <v>2237.8391000000001</v>
      </c>
      <c r="G525" s="446">
        <f t="shared" si="136"/>
        <v>2205.6747999999998</v>
      </c>
      <c r="H525" s="446">
        <f t="shared" si="136"/>
        <v>2538.5380999999998</v>
      </c>
      <c r="I525" s="446">
        <f t="shared" si="136"/>
        <v>2459.2840999999999</v>
      </c>
      <c r="J525" s="446">
        <f t="shared" si="136"/>
        <v>2502.4236999999998</v>
      </c>
      <c r="K525" s="446">
        <f t="shared" si="136"/>
        <v>2788.9715000000001</v>
      </c>
      <c r="L525" s="446">
        <f t="shared" si="136"/>
        <v>2495.5868</v>
      </c>
      <c r="M525" s="446">
        <f t="shared" si="136"/>
        <v>2572.7058000000002</v>
      </c>
      <c r="N525" s="446">
        <f t="shared" si="136"/>
        <v>2399.1835000000001</v>
      </c>
      <c r="O525" s="446">
        <f t="shared" si="136"/>
        <v>2549.4965999999999</v>
      </c>
      <c r="P525" s="446">
        <f t="shared" si="136"/>
        <v>2452.5025000000001</v>
      </c>
      <c r="Q525" s="446">
        <f t="shared" si="136"/>
        <v>2269.0535</v>
      </c>
      <c r="R525" s="446">
        <f t="shared" si="134"/>
        <v>29471.259999999995</v>
      </c>
      <c r="S525" s="32"/>
      <c r="T525" s="32"/>
    </row>
    <row r="526" spans="1:20" x14ac:dyDescent="0.2">
      <c r="A526" s="32" t="s">
        <v>1054</v>
      </c>
      <c r="B526" s="32" t="s">
        <v>1069</v>
      </c>
      <c r="D526" s="444" t="s">
        <v>809</v>
      </c>
      <c r="F526" s="364">
        <f t="shared" si="136"/>
        <v>47029.56</v>
      </c>
      <c r="G526" s="364">
        <f t="shared" si="136"/>
        <v>43552.56</v>
      </c>
      <c r="H526" s="364">
        <f t="shared" si="136"/>
        <v>43552.56</v>
      </c>
      <c r="I526" s="364">
        <f t="shared" si="136"/>
        <v>43552.56</v>
      </c>
      <c r="J526" s="364">
        <f t="shared" si="136"/>
        <v>40702.559999999998</v>
      </c>
      <c r="K526" s="364">
        <f t="shared" si="136"/>
        <v>40702.559999999998</v>
      </c>
      <c r="L526" s="364">
        <f t="shared" si="136"/>
        <v>40702.559999999998</v>
      </c>
      <c r="M526" s="364">
        <f t="shared" si="136"/>
        <v>40565.759999999995</v>
      </c>
      <c r="N526" s="364">
        <f t="shared" si="136"/>
        <v>40565.759999999995</v>
      </c>
      <c r="O526" s="364">
        <f t="shared" si="136"/>
        <v>40565.759999999995</v>
      </c>
      <c r="P526" s="364">
        <f t="shared" si="136"/>
        <v>40565.759999999995</v>
      </c>
      <c r="Q526" s="364">
        <f t="shared" si="136"/>
        <v>40585.14</v>
      </c>
      <c r="R526" s="364">
        <f t="shared" si="134"/>
        <v>502643.10000000003</v>
      </c>
      <c r="S526" s="32"/>
      <c r="T526" s="32"/>
    </row>
    <row r="527" spans="1:20" s="336" customFormat="1" x14ac:dyDescent="0.2">
      <c r="A527" s="336" t="s">
        <v>1054</v>
      </c>
      <c r="B527" s="336" t="s">
        <v>1071</v>
      </c>
      <c r="D527" s="444" t="s">
        <v>809</v>
      </c>
      <c r="F527" s="447">
        <f>'JKP-3.1c - Rev Actual Rates'!F538</f>
        <v>0</v>
      </c>
      <c r="G527" s="447">
        <f>'JKP-3.1c - Rev Actual Rates'!G538</f>
        <v>0</v>
      </c>
      <c r="H527" s="447">
        <f>'JKP-3.1c - Rev Actual Rates'!H538</f>
        <v>4975.97</v>
      </c>
      <c r="I527" s="447">
        <f>'JKP-3.1c - Rev Actual Rates'!I538</f>
        <v>204602.52</v>
      </c>
      <c r="J527" s="447">
        <f>'JKP-3.1c - Rev Actual Rates'!J538</f>
        <v>132721.98000000001</v>
      </c>
      <c r="K527" s="447">
        <f>'JKP-3.1c - Rev Actual Rates'!K538</f>
        <v>0</v>
      </c>
      <c r="L527" s="447">
        <f>'JKP-3.1c - Rev Actual Rates'!L538</f>
        <v>9820.9500000000007</v>
      </c>
      <c r="M527" s="447">
        <f>'JKP-3.1c - Rev Actual Rates'!M538</f>
        <v>0</v>
      </c>
      <c r="N527" s="447">
        <f>'JKP-3.1c - Rev Actual Rates'!N538</f>
        <v>19527.16</v>
      </c>
      <c r="O527" s="447">
        <f>'JKP-3.1c - Rev Actual Rates'!O538</f>
        <v>0</v>
      </c>
      <c r="P527" s="447">
        <f>'JKP-3.1c - Rev Actual Rates'!P538</f>
        <v>11374.9</v>
      </c>
      <c r="Q527" s="447">
        <f>'JKP-3.1c - Rev Actual Rates'!Q538</f>
        <v>0</v>
      </c>
      <c r="R527" s="365">
        <f t="shared" si="134"/>
        <v>383023.48</v>
      </c>
    </row>
    <row r="528" spans="1:20" x14ac:dyDescent="0.2">
      <c r="B528" s="32" t="s">
        <v>986</v>
      </c>
      <c r="F528" s="365">
        <f>F519+F524+F525+F526+F527</f>
        <v>341539.27518</v>
      </c>
      <c r="G528" s="365">
        <f t="shared" ref="G528:R528" si="137">G519+G524+G525+G526+G527</f>
        <v>340572.76616</v>
      </c>
      <c r="H528" s="365">
        <f t="shared" si="137"/>
        <v>374565.32370999997</v>
      </c>
      <c r="I528" s="365">
        <f t="shared" si="137"/>
        <v>568207.21415999997</v>
      </c>
      <c r="J528" s="365">
        <f t="shared" si="137"/>
        <v>498277.29542999994</v>
      </c>
      <c r="K528" s="365">
        <f t="shared" si="137"/>
        <v>386157.23778999998</v>
      </c>
      <c r="L528" s="365">
        <f t="shared" si="137"/>
        <v>369311.93271999998</v>
      </c>
      <c r="M528" s="365">
        <f t="shared" si="137"/>
        <v>364763.48891000001</v>
      </c>
      <c r="N528" s="365">
        <f t="shared" si="137"/>
        <v>370836.82014999993</v>
      </c>
      <c r="O528" s="365">
        <f t="shared" si="137"/>
        <v>365939.27069000003</v>
      </c>
      <c r="P528" s="365">
        <f t="shared" si="137"/>
        <v>367582.23547000001</v>
      </c>
      <c r="Q528" s="365">
        <f t="shared" si="137"/>
        <v>338306.22610000003</v>
      </c>
      <c r="R528" s="365">
        <f t="shared" si="137"/>
        <v>4686059.0864700004</v>
      </c>
      <c r="S528" s="32"/>
      <c r="T528" s="32"/>
    </row>
    <row r="529" spans="1:20" x14ac:dyDescent="0.2">
      <c r="F529" s="390"/>
      <c r="G529" s="390"/>
      <c r="H529" s="390"/>
      <c r="I529" s="390"/>
      <c r="J529" s="390"/>
      <c r="S529" s="32"/>
      <c r="T529" s="32"/>
    </row>
    <row r="530" spans="1:20" x14ac:dyDescent="0.2">
      <c r="A530" s="32" t="s">
        <v>1058</v>
      </c>
      <c r="B530" s="32" t="s">
        <v>1050</v>
      </c>
      <c r="F530" s="417">
        <f>F525</f>
        <v>2237.8391000000001</v>
      </c>
      <c r="G530" s="417">
        <f t="shared" ref="G530:Q530" si="138">G525</f>
        <v>2205.6747999999998</v>
      </c>
      <c r="H530" s="417">
        <f t="shared" si="138"/>
        <v>2538.5380999999998</v>
      </c>
      <c r="I530" s="417">
        <f t="shared" si="138"/>
        <v>2459.2840999999999</v>
      </c>
      <c r="J530" s="417">
        <f t="shared" si="138"/>
        <v>2502.4236999999998</v>
      </c>
      <c r="K530" s="417">
        <f t="shared" si="138"/>
        <v>2788.9715000000001</v>
      </c>
      <c r="L530" s="417">
        <f t="shared" si="138"/>
        <v>2495.5868</v>
      </c>
      <c r="M530" s="417">
        <f t="shared" si="138"/>
        <v>2572.7058000000002</v>
      </c>
      <c r="N530" s="417">
        <f t="shared" si="138"/>
        <v>2399.1835000000001</v>
      </c>
      <c r="O530" s="417">
        <f t="shared" si="138"/>
        <v>2549.4965999999999</v>
      </c>
      <c r="P530" s="417">
        <f t="shared" si="138"/>
        <v>2452.5025000000001</v>
      </c>
      <c r="Q530" s="417">
        <f t="shared" si="138"/>
        <v>2269.0535</v>
      </c>
      <c r="R530" s="364">
        <f>SUM(F530:Q530)</f>
        <v>29471.259999999995</v>
      </c>
      <c r="S530" s="32"/>
      <c r="T530" s="32"/>
    </row>
    <row r="531" spans="1:20" x14ac:dyDescent="0.2">
      <c r="F531" s="390"/>
      <c r="G531" s="390"/>
      <c r="H531" s="390"/>
      <c r="I531" s="390"/>
      <c r="J531" s="390"/>
      <c r="S531" s="32"/>
      <c r="T531" s="32"/>
    </row>
    <row r="532" spans="1:20" x14ac:dyDescent="0.2">
      <c r="B532" s="276" t="s">
        <v>1104</v>
      </c>
      <c r="C532" s="276"/>
    </row>
    <row r="533" spans="1:20" x14ac:dyDescent="0.2">
      <c r="B533" s="276" t="s">
        <v>5</v>
      </c>
      <c r="C533" s="276"/>
    </row>
    <row r="534" spans="1:20" x14ac:dyDescent="0.2">
      <c r="B534" s="32" t="s">
        <v>1059</v>
      </c>
      <c r="D534" s="444" t="s">
        <v>810</v>
      </c>
      <c r="E534" s="32" t="s">
        <v>976</v>
      </c>
      <c r="F534" s="442">
        <v>454.33</v>
      </c>
      <c r="G534" s="442">
        <v>454.33</v>
      </c>
      <c r="H534" s="442">
        <v>454.33</v>
      </c>
      <c r="I534" s="442">
        <v>454.33</v>
      </c>
      <c r="J534" s="442">
        <v>454.33</v>
      </c>
      <c r="K534" s="442">
        <v>454.33</v>
      </c>
      <c r="L534" s="442">
        <v>454.33</v>
      </c>
      <c r="M534" s="442">
        <v>454.33</v>
      </c>
      <c r="N534" s="442">
        <v>454.33</v>
      </c>
      <c r="O534" s="442">
        <v>454.33</v>
      </c>
      <c r="P534" s="442">
        <v>454.33</v>
      </c>
      <c r="Q534" s="442">
        <v>454.33</v>
      </c>
      <c r="R534" s="439"/>
    </row>
    <row r="535" spans="1:20" x14ac:dyDescent="0.2">
      <c r="B535" s="32" t="s">
        <v>1047</v>
      </c>
      <c r="F535" s="393"/>
      <c r="G535" s="393"/>
      <c r="H535" s="393"/>
      <c r="I535" s="393"/>
      <c r="J535" s="393"/>
      <c r="K535" s="393"/>
      <c r="L535" s="393"/>
      <c r="M535" s="393"/>
      <c r="N535" s="393"/>
      <c r="O535" s="393"/>
      <c r="P535" s="393"/>
      <c r="Q535" s="393"/>
      <c r="R535" s="394"/>
    </row>
    <row r="536" spans="1:20" x14ac:dyDescent="0.2">
      <c r="C536" s="32" t="s">
        <v>1098</v>
      </c>
      <c r="D536" s="444" t="s">
        <v>810</v>
      </c>
      <c r="E536" s="32" t="s">
        <v>957</v>
      </c>
      <c r="F536" s="440">
        <v>0.20305999999999999</v>
      </c>
      <c r="G536" s="440">
        <v>0.20305999999999999</v>
      </c>
      <c r="H536" s="440">
        <v>0.20305999999999999</v>
      </c>
      <c r="I536" s="440">
        <v>0.20305999999999999</v>
      </c>
      <c r="J536" s="440">
        <v>0.20305999999999999</v>
      </c>
      <c r="K536" s="440">
        <v>0.20305999999999999</v>
      </c>
      <c r="L536" s="440">
        <v>0.20305999999999999</v>
      </c>
      <c r="M536" s="440">
        <v>0.20305999999999999</v>
      </c>
      <c r="N536" s="440">
        <v>0.20305999999999999</v>
      </c>
      <c r="O536" s="440">
        <v>0.20305999999999999</v>
      </c>
      <c r="P536" s="440">
        <v>0.20305999999999999</v>
      </c>
      <c r="Q536" s="440">
        <v>0.20305999999999999</v>
      </c>
      <c r="R536" s="394"/>
    </row>
    <row r="537" spans="1:20" x14ac:dyDescent="0.2">
      <c r="C537" s="32" t="s">
        <v>1099</v>
      </c>
      <c r="D537" s="444" t="s">
        <v>810</v>
      </c>
      <c r="E537" s="32" t="s">
        <v>957</v>
      </c>
      <c r="F537" s="440">
        <v>0.14559</v>
      </c>
      <c r="G537" s="440">
        <v>0.14559</v>
      </c>
      <c r="H537" s="440">
        <v>0.14559</v>
      </c>
      <c r="I537" s="440">
        <v>0.14559</v>
      </c>
      <c r="J537" s="440">
        <v>0.14559</v>
      </c>
      <c r="K537" s="440">
        <v>0.14559</v>
      </c>
      <c r="L537" s="440">
        <v>0.14559</v>
      </c>
      <c r="M537" s="440">
        <v>0.14559</v>
      </c>
      <c r="N537" s="440">
        <v>0.14559</v>
      </c>
      <c r="O537" s="440">
        <v>0.14559</v>
      </c>
      <c r="P537" s="440">
        <v>0.14559</v>
      </c>
      <c r="Q537" s="440">
        <v>0.14559</v>
      </c>
      <c r="R537" s="394"/>
    </row>
    <row r="538" spans="1:20" x14ac:dyDescent="0.2">
      <c r="B538" s="32" t="s">
        <v>1081</v>
      </c>
      <c r="D538" s="444" t="s">
        <v>810</v>
      </c>
      <c r="E538" s="32" t="s">
        <v>957</v>
      </c>
      <c r="F538" s="452">
        <v>6.9999999999999999E-4</v>
      </c>
      <c r="G538" s="452">
        <v>6.9999999999999999E-4</v>
      </c>
      <c r="H538" s="452">
        <v>6.9999999999999999E-4</v>
      </c>
      <c r="I538" s="452">
        <v>6.9999999999999999E-4</v>
      </c>
      <c r="J538" s="452">
        <v>6.9999999999999999E-4</v>
      </c>
      <c r="K538" s="452">
        <v>6.9999999999999999E-4</v>
      </c>
      <c r="L538" s="452">
        <v>6.9999999999999999E-4</v>
      </c>
      <c r="M538" s="452">
        <v>6.9999999999999999E-4</v>
      </c>
      <c r="N538" s="452">
        <v>6.9999999999999999E-4</v>
      </c>
      <c r="O538" s="452">
        <v>6.9999999999999999E-4</v>
      </c>
      <c r="P538" s="452">
        <v>6.9999999999999999E-4</v>
      </c>
      <c r="Q538" s="452">
        <v>6.9999999999999999E-4</v>
      </c>
      <c r="R538" s="394"/>
    </row>
    <row r="539" spans="1:20" x14ac:dyDescent="0.2">
      <c r="B539" s="32" t="s">
        <v>1069</v>
      </c>
      <c r="D539" s="32">
        <v>86</v>
      </c>
      <c r="E539" s="32" t="s">
        <v>957</v>
      </c>
      <c r="F539" s="414">
        <v>1.1399999999999999</v>
      </c>
      <c r="G539" s="414">
        <v>1.1399999999999999</v>
      </c>
      <c r="H539" s="414">
        <v>1.1399999999999999</v>
      </c>
      <c r="I539" s="414">
        <v>1.1399999999999999</v>
      </c>
      <c r="J539" s="414">
        <v>1.1399999999999999</v>
      </c>
      <c r="K539" s="414">
        <v>1.1399999999999999</v>
      </c>
      <c r="L539" s="414">
        <v>1.1399999999999999</v>
      </c>
      <c r="M539" s="414">
        <v>1.1399999999999999</v>
      </c>
      <c r="N539" s="414">
        <v>1.1399999999999999</v>
      </c>
      <c r="O539" s="414">
        <v>1.1399999999999999</v>
      </c>
      <c r="P539" s="414">
        <v>1.1399999999999999</v>
      </c>
      <c r="Q539" s="414">
        <v>1.1399999999999999</v>
      </c>
      <c r="R539" s="394"/>
    </row>
    <row r="540" spans="1:20" s="336" customFormat="1" x14ac:dyDescent="0.2">
      <c r="B540" s="336" t="s">
        <v>1071</v>
      </c>
      <c r="D540" s="444" t="s">
        <v>810</v>
      </c>
      <c r="E540" s="336" t="s">
        <v>67</v>
      </c>
      <c r="F540" s="450"/>
      <c r="G540" s="450"/>
      <c r="H540" s="442"/>
      <c r="I540" s="450"/>
      <c r="J540" s="450"/>
      <c r="K540" s="450"/>
      <c r="L540" s="450"/>
      <c r="M540" s="450"/>
      <c r="N540" s="450"/>
      <c r="O540" s="450"/>
      <c r="P540" s="450"/>
      <c r="Q540" s="450"/>
      <c r="R540" s="441"/>
      <c r="S540" s="335"/>
      <c r="T540" s="415"/>
    </row>
    <row r="541" spans="1:20" s="336" customFormat="1" x14ac:dyDescent="0.2">
      <c r="S541" s="335"/>
      <c r="T541" s="415"/>
    </row>
    <row r="542" spans="1:20" s="336" customFormat="1" x14ac:dyDescent="0.2">
      <c r="B542" s="182" t="s">
        <v>982</v>
      </c>
      <c r="S542" s="335"/>
      <c r="T542" s="415"/>
    </row>
    <row r="543" spans="1:20" s="336" customFormat="1" x14ac:dyDescent="0.2">
      <c r="B543" s="336" t="s">
        <v>67</v>
      </c>
      <c r="E543" s="336" t="s">
        <v>67</v>
      </c>
      <c r="F543" s="421">
        <f>'JKP-3.1c - Data'!C152</f>
        <v>0</v>
      </c>
      <c r="G543" s="421">
        <f>'JKP-3.1c - Data'!D152</f>
        <v>0</v>
      </c>
      <c r="H543" s="421">
        <f>'JKP-3.1c - Data'!E152</f>
        <v>0</v>
      </c>
      <c r="I543" s="421">
        <f>'JKP-3.1c - Data'!F152</f>
        <v>0</v>
      </c>
      <c r="J543" s="421">
        <f>'JKP-3.1c - Data'!G152</f>
        <v>0</v>
      </c>
      <c r="K543" s="421">
        <f>'JKP-3.1c - Data'!H152</f>
        <v>1</v>
      </c>
      <c r="L543" s="421">
        <f>'JKP-3.1c - Data'!I152</f>
        <v>1</v>
      </c>
      <c r="M543" s="421">
        <f>'JKP-3.1c - Data'!J152</f>
        <v>1</v>
      </c>
      <c r="N543" s="421">
        <f>'JKP-3.1c - Data'!K152</f>
        <v>1</v>
      </c>
      <c r="O543" s="421">
        <f>'JKP-3.1c - Data'!L152</f>
        <v>1</v>
      </c>
      <c r="P543" s="421">
        <f>'JKP-3.1c - Data'!M152</f>
        <v>1</v>
      </c>
      <c r="Q543" s="421">
        <f>'JKP-3.1c - Data'!N152</f>
        <v>1</v>
      </c>
      <c r="R543" s="378">
        <f>SUM(F543:Q543)</f>
        <v>7</v>
      </c>
      <c r="S543" s="335"/>
      <c r="T543" s="415"/>
    </row>
    <row r="544" spans="1:20" s="336" customFormat="1" x14ac:dyDescent="0.2">
      <c r="B544" s="336" t="s">
        <v>76</v>
      </c>
      <c r="F544" s="380"/>
      <c r="G544" s="380"/>
      <c r="H544" s="380"/>
      <c r="I544" s="380"/>
      <c r="J544" s="380"/>
      <c r="K544" s="380"/>
      <c r="L544" s="380"/>
      <c r="M544" s="380"/>
      <c r="N544" s="380"/>
      <c r="O544" s="380"/>
      <c r="P544" s="380"/>
      <c r="Q544" s="380"/>
      <c r="R544" s="378"/>
      <c r="S544" s="335"/>
      <c r="T544" s="415"/>
    </row>
    <row r="545" spans="1:20" s="336" customFormat="1" x14ac:dyDescent="0.2">
      <c r="C545" s="336" t="s">
        <v>1098</v>
      </c>
      <c r="E545" s="336" t="s">
        <v>10</v>
      </c>
      <c r="F545" s="421">
        <f>'JKP-3.1c - Rev Actual Rates'!F556</f>
        <v>0</v>
      </c>
      <c r="G545" s="421">
        <f>'JKP-3.1c - Rev Actual Rates'!G556</f>
        <v>0</v>
      </c>
      <c r="H545" s="421">
        <f>'JKP-3.1c - Rev Actual Rates'!H556</f>
        <v>0</v>
      </c>
      <c r="I545" s="421">
        <f>'JKP-3.1c - Rev Actual Rates'!I556</f>
        <v>0</v>
      </c>
      <c r="J545" s="421">
        <f>'JKP-3.1c - Rev Actual Rates'!J556</f>
        <v>0</v>
      </c>
      <c r="K545" s="421">
        <f>'JKP-3.1c - Rev Actual Rates'!K556</f>
        <v>0</v>
      </c>
      <c r="L545" s="421">
        <f>'JKP-3.1c - Rev Actual Rates'!L556</f>
        <v>0</v>
      </c>
      <c r="M545" s="421">
        <f>'JKP-3.1c - Rev Actual Rates'!M556</f>
        <v>1000</v>
      </c>
      <c r="N545" s="421">
        <f>'JKP-3.1c - Rev Actual Rates'!N556</f>
        <v>1000</v>
      </c>
      <c r="O545" s="421">
        <f>'JKP-3.1c - Rev Actual Rates'!O556</f>
        <v>1000</v>
      </c>
      <c r="P545" s="421">
        <f>'JKP-3.1c - Rev Actual Rates'!P556</f>
        <v>963</v>
      </c>
      <c r="Q545" s="421">
        <f>'JKP-3.1c - Rev Actual Rates'!Q556</f>
        <v>197</v>
      </c>
      <c r="R545" s="378">
        <f>SUM(F545:Q545)</f>
        <v>4160</v>
      </c>
      <c r="S545" s="335"/>
      <c r="T545" s="415"/>
    </row>
    <row r="546" spans="1:20" s="336" customFormat="1" x14ac:dyDescent="0.2">
      <c r="C546" s="336" t="s">
        <v>1099</v>
      </c>
      <c r="E546" s="336" t="s">
        <v>10</v>
      </c>
      <c r="F546" s="421">
        <f>'JKP-3.1c - Rev Actual Rates'!F557</f>
        <v>0</v>
      </c>
      <c r="G546" s="421">
        <f>'JKP-3.1c - Rev Actual Rates'!G557</f>
        <v>0</v>
      </c>
      <c r="H546" s="421">
        <f>'JKP-3.1c - Rev Actual Rates'!H557</f>
        <v>0</v>
      </c>
      <c r="I546" s="421">
        <f>'JKP-3.1c - Rev Actual Rates'!I557</f>
        <v>0</v>
      </c>
      <c r="J546" s="421">
        <f>'JKP-3.1c - Rev Actual Rates'!J557</f>
        <v>0</v>
      </c>
      <c r="K546" s="421">
        <f>'JKP-3.1c - Rev Actual Rates'!K557</f>
        <v>0</v>
      </c>
      <c r="L546" s="421">
        <f>'JKP-3.1c - Rev Actual Rates'!L557</f>
        <v>0</v>
      </c>
      <c r="M546" s="421">
        <f>'JKP-3.1c - Rev Actual Rates'!M557</f>
        <v>1158</v>
      </c>
      <c r="N546" s="421">
        <f>'JKP-3.1c - Rev Actual Rates'!N557</f>
        <v>8063</v>
      </c>
      <c r="O546" s="421">
        <f>'JKP-3.1c - Rev Actual Rates'!O557</f>
        <v>7098</v>
      </c>
      <c r="P546" s="421">
        <f>'JKP-3.1c - Rev Actual Rates'!P557</f>
        <v>0</v>
      </c>
      <c r="Q546" s="421">
        <f>'JKP-3.1c - Rev Actual Rates'!Q557</f>
        <v>0</v>
      </c>
      <c r="R546" s="378">
        <f>SUM(F546:Q546)</f>
        <v>16319</v>
      </c>
      <c r="S546" s="335"/>
      <c r="T546" s="415"/>
    </row>
    <row r="547" spans="1:20" s="336" customFormat="1" x14ac:dyDescent="0.2">
      <c r="C547" s="336" t="s">
        <v>1075</v>
      </c>
      <c r="E547" s="336" t="s">
        <v>10</v>
      </c>
      <c r="F547" s="436">
        <f t="shared" ref="F547:R547" si="139">SUM(F545:F546)</f>
        <v>0</v>
      </c>
      <c r="G547" s="436">
        <f t="shared" si="139"/>
        <v>0</v>
      </c>
      <c r="H547" s="436">
        <f t="shared" si="139"/>
        <v>0</v>
      </c>
      <c r="I547" s="436">
        <f t="shared" si="139"/>
        <v>0</v>
      </c>
      <c r="J547" s="436">
        <f t="shared" si="139"/>
        <v>0</v>
      </c>
      <c r="K547" s="436">
        <f t="shared" si="139"/>
        <v>0</v>
      </c>
      <c r="L547" s="436">
        <f t="shared" si="139"/>
        <v>0</v>
      </c>
      <c r="M547" s="436">
        <f t="shared" si="139"/>
        <v>2158</v>
      </c>
      <c r="N547" s="436">
        <f t="shared" si="139"/>
        <v>9063</v>
      </c>
      <c r="O547" s="436">
        <f t="shared" si="139"/>
        <v>8098</v>
      </c>
      <c r="P547" s="436">
        <f t="shared" si="139"/>
        <v>963</v>
      </c>
      <c r="Q547" s="436">
        <f t="shared" si="139"/>
        <v>197</v>
      </c>
      <c r="R547" s="436">
        <f t="shared" si="139"/>
        <v>20479</v>
      </c>
      <c r="S547" s="335"/>
      <c r="T547" s="415"/>
    </row>
    <row r="548" spans="1:20" s="336" customFormat="1" x14ac:dyDescent="0.2">
      <c r="B548" s="336" t="s">
        <v>74</v>
      </c>
      <c r="E548" s="336" t="s">
        <v>1076</v>
      </c>
      <c r="F548" s="421">
        <f>'JKP-3.1c - Rev Actual Rates'!F559</f>
        <v>0</v>
      </c>
      <c r="G548" s="421">
        <f>'JKP-3.1c - Rev Actual Rates'!G559</f>
        <v>0</v>
      </c>
      <c r="H548" s="421">
        <f>'JKP-3.1c - Rev Actual Rates'!H559</f>
        <v>0</v>
      </c>
      <c r="I548" s="421">
        <f>'JKP-3.1c - Rev Actual Rates'!I559</f>
        <v>0</v>
      </c>
      <c r="J548" s="421">
        <f>'JKP-3.1c - Rev Actual Rates'!J559</f>
        <v>0</v>
      </c>
      <c r="K548" s="421">
        <f>'JKP-3.1c - Rev Actual Rates'!K559</f>
        <v>0</v>
      </c>
      <c r="L548" s="421">
        <f>'JKP-3.1c - Rev Actual Rates'!L559</f>
        <v>0</v>
      </c>
      <c r="M548" s="421">
        <f>'JKP-3.1c - Rev Actual Rates'!M559</f>
        <v>0</v>
      </c>
      <c r="N548" s="421">
        <f>'JKP-3.1c - Rev Actual Rates'!N559</f>
        <v>0</v>
      </c>
      <c r="O548" s="421">
        <f>'JKP-3.1c - Rev Actual Rates'!O559</f>
        <v>0</v>
      </c>
      <c r="P548" s="421">
        <f>'JKP-3.1c - Rev Actual Rates'!P559</f>
        <v>0</v>
      </c>
      <c r="Q548" s="421">
        <f>'JKP-3.1c - Rev Actual Rates'!Q559</f>
        <v>0</v>
      </c>
      <c r="R548" s="378">
        <f>SUM(F548:Q548)</f>
        <v>0</v>
      </c>
      <c r="S548" s="335"/>
      <c r="T548" s="415"/>
    </row>
    <row r="549" spans="1:20" s="336" customFormat="1" x14ac:dyDescent="0.2">
      <c r="B549" s="336" t="s">
        <v>1071</v>
      </c>
      <c r="F549" s="380"/>
      <c r="G549" s="380"/>
      <c r="H549" s="380"/>
      <c r="I549" s="380"/>
      <c r="J549" s="380"/>
      <c r="K549" s="380"/>
      <c r="L549" s="380"/>
      <c r="M549" s="380"/>
      <c r="N549" s="380"/>
      <c r="O549" s="380"/>
      <c r="P549" s="380"/>
      <c r="Q549" s="380"/>
      <c r="R549" s="378"/>
      <c r="S549" s="335"/>
      <c r="T549" s="415"/>
    </row>
    <row r="550" spans="1:20" s="336" customFormat="1" x14ac:dyDescent="0.2">
      <c r="R550" s="179"/>
      <c r="S550" s="335"/>
      <c r="T550" s="415"/>
    </row>
    <row r="551" spans="1:20" s="336" customFormat="1" x14ac:dyDescent="0.2">
      <c r="B551" s="182" t="s">
        <v>985</v>
      </c>
      <c r="R551" s="179"/>
      <c r="S551" s="335"/>
      <c r="T551" s="415"/>
    </row>
    <row r="552" spans="1:20" s="336" customFormat="1" x14ac:dyDescent="0.2">
      <c r="A552" s="336" t="s">
        <v>1054</v>
      </c>
      <c r="B552" s="336" t="s">
        <v>1059</v>
      </c>
      <c r="D552" s="444" t="s">
        <v>810</v>
      </c>
      <c r="F552" s="418">
        <f>F534*F543</f>
        <v>0</v>
      </c>
      <c r="G552" s="418">
        <f t="shared" ref="G552:Q552" si="140">G534*G543</f>
        <v>0</v>
      </c>
      <c r="H552" s="418">
        <f t="shared" si="140"/>
        <v>0</v>
      </c>
      <c r="I552" s="418">
        <f t="shared" si="140"/>
        <v>0</v>
      </c>
      <c r="J552" s="418">
        <f t="shared" si="140"/>
        <v>0</v>
      </c>
      <c r="K552" s="418">
        <f t="shared" si="140"/>
        <v>454.33</v>
      </c>
      <c r="L552" s="418">
        <f t="shared" si="140"/>
        <v>454.33</v>
      </c>
      <c r="M552" s="418">
        <f t="shared" si="140"/>
        <v>454.33</v>
      </c>
      <c r="N552" s="418">
        <f t="shared" si="140"/>
        <v>454.33</v>
      </c>
      <c r="O552" s="418">
        <f t="shared" si="140"/>
        <v>454.33</v>
      </c>
      <c r="P552" s="418">
        <f t="shared" si="140"/>
        <v>454.33</v>
      </c>
      <c r="Q552" s="418">
        <f t="shared" si="140"/>
        <v>454.33</v>
      </c>
      <c r="R552" s="378">
        <f>SUM(F552:Q552)</f>
        <v>3180.31</v>
      </c>
      <c r="S552" s="335"/>
      <c r="T552" s="415"/>
    </row>
    <row r="553" spans="1:20" s="336" customFormat="1" x14ac:dyDescent="0.2">
      <c r="B553" s="336" t="s">
        <v>1047</v>
      </c>
      <c r="F553" s="418"/>
      <c r="G553" s="418"/>
      <c r="H553" s="418"/>
      <c r="I553" s="418"/>
      <c r="J553" s="418"/>
      <c r="K553" s="418"/>
      <c r="L553" s="418"/>
      <c r="M553" s="418"/>
      <c r="N553" s="418"/>
      <c r="O553" s="418"/>
      <c r="P553" s="418"/>
      <c r="Q553" s="418"/>
      <c r="R553" s="418"/>
      <c r="S553" s="335"/>
      <c r="T553" s="415"/>
    </row>
    <row r="554" spans="1:20" s="336" customFormat="1" x14ac:dyDescent="0.2">
      <c r="C554" s="336" t="s">
        <v>1098</v>
      </c>
      <c r="D554" s="444" t="s">
        <v>810</v>
      </c>
      <c r="F554" s="418">
        <f>F536*F545</f>
        <v>0</v>
      </c>
      <c r="G554" s="418">
        <f t="shared" ref="G554:Q555" si="141">G536*G545</f>
        <v>0</v>
      </c>
      <c r="H554" s="418">
        <f t="shared" si="141"/>
        <v>0</v>
      </c>
      <c r="I554" s="418">
        <f t="shared" si="141"/>
        <v>0</v>
      </c>
      <c r="J554" s="418">
        <f t="shared" si="141"/>
        <v>0</v>
      </c>
      <c r="K554" s="418">
        <f t="shared" si="141"/>
        <v>0</v>
      </c>
      <c r="L554" s="418">
        <f t="shared" si="141"/>
        <v>0</v>
      </c>
      <c r="M554" s="418">
        <f t="shared" si="141"/>
        <v>203.06</v>
      </c>
      <c r="N554" s="418">
        <f t="shared" si="141"/>
        <v>203.06</v>
      </c>
      <c r="O554" s="418">
        <f t="shared" si="141"/>
        <v>203.06</v>
      </c>
      <c r="P554" s="418">
        <f t="shared" si="141"/>
        <v>195.54677999999998</v>
      </c>
      <c r="Q554" s="418">
        <f t="shared" si="141"/>
        <v>40.00282</v>
      </c>
      <c r="R554" s="378">
        <f>SUM(F554:Q554)</f>
        <v>844.72960000000012</v>
      </c>
      <c r="S554" s="335"/>
      <c r="T554" s="415"/>
    </row>
    <row r="555" spans="1:20" s="336" customFormat="1" x14ac:dyDescent="0.2">
      <c r="C555" s="336" t="s">
        <v>1099</v>
      </c>
      <c r="D555" s="444" t="s">
        <v>810</v>
      </c>
      <c r="F555" s="418">
        <f>F537*F546</f>
        <v>0</v>
      </c>
      <c r="G555" s="418">
        <f t="shared" si="141"/>
        <v>0</v>
      </c>
      <c r="H555" s="418">
        <f t="shared" si="141"/>
        <v>0</v>
      </c>
      <c r="I555" s="418">
        <f t="shared" si="141"/>
        <v>0</v>
      </c>
      <c r="J555" s="418">
        <f t="shared" si="141"/>
        <v>0</v>
      </c>
      <c r="K555" s="418">
        <f t="shared" si="141"/>
        <v>0</v>
      </c>
      <c r="L555" s="418">
        <f t="shared" si="141"/>
        <v>0</v>
      </c>
      <c r="M555" s="418">
        <f t="shared" si="141"/>
        <v>168.59322</v>
      </c>
      <c r="N555" s="418">
        <f t="shared" si="141"/>
        <v>1173.8921700000001</v>
      </c>
      <c r="O555" s="418">
        <f t="shared" si="141"/>
        <v>1033.3978199999999</v>
      </c>
      <c r="P555" s="418">
        <f t="shared" si="141"/>
        <v>0</v>
      </c>
      <c r="Q555" s="418">
        <f t="shared" si="141"/>
        <v>0</v>
      </c>
      <c r="R555" s="378">
        <f>SUM(F555:Q555)</f>
        <v>2375.88321</v>
      </c>
      <c r="S555" s="335"/>
      <c r="T555" s="415"/>
    </row>
    <row r="556" spans="1:20" x14ac:dyDescent="0.2">
      <c r="A556" s="32" t="s">
        <v>1054</v>
      </c>
      <c r="C556" s="32" t="s">
        <v>1077</v>
      </c>
      <c r="F556" s="365">
        <f>SUM(F554:F555)</f>
        <v>0</v>
      </c>
      <c r="G556" s="365">
        <f t="shared" ref="G556:R556" si="142">SUM(G554:G555)</f>
        <v>0</v>
      </c>
      <c r="H556" s="365">
        <f t="shared" si="142"/>
        <v>0</v>
      </c>
      <c r="I556" s="365">
        <f t="shared" si="142"/>
        <v>0</v>
      </c>
      <c r="J556" s="365">
        <f t="shared" si="142"/>
        <v>0</v>
      </c>
      <c r="K556" s="365">
        <f t="shared" si="142"/>
        <v>0</v>
      </c>
      <c r="L556" s="365">
        <f t="shared" si="142"/>
        <v>0</v>
      </c>
      <c r="M556" s="365">
        <f t="shared" si="142"/>
        <v>371.65322000000003</v>
      </c>
      <c r="N556" s="365">
        <f t="shared" si="142"/>
        <v>1376.95217</v>
      </c>
      <c r="O556" s="365">
        <f t="shared" si="142"/>
        <v>1236.4578199999999</v>
      </c>
      <c r="P556" s="365">
        <f t="shared" si="142"/>
        <v>195.54677999999998</v>
      </c>
      <c r="Q556" s="365">
        <f t="shared" si="142"/>
        <v>40.00282</v>
      </c>
      <c r="R556" s="365">
        <f t="shared" si="142"/>
        <v>3220.6128100000001</v>
      </c>
    </row>
    <row r="557" spans="1:20" x14ac:dyDescent="0.2">
      <c r="A557" s="32" t="s">
        <v>1056</v>
      </c>
      <c r="B557" s="32" t="s">
        <v>1105</v>
      </c>
      <c r="D557" s="444"/>
      <c r="F557" s="365">
        <f>F538*F547</f>
        <v>0</v>
      </c>
      <c r="G557" s="365">
        <f t="shared" ref="G557:Q558" si="143">G538*G547</f>
        <v>0</v>
      </c>
      <c r="H557" s="365">
        <f t="shared" si="143"/>
        <v>0</v>
      </c>
      <c r="I557" s="365">
        <f t="shared" si="143"/>
        <v>0</v>
      </c>
      <c r="J557" s="365">
        <f t="shared" si="143"/>
        <v>0</v>
      </c>
      <c r="K557" s="365">
        <f t="shared" si="143"/>
        <v>0</v>
      </c>
      <c r="L557" s="365">
        <f t="shared" si="143"/>
        <v>0</v>
      </c>
      <c r="M557" s="365">
        <f t="shared" si="143"/>
        <v>1.5105999999999999</v>
      </c>
      <c r="N557" s="365">
        <f t="shared" si="143"/>
        <v>6.3441000000000001</v>
      </c>
      <c r="O557" s="365">
        <f t="shared" si="143"/>
        <v>5.6685999999999996</v>
      </c>
      <c r="P557" s="365">
        <f t="shared" si="143"/>
        <v>0.67410000000000003</v>
      </c>
      <c r="Q557" s="365">
        <f t="shared" si="143"/>
        <v>0.13789999999999999</v>
      </c>
      <c r="R557" s="378">
        <f>SUM(F557:Q557)</f>
        <v>14.335299999999998</v>
      </c>
    </row>
    <row r="558" spans="1:20" x14ac:dyDescent="0.2">
      <c r="A558" s="32" t="s">
        <v>1054</v>
      </c>
      <c r="B558" s="32" t="s">
        <v>1069</v>
      </c>
      <c r="D558" s="444" t="s">
        <v>810</v>
      </c>
      <c r="F558" s="364">
        <f>F539*F548</f>
        <v>0</v>
      </c>
      <c r="G558" s="364">
        <f t="shared" si="143"/>
        <v>0</v>
      </c>
      <c r="H558" s="364">
        <f t="shared" si="143"/>
        <v>0</v>
      </c>
      <c r="I558" s="364">
        <f t="shared" si="143"/>
        <v>0</v>
      </c>
      <c r="J558" s="364">
        <f t="shared" si="143"/>
        <v>0</v>
      </c>
      <c r="K558" s="364">
        <f t="shared" si="143"/>
        <v>0</v>
      </c>
      <c r="L558" s="364">
        <f t="shared" si="143"/>
        <v>0</v>
      </c>
      <c r="M558" s="364">
        <f t="shared" si="143"/>
        <v>0</v>
      </c>
      <c r="N558" s="364">
        <f t="shared" si="143"/>
        <v>0</v>
      </c>
      <c r="O558" s="364">
        <f t="shared" si="143"/>
        <v>0</v>
      </c>
      <c r="P558" s="364">
        <f t="shared" si="143"/>
        <v>0</v>
      </c>
      <c r="Q558" s="364">
        <f t="shared" si="143"/>
        <v>0</v>
      </c>
      <c r="R558" s="378">
        <f>SUM(F558:Q558)</f>
        <v>0</v>
      </c>
    </row>
    <row r="559" spans="1:20" s="336" customFormat="1" x14ac:dyDescent="0.2">
      <c r="A559" s="336" t="s">
        <v>1054</v>
      </c>
      <c r="B559" s="336" t="s">
        <v>1071</v>
      </c>
      <c r="D559" s="444" t="s">
        <v>810</v>
      </c>
      <c r="F559" s="447">
        <f>'JKP-3.1c - Rev Actual Rates'!F570</f>
        <v>0</v>
      </c>
      <c r="G559" s="447">
        <f>'JKP-3.1c - Rev Actual Rates'!G570</f>
        <v>0</v>
      </c>
      <c r="H559" s="447">
        <f>'JKP-3.1c - Rev Actual Rates'!H570</f>
        <v>0</v>
      </c>
      <c r="I559" s="447">
        <f>'JKP-3.1c - Rev Actual Rates'!I570</f>
        <v>0</v>
      </c>
      <c r="J559" s="447">
        <f>'JKP-3.1c - Rev Actual Rates'!J570</f>
        <v>0</v>
      </c>
      <c r="K559" s="447">
        <f>'JKP-3.1c - Rev Actual Rates'!K570</f>
        <v>0</v>
      </c>
      <c r="L559" s="447">
        <f>'JKP-3.1c - Rev Actual Rates'!L570</f>
        <v>0</v>
      </c>
      <c r="M559" s="447">
        <f>'JKP-3.1c - Rev Actual Rates'!M570</f>
        <v>0</v>
      </c>
      <c r="N559" s="447">
        <f>'JKP-3.1c - Rev Actual Rates'!N570</f>
        <v>68.489999999999995</v>
      </c>
      <c r="O559" s="447">
        <f>'JKP-3.1c - Rev Actual Rates'!O570</f>
        <v>0</v>
      </c>
      <c r="P559" s="447">
        <f>'JKP-3.1c - Rev Actual Rates'!P570</f>
        <v>0</v>
      </c>
      <c r="Q559" s="447">
        <f>'JKP-3.1c - Rev Actual Rates'!Q570</f>
        <v>0</v>
      </c>
      <c r="R559" s="378">
        <f>SUM(F559:Q559)</f>
        <v>68.489999999999995</v>
      </c>
      <c r="S559" s="335"/>
      <c r="T559" s="415"/>
    </row>
    <row r="560" spans="1:20" x14ac:dyDescent="0.2">
      <c r="B560" s="32" t="s">
        <v>986</v>
      </c>
      <c r="F560" s="365">
        <f>F552+F556+F557+F558+F559</f>
        <v>0</v>
      </c>
      <c r="G560" s="365">
        <f t="shared" ref="G560:R560" si="144">G552+G556+G557+G558+G559</f>
        <v>0</v>
      </c>
      <c r="H560" s="365">
        <f t="shared" si="144"/>
        <v>0</v>
      </c>
      <c r="I560" s="365">
        <f t="shared" si="144"/>
        <v>0</v>
      </c>
      <c r="J560" s="365">
        <f t="shared" si="144"/>
        <v>0</v>
      </c>
      <c r="K560" s="365">
        <f t="shared" si="144"/>
        <v>454.33</v>
      </c>
      <c r="L560" s="365">
        <f t="shared" si="144"/>
        <v>454.33</v>
      </c>
      <c r="M560" s="365">
        <f t="shared" si="144"/>
        <v>827.49382000000003</v>
      </c>
      <c r="N560" s="365">
        <f t="shared" si="144"/>
        <v>1906.11627</v>
      </c>
      <c r="O560" s="365">
        <f t="shared" si="144"/>
        <v>1696.4564199999998</v>
      </c>
      <c r="P560" s="365">
        <f t="shared" si="144"/>
        <v>650.55087999999989</v>
      </c>
      <c r="Q560" s="365">
        <f t="shared" si="144"/>
        <v>494.47071999999997</v>
      </c>
      <c r="R560" s="365">
        <f t="shared" si="144"/>
        <v>6483.7481099999995</v>
      </c>
      <c r="T560" s="340"/>
    </row>
    <row r="561" spans="1:20" x14ac:dyDescent="0.2">
      <c r="F561" s="364"/>
      <c r="G561" s="364"/>
      <c r="H561" s="364"/>
      <c r="I561" s="364"/>
      <c r="J561" s="364"/>
      <c r="K561" s="364"/>
      <c r="L561" s="364"/>
      <c r="M561" s="364"/>
      <c r="N561" s="364"/>
      <c r="O561" s="364"/>
      <c r="P561" s="364"/>
      <c r="Q561" s="364"/>
      <c r="R561" s="364"/>
      <c r="T561" s="415"/>
    </row>
    <row r="562" spans="1:20" x14ac:dyDescent="0.2">
      <c r="A562" s="32" t="s">
        <v>1058</v>
      </c>
      <c r="B562" s="32" t="s">
        <v>1050</v>
      </c>
      <c r="F562" s="364">
        <f>F557</f>
        <v>0</v>
      </c>
      <c r="G562" s="364">
        <f t="shared" ref="G562:Q562" si="145">G557</f>
        <v>0</v>
      </c>
      <c r="H562" s="364">
        <f t="shared" si="145"/>
        <v>0</v>
      </c>
      <c r="I562" s="364">
        <f t="shared" si="145"/>
        <v>0</v>
      </c>
      <c r="J562" s="364">
        <f t="shared" si="145"/>
        <v>0</v>
      </c>
      <c r="K562" s="364">
        <f t="shared" si="145"/>
        <v>0</v>
      </c>
      <c r="L562" s="364">
        <f t="shared" si="145"/>
        <v>0</v>
      </c>
      <c r="M562" s="364">
        <f t="shared" si="145"/>
        <v>1.5105999999999999</v>
      </c>
      <c r="N562" s="364">
        <f t="shared" si="145"/>
        <v>6.3441000000000001</v>
      </c>
      <c r="O562" s="364">
        <f t="shared" si="145"/>
        <v>5.6685999999999996</v>
      </c>
      <c r="P562" s="364">
        <f t="shared" si="145"/>
        <v>0.67410000000000003</v>
      </c>
      <c r="Q562" s="364">
        <f t="shared" si="145"/>
        <v>0.13789999999999999</v>
      </c>
      <c r="R562" s="378">
        <f>SUM(F562:Q562)</f>
        <v>14.335299999999998</v>
      </c>
      <c r="T562" s="415"/>
    </row>
    <row r="563" spans="1:20" x14ac:dyDescent="0.2">
      <c r="F563" s="364"/>
      <c r="G563" s="364"/>
      <c r="H563" s="364"/>
      <c r="I563" s="364"/>
      <c r="J563" s="364"/>
      <c r="K563" s="364"/>
      <c r="L563" s="364"/>
      <c r="M563" s="364"/>
      <c r="N563" s="364"/>
      <c r="O563" s="364"/>
      <c r="P563" s="364"/>
      <c r="Q563" s="364"/>
      <c r="R563" s="341"/>
      <c r="T563" s="415"/>
    </row>
    <row r="564" spans="1:20" x14ac:dyDescent="0.2">
      <c r="B564" s="276" t="s">
        <v>1106</v>
      </c>
      <c r="C564" s="276"/>
      <c r="F564" s="390"/>
      <c r="G564" s="390"/>
      <c r="H564" s="390"/>
      <c r="I564" s="390"/>
      <c r="J564" s="390"/>
      <c r="S564" s="32"/>
      <c r="T564" s="32"/>
    </row>
    <row r="565" spans="1:20" x14ac:dyDescent="0.2">
      <c r="B565" s="276" t="s">
        <v>5</v>
      </c>
      <c r="C565" s="276"/>
      <c r="F565" s="390"/>
      <c r="G565" s="390"/>
      <c r="H565" s="390"/>
      <c r="I565" s="390"/>
      <c r="J565" s="390"/>
      <c r="S565" s="32"/>
      <c r="T565" s="32"/>
    </row>
    <row r="566" spans="1:20" x14ac:dyDescent="0.2">
      <c r="B566" s="32" t="s">
        <v>1059</v>
      </c>
      <c r="D566" s="444" t="s">
        <v>811</v>
      </c>
      <c r="E566" s="32" t="s">
        <v>976</v>
      </c>
      <c r="F566" s="460">
        <f t="shared" ref="F566:Q566" si="146">F206</f>
        <v>893.47</v>
      </c>
      <c r="G566" s="460">
        <f t="shared" si="146"/>
        <v>893.47</v>
      </c>
      <c r="H566" s="460">
        <f t="shared" si="146"/>
        <v>893.47</v>
      </c>
      <c r="I566" s="460">
        <f t="shared" si="146"/>
        <v>893.47</v>
      </c>
      <c r="J566" s="460">
        <f t="shared" si="146"/>
        <v>893.47</v>
      </c>
      <c r="K566" s="460">
        <f t="shared" si="146"/>
        <v>893.47</v>
      </c>
      <c r="L566" s="460">
        <f t="shared" si="146"/>
        <v>893.47</v>
      </c>
      <c r="M566" s="460">
        <f t="shared" si="146"/>
        <v>893.47</v>
      </c>
      <c r="N566" s="460">
        <f t="shared" si="146"/>
        <v>893.47</v>
      </c>
      <c r="O566" s="460">
        <f t="shared" si="146"/>
        <v>893.47</v>
      </c>
      <c r="P566" s="460">
        <f t="shared" si="146"/>
        <v>893.47</v>
      </c>
      <c r="Q566" s="460">
        <f t="shared" si="146"/>
        <v>893.47</v>
      </c>
      <c r="S566" s="32"/>
      <c r="T566" s="32"/>
    </row>
    <row r="567" spans="1:20" x14ac:dyDescent="0.2">
      <c r="C567" s="32" t="s">
        <v>1047</v>
      </c>
      <c r="F567" s="459"/>
      <c r="G567" s="459"/>
      <c r="H567" s="459"/>
      <c r="I567" s="459"/>
      <c r="J567" s="459"/>
      <c r="K567" s="459"/>
      <c r="L567" s="459"/>
      <c r="M567" s="459"/>
      <c r="N567" s="459"/>
      <c r="O567" s="459"/>
      <c r="P567" s="459"/>
      <c r="Q567" s="459"/>
      <c r="S567" s="32"/>
      <c r="T567" s="32"/>
    </row>
    <row r="568" spans="1:20" x14ac:dyDescent="0.2">
      <c r="C568" s="32" t="s">
        <v>1086</v>
      </c>
      <c r="D568" s="444" t="s">
        <v>811</v>
      </c>
      <c r="E568" s="32" t="s">
        <v>957</v>
      </c>
      <c r="F568" s="459">
        <f t="shared" ref="F568:Q575" si="147">F208</f>
        <v>0.14158000000000001</v>
      </c>
      <c r="G568" s="459">
        <f t="shared" si="147"/>
        <v>0.14158000000000001</v>
      </c>
      <c r="H568" s="459">
        <f t="shared" si="147"/>
        <v>0.14158000000000001</v>
      </c>
      <c r="I568" s="459">
        <f t="shared" si="147"/>
        <v>0.14158000000000001</v>
      </c>
      <c r="J568" s="459">
        <f t="shared" si="147"/>
        <v>0.14158000000000001</v>
      </c>
      <c r="K568" s="459">
        <f t="shared" si="147"/>
        <v>0.14158000000000001</v>
      </c>
      <c r="L568" s="459">
        <f t="shared" si="147"/>
        <v>0.14158000000000001</v>
      </c>
      <c r="M568" s="459">
        <f t="shared" si="147"/>
        <v>0.14158000000000001</v>
      </c>
      <c r="N568" s="459">
        <f t="shared" si="147"/>
        <v>0.14158000000000001</v>
      </c>
      <c r="O568" s="459">
        <f t="shared" si="147"/>
        <v>0.14158000000000001</v>
      </c>
      <c r="P568" s="459">
        <f t="shared" si="147"/>
        <v>0.14158000000000001</v>
      </c>
      <c r="Q568" s="459">
        <f t="shared" si="147"/>
        <v>0.14158000000000001</v>
      </c>
      <c r="S568" s="32"/>
      <c r="T568" s="32"/>
    </row>
    <row r="569" spans="1:20" x14ac:dyDescent="0.2">
      <c r="C569" s="32" t="s">
        <v>1087</v>
      </c>
      <c r="D569" s="444" t="s">
        <v>811</v>
      </c>
      <c r="E569" s="32" t="s">
        <v>957</v>
      </c>
      <c r="F569" s="459">
        <f t="shared" si="147"/>
        <v>8.6440000000000003E-2</v>
      </c>
      <c r="G569" s="459">
        <f t="shared" si="147"/>
        <v>8.6440000000000003E-2</v>
      </c>
      <c r="H569" s="459">
        <f t="shared" si="147"/>
        <v>8.6440000000000003E-2</v>
      </c>
      <c r="I569" s="459">
        <f t="shared" si="147"/>
        <v>8.6440000000000003E-2</v>
      </c>
      <c r="J569" s="459">
        <f t="shared" si="147"/>
        <v>8.6440000000000003E-2</v>
      </c>
      <c r="K569" s="459">
        <f t="shared" si="147"/>
        <v>8.6440000000000003E-2</v>
      </c>
      <c r="L569" s="459">
        <f t="shared" si="147"/>
        <v>8.6440000000000003E-2</v>
      </c>
      <c r="M569" s="459">
        <f t="shared" si="147"/>
        <v>8.6440000000000003E-2</v>
      </c>
      <c r="N569" s="459">
        <f t="shared" si="147"/>
        <v>8.6440000000000003E-2</v>
      </c>
      <c r="O569" s="459">
        <f t="shared" si="147"/>
        <v>8.6440000000000003E-2</v>
      </c>
      <c r="P569" s="459">
        <f t="shared" si="147"/>
        <v>8.6440000000000003E-2</v>
      </c>
      <c r="Q569" s="459">
        <f t="shared" si="147"/>
        <v>8.6440000000000003E-2</v>
      </c>
      <c r="S569" s="32"/>
      <c r="T569" s="32"/>
    </row>
    <row r="570" spans="1:20" x14ac:dyDescent="0.2">
      <c r="C570" s="32" t="s">
        <v>1090</v>
      </c>
      <c r="D570" s="444" t="s">
        <v>811</v>
      </c>
      <c r="E570" s="32" t="s">
        <v>957</v>
      </c>
      <c r="F570" s="459">
        <f t="shared" si="147"/>
        <v>5.5809999999999998E-2</v>
      </c>
      <c r="G570" s="459">
        <f t="shared" si="147"/>
        <v>5.5809999999999998E-2</v>
      </c>
      <c r="H570" s="459">
        <f t="shared" si="147"/>
        <v>5.5809999999999998E-2</v>
      </c>
      <c r="I570" s="459">
        <f t="shared" si="147"/>
        <v>5.5809999999999998E-2</v>
      </c>
      <c r="J570" s="459">
        <f t="shared" si="147"/>
        <v>5.5809999999999998E-2</v>
      </c>
      <c r="K570" s="459">
        <f t="shared" si="147"/>
        <v>5.5809999999999998E-2</v>
      </c>
      <c r="L570" s="459">
        <f t="shared" si="147"/>
        <v>5.5809999999999998E-2</v>
      </c>
      <c r="M570" s="459">
        <f t="shared" si="147"/>
        <v>5.5809999999999998E-2</v>
      </c>
      <c r="N570" s="459">
        <f t="shared" si="147"/>
        <v>5.5809999999999998E-2</v>
      </c>
      <c r="O570" s="459">
        <f t="shared" si="147"/>
        <v>5.5809999999999998E-2</v>
      </c>
      <c r="P570" s="459">
        <f t="shared" si="147"/>
        <v>5.5809999999999998E-2</v>
      </c>
      <c r="Q570" s="459">
        <f t="shared" si="147"/>
        <v>5.5809999999999998E-2</v>
      </c>
      <c r="S570" s="32"/>
      <c r="T570" s="32"/>
    </row>
    <row r="571" spans="1:20" x14ac:dyDescent="0.2">
      <c r="C571" s="32" t="s">
        <v>1091</v>
      </c>
      <c r="D571" s="444" t="s">
        <v>811</v>
      </c>
      <c r="E571" s="32" t="s">
        <v>957</v>
      </c>
      <c r="F571" s="459">
        <f t="shared" si="147"/>
        <v>3.6589999999999998E-2</v>
      </c>
      <c r="G571" s="459">
        <f t="shared" si="147"/>
        <v>3.6589999999999998E-2</v>
      </c>
      <c r="H571" s="459">
        <f t="shared" si="147"/>
        <v>3.6589999999999998E-2</v>
      </c>
      <c r="I571" s="459">
        <f t="shared" si="147"/>
        <v>3.6589999999999998E-2</v>
      </c>
      <c r="J571" s="459">
        <f t="shared" si="147"/>
        <v>3.6589999999999998E-2</v>
      </c>
      <c r="K571" s="459">
        <f t="shared" si="147"/>
        <v>3.6589999999999998E-2</v>
      </c>
      <c r="L571" s="459">
        <f t="shared" si="147"/>
        <v>3.6589999999999998E-2</v>
      </c>
      <c r="M571" s="459">
        <f t="shared" si="147"/>
        <v>3.6589999999999998E-2</v>
      </c>
      <c r="N571" s="459">
        <f t="shared" si="147"/>
        <v>3.6589999999999998E-2</v>
      </c>
      <c r="O571" s="459">
        <f t="shared" si="147"/>
        <v>3.6589999999999998E-2</v>
      </c>
      <c r="P571" s="459">
        <f t="shared" si="147"/>
        <v>3.6589999999999998E-2</v>
      </c>
      <c r="Q571" s="459">
        <f t="shared" si="147"/>
        <v>3.6589999999999998E-2</v>
      </c>
      <c r="S571" s="32"/>
      <c r="T571" s="32"/>
    </row>
    <row r="572" spans="1:20" x14ac:dyDescent="0.2">
      <c r="C572" s="32" t="s">
        <v>1092</v>
      </c>
      <c r="D572" s="444" t="s">
        <v>811</v>
      </c>
      <c r="E572" s="32" t="s">
        <v>957</v>
      </c>
      <c r="F572" s="459">
        <f t="shared" si="147"/>
        <v>2.6950000000000002E-2</v>
      </c>
      <c r="G572" s="459">
        <f t="shared" si="147"/>
        <v>2.6950000000000002E-2</v>
      </c>
      <c r="H572" s="459">
        <f t="shared" si="147"/>
        <v>2.6950000000000002E-2</v>
      </c>
      <c r="I572" s="459">
        <f t="shared" si="147"/>
        <v>2.6950000000000002E-2</v>
      </c>
      <c r="J572" s="459">
        <f t="shared" si="147"/>
        <v>2.6950000000000002E-2</v>
      </c>
      <c r="K572" s="459">
        <f t="shared" si="147"/>
        <v>2.6950000000000002E-2</v>
      </c>
      <c r="L572" s="459">
        <f t="shared" si="147"/>
        <v>2.6950000000000002E-2</v>
      </c>
      <c r="M572" s="459">
        <f t="shared" si="147"/>
        <v>2.6950000000000002E-2</v>
      </c>
      <c r="N572" s="459">
        <f t="shared" si="147"/>
        <v>2.6950000000000002E-2</v>
      </c>
      <c r="O572" s="459">
        <f t="shared" si="147"/>
        <v>2.6950000000000002E-2</v>
      </c>
      <c r="P572" s="459">
        <f t="shared" si="147"/>
        <v>2.6950000000000002E-2</v>
      </c>
      <c r="Q572" s="459">
        <f t="shared" si="147"/>
        <v>2.6950000000000002E-2</v>
      </c>
      <c r="S572" s="32"/>
      <c r="T572" s="32"/>
    </row>
    <row r="573" spans="1:20" x14ac:dyDescent="0.2">
      <c r="C573" s="32" t="s">
        <v>1093</v>
      </c>
      <c r="D573" s="444" t="s">
        <v>811</v>
      </c>
      <c r="E573" s="32" t="s">
        <v>957</v>
      </c>
      <c r="F573" s="459">
        <f t="shared" si="147"/>
        <v>2.129E-2</v>
      </c>
      <c r="G573" s="459">
        <f t="shared" si="147"/>
        <v>2.129E-2</v>
      </c>
      <c r="H573" s="459">
        <f t="shared" si="147"/>
        <v>2.129E-2</v>
      </c>
      <c r="I573" s="459">
        <f t="shared" si="147"/>
        <v>2.129E-2</v>
      </c>
      <c r="J573" s="459">
        <f t="shared" si="147"/>
        <v>2.129E-2</v>
      </c>
      <c r="K573" s="459">
        <f t="shared" si="147"/>
        <v>2.129E-2</v>
      </c>
      <c r="L573" s="459">
        <f t="shared" si="147"/>
        <v>2.129E-2</v>
      </c>
      <c r="M573" s="459">
        <f t="shared" si="147"/>
        <v>2.129E-2</v>
      </c>
      <c r="N573" s="459">
        <f t="shared" si="147"/>
        <v>2.129E-2</v>
      </c>
      <c r="O573" s="459">
        <f t="shared" si="147"/>
        <v>2.129E-2</v>
      </c>
      <c r="P573" s="459">
        <f t="shared" si="147"/>
        <v>2.129E-2</v>
      </c>
      <c r="Q573" s="459">
        <f t="shared" si="147"/>
        <v>2.129E-2</v>
      </c>
      <c r="S573" s="32"/>
      <c r="T573" s="32"/>
    </row>
    <row r="574" spans="1:20" x14ac:dyDescent="0.2">
      <c r="B574" s="336" t="s">
        <v>1081</v>
      </c>
      <c r="D574" s="382" t="s">
        <v>811</v>
      </c>
      <c r="E574" s="336" t="s">
        <v>957</v>
      </c>
      <c r="F574" s="459">
        <f t="shared" si="147"/>
        <v>6.9999999999999999E-4</v>
      </c>
      <c r="G574" s="459">
        <f t="shared" si="147"/>
        <v>6.9999999999999999E-4</v>
      </c>
      <c r="H574" s="459">
        <f t="shared" si="147"/>
        <v>6.9999999999999999E-4</v>
      </c>
      <c r="I574" s="459">
        <f t="shared" si="147"/>
        <v>6.9999999999999999E-4</v>
      </c>
      <c r="J574" s="459">
        <f t="shared" si="147"/>
        <v>6.9999999999999999E-4</v>
      </c>
      <c r="K574" s="459">
        <f t="shared" si="147"/>
        <v>6.9999999999999999E-4</v>
      </c>
      <c r="L574" s="459">
        <f t="shared" si="147"/>
        <v>6.9999999999999999E-4</v>
      </c>
      <c r="M574" s="459">
        <f t="shared" si="147"/>
        <v>6.9999999999999999E-4</v>
      </c>
      <c r="N574" s="459">
        <f t="shared" si="147"/>
        <v>6.9999999999999999E-4</v>
      </c>
      <c r="O574" s="459">
        <f t="shared" si="147"/>
        <v>6.9999999999999999E-4</v>
      </c>
      <c r="P574" s="459">
        <f t="shared" si="147"/>
        <v>6.9999999999999999E-4</v>
      </c>
      <c r="Q574" s="459">
        <f t="shared" si="147"/>
        <v>6.9999999999999999E-4</v>
      </c>
      <c r="S574" s="32"/>
      <c r="T574" s="32"/>
    </row>
    <row r="575" spans="1:20" x14ac:dyDescent="0.2">
      <c r="B575" s="32" t="s">
        <v>1069</v>
      </c>
      <c r="D575" s="444" t="s">
        <v>811</v>
      </c>
      <c r="E575" s="32" t="s">
        <v>957</v>
      </c>
      <c r="F575" s="460">
        <f t="shared" si="147"/>
        <v>1.1399999999999999</v>
      </c>
      <c r="G575" s="460">
        <f t="shared" si="147"/>
        <v>1.1399999999999999</v>
      </c>
      <c r="H575" s="460">
        <f t="shared" si="147"/>
        <v>1.1399999999999999</v>
      </c>
      <c r="I575" s="460">
        <f t="shared" si="147"/>
        <v>1.1399999999999999</v>
      </c>
      <c r="J575" s="460">
        <f t="shared" si="147"/>
        <v>1.1399999999999999</v>
      </c>
      <c r="K575" s="460">
        <f t="shared" si="147"/>
        <v>1.1399999999999999</v>
      </c>
      <c r="L575" s="460">
        <f t="shared" si="147"/>
        <v>1.1399999999999999</v>
      </c>
      <c r="M575" s="460">
        <f t="shared" si="147"/>
        <v>1.1399999999999999</v>
      </c>
      <c r="N575" s="460">
        <f t="shared" si="147"/>
        <v>1.1399999999999999</v>
      </c>
      <c r="O575" s="460">
        <f t="shared" si="147"/>
        <v>1.1399999999999999</v>
      </c>
      <c r="P575" s="460">
        <f t="shared" si="147"/>
        <v>1.1399999999999999</v>
      </c>
      <c r="Q575" s="460">
        <f t="shared" si="147"/>
        <v>1.1399999999999999</v>
      </c>
      <c r="S575" s="32"/>
      <c r="T575" s="32"/>
    </row>
    <row r="576" spans="1:20" s="336" customFormat="1" x14ac:dyDescent="0.2">
      <c r="B576" s="336" t="s">
        <v>1071</v>
      </c>
      <c r="D576" s="444" t="s">
        <v>811</v>
      </c>
      <c r="E576" s="336" t="s">
        <v>67</v>
      </c>
      <c r="F576" s="442"/>
      <c r="G576" s="442"/>
      <c r="H576" s="442"/>
      <c r="I576" s="442"/>
      <c r="J576" s="442"/>
      <c r="K576" s="442"/>
      <c r="L576" s="442"/>
    </row>
    <row r="577" spans="1:18" s="336" customFormat="1" x14ac:dyDescent="0.2">
      <c r="F577" s="415"/>
      <c r="G577" s="415"/>
      <c r="H577" s="415"/>
      <c r="I577" s="415"/>
      <c r="J577" s="415"/>
    </row>
    <row r="578" spans="1:18" s="336" customFormat="1" x14ac:dyDescent="0.2">
      <c r="B578" s="182" t="s">
        <v>1083</v>
      </c>
      <c r="F578" s="415"/>
      <c r="G578" s="415"/>
      <c r="H578" s="415"/>
      <c r="I578" s="415"/>
      <c r="J578" s="415"/>
    </row>
    <row r="579" spans="1:18" s="336" customFormat="1" x14ac:dyDescent="0.2">
      <c r="B579" s="336" t="s">
        <v>67</v>
      </c>
      <c r="D579" s="444" t="s">
        <v>811</v>
      </c>
      <c r="E579" s="336" t="s">
        <v>67</v>
      </c>
      <c r="F579" s="421">
        <f>'JKP-3.1c - Data'!C156</f>
        <v>11</v>
      </c>
      <c r="G579" s="421">
        <f>'JKP-3.1c - Data'!D156</f>
        <v>11</v>
      </c>
      <c r="H579" s="421">
        <f>'JKP-3.1c - Data'!E156</f>
        <v>11</v>
      </c>
      <c r="I579" s="421">
        <f>'JKP-3.1c - Data'!F156</f>
        <v>11</v>
      </c>
      <c r="J579" s="421">
        <f>'JKP-3.1c - Data'!G156</f>
        <v>11</v>
      </c>
      <c r="K579" s="421">
        <f>'JKP-3.1c - Data'!H156</f>
        <v>11</v>
      </c>
      <c r="L579" s="421">
        <f>'JKP-3.1c - Data'!I156</f>
        <v>11</v>
      </c>
      <c r="M579" s="421">
        <f>'JKP-3.1c - Data'!J156</f>
        <v>11</v>
      </c>
      <c r="N579" s="421">
        <f>'JKP-3.1c - Data'!K156</f>
        <v>11</v>
      </c>
      <c r="O579" s="421">
        <f>'JKP-3.1c - Data'!L156</f>
        <v>11</v>
      </c>
      <c r="P579" s="421">
        <f>'JKP-3.1c - Data'!M156</f>
        <v>11</v>
      </c>
      <c r="Q579" s="421">
        <f>'JKP-3.1c - Data'!N156</f>
        <v>10</v>
      </c>
      <c r="R579" s="362">
        <f>SUM(F579:Q579)</f>
        <v>131</v>
      </c>
    </row>
    <row r="580" spans="1:18" s="336" customFormat="1" x14ac:dyDescent="0.2">
      <c r="B580" s="336" t="s">
        <v>76</v>
      </c>
      <c r="F580" s="380"/>
      <c r="G580" s="380"/>
      <c r="H580" s="380"/>
      <c r="I580" s="380"/>
      <c r="J580" s="380"/>
      <c r="K580" s="380"/>
      <c r="L580" s="380"/>
      <c r="M580" s="380"/>
      <c r="N580" s="380"/>
      <c r="O580" s="380"/>
      <c r="P580" s="380"/>
      <c r="Q580" s="380"/>
    </row>
    <row r="581" spans="1:18" s="336" customFormat="1" x14ac:dyDescent="0.2">
      <c r="C581" s="336" t="s">
        <v>1086</v>
      </c>
      <c r="D581" s="444" t="s">
        <v>811</v>
      </c>
      <c r="E581" s="336" t="s">
        <v>10</v>
      </c>
      <c r="F581" s="421">
        <f>'JKP-3.1c - Rev Actual Rates'!F592</f>
        <v>233002</v>
      </c>
      <c r="G581" s="421">
        <f>'JKP-3.1c - Rev Actual Rates'!G592</f>
        <v>237361</v>
      </c>
      <c r="H581" s="421">
        <f>'JKP-3.1c - Rev Actual Rates'!H592</f>
        <v>250000</v>
      </c>
      <c r="I581" s="421">
        <f>'JKP-3.1c - Rev Actual Rates'!I592</f>
        <v>250000</v>
      </c>
      <c r="J581" s="421">
        <f>'JKP-3.1c - Rev Actual Rates'!J592</f>
        <v>250000</v>
      </c>
      <c r="K581" s="421">
        <f>'JKP-3.1c - Rev Actual Rates'!K592</f>
        <v>250295</v>
      </c>
      <c r="L581" s="421">
        <f>'JKP-3.1c - Rev Actual Rates'!L592</f>
        <v>275000</v>
      </c>
      <c r="M581" s="421">
        <f>'JKP-3.1c - Rev Actual Rates'!M592</f>
        <v>275000</v>
      </c>
      <c r="N581" s="421">
        <f>'JKP-3.1c - Rev Actual Rates'!N592</f>
        <v>275000</v>
      </c>
      <c r="O581" s="421">
        <f>'JKP-3.1c - Rev Actual Rates'!O592</f>
        <v>275000</v>
      </c>
      <c r="P581" s="421">
        <f>'JKP-3.1c - Rev Actual Rates'!P592</f>
        <v>239521</v>
      </c>
      <c r="Q581" s="421">
        <f>'JKP-3.1c - Rev Actual Rates'!Q592</f>
        <v>244957</v>
      </c>
      <c r="R581" s="362">
        <f t="shared" ref="R581:R588" si="148">SUM(F581:Q581)</f>
        <v>3055136</v>
      </c>
    </row>
    <row r="582" spans="1:18" s="336" customFormat="1" x14ac:dyDescent="0.2">
      <c r="C582" s="336" t="s">
        <v>1087</v>
      </c>
      <c r="D582" s="444" t="s">
        <v>811</v>
      </c>
      <c r="E582" s="336" t="s">
        <v>10</v>
      </c>
      <c r="F582" s="421">
        <f>'JKP-3.1c - Rev Actual Rates'!F593</f>
        <v>225000</v>
      </c>
      <c r="G582" s="421">
        <f>'JKP-3.1c - Rev Actual Rates'!G593</f>
        <v>225000</v>
      </c>
      <c r="H582" s="421">
        <f>'JKP-3.1c - Rev Actual Rates'!H593</f>
        <v>243175</v>
      </c>
      <c r="I582" s="421">
        <f>'JKP-3.1c - Rev Actual Rates'!I593</f>
        <v>250000</v>
      </c>
      <c r="J582" s="421">
        <f>'JKP-3.1c - Rev Actual Rates'!J593</f>
        <v>239298</v>
      </c>
      <c r="K582" s="421">
        <f>'JKP-3.1c - Rev Actual Rates'!K593</f>
        <v>241718</v>
      </c>
      <c r="L582" s="421">
        <f>'JKP-3.1c - Rev Actual Rates'!L593</f>
        <v>241997</v>
      </c>
      <c r="M582" s="421">
        <f>'JKP-3.1c - Rev Actual Rates'!M593</f>
        <v>275000</v>
      </c>
      <c r="N582" s="421">
        <f>'JKP-3.1c - Rev Actual Rates'!N593</f>
        <v>275000</v>
      </c>
      <c r="O582" s="421">
        <f>'JKP-3.1c - Rev Actual Rates'!O593</f>
        <v>275000</v>
      </c>
      <c r="P582" s="421">
        <f>'JKP-3.1c - Rev Actual Rates'!P593</f>
        <v>225000</v>
      </c>
      <c r="Q582" s="421">
        <f>'JKP-3.1c - Rev Actual Rates'!Q593</f>
        <v>225000</v>
      </c>
      <c r="R582" s="362">
        <f t="shared" si="148"/>
        <v>2941188</v>
      </c>
    </row>
    <row r="583" spans="1:18" s="336" customFormat="1" x14ac:dyDescent="0.2">
      <c r="C583" s="336" t="s">
        <v>1090</v>
      </c>
      <c r="D583" s="444" t="s">
        <v>811</v>
      </c>
      <c r="E583" s="336" t="s">
        <v>10</v>
      </c>
      <c r="F583" s="421">
        <f>'JKP-3.1c - Rev Actual Rates'!F594</f>
        <v>450000</v>
      </c>
      <c r="G583" s="421">
        <f>'JKP-3.1c - Rev Actual Rates'!G594</f>
        <v>450000</v>
      </c>
      <c r="H583" s="421">
        <f>'JKP-3.1c - Rev Actual Rates'!H594</f>
        <v>450000</v>
      </c>
      <c r="I583" s="421">
        <f>'JKP-3.1c - Rev Actual Rates'!I594</f>
        <v>456951</v>
      </c>
      <c r="J583" s="421">
        <f>'JKP-3.1c - Rev Actual Rates'!J594</f>
        <v>450000</v>
      </c>
      <c r="K583" s="421">
        <f>'JKP-3.1c - Rev Actual Rates'!K594</f>
        <v>450000</v>
      </c>
      <c r="L583" s="421">
        <f>'JKP-3.1c - Rev Actual Rates'!L594</f>
        <v>450000</v>
      </c>
      <c r="M583" s="421">
        <f>'JKP-3.1c - Rev Actual Rates'!M594</f>
        <v>529945</v>
      </c>
      <c r="N583" s="421">
        <f>'JKP-3.1c - Rev Actual Rates'!N594</f>
        <v>542077</v>
      </c>
      <c r="O583" s="421">
        <f>'JKP-3.1c - Rev Actual Rates'!O594</f>
        <v>537115</v>
      </c>
      <c r="P583" s="421">
        <f>'JKP-3.1c - Rev Actual Rates'!P594</f>
        <v>450000</v>
      </c>
      <c r="Q583" s="421">
        <f>'JKP-3.1c - Rev Actual Rates'!Q594</f>
        <v>450000</v>
      </c>
      <c r="R583" s="362">
        <f t="shared" si="148"/>
        <v>5666088</v>
      </c>
    </row>
    <row r="584" spans="1:18" s="336" customFormat="1" x14ac:dyDescent="0.2">
      <c r="C584" s="336" t="s">
        <v>1091</v>
      </c>
      <c r="D584" s="444" t="s">
        <v>811</v>
      </c>
      <c r="E584" s="336" t="s">
        <v>10</v>
      </c>
      <c r="F584" s="421">
        <f>'JKP-3.1c - Rev Actual Rates'!F595</f>
        <v>900000</v>
      </c>
      <c r="G584" s="421">
        <f>'JKP-3.1c - Rev Actual Rates'!G595</f>
        <v>890972</v>
      </c>
      <c r="H584" s="421">
        <f>'JKP-3.1c - Rev Actual Rates'!H595</f>
        <v>819393</v>
      </c>
      <c r="I584" s="421">
        <f>'JKP-3.1c - Rev Actual Rates'!I595</f>
        <v>871573</v>
      </c>
      <c r="J584" s="421">
        <f>'JKP-3.1c - Rev Actual Rates'!J595</f>
        <v>900000</v>
      </c>
      <c r="K584" s="421">
        <f>'JKP-3.1c - Rev Actual Rates'!K595</f>
        <v>900000</v>
      </c>
      <c r="L584" s="421">
        <f>'JKP-3.1c - Rev Actual Rates'!L595</f>
        <v>900000</v>
      </c>
      <c r="M584" s="421">
        <f>'JKP-3.1c - Rev Actual Rates'!M595</f>
        <v>955341</v>
      </c>
      <c r="N584" s="421">
        <f>'JKP-3.1c - Rev Actual Rates'!N595</f>
        <v>924425</v>
      </c>
      <c r="O584" s="421">
        <f>'JKP-3.1c - Rev Actual Rates'!O595</f>
        <v>900000</v>
      </c>
      <c r="P584" s="421">
        <f>'JKP-3.1c - Rev Actual Rates'!P595</f>
        <v>900000</v>
      </c>
      <c r="Q584" s="421">
        <f>'JKP-3.1c - Rev Actual Rates'!Q595</f>
        <v>875878</v>
      </c>
      <c r="R584" s="362">
        <f t="shared" si="148"/>
        <v>10737582</v>
      </c>
    </row>
    <row r="585" spans="1:18" s="336" customFormat="1" x14ac:dyDescent="0.2">
      <c r="C585" s="336" t="s">
        <v>1092</v>
      </c>
      <c r="D585" s="444" t="s">
        <v>811</v>
      </c>
      <c r="E585" s="336" t="s">
        <v>10</v>
      </c>
      <c r="F585" s="421">
        <f>'JKP-3.1c - Rev Actual Rates'!F596</f>
        <v>2239208</v>
      </c>
      <c r="G585" s="421">
        <f>'JKP-3.1c - Rev Actual Rates'!G596</f>
        <v>2174048</v>
      </c>
      <c r="H585" s="421">
        <f>'JKP-3.1c - Rev Actual Rates'!H596</f>
        <v>2151855</v>
      </c>
      <c r="I585" s="421">
        <f>'JKP-3.1c - Rev Actual Rates'!I596</f>
        <v>2149221</v>
      </c>
      <c r="J585" s="421">
        <f>'JKP-3.1c - Rev Actual Rates'!J596</f>
        <v>2222143</v>
      </c>
      <c r="K585" s="421">
        <f>'JKP-3.1c - Rev Actual Rates'!K596</f>
        <v>2135368</v>
      </c>
      <c r="L585" s="421">
        <f>'JKP-3.1c - Rev Actual Rates'!L596</f>
        <v>2097365</v>
      </c>
      <c r="M585" s="421">
        <f>'JKP-3.1c - Rev Actual Rates'!M596</f>
        <v>2247151</v>
      </c>
      <c r="N585" s="421">
        <f>'JKP-3.1c - Rev Actual Rates'!N596</f>
        <v>2086920</v>
      </c>
      <c r="O585" s="421">
        <f>'JKP-3.1c - Rev Actual Rates'!O596</f>
        <v>2172513</v>
      </c>
      <c r="P585" s="421">
        <f>'JKP-3.1c - Rev Actual Rates'!P596</f>
        <v>1981141</v>
      </c>
      <c r="Q585" s="421">
        <f>'JKP-3.1c - Rev Actual Rates'!Q596</f>
        <v>1839709</v>
      </c>
      <c r="R585" s="362">
        <f t="shared" si="148"/>
        <v>25496642</v>
      </c>
    </row>
    <row r="586" spans="1:18" s="336" customFormat="1" x14ac:dyDescent="0.2">
      <c r="C586" s="336" t="s">
        <v>1093</v>
      </c>
      <c r="D586" s="444" t="s">
        <v>811</v>
      </c>
      <c r="E586" s="336" t="s">
        <v>10</v>
      </c>
      <c r="F586" s="421">
        <f>'JKP-3.1c - Rev Actual Rates'!F597</f>
        <v>3231478</v>
      </c>
      <c r="G586" s="421">
        <f>'JKP-3.1c - Rev Actual Rates'!G597</f>
        <v>1780829</v>
      </c>
      <c r="H586" s="421">
        <f>'JKP-3.1c - Rev Actual Rates'!H597</f>
        <v>3002301</v>
      </c>
      <c r="I586" s="421">
        <f>'JKP-3.1c - Rev Actual Rates'!I597</f>
        <v>2880556</v>
      </c>
      <c r="J586" s="421">
        <f>'JKP-3.1c - Rev Actual Rates'!J597</f>
        <v>3908149</v>
      </c>
      <c r="K586" s="421">
        <f>'JKP-3.1c - Rev Actual Rates'!K597</f>
        <v>2733660</v>
      </c>
      <c r="L586" s="421">
        <f>'JKP-3.1c - Rev Actual Rates'!L597</f>
        <v>3335718</v>
      </c>
      <c r="M586" s="421">
        <f>'JKP-3.1c - Rev Actual Rates'!M597</f>
        <v>3166091</v>
      </c>
      <c r="N586" s="421">
        <f>'JKP-3.1c - Rev Actual Rates'!N597</f>
        <v>2201045</v>
      </c>
      <c r="O586" s="421">
        <f>'JKP-3.1c - Rev Actual Rates'!O597</f>
        <v>2307132</v>
      </c>
      <c r="P586" s="421">
        <f>'JKP-3.1c - Rev Actual Rates'!P597</f>
        <v>1500048</v>
      </c>
      <c r="Q586" s="421">
        <f>'JKP-3.1c - Rev Actual Rates'!Q597</f>
        <v>2037587</v>
      </c>
      <c r="R586" s="362">
        <f t="shared" si="148"/>
        <v>32084594</v>
      </c>
    </row>
    <row r="587" spans="1:18" s="336" customFormat="1" x14ac:dyDescent="0.2">
      <c r="C587" s="336" t="s">
        <v>1075</v>
      </c>
      <c r="D587" s="444" t="s">
        <v>811</v>
      </c>
      <c r="E587" s="336" t="s">
        <v>10</v>
      </c>
      <c r="F587" s="436">
        <f t="shared" ref="F587:Q587" si="149">SUM(F581:F586)</f>
        <v>7278688</v>
      </c>
      <c r="G587" s="436">
        <f t="shared" si="149"/>
        <v>5758210</v>
      </c>
      <c r="H587" s="436">
        <f t="shared" si="149"/>
        <v>6916724</v>
      </c>
      <c r="I587" s="436">
        <f t="shared" si="149"/>
        <v>6858301</v>
      </c>
      <c r="J587" s="436">
        <f t="shared" si="149"/>
        <v>7969590</v>
      </c>
      <c r="K587" s="436">
        <f t="shared" si="149"/>
        <v>6711041</v>
      </c>
      <c r="L587" s="436">
        <f t="shared" si="149"/>
        <v>7300080</v>
      </c>
      <c r="M587" s="436">
        <f t="shared" si="149"/>
        <v>7448528</v>
      </c>
      <c r="N587" s="436">
        <f t="shared" si="149"/>
        <v>6304467</v>
      </c>
      <c r="O587" s="436">
        <f t="shared" si="149"/>
        <v>6466760</v>
      </c>
      <c r="P587" s="436">
        <f t="shared" si="149"/>
        <v>5295710</v>
      </c>
      <c r="Q587" s="436">
        <f t="shared" si="149"/>
        <v>5673131</v>
      </c>
      <c r="R587" s="436">
        <f t="shared" si="148"/>
        <v>79981230</v>
      </c>
    </row>
    <row r="588" spans="1:18" s="336" customFormat="1" x14ac:dyDescent="0.2">
      <c r="B588" s="336" t="s">
        <v>74</v>
      </c>
      <c r="D588" s="444" t="s">
        <v>811</v>
      </c>
      <c r="E588" s="336" t="s">
        <v>1076</v>
      </c>
      <c r="F588" s="421">
        <f>'JKP-3.1c - Rev Actual Rates'!F599</f>
        <v>37739</v>
      </c>
      <c r="G588" s="421">
        <f>'JKP-3.1c - Rev Actual Rates'!G599</f>
        <v>37739</v>
      </c>
      <c r="H588" s="421">
        <f>'JKP-3.1c - Rev Actual Rates'!H599</f>
        <v>37739</v>
      </c>
      <c r="I588" s="421">
        <f>'JKP-3.1c - Rev Actual Rates'!I599</f>
        <v>37739</v>
      </c>
      <c r="J588" s="421">
        <f>'JKP-3.1c - Rev Actual Rates'!J599</f>
        <v>37739</v>
      </c>
      <c r="K588" s="421">
        <f>'JKP-3.1c - Rev Actual Rates'!K599</f>
        <v>37739</v>
      </c>
      <c r="L588" s="421">
        <f>'JKP-3.1c - Rev Actual Rates'!L599</f>
        <v>37739</v>
      </c>
      <c r="M588" s="421">
        <f>'JKP-3.1c - Rev Actual Rates'!M599</f>
        <v>37739</v>
      </c>
      <c r="N588" s="421">
        <f>'JKP-3.1c - Rev Actual Rates'!N599</f>
        <v>37739</v>
      </c>
      <c r="O588" s="421">
        <f>'JKP-3.1c - Rev Actual Rates'!O599</f>
        <v>37739</v>
      </c>
      <c r="P588" s="421">
        <f>'JKP-3.1c - Rev Actual Rates'!P599</f>
        <v>37739</v>
      </c>
      <c r="Q588" s="421">
        <f>'JKP-3.1c - Rev Actual Rates'!Q599</f>
        <v>37722</v>
      </c>
      <c r="R588" s="362">
        <f t="shared" si="148"/>
        <v>452851</v>
      </c>
    </row>
    <row r="589" spans="1:18" s="336" customFormat="1" x14ac:dyDescent="0.2">
      <c r="B589" s="336" t="s">
        <v>1071</v>
      </c>
      <c r="F589" s="415"/>
      <c r="G589" s="415"/>
      <c r="H589" s="415"/>
      <c r="I589" s="415"/>
      <c r="J589" s="415"/>
    </row>
    <row r="590" spans="1:18" s="336" customFormat="1" x14ac:dyDescent="0.2">
      <c r="F590" s="415"/>
      <c r="G590" s="415"/>
      <c r="H590" s="415"/>
      <c r="I590" s="415"/>
      <c r="J590" s="415"/>
    </row>
    <row r="591" spans="1:18" s="336" customFormat="1" x14ac:dyDescent="0.2">
      <c r="B591" s="182" t="s">
        <v>985</v>
      </c>
      <c r="F591" s="415"/>
      <c r="G591" s="415"/>
      <c r="H591" s="415"/>
      <c r="I591" s="415"/>
      <c r="J591" s="415"/>
    </row>
    <row r="592" spans="1:18" s="336" customFormat="1" x14ac:dyDescent="0.2">
      <c r="A592" s="336" t="s">
        <v>1054</v>
      </c>
      <c r="B592" s="336" t="s">
        <v>1059</v>
      </c>
      <c r="D592" s="444" t="s">
        <v>811</v>
      </c>
      <c r="F592" s="418">
        <f t="shared" ref="F592:Q592" si="150">F566*F579</f>
        <v>9828.17</v>
      </c>
      <c r="G592" s="418">
        <f t="shared" si="150"/>
        <v>9828.17</v>
      </c>
      <c r="H592" s="418">
        <f t="shared" si="150"/>
        <v>9828.17</v>
      </c>
      <c r="I592" s="418">
        <f t="shared" si="150"/>
        <v>9828.17</v>
      </c>
      <c r="J592" s="418">
        <f t="shared" si="150"/>
        <v>9828.17</v>
      </c>
      <c r="K592" s="418">
        <f t="shared" si="150"/>
        <v>9828.17</v>
      </c>
      <c r="L592" s="418">
        <f t="shared" si="150"/>
        <v>9828.17</v>
      </c>
      <c r="M592" s="418">
        <f t="shared" si="150"/>
        <v>9828.17</v>
      </c>
      <c r="N592" s="418">
        <f t="shared" si="150"/>
        <v>9828.17</v>
      </c>
      <c r="O592" s="418">
        <f t="shared" si="150"/>
        <v>9828.17</v>
      </c>
      <c r="P592" s="418">
        <f t="shared" si="150"/>
        <v>9828.17</v>
      </c>
      <c r="Q592" s="418">
        <f t="shared" si="150"/>
        <v>8934.7000000000007</v>
      </c>
      <c r="R592" s="418">
        <f>SUM(F592:Q592)</f>
        <v>117044.56999999999</v>
      </c>
    </row>
    <row r="593" spans="1:20" s="336" customFormat="1" x14ac:dyDescent="0.2">
      <c r="B593" s="336" t="s">
        <v>1047</v>
      </c>
      <c r="F593" s="418"/>
      <c r="G593" s="418"/>
      <c r="H593" s="418"/>
      <c r="I593" s="418"/>
      <c r="J593" s="418"/>
      <c r="K593" s="418"/>
      <c r="L593" s="418"/>
      <c r="M593" s="418"/>
      <c r="N593" s="418"/>
      <c r="O593" s="418"/>
      <c r="P593" s="418"/>
      <c r="Q593" s="418"/>
      <c r="R593" s="418"/>
    </row>
    <row r="594" spans="1:20" x14ac:dyDescent="0.2">
      <c r="C594" s="32" t="s">
        <v>1086</v>
      </c>
      <c r="D594" s="444" t="s">
        <v>811</v>
      </c>
      <c r="F594" s="364">
        <f t="shared" ref="F594:Q599" si="151">F568*F581</f>
        <v>32988.423160000006</v>
      </c>
      <c r="G594" s="364">
        <f t="shared" si="151"/>
        <v>33605.570380000005</v>
      </c>
      <c r="H594" s="364">
        <f t="shared" si="151"/>
        <v>35395</v>
      </c>
      <c r="I594" s="364">
        <f t="shared" si="151"/>
        <v>35395</v>
      </c>
      <c r="J594" s="364">
        <f t="shared" si="151"/>
        <v>35395</v>
      </c>
      <c r="K594" s="364">
        <f t="shared" si="151"/>
        <v>35436.766100000001</v>
      </c>
      <c r="L594" s="364">
        <f t="shared" si="151"/>
        <v>38934.5</v>
      </c>
      <c r="M594" s="364">
        <f t="shared" si="151"/>
        <v>38934.5</v>
      </c>
      <c r="N594" s="364">
        <f t="shared" si="151"/>
        <v>38934.5</v>
      </c>
      <c r="O594" s="364">
        <f t="shared" si="151"/>
        <v>38934.5</v>
      </c>
      <c r="P594" s="364">
        <f t="shared" si="151"/>
        <v>33911.383180000004</v>
      </c>
      <c r="Q594" s="364">
        <f t="shared" si="151"/>
        <v>34681.012060000001</v>
      </c>
      <c r="R594" s="364">
        <f t="shared" ref="R594:R601" si="152">SUM(F594:Q594)</f>
        <v>432546.15487999999</v>
      </c>
      <c r="S594" s="32"/>
      <c r="T594" s="32"/>
    </row>
    <row r="595" spans="1:20" x14ac:dyDescent="0.2">
      <c r="C595" s="32" t="s">
        <v>1087</v>
      </c>
      <c r="D595" s="444" t="s">
        <v>811</v>
      </c>
      <c r="F595" s="364">
        <f t="shared" si="151"/>
        <v>19449</v>
      </c>
      <c r="G595" s="364">
        <f t="shared" si="151"/>
        <v>19449</v>
      </c>
      <c r="H595" s="364">
        <f t="shared" si="151"/>
        <v>21020.047000000002</v>
      </c>
      <c r="I595" s="364">
        <f t="shared" si="151"/>
        <v>21610</v>
      </c>
      <c r="J595" s="364">
        <f t="shared" si="151"/>
        <v>20684.919120000002</v>
      </c>
      <c r="K595" s="364">
        <f t="shared" si="151"/>
        <v>20894.103920000001</v>
      </c>
      <c r="L595" s="364">
        <f t="shared" si="151"/>
        <v>20918.220680000002</v>
      </c>
      <c r="M595" s="364">
        <f t="shared" si="151"/>
        <v>23771</v>
      </c>
      <c r="N595" s="364">
        <f t="shared" si="151"/>
        <v>23771</v>
      </c>
      <c r="O595" s="364">
        <f t="shared" si="151"/>
        <v>23771</v>
      </c>
      <c r="P595" s="364">
        <f t="shared" si="151"/>
        <v>19449</v>
      </c>
      <c r="Q595" s="364">
        <f t="shared" si="151"/>
        <v>19449</v>
      </c>
      <c r="R595" s="364">
        <f t="shared" si="152"/>
        <v>254236.29072000002</v>
      </c>
      <c r="S595" s="32"/>
      <c r="T595" s="32"/>
    </row>
    <row r="596" spans="1:20" x14ac:dyDescent="0.2">
      <c r="C596" s="32" t="s">
        <v>1090</v>
      </c>
      <c r="D596" s="444" t="s">
        <v>811</v>
      </c>
      <c r="F596" s="364">
        <f t="shared" si="151"/>
        <v>25114.5</v>
      </c>
      <c r="G596" s="364">
        <f t="shared" si="151"/>
        <v>25114.5</v>
      </c>
      <c r="H596" s="364">
        <f t="shared" si="151"/>
        <v>25114.5</v>
      </c>
      <c r="I596" s="364">
        <f t="shared" si="151"/>
        <v>25502.435310000001</v>
      </c>
      <c r="J596" s="364">
        <f t="shared" si="151"/>
        <v>25114.5</v>
      </c>
      <c r="K596" s="364">
        <f t="shared" si="151"/>
        <v>25114.5</v>
      </c>
      <c r="L596" s="364">
        <f t="shared" si="151"/>
        <v>25114.5</v>
      </c>
      <c r="M596" s="364">
        <f t="shared" si="151"/>
        <v>29576.230449999999</v>
      </c>
      <c r="N596" s="364">
        <f t="shared" si="151"/>
        <v>30253.317370000001</v>
      </c>
      <c r="O596" s="364">
        <f t="shared" si="151"/>
        <v>29976.388149999999</v>
      </c>
      <c r="P596" s="364">
        <f t="shared" si="151"/>
        <v>25114.5</v>
      </c>
      <c r="Q596" s="364">
        <f t="shared" si="151"/>
        <v>25114.5</v>
      </c>
      <c r="R596" s="364">
        <f t="shared" si="152"/>
        <v>316224.37128000002</v>
      </c>
      <c r="S596" s="32"/>
      <c r="T596" s="32"/>
    </row>
    <row r="597" spans="1:20" x14ac:dyDescent="0.2">
      <c r="C597" s="32" t="s">
        <v>1091</v>
      </c>
      <c r="D597" s="444" t="s">
        <v>811</v>
      </c>
      <c r="F597" s="364">
        <f t="shared" si="151"/>
        <v>32931</v>
      </c>
      <c r="G597" s="364">
        <f t="shared" si="151"/>
        <v>32600.665479999996</v>
      </c>
      <c r="H597" s="364">
        <f t="shared" si="151"/>
        <v>29981.589869999996</v>
      </c>
      <c r="I597" s="364">
        <f t="shared" si="151"/>
        <v>31890.856069999998</v>
      </c>
      <c r="J597" s="364">
        <f t="shared" si="151"/>
        <v>32931</v>
      </c>
      <c r="K597" s="364">
        <f t="shared" si="151"/>
        <v>32931</v>
      </c>
      <c r="L597" s="364">
        <f t="shared" si="151"/>
        <v>32931</v>
      </c>
      <c r="M597" s="364">
        <f t="shared" si="151"/>
        <v>34955.927189999995</v>
      </c>
      <c r="N597" s="364">
        <f t="shared" si="151"/>
        <v>33824.710749999998</v>
      </c>
      <c r="O597" s="364">
        <f t="shared" si="151"/>
        <v>32931</v>
      </c>
      <c r="P597" s="364">
        <f t="shared" si="151"/>
        <v>32931</v>
      </c>
      <c r="Q597" s="364">
        <f t="shared" si="151"/>
        <v>32048.376019999996</v>
      </c>
      <c r="R597" s="364">
        <f t="shared" si="152"/>
        <v>392888.12537999998</v>
      </c>
      <c r="S597" s="32"/>
      <c r="T597" s="32"/>
    </row>
    <row r="598" spans="1:20" x14ac:dyDescent="0.2">
      <c r="C598" s="32" t="s">
        <v>1092</v>
      </c>
      <c r="D598" s="444" t="s">
        <v>811</v>
      </c>
      <c r="F598" s="364">
        <f t="shared" si="151"/>
        <v>60346.655600000006</v>
      </c>
      <c r="G598" s="364">
        <f t="shared" si="151"/>
        <v>58590.5936</v>
      </c>
      <c r="H598" s="364">
        <f t="shared" si="151"/>
        <v>57992.492250000003</v>
      </c>
      <c r="I598" s="364">
        <f t="shared" si="151"/>
        <v>57921.505950000006</v>
      </c>
      <c r="J598" s="364">
        <f t="shared" si="151"/>
        <v>59886.753850000001</v>
      </c>
      <c r="K598" s="364">
        <f t="shared" si="151"/>
        <v>57548.167600000001</v>
      </c>
      <c r="L598" s="364">
        <f t="shared" si="151"/>
        <v>56523.986750000004</v>
      </c>
      <c r="M598" s="364">
        <f t="shared" si="151"/>
        <v>60560.719450000004</v>
      </c>
      <c r="N598" s="364">
        <f t="shared" si="151"/>
        <v>56242.494000000006</v>
      </c>
      <c r="O598" s="364">
        <f t="shared" si="151"/>
        <v>58549.225350000001</v>
      </c>
      <c r="P598" s="364">
        <f t="shared" si="151"/>
        <v>53391.749950000005</v>
      </c>
      <c r="Q598" s="364">
        <f t="shared" si="151"/>
        <v>49580.157550000004</v>
      </c>
      <c r="R598" s="364">
        <f t="shared" si="152"/>
        <v>687134.5018999998</v>
      </c>
      <c r="S598" s="32"/>
      <c r="T598" s="32"/>
    </row>
    <row r="599" spans="1:20" x14ac:dyDescent="0.2">
      <c r="C599" s="32" t="s">
        <v>1093</v>
      </c>
      <c r="D599" s="444" t="s">
        <v>811</v>
      </c>
      <c r="F599" s="364">
        <f t="shared" si="151"/>
        <v>68798.166620000004</v>
      </c>
      <c r="G599" s="364">
        <f t="shared" si="151"/>
        <v>37913.849410000003</v>
      </c>
      <c r="H599" s="364">
        <f t="shared" si="151"/>
        <v>63918.988290000001</v>
      </c>
      <c r="I599" s="364">
        <f t="shared" si="151"/>
        <v>61327.037239999998</v>
      </c>
      <c r="J599" s="364">
        <f t="shared" si="151"/>
        <v>83204.492209999997</v>
      </c>
      <c r="K599" s="364">
        <f t="shared" si="151"/>
        <v>58199.621399999996</v>
      </c>
      <c r="L599" s="364">
        <f t="shared" si="151"/>
        <v>71017.436220000003</v>
      </c>
      <c r="M599" s="364">
        <f t="shared" si="151"/>
        <v>67406.077390000006</v>
      </c>
      <c r="N599" s="364">
        <f t="shared" si="151"/>
        <v>46860.248050000002</v>
      </c>
      <c r="O599" s="364">
        <f t="shared" si="151"/>
        <v>49118.840279999997</v>
      </c>
      <c r="P599" s="364">
        <f t="shared" si="151"/>
        <v>31936.021919999999</v>
      </c>
      <c r="Q599" s="364">
        <f t="shared" si="151"/>
        <v>43380.227229999997</v>
      </c>
      <c r="R599" s="364">
        <f t="shared" si="152"/>
        <v>683081.00625999994</v>
      </c>
      <c r="S599" s="32"/>
      <c r="T599" s="32"/>
    </row>
    <row r="600" spans="1:20" x14ac:dyDescent="0.2">
      <c r="A600" s="32" t="s">
        <v>1054</v>
      </c>
      <c r="C600" s="32" t="s">
        <v>1077</v>
      </c>
      <c r="F600" s="365">
        <f t="shared" ref="F600:Q600" si="153">SUM(F594:F599)</f>
        <v>239627.74538000001</v>
      </c>
      <c r="G600" s="365">
        <f t="shared" si="153"/>
        <v>207274.17887</v>
      </c>
      <c r="H600" s="365">
        <f t="shared" si="153"/>
        <v>233422.61741000001</v>
      </c>
      <c r="I600" s="365">
        <f t="shared" si="153"/>
        <v>233646.83457000001</v>
      </c>
      <c r="J600" s="365">
        <f t="shared" si="153"/>
        <v>257216.66518000001</v>
      </c>
      <c r="K600" s="365">
        <f t="shared" si="153"/>
        <v>230124.15902000002</v>
      </c>
      <c r="L600" s="365">
        <f t="shared" si="153"/>
        <v>245439.64365000001</v>
      </c>
      <c r="M600" s="365">
        <f t="shared" si="153"/>
        <v>255204.45448000001</v>
      </c>
      <c r="N600" s="365">
        <f t="shared" si="153"/>
        <v>229886.27017</v>
      </c>
      <c r="O600" s="365">
        <f t="shared" si="153"/>
        <v>233280.95378000001</v>
      </c>
      <c r="P600" s="365">
        <f t="shared" si="153"/>
        <v>196733.65505</v>
      </c>
      <c r="Q600" s="365">
        <f t="shared" si="153"/>
        <v>204253.27286</v>
      </c>
      <c r="R600" s="365">
        <f t="shared" si="152"/>
        <v>2766110.4504200006</v>
      </c>
      <c r="S600" s="32"/>
      <c r="T600" s="32"/>
    </row>
    <row r="601" spans="1:20" x14ac:dyDescent="0.2">
      <c r="A601" s="32" t="s">
        <v>1056</v>
      </c>
      <c r="B601" s="336" t="s">
        <v>1081</v>
      </c>
      <c r="D601" s="444" t="s">
        <v>811</v>
      </c>
      <c r="F601" s="365">
        <f t="shared" ref="F601:Q602" si="154">F574*F587</f>
        <v>5095.0815999999995</v>
      </c>
      <c r="G601" s="365">
        <f t="shared" si="154"/>
        <v>4030.7469999999998</v>
      </c>
      <c r="H601" s="365">
        <f t="shared" si="154"/>
        <v>4841.7067999999999</v>
      </c>
      <c r="I601" s="365">
        <f t="shared" si="154"/>
        <v>4800.8107</v>
      </c>
      <c r="J601" s="365">
        <f t="shared" si="154"/>
        <v>5578.7129999999997</v>
      </c>
      <c r="K601" s="365">
        <f t="shared" si="154"/>
        <v>4697.7286999999997</v>
      </c>
      <c r="L601" s="365">
        <f t="shared" si="154"/>
        <v>5110.0559999999996</v>
      </c>
      <c r="M601" s="365">
        <f t="shared" si="154"/>
        <v>5213.9696000000004</v>
      </c>
      <c r="N601" s="365">
        <f t="shared" si="154"/>
        <v>4413.1269000000002</v>
      </c>
      <c r="O601" s="365">
        <f t="shared" si="154"/>
        <v>4526.732</v>
      </c>
      <c r="P601" s="365">
        <f t="shared" si="154"/>
        <v>3706.9969999999998</v>
      </c>
      <c r="Q601" s="365">
        <f t="shared" si="154"/>
        <v>3971.1916999999999</v>
      </c>
      <c r="R601" s="365">
        <f t="shared" si="152"/>
        <v>55986.861000000012</v>
      </c>
      <c r="S601" s="32"/>
      <c r="T601" s="32"/>
    </row>
    <row r="602" spans="1:20" x14ac:dyDescent="0.2">
      <c r="A602" s="32" t="s">
        <v>1054</v>
      </c>
      <c r="B602" s="32" t="s">
        <v>1069</v>
      </c>
      <c r="D602" s="444" t="s">
        <v>811</v>
      </c>
      <c r="F602" s="364">
        <f t="shared" si="154"/>
        <v>43022.46</v>
      </c>
      <c r="G602" s="364">
        <f t="shared" si="154"/>
        <v>43022.46</v>
      </c>
      <c r="H602" s="364">
        <f t="shared" si="154"/>
        <v>43022.46</v>
      </c>
      <c r="I602" s="364">
        <f t="shared" si="154"/>
        <v>43022.46</v>
      </c>
      <c r="J602" s="364">
        <f t="shared" si="154"/>
        <v>43022.46</v>
      </c>
      <c r="K602" s="364">
        <f t="shared" si="154"/>
        <v>43022.46</v>
      </c>
      <c r="L602" s="364">
        <f t="shared" si="154"/>
        <v>43022.46</v>
      </c>
      <c r="M602" s="364">
        <f t="shared" si="154"/>
        <v>43022.46</v>
      </c>
      <c r="N602" s="364">
        <f t="shared" si="154"/>
        <v>43022.46</v>
      </c>
      <c r="O602" s="364">
        <f t="shared" si="154"/>
        <v>43022.46</v>
      </c>
      <c r="P602" s="364">
        <f t="shared" si="154"/>
        <v>43022.46</v>
      </c>
      <c r="Q602" s="364">
        <f t="shared" si="154"/>
        <v>43003.079999999994</v>
      </c>
      <c r="R602" s="364">
        <f>SUM(F602:Q602)</f>
        <v>516250.14000000007</v>
      </c>
      <c r="S602" s="32"/>
      <c r="T602" s="32"/>
    </row>
    <row r="603" spans="1:20" s="336" customFormat="1" x14ac:dyDescent="0.2">
      <c r="A603" s="336" t="s">
        <v>1054</v>
      </c>
      <c r="B603" s="336" t="s">
        <v>1071</v>
      </c>
      <c r="D603" s="444" t="s">
        <v>811</v>
      </c>
      <c r="F603" s="447">
        <f>'JKP-3.1c - Rev Actual Rates'!F614</f>
        <v>0</v>
      </c>
      <c r="G603" s="447">
        <f>'JKP-3.1c - Rev Actual Rates'!G614</f>
        <v>0</v>
      </c>
      <c r="H603" s="447">
        <f>'JKP-3.1c - Rev Actual Rates'!H614</f>
        <v>0</v>
      </c>
      <c r="I603" s="447">
        <f>'JKP-3.1c - Rev Actual Rates'!I614</f>
        <v>0</v>
      </c>
      <c r="J603" s="447">
        <f>'JKP-3.1c - Rev Actual Rates'!J614</f>
        <v>24448.23</v>
      </c>
      <c r="K603" s="447">
        <f>'JKP-3.1c - Rev Actual Rates'!K614</f>
        <v>0</v>
      </c>
      <c r="L603" s="447">
        <f>'JKP-3.1c - Rev Actual Rates'!L614</f>
        <v>30434.67</v>
      </c>
      <c r="M603" s="447">
        <f>'JKP-3.1c - Rev Actual Rates'!M614</f>
        <v>0</v>
      </c>
      <c r="N603" s="447">
        <f>'JKP-3.1c - Rev Actual Rates'!N614</f>
        <v>5142.2299999999996</v>
      </c>
      <c r="O603" s="447">
        <f>'JKP-3.1c - Rev Actual Rates'!O614</f>
        <v>0</v>
      </c>
      <c r="P603" s="447">
        <f>'JKP-3.1c - Rev Actual Rates'!P614</f>
        <v>6661.43</v>
      </c>
      <c r="Q603" s="447">
        <f>'JKP-3.1c - Rev Actual Rates'!Q614</f>
        <v>0</v>
      </c>
      <c r="R603" s="437">
        <f>SUM(F603:Q603)</f>
        <v>66686.559999999998</v>
      </c>
    </row>
    <row r="604" spans="1:20" x14ac:dyDescent="0.2">
      <c r="B604" s="32" t="s">
        <v>986</v>
      </c>
      <c r="F604" s="365">
        <f>F592+F600+F601+F602+F603</f>
        <v>297573.45698000002</v>
      </c>
      <c r="G604" s="365">
        <f t="shared" ref="G604:R604" si="155">G592+G600+G601+G602+G603</f>
        <v>264155.55587000004</v>
      </c>
      <c r="H604" s="365">
        <f t="shared" si="155"/>
        <v>291114.95421000005</v>
      </c>
      <c r="I604" s="365">
        <f t="shared" si="155"/>
        <v>291298.27527000004</v>
      </c>
      <c r="J604" s="365">
        <f t="shared" si="155"/>
        <v>340094.23817999999</v>
      </c>
      <c r="K604" s="365">
        <f t="shared" si="155"/>
        <v>287672.51772000006</v>
      </c>
      <c r="L604" s="365">
        <f t="shared" si="155"/>
        <v>333834.99965000001</v>
      </c>
      <c r="M604" s="365">
        <f t="shared" si="155"/>
        <v>313269.05408000003</v>
      </c>
      <c r="N604" s="365">
        <f t="shared" si="155"/>
        <v>292292.25706999999</v>
      </c>
      <c r="O604" s="365">
        <f t="shared" si="155"/>
        <v>290658.31578</v>
      </c>
      <c r="P604" s="365">
        <f t="shared" si="155"/>
        <v>259952.71205</v>
      </c>
      <c r="Q604" s="365">
        <f t="shared" si="155"/>
        <v>260162.24455999999</v>
      </c>
      <c r="R604" s="365">
        <f t="shared" si="155"/>
        <v>3522078.5814200006</v>
      </c>
      <c r="S604" s="32"/>
      <c r="T604" s="32"/>
    </row>
    <row r="605" spans="1:20" s="336" customFormat="1" x14ac:dyDescent="0.2">
      <c r="C605" s="387"/>
      <c r="F605" s="415"/>
      <c r="G605" s="415"/>
      <c r="H605" s="415"/>
      <c r="I605" s="415"/>
      <c r="J605" s="415"/>
    </row>
    <row r="606" spans="1:20" s="336" customFormat="1" x14ac:dyDescent="0.2">
      <c r="A606" s="336" t="s">
        <v>1058</v>
      </c>
      <c r="B606" s="336" t="s">
        <v>1050</v>
      </c>
      <c r="C606" s="387"/>
      <c r="F606" s="340">
        <f>F601</f>
        <v>5095.0815999999995</v>
      </c>
      <c r="G606" s="340">
        <f t="shared" ref="G606:Q606" si="156">G601</f>
        <v>4030.7469999999998</v>
      </c>
      <c r="H606" s="340">
        <f t="shared" si="156"/>
        <v>4841.7067999999999</v>
      </c>
      <c r="I606" s="340">
        <f t="shared" si="156"/>
        <v>4800.8107</v>
      </c>
      <c r="J606" s="340">
        <f t="shared" si="156"/>
        <v>5578.7129999999997</v>
      </c>
      <c r="K606" s="340">
        <f t="shared" si="156"/>
        <v>4697.7286999999997</v>
      </c>
      <c r="L606" s="340">
        <f t="shared" si="156"/>
        <v>5110.0559999999996</v>
      </c>
      <c r="M606" s="340">
        <f t="shared" si="156"/>
        <v>5213.9696000000004</v>
      </c>
      <c r="N606" s="340">
        <f t="shared" si="156"/>
        <v>4413.1269000000002</v>
      </c>
      <c r="O606" s="340">
        <f t="shared" si="156"/>
        <v>4526.732</v>
      </c>
      <c r="P606" s="340">
        <f t="shared" si="156"/>
        <v>3706.9969999999998</v>
      </c>
      <c r="Q606" s="340">
        <f t="shared" si="156"/>
        <v>3971.1916999999999</v>
      </c>
      <c r="R606" s="418">
        <f>SUM(F606:Q606)</f>
        <v>55986.861000000012</v>
      </c>
    </row>
    <row r="607" spans="1:20" s="336" customFormat="1" x14ac:dyDescent="0.2">
      <c r="C607" s="387"/>
      <c r="F607" s="415"/>
      <c r="G607" s="415"/>
      <c r="H607" s="415"/>
      <c r="I607" s="415"/>
      <c r="J607" s="415"/>
    </row>
    <row r="608" spans="1:20" x14ac:dyDescent="0.2">
      <c r="B608" s="276" t="s">
        <v>1107</v>
      </c>
    </row>
    <row r="609" spans="1:20" x14ac:dyDescent="0.2">
      <c r="B609" s="276" t="s">
        <v>5</v>
      </c>
    </row>
    <row r="610" spans="1:20" x14ac:dyDescent="0.2">
      <c r="B610" s="32" t="s">
        <v>1063</v>
      </c>
      <c r="D610" s="32">
        <v>61</v>
      </c>
      <c r="E610" s="32" t="s">
        <v>1108</v>
      </c>
      <c r="F610" s="414">
        <v>0.1</v>
      </c>
      <c r="G610" s="414">
        <v>0.1</v>
      </c>
      <c r="H610" s="414">
        <v>0.1</v>
      </c>
      <c r="I610" s="414">
        <v>0.1</v>
      </c>
      <c r="J610" s="414">
        <v>0.1</v>
      </c>
      <c r="K610" s="414">
        <v>0.1</v>
      </c>
      <c r="L610" s="414">
        <v>0.1</v>
      </c>
      <c r="M610" s="414">
        <v>0.1</v>
      </c>
      <c r="N610" s="414">
        <v>0.1</v>
      </c>
      <c r="O610" s="414">
        <v>0.1</v>
      </c>
      <c r="P610" s="414">
        <v>0.1</v>
      </c>
      <c r="Q610" s="414">
        <v>0.1</v>
      </c>
    </row>
    <row r="612" spans="1:20" x14ac:dyDescent="0.2">
      <c r="B612" s="276" t="s">
        <v>982</v>
      </c>
    </row>
    <row r="613" spans="1:20" s="336" customFormat="1" x14ac:dyDescent="0.2">
      <c r="B613" s="336" t="s">
        <v>74</v>
      </c>
      <c r="E613" s="336" t="s">
        <v>1064</v>
      </c>
      <c r="F613" s="421">
        <f>'JKP-3.1c - Data'!C130</f>
        <v>947</v>
      </c>
      <c r="G613" s="421">
        <f>'JKP-3.1c - Data'!D130</f>
        <v>947</v>
      </c>
      <c r="H613" s="421">
        <f>'JKP-3.1c - Data'!E130</f>
        <v>947</v>
      </c>
      <c r="I613" s="421">
        <f>'JKP-3.1c - Data'!F130</f>
        <v>947</v>
      </c>
      <c r="J613" s="421">
        <f>'JKP-3.1c - Data'!G130</f>
        <v>947</v>
      </c>
      <c r="K613" s="421">
        <f>'JKP-3.1c - Data'!H130</f>
        <v>947</v>
      </c>
      <c r="L613" s="421">
        <f>'JKP-3.1c - Data'!I130</f>
        <v>947</v>
      </c>
      <c r="M613" s="421">
        <f>'JKP-3.1c - Data'!J130</f>
        <v>947</v>
      </c>
      <c r="N613" s="421">
        <f>'JKP-3.1c - Data'!K130</f>
        <v>947</v>
      </c>
      <c r="O613" s="421">
        <f>'JKP-3.1c - Data'!L130</f>
        <v>947</v>
      </c>
      <c r="P613" s="421">
        <f>'JKP-3.1c - Data'!M130</f>
        <v>947</v>
      </c>
      <c r="Q613" s="421">
        <f>'JKP-3.1c - Data'!N130</f>
        <v>947</v>
      </c>
      <c r="R613" s="378">
        <f>SUM(F613:Q613)</f>
        <v>11364</v>
      </c>
      <c r="S613" s="335"/>
      <c r="T613" s="415"/>
    </row>
    <row r="615" spans="1:20" x14ac:dyDescent="0.2">
      <c r="B615" s="276" t="s">
        <v>985</v>
      </c>
    </row>
    <row r="616" spans="1:20" x14ac:dyDescent="0.2">
      <c r="A616" s="32" t="s">
        <v>1054</v>
      </c>
      <c r="B616" s="32" t="s">
        <v>1063</v>
      </c>
      <c r="F616" s="364">
        <f t="shared" ref="F616:Q616" si="157">F610*F613</f>
        <v>94.7</v>
      </c>
      <c r="G616" s="364">
        <f t="shared" si="157"/>
        <v>94.7</v>
      </c>
      <c r="H616" s="364">
        <f t="shared" si="157"/>
        <v>94.7</v>
      </c>
      <c r="I616" s="364">
        <f t="shared" si="157"/>
        <v>94.7</v>
      </c>
      <c r="J616" s="364">
        <f t="shared" si="157"/>
        <v>94.7</v>
      </c>
      <c r="K616" s="364">
        <f t="shared" si="157"/>
        <v>94.7</v>
      </c>
      <c r="L616" s="364">
        <f t="shared" si="157"/>
        <v>94.7</v>
      </c>
      <c r="M616" s="364">
        <f t="shared" si="157"/>
        <v>94.7</v>
      </c>
      <c r="N616" s="364">
        <f t="shared" si="157"/>
        <v>94.7</v>
      </c>
      <c r="O616" s="364">
        <f t="shared" si="157"/>
        <v>94.7</v>
      </c>
      <c r="P616" s="364">
        <f t="shared" si="157"/>
        <v>94.7</v>
      </c>
      <c r="Q616" s="364">
        <f t="shared" si="157"/>
        <v>94.7</v>
      </c>
      <c r="R616" s="364">
        <f>SUM(F616:Q616)</f>
        <v>1136.4000000000003</v>
      </c>
    </row>
    <row r="618" spans="1:20" x14ac:dyDescent="0.2">
      <c r="B618" s="276" t="s">
        <v>1109</v>
      </c>
      <c r="C618" s="276"/>
    </row>
    <row r="619" spans="1:20" x14ac:dyDescent="0.2">
      <c r="B619" s="276" t="s">
        <v>5</v>
      </c>
      <c r="C619" s="276"/>
    </row>
    <row r="620" spans="1:20" x14ac:dyDescent="0.2">
      <c r="B620" s="32" t="s">
        <v>1059</v>
      </c>
      <c r="D620" s="32">
        <v>85</v>
      </c>
      <c r="E620" s="32" t="s">
        <v>976</v>
      </c>
      <c r="F620" s="413">
        <f t="shared" ref="F620:Q620" si="158">F261</f>
        <v>558.67999999999995</v>
      </c>
      <c r="G620" s="413">
        <f t="shared" si="158"/>
        <v>558.67999999999995</v>
      </c>
      <c r="H620" s="413">
        <f t="shared" si="158"/>
        <v>558.67999999999995</v>
      </c>
      <c r="I620" s="413">
        <f t="shared" si="158"/>
        <v>558.67999999999995</v>
      </c>
      <c r="J620" s="413">
        <f t="shared" si="158"/>
        <v>558.67999999999995</v>
      </c>
      <c r="K620" s="413">
        <f t="shared" si="158"/>
        <v>558.67999999999995</v>
      </c>
      <c r="L620" s="413">
        <f t="shared" si="158"/>
        <v>558.67999999999995</v>
      </c>
      <c r="M620" s="413">
        <f t="shared" si="158"/>
        <v>558.67999999999995</v>
      </c>
      <c r="N620" s="413">
        <f t="shared" si="158"/>
        <v>558.67999999999995</v>
      </c>
      <c r="O620" s="413">
        <f t="shared" si="158"/>
        <v>558.67999999999995</v>
      </c>
      <c r="P620" s="413">
        <f t="shared" si="158"/>
        <v>558.67999999999995</v>
      </c>
      <c r="Q620" s="413">
        <f t="shared" si="158"/>
        <v>558.67999999999995</v>
      </c>
      <c r="R620" s="439"/>
    </row>
    <row r="621" spans="1:20" x14ac:dyDescent="0.2">
      <c r="B621" s="32" t="s">
        <v>1047</v>
      </c>
      <c r="F621" s="393"/>
      <c r="G621" s="393"/>
      <c r="H621" s="393"/>
      <c r="I621" s="393"/>
      <c r="J621" s="393"/>
      <c r="K621" s="393"/>
      <c r="L621" s="393"/>
      <c r="M621" s="393"/>
      <c r="N621" s="393"/>
      <c r="O621" s="393"/>
      <c r="P621" s="393"/>
      <c r="Q621" s="393"/>
      <c r="R621" s="394"/>
    </row>
    <row r="622" spans="1:20" x14ac:dyDescent="0.2">
      <c r="C622" s="32" t="s">
        <v>1086</v>
      </c>
      <c r="D622" s="32">
        <v>85</v>
      </c>
      <c r="E622" s="32" t="s">
        <v>957</v>
      </c>
      <c r="F622" s="393">
        <f t="shared" ref="F622:Q626" si="159">F263</f>
        <v>0.10491</v>
      </c>
      <c r="G622" s="393">
        <f t="shared" si="159"/>
        <v>0.10491</v>
      </c>
      <c r="H622" s="393">
        <f t="shared" si="159"/>
        <v>0.10491</v>
      </c>
      <c r="I622" s="393">
        <f t="shared" si="159"/>
        <v>0.10491</v>
      </c>
      <c r="J622" s="393">
        <f t="shared" si="159"/>
        <v>0.10491</v>
      </c>
      <c r="K622" s="393">
        <f t="shared" si="159"/>
        <v>0.10491</v>
      </c>
      <c r="L622" s="393">
        <f t="shared" si="159"/>
        <v>0.10491</v>
      </c>
      <c r="M622" s="393">
        <f t="shared" si="159"/>
        <v>0.10491</v>
      </c>
      <c r="N622" s="393">
        <f t="shared" si="159"/>
        <v>0.10491</v>
      </c>
      <c r="O622" s="393">
        <f t="shared" si="159"/>
        <v>0.10491</v>
      </c>
      <c r="P622" s="393">
        <f t="shared" si="159"/>
        <v>0.10491</v>
      </c>
      <c r="Q622" s="393">
        <f t="shared" si="159"/>
        <v>0.10491</v>
      </c>
      <c r="R622" s="394"/>
    </row>
    <row r="623" spans="1:20" x14ac:dyDescent="0.2">
      <c r="C623" s="32" t="s">
        <v>1087</v>
      </c>
      <c r="D623" s="32">
        <v>85</v>
      </c>
      <c r="E623" s="32" t="s">
        <v>957</v>
      </c>
      <c r="F623" s="393">
        <f t="shared" si="159"/>
        <v>5.3780000000000001E-2</v>
      </c>
      <c r="G623" s="393">
        <f t="shared" si="159"/>
        <v>5.3780000000000001E-2</v>
      </c>
      <c r="H623" s="393">
        <f t="shared" si="159"/>
        <v>5.3780000000000001E-2</v>
      </c>
      <c r="I623" s="393">
        <f t="shared" si="159"/>
        <v>5.3780000000000001E-2</v>
      </c>
      <c r="J623" s="393">
        <f t="shared" si="159"/>
        <v>5.3780000000000001E-2</v>
      </c>
      <c r="K623" s="393">
        <f t="shared" si="159"/>
        <v>5.3780000000000001E-2</v>
      </c>
      <c r="L623" s="393">
        <f t="shared" si="159"/>
        <v>5.3780000000000001E-2</v>
      </c>
      <c r="M623" s="393">
        <f t="shared" si="159"/>
        <v>5.3780000000000001E-2</v>
      </c>
      <c r="N623" s="393">
        <f t="shared" si="159"/>
        <v>5.3780000000000001E-2</v>
      </c>
      <c r="O623" s="393">
        <f t="shared" si="159"/>
        <v>5.3780000000000001E-2</v>
      </c>
      <c r="P623" s="393">
        <f t="shared" si="159"/>
        <v>5.3780000000000001E-2</v>
      </c>
      <c r="Q623" s="393">
        <f t="shared" si="159"/>
        <v>5.3780000000000001E-2</v>
      </c>
      <c r="R623" s="394"/>
    </row>
    <row r="624" spans="1:20" x14ac:dyDescent="0.2">
      <c r="C624" s="32" t="s">
        <v>1088</v>
      </c>
      <c r="D624" s="32">
        <v>85</v>
      </c>
      <c r="E624" s="32" t="s">
        <v>957</v>
      </c>
      <c r="F624" s="393">
        <f t="shared" si="159"/>
        <v>5.1619999999999999E-2</v>
      </c>
      <c r="G624" s="393">
        <f t="shared" si="159"/>
        <v>5.1619999999999999E-2</v>
      </c>
      <c r="H624" s="393">
        <f t="shared" si="159"/>
        <v>5.1619999999999999E-2</v>
      </c>
      <c r="I624" s="393">
        <f t="shared" si="159"/>
        <v>5.1619999999999999E-2</v>
      </c>
      <c r="J624" s="393">
        <f t="shared" si="159"/>
        <v>5.1619999999999999E-2</v>
      </c>
      <c r="K624" s="393">
        <f t="shared" si="159"/>
        <v>5.1619999999999999E-2</v>
      </c>
      <c r="L624" s="393">
        <f t="shared" si="159"/>
        <v>5.1619999999999999E-2</v>
      </c>
      <c r="M624" s="393">
        <f t="shared" si="159"/>
        <v>5.1619999999999999E-2</v>
      </c>
      <c r="N624" s="393">
        <f t="shared" si="159"/>
        <v>5.1619999999999999E-2</v>
      </c>
      <c r="O624" s="393">
        <f t="shared" si="159"/>
        <v>5.1619999999999999E-2</v>
      </c>
      <c r="P624" s="393">
        <f t="shared" si="159"/>
        <v>5.1619999999999999E-2</v>
      </c>
      <c r="Q624" s="393">
        <f t="shared" si="159"/>
        <v>5.1619999999999999E-2</v>
      </c>
      <c r="R624" s="394"/>
    </row>
    <row r="625" spans="2:20" x14ac:dyDescent="0.2">
      <c r="B625" s="32" t="s">
        <v>1067</v>
      </c>
      <c r="D625" s="32">
        <v>101</v>
      </c>
      <c r="E625" s="32" t="s">
        <v>957</v>
      </c>
      <c r="F625" s="393">
        <f t="shared" si="159"/>
        <v>0.66125</v>
      </c>
      <c r="G625" s="393">
        <f t="shared" si="159"/>
        <v>0.66125</v>
      </c>
      <c r="H625" s="393">
        <f t="shared" si="159"/>
        <v>0.66125</v>
      </c>
      <c r="I625" s="393">
        <f t="shared" si="159"/>
        <v>0.66125</v>
      </c>
      <c r="J625" s="393">
        <f t="shared" si="159"/>
        <v>0.66125</v>
      </c>
      <c r="K625" s="393">
        <f t="shared" si="159"/>
        <v>0.66125</v>
      </c>
      <c r="L625" s="393">
        <f t="shared" si="159"/>
        <v>0.66125</v>
      </c>
      <c r="M625" s="393">
        <f t="shared" si="159"/>
        <v>0.66125</v>
      </c>
      <c r="N625" s="393">
        <f t="shared" si="159"/>
        <v>0.66125</v>
      </c>
      <c r="O625" s="393">
        <f t="shared" si="159"/>
        <v>0.66125</v>
      </c>
      <c r="P625" s="393">
        <f t="shared" si="159"/>
        <v>0.66125</v>
      </c>
      <c r="Q625" s="393">
        <f t="shared" si="159"/>
        <v>0.66125</v>
      </c>
      <c r="R625" s="394"/>
    </row>
    <row r="626" spans="2:20" x14ac:dyDescent="0.2">
      <c r="B626" s="32" t="s">
        <v>1096</v>
      </c>
      <c r="D626" s="444">
        <v>85</v>
      </c>
      <c r="E626" s="32" t="s">
        <v>957</v>
      </c>
      <c r="F626" s="393">
        <f t="shared" si="159"/>
        <v>6.7600000000000004E-3</v>
      </c>
      <c r="G626" s="393">
        <f t="shared" si="159"/>
        <v>6.7600000000000004E-3</v>
      </c>
      <c r="H626" s="393">
        <f t="shared" si="159"/>
        <v>6.7600000000000004E-3</v>
      </c>
      <c r="I626" s="393">
        <f t="shared" si="159"/>
        <v>6.7600000000000004E-3</v>
      </c>
      <c r="J626" s="393">
        <f t="shared" si="159"/>
        <v>6.7600000000000004E-3</v>
      </c>
      <c r="K626" s="393">
        <f t="shared" si="159"/>
        <v>6.7600000000000004E-3</v>
      </c>
      <c r="L626" s="393">
        <f t="shared" si="159"/>
        <v>6.7600000000000004E-3</v>
      </c>
      <c r="M626" s="393">
        <f t="shared" si="159"/>
        <v>6.7600000000000004E-3</v>
      </c>
      <c r="N626" s="393">
        <f t="shared" si="159"/>
        <v>6.7600000000000004E-3</v>
      </c>
      <c r="O626" s="393">
        <f t="shared" si="159"/>
        <v>6.7600000000000004E-3</v>
      </c>
      <c r="P626" s="393">
        <f t="shared" si="159"/>
        <v>6.7600000000000004E-3</v>
      </c>
      <c r="Q626" s="393">
        <f t="shared" si="159"/>
        <v>6.7600000000000004E-3</v>
      </c>
      <c r="R626" s="394"/>
    </row>
    <row r="627" spans="2:20" x14ac:dyDescent="0.2">
      <c r="B627" s="32" t="s">
        <v>1068</v>
      </c>
      <c r="F627" s="394"/>
      <c r="G627" s="394"/>
      <c r="H627" s="394"/>
      <c r="I627" s="394"/>
      <c r="J627" s="394"/>
      <c r="K627" s="394"/>
      <c r="L627" s="394"/>
      <c r="M627" s="394"/>
      <c r="N627" s="394"/>
      <c r="O627" s="394"/>
      <c r="P627" s="394"/>
      <c r="Q627" s="394"/>
      <c r="R627" s="394"/>
    </row>
    <row r="628" spans="2:20" x14ac:dyDescent="0.2">
      <c r="C628" s="32" t="s">
        <v>1069</v>
      </c>
      <c r="D628" s="32">
        <v>86</v>
      </c>
      <c r="E628" s="32" t="s">
        <v>957</v>
      </c>
      <c r="F628" s="454">
        <f t="shared" ref="F628:Q629" si="160">F269</f>
        <v>1.1399999999999999</v>
      </c>
      <c r="G628" s="454">
        <f t="shared" si="160"/>
        <v>1.1399999999999999</v>
      </c>
      <c r="H628" s="454">
        <f t="shared" si="160"/>
        <v>1.1399999999999999</v>
      </c>
      <c r="I628" s="454">
        <f t="shared" si="160"/>
        <v>1.1399999999999999</v>
      </c>
      <c r="J628" s="454">
        <f t="shared" si="160"/>
        <v>1.1399999999999999</v>
      </c>
      <c r="K628" s="454">
        <f t="shared" si="160"/>
        <v>1.1399999999999999</v>
      </c>
      <c r="L628" s="454">
        <f t="shared" si="160"/>
        <v>1.1399999999999999</v>
      </c>
      <c r="M628" s="454">
        <f t="shared" si="160"/>
        <v>1.1399999999999999</v>
      </c>
      <c r="N628" s="454">
        <f t="shared" si="160"/>
        <v>1.1399999999999999</v>
      </c>
      <c r="O628" s="454">
        <f t="shared" si="160"/>
        <v>1.1399999999999999</v>
      </c>
      <c r="P628" s="454">
        <f t="shared" si="160"/>
        <v>1.1399999999999999</v>
      </c>
      <c r="Q628" s="454">
        <f t="shared" si="160"/>
        <v>1.1399999999999999</v>
      </c>
      <c r="R628" s="394"/>
    </row>
    <row r="629" spans="2:20" s="336" customFormat="1" x14ac:dyDescent="0.2">
      <c r="C629" s="336" t="s">
        <v>1070</v>
      </c>
      <c r="D629" s="336">
        <v>101</v>
      </c>
      <c r="E629" s="336" t="s">
        <v>957</v>
      </c>
      <c r="F629" s="450">
        <f t="shared" si="160"/>
        <v>1.05</v>
      </c>
      <c r="G629" s="450">
        <f t="shared" si="160"/>
        <v>1.05</v>
      </c>
      <c r="H629" s="450">
        <f t="shared" si="160"/>
        <v>1.05</v>
      </c>
      <c r="I629" s="450">
        <f t="shared" si="160"/>
        <v>1.05</v>
      </c>
      <c r="J629" s="450">
        <f t="shared" si="160"/>
        <v>1.05</v>
      </c>
      <c r="K629" s="450">
        <f t="shared" si="160"/>
        <v>1.05</v>
      </c>
      <c r="L629" s="450">
        <f t="shared" si="160"/>
        <v>1.05</v>
      </c>
      <c r="M629" s="450">
        <f t="shared" si="160"/>
        <v>1.05</v>
      </c>
      <c r="N629" s="450">
        <f t="shared" si="160"/>
        <v>1.05</v>
      </c>
      <c r="O629" s="450">
        <f t="shared" si="160"/>
        <v>1.05</v>
      </c>
      <c r="P629" s="450">
        <f t="shared" si="160"/>
        <v>1.05</v>
      </c>
      <c r="Q629" s="450">
        <f t="shared" si="160"/>
        <v>1.05</v>
      </c>
      <c r="R629" s="441"/>
      <c r="S629" s="335"/>
      <c r="T629" s="415"/>
    </row>
    <row r="630" spans="2:20" s="336" customFormat="1" x14ac:dyDescent="0.2">
      <c r="B630" s="336" t="s">
        <v>1071</v>
      </c>
      <c r="D630" s="336">
        <v>85</v>
      </c>
      <c r="E630" s="336" t="s">
        <v>67</v>
      </c>
      <c r="F630" s="450"/>
      <c r="G630" s="450"/>
      <c r="H630" s="442"/>
      <c r="I630" s="450"/>
      <c r="J630" s="450"/>
      <c r="K630" s="450"/>
      <c r="L630" s="450"/>
      <c r="M630" s="450"/>
      <c r="N630" s="450"/>
      <c r="O630" s="450"/>
      <c r="P630" s="450"/>
      <c r="Q630" s="450"/>
      <c r="R630" s="441"/>
      <c r="S630" s="335"/>
      <c r="T630" s="415"/>
    </row>
    <row r="631" spans="2:20" s="336" customFormat="1" x14ac:dyDescent="0.2">
      <c r="B631" s="336" t="s">
        <v>1050</v>
      </c>
      <c r="F631" s="393">
        <f>F272</f>
        <v>0.63265000000000005</v>
      </c>
      <c r="G631" s="393">
        <f t="shared" ref="G631:Q632" si="161">G272</f>
        <v>0.63265000000000005</v>
      </c>
      <c r="H631" s="393">
        <f t="shared" si="161"/>
        <v>0.63265000000000005</v>
      </c>
      <c r="I631" s="393">
        <f t="shared" si="161"/>
        <v>0.63265000000000005</v>
      </c>
      <c r="J631" s="393">
        <f t="shared" si="161"/>
        <v>0.63265000000000005</v>
      </c>
      <c r="K631" s="393">
        <f t="shared" si="161"/>
        <v>0.63265000000000005</v>
      </c>
      <c r="L631" s="393">
        <f t="shared" si="161"/>
        <v>0.63265000000000005</v>
      </c>
      <c r="M631" s="393">
        <f t="shared" si="161"/>
        <v>0.63265000000000005</v>
      </c>
      <c r="N631" s="393">
        <f t="shared" si="161"/>
        <v>0.63265000000000005</v>
      </c>
      <c r="O631" s="393">
        <f t="shared" si="161"/>
        <v>0.63265000000000005</v>
      </c>
      <c r="P631" s="393">
        <f t="shared" si="161"/>
        <v>0.63265000000000005</v>
      </c>
      <c r="Q631" s="393">
        <f t="shared" si="161"/>
        <v>0.63265000000000005</v>
      </c>
      <c r="R631" s="441"/>
      <c r="S631" s="335"/>
      <c r="T631" s="415"/>
    </row>
    <row r="632" spans="2:20" s="336" customFormat="1" x14ac:dyDescent="0.2">
      <c r="B632" s="336" t="s">
        <v>1072</v>
      </c>
      <c r="F632" s="502">
        <f>F273</f>
        <v>1</v>
      </c>
      <c r="G632" s="502">
        <f t="shared" si="161"/>
        <v>1</v>
      </c>
      <c r="H632" s="502">
        <f t="shared" si="161"/>
        <v>1</v>
      </c>
      <c r="I632" s="502">
        <f t="shared" si="161"/>
        <v>1</v>
      </c>
      <c r="J632" s="502">
        <f t="shared" si="161"/>
        <v>1</v>
      </c>
      <c r="K632" s="502">
        <f t="shared" si="161"/>
        <v>1</v>
      </c>
      <c r="L632" s="502">
        <f t="shared" si="161"/>
        <v>1</v>
      </c>
      <c r="M632" s="502">
        <f t="shared" si="161"/>
        <v>1</v>
      </c>
      <c r="N632" s="502">
        <f t="shared" si="161"/>
        <v>1</v>
      </c>
      <c r="O632" s="502">
        <f t="shared" si="161"/>
        <v>1</v>
      </c>
      <c r="P632" s="502">
        <f t="shared" si="161"/>
        <v>1</v>
      </c>
      <c r="Q632" s="502">
        <f t="shared" si="161"/>
        <v>1</v>
      </c>
      <c r="R632" s="441"/>
      <c r="S632" s="335"/>
      <c r="T632" s="415"/>
    </row>
    <row r="633" spans="2:20" s="336" customFormat="1" x14ac:dyDescent="0.2">
      <c r="S633" s="335"/>
      <c r="T633" s="415"/>
    </row>
    <row r="634" spans="2:20" s="336" customFormat="1" x14ac:dyDescent="0.2">
      <c r="B634" s="182" t="s">
        <v>982</v>
      </c>
      <c r="S634" s="335"/>
      <c r="T634" s="415"/>
    </row>
    <row r="635" spans="2:20" s="336" customFormat="1" x14ac:dyDescent="0.2">
      <c r="B635" s="336" t="s">
        <v>67</v>
      </c>
      <c r="E635" s="336" t="s">
        <v>67</v>
      </c>
      <c r="F635" s="421">
        <f>'JKP-3.1c - Data'!C147</f>
        <v>9</v>
      </c>
      <c r="G635" s="421">
        <f>'JKP-3.1c - Data'!D147</f>
        <v>9</v>
      </c>
      <c r="H635" s="421">
        <f>'JKP-3.1c - Data'!E147</f>
        <v>9</v>
      </c>
      <c r="I635" s="421">
        <f>'JKP-3.1c - Data'!F147</f>
        <v>9</v>
      </c>
      <c r="J635" s="421">
        <f>'JKP-3.1c - Data'!G147</f>
        <v>8</v>
      </c>
      <c r="K635" s="421">
        <f>'JKP-3.1c - Data'!H147</f>
        <v>8</v>
      </c>
      <c r="L635" s="421">
        <f>'JKP-3.1c - Data'!I147</f>
        <v>8</v>
      </c>
      <c r="M635" s="421">
        <f>'JKP-3.1c - Data'!J147</f>
        <v>8</v>
      </c>
      <c r="N635" s="421">
        <f>'JKP-3.1c - Data'!K147</f>
        <v>8</v>
      </c>
      <c r="O635" s="421">
        <f>'JKP-3.1c - Data'!L147</f>
        <v>8</v>
      </c>
      <c r="P635" s="421">
        <f>'JKP-3.1c - Data'!M147</f>
        <v>8</v>
      </c>
      <c r="Q635" s="421">
        <f>'JKP-3.1c - Data'!N147</f>
        <v>8</v>
      </c>
      <c r="R635" s="378">
        <f>SUM(F635:Q635)</f>
        <v>100</v>
      </c>
      <c r="S635" s="335"/>
      <c r="T635" s="415"/>
    </row>
    <row r="636" spans="2:20" s="336" customFormat="1" x14ac:dyDescent="0.2">
      <c r="B636" s="336" t="s">
        <v>76</v>
      </c>
      <c r="F636" s="380"/>
      <c r="G636" s="380"/>
      <c r="H636" s="380"/>
      <c r="I636" s="380"/>
      <c r="J636" s="380"/>
      <c r="K636" s="380"/>
      <c r="L636" s="380"/>
      <c r="M636" s="380"/>
      <c r="N636" s="380"/>
      <c r="O636" s="380"/>
      <c r="P636" s="380"/>
      <c r="Q636" s="380"/>
      <c r="R636" s="378"/>
      <c r="S636" s="335"/>
      <c r="T636" s="415"/>
    </row>
    <row r="637" spans="2:20" s="336" customFormat="1" x14ac:dyDescent="0.2">
      <c r="C637" s="336" t="s">
        <v>1086</v>
      </c>
      <c r="E637" s="336" t="s">
        <v>10</v>
      </c>
      <c r="F637" s="421">
        <f>'JKP-3.1c - Rev Actual Rates'!F648</f>
        <v>159808</v>
      </c>
      <c r="G637" s="421">
        <f>'JKP-3.1c - Rev Actual Rates'!G648</f>
        <v>159616</v>
      </c>
      <c r="H637" s="421">
        <f>'JKP-3.1c - Rev Actual Rates'!H648</f>
        <v>164262</v>
      </c>
      <c r="I637" s="421">
        <f>'JKP-3.1c - Rev Actual Rates'!I648</f>
        <v>164862</v>
      </c>
      <c r="J637" s="421">
        <f>'JKP-3.1c - Rev Actual Rates'!J648</f>
        <v>154196</v>
      </c>
      <c r="K637" s="421">
        <f>'JKP-3.1c - Rev Actual Rates'!K648</f>
        <v>159226</v>
      </c>
      <c r="L637" s="421">
        <f>'JKP-3.1c - Rev Actual Rates'!L648</f>
        <v>151099</v>
      </c>
      <c r="M637" s="421">
        <f>'JKP-3.1c - Rev Actual Rates'!M648</f>
        <v>178864</v>
      </c>
      <c r="N637" s="421">
        <f>'JKP-3.1c - Rev Actual Rates'!N648</f>
        <v>181777</v>
      </c>
      <c r="O637" s="421">
        <f>'JKP-3.1c - Rev Actual Rates'!O648</f>
        <v>161297</v>
      </c>
      <c r="P637" s="421">
        <f>'JKP-3.1c - Rev Actual Rates'!P648</f>
        <v>160388</v>
      </c>
      <c r="Q637" s="421">
        <f>'JKP-3.1c - Rev Actual Rates'!Q648</f>
        <v>157636</v>
      </c>
      <c r="R637" s="378">
        <f>SUM(F637:Q637)</f>
        <v>1953031</v>
      </c>
      <c r="S637" s="335"/>
      <c r="T637" s="415"/>
    </row>
    <row r="638" spans="2:20" s="336" customFormat="1" x14ac:dyDescent="0.2">
      <c r="C638" s="336" t="s">
        <v>1087</v>
      </c>
      <c r="E638" s="336" t="s">
        <v>10</v>
      </c>
      <c r="F638" s="421">
        <f>'JKP-3.1c - Rev Actual Rates'!F649</f>
        <v>60257</v>
      </c>
      <c r="G638" s="421">
        <f>'JKP-3.1c - Rev Actual Rates'!G649</f>
        <v>48921</v>
      </c>
      <c r="H638" s="421">
        <f>'JKP-3.1c - Rev Actual Rates'!H649</f>
        <v>59228</v>
      </c>
      <c r="I638" s="421">
        <f>'JKP-3.1c - Rev Actual Rates'!I649</f>
        <v>53424</v>
      </c>
      <c r="J638" s="421">
        <f>'JKP-3.1c - Rev Actual Rates'!J649</f>
        <v>56923</v>
      </c>
      <c r="K638" s="421">
        <f>'JKP-3.1c - Rev Actual Rates'!K649</f>
        <v>46744</v>
      </c>
      <c r="L638" s="421">
        <f>'JKP-3.1c - Rev Actual Rates'!L649</f>
        <v>41570</v>
      </c>
      <c r="M638" s="421">
        <f>'JKP-3.1c - Rev Actual Rates'!M649</f>
        <v>57731</v>
      </c>
      <c r="N638" s="421">
        <f>'JKP-3.1c - Rev Actual Rates'!N649</f>
        <v>56825</v>
      </c>
      <c r="O638" s="421">
        <f>'JKP-3.1c - Rev Actual Rates'!O649</f>
        <v>55501</v>
      </c>
      <c r="P638" s="421">
        <f>'JKP-3.1c - Rev Actual Rates'!P649</f>
        <v>54110</v>
      </c>
      <c r="Q638" s="421">
        <f>'JKP-3.1c - Rev Actual Rates'!Q649</f>
        <v>62037</v>
      </c>
      <c r="R638" s="378">
        <f>SUM(F638:Q638)</f>
        <v>653271</v>
      </c>
      <c r="S638" s="335"/>
      <c r="T638" s="415"/>
    </row>
    <row r="639" spans="2:20" s="336" customFormat="1" x14ac:dyDescent="0.2">
      <c r="C639" s="336" t="s">
        <v>1088</v>
      </c>
      <c r="E639" s="336" t="s">
        <v>10</v>
      </c>
      <c r="F639" s="421">
        <f>'JKP-3.1c - Rev Actual Rates'!F650</f>
        <v>23960</v>
      </c>
      <c r="G639" s="421">
        <f>'JKP-3.1c - Rev Actual Rates'!G650</f>
        <v>21900</v>
      </c>
      <c r="H639" s="421">
        <f>'JKP-3.1c - Rev Actual Rates'!H650</f>
        <v>26820</v>
      </c>
      <c r="I639" s="421">
        <f>'JKP-3.1c - Rev Actual Rates'!I650</f>
        <v>20124</v>
      </c>
      <c r="J639" s="421">
        <f>'JKP-3.1c - Rev Actual Rates'!J650</f>
        <v>20670</v>
      </c>
      <c r="K639" s="421">
        <f>'JKP-3.1c - Rev Actual Rates'!K650</f>
        <v>17495</v>
      </c>
      <c r="L639" s="421">
        <f>'JKP-3.1c - Rev Actual Rates'!L650</f>
        <v>18186</v>
      </c>
      <c r="M639" s="421">
        <f>'JKP-3.1c - Rev Actual Rates'!M650</f>
        <v>18232</v>
      </c>
      <c r="N639" s="421">
        <f>'JKP-3.1c - Rev Actual Rates'!N650</f>
        <v>15187</v>
      </c>
      <c r="O639" s="421">
        <f>'JKP-3.1c - Rev Actual Rates'!O650</f>
        <v>19817</v>
      </c>
      <c r="P639" s="421">
        <f>'JKP-3.1c - Rev Actual Rates'!P650</f>
        <v>23562</v>
      </c>
      <c r="Q639" s="421">
        <f>'JKP-3.1c - Rev Actual Rates'!Q650</f>
        <v>29857</v>
      </c>
      <c r="R639" s="378">
        <f>SUM(F639:Q639)</f>
        <v>255810</v>
      </c>
      <c r="S639" s="335"/>
      <c r="T639" s="415"/>
    </row>
    <row r="640" spans="2:20" s="336" customFormat="1" x14ac:dyDescent="0.2">
      <c r="C640" s="336" t="s">
        <v>1075</v>
      </c>
      <c r="E640" s="336" t="s">
        <v>10</v>
      </c>
      <c r="F640" s="436">
        <f t="shared" ref="F640:R640" si="162">SUM(F637:F639)</f>
        <v>244025</v>
      </c>
      <c r="G640" s="436">
        <f t="shared" si="162"/>
        <v>230437</v>
      </c>
      <c r="H640" s="436">
        <f t="shared" si="162"/>
        <v>250310</v>
      </c>
      <c r="I640" s="436">
        <f t="shared" si="162"/>
        <v>238410</v>
      </c>
      <c r="J640" s="436">
        <f t="shared" si="162"/>
        <v>231789</v>
      </c>
      <c r="K640" s="436">
        <f t="shared" si="162"/>
        <v>223465</v>
      </c>
      <c r="L640" s="436">
        <f t="shared" si="162"/>
        <v>210855</v>
      </c>
      <c r="M640" s="436">
        <f t="shared" si="162"/>
        <v>254827</v>
      </c>
      <c r="N640" s="436">
        <f t="shared" si="162"/>
        <v>253789</v>
      </c>
      <c r="O640" s="436">
        <f t="shared" si="162"/>
        <v>236615</v>
      </c>
      <c r="P640" s="436">
        <f t="shared" si="162"/>
        <v>238060</v>
      </c>
      <c r="Q640" s="436">
        <f t="shared" si="162"/>
        <v>249530</v>
      </c>
      <c r="R640" s="436">
        <f t="shared" si="162"/>
        <v>2862112</v>
      </c>
      <c r="S640" s="335"/>
      <c r="T640" s="415"/>
    </row>
    <row r="641" spans="1:20" s="336" customFormat="1" x14ac:dyDescent="0.2">
      <c r="B641" s="336" t="s">
        <v>74</v>
      </c>
      <c r="E641" s="336" t="s">
        <v>1076</v>
      </c>
      <c r="F641" s="421">
        <f>'JKP-3.1c - Rev Actual Rates'!F652</f>
        <v>2443</v>
      </c>
      <c r="G641" s="421">
        <f>'JKP-3.1c - Rev Actual Rates'!G652</f>
        <v>2443</v>
      </c>
      <c r="H641" s="421">
        <f>'JKP-3.1c - Rev Actual Rates'!H652</f>
        <v>2443</v>
      </c>
      <c r="I641" s="421">
        <f>'JKP-3.1c - Rev Actual Rates'!I652</f>
        <v>2443</v>
      </c>
      <c r="J641" s="421">
        <f>'JKP-3.1c - Rev Actual Rates'!J652</f>
        <v>2443</v>
      </c>
      <c r="K641" s="421">
        <f>'JKP-3.1c - Rev Actual Rates'!K652</f>
        <v>2443</v>
      </c>
      <c r="L641" s="421">
        <f>'JKP-3.1c - Rev Actual Rates'!L652</f>
        <v>2443</v>
      </c>
      <c r="M641" s="421">
        <f>'JKP-3.1c - Rev Actual Rates'!M652</f>
        <v>2443</v>
      </c>
      <c r="N641" s="421">
        <f>'JKP-3.1c - Rev Actual Rates'!N652</f>
        <v>2443</v>
      </c>
      <c r="O641" s="421">
        <f>'JKP-3.1c - Rev Actual Rates'!O652</f>
        <v>2443</v>
      </c>
      <c r="P641" s="421">
        <f>'JKP-3.1c - Rev Actual Rates'!P652</f>
        <v>2443</v>
      </c>
      <c r="Q641" s="421">
        <f>'JKP-3.1c - Rev Actual Rates'!Q652</f>
        <v>2443</v>
      </c>
      <c r="R641" s="378">
        <f>SUM(F641:Q641)</f>
        <v>29316</v>
      </c>
      <c r="S641" s="335"/>
      <c r="T641" s="415"/>
    </row>
    <row r="642" spans="1:20" s="336" customFormat="1" x14ac:dyDescent="0.2">
      <c r="B642" s="336" t="s">
        <v>1071</v>
      </c>
      <c r="F642" s="380"/>
      <c r="G642" s="380"/>
      <c r="H642" s="380"/>
      <c r="I642" s="380"/>
      <c r="J642" s="380"/>
      <c r="K642" s="380"/>
      <c r="L642" s="380"/>
      <c r="M642" s="380"/>
      <c r="N642" s="380"/>
      <c r="O642" s="380"/>
      <c r="P642" s="380"/>
      <c r="Q642" s="380"/>
      <c r="R642" s="378"/>
      <c r="S642" s="335"/>
      <c r="T642" s="415"/>
    </row>
    <row r="643" spans="1:20" s="336" customFormat="1" x14ac:dyDescent="0.2">
      <c r="N643" s="362"/>
      <c r="O643" s="362"/>
      <c r="P643" s="362"/>
      <c r="Q643" s="362"/>
      <c r="R643" s="179"/>
      <c r="S643" s="335"/>
      <c r="T643" s="415"/>
    </row>
    <row r="644" spans="1:20" s="336" customFormat="1" x14ac:dyDescent="0.2">
      <c r="B644" s="182" t="s">
        <v>985</v>
      </c>
      <c r="R644" s="179"/>
      <c r="S644" s="335"/>
      <c r="T644" s="415"/>
    </row>
    <row r="645" spans="1:20" s="336" customFormat="1" x14ac:dyDescent="0.2">
      <c r="A645" s="336" t="s">
        <v>1054</v>
      </c>
      <c r="B645" s="336" t="s">
        <v>1059</v>
      </c>
      <c r="D645" s="336">
        <v>85</v>
      </c>
      <c r="F645" s="418">
        <f t="shared" ref="F645:Q645" si="163">F620*F635</f>
        <v>5028.12</v>
      </c>
      <c r="G645" s="418">
        <f t="shared" si="163"/>
        <v>5028.12</v>
      </c>
      <c r="H645" s="418">
        <f t="shared" si="163"/>
        <v>5028.12</v>
      </c>
      <c r="I645" s="418">
        <f t="shared" si="163"/>
        <v>5028.12</v>
      </c>
      <c r="J645" s="418">
        <f t="shared" si="163"/>
        <v>4469.4399999999996</v>
      </c>
      <c r="K645" s="418">
        <f t="shared" si="163"/>
        <v>4469.4399999999996</v>
      </c>
      <c r="L645" s="418">
        <f t="shared" si="163"/>
        <v>4469.4399999999996</v>
      </c>
      <c r="M645" s="418">
        <f t="shared" si="163"/>
        <v>4469.4399999999996</v>
      </c>
      <c r="N645" s="418">
        <f t="shared" si="163"/>
        <v>4469.4399999999996</v>
      </c>
      <c r="O645" s="418">
        <f t="shared" si="163"/>
        <v>4469.4399999999996</v>
      </c>
      <c r="P645" s="418">
        <f t="shared" si="163"/>
        <v>4469.4399999999996</v>
      </c>
      <c r="Q645" s="418">
        <f t="shared" si="163"/>
        <v>4469.4399999999996</v>
      </c>
      <c r="R645" s="437">
        <f>SUM(F645:Q645)</f>
        <v>55868.000000000007</v>
      </c>
      <c r="S645" s="335"/>
      <c r="T645" s="415"/>
    </row>
    <row r="646" spans="1:20" x14ac:dyDescent="0.2">
      <c r="B646" s="32" t="s">
        <v>1047</v>
      </c>
      <c r="F646" s="364"/>
      <c r="G646" s="364"/>
      <c r="H646" s="364"/>
      <c r="I646" s="364"/>
      <c r="J646" s="364"/>
      <c r="K646" s="364"/>
      <c r="L646" s="364"/>
      <c r="M646" s="364"/>
      <c r="N646" s="364"/>
      <c r="O646" s="364"/>
      <c r="P646" s="364"/>
      <c r="Q646" s="364"/>
      <c r="R646" s="341"/>
    </row>
    <row r="647" spans="1:20" x14ac:dyDescent="0.2">
      <c r="C647" s="32" t="s">
        <v>1086</v>
      </c>
      <c r="D647" s="32">
        <v>85</v>
      </c>
      <c r="F647" s="364">
        <f t="shared" ref="F647:Q649" si="164">F622*F637</f>
        <v>16765.457279999999</v>
      </c>
      <c r="G647" s="364">
        <f t="shared" si="164"/>
        <v>16745.314559999999</v>
      </c>
      <c r="H647" s="364">
        <f t="shared" si="164"/>
        <v>17232.726419999999</v>
      </c>
      <c r="I647" s="364">
        <f t="shared" si="164"/>
        <v>17295.672419999999</v>
      </c>
      <c r="J647" s="364">
        <f t="shared" si="164"/>
        <v>16176.702360000001</v>
      </c>
      <c r="K647" s="364">
        <f t="shared" si="164"/>
        <v>16704.399659999999</v>
      </c>
      <c r="L647" s="364">
        <f t="shared" si="164"/>
        <v>15851.79609</v>
      </c>
      <c r="M647" s="364">
        <f t="shared" si="164"/>
        <v>18764.622240000001</v>
      </c>
      <c r="N647" s="364">
        <f t="shared" si="164"/>
        <v>19070.22507</v>
      </c>
      <c r="O647" s="364">
        <f t="shared" si="164"/>
        <v>16921.668270000002</v>
      </c>
      <c r="P647" s="364">
        <f t="shared" si="164"/>
        <v>16826.305080000002</v>
      </c>
      <c r="Q647" s="364">
        <f t="shared" si="164"/>
        <v>16537.59276</v>
      </c>
      <c r="R647" s="341">
        <f>SUM(F647:Q647)</f>
        <v>204892.48220999996</v>
      </c>
    </row>
    <row r="648" spans="1:20" x14ac:dyDescent="0.2">
      <c r="C648" s="32" t="s">
        <v>1087</v>
      </c>
      <c r="D648" s="32">
        <v>85</v>
      </c>
      <c r="F648" s="364">
        <f t="shared" si="164"/>
        <v>3240.6214600000003</v>
      </c>
      <c r="G648" s="364">
        <f t="shared" si="164"/>
        <v>2630.97138</v>
      </c>
      <c r="H648" s="364">
        <f t="shared" si="164"/>
        <v>3185.2818400000001</v>
      </c>
      <c r="I648" s="364">
        <f t="shared" si="164"/>
        <v>2873.1427200000003</v>
      </c>
      <c r="J648" s="364">
        <f t="shared" si="164"/>
        <v>3061.3189400000001</v>
      </c>
      <c r="K648" s="364">
        <f t="shared" si="164"/>
        <v>2513.8923199999999</v>
      </c>
      <c r="L648" s="364">
        <f t="shared" si="164"/>
        <v>2235.6345999999999</v>
      </c>
      <c r="M648" s="364">
        <f t="shared" si="164"/>
        <v>3104.7731800000001</v>
      </c>
      <c r="N648" s="364">
        <f t="shared" si="164"/>
        <v>3056.0484999999999</v>
      </c>
      <c r="O648" s="364">
        <f t="shared" si="164"/>
        <v>2984.8437800000002</v>
      </c>
      <c r="P648" s="364">
        <f t="shared" si="164"/>
        <v>2910.0358000000001</v>
      </c>
      <c r="Q648" s="364">
        <f t="shared" si="164"/>
        <v>3336.3498600000003</v>
      </c>
      <c r="R648" s="341">
        <f>SUM(F648:Q648)</f>
        <v>35132.914380000002</v>
      </c>
    </row>
    <row r="649" spans="1:20" x14ac:dyDescent="0.2">
      <c r="C649" s="32" t="s">
        <v>1088</v>
      </c>
      <c r="D649" s="32">
        <v>85</v>
      </c>
      <c r="F649" s="364">
        <f t="shared" si="164"/>
        <v>1236.8152</v>
      </c>
      <c r="G649" s="364">
        <f t="shared" si="164"/>
        <v>1130.4780000000001</v>
      </c>
      <c r="H649" s="364">
        <f t="shared" si="164"/>
        <v>1384.4484</v>
      </c>
      <c r="I649" s="364">
        <f t="shared" si="164"/>
        <v>1038.80088</v>
      </c>
      <c r="J649" s="364">
        <f t="shared" si="164"/>
        <v>1066.9854</v>
      </c>
      <c r="K649" s="364">
        <f t="shared" si="164"/>
        <v>903.09190000000001</v>
      </c>
      <c r="L649" s="364">
        <f t="shared" si="164"/>
        <v>938.76131999999996</v>
      </c>
      <c r="M649" s="364">
        <f t="shared" si="164"/>
        <v>941.13584000000003</v>
      </c>
      <c r="N649" s="364">
        <f t="shared" si="164"/>
        <v>783.95294000000001</v>
      </c>
      <c r="O649" s="364">
        <f t="shared" si="164"/>
        <v>1022.95354</v>
      </c>
      <c r="P649" s="364">
        <f t="shared" si="164"/>
        <v>1216.27044</v>
      </c>
      <c r="Q649" s="364">
        <f t="shared" si="164"/>
        <v>1541.2183399999999</v>
      </c>
      <c r="R649" s="341">
        <f>SUM(F649:Q649)</f>
        <v>13204.912199999999</v>
      </c>
    </row>
    <row r="650" spans="1:20" x14ac:dyDescent="0.2">
      <c r="A650" s="32" t="s">
        <v>1054</v>
      </c>
      <c r="C650" s="32" t="s">
        <v>1077</v>
      </c>
      <c r="F650" s="365">
        <f t="shared" ref="F650:R650" si="165">SUM(F647:F649)</f>
        <v>21242.893939999998</v>
      </c>
      <c r="G650" s="365">
        <f t="shared" si="165"/>
        <v>20506.763939999997</v>
      </c>
      <c r="H650" s="365">
        <f t="shared" si="165"/>
        <v>21802.45666</v>
      </c>
      <c r="I650" s="365">
        <f t="shared" si="165"/>
        <v>21207.616019999998</v>
      </c>
      <c r="J650" s="365">
        <f t="shared" si="165"/>
        <v>20305.006700000002</v>
      </c>
      <c r="K650" s="365">
        <f t="shared" si="165"/>
        <v>20121.383879999998</v>
      </c>
      <c r="L650" s="365">
        <f t="shared" si="165"/>
        <v>19026.192010000002</v>
      </c>
      <c r="M650" s="365">
        <f t="shared" si="165"/>
        <v>22810.53126</v>
      </c>
      <c r="N650" s="365">
        <f t="shared" si="165"/>
        <v>22910.22651</v>
      </c>
      <c r="O650" s="365">
        <f t="shared" si="165"/>
        <v>20929.46559</v>
      </c>
      <c r="P650" s="365">
        <f t="shared" si="165"/>
        <v>20952.611320000004</v>
      </c>
      <c r="Q650" s="365">
        <f t="shared" si="165"/>
        <v>21415.160960000001</v>
      </c>
      <c r="R650" s="365">
        <f t="shared" si="165"/>
        <v>253230.30878999995</v>
      </c>
    </row>
    <row r="651" spans="1:20" x14ac:dyDescent="0.2">
      <c r="A651" s="336" t="s">
        <v>1056</v>
      </c>
      <c r="B651" s="32" t="s">
        <v>1057</v>
      </c>
      <c r="D651" s="32">
        <v>101</v>
      </c>
      <c r="F651" s="364">
        <f t="shared" ref="F651:Q651" si="166">F625*F640</f>
        <v>161361.53125</v>
      </c>
      <c r="G651" s="364">
        <f t="shared" si="166"/>
        <v>152376.46625</v>
      </c>
      <c r="H651" s="364">
        <f t="shared" si="166"/>
        <v>165517.48749999999</v>
      </c>
      <c r="I651" s="364">
        <f t="shared" si="166"/>
        <v>157648.61249999999</v>
      </c>
      <c r="J651" s="364">
        <f t="shared" si="166"/>
        <v>153270.47625000001</v>
      </c>
      <c r="K651" s="364">
        <f t="shared" si="166"/>
        <v>147766.23125000001</v>
      </c>
      <c r="L651" s="364">
        <f t="shared" si="166"/>
        <v>139427.86874999999</v>
      </c>
      <c r="M651" s="364">
        <f t="shared" si="166"/>
        <v>168504.35375000001</v>
      </c>
      <c r="N651" s="364">
        <f t="shared" si="166"/>
        <v>167817.97625000001</v>
      </c>
      <c r="O651" s="364">
        <f t="shared" si="166"/>
        <v>156461.66875000001</v>
      </c>
      <c r="P651" s="364">
        <f t="shared" si="166"/>
        <v>157417.17499999999</v>
      </c>
      <c r="Q651" s="364">
        <f t="shared" si="166"/>
        <v>165001.71249999999</v>
      </c>
      <c r="R651" s="341">
        <f>SUM(F651:Q651)</f>
        <v>1892571.5599999998</v>
      </c>
    </row>
    <row r="652" spans="1:20" x14ac:dyDescent="0.2">
      <c r="A652" s="390" t="s">
        <v>1054</v>
      </c>
      <c r="B652" s="390" t="s">
        <v>1096</v>
      </c>
      <c r="D652" s="462">
        <v>85</v>
      </c>
      <c r="E652" s="390"/>
      <c r="F652" s="417">
        <f t="shared" ref="F652:Q652" si="167">F626*F640</f>
        <v>1649.6090000000002</v>
      </c>
      <c r="G652" s="417">
        <f t="shared" si="167"/>
        <v>1557.7541200000001</v>
      </c>
      <c r="H652" s="417">
        <f t="shared" si="167"/>
        <v>1692.0956000000001</v>
      </c>
      <c r="I652" s="417">
        <f t="shared" si="167"/>
        <v>1611.6516000000001</v>
      </c>
      <c r="J652" s="417">
        <f t="shared" si="167"/>
        <v>1566.89364</v>
      </c>
      <c r="K652" s="417">
        <f t="shared" si="167"/>
        <v>1510.6234000000002</v>
      </c>
      <c r="L652" s="417">
        <f t="shared" si="167"/>
        <v>1425.3798000000002</v>
      </c>
      <c r="M652" s="417">
        <f t="shared" si="167"/>
        <v>1722.6305200000002</v>
      </c>
      <c r="N652" s="417">
        <f t="shared" si="167"/>
        <v>1715.61364</v>
      </c>
      <c r="O652" s="417">
        <f t="shared" si="167"/>
        <v>1599.5174000000002</v>
      </c>
      <c r="P652" s="417">
        <f t="shared" si="167"/>
        <v>1609.2856000000002</v>
      </c>
      <c r="Q652" s="417">
        <f t="shared" si="167"/>
        <v>1686.8228000000001</v>
      </c>
      <c r="R652" s="463">
        <f>SUM(F652:Q652)</f>
        <v>19347.877120000005</v>
      </c>
    </row>
    <row r="653" spans="1:20" x14ac:dyDescent="0.2">
      <c r="B653" s="32" t="s">
        <v>1068</v>
      </c>
      <c r="F653" s="364"/>
      <c r="G653" s="364"/>
      <c r="H653" s="364"/>
      <c r="I653" s="364"/>
      <c r="J653" s="364"/>
      <c r="K653" s="364"/>
      <c r="L653" s="364"/>
      <c r="M653" s="364"/>
      <c r="N653" s="364"/>
      <c r="O653" s="364"/>
      <c r="P653" s="364"/>
      <c r="Q653" s="364"/>
      <c r="R653" s="341"/>
    </row>
    <row r="654" spans="1:20" x14ac:dyDescent="0.2">
      <c r="A654" s="32" t="s">
        <v>1054</v>
      </c>
      <c r="C654" s="32" t="s">
        <v>1069</v>
      </c>
      <c r="D654" s="32">
        <v>85</v>
      </c>
      <c r="F654" s="364">
        <f t="shared" ref="F654:Q654" si="168">F628*F641</f>
        <v>2785.02</v>
      </c>
      <c r="G654" s="364">
        <f t="shared" si="168"/>
        <v>2785.02</v>
      </c>
      <c r="H654" s="364">
        <f t="shared" si="168"/>
        <v>2785.02</v>
      </c>
      <c r="I654" s="364">
        <f t="shared" si="168"/>
        <v>2785.02</v>
      </c>
      <c r="J654" s="364">
        <f t="shared" si="168"/>
        <v>2785.02</v>
      </c>
      <c r="K654" s="364">
        <f t="shared" si="168"/>
        <v>2785.02</v>
      </c>
      <c r="L654" s="364">
        <f t="shared" si="168"/>
        <v>2785.02</v>
      </c>
      <c r="M654" s="364">
        <f t="shared" si="168"/>
        <v>2785.02</v>
      </c>
      <c r="N654" s="364">
        <f t="shared" si="168"/>
        <v>2785.02</v>
      </c>
      <c r="O654" s="364">
        <f t="shared" si="168"/>
        <v>2785.02</v>
      </c>
      <c r="P654" s="364">
        <f t="shared" si="168"/>
        <v>2785.02</v>
      </c>
      <c r="Q654" s="364">
        <f t="shared" si="168"/>
        <v>2785.02</v>
      </c>
      <c r="R654" s="341">
        <f>SUM(F654:Q654)</f>
        <v>33420.239999999998</v>
      </c>
    </row>
    <row r="655" spans="1:20" x14ac:dyDescent="0.2">
      <c r="A655" s="336" t="s">
        <v>1056</v>
      </c>
      <c r="C655" s="32" t="s">
        <v>1070</v>
      </c>
      <c r="D655" s="32">
        <v>101</v>
      </c>
      <c r="F655" s="364">
        <f t="shared" ref="F655:Q655" si="169">F629*F641</f>
        <v>2565.15</v>
      </c>
      <c r="G655" s="364">
        <f t="shared" si="169"/>
        <v>2565.15</v>
      </c>
      <c r="H655" s="364">
        <f t="shared" si="169"/>
        <v>2565.15</v>
      </c>
      <c r="I655" s="364">
        <f t="shared" si="169"/>
        <v>2565.15</v>
      </c>
      <c r="J655" s="364">
        <f t="shared" si="169"/>
        <v>2565.15</v>
      </c>
      <c r="K655" s="364">
        <f t="shared" si="169"/>
        <v>2565.15</v>
      </c>
      <c r="L655" s="364">
        <f t="shared" si="169"/>
        <v>2565.15</v>
      </c>
      <c r="M655" s="364">
        <f t="shared" si="169"/>
        <v>2565.15</v>
      </c>
      <c r="N655" s="364">
        <f t="shared" si="169"/>
        <v>2565.15</v>
      </c>
      <c r="O655" s="364">
        <f t="shared" si="169"/>
        <v>2565.15</v>
      </c>
      <c r="P655" s="364">
        <f t="shared" si="169"/>
        <v>2565.15</v>
      </c>
      <c r="Q655" s="364">
        <f t="shared" si="169"/>
        <v>2565.15</v>
      </c>
      <c r="R655" s="341">
        <f>SUM(F655:Q655)</f>
        <v>30781.800000000007</v>
      </c>
    </row>
    <row r="656" spans="1:20" x14ac:dyDescent="0.2">
      <c r="C656" s="32" t="s">
        <v>1078</v>
      </c>
      <c r="F656" s="365">
        <f t="shared" ref="F656:R656" si="170">SUM(F654:F655)</f>
        <v>5350.17</v>
      </c>
      <c r="G656" s="365">
        <f t="shared" si="170"/>
        <v>5350.17</v>
      </c>
      <c r="H656" s="365">
        <f t="shared" si="170"/>
        <v>5350.17</v>
      </c>
      <c r="I656" s="365">
        <f t="shared" si="170"/>
        <v>5350.17</v>
      </c>
      <c r="J656" s="365">
        <f t="shared" si="170"/>
        <v>5350.17</v>
      </c>
      <c r="K656" s="365">
        <f t="shared" si="170"/>
        <v>5350.17</v>
      </c>
      <c r="L656" s="365">
        <f t="shared" si="170"/>
        <v>5350.17</v>
      </c>
      <c r="M656" s="365">
        <f t="shared" si="170"/>
        <v>5350.17</v>
      </c>
      <c r="N656" s="365">
        <f t="shared" si="170"/>
        <v>5350.17</v>
      </c>
      <c r="O656" s="365">
        <f t="shared" si="170"/>
        <v>5350.17</v>
      </c>
      <c r="P656" s="365">
        <f t="shared" si="170"/>
        <v>5350.17</v>
      </c>
      <c r="Q656" s="365">
        <f t="shared" si="170"/>
        <v>5350.17</v>
      </c>
      <c r="R656" s="365">
        <f t="shared" si="170"/>
        <v>64202.040000000008</v>
      </c>
    </row>
    <row r="657" spans="1:20" s="336" customFormat="1" x14ac:dyDescent="0.2">
      <c r="A657" s="336" t="s">
        <v>1054</v>
      </c>
      <c r="B657" s="336" t="s">
        <v>1071</v>
      </c>
      <c r="D657" s="336">
        <v>85</v>
      </c>
      <c r="F657" s="447">
        <f>'JKP-3.1c - Rev Actual Rates'!F668</f>
        <v>0</v>
      </c>
      <c r="G657" s="447">
        <f>'JKP-3.1c - Rev Actual Rates'!G668</f>
        <v>16339.8</v>
      </c>
      <c r="H657" s="447">
        <f>'JKP-3.1c - Rev Actual Rates'!H668</f>
        <v>0</v>
      </c>
      <c r="I657" s="447">
        <f>'JKP-3.1c - Rev Actual Rates'!I668</f>
        <v>0</v>
      </c>
      <c r="J657" s="447">
        <f>'JKP-3.1c - Rev Actual Rates'!J668</f>
        <v>0</v>
      </c>
      <c r="K657" s="447">
        <f>'JKP-3.1c - Rev Actual Rates'!K668</f>
        <v>0</v>
      </c>
      <c r="L657" s="447">
        <f>'JKP-3.1c - Rev Actual Rates'!L668</f>
        <v>0</v>
      </c>
      <c r="M657" s="447">
        <f>'JKP-3.1c - Rev Actual Rates'!M668</f>
        <v>0</v>
      </c>
      <c r="N657" s="447">
        <f>'JKP-3.1c - Rev Actual Rates'!N668</f>
        <v>0</v>
      </c>
      <c r="O657" s="447">
        <f>'JKP-3.1c - Rev Actual Rates'!O668</f>
        <v>0</v>
      </c>
      <c r="P657" s="447">
        <f>'JKP-3.1c - Rev Actual Rates'!P668</f>
        <v>0</v>
      </c>
      <c r="Q657" s="447">
        <f>'JKP-3.1c - Rev Actual Rates'!Q668</f>
        <v>1052.69</v>
      </c>
      <c r="R657" s="437">
        <f>SUM(F657:Q657)</f>
        <v>17392.489999999998</v>
      </c>
      <c r="S657" s="335"/>
      <c r="T657" s="415"/>
    </row>
    <row r="658" spans="1:20" x14ac:dyDescent="0.2">
      <c r="B658" s="32" t="s">
        <v>1079</v>
      </c>
      <c r="F658" s="365">
        <f t="shared" ref="F658:R658" si="171">F651+F655</f>
        <v>163926.68124999999</v>
      </c>
      <c r="G658" s="365">
        <f t="shared" si="171"/>
        <v>154941.61624999999</v>
      </c>
      <c r="H658" s="365">
        <f t="shared" si="171"/>
        <v>168082.63749999998</v>
      </c>
      <c r="I658" s="365">
        <f t="shared" si="171"/>
        <v>160213.76249999998</v>
      </c>
      <c r="J658" s="365">
        <f t="shared" si="171"/>
        <v>155835.62625</v>
      </c>
      <c r="K658" s="365">
        <f t="shared" si="171"/>
        <v>150331.38125000001</v>
      </c>
      <c r="L658" s="365">
        <f t="shared" si="171"/>
        <v>141993.01874999999</v>
      </c>
      <c r="M658" s="365">
        <f t="shared" si="171"/>
        <v>171069.50375</v>
      </c>
      <c r="N658" s="365">
        <f t="shared" si="171"/>
        <v>170383.12625</v>
      </c>
      <c r="O658" s="365">
        <f t="shared" si="171"/>
        <v>159026.81875000001</v>
      </c>
      <c r="P658" s="365">
        <f t="shared" si="171"/>
        <v>159982.32499999998</v>
      </c>
      <c r="Q658" s="365">
        <f t="shared" si="171"/>
        <v>167566.86249999999</v>
      </c>
      <c r="R658" s="365">
        <f t="shared" si="171"/>
        <v>1923353.3599999999</v>
      </c>
    </row>
    <row r="659" spans="1:20" x14ac:dyDescent="0.2">
      <c r="B659" s="32" t="s">
        <v>986</v>
      </c>
      <c r="F659" s="365">
        <f t="shared" ref="F659:R659" si="172">F645+F650+F651+F652+F656+F657</f>
        <v>194632.32419000001</v>
      </c>
      <c r="G659" s="365">
        <f t="shared" si="172"/>
        <v>201159.07431</v>
      </c>
      <c r="H659" s="365">
        <f t="shared" si="172"/>
        <v>199390.32975999999</v>
      </c>
      <c r="I659" s="365">
        <f t="shared" si="172"/>
        <v>190846.17012000002</v>
      </c>
      <c r="J659" s="365">
        <f t="shared" si="172"/>
        <v>184961.98659000001</v>
      </c>
      <c r="K659" s="365">
        <f t="shared" si="172"/>
        <v>179217.84853000002</v>
      </c>
      <c r="L659" s="365">
        <f t="shared" si="172"/>
        <v>169699.05056</v>
      </c>
      <c r="M659" s="365">
        <f t="shared" si="172"/>
        <v>202857.12553000002</v>
      </c>
      <c r="N659" s="365">
        <f t="shared" si="172"/>
        <v>202263.42640000003</v>
      </c>
      <c r="O659" s="365">
        <f t="shared" si="172"/>
        <v>188810.26174000005</v>
      </c>
      <c r="P659" s="365">
        <f t="shared" si="172"/>
        <v>189798.68192</v>
      </c>
      <c r="Q659" s="365">
        <f t="shared" si="172"/>
        <v>198975.99626000001</v>
      </c>
      <c r="R659" s="365">
        <f t="shared" si="172"/>
        <v>2302612.2759099999</v>
      </c>
      <c r="T659" s="340"/>
    </row>
    <row r="660" spans="1:20" x14ac:dyDescent="0.2">
      <c r="F660" s="364"/>
      <c r="G660" s="364"/>
      <c r="H660" s="364"/>
      <c r="I660" s="364"/>
      <c r="J660" s="364"/>
      <c r="K660" s="364"/>
      <c r="L660" s="364"/>
      <c r="M660" s="364"/>
      <c r="N660" s="364"/>
      <c r="O660" s="364"/>
      <c r="P660" s="364"/>
      <c r="Q660" s="364"/>
      <c r="R660" s="341"/>
      <c r="T660" s="415"/>
    </row>
    <row r="661" spans="1:20" x14ac:dyDescent="0.2">
      <c r="A661" s="32" t="s">
        <v>1058</v>
      </c>
      <c r="B661" s="32" t="s">
        <v>1050</v>
      </c>
      <c r="F661" s="364">
        <f>F640*F631+F641*F632</f>
        <v>156825.41625000001</v>
      </c>
      <c r="G661" s="364">
        <f t="shared" ref="G661:Q661" si="173">G640*G631+G641*G632</f>
        <v>148228.96805000002</v>
      </c>
      <c r="H661" s="364">
        <f t="shared" si="173"/>
        <v>160801.62150000001</v>
      </c>
      <c r="I661" s="364">
        <f t="shared" si="173"/>
        <v>153273.0865</v>
      </c>
      <c r="J661" s="364">
        <f t="shared" si="173"/>
        <v>149084.31085000001</v>
      </c>
      <c r="K661" s="364">
        <f t="shared" si="173"/>
        <v>143818.13225000002</v>
      </c>
      <c r="L661" s="364">
        <f t="shared" si="173"/>
        <v>135840.41575000001</v>
      </c>
      <c r="M661" s="364">
        <f t="shared" si="173"/>
        <v>163659.30155</v>
      </c>
      <c r="N661" s="364">
        <f t="shared" si="173"/>
        <v>163002.61085</v>
      </c>
      <c r="O661" s="364">
        <f t="shared" si="173"/>
        <v>152137.47975</v>
      </c>
      <c r="P661" s="364">
        <f t="shared" si="173"/>
        <v>153051.65900000001</v>
      </c>
      <c r="Q661" s="364">
        <f t="shared" si="173"/>
        <v>160308.1545</v>
      </c>
      <c r="R661" s="341">
        <f>SUM(F661:Q661)</f>
        <v>1840031.1568</v>
      </c>
      <c r="T661" s="415"/>
    </row>
    <row r="662" spans="1:20" x14ac:dyDescent="0.2">
      <c r="F662" s="364"/>
      <c r="G662" s="364"/>
      <c r="H662" s="364"/>
      <c r="I662" s="364"/>
      <c r="J662" s="364"/>
      <c r="K662" s="364"/>
      <c r="L662" s="364"/>
      <c r="M662" s="364"/>
      <c r="N662" s="364"/>
      <c r="O662" s="364"/>
      <c r="P662" s="364"/>
      <c r="Q662" s="364"/>
      <c r="R662" s="341"/>
      <c r="T662" s="415"/>
    </row>
    <row r="663" spans="1:20" x14ac:dyDescent="0.2">
      <c r="B663" s="276" t="s">
        <v>1111</v>
      </c>
      <c r="C663" s="276"/>
    </row>
    <row r="664" spans="1:20" x14ac:dyDescent="0.2">
      <c r="B664" s="276" t="s">
        <v>5</v>
      </c>
      <c r="C664" s="276"/>
    </row>
    <row r="665" spans="1:20" x14ac:dyDescent="0.2">
      <c r="B665" s="32" t="s">
        <v>1059</v>
      </c>
      <c r="D665" s="444">
        <v>86</v>
      </c>
      <c r="E665" s="32" t="s">
        <v>976</v>
      </c>
      <c r="F665" s="413">
        <f t="shared" ref="F665:Q665" si="174">F306</f>
        <v>142.79</v>
      </c>
      <c r="G665" s="413">
        <f t="shared" si="174"/>
        <v>142.79</v>
      </c>
      <c r="H665" s="413">
        <f t="shared" si="174"/>
        <v>142.79</v>
      </c>
      <c r="I665" s="413">
        <f t="shared" si="174"/>
        <v>142.79</v>
      </c>
      <c r="J665" s="413">
        <f t="shared" si="174"/>
        <v>142.79</v>
      </c>
      <c r="K665" s="413">
        <f t="shared" si="174"/>
        <v>142.79</v>
      </c>
      <c r="L665" s="413">
        <f t="shared" si="174"/>
        <v>142.79</v>
      </c>
      <c r="M665" s="413">
        <f t="shared" si="174"/>
        <v>142.79</v>
      </c>
      <c r="N665" s="413">
        <f t="shared" si="174"/>
        <v>142.79</v>
      </c>
      <c r="O665" s="413">
        <f t="shared" si="174"/>
        <v>142.79</v>
      </c>
      <c r="P665" s="413">
        <f t="shared" si="174"/>
        <v>142.79</v>
      </c>
      <c r="Q665" s="413">
        <f t="shared" si="174"/>
        <v>142.79</v>
      </c>
      <c r="R665" s="439"/>
    </row>
    <row r="666" spans="1:20" x14ac:dyDescent="0.2">
      <c r="B666" s="32" t="s">
        <v>1047</v>
      </c>
      <c r="F666" s="393"/>
      <c r="G666" s="393"/>
      <c r="H666" s="393"/>
      <c r="I666" s="393"/>
      <c r="J666" s="393"/>
      <c r="K666" s="393"/>
      <c r="L666" s="393"/>
      <c r="M666" s="393"/>
      <c r="N666" s="393"/>
      <c r="O666" s="393"/>
      <c r="P666" s="393"/>
      <c r="Q666" s="393"/>
      <c r="R666" s="394"/>
    </row>
    <row r="667" spans="1:20" x14ac:dyDescent="0.2">
      <c r="C667" s="32" t="s">
        <v>1098</v>
      </c>
      <c r="D667" s="444">
        <v>86</v>
      </c>
      <c r="E667" s="32" t="s">
        <v>957</v>
      </c>
      <c r="F667" s="393">
        <f t="shared" ref="F667:Q670" si="175">F308</f>
        <v>0.20305999999999999</v>
      </c>
      <c r="G667" s="393">
        <f t="shared" si="175"/>
        <v>0.20305999999999999</v>
      </c>
      <c r="H667" s="393">
        <f t="shared" si="175"/>
        <v>0.20305999999999999</v>
      </c>
      <c r="I667" s="393">
        <f t="shared" si="175"/>
        <v>0.20305999999999999</v>
      </c>
      <c r="J667" s="393">
        <f t="shared" si="175"/>
        <v>0.20305999999999999</v>
      </c>
      <c r="K667" s="393">
        <f t="shared" si="175"/>
        <v>0.20305999999999999</v>
      </c>
      <c r="L667" s="393">
        <f t="shared" si="175"/>
        <v>0.20305999999999999</v>
      </c>
      <c r="M667" s="393">
        <f t="shared" si="175"/>
        <v>0.20305999999999999</v>
      </c>
      <c r="N667" s="393">
        <f t="shared" si="175"/>
        <v>0.20305999999999999</v>
      </c>
      <c r="O667" s="393">
        <f t="shared" si="175"/>
        <v>0.20305999999999999</v>
      </c>
      <c r="P667" s="393">
        <f t="shared" si="175"/>
        <v>0.20305999999999999</v>
      </c>
      <c r="Q667" s="393">
        <f t="shared" si="175"/>
        <v>0.20305999999999999</v>
      </c>
      <c r="R667" s="394"/>
    </row>
    <row r="668" spans="1:20" x14ac:dyDescent="0.2">
      <c r="C668" s="32" t="s">
        <v>1099</v>
      </c>
      <c r="D668" s="444">
        <v>86</v>
      </c>
      <c r="E668" s="32" t="s">
        <v>957</v>
      </c>
      <c r="F668" s="393">
        <f t="shared" si="175"/>
        <v>0.14559</v>
      </c>
      <c r="G668" s="393">
        <f t="shared" si="175"/>
        <v>0.14559</v>
      </c>
      <c r="H668" s="393">
        <f t="shared" si="175"/>
        <v>0.14559</v>
      </c>
      <c r="I668" s="393">
        <f t="shared" si="175"/>
        <v>0.14559</v>
      </c>
      <c r="J668" s="393">
        <f t="shared" si="175"/>
        <v>0.14559</v>
      </c>
      <c r="K668" s="393">
        <f t="shared" si="175"/>
        <v>0.14559</v>
      </c>
      <c r="L668" s="393">
        <f t="shared" si="175"/>
        <v>0.14559</v>
      </c>
      <c r="M668" s="393">
        <f t="shared" si="175"/>
        <v>0.14559</v>
      </c>
      <c r="N668" s="393">
        <f t="shared" si="175"/>
        <v>0.14559</v>
      </c>
      <c r="O668" s="393">
        <f t="shared" si="175"/>
        <v>0.14559</v>
      </c>
      <c r="P668" s="393">
        <f t="shared" si="175"/>
        <v>0.14559</v>
      </c>
      <c r="Q668" s="393">
        <f t="shared" si="175"/>
        <v>0.14559</v>
      </c>
      <c r="R668" s="394"/>
    </row>
    <row r="669" spans="1:20" x14ac:dyDescent="0.2">
      <c r="B669" s="32" t="s">
        <v>1067</v>
      </c>
      <c r="D669" s="32">
        <v>101</v>
      </c>
      <c r="E669" s="32" t="s">
        <v>957</v>
      </c>
      <c r="F669" s="393">
        <f t="shared" si="175"/>
        <v>0.66556999999999999</v>
      </c>
      <c r="G669" s="393">
        <f t="shared" si="175"/>
        <v>0.66556999999999999</v>
      </c>
      <c r="H669" s="393">
        <f t="shared" si="175"/>
        <v>0.66556999999999999</v>
      </c>
      <c r="I669" s="393">
        <f t="shared" si="175"/>
        <v>0.66556999999999999</v>
      </c>
      <c r="J669" s="393">
        <f t="shared" si="175"/>
        <v>0.66556999999999999</v>
      </c>
      <c r="K669" s="393">
        <f t="shared" si="175"/>
        <v>0.66556999999999999</v>
      </c>
      <c r="L669" s="393">
        <f t="shared" si="175"/>
        <v>0.66556999999999999</v>
      </c>
      <c r="M669" s="393">
        <f t="shared" si="175"/>
        <v>0.66556999999999999</v>
      </c>
      <c r="N669" s="393">
        <f t="shared" si="175"/>
        <v>0.66556999999999999</v>
      </c>
      <c r="O669" s="393">
        <f t="shared" si="175"/>
        <v>0.66556999999999999</v>
      </c>
      <c r="P669" s="393">
        <f t="shared" si="175"/>
        <v>0.66556999999999999</v>
      </c>
      <c r="Q669" s="393">
        <f t="shared" si="175"/>
        <v>0.66556999999999999</v>
      </c>
      <c r="R669" s="394"/>
    </row>
    <row r="670" spans="1:20" x14ac:dyDescent="0.2">
      <c r="B670" s="32" t="s">
        <v>1096</v>
      </c>
      <c r="D670" s="444">
        <v>86</v>
      </c>
      <c r="E670" s="32" t="s">
        <v>957</v>
      </c>
      <c r="F670" s="394">
        <f t="shared" si="175"/>
        <v>6.7499999999999999E-3</v>
      </c>
      <c r="G670" s="394">
        <f t="shared" si="175"/>
        <v>6.7499999999999999E-3</v>
      </c>
      <c r="H670" s="394">
        <f t="shared" si="175"/>
        <v>6.7499999999999999E-3</v>
      </c>
      <c r="I670" s="394">
        <f t="shared" si="175"/>
        <v>6.7499999999999999E-3</v>
      </c>
      <c r="J670" s="394">
        <f t="shared" si="175"/>
        <v>6.7499999999999999E-3</v>
      </c>
      <c r="K670" s="394">
        <f t="shared" si="175"/>
        <v>6.7499999999999999E-3</v>
      </c>
      <c r="L670" s="394">
        <f t="shared" si="175"/>
        <v>6.7499999999999999E-3</v>
      </c>
      <c r="M670" s="394">
        <f t="shared" si="175"/>
        <v>6.7499999999999999E-3</v>
      </c>
      <c r="N670" s="394">
        <f t="shared" si="175"/>
        <v>6.7499999999999999E-3</v>
      </c>
      <c r="O670" s="394">
        <f t="shared" si="175"/>
        <v>6.7499999999999999E-3</v>
      </c>
      <c r="P670" s="394">
        <f t="shared" si="175"/>
        <v>6.7499999999999999E-3</v>
      </c>
      <c r="Q670" s="394">
        <f t="shared" si="175"/>
        <v>6.7499999999999999E-3</v>
      </c>
      <c r="R670" s="394"/>
    </row>
    <row r="671" spans="1:20" x14ac:dyDescent="0.2">
      <c r="B671" s="32" t="s">
        <v>1068</v>
      </c>
      <c r="F671" s="394"/>
      <c r="G671" s="394"/>
      <c r="H671" s="394"/>
      <c r="I671" s="394"/>
      <c r="J671" s="394"/>
      <c r="K671" s="394"/>
      <c r="L671" s="394"/>
      <c r="M671" s="394"/>
      <c r="N671" s="394"/>
      <c r="O671" s="394"/>
      <c r="P671" s="394"/>
      <c r="Q671" s="394"/>
      <c r="R671" s="394"/>
    </row>
    <row r="672" spans="1:20" x14ac:dyDescent="0.2">
      <c r="C672" s="32" t="s">
        <v>1069</v>
      </c>
      <c r="D672" s="32">
        <v>86</v>
      </c>
      <c r="E672" s="32" t="s">
        <v>957</v>
      </c>
      <c r="F672" s="454">
        <f t="shared" ref="F672:Q673" si="176">F313</f>
        <v>1.1399999999999999</v>
      </c>
      <c r="G672" s="454">
        <f t="shared" si="176"/>
        <v>1.1399999999999999</v>
      </c>
      <c r="H672" s="454">
        <f t="shared" si="176"/>
        <v>1.1399999999999999</v>
      </c>
      <c r="I672" s="454">
        <f t="shared" si="176"/>
        <v>1.1399999999999999</v>
      </c>
      <c r="J672" s="454">
        <f t="shared" si="176"/>
        <v>1.1399999999999999</v>
      </c>
      <c r="K672" s="454">
        <f t="shared" si="176"/>
        <v>1.1399999999999999</v>
      </c>
      <c r="L672" s="454">
        <f t="shared" si="176"/>
        <v>1.1399999999999999</v>
      </c>
      <c r="M672" s="454">
        <f t="shared" si="176"/>
        <v>1.1399999999999999</v>
      </c>
      <c r="N672" s="454">
        <f t="shared" si="176"/>
        <v>1.1399999999999999</v>
      </c>
      <c r="O672" s="454">
        <f t="shared" si="176"/>
        <v>1.1399999999999999</v>
      </c>
      <c r="P672" s="454">
        <f t="shared" si="176"/>
        <v>1.1399999999999999</v>
      </c>
      <c r="Q672" s="454">
        <f t="shared" si="176"/>
        <v>1.1399999999999999</v>
      </c>
      <c r="R672" s="394"/>
    </row>
    <row r="673" spans="1:20" s="336" customFormat="1" x14ac:dyDescent="0.2">
      <c r="C673" s="336" t="s">
        <v>1070</v>
      </c>
      <c r="D673" s="336">
        <v>101</v>
      </c>
      <c r="E673" s="336" t="s">
        <v>957</v>
      </c>
      <c r="F673" s="460">
        <f t="shared" si="176"/>
        <v>1.05</v>
      </c>
      <c r="G673" s="460">
        <f t="shared" si="176"/>
        <v>1.05</v>
      </c>
      <c r="H673" s="460">
        <f t="shared" si="176"/>
        <v>1.05</v>
      </c>
      <c r="I673" s="460">
        <f t="shared" si="176"/>
        <v>1.05</v>
      </c>
      <c r="J673" s="460">
        <f t="shared" si="176"/>
        <v>1.05</v>
      </c>
      <c r="K673" s="460">
        <f t="shared" si="176"/>
        <v>1.05</v>
      </c>
      <c r="L673" s="460">
        <f t="shared" si="176"/>
        <v>1.05</v>
      </c>
      <c r="M673" s="460">
        <f t="shared" si="176"/>
        <v>1.05</v>
      </c>
      <c r="N673" s="460">
        <f t="shared" si="176"/>
        <v>1.05</v>
      </c>
      <c r="O673" s="460">
        <f t="shared" si="176"/>
        <v>1.05</v>
      </c>
      <c r="P673" s="460">
        <f t="shared" si="176"/>
        <v>1.05</v>
      </c>
      <c r="Q673" s="460">
        <f t="shared" si="176"/>
        <v>1.05</v>
      </c>
      <c r="R673" s="441"/>
      <c r="S673" s="335"/>
      <c r="T673" s="415"/>
    </row>
    <row r="674" spans="1:20" s="336" customFormat="1" x14ac:dyDescent="0.2">
      <c r="B674" s="336" t="s">
        <v>1071</v>
      </c>
      <c r="D674" s="382">
        <v>86</v>
      </c>
      <c r="E674" s="336" t="s">
        <v>67</v>
      </c>
      <c r="F674" s="450"/>
      <c r="G674" s="450"/>
      <c r="H674" s="442"/>
      <c r="I674" s="450"/>
      <c r="J674" s="450"/>
      <c r="K674" s="450"/>
      <c r="L674" s="450"/>
      <c r="M674" s="450"/>
      <c r="N674" s="450"/>
      <c r="O674" s="450"/>
      <c r="P674" s="450"/>
      <c r="Q674" s="450"/>
      <c r="R674" s="441"/>
      <c r="S674" s="335"/>
      <c r="T674" s="415"/>
    </row>
    <row r="675" spans="1:20" s="336" customFormat="1" x14ac:dyDescent="0.2">
      <c r="B675" s="336" t="s">
        <v>1050</v>
      </c>
      <c r="D675" s="382"/>
      <c r="F675" s="394">
        <f>F316</f>
        <v>0.63678999999999997</v>
      </c>
      <c r="G675" s="394">
        <f t="shared" ref="G675:Q676" si="177">G316</f>
        <v>0.63678999999999997</v>
      </c>
      <c r="H675" s="394">
        <f t="shared" si="177"/>
        <v>0.63678999999999997</v>
      </c>
      <c r="I675" s="394">
        <f t="shared" si="177"/>
        <v>0.63678999999999997</v>
      </c>
      <c r="J675" s="394">
        <f t="shared" si="177"/>
        <v>0.63678999999999997</v>
      </c>
      <c r="K675" s="394">
        <f t="shared" si="177"/>
        <v>0.63678999999999997</v>
      </c>
      <c r="L675" s="394">
        <f t="shared" si="177"/>
        <v>0.63678999999999997</v>
      </c>
      <c r="M675" s="394">
        <f t="shared" si="177"/>
        <v>0.63678999999999997</v>
      </c>
      <c r="N675" s="394">
        <f t="shared" si="177"/>
        <v>0.63678999999999997</v>
      </c>
      <c r="O675" s="394">
        <f t="shared" si="177"/>
        <v>0.63678999999999997</v>
      </c>
      <c r="P675" s="394">
        <f t="shared" si="177"/>
        <v>0.63678999999999997</v>
      </c>
      <c r="Q675" s="394">
        <f t="shared" si="177"/>
        <v>0.63678999999999997</v>
      </c>
      <c r="R675" s="441"/>
      <c r="S675" s="335"/>
      <c r="T675" s="415"/>
    </row>
    <row r="676" spans="1:20" s="336" customFormat="1" x14ac:dyDescent="0.2">
      <c r="B676" s="336" t="s">
        <v>1072</v>
      </c>
      <c r="D676" s="382"/>
      <c r="F676" s="518">
        <f>F317</f>
        <v>1</v>
      </c>
      <c r="G676" s="518">
        <f t="shared" si="177"/>
        <v>1</v>
      </c>
      <c r="H676" s="518">
        <f t="shared" si="177"/>
        <v>1</v>
      </c>
      <c r="I676" s="518">
        <f t="shared" si="177"/>
        <v>1</v>
      </c>
      <c r="J676" s="518">
        <f t="shared" si="177"/>
        <v>1</v>
      </c>
      <c r="K676" s="518">
        <f t="shared" si="177"/>
        <v>1</v>
      </c>
      <c r="L676" s="518">
        <f t="shared" si="177"/>
        <v>1</v>
      </c>
      <c r="M676" s="518">
        <f t="shared" si="177"/>
        <v>1</v>
      </c>
      <c r="N676" s="518">
        <f t="shared" si="177"/>
        <v>1</v>
      </c>
      <c r="O676" s="518">
        <f t="shared" si="177"/>
        <v>1</v>
      </c>
      <c r="P676" s="518">
        <f t="shared" si="177"/>
        <v>1</v>
      </c>
      <c r="Q676" s="518">
        <f t="shared" si="177"/>
        <v>1</v>
      </c>
      <c r="R676" s="441"/>
      <c r="S676" s="335"/>
      <c r="T676" s="415"/>
    </row>
    <row r="677" spans="1:20" s="336" customFormat="1" x14ac:dyDescent="0.2">
      <c r="S677" s="335"/>
      <c r="T677" s="415"/>
    </row>
    <row r="678" spans="1:20" s="336" customFormat="1" x14ac:dyDescent="0.2">
      <c r="B678" s="182" t="s">
        <v>982</v>
      </c>
      <c r="S678" s="335"/>
      <c r="T678" s="415"/>
    </row>
    <row r="679" spans="1:20" s="336" customFormat="1" x14ac:dyDescent="0.2">
      <c r="B679" s="336" t="s">
        <v>67</v>
      </c>
      <c r="E679" s="336" t="s">
        <v>67</v>
      </c>
      <c r="F679" s="421">
        <f>'JKP-3.1c - Data'!C151</f>
        <v>9</v>
      </c>
      <c r="G679" s="421">
        <f>'JKP-3.1c - Data'!D151</f>
        <v>11</v>
      </c>
      <c r="H679" s="421">
        <f>'JKP-3.1c - Data'!E151</f>
        <v>10</v>
      </c>
      <c r="I679" s="421">
        <f>'JKP-3.1c - Data'!F151</f>
        <v>9</v>
      </c>
      <c r="J679" s="421">
        <f>'JKP-3.1c - Data'!G151</f>
        <v>10</v>
      </c>
      <c r="K679" s="421">
        <f>'JKP-3.1c - Data'!H151</f>
        <v>9</v>
      </c>
      <c r="L679" s="421">
        <f>'JKP-3.1c - Data'!I151</f>
        <v>10</v>
      </c>
      <c r="M679" s="421">
        <f>'JKP-3.1c - Data'!J151</f>
        <v>10</v>
      </c>
      <c r="N679" s="421">
        <f>'JKP-3.1c - Data'!K151</f>
        <v>10</v>
      </c>
      <c r="O679" s="421">
        <f>'JKP-3.1c - Data'!L151</f>
        <v>10</v>
      </c>
      <c r="P679" s="421">
        <f>'JKP-3.1c - Data'!M151</f>
        <v>10</v>
      </c>
      <c r="Q679" s="421">
        <f>'JKP-3.1c - Data'!N151</f>
        <v>10</v>
      </c>
      <c r="R679" s="378">
        <f>SUM(F679:Q679)</f>
        <v>118</v>
      </c>
      <c r="S679" s="335"/>
      <c r="T679" s="415"/>
    </row>
    <row r="680" spans="1:20" s="336" customFormat="1" x14ac:dyDescent="0.2">
      <c r="B680" s="336" t="s">
        <v>76</v>
      </c>
      <c r="F680" s="380"/>
      <c r="G680" s="380"/>
      <c r="H680" s="380"/>
      <c r="I680" s="380"/>
      <c r="J680" s="380"/>
      <c r="K680" s="380"/>
      <c r="L680" s="380"/>
      <c r="M680" s="380"/>
      <c r="N680" s="380"/>
      <c r="O680" s="380"/>
      <c r="P680" s="380"/>
      <c r="Q680" s="380"/>
      <c r="R680" s="378"/>
      <c r="S680" s="335"/>
      <c r="T680" s="415"/>
    </row>
    <row r="681" spans="1:20" s="336" customFormat="1" x14ac:dyDescent="0.2">
      <c r="C681" s="336" t="s">
        <v>1098</v>
      </c>
      <c r="E681" s="336" t="s">
        <v>10</v>
      </c>
      <c r="F681" s="421">
        <f>'JKP-3.1c - Rev Actual Rates'!F692</f>
        <v>8746</v>
      </c>
      <c r="G681" s="421">
        <f>'JKP-3.1c - Rev Actual Rates'!G692</f>
        <v>8501</v>
      </c>
      <c r="H681" s="421">
        <f>'JKP-3.1c - Rev Actual Rates'!H692</f>
        <v>7448</v>
      </c>
      <c r="I681" s="421">
        <f>'JKP-3.1c - Rev Actual Rates'!I692</f>
        <v>8493</v>
      </c>
      <c r="J681" s="421">
        <f>'JKP-3.1c - Rev Actual Rates'!J692</f>
        <v>8187</v>
      </c>
      <c r="K681" s="421">
        <f>'JKP-3.1c - Rev Actual Rates'!K692</f>
        <v>7941</v>
      </c>
      <c r="L681" s="421">
        <f>'JKP-3.1c - Rev Actual Rates'!L692</f>
        <v>7145</v>
      </c>
      <c r="M681" s="421">
        <f>'JKP-3.1c - Rev Actual Rates'!M692</f>
        <v>7808</v>
      </c>
      <c r="N681" s="421">
        <f>'JKP-3.1c - Rev Actual Rates'!N692</f>
        <v>8000</v>
      </c>
      <c r="O681" s="421">
        <f>'JKP-3.1c - Rev Actual Rates'!O692</f>
        <v>6285</v>
      </c>
      <c r="P681" s="421">
        <f>'JKP-3.1c - Rev Actual Rates'!P692</f>
        <v>9249</v>
      </c>
      <c r="Q681" s="421">
        <f>'JKP-3.1c - Rev Actual Rates'!Q692</f>
        <v>9802</v>
      </c>
      <c r="R681" s="378">
        <f>SUM(F681:Q681)</f>
        <v>97605</v>
      </c>
      <c r="S681" s="335"/>
      <c r="T681" s="415"/>
    </row>
    <row r="682" spans="1:20" s="336" customFormat="1" x14ac:dyDescent="0.2">
      <c r="C682" s="336" t="s">
        <v>1099</v>
      </c>
      <c r="E682" s="336" t="s">
        <v>10</v>
      </c>
      <c r="F682" s="421">
        <f>'JKP-3.1c - Rev Actual Rates'!F693</f>
        <v>162759</v>
      </c>
      <c r="G682" s="421">
        <f>'JKP-3.1c - Rev Actual Rates'!G693</f>
        <v>137882</v>
      </c>
      <c r="H682" s="421">
        <f>'JKP-3.1c - Rev Actual Rates'!H693</f>
        <v>59467</v>
      </c>
      <c r="I682" s="421">
        <f>'JKP-3.1c - Rev Actual Rates'!I693</f>
        <v>32121</v>
      </c>
      <c r="J682" s="421">
        <f>'JKP-3.1c - Rev Actual Rates'!J693</f>
        <v>56841</v>
      </c>
      <c r="K682" s="421">
        <f>'JKP-3.1c - Rev Actual Rates'!K693</f>
        <v>75935</v>
      </c>
      <c r="L682" s="421">
        <f>'JKP-3.1c - Rev Actual Rates'!L693</f>
        <v>48383</v>
      </c>
      <c r="M682" s="421">
        <f>'JKP-3.1c - Rev Actual Rates'!M693</f>
        <v>23643</v>
      </c>
      <c r="N682" s="421">
        <f>'JKP-3.1c - Rev Actual Rates'!N693</f>
        <v>17943</v>
      </c>
      <c r="O682" s="421">
        <f>'JKP-3.1c - Rev Actual Rates'!O693</f>
        <v>23906</v>
      </c>
      <c r="P682" s="421">
        <f>'JKP-3.1c - Rev Actual Rates'!P693</f>
        <v>43005</v>
      </c>
      <c r="Q682" s="421">
        <f>'JKP-3.1c - Rev Actual Rates'!Q693</f>
        <v>52842</v>
      </c>
      <c r="R682" s="378">
        <f>SUM(F682:Q682)</f>
        <v>734727</v>
      </c>
      <c r="S682" s="335"/>
      <c r="T682" s="415"/>
    </row>
    <row r="683" spans="1:20" s="336" customFormat="1" x14ac:dyDescent="0.2">
      <c r="C683" s="336" t="s">
        <v>1075</v>
      </c>
      <c r="E683" s="336" t="s">
        <v>10</v>
      </c>
      <c r="F683" s="436">
        <f t="shared" ref="F683:R683" si="178">SUM(F681:F682)</f>
        <v>171505</v>
      </c>
      <c r="G683" s="436">
        <f t="shared" si="178"/>
        <v>146383</v>
      </c>
      <c r="H683" s="436">
        <f t="shared" si="178"/>
        <v>66915</v>
      </c>
      <c r="I683" s="436">
        <f t="shared" si="178"/>
        <v>40614</v>
      </c>
      <c r="J683" s="436">
        <f t="shared" si="178"/>
        <v>65028</v>
      </c>
      <c r="K683" s="436">
        <f t="shared" si="178"/>
        <v>83876</v>
      </c>
      <c r="L683" s="436">
        <f t="shared" si="178"/>
        <v>55528</v>
      </c>
      <c r="M683" s="436">
        <f t="shared" si="178"/>
        <v>31451</v>
      </c>
      <c r="N683" s="436">
        <f t="shared" si="178"/>
        <v>25943</v>
      </c>
      <c r="O683" s="436">
        <f t="shared" si="178"/>
        <v>30191</v>
      </c>
      <c r="P683" s="436">
        <f t="shared" si="178"/>
        <v>52254</v>
      </c>
      <c r="Q683" s="436">
        <f t="shared" si="178"/>
        <v>62644</v>
      </c>
      <c r="R683" s="436">
        <f t="shared" si="178"/>
        <v>832332</v>
      </c>
      <c r="S683" s="335"/>
      <c r="T683" s="415"/>
    </row>
    <row r="684" spans="1:20" s="336" customFormat="1" x14ac:dyDescent="0.2">
      <c r="B684" s="336" t="s">
        <v>74</v>
      </c>
      <c r="E684" s="336" t="s">
        <v>1076</v>
      </c>
      <c r="F684" s="421">
        <f>'JKP-3.1c - Rev Actual Rates'!F695</f>
        <v>127</v>
      </c>
      <c r="G684" s="421">
        <f>'JKP-3.1c - Rev Actual Rates'!G695</f>
        <v>137</v>
      </c>
      <c r="H684" s="421">
        <f>'JKP-3.1c - Rev Actual Rates'!H695</f>
        <v>132</v>
      </c>
      <c r="I684" s="421">
        <f>'JKP-3.1c - Rev Actual Rates'!I695</f>
        <v>132</v>
      </c>
      <c r="J684" s="421">
        <f>'JKP-3.1c - Rev Actual Rates'!J695</f>
        <v>132</v>
      </c>
      <c r="K684" s="421">
        <f>'JKP-3.1c - Rev Actual Rates'!K695</f>
        <v>132</v>
      </c>
      <c r="L684" s="421">
        <f>'JKP-3.1c - Rev Actual Rates'!L695</f>
        <v>132</v>
      </c>
      <c r="M684" s="421">
        <f>'JKP-3.1c - Rev Actual Rates'!M695</f>
        <v>132</v>
      </c>
      <c r="N684" s="421">
        <f>'JKP-3.1c - Rev Actual Rates'!N695</f>
        <v>132</v>
      </c>
      <c r="O684" s="421">
        <f>'JKP-3.1c - Rev Actual Rates'!O695</f>
        <v>132</v>
      </c>
      <c r="P684" s="421">
        <f>'JKP-3.1c - Rev Actual Rates'!P695</f>
        <v>132</v>
      </c>
      <c r="Q684" s="421">
        <f>'JKP-3.1c - Rev Actual Rates'!Q695</f>
        <v>132</v>
      </c>
      <c r="R684" s="378">
        <f>SUM(F684:Q684)</f>
        <v>1584</v>
      </c>
      <c r="S684" s="335"/>
      <c r="T684" s="415"/>
    </row>
    <row r="685" spans="1:20" s="336" customFormat="1" x14ac:dyDescent="0.2">
      <c r="B685" s="336" t="s">
        <v>1071</v>
      </c>
      <c r="F685" s="380"/>
      <c r="G685" s="380"/>
      <c r="H685" s="380"/>
      <c r="I685" s="380"/>
      <c r="J685" s="380"/>
      <c r="K685" s="380"/>
      <c r="L685" s="380"/>
      <c r="M685" s="380"/>
      <c r="N685" s="380"/>
      <c r="O685" s="380"/>
      <c r="P685" s="380"/>
      <c r="Q685" s="380"/>
      <c r="R685" s="378"/>
      <c r="S685" s="335"/>
      <c r="T685" s="415"/>
    </row>
    <row r="686" spans="1:20" s="336" customFormat="1" x14ac:dyDescent="0.2">
      <c r="R686" s="179"/>
      <c r="S686" s="335"/>
      <c r="T686" s="415"/>
    </row>
    <row r="687" spans="1:20" s="336" customFormat="1" x14ac:dyDescent="0.2">
      <c r="B687" s="182" t="s">
        <v>985</v>
      </c>
      <c r="R687" s="179"/>
      <c r="S687" s="335"/>
      <c r="T687" s="415"/>
    </row>
    <row r="688" spans="1:20" s="336" customFormat="1" x14ac:dyDescent="0.2">
      <c r="A688" s="336" t="s">
        <v>1054</v>
      </c>
      <c r="B688" s="336" t="s">
        <v>1059</v>
      </c>
      <c r="D688" s="336">
        <v>86</v>
      </c>
      <c r="F688" s="418">
        <f t="shared" ref="F688:Q688" si="179">F665*F679</f>
        <v>1285.1099999999999</v>
      </c>
      <c r="G688" s="418">
        <f t="shared" si="179"/>
        <v>1570.6899999999998</v>
      </c>
      <c r="H688" s="418">
        <f t="shared" si="179"/>
        <v>1427.8999999999999</v>
      </c>
      <c r="I688" s="418">
        <f t="shared" si="179"/>
        <v>1285.1099999999999</v>
      </c>
      <c r="J688" s="418">
        <f t="shared" si="179"/>
        <v>1427.8999999999999</v>
      </c>
      <c r="K688" s="418">
        <f t="shared" si="179"/>
        <v>1285.1099999999999</v>
      </c>
      <c r="L688" s="418">
        <f t="shared" si="179"/>
        <v>1427.8999999999999</v>
      </c>
      <c r="M688" s="418">
        <f t="shared" si="179"/>
        <v>1427.8999999999999</v>
      </c>
      <c r="N688" s="418">
        <f t="shared" si="179"/>
        <v>1427.8999999999999</v>
      </c>
      <c r="O688" s="418">
        <f t="shared" si="179"/>
        <v>1427.8999999999999</v>
      </c>
      <c r="P688" s="418">
        <f t="shared" si="179"/>
        <v>1427.8999999999999</v>
      </c>
      <c r="Q688" s="418">
        <f t="shared" si="179"/>
        <v>1427.8999999999999</v>
      </c>
      <c r="R688" s="437">
        <f>SUM(F688:Q688)</f>
        <v>16849.219999999998</v>
      </c>
      <c r="S688" s="335"/>
      <c r="T688" s="415"/>
    </row>
    <row r="689" spans="1:20" s="336" customFormat="1" x14ac:dyDescent="0.2">
      <c r="B689" s="336" t="s">
        <v>1047</v>
      </c>
      <c r="F689" s="418"/>
      <c r="G689" s="418"/>
      <c r="H689" s="418"/>
      <c r="I689" s="418"/>
      <c r="J689" s="418"/>
      <c r="K689" s="418"/>
      <c r="L689" s="418"/>
      <c r="M689" s="418"/>
      <c r="N689" s="418"/>
      <c r="O689" s="418"/>
      <c r="P689" s="418"/>
      <c r="Q689" s="418"/>
      <c r="R689" s="437"/>
      <c r="S689" s="335"/>
      <c r="T689" s="415"/>
    </row>
    <row r="690" spans="1:20" s="336" customFormat="1" x14ac:dyDescent="0.2">
      <c r="C690" s="336" t="s">
        <v>1098</v>
      </c>
      <c r="D690" s="336">
        <v>86</v>
      </c>
      <c r="F690" s="418">
        <f t="shared" ref="F690:Q691" si="180">F667*F681</f>
        <v>1775.9627599999999</v>
      </c>
      <c r="G690" s="418">
        <f t="shared" si="180"/>
        <v>1726.2130599999998</v>
      </c>
      <c r="H690" s="418">
        <f t="shared" si="180"/>
        <v>1512.3908799999999</v>
      </c>
      <c r="I690" s="418">
        <f t="shared" si="180"/>
        <v>1724.5885799999999</v>
      </c>
      <c r="J690" s="418">
        <f t="shared" si="180"/>
        <v>1662.4522199999999</v>
      </c>
      <c r="K690" s="418">
        <f t="shared" si="180"/>
        <v>1612.49946</v>
      </c>
      <c r="L690" s="418">
        <f t="shared" si="180"/>
        <v>1450.8636999999999</v>
      </c>
      <c r="M690" s="418">
        <f t="shared" si="180"/>
        <v>1585.4924799999999</v>
      </c>
      <c r="N690" s="418">
        <f t="shared" si="180"/>
        <v>1624.48</v>
      </c>
      <c r="O690" s="418">
        <f t="shared" si="180"/>
        <v>1276.2320999999999</v>
      </c>
      <c r="P690" s="418">
        <f t="shared" si="180"/>
        <v>1878.10194</v>
      </c>
      <c r="Q690" s="418">
        <f t="shared" si="180"/>
        <v>1990.3941199999999</v>
      </c>
      <c r="R690" s="437">
        <f>SUM(F690:Q690)</f>
        <v>19819.671299999995</v>
      </c>
      <c r="S690" s="335"/>
      <c r="T690" s="415"/>
    </row>
    <row r="691" spans="1:20" s="336" customFormat="1" x14ac:dyDescent="0.2">
      <c r="C691" s="336" t="s">
        <v>1099</v>
      </c>
      <c r="D691" s="336">
        <v>86</v>
      </c>
      <c r="F691" s="418">
        <f t="shared" si="180"/>
        <v>23696.08281</v>
      </c>
      <c r="G691" s="418">
        <f t="shared" si="180"/>
        <v>20074.240379999999</v>
      </c>
      <c r="H691" s="418">
        <f t="shared" si="180"/>
        <v>8657.8005300000004</v>
      </c>
      <c r="I691" s="418">
        <f t="shared" si="180"/>
        <v>4676.4963900000002</v>
      </c>
      <c r="J691" s="418">
        <f t="shared" si="180"/>
        <v>8275.4811900000004</v>
      </c>
      <c r="K691" s="418">
        <f t="shared" si="180"/>
        <v>11055.37665</v>
      </c>
      <c r="L691" s="418">
        <f t="shared" si="180"/>
        <v>7044.08097</v>
      </c>
      <c r="M691" s="418">
        <f t="shared" si="180"/>
        <v>3442.1843699999999</v>
      </c>
      <c r="N691" s="418">
        <f t="shared" si="180"/>
        <v>2612.3213700000001</v>
      </c>
      <c r="O691" s="418">
        <f t="shared" si="180"/>
        <v>3480.4745399999997</v>
      </c>
      <c r="P691" s="418">
        <f t="shared" si="180"/>
        <v>6261.0979500000003</v>
      </c>
      <c r="Q691" s="418">
        <f t="shared" si="180"/>
        <v>7693.2667799999999</v>
      </c>
      <c r="R691" s="437">
        <f>SUM(F691:Q691)</f>
        <v>106968.90393</v>
      </c>
      <c r="S691" s="335"/>
      <c r="T691" s="415"/>
    </row>
    <row r="692" spans="1:20" x14ac:dyDescent="0.2">
      <c r="A692" s="32" t="s">
        <v>1054</v>
      </c>
      <c r="C692" s="32" t="s">
        <v>1077</v>
      </c>
      <c r="F692" s="365">
        <f t="shared" ref="F692:R692" si="181">SUM(F690:F691)</f>
        <v>25472.045569999998</v>
      </c>
      <c r="G692" s="365">
        <f t="shared" si="181"/>
        <v>21800.453439999997</v>
      </c>
      <c r="H692" s="365">
        <f t="shared" si="181"/>
        <v>10170.191409999999</v>
      </c>
      <c r="I692" s="365">
        <f t="shared" si="181"/>
        <v>6401.0849699999999</v>
      </c>
      <c r="J692" s="365">
        <f t="shared" si="181"/>
        <v>9937.9334099999996</v>
      </c>
      <c r="K692" s="365">
        <f t="shared" si="181"/>
        <v>12667.876110000001</v>
      </c>
      <c r="L692" s="365">
        <f t="shared" si="181"/>
        <v>8494.9446700000008</v>
      </c>
      <c r="M692" s="365">
        <f t="shared" si="181"/>
        <v>5027.6768499999998</v>
      </c>
      <c r="N692" s="365">
        <f t="shared" si="181"/>
        <v>4236.8013700000001</v>
      </c>
      <c r="O692" s="365">
        <f t="shared" si="181"/>
        <v>4756.7066399999994</v>
      </c>
      <c r="P692" s="365">
        <f t="shared" si="181"/>
        <v>8139.1998899999999</v>
      </c>
      <c r="Q692" s="365">
        <f t="shared" si="181"/>
        <v>9683.6608999999989</v>
      </c>
      <c r="R692" s="365">
        <f t="shared" si="181"/>
        <v>126788.57522999999</v>
      </c>
    </row>
    <row r="693" spans="1:20" x14ac:dyDescent="0.2">
      <c r="A693" s="336" t="s">
        <v>1056</v>
      </c>
      <c r="B693" s="32" t="s">
        <v>1057</v>
      </c>
      <c r="D693" s="32">
        <v>101</v>
      </c>
      <c r="F693" s="364">
        <f t="shared" ref="F693:Q693" si="182">F669*F683</f>
        <v>114148.58285000001</v>
      </c>
      <c r="G693" s="364">
        <f t="shared" si="182"/>
        <v>97428.133310000005</v>
      </c>
      <c r="H693" s="364">
        <f t="shared" si="182"/>
        <v>44536.616549999999</v>
      </c>
      <c r="I693" s="364">
        <f t="shared" si="182"/>
        <v>27031.45998</v>
      </c>
      <c r="J693" s="364">
        <f t="shared" si="182"/>
        <v>43280.685960000003</v>
      </c>
      <c r="K693" s="364">
        <f t="shared" si="182"/>
        <v>55825.349320000001</v>
      </c>
      <c r="L693" s="364">
        <f t="shared" si="182"/>
        <v>36957.770960000002</v>
      </c>
      <c r="M693" s="364">
        <f t="shared" si="182"/>
        <v>20932.842069999999</v>
      </c>
      <c r="N693" s="364">
        <f t="shared" si="182"/>
        <v>17266.882509999999</v>
      </c>
      <c r="O693" s="364">
        <f t="shared" si="182"/>
        <v>20094.223870000002</v>
      </c>
      <c r="P693" s="364">
        <f t="shared" si="182"/>
        <v>34778.694779999998</v>
      </c>
      <c r="Q693" s="364">
        <f t="shared" si="182"/>
        <v>41693.967080000002</v>
      </c>
      <c r="R693" s="341">
        <f>SUM(F693:Q693)</f>
        <v>553975.20924000011</v>
      </c>
    </row>
    <row r="694" spans="1:20" x14ac:dyDescent="0.2">
      <c r="A694" s="32" t="s">
        <v>1054</v>
      </c>
      <c r="B694" s="32" t="s">
        <v>1096</v>
      </c>
      <c r="D694" s="444"/>
      <c r="F694" s="365">
        <f t="shared" ref="F694:Q694" si="183">F670*F683</f>
        <v>1157.6587500000001</v>
      </c>
      <c r="G694" s="365">
        <f t="shared" si="183"/>
        <v>988.08524999999997</v>
      </c>
      <c r="H694" s="365">
        <f t="shared" si="183"/>
        <v>451.67624999999998</v>
      </c>
      <c r="I694" s="365">
        <f t="shared" si="183"/>
        <v>274.14449999999999</v>
      </c>
      <c r="J694" s="365">
        <f t="shared" si="183"/>
        <v>438.93900000000002</v>
      </c>
      <c r="K694" s="365">
        <f t="shared" si="183"/>
        <v>566.16300000000001</v>
      </c>
      <c r="L694" s="365">
        <f t="shared" si="183"/>
        <v>374.81400000000002</v>
      </c>
      <c r="M694" s="365">
        <f t="shared" si="183"/>
        <v>212.29425000000001</v>
      </c>
      <c r="N694" s="365">
        <f t="shared" si="183"/>
        <v>175.11525</v>
      </c>
      <c r="O694" s="365">
        <f t="shared" si="183"/>
        <v>203.78925000000001</v>
      </c>
      <c r="P694" s="365">
        <f t="shared" si="183"/>
        <v>352.71449999999999</v>
      </c>
      <c r="Q694" s="365">
        <f t="shared" si="183"/>
        <v>422.84699999999998</v>
      </c>
      <c r="R694" s="365">
        <f>SUM(F694:Q694)</f>
        <v>5618.2409999999991</v>
      </c>
    </row>
    <row r="695" spans="1:20" x14ac:dyDescent="0.2">
      <c r="B695" s="32" t="s">
        <v>1068</v>
      </c>
      <c r="F695" s="364"/>
      <c r="G695" s="364"/>
      <c r="H695" s="364"/>
      <c r="I695" s="364"/>
      <c r="J695" s="364"/>
      <c r="K695" s="364"/>
      <c r="L695" s="364"/>
      <c r="M695" s="364"/>
      <c r="N695" s="364"/>
      <c r="O695" s="364"/>
      <c r="P695" s="364"/>
      <c r="Q695" s="364"/>
      <c r="R695" s="341"/>
    </row>
    <row r="696" spans="1:20" x14ac:dyDescent="0.2">
      <c r="A696" s="32" t="s">
        <v>1054</v>
      </c>
      <c r="C696" s="32" t="s">
        <v>1069</v>
      </c>
      <c r="D696" s="32">
        <v>86</v>
      </c>
      <c r="F696" s="364">
        <f t="shared" ref="F696:Q696" si="184">F672*F684</f>
        <v>144.78</v>
      </c>
      <c r="G696" s="364">
        <f t="shared" si="184"/>
        <v>156.17999999999998</v>
      </c>
      <c r="H696" s="364">
        <f t="shared" si="184"/>
        <v>150.47999999999999</v>
      </c>
      <c r="I696" s="364">
        <f t="shared" si="184"/>
        <v>150.47999999999999</v>
      </c>
      <c r="J696" s="364">
        <f t="shared" si="184"/>
        <v>150.47999999999999</v>
      </c>
      <c r="K696" s="364">
        <f t="shared" si="184"/>
        <v>150.47999999999999</v>
      </c>
      <c r="L696" s="364">
        <f t="shared" si="184"/>
        <v>150.47999999999999</v>
      </c>
      <c r="M696" s="364">
        <f t="shared" si="184"/>
        <v>150.47999999999999</v>
      </c>
      <c r="N696" s="364">
        <f t="shared" si="184"/>
        <v>150.47999999999999</v>
      </c>
      <c r="O696" s="364">
        <f t="shared" si="184"/>
        <v>150.47999999999999</v>
      </c>
      <c r="P696" s="364">
        <f t="shared" si="184"/>
        <v>150.47999999999999</v>
      </c>
      <c r="Q696" s="364">
        <f t="shared" si="184"/>
        <v>150.47999999999999</v>
      </c>
      <c r="R696" s="341">
        <f>SUM(F696:Q696)</f>
        <v>1805.76</v>
      </c>
    </row>
    <row r="697" spans="1:20" x14ac:dyDescent="0.2">
      <c r="A697" s="336" t="s">
        <v>1056</v>
      </c>
      <c r="C697" s="32" t="s">
        <v>1070</v>
      </c>
      <c r="D697" s="32">
        <v>101</v>
      </c>
      <c r="F697" s="364">
        <f t="shared" ref="F697:Q697" si="185">F673*F684</f>
        <v>133.35</v>
      </c>
      <c r="G697" s="364">
        <f t="shared" si="185"/>
        <v>143.85</v>
      </c>
      <c r="H697" s="364">
        <f t="shared" si="185"/>
        <v>138.6</v>
      </c>
      <c r="I697" s="364">
        <f t="shared" si="185"/>
        <v>138.6</v>
      </c>
      <c r="J697" s="364">
        <f t="shared" si="185"/>
        <v>138.6</v>
      </c>
      <c r="K697" s="364">
        <f t="shared" si="185"/>
        <v>138.6</v>
      </c>
      <c r="L697" s="364">
        <f t="shared" si="185"/>
        <v>138.6</v>
      </c>
      <c r="M697" s="364">
        <f t="shared" si="185"/>
        <v>138.6</v>
      </c>
      <c r="N697" s="364">
        <f t="shared" si="185"/>
        <v>138.6</v>
      </c>
      <c r="O697" s="364">
        <f t="shared" si="185"/>
        <v>138.6</v>
      </c>
      <c r="P697" s="364">
        <f t="shared" si="185"/>
        <v>138.6</v>
      </c>
      <c r="Q697" s="364">
        <f t="shared" si="185"/>
        <v>138.6</v>
      </c>
      <c r="R697" s="341">
        <f>SUM(F697:Q697)</f>
        <v>1663.1999999999996</v>
      </c>
    </row>
    <row r="698" spans="1:20" x14ac:dyDescent="0.2">
      <c r="C698" s="32" t="s">
        <v>1078</v>
      </c>
      <c r="F698" s="365">
        <f t="shared" ref="F698:R698" si="186">SUM(F696:F697)</f>
        <v>278.13</v>
      </c>
      <c r="G698" s="365">
        <f t="shared" si="186"/>
        <v>300.02999999999997</v>
      </c>
      <c r="H698" s="365">
        <f t="shared" si="186"/>
        <v>289.08</v>
      </c>
      <c r="I698" s="365">
        <f t="shared" si="186"/>
        <v>289.08</v>
      </c>
      <c r="J698" s="365">
        <f t="shared" si="186"/>
        <v>289.08</v>
      </c>
      <c r="K698" s="365">
        <f t="shared" si="186"/>
        <v>289.08</v>
      </c>
      <c r="L698" s="365">
        <f t="shared" si="186"/>
        <v>289.08</v>
      </c>
      <c r="M698" s="365">
        <f t="shared" si="186"/>
        <v>289.08</v>
      </c>
      <c r="N698" s="365">
        <f t="shared" si="186"/>
        <v>289.08</v>
      </c>
      <c r="O698" s="365">
        <f t="shared" si="186"/>
        <v>289.08</v>
      </c>
      <c r="P698" s="365">
        <f t="shared" si="186"/>
        <v>289.08</v>
      </c>
      <c r="Q698" s="365">
        <f t="shared" si="186"/>
        <v>289.08</v>
      </c>
      <c r="R698" s="365">
        <f t="shared" si="186"/>
        <v>3468.9599999999996</v>
      </c>
    </row>
    <row r="699" spans="1:20" s="336" customFormat="1" x14ac:dyDescent="0.2">
      <c r="A699" s="336" t="s">
        <v>1054</v>
      </c>
      <c r="B699" s="336" t="s">
        <v>1071</v>
      </c>
      <c r="D699" s="336">
        <v>86</v>
      </c>
      <c r="F699" s="447">
        <f>'JKP-3.1c - Rev Actual Rates'!F710</f>
        <v>0</v>
      </c>
      <c r="G699" s="447">
        <f>'JKP-3.1c - Rev Actual Rates'!G710</f>
        <v>0</v>
      </c>
      <c r="H699" s="447">
        <f>'JKP-3.1c - Rev Actual Rates'!H710</f>
        <v>0</v>
      </c>
      <c r="I699" s="447">
        <f>'JKP-3.1c - Rev Actual Rates'!I710</f>
        <v>0</v>
      </c>
      <c r="J699" s="447">
        <f>'JKP-3.1c - Rev Actual Rates'!J710</f>
        <v>0</v>
      </c>
      <c r="K699" s="447">
        <f>'JKP-3.1c - Rev Actual Rates'!K710</f>
        <v>0</v>
      </c>
      <c r="L699" s="447">
        <f>'JKP-3.1c - Rev Actual Rates'!L710</f>
        <v>0</v>
      </c>
      <c r="M699" s="447">
        <f>'JKP-3.1c - Rev Actual Rates'!M710</f>
        <v>0</v>
      </c>
      <c r="N699" s="447">
        <f>'JKP-3.1c - Rev Actual Rates'!N710</f>
        <v>1255.01</v>
      </c>
      <c r="O699" s="447">
        <f>'JKP-3.1c - Rev Actual Rates'!O710</f>
        <v>0</v>
      </c>
      <c r="P699" s="447">
        <f>'JKP-3.1c - Rev Actual Rates'!P710</f>
        <v>0</v>
      </c>
      <c r="Q699" s="447">
        <f>'JKP-3.1c - Rev Actual Rates'!Q710</f>
        <v>0</v>
      </c>
      <c r="R699" s="437">
        <f>SUM(F699:Q699)</f>
        <v>1255.01</v>
      </c>
      <c r="S699" s="335"/>
      <c r="T699" s="415"/>
    </row>
    <row r="700" spans="1:20" x14ac:dyDescent="0.2">
      <c r="B700" s="32" t="s">
        <v>1079</v>
      </c>
      <c r="F700" s="365">
        <f t="shared" ref="F700:R700" si="187">F693+F697</f>
        <v>114281.93285000001</v>
      </c>
      <c r="G700" s="365">
        <f t="shared" si="187"/>
        <v>97571.983310000011</v>
      </c>
      <c r="H700" s="365">
        <f t="shared" si="187"/>
        <v>44675.216549999997</v>
      </c>
      <c r="I700" s="365">
        <f t="shared" si="187"/>
        <v>27170.059979999998</v>
      </c>
      <c r="J700" s="365">
        <f t="shared" si="187"/>
        <v>43419.285960000001</v>
      </c>
      <c r="K700" s="365">
        <f t="shared" si="187"/>
        <v>55963.94932</v>
      </c>
      <c r="L700" s="365">
        <f t="shared" si="187"/>
        <v>37096.37096</v>
      </c>
      <c r="M700" s="365">
        <f t="shared" si="187"/>
        <v>21071.442069999997</v>
      </c>
      <c r="N700" s="365">
        <f t="shared" si="187"/>
        <v>17405.482509999998</v>
      </c>
      <c r="O700" s="365">
        <f t="shared" si="187"/>
        <v>20232.82387</v>
      </c>
      <c r="P700" s="365">
        <f t="shared" si="187"/>
        <v>34917.294779999997</v>
      </c>
      <c r="Q700" s="365">
        <f t="shared" si="187"/>
        <v>41832.567080000001</v>
      </c>
      <c r="R700" s="365">
        <f t="shared" si="187"/>
        <v>555638.40924000007</v>
      </c>
    </row>
    <row r="701" spans="1:20" x14ac:dyDescent="0.2">
      <c r="B701" s="32" t="s">
        <v>986</v>
      </c>
      <c r="F701" s="365">
        <f t="shared" ref="F701:R701" si="188">F688+F692+F693+F694+F698+F699</f>
        <v>142341.52717000002</v>
      </c>
      <c r="G701" s="365">
        <f t="shared" si="188"/>
        <v>122087.39200000001</v>
      </c>
      <c r="H701" s="365">
        <f t="shared" si="188"/>
        <v>56875.464209999998</v>
      </c>
      <c r="I701" s="365">
        <f t="shared" si="188"/>
        <v>35280.87945</v>
      </c>
      <c r="J701" s="365">
        <f t="shared" si="188"/>
        <v>55374.538370000002</v>
      </c>
      <c r="K701" s="365">
        <f t="shared" si="188"/>
        <v>70633.578430000009</v>
      </c>
      <c r="L701" s="365">
        <f t="shared" si="188"/>
        <v>47544.50963</v>
      </c>
      <c r="M701" s="365">
        <f t="shared" si="188"/>
        <v>27889.793169999997</v>
      </c>
      <c r="N701" s="365">
        <f t="shared" si="188"/>
        <v>24650.789129999997</v>
      </c>
      <c r="O701" s="365">
        <f t="shared" si="188"/>
        <v>26771.699760000003</v>
      </c>
      <c r="P701" s="365">
        <f t="shared" si="188"/>
        <v>44987.589169999999</v>
      </c>
      <c r="Q701" s="365">
        <f t="shared" si="188"/>
        <v>53517.454980000002</v>
      </c>
      <c r="R701" s="365">
        <f t="shared" si="188"/>
        <v>707955.21547000005</v>
      </c>
      <c r="T701" s="340"/>
    </row>
    <row r="702" spans="1:20" x14ac:dyDescent="0.2">
      <c r="F702" s="364"/>
      <c r="G702" s="364"/>
      <c r="H702" s="364"/>
      <c r="I702" s="364"/>
      <c r="J702" s="364"/>
      <c r="K702" s="364"/>
      <c r="L702" s="364"/>
      <c r="M702" s="364"/>
      <c r="N702" s="364"/>
      <c r="O702" s="364"/>
      <c r="P702" s="364"/>
      <c r="Q702" s="364"/>
      <c r="R702" s="341"/>
      <c r="T702" s="415"/>
    </row>
    <row r="703" spans="1:20" x14ac:dyDescent="0.2">
      <c r="A703" s="32" t="s">
        <v>1058</v>
      </c>
      <c r="B703" s="32" t="s">
        <v>1050</v>
      </c>
      <c r="F703" s="364">
        <f>F675*F683+F684*F676</f>
        <v>109339.66894999999</v>
      </c>
      <c r="G703" s="364">
        <f t="shared" ref="G703:Q703" si="189">G675*G683+G684*G676</f>
        <v>93352.23057</v>
      </c>
      <c r="H703" s="364">
        <f t="shared" si="189"/>
        <v>42742.80285</v>
      </c>
      <c r="I703" s="364">
        <f t="shared" si="189"/>
        <v>25994.589059999998</v>
      </c>
      <c r="J703" s="364">
        <f t="shared" si="189"/>
        <v>41541.180119999997</v>
      </c>
      <c r="K703" s="364">
        <f t="shared" si="189"/>
        <v>53543.39804</v>
      </c>
      <c r="L703" s="364">
        <f t="shared" si="189"/>
        <v>35491.67512</v>
      </c>
      <c r="M703" s="364">
        <f t="shared" si="189"/>
        <v>20159.682290000001</v>
      </c>
      <c r="N703" s="364">
        <f t="shared" si="189"/>
        <v>16652.242969999999</v>
      </c>
      <c r="O703" s="364">
        <f t="shared" si="189"/>
        <v>19357.32689</v>
      </c>
      <c r="P703" s="364">
        <f t="shared" si="189"/>
        <v>33406.824659999998</v>
      </c>
      <c r="Q703" s="364">
        <f t="shared" si="189"/>
        <v>40023.072759999995</v>
      </c>
      <c r="R703" s="341">
        <f>SUM(F703:Q703)</f>
        <v>531604.69427999994</v>
      </c>
      <c r="T703" s="415"/>
    </row>
    <row r="704" spans="1:20" x14ac:dyDescent="0.2">
      <c r="F704" s="364"/>
      <c r="G704" s="364"/>
      <c r="H704" s="364"/>
      <c r="I704" s="364"/>
      <c r="J704" s="364"/>
      <c r="K704" s="364"/>
      <c r="L704" s="364"/>
      <c r="M704" s="364"/>
      <c r="N704" s="364"/>
      <c r="O704" s="364"/>
      <c r="P704" s="364"/>
      <c r="Q704" s="364"/>
      <c r="R704" s="341"/>
      <c r="T704" s="415"/>
    </row>
    <row r="705" spans="1:20" x14ac:dyDescent="0.2">
      <c r="B705" s="276" t="s">
        <v>1112</v>
      </c>
      <c r="C705" s="276"/>
    </row>
    <row r="706" spans="1:20" x14ac:dyDescent="0.2">
      <c r="B706" s="276" t="s">
        <v>5</v>
      </c>
      <c r="C706" s="276"/>
    </row>
    <row r="707" spans="1:20" x14ac:dyDescent="0.2">
      <c r="B707" s="32" t="s">
        <v>1059</v>
      </c>
      <c r="D707" s="32">
        <v>87</v>
      </c>
      <c r="E707" s="32" t="s">
        <v>976</v>
      </c>
      <c r="F707" s="413">
        <f t="shared" ref="F707:Q707" si="190">F348</f>
        <v>558.41999999999996</v>
      </c>
      <c r="G707" s="413">
        <f t="shared" si="190"/>
        <v>558.41999999999996</v>
      </c>
      <c r="H707" s="413">
        <f t="shared" si="190"/>
        <v>558.41999999999996</v>
      </c>
      <c r="I707" s="413">
        <f t="shared" si="190"/>
        <v>558.41999999999996</v>
      </c>
      <c r="J707" s="413">
        <f t="shared" si="190"/>
        <v>558.41999999999996</v>
      </c>
      <c r="K707" s="413">
        <f t="shared" si="190"/>
        <v>558.41999999999996</v>
      </c>
      <c r="L707" s="413">
        <f t="shared" si="190"/>
        <v>558.41999999999996</v>
      </c>
      <c r="M707" s="413">
        <f t="shared" si="190"/>
        <v>558.41999999999996</v>
      </c>
      <c r="N707" s="413">
        <f t="shared" si="190"/>
        <v>558.41999999999996</v>
      </c>
      <c r="O707" s="413">
        <f t="shared" si="190"/>
        <v>558.41999999999996</v>
      </c>
      <c r="P707" s="413">
        <f t="shared" si="190"/>
        <v>558.41999999999996</v>
      </c>
      <c r="Q707" s="413">
        <f t="shared" si="190"/>
        <v>558.41999999999996</v>
      </c>
      <c r="R707" s="439"/>
    </row>
    <row r="708" spans="1:20" x14ac:dyDescent="0.2">
      <c r="B708" s="32" t="s">
        <v>1047</v>
      </c>
      <c r="F708" s="393"/>
      <c r="G708" s="393"/>
      <c r="H708" s="393"/>
      <c r="I708" s="393"/>
      <c r="J708" s="393"/>
      <c r="K708" s="393"/>
      <c r="L708" s="393"/>
      <c r="M708" s="393"/>
      <c r="N708" s="393"/>
      <c r="O708" s="393"/>
      <c r="P708" s="393"/>
      <c r="Q708" s="393"/>
      <c r="R708" s="394"/>
    </row>
    <row r="709" spans="1:20" x14ac:dyDescent="0.2">
      <c r="C709" s="32" t="s">
        <v>1086</v>
      </c>
      <c r="D709" s="32">
        <v>87</v>
      </c>
      <c r="E709" s="32" t="s">
        <v>957</v>
      </c>
      <c r="F709" s="393">
        <f t="shared" ref="F709:Q716" si="191">F350</f>
        <v>0.14158000000000001</v>
      </c>
      <c r="G709" s="393">
        <f t="shared" si="191"/>
        <v>0.14158000000000001</v>
      </c>
      <c r="H709" s="393">
        <f t="shared" si="191"/>
        <v>0.14158000000000001</v>
      </c>
      <c r="I709" s="393">
        <f t="shared" si="191"/>
        <v>0.14158000000000001</v>
      </c>
      <c r="J709" s="393">
        <f t="shared" si="191"/>
        <v>0.14158000000000001</v>
      </c>
      <c r="K709" s="393">
        <f t="shared" si="191"/>
        <v>0.14158000000000001</v>
      </c>
      <c r="L709" s="393">
        <f t="shared" si="191"/>
        <v>0.14158000000000001</v>
      </c>
      <c r="M709" s="393">
        <f t="shared" si="191"/>
        <v>0.14158000000000001</v>
      </c>
      <c r="N709" s="393">
        <f t="shared" si="191"/>
        <v>0.14158000000000001</v>
      </c>
      <c r="O709" s="393">
        <f t="shared" si="191"/>
        <v>0.14158000000000001</v>
      </c>
      <c r="P709" s="393">
        <f t="shared" si="191"/>
        <v>0.14158000000000001</v>
      </c>
      <c r="Q709" s="393">
        <f t="shared" si="191"/>
        <v>0.14158000000000001</v>
      </c>
      <c r="R709" s="394"/>
    </row>
    <row r="710" spans="1:20" x14ac:dyDescent="0.2">
      <c r="C710" s="32" t="s">
        <v>1087</v>
      </c>
      <c r="D710" s="32">
        <v>87</v>
      </c>
      <c r="E710" s="32" t="s">
        <v>957</v>
      </c>
      <c r="F710" s="393">
        <f t="shared" si="191"/>
        <v>8.6440000000000003E-2</v>
      </c>
      <c r="G710" s="393">
        <f t="shared" si="191"/>
        <v>8.6440000000000003E-2</v>
      </c>
      <c r="H710" s="393">
        <f t="shared" si="191"/>
        <v>8.6440000000000003E-2</v>
      </c>
      <c r="I710" s="393">
        <f t="shared" si="191"/>
        <v>8.6440000000000003E-2</v>
      </c>
      <c r="J710" s="393">
        <f t="shared" si="191"/>
        <v>8.6440000000000003E-2</v>
      </c>
      <c r="K710" s="393">
        <f t="shared" si="191"/>
        <v>8.6440000000000003E-2</v>
      </c>
      <c r="L710" s="393">
        <f t="shared" si="191"/>
        <v>8.6440000000000003E-2</v>
      </c>
      <c r="M710" s="393">
        <f t="shared" si="191"/>
        <v>8.6440000000000003E-2</v>
      </c>
      <c r="N710" s="393">
        <f t="shared" si="191"/>
        <v>8.6440000000000003E-2</v>
      </c>
      <c r="O710" s="393">
        <f t="shared" si="191"/>
        <v>8.6440000000000003E-2</v>
      </c>
      <c r="P710" s="393">
        <f t="shared" si="191"/>
        <v>8.6440000000000003E-2</v>
      </c>
      <c r="Q710" s="393">
        <f t="shared" si="191"/>
        <v>8.6440000000000003E-2</v>
      </c>
      <c r="R710" s="394"/>
    </row>
    <row r="711" spans="1:20" x14ac:dyDescent="0.2">
      <c r="C711" s="32" t="s">
        <v>1090</v>
      </c>
      <c r="D711" s="32">
        <v>87</v>
      </c>
      <c r="E711" s="32" t="s">
        <v>957</v>
      </c>
      <c r="F711" s="393">
        <f t="shared" si="191"/>
        <v>5.5809999999999998E-2</v>
      </c>
      <c r="G711" s="393">
        <f t="shared" si="191"/>
        <v>5.5809999999999998E-2</v>
      </c>
      <c r="H711" s="393">
        <f t="shared" si="191"/>
        <v>5.5809999999999998E-2</v>
      </c>
      <c r="I711" s="393">
        <f t="shared" si="191"/>
        <v>5.5809999999999998E-2</v>
      </c>
      <c r="J711" s="393">
        <f t="shared" si="191"/>
        <v>5.5809999999999998E-2</v>
      </c>
      <c r="K711" s="393">
        <f t="shared" si="191"/>
        <v>5.5809999999999998E-2</v>
      </c>
      <c r="L711" s="393">
        <f t="shared" si="191"/>
        <v>5.5809999999999998E-2</v>
      </c>
      <c r="M711" s="393">
        <f t="shared" si="191"/>
        <v>5.5809999999999998E-2</v>
      </c>
      <c r="N711" s="393">
        <f t="shared" si="191"/>
        <v>5.5809999999999998E-2</v>
      </c>
      <c r="O711" s="393">
        <f t="shared" si="191"/>
        <v>5.5809999999999998E-2</v>
      </c>
      <c r="P711" s="393">
        <f t="shared" si="191"/>
        <v>5.5809999999999998E-2</v>
      </c>
      <c r="Q711" s="393">
        <f t="shared" si="191"/>
        <v>5.5809999999999998E-2</v>
      </c>
      <c r="R711" s="394"/>
    </row>
    <row r="712" spans="1:20" x14ac:dyDescent="0.2">
      <c r="C712" s="32" t="s">
        <v>1091</v>
      </c>
      <c r="D712" s="32">
        <v>87</v>
      </c>
      <c r="E712" s="32" t="s">
        <v>957</v>
      </c>
      <c r="F712" s="393">
        <f t="shared" si="191"/>
        <v>3.6589999999999998E-2</v>
      </c>
      <c r="G712" s="393">
        <f t="shared" si="191"/>
        <v>3.6589999999999998E-2</v>
      </c>
      <c r="H712" s="393">
        <f t="shared" si="191"/>
        <v>3.6589999999999998E-2</v>
      </c>
      <c r="I712" s="393">
        <f t="shared" si="191"/>
        <v>3.6589999999999998E-2</v>
      </c>
      <c r="J712" s="393">
        <f t="shared" si="191"/>
        <v>3.6589999999999998E-2</v>
      </c>
      <c r="K712" s="393">
        <f t="shared" si="191"/>
        <v>3.6589999999999998E-2</v>
      </c>
      <c r="L712" s="393">
        <f t="shared" si="191"/>
        <v>3.6589999999999998E-2</v>
      </c>
      <c r="M712" s="393">
        <f t="shared" si="191"/>
        <v>3.6589999999999998E-2</v>
      </c>
      <c r="N712" s="393">
        <f t="shared" si="191"/>
        <v>3.6589999999999998E-2</v>
      </c>
      <c r="O712" s="393">
        <f t="shared" si="191"/>
        <v>3.6589999999999998E-2</v>
      </c>
      <c r="P712" s="393">
        <f t="shared" si="191"/>
        <v>3.6589999999999998E-2</v>
      </c>
      <c r="Q712" s="393">
        <f t="shared" si="191"/>
        <v>3.6589999999999998E-2</v>
      </c>
      <c r="R712" s="394"/>
    </row>
    <row r="713" spans="1:20" x14ac:dyDescent="0.2">
      <c r="C713" s="32" t="s">
        <v>1092</v>
      </c>
      <c r="D713" s="32">
        <v>87</v>
      </c>
      <c r="E713" s="32" t="s">
        <v>957</v>
      </c>
      <c r="F713" s="393">
        <f t="shared" si="191"/>
        <v>2.6950000000000002E-2</v>
      </c>
      <c r="G713" s="393">
        <f t="shared" si="191"/>
        <v>2.6950000000000002E-2</v>
      </c>
      <c r="H713" s="393">
        <f t="shared" si="191"/>
        <v>2.6950000000000002E-2</v>
      </c>
      <c r="I713" s="393">
        <f t="shared" si="191"/>
        <v>2.6950000000000002E-2</v>
      </c>
      <c r="J713" s="393">
        <f t="shared" si="191"/>
        <v>2.6950000000000002E-2</v>
      </c>
      <c r="K713" s="393">
        <f t="shared" si="191"/>
        <v>2.6950000000000002E-2</v>
      </c>
      <c r="L713" s="393">
        <f t="shared" si="191"/>
        <v>2.6950000000000002E-2</v>
      </c>
      <c r="M713" s="393">
        <f t="shared" si="191"/>
        <v>2.6950000000000002E-2</v>
      </c>
      <c r="N713" s="393">
        <f t="shared" si="191"/>
        <v>2.6950000000000002E-2</v>
      </c>
      <c r="O713" s="393">
        <f t="shared" si="191"/>
        <v>2.6950000000000002E-2</v>
      </c>
      <c r="P713" s="393">
        <f t="shared" si="191"/>
        <v>2.6950000000000002E-2</v>
      </c>
      <c r="Q713" s="393">
        <f t="shared" si="191"/>
        <v>2.6950000000000002E-2</v>
      </c>
      <c r="R713" s="394"/>
    </row>
    <row r="714" spans="1:20" x14ac:dyDescent="0.2">
      <c r="C714" s="32" t="s">
        <v>1093</v>
      </c>
      <c r="D714" s="32">
        <v>87</v>
      </c>
      <c r="E714" s="32" t="s">
        <v>957</v>
      </c>
      <c r="F714" s="393">
        <f t="shared" si="191"/>
        <v>2.129E-2</v>
      </c>
      <c r="G714" s="393">
        <f t="shared" si="191"/>
        <v>2.129E-2</v>
      </c>
      <c r="H714" s="393">
        <f t="shared" si="191"/>
        <v>2.129E-2</v>
      </c>
      <c r="I714" s="393">
        <f t="shared" si="191"/>
        <v>2.129E-2</v>
      </c>
      <c r="J714" s="393">
        <f t="shared" si="191"/>
        <v>2.129E-2</v>
      </c>
      <c r="K714" s="393">
        <f t="shared" si="191"/>
        <v>2.129E-2</v>
      </c>
      <c r="L714" s="393">
        <f t="shared" si="191"/>
        <v>2.129E-2</v>
      </c>
      <c r="M714" s="393">
        <f t="shared" si="191"/>
        <v>2.129E-2</v>
      </c>
      <c r="N714" s="393">
        <f t="shared" si="191"/>
        <v>2.129E-2</v>
      </c>
      <c r="O714" s="393">
        <f t="shared" si="191"/>
        <v>2.129E-2</v>
      </c>
      <c r="P714" s="393">
        <f t="shared" si="191"/>
        <v>2.129E-2</v>
      </c>
      <c r="Q714" s="393">
        <f t="shared" si="191"/>
        <v>2.129E-2</v>
      </c>
      <c r="R714" s="394"/>
    </row>
    <row r="715" spans="1:20" x14ac:dyDescent="0.2">
      <c r="A715" s="336"/>
      <c r="B715" s="32" t="s">
        <v>1067</v>
      </c>
      <c r="D715" s="32">
        <v>101</v>
      </c>
      <c r="E715" s="32" t="s">
        <v>957</v>
      </c>
      <c r="F715" s="393">
        <f t="shared" si="191"/>
        <v>0.65951000000000004</v>
      </c>
      <c r="G715" s="393">
        <f t="shared" si="191"/>
        <v>0.65951000000000004</v>
      </c>
      <c r="H715" s="393">
        <f t="shared" si="191"/>
        <v>0.65951000000000004</v>
      </c>
      <c r="I715" s="393">
        <f t="shared" si="191"/>
        <v>0.65951000000000004</v>
      </c>
      <c r="J715" s="393">
        <f t="shared" si="191"/>
        <v>0.65951000000000004</v>
      </c>
      <c r="K715" s="393">
        <f t="shared" si="191"/>
        <v>0.65951000000000004</v>
      </c>
      <c r="L715" s="393">
        <f t="shared" si="191"/>
        <v>0.65951000000000004</v>
      </c>
      <c r="M715" s="393">
        <f t="shared" si="191"/>
        <v>0.65951000000000004</v>
      </c>
      <c r="N715" s="393">
        <f t="shared" si="191"/>
        <v>0.65951000000000004</v>
      </c>
      <c r="O715" s="393">
        <f t="shared" si="191"/>
        <v>0.65951000000000004</v>
      </c>
      <c r="P715" s="393">
        <f t="shared" si="191"/>
        <v>0.65951000000000004</v>
      </c>
      <c r="Q715" s="393">
        <f t="shared" si="191"/>
        <v>0.65951000000000004</v>
      </c>
      <c r="R715" s="394"/>
    </row>
    <row r="716" spans="1:20" x14ac:dyDescent="0.2">
      <c r="B716" s="32" t="s">
        <v>1096</v>
      </c>
      <c r="D716" s="444">
        <v>87</v>
      </c>
      <c r="E716" s="32" t="s">
        <v>957</v>
      </c>
      <c r="F716" s="393">
        <f t="shared" si="191"/>
        <v>5.1999999999999998E-3</v>
      </c>
      <c r="G716" s="393">
        <f t="shared" si="191"/>
        <v>5.1999999999999998E-3</v>
      </c>
      <c r="H716" s="393">
        <f t="shared" si="191"/>
        <v>5.1999999999999998E-3</v>
      </c>
      <c r="I716" s="393">
        <f t="shared" si="191"/>
        <v>5.1999999999999998E-3</v>
      </c>
      <c r="J716" s="393">
        <f t="shared" si="191"/>
        <v>5.1999999999999998E-3</v>
      </c>
      <c r="K716" s="393">
        <f t="shared" si="191"/>
        <v>5.1999999999999998E-3</v>
      </c>
      <c r="L716" s="393">
        <f t="shared" si="191"/>
        <v>5.1999999999999998E-3</v>
      </c>
      <c r="M716" s="393">
        <f t="shared" si="191"/>
        <v>5.1999999999999998E-3</v>
      </c>
      <c r="N716" s="393">
        <f t="shared" si="191"/>
        <v>5.1999999999999998E-3</v>
      </c>
      <c r="O716" s="393">
        <f t="shared" si="191"/>
        <v>5.1999999999999998E-3</v>
      </c>
      <c r="P716" s="393">
        <f t="shared" si="191"/>
        <v>5.1999999999999998E-3</v>
      </c>
      <c r="Q716" s="393">
        <f t="shared" si="191"/>
        <v>5.1999999999999998E-3</v>
      </c>
      <c r="R716" s="394"/>
    </row>
    <row r="717" spans="1:20" x14ac:dyDescent="0.2">
      <c r="B717" s="32" t="s">
        <v>1068</v>
      </c>
      <c r="F717" s="394"/>
      <c r="G717" s="394"/>
      <c r="H717" s="394"/>
      <c r="I717" s="394"/>
      <c r="J717" s="394"/>
      <c r="K717" s="394"/>
      <c r="L717" s="394"/>
      <c r="M717" s="394"/>
      <c r="N717" s="394"/>
      <c r="O717" s="394"/>
      <c r="P717" s="394"/>
      <c r="Q717" s="394"/>
      <c r="R717" s="394"/>
    </row>
    <row r="718" spans="1:20" x14ac:dyDescent="0.2">
      <c r="C718" s="32" t="s">
        <v>1069</v>
      </c>
      <c r="D718" s="32">
        <v>87</v>
      </c>
      <c r="E718" s="32" t="s">
        <v>957</v>
      </c>
      <c r="F718" s="454">
        <f t="shared" ref="F718:Q719" si="192">F359</f>
        <v>1.1399999999999999</v>
      </c>
      <c r="G718" s="454">
        <f t="shared" si="192"/>
        <v>1.1399999999999999</v>
      </c>
      <c r="H718" s="454">
        <f t="shared" si="192"/>
        <v>1.1399999999999999</v>
      </c>
      <c r="I718" s="454">
        <f t="shared" si="192"/>
        <v>1.1399999999999999</v>
      </c>
      <c r="J718" s="454">
        <f t="shared" si="192"/>
        <v>1.1399999999999999</v>
      </c>
      <c r="K718" s="454">
        <f t="shared" si="192"/>
        <v>1.1399999999999999</v>
      </c>
      <c r="L718" s="454">
        <f t="shared" si="192"/>
        <v>1.1399999999999999</v>
      </c>
      <c r="M718" s="454">
        <f t="shared" si="192"/>
        <v>1.1399999999999999</v>
      </c>
      <c r="N718" s="454">
        <f t="shared" si="192"/>
        <v>1.1399999999999999</v>
      </c>
      <c r="O718" s="454">
        <f t="shared" si="192"/>
        <v>1.1399999999999999</v>
      </c>
      <c r="P718" s="454">
        <f t="shared" si="192"/>
        <v>1.1399999999999999</v>
      </c>
      <c r="Q718" s="454">
        <f t="shared" si="192"/>
        <v>1.1399999999999999</v>
      </c>
      <c r="R718" s="394"/>
    </row>
    <row r="719" spans="1:20" x14ac:dyDescent="0.2">
      <c r="A719" s="336"/>
      <c r="C719" s="32" t="s">
        <v>1070</v>
      </c>
      <c r="D719" s="32">
        <v>101</v>
      </c>
      <c r="E719" s="32" t="s">
        <v>957</v>
      </c>
      <c r="F719" s="413">
        <f t="shared" si="192"/>
        <v>1.05</v>
      </c>
      <c r="G719" s="413">
        <f t="shared" si="192"/>
        <v>1.05</v>
      </c>
      <c r="H719" s="413">
        <f t="shared" si="192"/>
        <v>1.05</v>
      </c>
      <c r="I719" s="413">
        <f t="shared" si="192"/>
        <v>1.05</v>
      </c>
      <c r="J719" s="413">
        <f t="shared" si="192"/>
        <v>1.05</v>
      </c>
      <c r="K719" s="413">
        <f t="shared" si="192"/>
        <v>1.05</v>
      </c>
      <c r="L719" s="413">
        <f t="shared" si="192"/>
        <v>1.05</v>
      </c>
      <c r="M719" s="413">
        <f t="shared" si="192"/>
        <v>1.05</v>
      </c>
      <c r="N719" s="413">
        <f t="shared" si="192"/>
        <v>1.05</v>
      </c>
      <c r="O719" s="413">
        <f t="shared" si="192"/>
        <v>1.05</v>
      </c>
      <c r="P719" s="413">
        <f t="shared" si="192"/>
        <v>1.05</v>
      </c>
      <c r="Q719" s="413">
        <f t="shared" si="192"/>
        <v>1.05</v>
      </c>
      <c r="R719" s="394"/>
    </row>
    <row r="720" spans="1:20" s="336" customFormat="1" x14ac:dyDescent="0.2">
      <c r="B720" s="336" t="s">
        <v>1071</v>
      </c>
      <c r="D720" s="336">
        <v>87</v>
      </c>
      <c r="E720" s="336" t="s">
        <v>67</v>
      </c>
      <c r="F720" s="450"/>
      <c r="G720" s="450"/>
      <c r="H720" s="442"/>
      <c r="I720" s="450"/>
      <c r="J720" s="450"/>
      <c r="K720" s="450"/>
      <c r="L720" s="450"/>
      <c r="M720" s="450"/>
      <c r="N720" s="450"/>
      <c r="O720" s="450"/>
      <c r="P720" s="450"/>
      <c r="Q720" s="450"/>
      <c r="R720" s="441"/>
      <c r="S720" s="335"/>
      <c r="T720" s="415"/>
    </row>
    <row r="721" spans="2:20" s="336" customFormat="1" x14ac:dyDescent="0.2">
      <c r="B721" s="336" t="s">
        <v>1050</v>
      </c>
      <c r="F721" s="393">
        <f>F362</f>
        <v>0.63099000000000005</v>
      </c>
      <c r="G721" s="393">
        <f t="shared" ref="G721:Q722" si="193">G362</f>
        <v>0.63099000000000005</v>
      </c>
      <c r="H721" s="393">
        <f t="shared" si="193"/>
        <v>0.63099000000000005</v>
      </c>
      <c r="I721" s="393">
        <f t="shared" si="193"/>
        <v>0.63099000000000005</v>
      </c>
      <c r="J721" s="393">
        <f t="shared" si="193"/>
        <v>0.63099000000000005</v>
      </c>
      <c r="K721" s="393">
        <f t="shared" si="193"/>
        <v>0.63099000000000005</v>
      </c>
      <c r="L721" s="393">
        <f t="shared" si="193"/>
        <v>0.63099000000000005</v>
      </c>
      <c r="M721" s="393">
        <f t="shared" si="193"/>
        <v>0.63099000000000005</v>
      </c>
      <c r="N721" s="393">
        <f t="shared" si="193"/>
        <v>0.63099000000000005</v>
      </c>
      <c r="O721" s="393">
        <f t="shared" si="193"/>
        <v>0.63099000000000005</v>
      </c>
      <c r="P721" s="393">
        <f t="shared" si="193"/>
        <v>0.63099000000000005</v>
      </c>
      <c r="Q721" s="393">
        <f t="shared" si="193"/>
        <v>0.63099000000000005</v>
      </c>
      <c r="R721" s="441"/>
      <c r="S721" s="335"/>
      <c r="T721" s="415"/>
    </row>
    <row r="722" spans="2:20" s="336" customFormat="1" x14ac:dyDescent="0.2">
      <c r="B722" s="336" t="s">
        <v>1072</v>
      </c>
      <c r="F722" s="502">
        <f>F363</f>
        <v>1</v>
      </c>
      <c r="G722" s="502">
        <f t="shared" si="193"/>
        <v>1</v>
      </c>
      <c r="H722" s="502">
        <f t="shared" si="193"/>
        <v>1</v>
      </c>
      <c r="I722" s="502">
        <f t="shared" si="193"/>
        <v>1</v>
      </c>
      <c r="J722" s="502">
        <f t="shared" si="193"/>
        <v>1</v>
      </c>
      <c r="K722" s="502">
        <f t="shared" si="193"/>
        <v>1</v>
      </c>
      <c r="L722" s="502">
        <f t="shared" si="193"/>
        <v>1</v>
      </c>
      <c r="M722" s="502">
        <f t="shared" si="193"/>
        <v>1</v>
      </c>
      <c r="N722" s="502">
        <f t="shared" si="193"/>
        <v>1</v>
      </c>
      <c r="O722" s="502">
        <f t="shared" si="193"/>
        <v>1</v>
      </c>
      <c r="P722" s="502">
        <f t="shared" si="193"/>
        <v>1</v>
      </c>
      <c r="Q722" s="502">
        <f t="shared" si="193"/>
        <v>1</v>
      </c>
      <c r="R722" s="441"/>
      <c r="S722" s="335"/>
      <c r="T722" s="415"/>
    </row>
    <row r="723" spans="2:20" s="336" customFormat="1" x14ac:dyDescent="0.2">
      <c r="S723" s="335"/>
      <c r="T723" s="415"/>
    </row>
    <row r="724" spans="2:20" s="336" customFormat="1" x14ac:dyDescent="0.2">
      <c r="B724" s="182" t="s">
        <v>982</v>
      </c>
      <c r="S724" s="335"/>
      <c r="T724" s="415"/>
    </row>
    <row r="725" spans="2:20" s="336" customFormat="1" x14ac:dyDescent="0.2">
      <c r="B725" s="336" t="s">
        <v>67</v>
      </c>
      <c r="E725" s="336" t="s">
        <v>67</v>
      </c>
      <c r="F725" s="421">
        <f>'JKP-3.1c - Data'!C154</f>
        <v>1</v>
      </c>
      <c r="G725" s="421">
        <f>'JKP-3.1c - Data'!D154</f>
        <v>1</v>
      </c>
      <c r="H725" s="421">
        <f>'JKP-3.1c - Data'!E154</f>
        <v>2</v>
      </c>
      <c r="I725" s="421">
        <f>'JKP-3.1c - Data'!F154</f>
        <v>0</v>
      </c>
      <c r="J725" s="421">
        <f>'JKP-3.1c - Data'!G154</f>
        <v>1</v>
      </c>
      <c r="K725" s="421">
        <f>'JKP-3.1c - Data'!H154</f>
        <v>2</v>
      </c>
      <c r="L725" s="421">
        <f>'JKP-3.1c - Data'!I154</f>
        <v>1</v>
      </c>
      <c r="M725" s="421">
        <f>'JKP-3.1c - Data'!J154</f>
        <v>0</v>
      </c>
      <c r="N725" s="421">
        <f>'JKP-3.1c - Data'!K154</f>
        <v>2</v>
      </c>
      <c r="O725" s="421">
        <f>'JKP-3.1c - Data'!L154</f>
        <v>1</v>
      </c>
      <c r="P725" s="421">
        <f>'JKP-3.1c - Data'!M154</f>
        <v>0</v>
      </c>
      <c r="Q725" s="421">
        <f>'JKP-3.1c - Data'!N154</f>
        <v>1</v>
      </c>
      <c r="R725" s="378">
        <f>SUM(F725:Q725)</f>
        <v>12</v>
      </c>
      <c r="S725" s="335"/>
      <c r="T725" s="415"/>
    </row>
    <row r="726" spans="2:20" s="336" customFormat="1" x14ac:dyDescent="0.2">
      <c r="B726" s="336" t="s">
        <v>76</v>
      </c>
      <c r="F726" s="380"/>
      <c r="G726" s="380"/>
      <c r="H726" s="380"/>
      <c r="I726" s="380"/>
      <c r="J726" s="380"/>
      <c r="K726" s="380"/>
      <c r="L726" s="380"/>
      <c r="M726" s="380"/>
      <c r="N726" s="380"/>
      <c r="O726" s="380"/>
      <c r="P726" s="380"/>
      <c r="Q726" s="380"/>
      <c r="R726" s="378"/>
      <c r="S726" s="335"/>
      <c r="T726" s="415"/>
    </row>
    <row r="727" spans="2:20" s="336" customFormat="1" x14ac:dyDescent="0.2">
      <c r="C727" s="336" t="s">
        <v>1086</v>
      </c>
      <c r="E727" s="336" t="s">
        <v>10</v>
      </c>
      <c r="F727" s="421">
        <f>'JKP-3.1c - Rev Actual Rates'!F738</f>
        <v>25000</v>
      </c>
      <c r="G727" s="421">
        <f>'JKP-3.1c - Rev Actual Rates'!G738</f>
        <v>25000</v>
      </c>
      <c r="H727" s="421">
        <f>'JKP-3.1c - Rev Actual Rates'!H738</f>
        <v>25000</v>
      </c>
      <c r="I727" s="421">
        <f>'JKP-3.1c - Rev Actual Rates'!I738</f>
        <v>25000</v>
      </c>
      <c r="J727" s="421">
        <f>'JKP-3.1c - Rev Actual Rates'!J738</f>
        <v>25000</v>
      </c>
      <c r="K727" s="421">
        <f>'JKP-3.1c - Rev Actual Rates'!K738</f>
        <v>25000</v>
      </c>
      <c r="L727" s="421">
        <f>'JKP-3.1c - Rev Actual Rates'!L738</f>
        <v>25000</v>
      </c>
      <c r="M727" s="421">
        <f>'JKP-3.1c - Rev Actual Rates'!M738</f>
        <v>25000</v>
      </c>
      <c r="N727" s="421">
        <f>'JKP-3.1c - Rev Actual Rates'!N738</f>
        <v>25000</v>
      </c>
      <c r="O727" s="421">
        <f>'JKP-3.1c - Rev Actual Rates'!O738</f>
        <v>25000</v>
      </c>
      <c r="P727" s="421">
        <f>'JKP-3.1c - Rev Actual Rates'!P738</f>
        <v>25000</v>
      </c>
      <c r="Q727" s="421">
        <f>'JKP-3.1c - Rev Actual Rates'!Q738</f>
        <v>25000</v>
      </c>
      <c r="R727" s="378">
        <f t="shared" ref="R727:R732" si="194">SUM(F727:Q727)</f>
        <v>300000</v>
      </c>
      <c r="S727" s="335"/>
      <c r="T727" s="415"/>
    </row>
    <row r="728" spans="2:20" s="336" customFormat="1" x14ac:dyDescent="0.2">
      <c r="C728" s="336" t="s">
        <v>1087</v>
      </c>
      <c r="E728" s="336" t="s">
        <v>10</v>
      </c>
      <c r="F728" s="421">
        <f>'JKP-3.1c - Rev Actual Rates'!F739</f>
        <v>25000</v>
      </c>
      <c r="G728" s="421">
        <f>'JKP-3.1c - Rev Actual Rates'!G739</f>
        <v>25000</v>
      </c>
      <c r="H728" s="421">
        <f>'JKP-3.1c - Rev Actual Rates'!H739</f>
        <v>25000</v>
      </c>
      <c r="I728" s="421">
        <f>'JKP-3.1c - Rev Actual Rates'!I739</f>
        <v>25000</v>
      </c>
      <c r="J728" s="421">
        <f>'JKP-3.1c - Rev Actual Rates'!J739</f>
        <v>25000</v>
      </c>
      <c r="K728" s="421">
        <f>'JKP-3.1c - Rev Actual Rates'!K739</f>
        <v>25000</v>
      </c>
      <c r="L728" s="421">
        <f>'JKP-3.1c - Rev Actual Rates'!L739</f>
        <v>25000</v>
      </c>
      <c r="M728" s="421">
        <f>'JKP-3.1c - Rev Actual Rates'!M739</f>
        <v>25000</v>
      </c>
      <c r="N728" s="421">
        <f>'JKP-3.1c - Rev Actual Rates'!N739</f>
        <v>25000</v>
      </c>
      <c r="O728" s="421">
        <f>'JKP-3.1c - Rev Actual Rates'!O739</f>
        <v>25000</v>
      </c>
      <c r="P728" s="421">
        <f>'JKP-3.1c - Rev Actual Rates'!P739</f>
        <v>25000</v>
      </c>
      <c r="Q728" s="421">
        <f>'JKP-3.1c - Rev Actual Rates'!Q739</f>
        <v>25000</v>
      </c>
      <c r="R728" s="378">
        <f t="shared" si="194"/>
        <v>300000</v>
      </c>
      <c r="S728" s="335"/>
      <c r="T728" s="415"/>
    </row>
    <row r="729" spans="2:20" s="336" customFormat="1" x14ac:dyDescent="0.2">
      <c r="C729" s="336" t="s">
        <v>1090</v>
      </c>
      <c r="E729" s="336" t="s">
        <v>10</v>
      </c>
      <c r="F729" s="421">
        <f>'JKP-3.1c - Rev Actual Rates'!F740</f>
        <v>33770</v>
      </c>
      <c r="G729" s="421">
        <f>'JKP-3.1c - Rev Actual Rates'!G740</f>
        <v>50000</v>
      </c>
      <c r="H729" s="421">
        <f>'JKP-3.1c - Rev Actual Rates'!H740</f>
        <v>50000</v>
      </c>
      <c r="I729" s="421">
        <f>'JKP-3.1c - Rev Actual Rates'!I740</f>
        <v>50000</v>
      </c>
      <c r="J729" s="421">
        <f>'JKP-3.1c - Rev Actual Rates'!J740</f>
        <v>50000</v>
      </c>
      <c r="K729" s="421">
        <f>'JKP-3.1c - Rev Actual Rates'!K740</f>
        <v>50000</v>
      </c>
      <c r="L729" s="421">
        <f>'JKP-3.1c - Rev Actual Rates'!L740</f>
        <v>50000</v>
      </c>
      <c r="M729" s="421">
        <f>'JKP-3.1c - Rev Actual Rates'!M740</f>
        <v>50000</v>
      </c>
      <c r="N729" s="421">
        <f>'JKP-3.1c - Rev Actual Rates'!N740</f>
        <v>50000</v>
      </c>
      <c r="O729" s="421">
        <f>'JKP-3.1c - Rev Actual Rates'!O740</f>
        <v>50000</v>
      </c>
      <c r="P729" s="421">
        <f>'JKP-3.1c - Rev Actual Rates'!P740</f>
        <v>50000</v>
      </c>
      <c r="Q729" s="421">
        <f>'JKP-3.1c - Rev Actual Rates'!Q740</f>
        <v>50000</v>
      </c>
      <c r="R729" s="378">
        <f t="shared" si="194"/>
        <v>583770</v>
      </c>
      <c r="S729" s="335"/>
      <c r="T729" s="415"/>
    </row>
    <row r="730" spans="2:20" s="336" customFormat="1" x14ac:dyDescent="0.2">
      <c r="C730" s="336" t="s">
        <v>1091</v>
      </c>
      <c r="E730" s="336" t="s">
        <v>10</v>
      </c>
      <c r="F730" s="421">
        <f>'JKP-3.1c - Rev Actual Rates'!F741</f>
        <v>0</v>
      </c>
      <c r="G730" s="421">
        <f>'JKP-3.1c - Rev Actual Rates'!G741</f>
        <v>15393</v>
      </c>
      <c r="H730" s="421">
        <f>'JKP-3.1c - Rev Actual Rates'!H741</f>
        <v>18389</v>
      </c>
      <c r="I730" s="421">
        <f>'JKP-3.1c - Rev Actual Rates'!I741</f>
        <v>48227</v>
      </c>
      <c r="J730" s="421">
        <f>'JKP-3.1c - Rev Actual Rates'!J741</f>
        <v>72767</v>
      </c>
      <c r="K730" s="421">
        <f>'JKP-3.1c - Rev Actual Rates'!K741</f>
        <v>30945</v>
      </c>
      <c r="L730" s="421">
        <f>'JKP-3.1c - Rev Actual Rates'!L741</f>
        <v>5034</v>
      </c>
      <c r="M730" s="421">
        <f>'JKP-3.1c - Rev Actual Rates'!M741</f>
        <v>53481</v>
      </c>
      <c r="N730" s="421">
        <f>'JKP-3.1c - Rev Actual Rates'!N741</f>
        <v>100000</v>
      </c>
      <c r="O730" s="421">
        <f>'JKP-3.1c - Rev Actual Rates'!O741</f>
        <v>100000</v>
      </c>
      <c r="P730" s="421">
        <f>'JKP-3.1c - Rev Actual Rates'!P741</f>
        <v>100000</v>
      </c>
      <c r="Q730" s="421">
        <f>'JKP-3.1c - Rev Actual Rates'!Q741</f>
        <v>36423</v>
      </c>
      <c r="R730" s="378">
        <f t="shared" si="194"/>
        <v>580659</v>
      </c>
      <c r="S730" s="335"/>
      <c r="T730" s="415"/>
    </row>
    <row r="731" spans="2:20" s="336" customFormat="1" x14ac:dyDescent="0.2">
      <c r="C731" s="336" t="s">
        <v>1092</v>
      </c>
      <c r="E731" s="336" t="s">
        <v>10</v>
      </c>
      <c r="F731" s="421">
        <f>'JKP-3.1c - Rev Actual Rates'!F742</f>
        <v>0</v>
      </c>
      <c r="G731" s="421">
        <f>'JKP-3.1c - Rev Actual Rates'!G742</f>
        <v>0</v>
      </c>
      <c r="H731" s="421">
        <f>'JKP-3.1c - Rev Actual Rates'!H742</f>
        <v>0</v>
      </c>
      <c r="I731" s="421">
        <f>'JKP-3.1c - Rev Actual Rates'!I742</f>
        <v>0</v>
      </c>
      <c r="J731" s="421">
        <f>'JKP-3.1c - Rev Actual Rates'!J742</f>
        <v>0</v>
      </c>
      <c r="K731" s="421">
        <f>'JKP-3.1c - Rev Actual Rates'!K742</f>
        <v>0</v>
      </c>
      <c r="L731" s="421">
        <f>'JKP-3.1c - Rev Actual Rates'!L742</f>
        <v>0</v>
      </c>
      <c r="M731" s="421">
        <f>'JKP-3.1c - Rev Actual Rates'!M742</f>
        <v>0</v>
      </c>
      <c r="N731" s="421">
        <f>'JKP-3.1c - Rev Actual Rates'!N742</f>
        <v>237</v>
      </c>
      <c r="O731" s="421">
        <f>'JKP-3.1c - Rev Actual Rates'!O742</f>
        <v>22364</v>
      </c>
      <c r="P731" s="421">
        <f>'JKP-3.1c - Rev Actual Rates'!P742</f>
        <v>2008</v>
      </c>
      <c r="Q731" s="421">
        <f>'JKP-3.1c - Rev Actual Rates'!Q742</f>
        <v>0</v>
      </c>
      <c r="R731" s="378">
        <f t="shared" si="194"/>
        <v>24609</v>
      </c>
      <c r="S731" s="335"/>
      <c r="T731" s="415"/>
    </row>
    <row r="732" spans="2:20" s="336" customFormat="1" x14ac:dyDescent="0.2">
      <c r="C732" s="336" t="s">
        <v>1093</v>
      </c>
      <c r="E732" s="336" t="s">
        <v>10</v>
      </c>
      <c r="F732" s="421">
        <f>'JKP-3.1c - Rev Actual Rates'!F743</f>
        <v>0</v>
      </c>
      <c r="G732" s="421">
        <f>'JKP-3.1c - Rev Actual Rates'!G743</f>
        <v>0</v>
      </c>
      <c r="H732" s="421">
        <f>'JKP-3.1c - Rev Actual Rates'!H743</f>
        <v>0</v>
      </c>
      <c r="I732" s="421">
        <f>'JKP-3.1c - Rev Actual Rates'!I743</f>
        <v>0</v>
      </c>
      <c r="J732" s="421">
        <f>'JKP-3.1c - Rev Actual Rates'!J743</f>
        <v>0</v>
      </c>
      <c r="K732" s="421">
        <f>'JKP-3.1c - Rev Actual Rates'!K743</f>
        <v>0</v>
      </c>
      <c r="L732" s="421">
        <f>'JKP-3.1c - Rev Actual Rates'!L743</f>
        <v>0</v>
      </c>
      <c r="M732" s="421">
        <f>'JKP-3.1c - Rev Actual Rates'!M743</f>
        <v>0</v>
      </c>
      <c r="N732" s="421">
        <f>'JKP-3.1c - Rev Actual Rates'!N743</f>
        <v>0</v>
      </c>
      <c r="O732" s="421">
        <f>'JKP-3.1c - Rev Actual Rates'!O743</f>
        <v>0</v>
      </c>
      <c r="P732" s="421">
        <f>'JKP-3.1c - Rev Actual Rates'!P743</f>
        <v>0</v>
      </c>
      <c r="Q732" s="421">
        <f>'JKP-3.1c - Rev Actual Rates'!Q743</f>
        <v>0</v>
      </c>
      <c r="R732" s="378">
        <f t="shared" si="194"/>
        <v>0</v>
      </c>
      <c r="S732" s="335"/>
      <c r="T732" s="415"/>
    </row>
    <row r="733" spans="2:20" s="336" customFormat="1" x14ac:dyDescent="0.2">
      <c r="C733" s="336" t="s">
        <v>1075</v>
      </c>
      <c r="E733" s="336" t="s">
        <v>10</v>
      </c>
      <c r="F733" s="436">
        <f t="shared" ref="F733:R733" si="195">SUM(F727:F732)</f>
        <v>83770</v>
      </c>
      <c r="G733" s="436">
        <f t="shared" si="195"/>
        <v>115393</v>
      </c>
      <c r="H733" s="436">
        <f t="shared" si="195"/>
        <v>118389</v>
      </c>
      <c r="I733" s="436">
        <f t="shared" si="195"/>
        <v>148227</v>
      </c>
      <c r="J733" s="436">
        <f t="shared" si="195"/>
        <v>172767</v>
      </c>
      <c r="K733" s="436">
        <f t="shared" si="195"/>
        <v>130945</v>
      </c>
      <c r="L733" s="436">
        <f t="shared" si="195"/>
        <v>105034</v>
      </c>
      <c r="M733" s="436">
        <f t="shared" si="195"/>
        <v>153481</v>
      </c>
      <c r="N733" s="436">
        <f t="shared" si="195"/>
        <v>200237</v>
      </c>
      <c r="O733" s="436">
        <f t="shared" si="195"/>
        <v>222364</v>
      </c>
      <c r="P733" s="436">
        <f t="shared" si="195"/>
        <v>202008</v>
      </c>
      <c r="Q733" s="436">
        <f t="shared" si="195"/>
        <v>136423</v>
      </c>
      <c r="R733" s="436">
        <f t="shared" si="195"/>
        <v>1789038</v>
      </c>
      <c r="S733" s="335"/>
      <c r="T733" s="415"/>
    </row>
    <row r="734" spans="2:20" s="336" customFormat="1" x14ac:dyDescent="0.2">
      <c r="B734" s="336" t="s">
        <v>74</v>
      </c>
      <c r="E734" s="336" t="s">
        <v>1076</v>
      </c>
      <c r="F734" s="421">
        <f>'JKP-3.1c - Rev Actual Rates'!F745</f>
        <v>0</v>
      </c>
      <c r="G734" s="421">
        <f>'JKP-3.1c - Rev Actual Rates'!G745</f>
        <v>0</v>
      </c>
      <c r="H734" s="421">
        <f>'JKP-3.1c - Rev Actual Rates'!H745</f>
        <v>0</v>
      </c>
      <c r="I734" s="421">
        <f>'JKP-3.1c - Rev Actual Rates'!I745</f>
        <v>0</v>
      </c>
      <c r="J734" s="421">
        <f>'JKP-3.1c - Rev Actual Rates'!J745</f>
        <v>0</v>
      </c>
      <c r="K734" s="421">
        <f>'JKP-3.1c - Rev Actual Rates'!K745</f>
        <v>0</v>
      </c>
      <c r="L734" s="421">
        <f>'JKP-3.1c - Rev Actual Rates'!L745</f>
        <v>0</v>
      </c>
      <c r="M734" s="421">
        <f>'JKP-3.1c - Rev Actual Rates'!M745</f>
        <v>0</v>
      </c>
      <c r="N734" s="421">
        <f>'JKP-3.1c - Rev Actual Rates'!N745</f>
        <v>0</v>
      </c>
      <c r="O734" s="421">
        <f>'JKP-3.1c - Rev Actual Rates'!O745</f>
        <v>0</v>
      </c>
      <c r="P734" s="421">
        <f>'JKP-3.1c - Rev Actual Rates'!P745</f>
        <v>0</v>
      </c>
      <c r="Q734" s="421">
        <f>'JKP-3.1c - Rev Actual Rates'!Q745</f>
        <v>0</v>
      </c>
      <c r="R734" s="378">
        <f>SUM(F734:Q734)</f>
        <v>0</v>
      </c>
      <c r="S734" s="335"/>
      <c r="T734" s="415"/>
    </row>
    <row r="735" spans="2:20" s="336" customFormat="1" x14ac:dyDescent="0.2">
      <c r="B735" s="336" t="s">
        <v>1071</v>
      </c>
      <c r="F735" s="380"/>
      <c r="G735" s="380"/>
      <c r="H735" s="380"/>
      <c r="I735" s="380"/>
      <c r="J735" s="380"/>
      <c r="K735" s="380"/>
      <c r="L735" s="380"/>
      <c r="M735" s="380"/>
      <c r="N735" s="380"/>
      <c r="O735" s="380"/>
      <c r="P735" s="380"/>
      <c r="Q735" s="380"/>
      <c r="R735" s="378"/>
      <c r="S735" s="335"/>
      <c r="T735" s="415"/>
    </row>
    <row r="736" spans="2:20" s="336" customFormat="1" x14ac:dyDescent="0.2">
      <c r="R736" s="179"/>
      <c r="S736" s="335"/>
      <c r="T736" s="415"/>
    </row>
    <row r="737" spans="1:20" s="336" customFormat="1" x14ac:dyDescent="0.2">
      <c r="B737" s="182" t="s">
        <v>985</v>
      </c>
      <c r="R737" s="179"/>
      <c r="S737" s="335"/>
      <c r="T737" s="415"/>
    </row>
    <row r="738" spans="1:20" s="336" customFormat="1" x14ac:dyDescent="0.2">
      <c r="A738" s="336" t="s">
        <v>1054</v>
      </c>
      <c r="B738" s="336" t="s">
        <v>1059</v>
      </c>
      <c r="D738" s="336">
        <v>87</v>
      </c>
      <c r="F738" s="418">
        <f t="shared" ref="F738:Q738" si="196">F707*F725</f>
        <v>558.41999999999996</v>
      </c>
      <c r="G738" s="418">
        <f t="shared" si="196"/>
        <v>558.41999999999996</v>
      </c>
      <c r="H738" s="418">
        <f t="shared" si="196"/>
        <v>1116.8399999999999</v>
      </c>
      <c r="I738" s="418">
        <f t="shared" si="196"/>
        <v>0</v>
      </c>
      <c r="J738" s="418">
        <f t="shared" si="196"/>
        <v>558.41999999999996</v>
      </c>
      <c r="K738" s="418">
        <f t="shared" si="196"/>
        <v>1116.8399999999999</v>
      </c>
      <c r="L738" s="418">
        <f t="shared" si="196"/>
        <v>558.41999999999996</v>
      </c>
      <c r="M738" s="418">
        <f t="shared" si="196"/>
        <v>0</v>
      </c>
      <c r="N738" s="418">
        <f t="shared" si="196"/>
        <v>1116.8399999999999</v>
      </c>
      <c r="O738" s="418">
        <f t="shared" si="196"/>
        <v>558.41999999999996</v>
      </c>
      <c r="P738" s="418">
        <f t="shared" si="196"/>
        <v>0</v>
      </c>
      <c r="Q738" s="418">
        <f t="shared" si="196"/>
        <v>558.41999999999996</v>
      </c>
      <c r="R738" s="437">
        <f>SUM(F738:Q738)</f>
        <v>6701.04</v>
      </c>
      <c r="S738" s="335"/>
      <c r="T738" s="415"/>
    </row>
    <row r="739" spans="1:20" s="336" customFormat="1" x14ac:dyDescent="0.2">
      <c r="B739" s="336" t="s">
        <v>1047</v>
      </c>
      <c r="F739" s="418"/>
      <c r="G739" s="418"/>
      <c r="H739" s="418"/>
      <c r="I739" s="418"/>
      <c r="J739" s="418"/>
      <c r="K739" s="418"/>
      <c r="L739" s="418"/>
      <c r="M739" s="418"/>
      <c r="N739" s="418"/>
      <c r="O739" s="418"/>
      <c r="P739" s="418"/>
      <c r="Q739" s="418"/>
      <c r="R739" s="437"/>
      <c r="S739" s="335"/>
      <c r="T739" s="415"/>
    </row>
    <row r="740" spans="1:20" x14ac:dyDescent="0.2">
      <c r="C740" s="32" t="s">
        <v>1086</v>
      </c>
      <c r="D740" s="32">
        <v>87</v>
      </c>
      <c r="F740" s="364">
        <f t="shared" ref="F740:Q745" si="197">F709*F727</f>
        <v>3539.5000000000005</v>
      </c>
      <c r="G740" s="364">
        <f t="shared" si="197"/>
        <v>3539.5000000000005</v>
      </c>
      <c r="H740" s="364">
        <f t="shared" si="197"/>
        <v>3539.5000000000005</v>
      </c>
      <c r="I740" s="364">
        <f t="shared" si="197"/>
        <v>3539.5000000000005</v>
      </c>
      <c r="J740" s="364">
        <f t="shared" si="197"/>
        <v>3539.5000000000005</v>
      </c>
      <c r="K740" s="364">
        <f t="shared" si="197"/>
        <v>3539.5000000000005</v>
      </c>
      <c r="L740" s="364">
        <f t="shared" si="197"/>
        <v>3539.5000000000005</v>
      </c>
      <c r="M740" s="364">
        <f t="shared" si="197"/>
        <v>3539.5000000000005</v>
      </c>
      <c r="N740" s="364">
        <f t="shared" si="197"/>
        <v>3539.5000000000005</v>
      </c>
      <c r="O740" s="364">
        <f t="shared" si="197"/>
        <v>3539.5000000000005</v>
      </c>
      <c r="P740" s="364">
        <f t="shared" si="197"/>
        <v>3539.5000000000005</v>
      </c>
      <c r="Q740" s="364">
        <f t="shared" si="197"/>
        <v>3539.5000000000005</v>
      </c>
      <c r="R740" s="341">
        <f t="shared" ref="R740:R745" si="198">SUM(F740:Q740)</f>
        <v>42474.000000000007</v>
      </c>
    </row>
    <row r="741" spans="1:20" x14ac:dyDescent="0.2">
      <c r="C741" s="32" t="s">
        <v>1087</v>
      </c>
      <c r="D741" s="32">
        <v>87</v>
      </c>
      <c r="F741" s="364">
        <f t="shared" si="197"/>
        <v>2161</v>
      </c>
      <c r="G741" s="364">
        <f t="shared" si="197"/>
        <v>2161</v>
      </c>
      <c r="H741" s="364">
        <f t="shared" si="197"/>
        <v>2161</v>
      </c>
      <c r="I741" s="364">
        <f t="shared" si="197"/>
        <v>2161</v>
      </c>
      <c r="J741" s="364">
        <f t="shared" si="197"/>
        <v>2161</v>
      </c>
      <c r="K741" s="364">
        <f t="shared" si="197"/>
        <v>2161</v>
      </c>
      <c r="L741" s="364">
        <f t="shared" si="197"/>
        <v>2161</v>
      </c>
      <c r="M741" s="364">
        <f t="shared" si="197"/>
        <v>2161</v>
      </c>
      <c r="N741" s="364">
        <f t="shared" si="197"/>
        <v>2161</v>
      </c>
      <c r="O741" s="364">
        <f t="shared" si="197"/>
        <v>2161</v>
      </c>
      <c r="P741" s="364">
        <f t="shared" si="197"/>
        <v>2161</v>
      </c>
      <c r="Q741" s="364">
        <f t="shared" si="197"/>
        <v>2161</v>
      </c>
      <c r="R741" s="341">
        <f t="shared" si="198"/>
        <v>25932</v>
      </c>
    </row>
    <row r="742" spans="1:20" x14ac:dyDescent="0.2">
      <c r="C742" s="32" t="s">
        <v>1090</v>
      </c>
      <c r="D742" s="32">
        <v>87</v>
      </c>
      <c r="F742" s="364">
        <f t="shared" si="197"/>
        <v>1884.7037</v>
      </c>
      <c r="G742" s="364">
        <f t="shared" si="197"/>
        <v>2790.5</v>
      </c>
      <c r="H742" s="364">
        <f t="shared" si="197"/>
        <v>2790.5</v>
      </c>
      <c r="I742" s="364">
        <f t="shared" si="197"/>
        <v>2790.5</v>
      </c>
      <c r="J742" s="364">
        <f t="shared" si="197"/>
        <v>2790.5</v>
      </c>
      <c r="K742" s="364">
        <f t="shared" si="197"/>
        <v>2790.5</v>
      </c>
      <c r="L742" s="364">
        <f t="shared" si="197"/>
        <v>2790.5</v>
      </c>
      <c r="M742" s="364">
        <f t="shared" si="197"/>
        <v>2790.5</v>
      </c>
      <c r="N742" s="364">
        <f t="shared" si="197"/>
        <v>2790.5</v>
      </c>
      <c r="O742" s="364">
        <f t="shared" si="197"/>
        <v>2790.5</v>
      </c>
      <c r="P742" s="364">
        <f t="shared" si="197"/>
        <v>2790.5</v>
      </c>
      <c r="Q742" s="364">
        <f t="shared" si="197"/>
        <v>2790.5</v>
      </c>
      <c r="R742" s="341">
        <f t="shared" si="198"/>
        <v>32580.203699999998</v>
      </c>
    </row>
    <row r="743" spans="1:20" x14ac:dyDescent="0.2">
      <c r="C743" s="32" t="s">
        <v>1091</v>
      </c>
      <c r="D743" s="32">
        <v>87</v>
      </c>
      <c r="F743" s="364">
        <f t="shared" si="197"/>
        <v>0</v>
      </c>
      <c r="G743" s="364">
        <f t="shared" si="197"/>
        <v>563.22987000000001</v>
      </c>
      <c r="H743" s="364">
        <f t="shared" si="197"/>
        <v>672.85350999999991</v>
      </c>
      <c r="I743" s="364">
        <f t="shared" si="197"/>
        <v>1764.6259299999999</v>
      </c>
      <c r="J743" s="364">
        <f t="shared" si="197"/>
        <v>2662.5445299999997</v>
      </c>
      <c r="K743" s="364">
        <f t="shared" si="197"/>
        <v>1132.27755</v>
      </c>
      <c r="L743" s="364">
        <f t="shared" si="197"/>
        <v>184.19405999999998</v>
      </c>
      <c r="M743" s="364">
        <f t="shared" si="197"/>
        <v>1956.86979</v>
      </c>
      <c r="N743" s="364">
        <f t="shared" si="197"/>
        <v>3658.9999999999995</v>
      </c>
      <c r="O743" s="364">
        <f t="shared" si="197"/>
        <v>3658.9999999999995</v>
      </c>
      <c r="P743" s="364">
        <f t="shared" si="197"/>
        <v>3658.9999999999995</v>
      </c>
      <c r="Q743" s="364">
        <f t="shared" si="197"/>
        <v>1332.71757</v>
      </c>
      <c r="R743" s="341">
        <f t="shared" si="198"/>
        <v>21246.312809999999</v>
      </c>
    </row>
    <row r="744" spans="1:20" x14ac:dyDescent="0.2">
      <c r="C744" s="32" t="s">
        <v>1092</v>
      </c>
      <c r="D744" s="32">
        <v>87</v>
      </c>
      <c r="F744" s="364">
        <f t="shared" si="197"/>
        <v>0</v>
      </c>
      <c r="G744" s="364">
        <f t="shared" si="197"/>
        <v>0</v>
      </c>
      <c r="H744" s="364">
        <f t="shared" si="197"/>
        <v>0</v>
      </c>
      <c r="I744" s="364">
        <f t="shared" si="197"/>
        <v>0</v>
      </c>
      <c r="J744" s="364">
        <f t="shared" si="197"/>
        <v>0</v>
      </c>
      <c r="K744" s="364">
        <f t="shared" si="197"/>
        <v>0</v>
      </c>
      <c r="L744" s="364">
        <f t="shared" si="197"/>
        <v>0</v>
      </c>
      <c r="M744" s="364">
        <f t="shared" si="197"/>
        <v>0</v>
      </c>
      <c r="N744" s="364">
        <f t="shared" si="197"/>
        <v>6.3871500000000001</v>
      </c>
      <c r="O744" s="364">
        <f t="shared" si="197"/>
        <v>602.70980000000009</v>
      </c>
      <c r="P744" s="364">
        <f t="shared" si="197"/>
        <v>54.115600000000001</v>
      </c>
      <c r="Q744" s="364">
        <f t="shared" si="197"/>
        <v>0</v>
      </c>
      <c r="R744" s="341">
        <f t="shared" si="198"/>
        <v>663.21255000000008</v>
      </c>
    </row>
    <row r="745" spans="1:20" x14ac:dyDescent="0.2">
      <c r="C745" s="32" t="s">
        <v>1093</v>
      </c>
      <c r="D745" s="32">
        <v>87</v>
      </c>
      <c r="F745" s="364">
        <f t="shared" si="197"/>
        <v>0</v>
      </c>
      <c r="G745" s="364">
        <f t="shared" si="197"/>
        <v>0</v>
      </c>
      <c r="H745" s="364">
        <f t="shared" si="197"/>
        <v>0</v>
      </c>
      <c r="I745" s="364">
        <f t="shared" si="197"/>
        <v>0</v>
      </c>
      <c r="J745" s="364">
        <f t="shared" si="197"/>
        <v>0</v>
      </c>
      <c r="K745" s="364">
        <f t="shared" si="197"/>
        <v>0</v>
      </c>
      <c r="L745" s="364">
        <f t="shared" si="197"/>
        <v>0</v>
      </c>
      <c r="M745" s="364">
        <f t="shared" si="197"/>
        <v>0</v>
      </c>
      <c r="N745" s="364">
        <f t="shared" si="197"/>
        <v>0</v>
      </c>
      <c r="O745" s="364">
        <f t="shared" si="197"/>
        <v>0</v>
      </c>
      <c r="P745" s="364">
        <f t="shared" si="197"/>
        <v>0</v>
      </c>
      <c r="Q745" s="364">
        <f t="shared" si="197"/>
        <v>0</v>
      </c>
      <c r="R745" s="341">
        <f t="shared" si="198"/>
        <v>0</v>
      </c>
    </row>
    <row r="746" spans="1:20" x14ac:dyDescent="0.2">
      <c r="A746" s="32" t="s">
        <v>1054</v>
      </c>
      <c r="C746" s="32" t="s">
        <v>1077</v>
      </c>
      <c r="F746" s="365">
        <f t="shared" ref="F746:R746" si="199">SUM(F740:F745)</f>
        <v>7585.2037</v>
      </c>
      <c r="G746" s="365">
        <f t="shared" si="199"/>
        <v>9054.2298699999992</v>
      </c>
      <c r="H746" s="365">
        <f t="shared" si="199"/>
        <v>9163.8535100000008</v>
      </c>
      <c r="I746" s="365">
        <f t="shared" si="199"/>
        <v>10255.62593</v>
      </c>
      <c r="J746" s="365">
        <f t="shared" si="199"/>
        <v>11153.544529999999</v>
      </c>
      <c r="K746" s="365">
        <f t="shared" si="199"/>
        <v>9623.2775500000007</v>
      </c>
      <c r="L746" s="365">
        <f t="shared" si="199"/>
        <v>8675.1940599999998</v>
      </c>
      <c r="M746" s="365">
        <f t="shared" si="199"/>
        <v>10447.869790000001</v>
      </c>
      <c r="N746" s="365">
        <f t="shared" si="199"/>
        <v>12156.38715</v>
      </c>
      <c r="O746" s="365">
        <f t="shared" si="199"/>
        <v>12752.709800000001</v>
      </c>
      <c r="P746" s="365">
        <f t="shared" si="199"/>
        <v>12204.115599999999</v>
      </c>
      <c r="Q746" s="365">
        <f t="shared" si="199"/>
        <v>9823.7175700000007</v>
      </c>
      <c r="R746" s="365">
        <f t="shared" si="199"/>
        <v>122895.72906</v>
      </c>
    </row>
    <row r="747" spans="1:20" x14ac:dyDescent="0.2">
      <c r="A747" s="32" t="s">
        <v>1056</v>
      </c>
      <c r="B747" s="32" t="s">
        <v>1057</v>
      </c>
      <c r="D747" s="32">
        <v>101</v>
      </c>
      <c r="F747" s="364">
        <f t="shared" ref="F747:Q747" si="200">F715*F733</f>
        <v>55247.152700000006</v>
      </c>
      <c r="G747" s="364">
        <f t="shared" si="200"/>
        <v>76102.83743</v>
      </c>
      <c r="H747" s="364">
        <f t="shared" si="200"/>
        <v>78078.729390000008</v>
      </c>
      <c r="I747" s="364">
        <f t="shared" si="200"/>
        <v>97757.188770000008</v>
      </c>
      <c r="J747" s="364">
        <f t="shared" si="200"/>
        <v>113941.56417000001</v>
      </c>
      <c r="K747" s="364">
        <f t="shared" si="200"/>
        <v>86359.536950000009</v>
      </c>
      <c r="L747" s="364">
        <f t="shared" si="200"/>
        <v>69270.973340000011</v>
      </c>
      <c r="M747" s="364">
        <f t="shared" si="200"/>
        <v>101222.25431</v>
      </c>
      <c r="N747" s="364">
        <f t="shared" si="200"/>
        <v>132058.30387</v>
      </c>
      <c r="O747" s="364">
        <f t="shared" si="200"/>
        <v>146651.28164</v>
      </c>
      <c r="P747" s="364">
        <f t="shared" si="200"/>
        <v>133226.29608</v>
      </c>
      <c r="Q747" s="364">
        <f t="shared" si="200"/>
        <v>89972.332730000009</v>
      </c>
      <c r="R747" s="341">
        <f>SUM(F747:Q747)</f>
        <v>1179888.45138</v>
      </c>
    </row>
    <row r="748" spans="1:20" x14ac:dyDescent="0.2">
      <c r="A748" s="32" t="s">
        <v>1054</v>
      </c>
      <c r="B748" s="32" t="s">
        <v>1096</v>
      </c>
      <c r="D748" s="444">
        <v>87</v>
      </c>
      <c r="F748" s="365">
        <f t="shared" ref="F748:Q748" si="201">F716*F733</f>
        <v>435.60399999999998</v>
      </c>
      <c r="G748" s="365">
        <f t="shared" si="201"/>
        <v>600.04359999999997</v>
      </c>
      <c r="H748" s="365">
        <f t="shared" si="201"/>
        <v>615.62279999999998</v>
      </c>
      <c r="I748" s="365">
        <f t="shared" si="201"/>
        <v>770.78039999999999</v>
      </c>
      <c r="J748" s="365">
        <f t="shared" si="201"/>
        <v>898.38839999999993</v>
      </c>
      <c r="K748" s="365">
        <f t="shared" si="201"/>
        <v>680.91399999999999</v>
      </c>
      <c r="L748" s="365">
        <f t="shared" si="201"/>
        <v>546.17679999999996</v>
      </c>
      <c r="M748" s="365">
        <f t="shared" si="201"/>
        <v>798.10119999999995</v>
      </c>
      <c r="N748" s="365">
        <f t="shared" si="201"/>
        <v>1041.2323999999999</v>
      </c>
      <c r="O748" s="365">
        <f t="shared" si="201"/>
        <v>1156.2927999999999</v>
      </c>
      <c r="P748" s="365">
        <f t="shared" si="201"/>
        <v>1050.4415999999999</v>
      </c>
      <c r="Q748" s="365">
        <f t="shared" si="201"/>
        <v>709.39959999999996</v>
      </c>
      <c r="R748" s="342">
        <f>SUM(F748:Q748)</f>
        <v>9302.9976000000006</v>
      </c>
    </row>
    <row r="749" spans="1:20" x14ac:dyDescent="0.2">
      <c r="B749" s="32" t="s">
        <v>1068</v>
      </c>
      <c r="F749" s="364"/>
      <c r="G749" s="364"/>
      <c r="H749" s="364"/>
      <c r="I749" s="364"/>
      <c r="J749" s="364"/>
      <c r="K749" s="364"/>
      <c r="L749" s="364"/>
      <c r="M749" s="364"/>
      <c r="N749" s="364"/>
      <c r="O749" s="364"/>
      <c r="P749" s="364"/>
      <c r="Q749" s="364"/>
      <c r="R749" s="341"/>
    </row>
    <row r="750" spans="1:20" x14ac:dyDescent="0.2">
      <c r="A750" s="32" t="s">
        <v>1054</v>
      </c>
      <c r="C750" s="32" t="s">
        <v>1069</v>
      </c>
      <c r="D750" s="444">
        <v>87</v>
      </c>
      <c r="F750" s="364">
        <f t="shared" ref="F750:Q750" si="202">F718*F734</f>
        <v>0</v>
      </c>
      <c r="G750" s="364">
        <f t="shared" si="202"/>
        <v>0</v>
      </c>
      <c r="H750" s="364">
        <f t="shared" si="202"/>
        <v>0</v>
      </c>
      <c r="I750" s="364">
        <f t="shared" si="202"/>
        <v>0</v>
      </c>
      <c r="J750" s="364">
        <f t="shared" si="202"/>
        <v>0</v>
      </c>
      <c r="K750" s="364">
        <f t="shared" si="202"/>
        <v>0</v>
      </c>
      <c r="L750" s="364">
        <f t="shared" si="202"/>
        <v>0</v>
      </c>
      <c r="M750" s="364">
        <f t="shared" si="202"/>
        <v>0</v>
      </c>
      <c r="N750" s="364">
        <f t="shared" si="202"/>
        <v>0</v>
      </c>
      <c r="O750" s="364">
        <f t="shared" si="202"/>
        <v>0</v>
      </c>
      <c r="P750" s="364">
        <f t="shared" si="202"/>
        <v>0</v>
      </c>
      <c r="Q750" s="364">
        <f t="shared" si="202"/>
        <v>0</v>
      </c>
      <c r="R750" s="341">
        <f>SUM(F750:Q750)</f>
        <v>0</v>
      </c>
    </row>
    <row r="751" spans="1:20" x14ac:dyDescent="0.2">
      <c r="A751" s="32" t="s">
        <v>1056</v>
      </c>
      <c r="C751" s="32" t="s">
        <v>1070</v>
      </c>
      <c r="D751" s="32">
        <v>101</v>
      </c>
      <c r="F751" s="364">
        <f t="shared" ref="F751:Q751" si="203">F719*F734</f>
        <v>0</v>
      </c>
      <c r="G751" s="364">
        <f t="shared" si="203"/>
        <v>0</v>
      </c>
      <c r="H751" s="364">
        <f t="shared" si="203"/>
        <v>0</v>
      </c>
      <c r="I751" s="364">
        <f t="shared" si="203"/>
        <v>0</v>
      </c>
      <c r="J751" s="364">
        <f t="shared" si="203"/>
        <v>0</v>
      </c>
      <c r="K751" s="364">
        <f t="shared" si="203"/>
        <v>0</v>
      </c>
      <c r="L751" s="364">
        <f t="shared" si="203"/>
        <v>0</v>
      </c>
      <c r="M751" s="364">
        <f t="shared" si="203"/>
        <v>0</v>
      </c>
      <c r="N751" s="364">
        <f t="shared" si="203"/>
        <v>0</v>
      </c>
      <c r="O751" s="364">
        <f t="shared" si="203"/>
        <v>0</v>
      </c>
      <c r="P751" s="364">
        <f t="shared" si="203"/>
        <v>0</v>
      </c>
      <c r="Q751" s="364">
        <f t="shared" si="203"/>
        <v>0</v>
      </c>
      <c r="R751" s="341">
        <f>SUM(F751:Q751)</f>
        <v>0</v>
      </c>
    </row>
    <row r="752" spans="1:20" x14ac:dyDescent="0.2">
      <c r="C752" s="32" t="s">
        <v>1078</v>
      </c>
      <c r="F752" s="365">
        <f t="shared" ref="F752:R752" si="204">SUM(F750:F751)</f>
        <v>0</v>
      </c>
      <c r="G752" s="365">
        <f t="shared" si="204"/>
        <v>0</v>
      </c>
      <c r="H752" s="365">
        <f t="shared" si="204"/>
        <v>0</v>
      </c>
      <c r="I752" s="365">
        <f t="shared" si="204"/>
        <v>0</v>
      </c>
      <c r="J752" s="365">
        <f t="shared" si="204"/>
        <v>0</v>
      </c>
      <c r="K752" s="365">
        <f t="shared" si="204"/>
        <v>0</v>
      </c>
      <c r="L752" s="365">
        <f t="shared" si="204"/>
        <v>0</v>
      </c>
      <c r="M752" s="365">
        <f t="shared" si="204"/>
        <v>0</v>
      </c>
      <c r="N752" s="365">
        <f t="shared" si="204"/>
        <v>0</v>
      </c>
      <c r="O752" s="365">
        <f t="shared" si="204"/>
        <v>0</v>
      </c>
      <c r="P752" s="365">
        <f t="shared" si="204"/>
        <v>0</v>
      </c>
      <c r="Q752" s="365">
        <f t="shared" si="204"/>
        <v>0</v>
      </c>
      <c r="R752" s="365">
        <f t="shared" si="204"/>
        <v>0</v>
      </c>
    </row>
    <row r="753" spans="1:20" s="336" customFormat="1" x14ac:dyDescent="0.2">
      <c r="A753" s="336" t="s">
        <v>1054</v>
      </c>
      <c r="B753" s="336" t="s">
        <v>1071</v>
      </c>
      <c r="D753" s="382">
        <v>87</v>
      </c>
      <c r="F753" s="447">
        <f>'JKP-3.1c - Rev Actual Rates'!F764</f>
        <v>0</v>
      </c>
      <c r="G753" s="447">
        <f>'JKP-3.1c - Rev Actual Rates'!G764</f>
        <v>70168.09</v>
      </c>
      <c r="H753" s="447">
        <f>'JKP-3.1c - Rev Actual Rates'!H764</f>
        <v>0</v>
      </c>
      <c r="I753" s="447">
        <f>'JKP-3.1c - Rev Actual Rates'!I764</f>
        <v>0</v>
      </c>
      <c r="J753" s="447">
        <f>'JKP-3.1c - Rev Actual Rates'!J764</f>
        <v>0</v>
      </c>
      <c r="K753" s="447">
        <f>'JKP-3.1c - Rev Actual Rates'!K764</f>
        <v>0</v>
      </c>
      <c r="L753" s="447">
        <f>'JKP-3.1c - Rev Actual Rates'!L764</f>
        <v>0</v>
      </c>
      <c r="M753" s="447">
        <f>'JKP-3.1c - Rev Actual Rates'!M764</f>
        <v>0</v>
      </c>
      <c r="N753" s="447">
        <f>'JKP-3.1c - Rev Actual Rates'!N764</f>
        <v>0</v>
      </c>
      <c r="O753" s="447">
        <f>'JKP-3.1c - Rev Actual Rates'!O764</f>
        <v>0</v>
      </c>
      <c r="P753" s="447">
        <f>'JKP-3.1c - Rev Actual Rates'!P764</f>
        <v>0</v>
      </c>
      <c r="Q753" s="447">
        <f>'JKP-3.1c - Rev Actual Rates'!Q764</f>
        <v>0</v>
      </c>
      <c r="R753" s="437">
        <f>SUM(F753:Q753)</f>
        <v>70168.09</v>
      </c>
      <c r="S753" s="335"/>
      <c r="T753" s="415"/>
    </row>
    <row r="754" spans="1:20" x14ac:dyDescent="0.2">
      <c r="B754" s="32" t="s">
        <v>1079</v>
      </c>
      <c r="F754" s="365">
        <f t="shared" ref="F754:R754" si="205">F747+F751</f>
        <v>55247.152700000006</v>
      </c>
      <c r="G754" s="365">
        <f t="shared" si="205"/>
        <v>76102.83743</v>
      </c>
      <c r="H754" s="365">
        <f t="shared" si="205"/>
        <v>78078.729390000008</v>
      </c>
      <c r="I754" s="365">
        <f t="shared" si="205"/>
        <v>97757.188770000008</v>
      </c>
      <c r="J754" s="365">
        <f t="shared" si="205"/>
        <v>113941.56417000001</v>
      </c>
      <c r="K754" s="365">
        <f t="shared" si="205"/>
        <v>86359.536950000009</v>
      </c>
      <c r="L754" s="365">
        <f t="shared" si="205"/>
        <v>69270.973340000011</v>
      </c>
      <c r="M754" s="365">
        <f t="shared" si="205"/>
        <v>101222.25431</v>
      </c>
      <c r="N754" s="365">
        <f t="shared" si="205"/>
        <v>132058.30387</v>
      </c>
      <c r="O754" s="365">
        <f t="shared" si="205"/>
        <v>146651.28164</v>
      </c>
      <c r="P754" s="365">
        <f t="shared" si="205"/>
        <v>133226.29608</v>
      </c>
      <c r="Q754" s="365">
        <f t="shared" si="205"/>
        <v>89972.332730000009</v>
      </c>
      <c r="R754" s="365">
        <f t="shared" si="205"/>
        <v>1179888.45138</v>
      </c>
    </row>
    <row r="755" spans="1:20" x14ac:dyDescent="0.2">
      <c r="B755" s="32" t="s">
        <v>986</v>
      </c>
      <c r="F755" s="365">
        <f t="shared" ref="F755:R755" si="206">F738+F746+F747+F748+F752+F753</f>
        <v>63826.380400000002</v>
      </c>
      <c r="G755" s="365">
        <f t="shared" si="206"/>
        <v>156483.62089999998</v>
      </c>
      <c r="H755" s="365">
        <f t="shared" si="206"/>
        <v>88975.045700000002</v>
      </c>
      <c r="I755" s="365">
        <f t="shared" si="206"/>
        <v>108783.59510000001</v>
      </c>
      <c r="J755" s="365">
        <f t="shared" si="206"/>
        <v>126551.91710000001</v>
      </c>
      <c r="K755" s="365">
        <f t="shared" si="206"/>
        <v>97780.568500000008</v>
      </c>
      <c r="L755" s="365">
        <f t="shared" si="206"/>
        <v>79050.76420000002</v>
      </c>
      <c r="M755" s="365">
        <f t="shared" si="206"/>
        <v>112468.22530000001</v>
      </c>
      <c r="N755" s="365">
        <f t="shared" si="206"/>
        <v>146372.76342</v>
      </c>
      <c r="O755" s="365">
        <f t="shared" si="206"/>
        <v>161118.70423999999</v>
      </c>
      <c r="P755" s="365">
        <f t="shared" si="206"/>
        <v>146480.85327999998</v>
      </c>
      <c r="Q755" s="365">
        <f t="shared" si="206"/>
        <v>101063.86990000002</v>
      </c>
      <c r="R755" s="365">
        <f t="shared" si="206"/>
        <v>1388956.30804</v>
      </c>
      <c r="T755" s="340"/>
    </row>
    <row r="756" spans="1:20" x14ac:dyDescent="0.2">
      <c r="C756" s="386"/>
      <c r="F756" s="364"/>
      <c r="G756" s="364"/>
      <c r="H756" s="364"/>
      <c r="I756" s="364"/>
      <c r="J756" s="364"/>
      <c r="K756" s="364"/>
      <c r="L756" s="364"/>
      <c r="M756" s="364"/>
      <c r="N756" s="364"/>
      <c r="O756" s="364"/>
      <c r="P756" s="364"/>
      <c r="Q756" s="364"/>
      <c r="R756" s="341"/>
      <c r="T756" s="415"/>
    </row>
    <row r="757" spans="1:20" x14ac:dyDescent="0.2">
      <c r="A757" s="32" t="s">
        <v>1058</v>
      </c>
      <c r="B757" s="32" t="s">
        <v>1050</v>
      </c>
      <c r="C757" s="386"/>
      <c r="F757" s="364">
        <f>F721*F733+F734*F722</f>
        <v>52858.032300000006</v>
      </c>
      <c r="G757" s="364">
        <f t="shared" ref="G757:Q757" si="207">G721*G733+G734*G722</f>
        <v>72811.829070000007</v>
      </c>
      <c r="H757" s="364">
        <f t="shared" si="207"/>
        <v>74702.275110000002</v>
      </c>
      <c r="I757" s="364">
        <f t="shared" si="207"/>
        <v>93529.754730000001</v>
      </c>
      <c r="J757" s="364">
        <f t="shared" si="207"/>
        <v>109014.24933000001</v>
      </c>
      <c r="K757" s="364">
        <f t="shared" si="207"/>
        <v>82624.985550000012</v>
      </c>
      <c r="L757" s="364">
        <f t="shared" si="207"/>
        <v>66275.403660000011</v>
      </c>
      <c r="M757" s="364">
        <f t="shared" si="207"/>
        <v>96844.976190000001</v>
      </c>
      <c r="N757" s="364">
        <f t="shared" si="207"/>
        <v>126347.54463</v>
      </c>
      <c r="O757" s="364">
        <f t="shared" si="207"/>
        <v>140309.46036</v>
      </c>
      <c r="P757" s="364">
        <f t="shared" si="207"/>
        <v>127465.02792000001</v>
      </c>
      <c r="Q757" s="364">
        <f t="shared" si="207"/>
        <v>86081.548770000009</v>
      </c>
      <c r="R757" s="341">
        <f>SUM(F757:Q757)</f>
        <v>1128865.0876200001</v>
      </c>
      <c r="T757" s="415"/>
    </row>
    <row r="758" spans="1:20" x14ac:dyDescent="0.2">
      <c r="C758" s="386"/>
      <c r="F758" s="364"/>
      <c r="G758" s="364"/>
      <c r="H758" s="364"/>
      <c r="I758" s="364"/>
      <c r="J758" s="364"/>
      <c r="K758" s="364"/>
      <c r="L758" s="364"/>
      <c r="M758" s="364"/>
      <c r="N758" s="364"/>
      <c r="O758" s="364"/>
      <c r="P758" s="364"/>
      <c r="Q758" s="364"/>
      <c r="R758" s="341"/>
      <c r="T758" s="415"/>
    </row>
    <row r="759" spans="1:20" ht="13.5" thickBot="1" x14ac:dyDescent="0.25">
      <c r="B759" s="276" t="s">
        <v>1113</v>
      </c>
      <c r="M759" s="276" t="s">
        <v>304</v>
      </c>
    </row>
    <row r="760" spans="1:20" x14ac:dyDescent="0.2">
      <c r="B760" s="464" t="s">
        <v>5</v>
      </c>
      <c r="C760" s="465"/>
      <c r="D760" s="465"/>
      <c r="E760" s="465"/>
      <c r="F760" s="465"/>
      <c r="G760" s="465"/>
      <c r="H760" s="465"/>
      <c r="I760" s="465"/>
      <c r="J760" s="465"/>
      <c r="K760" s="465"/>
      <c r="L760" s="465"/>
      <c r="M760" s="465"/>
      <c r="N760" s="465"/>
      <c r="O760" s="465"/>
      <c r="P760" s="465"/>
      <c r="Q760" s="465"/>
      <c r="R760" s="466"/>
    </row>
    <row r="761" spans="1:20" x14ac:dyDescent="0.2">
      <c r="B761" s="281" t="s">
        <v>1059</v>
      </c>
      <c r="C761" s="390"/>
      <c r="D761" s="390">
        <v>99</v>
      </c>
      <c r="E761" s="390" t="s">
        <v>976</v>
      </c>
      <c r="F761" s="519">
        <v>893.47</v>
      </c>
      <c r="G761" s="519">
        <v>893.47</v>
      </c>
      <c r="H761" s="519">
        <v>893.47</v>
      </c>
      <c r="I761" s="519">
        <v>893.47</v>
      </c>
      <c r="J761" s="519">
        <v>893.47</v>
      </c>
      <c r="K761" s="519">
        <v>893.47</v>
      </c>
      <c r="L761" s="519">
        <v>893.47</v>
      </c>
      <c r="M761" s="519">
        <v>893.47</v>
      </c>
      <c r="N761" s="519">
        <v>893.47</v>
      </c>
      <c r="O761" s="519">
        <v>893.47</v>
      </c>
      <c r="P761" s="519">
        <v>893.47</v>
      </c>
      <c r="Q761" s="519">
        <v>893.47</v>
      </c>
      <c r="R761" s="467"/>
    </row>
    <row r="762" spans="1:20" x14ac:dyDescent="0.2">
      <c r="B762" s="281" t="s">
        <v>1114</v>
      </c>
      <c r="C762" s="390"/>
      <c r="D762" s="390"/>
      <c r="E762" s="390"/>
      <c r="F762" s="520"/>
      <c r="G762" s="520"/>
      <c r="H762" s="520"/>
      <c r="I762" s="520"/>
      <c r="J762" s="520"/>
      <c r="K762" s="520"/>
      <c r="L762" s="520"/>
      <c r="M762" s="520"/>
      <c r="N762" s="520"/>
      <c r="O762" s="520"/>
      <c r="P762" s="520"/>
      <c r="Q762" s="520"/>
      <c r="R762" s="469"/>
    </row>
    <row r="763" spans="1:20" x14ac:dyDescent="0.2">
      <c r="B763" s="281"/>
      <c r="C763" s="390" t="s">
        <v>1115</v>
      </c>
      <c r="D763" s="390">
        <v>99</v>
      </c>
      <c r="E763" s="390" t="s">
        <v>957</v>
      </c>
      <c r="F763" s="461">
        <v>0.10589</v>
      </c>
      <c r="G763" s="461">
        <v>0.10589</v>
      </c>
      <c r="H763" s="461">
        <v>0.10589</v>
      </c>
      <c r="I763" s="461">
        <v>0.10589</v>
      </c>
      <c r="J763" s="461">
        <v>0.10589</v>
      </c>
      <c r="K763" s="461">
        <v>0.10589</v>
      </c>
      <c r="L763" s="461">
        <v>0.10589</v>
      </c>
      <c r="M763" s="461">
        <v>0.10589</v>
      </c>
      <c r="N763" s="461">
        <v>0.10589</v>
      </c>
      <c r="O763" s="461">
        <v>0.10589</v>
      </c>
      <c r="P763" s="461">
        <v>0.10589</v>
      </c>
      <c r="Q763" s="461">
        <v>0.10589</v>
      </c>
      <c r="R763" s="470"/>
    </row>
    <row r="764" spans="1:20" x14ac:dyDescent="0.2">
      <c r="B764" s="281"/>
      <c r="C764" s="390" t="s">
        <v>1116</v>
      </c>
      <c r="D764" s="390">
        <v>99</v>
      </c>
      <c r="E764" s="390" t="s">
        <v>957</v>
      </c>
      <c r="F764" s="461">
        <v>5.7590000000000002E-2</v>
      </c>
      <c r="G764" s="461">
        <v>5.7590000000000002E-2</v>
      </c>
      <c r="H764" s="461">
        <v>5.7590000000000002E-2</v>
      </c>
      <c r="I764" s="461">
        <v>5.7590000000000002E-2</v>
      </c>
      <c r="J764" s="461">
        <v>5.7590000000000002E-2</v>
      </c>
      <c r="K764" s="461">
        <v>5.7590000000000002E-2</v>
      </c>
      <c r="L764" s="461">
        <v>5.7590000000000002E-2</v>
      </c>
      <c r="M764" s="461">
        <v>5.7590000000000002E-2</v>
      </c>
      <c r="N764" s="461">
        <v>5.7590000000000002E-2</v>
      </c>
      <c r="O764" s="461">
        <v>5.7590000000000002E-2</v>
      </c>
      <c r="P764" s="461">
        <v>5.7590000000000002E-2</v>
      </c>
      <c r="Q764" s="461">
        <v>5.7590000000000002E-2</v>
      </c>
      <c r="R764" s="470"/>
    </row>
    <row r="765" spans="1:20" x14ac:dyDescent="0.2">
      <c r="B765" s="281"/>
      <c r="C765" s="390" t="s">
        <v>1117</v>
      </c>
      <c r="D765" s="390">
        <v>99</v>
      </c>
      <c r="E765" s="390" t="s">
        <v>957</v>
      </c>
      <c r="F765" s="461">
        <v>3.4549999999999997E-2</v>
      </c>
      <c r="G765" s="461">
        <v>3.4549999999999997E-2</v>
      </c>
      <c r="H765" s="461">
        <v>3.4549999999999997E-2</v>
      </c>
      <c r="I765" s="461">
        <v>3.4549999999999997E-2</v>
      </c>
      <c r="J765" s="461">
        <v>3.4549999999999997E-2</v>
      </c>
      <c r="K765" s="461">
        <v>3.4549999999999997E-2</v>
      </c>
      <c r="L765" s="461">
        <v>3.4549999999999997E-2</v>
      </c>
      <c r="M765" s="461">
        <v>3.4549999999999997E-2</v>
      </c>
      <c r="N765" s="461">
        <v>3.4549999999999997E-2</v>
      </c>
      <c r="O765" s="461">
        <v>3.4549999999999997E-2</v>
      </c>
      <c r="P765" s="461">
        <v>3.4549999999999997E-2</v>
      </c>
      <c r="Q765" s="461">
        <v>3.4549999999999997E-2</v>
      </c>
      <c r="R765" s="470"/>
    </row>
    <row r="766" spans="1:20" x14ac:dyDescent="0.2">
      <c r="B766" s="281"/>
      <c r="C766" s="390" t="s">
        <v>19</v>
      </c>
      <c r="D766" s="390">
        <v>99</v>
      </c>
      <c r="E766" s="390" t="s">
        <v>957</v>
      </c>
      <c r="F766" s="461">
        <v>2.3040000000000001E-2</v>
      </c>
      <c r="G766" s="461">
        <v>2.3040000000000001E-2</v>
      </c>
      <c r="H766" s="461">
        <v>2.3040000000000001E-2</v>
      </c>
      <c r="I766" s="461">
        <v>2.3040000000000001E-2</v>
      </c>
      <c r="J766" s="461">
        <v>2.3040000000000001E-2</v>
      </c>
      <c r="K766" s="461">
        <v>2.3040000000000001E-2</v>
      </c>
      <c r="L766" s="461">
        <v>2.3040000000000001E-2</v>
      </c>
      <c r="M766" s="461">
        <v>2.3040000000000001E-2</v>
      </c>
      <c r="N766" s="461">
        <v>2.3040000000000001E-2</v>
      </c>
      <c r="O766" s="461">
        <v>2.3040000000000001E-2</v>
      </c>
      <c r="P766" s="461">
        <v>2.3040000000000001E-2</v>
      </c>
      <c r="Q766" s="461">
        <v>2.3040000000000001E-2</v>
      </c>
      <c r="R766" s="470"/>
    </row>
    <row r="767" spans="1:20" x14ac:dyDescent="0.2">
      <c r="B767" s="281"/>
      <c r="C767" s="390" t="s">
        <v>19</v>
      </c>
      <c r="D767" s="390">
        <v>99</v>
      </c>
      <c r="E767" s="390" t="s">
        <v>957</v>
      </c>
      <c r="F767" s="461">
        <v>1.728E-2</v>
      </c>
      <c r="G767" s="461">
        <v>1.728E-2</v>
      </c>
      <c r="H767" s="461">
        <v>1.728E-2</v>
      </c>
      <c r="I767" s="461">
        <v>1.728E-2</v>
      </c>
      <c r="J767" s="461">
        <v>1.728E-2</v>
      </c>
      <c r="K767" s="461">
        <v>1.728E-2</v>
      </c>
      <c r="L767" s="461">
        <v>1.728E-2</v>
      </c>
      <c r="M767" s="461">
        <v>1.728E-2</v>
      </c>
      <c r="N767" s="461">
        <v>1.728E-2</v>
      </c>
      <c r="O767" s="461">
        <v>1.728E-2</v>
      </c>
      <c r="P767" s="461">
        <v>1.728E-2</v>
      </c>
      <c r="Q767" s="461">
        <v>1.728E-2</v>
      </c>
      <c r="R767" s="470"/>
    </row>
    <row r="768" spans="1:20" x14ac:dyDescent="0.2">
      <c r="B768" s="281"/>
      <c r="C768" s="390" t="s">
        <v>1118</v>
      </c>
      <c r="D768" s="390">
        <v>99</v>
      </c>
      <c r="E768" s="390" t="s">
        <v>957</v>
      </c>
      <c r="F768" s="461">
        <v>1.1509999999999999E-2</v>
      </c>
      <c r="G768" s="461">
        <v>1.1509999999999999E-2</v>
      </c>
      <c r="H768" s="461">
        <v>1.1509999999999999E-2</v>
      </c>
      <c r="I768" s="461">
        <v>1.1509999999999999E-2</v>
      </c>
      <c r="J768" s="461">
        <v>1.1509999999999999E-2</v>
      </c>
      <c r="K768" s="461">
        <v>1.1509999999999999E-2</v>
      </c>
      <c r="L768" s="461">
        <v>1.1509999999999999E-2</v>
      </c>
      <c r="M768" s="461">
        <v>1.1509999999999999E-2</v>
      </c>
      <c r="N768" s="461">
        <v>1.1509999999999999E-2</v>
      </c>
      <c r="O768" s="461">
        <v>1.1509999999999999E-2</v>
      </c>
      <c r="P768" s="461">
        <v>1.1509999999999999E-2</v>
      </c>
      <c r="Q768" s="461">
        <v>1.1509999999999999E-2</v>
      </c>
      <c r="R768" s="470"/>
    </row>
    <row r="769" spans="1:20" x14ac:dyDescent="0.2">
      <c r="B769" s="281" t="s">
        <v>1069</v>
      </c>
      <c r="C769" s="390"/>
      <c r="D769" s="390">
        <v>99</v>
      </c>
      <c r="E769" s="390" t="s">
        <v>1119</v>
      </c>
      <c r="F769" s="519">
        <v>1.1399999999999999</v>
      </c>
      <c r="G769" s="519">
        <v>1.1399999999999999</v>
      </c>
      <c r="H769" s="519">
        <v>1.1399999999999999</v>
      </c>
      <c r="I769" s="519">
        <v>1.1399999999999999</v>
      </c>
      <c r="J769" s="519">
        <v>1.1399999999999999</v>
      </c>
      <c r="K769" s="519">
        <v>1.1399999999999999</v>
      </c>
      <c r="L769" s="519">
        <v>1.1399999999999999</v>
      </c>
      <c r="M769" s="519">
        <v>1.1399999999999999</v>
      </c>
      <c r="N769" s="519">
        <v>1.1399999999999999</v>
      </c>
      <c r="O769" s="519">
        <v>1.1399999999999999</v>
      </c>
      <c r="P769" s="519">
        <v>1.1399999999999999</v>
      </c>
      <c r="Q769" s="519">
        <v>1.1399999999999999</v>
      </c>
      <c r="R769" s="467"/>
    </row>
    <row r="770" spans="1:20" x14ac:dyDescent="0.2">
      <c r="B770" s="281"/>
      <c r="C770" s="390"/>
      <c r="D770" s="390"/>
      <c r="E770" s="390"/>
      <c r="F770" s="390"/>
      <c r="G770" s="390"/>
      <c r="H770" s="390"/>
      <c r="I770" s="390"/>
      <c r="J770" s="390"/>
      <c r="K770" s="390"/>
      <c r="L770" s="390"/>
      <c r="M770" s="390"/>
      <c r="N770" s="390"/>
      <c r="O770" s="390"/>
      <c r="P770" s="390"/>
      <c r="Q770" s="390"/>
      <c r="R770" s="469"/>
    </row>
    <row r="771" spans="1:20" x14ac:dyDescent="0.2">
      <c r="B771" s="471" t="s">
        <v>982</v>
      </c>
      <c r="C771" s="390"/>
      <c r="D771" s="390"/>
      <c r="E771" s="390"/>
      <c r="F771" s="390"/>
      <c r="G771" s="390"/>
      <c r="H771" s="390"/>
      <c r="I771" s="390"/>
      <c r="J771" s="390"/>
      <c r="K771" s="390"/>
      <c r="L771" s="390"/>
      <c r="M771" s="390"/>
      <c r="N771" s="390"/>
      <c r="O771" s="390"/>
      <c r="P771" s="390"/>
      <c r="Q771" s="390"/>
      <c r="R771" s="469"/>
    </row>
    <row r="772" spans="1:20" x14ac:dyDescent="0.2">
      <c r="B772" s="281" t="s">
        <v>67</v>
      </c>
      <c r="C772" s="390"/>
      <c r="D772" s="390"/>
      <c r="E772" s="390" t="s">
        <v>67</v>
      </c>
      <c r="F772" s="396">
        <f>'JKP-3.1c - Data'!C157</f>
        <v>12</v>
      </c>
      <c r="G772" s="396">
        <f>'JKP-3.1c - Data'!D157</f>
        <v>12</v>
      </c>
      <c r="H772" s="396">
        <f>'JKP-3.1c - Data'!E157</f>
        <v>12</v>
      </c>
      <c r="I772" s="396">
        <f>'JKP-3.1c - Data'!F157</f>
        <v>12</v>
      </c>
      <c r="J772" s="396">
        <f>'JKP-3.1c - Data'!G157</f>
        <v>12</v>
      </c>
      <c r="K772" s="396">
        <f>'JKP-3.1c - Data'!H157</f>
        <v>12</v>
      </c>
      <c r="L772" s="396">
        <f>'JKP-3.1c - Data'!I157</f>
        <v>12</v>
      </c>
      <c r="M772" s="396">
        <f>'JKP-3.1c - Data'!J157</f>
        <v>12</v>
      </c>
      <c r="N772" s="396">
        <f>'JKP-3.1c - Data'!K157</f>
        <v>12</v>
      </c>
      <c r="O772" s="396">
        <f>'JKP-3.1c - Data'!L157</f>
        <v>12</v>
      </c>
      <c r="P772" s="396">
        <f>'JKP-3.1c - Data'!M157</f>
        <v>12</v>
      </c>
      <c r="Q772" s="396">
        <f>'JKP-3.1c - Data'!N157</f>
        <v>12</v>
      </c>
      <c r="R772" s="472">
        <f>SUM(F772:Q772)</f>
        <v>144</v>
      </c>
    </row>
    <row r="773" spans="1:20" s="336" customFormat="1" x14ac:dyDescent="0.2">
      <c r="B773" s="473" t="s">
        <v>76</v>
      </c>
      <c r="C773" s="415"/>
      <c r="D773" s="415"/>
      <c r="E773" s="415"/>
      <c r="F773" s="474"/>
      <c r="G773" s="474"/>
      <c r="H773" s="474"/>
      <c r="I773" s="474"/>
      <c r="J773" s="474"/>
      <c r="K773" s="474"/>
      <c r="L773" s="474"/>
      <c r="M773" s="474"/>
      <c r="N773" s="474"/>
      <c r="O773" s="474"/>
      <c r="P773" s="474"/>
      <c r="Q773" s="474"/>
      <c r="R773" s="475"/>
      <c r="S773" s="335"/>
      <c r="T773" s="415"/>
    </row>
    <row r="774" spans="1:20" s="336" customFormat="1" x14ac:dyDescent="0.2">
      <c r="B774" s="473"/>
      <c r="C774" s="415" t="s">
        <v>1115</v>
      </c>
      <c r="D774" s="415"/>
      <c r="E774" s="415" t="s">
        <v>10</v>
      </c>
      <c r="F774" s="478">
        <f>'JKP-3.1c - Rev Actual Rates'!F785</f>
        <v>253944</v>
      </c>
      <c r="G774" s="478">
        <f>'JKP-3.1c - Rev Actual Rates'!G785</f>
        <v>249800</v>
      </c>
      <c r="H774" s="478">
        <f>'JKP-3.1c - Rev Actual Rates'!H785</f>
        <v>250519</v>
      </c>
      <c r="I774" s="478">
        <f>'JKP-3.1c - Rev Actual Rates'!I785</f>
        <v>234365</v>
      </c>
      <c r="J774" s="478">
        <f>'JKP-3.1c - Rev Actual Rates'!J785</f>
        <v>226283</v>
      </c>
      <c r="K774" s="478">
        <f>'JKP-3.1c - Rev Actual Rates'!K785</f>
        <v>218737</v>
      </c>
      <c r="L774" s="478">
        <f>'JKP-3.1c - Rev Actual Rates'!L785</f>
        <v>213898</v>
      </c>
      <c r="M774" s="478">
        <f>'JKP-3.1c - Rev Actual Rates'!M785</f>
        <v>209203</v>
      </c>
      <c r="N774" s="478">
        <f>'JKP-3.1c - Rev Actual Rates'!N785</f>
        <v>218487</v>
      </c>
      <c r="O774" s="478">
        <f>'JKP-3.1c - Rev Actual Rates'!O785</f>
        <v>246239</v>
      </c>
      <c r="P774" s="478">
        <f>'JKP-3.1c - Rev Actual Rates'!P785</f>
        <v>273965</v>
      </c>
      <c r="Q774" s="478">
        <f>'JKP-3.1c - Rev Actual Rates'!Q785</f>
        <v>278558</v>
      </c>
      <c r="R774" s="475">
        <f t="shared" ref="R774:R779" si="208">SUM(F774:Q774)</f>
        <v>2873998</v>
      </c>
      <c r="S774" s="335"/>
      <c r="T774" s="415"/>
    </row>
    <row r="775" spans="1:20" s="336" customFormat="1" x14ac:dyDescent="0.2">
      <c r="B775" s="473"/>
      <c r="C775" s="415" t="s">
        <v>1116</v>
      </c>
      <c r="D775" s="415"/>
      <c r="E775" s="415" t="s">
        <v>10</v>
      </c>
      <c r="F775" s="478">
        <f>'JKP-3.1c - Rev Actual Rates'!F786</f>
        <v>197864</v>
      </c>
      <c r="G775" s="478">
        <f>'JKP-3.1c - Rev Actual Rates'!G786</f>
        <v>185146</v>
      </c>
      <c r="H775" s="478">
        <f>'JKP-3.1c - Rev Actual Rates'!H786</f>
        <v>188435</v>
      </c>
      <c r="I775" s="478">
        <f>'JKP-3.1c - Rev Actual Rates'!I786</f>
        <v>181809</v>
      </c>
      <c r="J775" s="478">
        <f>'JKP-3.1c - Rev Actual Rates'!J786</f>
        <v>179508</v>
      </c>
      <c r="K775" s="478">
        <f>'JKP-3.1c - Rev Actual Rates'!K786</f>
        <v>175904</v>
      </c>
      <c r="L775" s="478">
        <f>'JKP-3.1c - Rev Actual Rates'!L786</f>
        <v>175227</v>
      </c>
      <c r="M775" s="478">
        <f>'JKP-3.1c - Rev Actual Rates'!M786</f>
        <v>175000</v>
      </c>
      <c r="N775" s="478">
        <f>'JKP-3.1c - Rev Actual Rates'!N786</f>
        <v>179824</v>
      </c>
      <c r="O775" s="478">
        <f>'JKP-3.1c - Rev Actual Rates'!O786</f>
        <v>183783</v>
      </c>
      <c r="P775" s="478">
        <f>'JKP-3.1c - Rev Actual Rates'!P786</f>
        <v>201836</v>
      </c>
      <c r="Q775" s="478">
        <f>'JKP-3.1c - Rev Actual Rates'!Q786</f>
        <v>206486</v>
      </c>
      <c r="R775" s="475">
        <f t="shared" si="208"/>
        <v>2230822</v>
      </c>
      <c r="S775" s="335"/>
      <c r="T775" s="415"/>
    </row>
    <row r="776" spans="1:20" s="336" customFormat="1" x14ac:dyDescent="0.2">
      <c r="B776" s="473"/>
      <c r="C776" s="415" t="s">
        <v>1117</v>
      </c>
      <c r="D776" s="415"/>
      <c r="E776" s="415" t="s">
        <v>10</v>
      </c>
      <c r="F776" s="478">
        <f>'JKP-3.1c - Rev Actual Rates'!F787</f>
        <v>350000</v>
      </c>
      <c r="G776" s="478">
        <f>'JKP-3.1c - Rev Actual Rates'!G787</f>
        <v>350000</v>
      </c>
      <c r="H776" s="478">
        <f>'JKP-3.1c - Rev Actual Rates'!H787</f>
        <v>350000</v>
      </c>
      <c r="I776" s="478">
        <f>'JKP-3.1c - Rev Actual Rates'!I787</f>
        <v>350000</v>
      </c>
      <c r="J776" s="478">
        <f>'JKP-3.1c - Rev Actual Rates'!J787</f>
        <v>350000</v>
      </c>
      <c r="K776" s="478">
        <f>'JKP-3.1c - Rev Actual Rates'!K787</f>
        <v>350000</v>
      </c>
      <c r="L776" s="478">
        <f>'JKP-3.1c - Rev Actual Rates'!L787</f>
        <v>350000</v>
      </c>
      <c r="M776" s="478">
        <f>'JKP-3.1c - Rev Actual Rates'!M787</f>
        <v>350000</v>
      </c>
      <c r="N776" s="478">
        <f>'JKP-3.1c - Rev Actual Rates'!N787</f>
        <v>350000</v>
      </c>
      <c r="O776" s="478">
        <f>'JKP-3.1c - Rev Actual Rates'!O787</f>
        <v>350000</v>
      </c>
      <c r="P776" s="478">
        <f>'JKP-3.1c - Rev Actual Rates'!P787</f>
        <v>350000</v>
      </c>
      <c r="Q776" s="478">
        <f>'JKP-3.1c - Rev Actual Rates'!Q787</f>
        <v>350000</v>
      </c>
      <c r="R776" s="475">
        <f t="shared" si="208"/>
        <v>4200000</v>
      </c>
      <c r="S776" s="335"/>
      <c r="T776" s="415"/>
    </row>
    <row r="777" spans="1:20" s="336" customFormat="1" x14ac:dyDescent="0.2">
      <c r="B777" s="473"/>
      <c r="C777" s="415" t="s">
        <v>19</v>
      </c>
      <c r="D777" s="415"/>
      <c r="E777" s="415" t="s">
        <v>10</v>
      </c>
      <c r="F777" s="478">
        <f>'JKP-3.1c - Rev Actual Rates'!F788</f>
        <v>700000</v>
      </c>
      <c r="G777" s="478">
        <f>'JKP-3.1c - Rev Actual Rates'!G788</f>
        <v>700000</v>
      </c>
      <c r="H777" s="478">
        <f>'JKP-3.1c - Rev Actual Rates'!H788</f>
        <v>700000</v>
      </c>
      <c r="I777" s="478">
        <f>'JKP-3.1c - Rev Actual Rates'!I788</f>
        <v>696980</v>
      </c>
      <c r="J777" s="478">
        <f>'JKP-3.1c - Rev Actual Rates'!J788</f>
        <v>666126</v>
      </c>
      <c r="K777" s="478">
        <f>'JKP-3.1c - Rev Actual Rates'!K788</f>
        <v>557195</v>
      </c>
      <c r="L777" s="478">
        <f>'JKP-3.1c - Rev Actual Rates'!L788</f>
        <v>534767</v>
      </c>
      <c r="M777" s="478">
        <f>'JKP-3.1c - Rev Actual Rates'!M788</f>
        <v>530991</v>
      </c>
      <c r="N777" s="478">
        <f>'JKP-3.1c - Rev Actual Rates'!N788</f>
        <v>528511</v>
      </c>
      <c r="O777" s="478">
        <f>'JKP-3.1c - Rev Actual Rates'!O788</f>
        <v>665130</v>
      </c>
      <c r="P777" s="478">
        <f>'JKP-3.1c - Rev Actual Rates'!P788</f>
        <v>700000</v>
      </c>
      <c r="Q777" s="478">
        <f>'JKP-3.1c - Rev Actual Rates'!Q788</f>
        <v>700000</v>
      </c>
      <c r="R777" s="475">
        <f t="shared" si="208"/>
        <v>7679700</v>
      </c>
      <c r="S777" s="335"/>
      <c r="T777" s="415"/>
    </row>
    <row r="778" spans="1:20" s="336" customFormat="1" x14ac:dyDescent="0.2">
      <c r="B778" s="473"/>
      <c r="C778" s="415" t="s">
        <v>19</v>
      </c>
      <c r="D778" s="415"/>
      <c r="E778" s="415" t="s">
        <v>10</v>
      </c>
      <c r="F778" s="478">
        <f>'JKP-3.1c - Rev Actual Rates'!F789</f>
        <v>615370</v>
      </c>
      <c r="G778" s="478">
        <f>'JKP-3.1c - Rev Actual Rates'!G789</f>
        <v>566730</v>
      </c>
      <c r="H778" s="478">
        <f>'JKP-3.1c - Rev Actual Rates'!H789</f>
        <v>589922</v>
      </c>
      <c r="I778" s="478">
        <f>'JKP-3.1c - Rev Actual Rates'!I789</f>
        <v>528306</v>
      </c>
      <c r="J778" s="478">
        <f>'JKP-3.1c - Rev Actual Rates'!J789</f>
        <v>422363</v>
      </c>
      <c r="K778" s="478">
        <f>'JKP-3.1c - Rev Actual Rates'!K789</f>
        <v>227236</v>
      </c>
      <c r="L778" s="478">
        <f>'JKP-3.1c - Rev Actual Rates'!L789</f>
        <v>220738</v>
      </c>
      <c r="M778" s="478">
        <f>'JKP-3.1c - Rev Actual Rates'!M789</f>
        <v>209152</v>
      </c>
      <c r="N778" s="478">
        <f>'JKP-3.1c - Rev Actual Rates'!N789</f>
        <v>229727</v>
      </c>
      <c r="O778" s="478">
        <f>'JKP-3.1c - Rev Actual Rates'!O789</f>
        <v>446093</v>
      </c>
      <c r="P778" s="478">
        <f>'JKP-3.1c - Rev Actual Rates'!P789</f>
        <v>566263</v>
      </c>
      <c r="Q778" s="478">
        <f>'JKP-3.1c - Rev Actual Rates'!Q789</f>
        <v>580481</v>
      </c>
      <c r="R778" s="475">
        <f t="shared" si="208"/>
        <v>5202381</v>
      </c>
      <c r="S778" s="335"/>
      <c r="T778" s="415"/>
    </row>
    <row r="779" spans="1:20" s="336" customFormat="1" x14ac:dyDescent="0.2">
      <c r="B779" s="473"/>
      <c r="C779" s="415" t="s">
        <v>1118</v>
      </c>
      <c r="D779" s="415"/>
      <c r="E779" s="415" t="s">
        <v>10</v>
      </c>
      <c r="F779" s="478">
        <f>'JKP-3.1c - Rev Actual Rates'!F790</f>
        <v>1399932</v>
      </c>
      <c r="G779" s="478">
        <f>'JKP-3.1c - Rev Actual Rates'!G790</f>
        <v>1296321</v>
      </c>
      <c r="H779" s="478">
        <f>'JKP-3.1c - Rev Actual Rates'!H790</f>
        <v>1575585</v>
      </c>
      <c r="I779" s="478">
        <f>'JKP-3.1c - Rev Actual Rates'!I790</f>
        <v>1246739</v>
      </c>
      <c r="J779" s="478">
        <f>'JKP-3.1c - Rev Actual Rates'!J790</f>
        <v>961425</v>
      </c>
      <c r="K779" s="478">
        <f>'JKP-3.1c - Rev Actual Rates'!K790</f>
        <v>687096</v>
      </c>
      <c r="L779" s="478">
        <f>'JKP-3.1c - Rev Actual Rates'!L790</f>
        <v>512163</v>
      </c>
      <c r="M779" s="478">
        <f>'JKP-3.1c - Rev Actual Rates'!M790</f>
        <v>467496</v>
      </c>
      <c r="N779" s="478">
        <f>'JKP-3.1c - Rev Actual Rates'!N790</f>
        <v>472858</v>
      </c>
      <c r="O779" s="478">
        <f>'JKP-3.1c - Rev Actual Rates'!O790</f>
        <v>896132</v>
      </c>
      <c r="P779" s="478">
        <f>'JKP-3.1c - Rev Actual Rates'!P790</f>
        <v>1749972</v>
      </c>
      <c r="Q779" s="478">
        <f>'JKP-3.1c - Rev Actual Rates'!Q790</f>
        <v>1756019</v>
      </c>
      <c r="R779" s="475">
        <f t="shared" si="208"/>
        <v>13021738</v>
      </c>
      <c r="S779" s="335"/>
      <c r="T779" s="415"/>
    </row>
    <row r="780" spans="1:20" s="336" customFormat="1" x14ac:dyDescent="0.2">
      <c r="B780" s="473"/>
      <c r="C780" s="415" t="s">
        <v>1075</v>
      </c>
      <c r="D780" s="415"/>
      <c r="E780" s="415" t="s">
        <v>10</v>
      </c>
      <c r="F780" s="436">
        <f t="shared" ref="F780:R780" si="209">SUM(F774:F779)</f>
        <v>3517110</v>
      </c>
      <c r="G780" s="436">
        <f t="shared" si="209"/>
        <v>3347997</v>
      </c>
      <c r="H780" s="436">
        <f t="shared" si="209"/>
        <v>3654461</v>
      </c>
      <c r="I780" s="436">
        <f t="shared" si="209"/>
        <v>3238199</v>
      </c>
      <c r="J780" s="436">
        <f t="shared" si="209"/>
        <v>2805705</v>
      </c>
      <c r="K780" s="436">
        <f t="shared" si="209"/>
        <v>2216168</v>
      </c>
      <c r="L780" s="436">
        <f t="shared" si="209"/>
        <v>2006793</v>
      </c>
      <c r="M780" s="436">
        <f t="shared" si="209"/>
        <v>1941842</v>
      </c>
      <c r="N780" s="436">
        <f t="shared" si="209"/>
        <v>1979407</v>
      </c>
      <c r="O780" s="436">
        <f t="shared" si="209"/>
        <v>2787377</v>
      </c>
      <c r="P780" s="436">
        <f t="shared" si="209"/>
        <v>3842036</v>
      </c>
      <c r="Q780" s="436">
        <f t="shared" si="209"/>
        <v>3871544</v>
      </c>
      <c r="R780" s="477">
        <f t="shared" si="209"/>
        <v>35208639</v>
      </c>
      <c r="S780" s="335"/>
      <c r="T780" s="415"/>
    </row>
    <row r="781" spans="1:20" s="336" customFormat="1" x14ac:dyDescent="0.2">
      <c r="B781" s="473" t="s">
        <v>74</v>
      </c>
      <c r="C781" s="415"/>
      <c r="D781" s="415"/>
      <c r="E781" s="415" t="s">
        <v>1076</v>
      </c>
      <c r="F781" s="478">
        <f>'JKP-3.1c - Rev Actual Rates'!F792</f>
        <v>38483</v>
      </c>
      <c r="G781" s="478">
        <f>'JKP-3.1c - Rev Actual Rates'!G792</f>
        <v>38483</v>
      </c>
      <c r="H781" s="478">
        <f>'JKP-3.1c - Rev Actual Rates'!H792</f>
        <v>38483</v>
      </c>
      <c r="I781" s="478">
        <f>'JKP-3.1c - Rev Actual Rates'!I792</f>
        <v>38483</v>
      </c>
      <c r="J781" s="478">
        <f>'JKP-3.1c - Rev Actual Rates'!J792</f>
        <v>38483</v>
      </c>
      <c r="K781" s="478">
        <f>'JKP-3.1c - Rev Actual Rates'!K792</f>
        <v>38483</v>
      </c>
      <c r="L781" s="478">
        <f>'JKP-3.1c - Rev Actual Rates'!L792</f>
        <v>38483</v>
      </c>
      <c r="M781" s="478">
        <f>'JKP-3.1c - Rev Actual Rates'!M792</f>
        <v>38483</v>
      </c>
      <c r="N781" s="478">
        <f>'JKP-3.1c - Rev Actual Rates'!N792</f>
        <v>38483</v>
      </c>
      <c r="O781" s="478">
        <f>'JKP-3.1c - Rev Actual Rates'!O792</f>
        <v>38483</v>
      </c>
      <c r="P781" s="478">
        <f>'JKP-3.1c - Rev Actual Rates'!P792</f>
        <v>38483</v>
      </c>
      <c r="Q781" s="478">
        <f>'JKP-3.1c - Rev Actual Rates'!Q792</f>
        <v>38483</v>
      </c>
      <c r="R781" s="472">
        <f>SUM(F781:Q781)</f>
        <v>461796</v>
      </c>
      <c r="S781" s="335"/>
      <c r="T781" s="415"/>
    </row>
    <row r="782" spans="1:20" x14ac:dyDescent="0.2">
      <c r="B782" s="281"/>
      <c r="C782" s="390"/>
      <c r="D782" s="390"/>
      <c r="E782" s="390"/>
      <c r="F782" s="390"/>
      <c r="G782" s="390"/>
      <c r="H782" s="390"/>
      <c r="I782" s="390"/>
      <c r="J782" s="390"/>
      <c r="K782" s="390"/>
      <c r="L782" s="390"/>
      <c r="M782" s="390"/>
      <c r="N782" s="390"/>
      <c r="O782" s="390"/>
      <c r="P782" s="390"/>
      <c r="Q782" s="390"/>
      <c r="R782" s="469"/>
    </row>
    <row r="783" spans="1:20" x14ac:dyDescent="0.2">
      <c r="B783" s="471" t="s">
        <v>985</v>
      </c>
      <c r="C783" s="390"/>
      <c r="D783" s="390"/>
      <c r="E783" s="390"/>
      <c r="F783" s="390"/>
      <c r="G783" s="390"/>
      <c r="H783" s="390"/>
      <c r="I783" s="390"/>
      <c r="J783" s="390"/>
      <c r="K783" s="390"/>
      <c r="L783" s="390"/>
      <c r="M783" s="390"/>
      <c r="N783" s="390"/>
      <c r="O783" s="390"/>
      <c r="P783" s="390"/>
      <c r="Q783" s="390"/>
      <c r="R783" s="469"/>
    </row>
    <row r="784" spans="1:20" x14ac:dyDescent="0.2">
      <c r="A784" s="32" t="s">
        <v>1054</v>
      </c>
      <c r="B784" s="281" t="s">
        <v>1059</v>
      </c>
      <c r="C784" s="390"/>
      <c r="D784" s="390">
        <v>99</v>
      </c>
      <c r="E784" s="390"/>
      <c r="F784" s="417">
        <f t="shared" ref="F784:Q784" si="210">F761*F772</f>
        <v>10721.64</v>
      </c>
      <c r="G784" s="417">
        <f t="shared" si="210"/>
        <v>10721.64</v>
      </c>
      <c r="H784" s="417">
        <f t="shared" si="210"/>
        <v>10721.64</v>
      </c>
      <c r="I784" s="417">
        <f t="shared" si="210"/>
        <v>10721.64</v>
      </c>
      <c r="J784" s="417">
        <f t="shared" si="210"/>
        <v>10721.64</v>
      </c>
      <c r="K784" s="417">
        <f t="shared" si="210"/>
        <v>10721.64</v>
      </c>
      <c r="L784" s="417">
        <f t="shared" si="210"/>
        <v>10721.64</v>
      </c>
      <c r="M784" s="417">
        <f t="shared" si="210"/>
        <v>10721.64</v>
      </c>
      <c r="N784" s="417">
        <f t="shared" si="210"/>
        <v>10721.64</v>
      </c>
      <c r="O784" s="417">
        <f t="shared" si="210"/>
        <v>10721.64</v>
      </c>
      <c r="P784" s="417">
        <f t="shared" si="210"/>
        <v>10721.64</v>
      </c>
      <c r="Q784" s="417">
        <f t="shared" si="210"/>
        <v>10721.64</v>
      </c>
      <c r="R784" s="479">
        <f>SUM(F784:Q784)</f>
        <v>128659.68</v>
      </c>
    </row>
    <row r="785" spans="1:18" x14ac:dyDescent="0.2">
      <c r="B785" s="281" t="s">
        <v>1114</v>
      </c>
      <c r="C785" s="390"/>
      <c r="D785" s="390"/>
      <c r="E785" s="390"/>
      <c r="F785" s="417"/>
      <c r="G785" s="417"/>
      <c r="H785" s="417"/>
      <c r="I785" s="417"/>
      <c r="J785" s="417"/>
      <c r="K785" s="417"/>
      <c r="L785" s="417"/>
      <c r="M785" s="417"/>
      <c r="N785" s="417"/>
      <c r="O785" s="417"/>
      <c r="P785" s="417"/>
      <c r="Q785" s="417"/>
      <c r="R785" s="479"/>
    </row>
    <row r="786" spans="1:18" x14ac:dyDescent="0.2">
      <c r="B786" s="281"/>
      <c r="C786" s="390" t="s">
        <v>1115</v>
      </c>
      <c r="D786" s="390">
        <v>99</v>
      </c>
      <c r="E786" s="390"/>
      <c r="F786" s="417">
        <f t="shared" ref="F786:Q791" si="211">F774*F763</f>
        <v>26890.130160000001</v>
      </c>
      <c r="G786" s="417">
        <f t="shared" si="211"/>
        <v>26451.322</v>
      </c>
      <c r="H786" s="417">
        <f t="shared" si="211"/>
        <v>26527.456910000001</v>
      </c>
      <c r="I786" s="417">
        <f t="shared" si="211"/>
        <v>24816.90985</v>
      </c>
      <c r="J786" s="417">
        <f t="shared" si="211"/>
        <v>23961.10687</v>
      </c>
      <c r="K786" s="417">
        <f t="shared" si="211"/>
        <v>23162.06093</v>
      </c>
      <c r="L786" s="417">
        <f t="shared" si="211"/>
        <v>22649.659220000001</v>
      </c>
      <c r="M786" s="417">
        <f t="shared" si="211"/>
        <v>22152.505669999999</v>
      </c>
      <c r="N786" s="417">
        <f t="shared" si="211"/>
        <v>23135.58843</v>
      </c>
      <c r="O786" s="417">
        <f t="shared" si="211"/>
        <v>26074.24771</v>
      </c>
      <c r="P786" s="417">
        <f t="shared" si="211"/>
        <v>29010.153849999999</v>
      </c>
      <c r="Q786" s="417">
        <f t="shared" si="211"/>
        <v>29496.50662</v>
      </c>
      <c r="R786" s="479">
        <f t="shared" ref="R786:R791" si="212">SUM(F786:Q786)</f>
        <v>304327.64821999997</v>
      </c>
    </row>
    <row r="787" spans="1:18" x14ac:dyDescent="0.2">
      <c r="B787" s="281"/>
      <c r="C787" s="390" t="s">
        <v>1116</v>
      </c>
      <c r="D787" s="390">
        <v>99</v>
      </c>
      <c r="E787" s="390"/>
      <c r="F787" s="417">
        <f t="shared" si="211"/>
        <v>11394.98776</v>
      </c>
      <c r="G787" s="417">
        <f t="shared" si="211"/>
        <v>10662.558140000001</v>
      </c>
      <c r="H787" s="417">
        <f t="shared" si="211"/>
        <v>10851.971650000001</v>
      </c>
      <c r="I787" s="417">
        <f t="shared" si="211"/>
        <v>10470.38031</v>
      </c>
      <c r="J787" s="417">
        <f t="shared" si="211"/>
        <v>10337.86572</v>
      </c>
      <c r="K787" s="417">
        <f t="shared" si="211"/>
        <v>10130.31136</v>
      </c>
      <c r="L787" s="417">
        <f t="shared" si="211"/>
        <v>10091.32293</v>
      </c>
      <c r="M787" s="417">
        <f t="shared" si="211"/>
        <v>10078.25</v>
      </c>
      <c r="N787" s="417">
        <f t="shared" si="211"/>
        <v>10356.06416</v>
      </c>
      <c r="O787" s="417">
        <f t="shared" si="211"/>
        <v>10584.062970000001</v>
      </c>
      <c r="P787" s="417">
        <f t="shared" si="211"/>
        <v>11623.73524</v>
      </c>
      <c r="Q787" s="417">
        <f t="shared" si="211"/>
        <v>11891.52874</v>
      </c>
      <c r="R787" s="479">
        <f t="shared" si="212"/>
        <v>128473.03897999998</v>
      </c>
    </row>
    <row r="788" spans="1:18" x14ac:dyDescent="0.2">
      <c r="B788" s="281"/>
      <c r="C788" s="390" t="s">
        <v>1117</v>
      </c>
      <c r="D788" s="390">
        <v>99</v>
      </c>
      <c r="E788" s="390"/>
      <c r="F788" s="417">
        <f t="shared" si="211"/>
        <v>12092.499999999998</v>
      </c>
      <c r="G788" s="417">
        <f t="shared" si="211"/>
        <v>12092.499999999998</v>
      </c>
      <c r="H788" s="417">
        <f t="shared" si="211"/>
        <v>12092.499999999998</v>
      </c>
      <c r="I788" s="417">
        <f t="shared" si="211"/>
        <v>12092.499999999998</v>
      </c>
      <c r="J788" s="417">
        <f t="shared" si="211"/>
        <v>12092.499999999998</v>
      </c>
      <c r="K788" s="417">
        <f t="shared" si="211"/>
        <v>12092.499999999998</v>
      </c>
      <c r="L788" s="417">
        <f t="shared" si="211"/>
        <v>12092.499999999998</v>
      </c>
      <c r="M788" s="417">
        <f t="shared" si="211"/>
        <v>12092.499999999998</v>
      </c>
      <c r="N788" s="417">
        <f t="shared" si="211"/>
        <v>12092.499999999998</v>
      </c>
      <c r="O788" s="417">
        <f t="shared" si="211"/>
        <v>12092.499999999998</v>
      </c>
      <c r="P788" s="417">
        <f t="shared" si="211"/>
        <v>12092.499999999998</v>
      </c>
      <c r="Q788" s="417">
        <f t="shared" si="211"/>
        <v>12092.499999999998</v>
      </c>
      <c r="R788" s="479">
        <f t="shared" si="212"/>
        <v>145109.99999999997</v>
      </c>
    </row>
    <row r="789" spans="1:18" x14ac:dyDescent="0.2">
      <c r="B789" s="281"/>
      <c r="C789" s="390" t="s">
        <v>19</v>
      </c>
      <c r="D789" s="390">
        <v>99</v>
      </c>
      <c r="E789" s="390"/>
      <c r="F789" s="417">
        <f t="shared" si="211"/>
        <v>16128.000000000002</v>
      </c>
      <c r="G789" s="417">
        <f t="shared" si="211"/>
        <v>16128.000000000002</v>
      </c>
      <c r="H789" s="417">
        <f t="shared" si="211"/>
        <v>16128.000000000002</v>
      </c>
      <c r="I789" s="417">
        <f t="shared" si="211"/>
        <v>16058.4192</v>
      </c>
      <c r="J789" s="417">
        <f t="shared" si="211"/>
        <v>15347.54304</v>
      </c>
      <c r="K789" s="417">
        <f t="shared" si="211"/>
        <v>12837.772800000001</v>
      </c>
      <c r="L789" s="417">
        <f t="shared" si="211"/>
        <v>12321.03168</v>
      </c>
      <c r="M789" s="417">
        <f t="shared" si="211"/>
        <v>12234.032640000001</v>
      </c>
      <c r="N789" s="417">
        <f t="shared" si="211"/>
        <v>12176.893440000002</v>
      </c>
      <c r="O789" s="417">
        <f t="shared" si="211"/>
        <v>15324.595200000002</v>
      </c>
      <c r="P789" s="417">
        <f t="shared" si="211"/>
        <v>16128.000000000002</v>
      </c>
      <c r="Q789" s="417">
        <f t="shared" si="211"/>
        <v>16128.000000000002</v>
      </c>
      <c r="R789" s="479">
        <f t="shared" si="212"/>
        <v>176940.28800000003</v>
      </c>
    </row>
    <row r="790" spans="1:18" x14ac:dyDescent="0.2">
      <c r="B790" s="281"/>
      <c r="C790" s="390" t="s">
        <v>19</v>
      </c>
      <c r="D790" s="390">
        <v>99</v>
      </c>
      <c r="E790" s="390"/>
      <c r="F790" s="417">
        <f t="shared" si="211"/>
        <v>10633.5936</v>
      </c>
      <c r="G790" s="417">
        <f t="shared" si="211"/>
        <v>9793.0944</v>
      </c>
      <c r="H790" s="417">
        <f t="shared" si="211"/>
        <v>10193.85216</v>
      </c>
      <c r="I790" s="417">
        <f t="shared" si="211"/>
        <v>9129.1276799999996</v>
      </c>
      <c r="J790" s="417">
        <f t="shared" si="211"/>
        <v>7298.43264</v>
      </c>
      <c r="K790" s="417">
        <f t="shared" si="211"/>
        <v>3926.6380800000002</v>
      </c>
      <c r="L790" s="417">
        <f t="shared" si="211"/>
        <v>3814.3526400000001</v>
      </c>
      <c r="M790" s="417">
        <f t="shared" si="211"/>
        <v>3614.1465600000001</v>
      </c>
      <c r="N790" s="417">
        <f t="shared" si="211"/>
        <v>3969.6825600000002</v>
      </c>
      <c r="O790" s="417">
        <f t="shared" si="211"/>
        <v>7708.48704</v>
      </c>
      <c r="P790" s="417">
        <f t="shared" si="211"/>
        <v>9785.0246399999996</v>
      </c>
      <c r="Q790" s="417">
        <f t="shared" si="211"/>
        <v>10030.71168</v>
      </c>
      <c r="R790" s="479">
        <f t="shared" si="212"/>
        <v>89897.143680000008</v>
      </c>
    </row>
    <row r="791" spans="1:18" x14ac:dyDescent="0.2">
      <c r="B791" s="281"/>
      <c r="C791" s="390" t="s">
        <v>1118</v>
      </c>
      <c r="D791" s="390">
        <v>99</v>
      </c>
      <c r="E791" s="390"/>
      <c r="F791" s="417">
        <f t="shared" si="211"/>
        <v>16113.21732</v>
      </c>
      <c r="G791" s="417">
        <f t="shared" si="211"/>
        <v>14920.654709999999</v>
      </c>
      <c r="H791" s="417">
        <f t="shared" si="211"/>
        <v>18134.983349999999</v>
      </c>
      <c r="I791" s="417">
        <f t="shared" si="211"/>
        <v>14349.965889999999</v>
      </c>
      <c r="J791" s="417">
        <f t="shared" si="211"/>
        <v>11066.001749999999</v>
      </c>
      <c r="K791" s="417">
        <f t="shared" si="211"/>
        <v>7908.4749599999996</v>
      </c>
      <c r="L791" s="417">
        <f t="shared" si="211"/>
        <v>5894.9961299999995</v>
      </c>
      <c r="M791" s="417">
        <f t="shared" si="211"/>
        <v>5380.87896</v>
      </c>
      <c r="N791" s="417">
        <f t="shared" si="211"/>
        <v>5442.5955800000002</v>
      </c>
      <c r="O791" s="417">
        <f t="shared" si="211"/>
        <v>10314.479319999999</v>
      </c>
      <c r="P791" s="417">
        <f t="shared" si="211"/>
        <v>20142.17772</v>
      </c>
      <c r="Q791" s="417">
        <f t="shared" si="211"/>
        <v>20211.778689999999</v>
      </c>
      <c r="R791" s="479">
        <f t="shared" si="212"/>
        <v>149880.20438000001</v>
      </c>
    </row>
    <row r="792" spans="1:18" x14ac:dyDescent="0.2">
      <c r="A792" s="32" t="s">
        <v>1054</v>
      </c>
      <c r="B792" s="281"/>
      <c r="C792" s="390" t="s">
        <v>1120</v>
      </c>
      <c r="D792" s="390">
        <v>99</v>
      </c>
      <c r="E792" s="390"/>
      <c r="F792" s="365">
        <f t="shared" ref="F792:R792" si="213">SUM(F786:F791)</f>
        <v>93252.428840000008</v>
      </c>
      <c r="G792" s="365">
        <f t="shared" si="213"/>
        <v>90048.129249999998</v>
      </c>
      <c r="H792" s="365">
        <f t="shared" si="213"/>
        <v>93928.76406999999</v>
      </c>
      <c r="I792" s="365">
        <f t="shared" si="213"/>
        <v>86917.302930000005</v>
      </c>
      <c r="J792" s="365">
        <f t="shared" si="213"/>
        <v>80103.450019999989</v>
      </c>
      <c r="K792" s="365">
        <f t="shared" si="213"/>
        <v>70057.758130000002</v>
      </c>
      <c r="L792" s="365">
        <f t="shared" si="213"/>
        <v>66863.862599999993</v>
      </c>
      <c r="M792" s="365">
        <f t="shared" si="213"/>
        <v>65552.313829999999</v>
      </c>
      <c r="N792" s="365">
        <f t="shared" si="213"/>
        <v>67173.324169999993</v>
      </c>
      <c r="O792" s="365">
        <f t="shared" si="213"/>
        <v>82098.372240000012</v>
      </c>
      <c r="P792" s="365">
        <f t="shared" si="213"/>
        <v>98781.591450000007</v>
      </c>
      <c r="Q792" s="365">
        <f t="shared" si="213"/>
        <v>99851.025730000023</v>
      </c>
      <c r="R792" s="480">
        <f t="shared" si="213"/>
        <v>994628.32325999998</v>
      </c>
    </row>
    <row r="793" spans="1:18" x14ac:dyDescent="0.2">
      <c r="A793" s="32" t="s">
        <v>1054</v>
      </c>
      <c r="B793" s="281" t="s">
        <v>1069</v>
      </c>
      <c r="C793" s="390"/>
      <c r="D793" s="390">
        <v>99</v>
      </c>
      <c r="E793" s="390"/>
      <c r="F793" s="417">
        <f t="shared" ref="F793:Q793" si="214">F769*F781</f>
        <v>43870.619999999995</v>
      </c>
      <c r="G793" s="417">
        <f t="shared" si="214"/>
        <v>43870.619999999995</v>
      </c>
      <c r="H793" s="417">
        <f t="shared" si="214"/>
        <v>43870.619999999995</v>
      </c>
      <c r="I793" s="417">
        <f t="shared" si="214"/>
        <v>43870.619999999995</v>
      </c>
      <c r="J793" s="417">
        <f t="shared" si="214"/>
        <v>43870.619999999995</v>
      </c>
      <c r="K793" s="417">
        <f t="shared" si="214"/>
        <v>43870.619999999995</v>
      </c>
      <c r="L793" s="417">
        <f t="shared" si="214"/>
        <v>43870.619999999995</v>
      </c>
      <c r="M793" s="417">
        <f t="shared" si="214"/>
        <v>43870.619999999995</v>
      </c>
      <c r="N793" s="417">
        <f t="shared" si="214"/>
        <v>43870.619999999995</v>
      </c>
      <c r="O793" s="417">
        <f t="shared" si="214"/>
        <v>43870.619999999995</v>
      </c>
      <c r="P793" s="417">
        <f t="shared" si="214"/>
        <v>43870.619999999995</v>
      </c>
      <c r="Q793" s="417">
        <f t="shared" si="214"/>
        <v>43870.619999999995</v>
      </c>
      <c r="R793" s="479">
        <f>SUM(F793:Q793)</f>
        <v>526447.43999999994</v>
      </c>
    </row>
    <row r="794" spans="1:18" ht="13.5" thickBot="1" x14ac:dyDescent="0.25">
      <c r="B794" s="481" t="s">
        <v>986</v>
      </c>
      <c r="C794" s="482"/>
      <c r="D794" s="482"/>
      <c r="E794" s="482"/>
      <c r="F794" s="483">
        <f t="shared" ref="F794:R794" si="215">F784+F792+F793</f>
        <v>147844.68884000002</v>
      </c>
      <c r="G794" s="483">
        <f t="shared" si="215"/>
        <v>144640.38925000001</v>
      </c>
      <c r="H794" s="483">
        <f t="shared" si="215"/>
        <v>148521.02406999998</v>
      </c>
      <c r="I794" s="483">
        <f t="shared" si="215"/>
        <v>141509.56293000001</v>
      </c>
      <c r="J794" s="483">
        <f t="shared" si="215"/>
        <v>134695.71002</v>
      </c>
      <c r="K794" s="483">
        <f t="shared" si="215"/>
        <v>124650.01813</v>
      </c>
      <c r="L794" s="483">
        <f t="shared" si="215"/>
        <v>121456.12259999999</v>
      </c>
      <c r="M794" s="483">
        <f t="shared" si="215"/>
        <v>120144.57382999999</v>
      </c>
      <c r="N794" s="483">
        <f t="shared" si="215"/>
        <v>121765.58416999999</v>
      </c>
      <c r="O794" s="483">
        <f t="shared" si="215"/>
        <v>136690.63224000001</v>
      </c>
      <c r="P794" s="483">
        <f t="shared" si="215"/>
        <v>153373.85145000002</v>
      </c>
      <c r="Q794" s="483">
        <f t="shared" si="215"/>
        <v>154443.28573</v>
      </c>
      <c r="R794" s="484">
        <f t="shared" si="215"/>
        <v>1649735.4432599999</v>
      </c>
    </row>
    <row r="795" spans="1:18" x14ac:dyDescent="0.2">
      <c r="F795" s="364"/>
      <c r="G795" s="364"/>
      <c r="H795" s="364"/>
      <c r="I795" s="364"/>
      <c r="J795" s="364"/>
      <c r="K795" s="364"/>
      <c r="L795" s="364"/>
      <c r="M795" s="364"/>
      <c r="N795" s="364"/>
      <c r="O795" s="364"/>
      <c r="P795" s="364"/>
      <c r="Q795" s="364"/>
      <c r="R795" s="364"/>
    </row>
    <row r="796" spans="1:18" x14ac:dyDescent="0.2">
      <c r="B796" s="276" t="s">
        <v>1001</v>
      </c>
    </row>
    <row r="797" spans="1:18" x14ac:dyDescent="0.2">
      <c r="B797" s="276" t="s">
        <v>1002</v>
      </c>
    </row>
    <row r="798" spans="1:18" x14ac:dyDescent="0.2">
      <c r="B798" s="277" t="s">
        <v>9</v>
      </c>
      <c r="D798" s="32">
        <v>16</v>
      </c>
      <c r="F798" s="279">
        <f t="shared" ref="F798:Q798" si="216">F14</f>
        <v>54</v>
      </c>
      <c r="G798" s="279">
        <f t="shared" si="216"/>
        <v>54</v>
      </c>
      <c r="H798" s="279">
        <f t="shared" si="216"/>
        <v>54</v>
      </c>
      <c r="I798" s="279">
        <f t="shared" si="216"/>
        <v>54</v>
      </c>
      <c r="J798" s="279">
        <f t="shared" si="216"/>
        <v>53.999999999999993</v>
      </c>
      <c r="K798" s="279">
        <f t="shared" si="216"/>
        <v>54</v>
      </c>
      <c r="L798" s="279">
        <f t="shared" si="216"/>
        <v>53</v>
      </c>
      <c r="M798" s="279">
        <f t="shared" si="216"/>
        <v>53</v>
      </c>
      <c r="N798" s="279">
        <f t="shared" si="216"/>
        <v>53</v>
      </c>
      <c r="O798" s="279">
        <f t="shared" si="216"/>
        <v>53</v>
      </c>
      <c r="P798" s="279">
        <f t="shared" si="216"/>
        <v>53</v>
      </c>
      <c r="Q798" s="279">
        <f t="shared" si="216"/>
        <v>53</v>
      </c>
      <c r="R798" s="378">
        <f>SUM(F798:Q798)</f>
        <v>642</v>
      </c>
    </row>
    <row r="799" spans="1:18" x14ac:dyDescent="0.2">
      <c r="B799" s="277"/>
      <c r="F799" s="279"/>
      <c r="G799" s="279"/>
      <c r="H799" s="279"/>
      <c r="I799" s="279"/>
      <c r="J799" s="279"/>
      <c r="K799" s="279"/>
      <c r="L799" s="279"/>
      <c r="M799" s="279"/>
      <c r="N799" s="279"/>
      <c r="O799" s="279"/>
      <c r="P799" s="279"/>
      <c r="Q799" s="279"/>
      <c r="R799" s="279"/>
    </row>
    <row r="800" spans="1:18" x14ac:dyDescent="0.2">
      <c r="B800" s="32" t="s">
        <v>1121</v>
      </c>
    </row>
    <row r="801" spans="3:18" x14ac:dyDescent="0.2">
      <c r="C801" s="32" t="s">
        <v>374</v>
      </c>
      <c r="D801" s="32">
        <v>23</v>
      </c>
      <c r="F801" s="279">
        <f t="shared" ref="F801:Q801" si="217">F33</f>
        <v>699965</v>
      </c>
      <c r="G801" s="279">
        <f t="shared" si="217"/>
        <v>701215</v>
      </c>
      <c r="H801" s="279">
        <f t="shared" si="217"/>
        <v>702257</v>
      </c>
      <c r="I801" s="279">
        <f t="shared" si="217"/>
        <v>702573</v>
      </c>
      <c r="J801" s="279">
        <f t="shared" si="217"/>
        <v>703246</v>
      </c>
      <c r="K801" s="279">
        <f t="shared" si="217"/>
        <v>704366</v>
      </c>
      <c r="L801" s="279">
        <f t="shared" si="217"/>
        <v>704758</v>
      </c>
      <c r="M801" s="279">
        <f t="shared" si="217"/>
        <v>703964</v>
      </c>
      <c r="N801" s="279">
        <f t="shared" si="217"/>
        <v>705153</v>
      </c>
      <c r="O801" s="279">
        <f t="shared" si="217"/>
        <v>704137</v>
      </c>
      <c r="P801" s="279">
        <f t="shared" si="217"/>
        <v>704666</v>
      </c>
      <c r="Q801" s="279">
        <f t="shared" si="217"/>
        <v>705036</v>
      </c>
      <c r="R801" s="378">
        <f t="shared" ref="R801:R820" si="218">SUM(F801:Q801)</f>
        <v>8441336</v>
      </c>
    </row>
    <row r="802" spans="3:18" x14ac:dyDescent="0.2">
      <c r="C802" s="32" t="s">
        <v>1122</v>
      </c>
      <c r="D802" s="32">
        <v>53</v>
      </c>
      <c r="F802" s="279">
        <f t="shared" ref="F802:Q802" si="219">F51</f>
        <v>5</v>
      </c>
      <c r="G802" s="279">
        <f t="shared" si="219"/>
        <v>5</v>
      </c>
      <c r="H802" s="279">
        <f t="shared" si="219"/>
        <v>5</v>
      </c>
      <c r="I802" s="279">
        <f t="shared" si="219"/>
        <v>5</v>
      </c>
      <c r="J802" s="279">
        <f t="shared" si="219"/>
        <v>5</v>
      </c>
      <c r="K802" s="279">
        <f t="shared" si="219"/>
        <v>5</v>
      </c>
      <c r="L802" s="279">
        <f t="shared" si="219"/>
        <v>6</v>
      </c>
      <c r="M802" s="279">
        <f t="shared" si="219"/>
        <v>6</v>
      </c>
      <c r="N802" s="279">
        <f t="shared" si="219"/>
        <v>5</v>
      </c>
      <c r="O802" s="279">
        <f t="shared" si="219"/>
        <v>5</v>
      </c>
      <c r="P802" s="279">
        <f t="shared" si="219"/>
        <v>5</v>
      </c>
      <c r="Q802" s="279">
        <f t="shared" si="219"/>
        <v>4</v>
      </c>
      <c r="R802" s="378">
        <f t="shared" si="218"/>
        <v>61</v>
      </c>
    </row>
    <row r="803" spans="3:18" x14ac:dyDescent="0.2">
      <c r="C803" s="32" t="s">
        <v>1123</v>
      </c>
      <c r="D803" s="32">
        <v>31</v>
      </c>
      <c r="F803" s="279">
        <f t="shared" ref="F803:Q803" si="220">F80</f>
        <v>52658</v>
      </c>
      <c r="G803" s="279">
        <f t="shared" si="220"/>
        <v>52610</v>
      </c>
      <c r="H803" s="279">
        <f t="shared" si="220"/>
        <v>52574</v>
      </c>
      <c r="I803" s="279">
        <f t="shared" si="220"/>
        <v>52525</v>
      </c>
      <c r="J803" s="279">
        <f t="shared" si="220"/>
        <v>52396</v>
      </c>
      <c r="K803" s="279">
        <f t="shared" si="220"/>
        <v>52307</v>
      </c>
      <c r="L803" s="279">
        <f t="shared" si="220"/>
        <v>52272</v>
      </c>
      <c r="M803" s="279">
        <f t="shared" si="220"/>
        <v>52234</v>
      </c>
      <c r="N803" s="279">
        <f t="shared" si="220"/>
        <v>52221</v>
      </c>
      <c r="O803" s="279">
        <f t="shared" si="220"/>
        <v>52328</v>
      </c>
      <c r="P803" s="279">
        <f t="shared" si="220"/>
        <v>52300</v>
      </c>
      <c r="Q803" s="279">
        <f t="shared" si="220"/>
        <v>52414</v>
      </c>
      <c r="R803" s="378">
        <f t="shared" si="218"/>
        <v>628839</v>
      </c>
    </row>
    <row r="804" spans="3:18" x14ac:dyDescent="0.2">
      <c r="C804" s="32" t="s">
        <v>1124</v>
      </c>
      <c r="D804" s="32">
        <v>41</v>
      </c>
      <c r="F804" s="279">
        <f t="shared" ref="F804:Q804" si="221">F106</f>
        <v>1953</v>
      </c>
      <c r="G804" s="279">
        <f t="shared" si="221"/>
        <v>1949</v>
      </c>
      <c r="H804" s="279">
        <f t="shared" si="221"/>
        <v>1949</v>
      </c>
      <c r="I804" s="279">
        <f t="shared" si="221"/>
        <v>1951</v>
      </c>
      <c r="J804" s="279">
        <f t="shared" si="221"/>
        <v>1946</v>
      </c>
      <c r="K804" s="279">
        <f t="shared" si="221"/>
        <v>1952</v>
      </c>
      <c r="L804" s="279">
        <f t="shared" si="221"/>
        <v>1951</v>
      </c>
      <c r="M804" s="279">
        <f t="shared" si="221"/>
        <v>1936</v>
      </c>
      <c r="N804" s="279">
        <f t="shared" si="221"/>
        <v>1923</v>
      </c>
      <c r="O804" s="279">
        <f t="shared" si="221"/>
        <v>1902</v>
      </c>
      <c r="P804" s="279">
        <f t="shared" si="221"/>
        <v>1884</v>
      </c>
      <c r="Q804" s="279">
        <f t="shared" si="221"/>
        <v>1883</v>
      </c>
      <c r="R804" s="378">
        <f t="shared" si="218"/>
        <v>23179</v>
      </c>
    </row>
    <row r="805" spans="3:18" x14ac:dyDescent="0.2">
      <c r="C805" s="32" t="s">
        <v>1125</v>
      </c>
      <c r="D805" s="444" t="s">
        <v>808</v>
      </c>
      <c r="F805" s="279">
        <f t="shared" ref="F805:Q805" si="222">F145</f>
        <v>10</v>
      </c>
      <c r="G805" s="279">
        <f t="shared" si="222"/>
        <v>10</v>
      </c>
      <c r="H805" s="279">
        <f t="shared" si="222"/>
        <v>10</v>
      </c>
      <c r="I805" s="279">
        <f t="shared" si="222"/>
        <v>10</v>
      </c>
      <c r="J805" s="279">
        <f t="shared" si="222"/>
        <v>10</v>
      </c>
      <c r="K805" s="279">
        <f t="shared" si="222"/>
        <v>10</v>
      </c>
      <c r="L805" s="279">
        <f t="shared" si="222"/>
        <v>10</v>
      </c>
      <c r="M805" s="279">
        <f t="shared" si="222"/>
        <v>10</v>
      </c>
      <c r="N805" s="279">
        <f t="shared" si="222"/>
        <v>11</v>
      </c>
      <c r="O805" s="279">
        <f t="shared" si="222"/>
        <v>12</v>
      </c>
      <c r="P805" s="279">
        <f t="shared" si="222"/>
        <v>20</v>
      </c>
      <c r="Q805" s="279">
        <f t="shared" si="222"/>
        <v>30</v>
      </c>
      <c r="R805" s="378">
        <f t="shared" si="218"/>
        <v>153</v>
      </c>
    </row>
    <row r="806" spans="3:18" x14ac:dyDescent="0.2">
      <c r="C806" s="32" t="s">
        <v>1126</v>
      </c>
      <c r="D806" s="444" t="s">
        <v>809</v>
      </c>
      <c r="F806" s="279">
        <f t="shared" ref="F806:Q806" si="223">F181</f>
        <v>35</v>
      </c>
      <c r="G806" s="279">
        <f t="shared" si="223"/>
        <v>37</v>
      </c>
      <c r="H806" s="279">
        <f t="shared" si="223"/>
        <v>36</v>
      </c>
      <c r="I806" s="279">
        <f t="shared" si="223"/>
        <v>36</v>
      </c>
      <c r="J806" s="279">
        <f t="shared" si="223"/>
        <v>37</v>
      </c>
      <c r="K806" s="279">
        <f t="shared" si="223"/>
        <v>37</v>
      </c>
      <c r="L806" s="279">
        <f t="shared" si="223"/>
        <v>37</v>
      </c>
      <c r="M806" s="279">
        <f t="shared" si="223"/>
        <v>37</v>
      </c>
      <c r="N806" s="279">
        <f t="shared" si="223"/>
        <v>37</v>
      </c>
      <c r="O806" s="279">
        <f t="shared" si="223"/>
        <v>36</v>
      </c>
      <c r="P806" s="279">
        <f t="shared" si="223"/>
        <v>35</v>
      </c>
      <c r="Q806" s="279">
        <f t="shared" si="223"/>
        <v>35</v>
      </c>
      <c r="R806" s="378">
        <f t="shared" si="218"/>
        <v>435</v>
      </c>
    </row>
    <row r="807" spans="3:18" x14ac:dyDescent="0.2">
      <c r="C807" s="32" t="s">
        <v>1127</v>
      </c>
      <c r="D807" s="444" t="s">
        <v>811</v>
      </c>
      <c r="F807" s="279">
        <f t="shared" ref="F807:Q807" si="224">F219</f>
        <v>2</v>
      </c>
      <c r="G807" s="279">
        <f t="shared" si="224"/>
        <v>2</v>
      </c>
      <c r="H807" s="279">
        <f t="shared" si="224"/>
        <v>2</v>
      </c>
      <c r="I807" s="279">
        <f t="shared" si="224"/>
        <v>2</v>
      </c>
      <c r="J807" s="279">
        <f t="shared" si="224"/>
        <v>2</v>
      </c>
      <c r="K807" s="279">
        <f t="shared" si="224"/>
        <v>2</v>
      </c>
      <c r="L807" s="279">
        <f t="shared" si="224"/>
        <v>2</v>
      </c>
      <c r="M807" s="279">
        <f t="shared" si="224"/>
        <v>2</v>
      </c>
      <c r="N807" s="279">
        <f t="shared" si="224"/>
        <v>2</v>
      </c>
      <c r="O807" s="279">
        <f t="shared" si="224"/>
        <v>2</v>
      </c>
      <c r="P807" s="279">
        <f t="shared" si="224"/>
        <v>2</v>
      </c>
      <c r="Q807" s="279">
        <f t="shared" si="224"/>
        <v>2</v>
      </c>
      <c r="R807" s="378">
        <f t="shared" si="218"/>
        <v>24</v>
      </c>
    </row>
    <row r="808" spans="3:18" x14ac:dyDescent="0.2">
      <c r="C808" s="32" t="s">
        <v>1128</v>
      </c>
      <c r="D808" s="32">
        <v>85</v>
      </c>
      <c r="F808" s="279">
        <f t="shared" ref="F808:Q808" si="225">F276</f>
        <v>25</v>
      </c>
      <c r="G808" s="279">
        <f t="shared" si="225"/>
        <v>25</v>
      </c>
      <c r="H808" s="279">
        <f t="shared" si="225"/>
        <v>27</v>
      </c>
      <c r="I808" s="279">
        <f t="shared" si="225"/>
        <v>27</v>
      </c>
      <c r="J808" s="279">
        <f t="shared" si="225"/>
        <v>27</v>
      </c>
      <c r="K808" s="279">
        <f t="shared" si="225"/>
        <v>27</v>
      </c>
      <c r="L808" s="279">
        <f t="shared" si="225"/>
        <v>27</v>
      </c>
      <c r="M808" s="279">
        <f t="shared" si="225"/>
        <v>28</v>
      </c>
      <c r="N808" s="279">
        <f t="shared" si="225"/>
        <v>27</v>
      </c>
      <c r="O808" s="279">
        <f t="shared" si="225"/>
        <v>27</v>
      </c>
      <c r="P808" s="279">
        <f t="shared" si="225"/>
        <v>27</v>
      </c>
      <c r="Q808" s="279">
        <f t="shared" si="225"/>
        <v>27</v>
      </c>
      <c r="R808" s="378">
        <f t="shared" si="218"/>
        <v>321</v>
      </c>
    </row>
    <row r="809" spans="3:18" x14ac:dyDescent="0.2">
      <c r="C809" s="32" t="s">
        <v>1129</v>
      </c>
      <c r="D809" s="32">
        <v>86</v>
      </c>
      <c r="F809" s="279">
        <f t="shared" ref="F809:Q809" si="226">F320</f>
        <v>334</v>
      </c>
      <c r="G809" s="279">
        <f t="shared" si="226"/>
        <v>334</v>
      </c>
      <c r="H809" s="279">
        <f t="shared" si="226"/>
        <v>330</v>
      </c>
      <c r="I809" s="279">
        <f t="shared" si="226"/>
        <v>327</v>
      </c>
      <c r="J809" s="279">
        <f t="shared" si="226"/>
        <v>329</v>
      </c>
      <c r="K809" s="279">
        <f t="shared" si="226"/>
        <v>329</v>
      </c>
      <c r="L809" s="279">
        <f t="shared" si="226"/>
        <v>326</v>
      </c>
      <c r="M809" s="279">
        <f t="shared" si="226"/>
        <v>324</v>
      </c>
      <c r="N809" s="279">
        <f t="shared" si="226"/>
        <v>320</v>
      </c>
      <c r="O809" s="279">
        <f t="shared" si="226"/>
        <v>317</v>
      </c>
      <c r="P809" s="279">
        <f t="shared" si="226"/>
        <v>318</v>
      </c>
      <c r="Q809" s="279">
        <f t="shared" si="226"/>
        <v>317</v>
      </c>
      <c r="R809" s="378">
        <f t="shared" si="218"/>
        <v>3905</v>
      </c>
    </row>
    <row r="810" spans="3:18" x14ac:dyDescent="0.2">
      <c r="C810" s="32" t="s">
        <v>1130</v>
      </c>
      <c r="D810" s="32">
        <v>87</v>
      </c>
      <c r="F810" s="279">
        <f t="shared" ref="F810:Q810" si="227">F366</f>
        <v>8</v>
      </c>
      <c r="G810" s="279">
        <f t="shared" si="227"/>
        <v>8</v>
      </c>
      <c r="H810" s="279">
        <f t="shared" si="227"/>
        <v>8</v>
      </c>
      <c r="I810" s="279">
        <f t="shared" si="227"/>
        <v>8</v>
      </c>
      <c r="J810" s="279">
        <f t="shared" si="227"/>
        <v>8</v>
      </c>
      <c r="K810" s="279">
        <f t="shared" si="227"/>
        <v>8</v>
      </c>
      <c r="L810" s="279">
        <f t="shared" si="227"/>
        <v>8</v>
      </c>
      <c r="M810" s="279">
        <f t="shared" si="227"/>
        <v>8</v>
      </c>
      <c r="N810" s="279">
        <f t="shared" si="227"/>
        <v>8</v>
      </c>
      <c r="O810" s="279">
        <f t="shared" si="227"/>
        <v>8</v>
      </c>
      <c r="P810" s="279">
        <f t="shared" si="227"/>
        <v>8</v>
      </c>
      <c r="Q810" s="279">
        <f t="shared" si="227"/>
        <v>8</v>
      </c>
      <c r="R810" s="378">
        <f t="shared" si="218"/>
        <v>96</v>
      </c>
    </row>
    <row r="811" spans="3:18" x14ac:dyDescent="0.2">
      <c r="C811" s="32" t="s">
        <v>1131</v>
      </c>
      <c r="D811" s="32">
        <v>31</v>
      </c>
      <c r="F811" s="279">
        <f t="shared" ref="F811:Q811" si="228">F408</f>
        <v>2456</v>
      </c>
      <c r="G811" s="279">
        <f t="shared" si="228"/>
        <v>2452</v>
      </c>
      <c r="H811" s="279">
        <f t="shared" si="228"/>
        <v>2438</v>
      </c>
      <c r="I811" s="279">
        <f t="shared" si="228"/>
        <v>2426.02</v>
      </c>
      <c r="J811" s="279">
        <f t="shared" si="228"/>
        <v>2428</v>
      </c>
      <c r="K811" s="279">
        <f t="shared" si="228"/>
        <v>2444</v>
      </c>
      <c r="L811" s="279">
        <f t="shared" si="228"/>
        <v>2423</v>
      </c>
      <c r="M811" s="279">
        <f t="shared" si="228"/>
        <v>2413</v>
      </c>
      <c r="N811" s="279">
        <f t="shared" si="228"/>
        <v>2412</v>
      </c>
      <c r="O811" s="279">
        <f t="shared" si="228"/>
        <v>2421</v>
      </c>
      <c r="P811" s="279">
        <f t="shared" si="228"/>
        <v>2419</v>
      </c>
      <c r="Q811" s="279">
        <f t="shared" si="228"/>
        <v>2423</v>
      </c>
      <c r="R811" s="378">
        <f t="shared" si="218"/>
        <v>29155.02</v>
      </c>
    </row>
    <row r="812" spans="3:18" x14ac:dyDescent="0.2">
      <c r="C812" s="32" t="s">
        <v>1132</v>
      </c>
      <c r="D812" s="32">
        <v>41</v>
      </c>
      <c r="F812" s="279">
        <f t="shared" ref="F812:Q812" si="229">F434</f>
        <v>113</v>
      </c>
      <c r="G812" s="279">
        <f t="shared" si="229"/>
        <v>114</v>
      </c>
      <c r="H812" s="279">
        <f t="shared" si="229"/>
        <v>115</v>
      </c>
      <c r="I812" s="279">
        <f t="shared" si="229"/>
        <v>115.00999999999999</v>
      </c>
      <c r="J812" s="279">
        <f t="shared" si="229"/>
        <v>116</v>
      </c>
      <c r="K812" s="279">
        <f t="shared" si="229"/>
        <v>117</v>
      </c>
      <c r="L812" s="279">
        <f t="shared" si="229"/>
        <v>116</v>
      </c>
      <c r="M812" s="279">
        <f t="shared" si="229"/>
        <v>114</v>
      </c>
      <c r="N812" s="279">
        <f t="shared" si="229"/>
        <v>117</v>
      </c>
      <c r="O812" s="279">
        <f t="shared" si="229"/>
        <v>115</v>
      </c>
      <c r="P812" s="279">
        <f t="shared" si="229"/>
        <v>114</v>
      </c>
      <c r="Q812" s="279">
        <f t="shared" si="229"/>
        <v>113</v>
      </c>
      <c r="R812" s="378">
        <f t="shared" si="218"/>
        <v>1379.01</v>
      </c>
    </row>
    <row r="813" spans="3:18" x14ac:dyDescent="0.2">
      <c r="C813" s="32" t="s">
        <v>1133</v>
      </c>
      <c r="D813" s="444" t="s">
        <v>808</v>
      </c>
      <c r="F813" s="279">
        <f t="shared" ref="F813:Q813" si="230">F473</f>
        <v>15</v>
      </c>
      <c r="G813" s="279">
        <f t="shared" si="230"/>
        <v>15</v>
      </c>
      <c r="H813" s="279">
        <f t="shared" si="230"/>
        <v>14</v>
      </c>
      <c r="I813" s="279">
        <f t="shared" si="230"/>
        <v>14</v>
      </c>
      <c r="J813" s="279">
        <f t="shared" si="230"/>
        <v>14</v>
      </c>
      <c r="K813" s="279">
        <f t="shared" si="230"/>
        <v>14</v>
      </c>
      <c r="L813" s="279">
        <f t="shared" si="230"/>
        <v>14</v>
      </c>
      <c r="M813" s="279">
        <f t="shared" si="230"/>
        <v>15</v>
      </c>
      <c r="N813" s="279">
        <f t="shared" si="230"/>
        <v>15</v>
      </c>
      <c r="O813" s="279">
        <f t="shared" si="230"/>
        <v>16</v>
      </c>
      <c r="P813" s="279">
        <f t="shared" si="230"/>
        <v>16</v>
      </c>
      <c r="Q813" s="279">
        <f t="shared" si="230"/>
        <v>16</v>
      </c>
      <c r="R813" s="378">
        <f t="shared" si="218"/>
        <v>178</v>
      </c>
    </row>
    <row r="814" spans="3:18" x14ac:dyDescent="0.2">
      <c r="C814" s="32" t="s">
        <v>1134</v>
      </c>
      <c r="D814" s="444" t="s">
        <v>809</v>
      </c>
      <c r="F814" s="279">
        <f t="shared" ref="F814:Q814" si="231">F509</f>
        <v>63</v>
      </c>
      <c r="G814" s="279">
        <f t="shared" si="231"/>
        <v>65</v>
      </c>
      <c r="H814" s="279">
        <f t="shared" si="231"/>
        <v>64</v>
      </c>
      <c r="I814" s="279">
        <f t="shared" si="231"/>
        <v>64</v>
      </c>
      <c r="J814" s="279">
        <f t="shared" si="231"/>
        <v>63.999999999999993</v>
      </c>
      <c r="K814" s="279">
        <f t="shared" si="231"/>
        <v>63</v>
      </c>
      <c r="L814" s="279">
        <f t="shared" si="231"/>
        <v>63</v>
      </c>
      <c r="M814" s="279">
        <f t="shared" si="231"/>
        <v>62</v>
      </c>
      <c r="N814" s="279">
        <f t="shared" si="231"/>
        <v>62</v>
      </c>
      <c r="O814" s="279">
        <f t="shared" si="231"/>
        <v>62</v>
      </c>
      <c r="P814" s="279">
        <f t="shared" si="231"/>
        <v>62</v>
      </c>
      <c r="Q814" s="279">
        <f t="shared" si="231"/>
        <v>63</v>
      </c>
      <c r="R814" s="378">
        <f t="shared" si="218"/>
        <v>757</v>
      </c>
    </row>
    <row r="815" spans="3:18" x14ac:dyDescent="0.2">
      <c r="C815" s="32" t="s">
        <v>1135</v>
      </c>
      <c r="D815" s="444" t="s">
        <v>810</v>
      </c>
      <c r="F815" s="279">
        <f>F543</f>
        <v>0</v>
      </c>
      <c r="G815" s="279">
        <f t="shared" ref="G815:Q815" si="232">G543</f>
        <v>0</v>
      </c>
      <c r="H815" s="279">
        <f t="shared" si="232"/>
        <v>0</v>
      </c>
      <c r="I815" s="279">
        <f t="shared" si="232"/>
        <v>0</v>
      </c>
      <c r="J815" s="279">
        <f t="shared" si="232"/>
        <v>0</v>
      </c>
      <c r="K815" s="279">
        <f t="shared" si="232"/>
        <v>1</v>
      </c>
      <c r="L815" s="279">
        <f t="shared" si="232"/>
        <v>1</v>
      </c>
      <c r="M815" s="279">
        <f t="shared" si="232"/>
        <v>1</v>
      </c>
      <c r="N815" s="279">
        <f t="shared" si="232"/>
        <v>1</v>
      </c>
      <c r="O815" s="279">
        <f t="shared" si="232"/>
        <v>1</v>
      </c>
      <c r="P815" s="279">
        <f t="shared" si="232"/>
        <v>1</v>
      </c>
      <c r="Q815" s="279">
        <f t="shared" si="232"/>
        <v>1</v>
      </c>
      <c r="R815" s="378">
        <f t="shared" si="218"/>
        <v>7</v>
      </c>
    </row>
    <row r="816" spans="3:18" x14ac:dyDescent="0.2">
      <c r="C816" s="32" t="s">
        <v>1136</v>
      </c>
      <c r="D816" s="444" t="s">
        <v>811</v>
      </c>
      <c r="F816" s="279">
        <f t="shared" ref="F816:Q816" si="233">F579</f>
        <v>11</v>
      </c>
      <c r="G816" s="279">
        <f t="shared" si="233"/>
        <v>11</v>
      </c>
      <c r="H816" s="279">
        <f t="shared" si="233"/>
        <v>11</v>
      </c>
      <c r="I816" s="279">
        <f t="shared" si="233"/>
        <v>11</v>
      </c>
      <c r="J816" s="279">
        <f t="shared" si="233"/>
        <v>11</v>
      </c>
      <c r="K816" s="279">
        <f t="shared" si="233"/>
        <v>11</v>
      </c>
      <c r="L816" s="279">
        <f t="shared" si="233"/>
        <v>11</v>
      </c>
      <c r="M816" s="279">
        <f t="shared" si="233"/>
        <v>11</v>
      </c>
      <c r="N816" s="279">
        <f t="shared" si="233"/>
        <v>11</v>
      </c>
      <c r="O816" s="279">
        <f t="shared" si="233"/>
        <v>11</v>
      </c>
      <c r="P816" s="279">
        <f t="shared" si="233"/>
        <v>11</v>
      </c>
      <c r="Q816" s="279">
        <f t="shared" si="233"/>
        <v>10</v>
      </c>
      <c r="R816" s="378">
        <f t="shared" si="218"/>
        <v>131</v>
      </c>
    </row>
    <row r="817" spans="2:18" x14ac:dyDescent="0.2">
      <c r="C817" s="32" t="s">
        <v>1137</v>
      </c>
      <c r="D817" s="32">
        <v>85</v>
      </c>
      <c r="F817" s="279">
        <f t="shared" ref="F817:Q817" si="234">F635</f>
        <v>9</v>
      </c>
      <c r="G817" s="279">
        <f t="shared" si="234"/>
        <v>9</v>
      </c>
      <c r="H817" s="279">
        <f t="shared" si="234"/>
        <v>9</v>
      </c>
      <c r="I817" s="279">
        <f t="shared" si="234"/>
        <v>9</v>
      </c>
      <c r="J817" s="279">
        <f t="shared" si="234"/>
        <v>8</v>
      </c>
      <c r="K817" s="279">
        <f t="shared" si="234"/>
        <v>8</v>
      </c>
      <c r="L817" s="279">
        <f t="shared" si="234"/>
        <v>8</v>
      </c>
      <c r="M817" s="279">
        <f t="shared" si="234"/>
        <v>8</v>
      </c>
      <c r="N817" s="279">
        <f t="shared" si="234"/>
        <v>8</v>
      </c>
      <c r="O817" s="279">
        <f t="shared" si="234"/>
        <v>8</v>
      </c>
      <c r="P817" s="279">
        <f t="shared" si="234"/>
        <v>8</v>
      </c>
      <c r="Q817" s="279">
        <f t="shared" si="234"/>
        <v>8</v>
      </c>
      <c r="R817" s="378">
        <f t="shared" si="218"/>
        <v>100</v>
      </c>
    </row>
    <row r="818" spans="2:18" x14ac:dyDescent="0.2">
      <c r="C818" s="32" t="s">
        <v>1138</v>
      </c>
      <c r="D818" s="32">
        <v>86</v>
      </c>
      <c r="F818" s="279">
        <f t="shared" ref="F818:Q818" si="235">F679</f>
        <v>9</v>
      </c>
      <c r="G818" s="279">
        <f t="shared" si="235"/>
        <v>11</v>
      </c>
      <c r="H818" s="279">
        <f t="shared" si="235"/>
        <v>10</v>
      </c>
      <c r="I818" s="279">
        <f t="shared" si="235"/>
        <v>9</v>
      </c>
      <c r="J818" s="279">
        <f t="shared" si="235"/>
        <v>10</v>
      </c>
      <c r="K818" s="279">
        <f t="shared" si="235"/>
        <v>9</v>
      </c>
      <c r="L818" s="279">
        <f t="shared" si="235"/>
        <v>10</v>
      </c>
      <c r="M818" s="279">
        <f t="shared" si="235"/>
        <v>10</v>
      </c>
      <c r="N818" s="279">
        <f t="shared" si="235"/>
        <v>10</v>
      </c>
      <c r="O818" s="279">
        <f t="shared" si="235"/>
        <v>10</v>
      </c>
      <c r="P818" s="279">
        <f t="shared" si="235"/>
        <v>10</v>
      </c>
      <c r="Q818" s="279">
        <f t="shared" si="235"/>
        <v>10</v>
      </c>
      <c r="R818" s="378">
        <f t="shared" si="218"/>
        <v>118</v>
      </c>
    </row>
    <row r="819" spans="2:18" x14ac:dyDescent="0.2">
      <c r="C819" s="32" t="s">
        <v>1139</v>
      </c>
      <c r="D819" s="32">
        <v>87</v>
      </c>
      <c r="F819" s="279">
        <f t="shared" ref="F819:Q819" si="236">F725</f>
        <v>1</v>
      </c>
      <c r="G819" s="279">
        <f t="shared" si="236"/>
        <v>1</v>
      </c>
      <c r="H819" s="279">
        <f t="shared" si="236"/>
        <v>2</v>
      </c>
      <c r="I819" s="279">
        <f t="shared" si="236"/>
        <v>0</v>
      </c>
      <c r="J819" s="279">
        <f t="shared" si="236"/>
        <v>1</v>
      </c>
      <c r="K819" s="279">
        <f t="shared" si="236"/>
        <v>2</v>
      </c>
      <c r="L819" s="279">
        <f t="shared" si="236"/>
        <v>1</v>
      </c>
      <c r="M819" s="279">
        <f t="shared" si="236"/>
        <v>0</v>
      </c>
      <c r="N819" s="279">
        <f t="shared" si="236"/>
        <v>2</v>
      </c>
      <c r="O819" s="279">
        <f t="shared" si="236"/>
        <v>1</v>
      </c>
      <c r="P819" s="279">
        <f t="shared" si="236"/>
        <v>0</v>
      </c>
      <c r="Q819" s="279">
        <f t="shared" si="236"/>
        <v>1</v>
      </c>
      <c r="R819" s="378">
        <f t="shared" si="218"/>
        <v>12</v>
      </c>
    </row>
    <row r="820" spans="2:18" x14ac:dyDescent="0.2">
      <c r="C820" s="32" t="s">
        <v>1140</v>
      </c>
      <c r="D820" s="32">
        <v>99</v>
      </c>
      <c r="F820" s="279">
        <f t="shared" ref="F820:Q820" si="237">F772</f>
        <v>12</v>
      </c>
      <c r="G820" s="279">
        <f t="shared" si="237"/>
        <v>12</v>
      </c>
      <c r="H820" s="279">
        <f t="shared" si="237"/>
        <v>12</v>
      </c>
      <c r="I820" s="279">
        <f t="shared" si="237"/>
        <v>12</v>
      </c>
      <c r="J820" s="279">
        <f t="shared" si="237"/>
        <v>12</v>
      </c>
      <c r="K820" s="279">
        <f t="shared" si="237"/>
        <v>12</v>
      </c>
      <c r="L820" s="279">
        <f t="shared" si="237"/>
        <v>12</v>
      </c>
      <c r="M820" s="279">
        <f t="shared" si="237"/>
        <v>12</v>
      </c>
      <c r="N820" s="279">
        <f t="shared" si="237"/>
        <v>12</v>
      </c>
      <c r="O820" s="279">
        <f t="shared" si="237"/>
        <v>12</v>
      </c>
      <c r="P820" s="279">
        <f t="shared" si="237"/>
        <v>12</v>
      </c>
      <c r="Q820" s="279">
        <f t="shared" si="237"/>
        <v>12</v>
      </c>
      <c r="R820" s="378">
        <f t="shared" si="218"/>
        <v>144</v>
      </c>
    </row>
    <row r="821" spans="2:18" x14ac:dyDescent="0.2">
      <c r="C821" s="32" t="s">
        <v>1199</v>
      </c>
      <c r="F821" s="357">
        <f t="shared" ref="F821:R821" si="238">SUM(F801:F820)</f>
        <v>757684</v>
      </c>
      <c r="G821" s="357">
        <f t="shared" si="238"/>
        <v>758885</v>
      </c>
      <c r="H821" s="357">
        <f t="shared" si="238"/>
        <v>759873</v>
      </c>
      <c r="I821" s="357">
        <f t="shared" si="238"/>
        <v>760124.03</v>
      </c>
      <c r="J821" s="357">
        <f t="shared" si="238"/>
        <v>760670</v>
      </c>
      <c r="K821" s="357">
        <f t="shared" si="238"/>
        <v>761724</v>
      </c>
      <c r="L821" s="357">
        <f t="shared" si="238"/>
        <v>762056</v>
      </c>
      <c r="M821" s="357">
        <f t="shared" si="238"/>
        <v>761195</v>
      </c>
      <c r="N821" s="357">
        <f t="shared" si="238"/>
        <v>762357</v>
      </c>
      <c r="O821" s="357">
        <f t="shared" si="238"/>
        <v>761431</v>
      </c>
      <c r="P821" s="357">
        <f t="shared" si="238"/>
        <v>761918</v>
      </c>
      <c r="Q821" s="357">
        <f t="shared" si="238"/>
        <v>762413</v>
      </c>
      <c r="R821" s="357">
        <f t="shared" si="238"/>
        <v>9130330.0299999993</v>
      </c>
    </row>
    <row r="823" spans="2:18" x14ac:dyDescent="0.2">
      <c r="B823" s="32" t="s">
        <v>1142</v>
      </c>
      <c r="F823" s="424"/>
      <c r="G823" s="424"/>
      <c r="H823" s="424"/>
      <c r="I823" s="424"/>
      <c r="J823" s="424"/>
      <c r="K823" s="424"/>
      <c r="L823" s="424"/>
      <c r="M823" s="424"/>
      <c r="N823" s="424"/>
      <c r="O823" s="424"/>
      <c r="P823" s="424"/>
      <c r="Q823" s="424"/>
      <c r="R823" s="424"/>
    </row>
    <row r="824" spans="2:18" x14ac:dyDescent="0.2">
      <c r="C824" s="343" t="s">
        <v>1143</v>
      </c>
      <c r="D824" s="32">
        <v>23</v>
      </c>
      <c r="F824" s="424">
        <f t="shared" ref="F824:R825" si="239">F801</f>
        <v>699965</v>
      </c>
      <c r="G824" s="424">
        <f t="shared" si="239"/>
        <v>701215</v>
      </c>
      <c r="H824" s="424">
        <f t="shared" si="239"/>
        <v>702257</v>
      </c>
      <c r="I824" s="424">
        <f t="shared" si="239"/>
        <v>702573</v>
      </c>
      <c r="J824" s="424">
        <f t="shared" si="239"/>
        <v>703246</v>
      </c>
      <c r="K824" s="424">
        <f t="shared" si="239"/>
        <v>704366</v>
      </c>
      <c r="L824" s="424">
        <f t="shared" si="239"/>
        <v>704758</v>
      </c>
      <c r="M824" s="424">
        <f t="shared" si="239"/>
        <v>703964</v>
      </c>
      <c r="N824" s="424">
        <f t="shared" si="239"/>
        <v>705153</v>
      </c>
      <c r="O824" s="424">
        <f t="shared" si="239"/>
        <v>704137</v>
      </c>
      <c r="P824" s="424">
        <f t="shared" si="239"/>
        <v>704666</v>
      </c>
      <c r="Q824" s="424">
        <f t="shared" si="239"/>
        <v>705036</v>
      </c>
      <c r="R824" s="424">
        <f t="shared" si="239"/>
        <v>8441336</v>
      </c>
    </row>
    <row r="825" spans="2:18" x14ac:dyDescent="0.2">
      <c r="C825" s="343" t="s">
        <v>374</v>
      </c>
      <c r="D825" s="32">
        <v>53</v>
      </c>
      <c r="F825" s="424">
        <f t="shared" si="239"/>
        <v>5</v>
      </c>
      <c r="G825" s="424">
        <f t="shared" si="239"/>
        <v>5</v>
      </c>
      <c r="H825" s="424">
        <f t="shared" si="239"/>
        <v>5</v>
      </c>
      <c r="I825" s="424">
        <f t="shared" si="239"/>
        <v>5</v>
      </c>
      <c r="J825" s="424">
        <f t="shared" si="239"/>
        <v>5</v>
      </c>
      <c r="K825" s="424">
        <f t="shared" si="239"/>
        <v>5</v>
      </c>
      <c r="L825" s="424">
        <f t="shared" si="239"/>
        <v>6</v>
      </c>
      <c r="M825" s="424">
        <f t="shared" si="239"/>
        <v>6</v>
      </c>
      <c r="N825" s="424">
        <f t="shared" si="239"/>
        <v>5</v>
      </c>
      <c r="O825" s="424">
        <f t="shared" si="239"/>
        <v>5</v>
      </c>
      <c r="P825" s="424">
        <f t="shared" si="239"/>
        <v>5</v>
      </c>
      <c r="Q825" s="424">
        <f t="shared" si="239"/>
        <v>4</v>
      </c>
      <c r="R825" s="424">
        <f t="shared" si="239"/>
        <v>61</v>
      </c>
    </row>
    <row r="826" spans="2:18" x14ac:dyDescent="0.2">
      <c r="C826" s="346" t="s">
        <v>1144</v>
      </c>
      <c r="D826" s="32">
        <v>31</v>
      </c>
      <c r="F826" s="424">
        <f t="shared" ref="F826:R827" si="240">F803+F811</f>
        <v>55114</v>
      </c>
      <c r="G826" s="424">
        <f t="shared" si="240"/>
        <v>55062</v>
      </c>
      <c r="H826" s="424">
        <f t="shared" si="240"/>
        <v>55012</v>
      </c>
      <c r="I826" s="424">
        <f t="shared" si="240"/>
        <v>54951.02</v>
      </c>
      <c r="J826" s="424">
        <f t="shared" si="240"/>
        <v>54824</v>
      </c>
      <c r="K826" s="424">
        <f t="shared" si="240"/>
        <v>54751</v>
      </c>
      <c r="L826" s="424">
        <f t="shared" si="240"/>
        <v>54695</v>
      </c>
      <c r="M826" s="424">
        <f t="shared" si="240"/>
        <v>54647</v>
      </c>
      <c r="N826" s="424">
        <f t="shared" si="240"/>
        <v>54633</v>
      </c>
      <c r="O826" s="424">
        <f t="shared" si="240"/>
        <v>54749</v>
      </c>
      <c r="P826" s="424">
        <f t="shared" si="240"/>
        <v>54719</v>
      </c>
      <c r="Q826" s="424">
        <f t="shared" si="240"/>
        <v>54837</v>
      </c>
      <c r="R826" s="424">
        <f t="shared" si="240"/>
        <v>657994.02</v>
      </c>
    </row>
    <row r="827" spans="2:18" x14ac:dyDescent="0.2">
      <c r="C827" s="343" t="s">
        <v>1145</v>
      </c>
      <c r="D827" s="32">
        <v>41</v>
      </c>
      <c r="F827" s="424">
        <f t="shared" si="240"/>
        <v>2066</v>
      </c>
      <c r="G827" s="424">
        <f t="shared" si="240"/>
        <v>2063</v>
      </c>
      <c r="H827" s="424">
        <f t="shared" si="240"/>
        <v>2064</v>
      </c>
      <c r="I827" s="424">
        <f t="shared" si="240"/>
        <v>2066.0100000000002</v>
      </c>
      <c r="J827" s="424">
        <f t="shared" si="240"/>
        <v>2062</v>
      </c>
      <c r="K827" s="424">
        <f t="shared" si="240"/>
        <v>2069</v>
      </c>
      <c r="L827" s="424">
        <f t="shared" si="240"/>
        <v>2067</v>
      </c>
      <c r="M827" s="424">
        <f t="shared" si="240"/>
        <v>2050</v>
      </c>
      <c r="N827" s="424">
        <f t="shared" si="240"/>
        <v>2040</v>
      </c>
      <c r="O827" s="424">
        <f t="shared" si="240"/>
        <v>2017</v>
      </c>
      <c r="P827" s="424">
        <f t="shared" si="240"/>
        <v>1998</v>
      </c>
      <c r="Q827" s="424">
        <f t="shared" si="240"/>
        <v>1996</v>
      </c>
      <c r="R827" s="424">
        <f t="shared" si="240"/>
        <v>24558.01</v>
      </c>
    </row>
    <row r="828" spans="2:18" x14ac:dyDescent="0.2">
      <c r="C828" s="343" t="s">
        <v>1146</v>
      </c>
      <c r="D828" s="32">
        <v>85</v>
      </c>
      <c r="F828" s="424">
        <f t="shared" ref="F828:R830" si="241">F808+F817</f>
        <v>34</v>
      </c>
      <c r="G828" s="424">
        <f t="shared" si="241"/>
        <v>34</v>
      </c>
      <c r="H828" s="424">
        <f t="shared" si="241"/>
        <v>36</v>
      </c>
      <c r="I828" s="424">
        <f t="shared" si="241"/>
        <v>36</v>
      </c>
      <c r="J828" s="424">
        <f t="shared" si="241"/>
        <v>35</v>
      </c>
      <c r="K828" s="424">
        <f t="shared" si="241"/>
        <v>35</v>
      </c>
      <c r="L828" s="424">
        <f t="shared" si="241"/>
        <v>35</v>
      </c>
      <c r="M828" s="424">
        <f t="shared" si="241"/>
        <v>36</v>
      </c>
      <c r="N828" s="424">
        <f t="shared" si="241"/>
        <v>35</v>
      </c>
      <c r="O828" s="424">
        <f t="shared" si="241"/>
        <v>35</v>
      </c>
      <c r="P828" s="424">
        <f t="shared" si="241"/>
        <v>35</v>
      </c>
      <c r="Q828" s="424">
        <f t="shared" si="241"/>
        <v>35</v>
      </c>
      <c r="R828" s="424">
        <f t="shared" si="241"/>
        <v>421</v>
      </c>
    </row>
    <row r="829" spans="2:18" x14ac:dyDescent="0.2">
      <c r="C829" s="343" t="s">
        <v>1147</v>
      </c>
      <c r="D829" s="32">
        <v>86</v>
      </c>
      <c r="F829" s="424">
        <f t="shared" si="241"/>
        <v>343</v>
      </c>
      <c r="G829" s="424">
        <f t="shared" si="241"/>
        <v>345</v>
      </c>
      <c r="H829" s="424">
        <f t="shared" si="241"/>
        <v>340</v>
      </c>
      <c r="I829" s="424">
        <f t="shared" si="241"/>
        <v>336</v>
      </c>
      <c r="J829" s="424">
        <f t="shared" si="241"/>
        <v>339</v>
      </c>
      <c r="K829" s="424">
        <f t="shared" si="241"/>
        <v>338</v>
      </c>
      <c r="L829" s="424">
        <f t="shared" si="241"/>
        <v>336</v>
      </c>
      <c r="M829" s="424">
        <f t="shared" si="241"/>
        <v>334</v>
      </c>
      <c r="N829" s="424">
        <f t="shared" si="241"/>
        <v>330</v>
      </c>
      <c r="O829" s="424">
        <f t="shared" si="241"/>
        <v>327</v>
      </c>
      <c r="P829" s="424">
        <f t="shared" si="241"/>
        <v>328</v>
      </c>
      <c r="Q829" s="424">
        <f t="shared" si="241"/>
        <v>327</v>
      </c>
      <c r="R829" s="424">
        <f t="shared" si="241"/>
        <v>4023</v>
      </c>
    </row>
    <row r="830" spans="2:18" x14ac:dyDescent="0.2">
      <c r="C830" s="343" t="s">
        <v>1148</v>
      </c>
      <c r="D830" s="32">
        <v>87</v>
      </c>
      <c r="F830" s="424">
        <f t="shared" si="241"/>
        <v>9</v>
      </c>
      <c r="G830" s="424">
        <f t="shared" si="241"/>
        <v>9</v>
      </c>
      <c r="H830" s="424">
        <f t="shared" si="241"/>
        <v>10</v>
      </c>
      <c r="I830" s="424">
        <f t="shared" si="241"/>
        <v>8</v>
      </c>
      <c r="J830" s="424">
        <f t="shared" si="241"/>
        <v>9</v>
      </c>
      <c r="K830" s="424">
        <f t="shared" si="241"/>
        <v>10</v>
      </c>
      <c r="L830" s="424">
        <f t="shared" si="241"/>
        <v>9</v>
      </c>
      <c r="M830" s="424">
        <f t="shared" si="241"/>
        <v>8</v>
      </c>
      <c r="N830" s="424">
        <f t="shared" si="241"/>
        <v>10</v>
      </c>
      <c r="O830" s="424">
        <f t="shared" si="241"/>
        <v>9</v>
      </c>
      <c r="P830" s="424">
        <f t="shared" si="241"/>
        <v>8</v>
      </c>
      <c r="Q830" s="424">
        <f t="shared" si="241"/>
        <v>9</v>
      </c>
      <c r="R830" s="424">
        <f t="shared" si="241"/>
        <v>108</v>
      </c>
    </row>
    <row r="831" spans="2:18" x14ac:dyDescent="0.2">
      <c r="C831" s="32" t="s">
        <v>1149</v>
      </c>
      <c r="D831" s="444" t="s">
        <v>808</v>
      </c>
      <c r="F831" s="424">
        <f t="shared" ref="F831:R832" si="242">F805+F813</f>
        <v>25</v>
      </c>
      <c r="G831" s="424">
        <f t="shared" si="242"/>
        <v>25</v>
      </c>
      <c r="H831" s="424">
        <f t="shared" si="242"/>
        <v>24</v>
      </c>
      <c r="I831" s="424">
        <f t="shared" si="242"/>
        <v>24</v>
      </c>
      <c r="J831" s="424">
        <f t="shared" si="242"/>
        <v>24</v>
      </c>
      <c r="K831" s="424">
        <f t="shared" si="242"/>
        <v>24</v>
      </c>
      <c r="L831" s="424">
        <f t="shared" si="242"/>
        <v>24</v>
      </c>
      <c r="M831" s="424">
        <f t="shared" si="242"/>
        <v>25</v>
      </c>
      <c r="N831" s="424">
        <f t="shared" si="242"/>
        <v>26</v>
      </c>
      <c r="O831" s="424">
        <f t="shared" si="242"/>
        <v>28</v>
      </c>
      <c r="P831" s="424">
        <f t="shared" si="242"/>
        <v>36</v>
      </c>
      <c r="Q831" s="424">
        <f t="shared" si="242"/>
        <v>46</v>
      </c>
      <c r="R831" s="424">
        <f t="shared" si="242"/>
        <v>331</v>
      </c>
    </row>
    <row r="832" spans="2:18" x14ac:dyDescent="0.2">
      <c r="C832" s="32" t="s">
        <v>1150</v>
      </c>
      <c r="D832" s="444" t="s">
        <v>809</v>
      </c>
      <c r="F832" s="424">
        <f t="shared" si="242"/>
        <v>98</v>
      </c>
      <c r="G832" s="424">
        <f t="shared" si="242"/>
        <v>102</v>
      </c>
      <c r="H832" s="424">
        <f t="shared" si="242"/>
        <v>100</v>
      </c>
      <c r="I832" s="424">
        <f t="shared" si="242"/>
        <v>100</v>
      </c>
      <c r="J832" s="424">
        <f t="shared" si="242"/>
        <v>101</v>
      </c>
      <c r="K832" s="424">
        <f t="shared" si="242"/>
        <v>100</v>
      </c>
      <c r="L832" s="424">
        <f t="shared" si="242"/>
        <v>100</v>
      </c>
      <c r="M832" s="424">
        <f t="shared" si="242"/>
        <v>99</v>
      </c>
      <c r="N832" s="424">
        <f t="shared" si="242"/>
        <v>99</v>
      </c>
      <c r="O832" s="424">
        <f t="shared" si="242"/>
        <v>98</v>
      </c>
      <c r="P832" s="424">
        <f t="shared" si="242"/>
        <v>97</v>
      </c>
      <c r="Q832" s="424">
        <f t="shared" si="242"/>
        <v>98</v>
      </c>
      <c r="R832" s="424">
        <f t="shared" si="242"/>
        <v>1192</v>
      </c>
    </row>
    <row r="833" spans="2:19" x14ac:dyDescent="0.2">
      <c r="C833" s="32" t="s">
        <v>1151</v>
      </c>
      <c r="D833" s="444" t="s">
        <v>810</v>
      </c>
      <c r="F833" s="424">
        <f>F815</f>
        <v>0</v>
      </c>
      <c r="G833" s="424">
        <f t="shared" ref="G833:R833" si="243">G815</f>
        <v>0</v>
      </c>
      <c r="H833" s="424">
        <f t="shared" si="243"/>
        <v>0</v>
      </c>
      <c r="I833" s="424">
        <f t="shared" si="243"/>
        <v>0</v>
      </c>
      <c r="J833" s="424">
        <f t="shared" si="243"/>
        <v>0</v>
      </c>
      <c r="K833" s="424">
        <f t="shared" si="243"/>
        <v>1</v>
      </c>
      <c r="L833" s="424">
        <f t="shared" si="243"/>
        <v>1</v>
      </c>
      <c r="M833" s="424">
        <f t="shared" si="243"/>
        <v>1</v>
      </c>
      <c r="N833" s="424">
        <f t="shared" si="243"/>
        <v>1</v>
      </c>
      <c r="O833" s="424">
        <f t="shared" si="243"/>
        <v>1</v>
      </c>
      <c r="P833" s="424">
        <f t="shared" si="243"/>
        <v>1</v>
      </c>
      <c r="Q833" s="424">
        <f t="shared" si="243"/>
        <v>1</v>
      </c>
      <c r="R833" s="424">
        <f t="shared" si="243"/>
        <v>7</v>
      </c>
    </row>
    <row r="834" spans="2:19" x14ac:dyDescent="0.2">
      <c r="C834" s="32" t="s">
        <v>1152</v>
      </c>
      <c r="D834" s="444" t="s">
        <v>811</v>
      </c>
      <c r="F834" s="424">
        <f t="shared" ref="F834:R834" si="244">F807+F816</f>
        <v>13</v>
      </c>
      <c r="G834" s="424">
        <f t="shared" si="244"/>
        <v>13</v>
      </c>
      <c r="H834" s="424">
        <f t="shared" si="244"/>
        <v>13</v>
      </c>
      <c r="I834" s="424">
        <f t="shared" si="244"/>
        <v>13</v>
      </c>
      <c r="J834" s="424">
        <f t="shared" si="244"/>
        <v>13</v>
      </c>
      <c r="K834" s="424">
        <f t="shared" si="244"/>
        <v>13</v>
      </c>
      <c r="L834" s="424">
        <f t="shared" si="244"/>
        <v>13</v>
      </c>
      <c r="M834" s="424">
        <f t="shared" si="244"/>
        <v>13</v>
      </c>
      <c r="N834" s="424">
        <f t="shared" si="244"/>
        <v>13</v>
      </c>
      <c r="O834" s="424">
        <f t="shared" si="244"/>
        <v>13</v>
      </c>
      <c r="P834" s="424">
        <f t="shared" si="244"/>
        <v>13</v>
      </c>
      <c r="Q834" s="424">
        <f t="shared" si="244"/>
        <v>12</v>
      </c>
      <c r="R834" s="424">
        <f t="shared" si="244"/>
        <v>155</v>
      </c>
    </row>
    <row r="835" spans="2:19" x14ac:dyDescent="0.2">
      <c r="C835" s="343" t="s">
        <v>844</v>
      </c>
      <c r="F835" s="424">
        <f t="shared" ref="F835:R835" si="245">F820</f>
        <v>12</v>
      </c>
      <c r="G835" s="424">
        <f t="shared" si="245"/>
        <v>12</v>
      </c>
      <c r="H835" s="424">
        <f t="shared" si="245"/>
        <v>12</v>
      </c>
      <c r="I835" s="424">
        <f t="shared" si="245"/>
        <v>12</v>
      </c>
      <c r="J835" s="424">
        <f t="shared" si="245"/>
        <v>12</v>
      </c>
      <c r="K835" s="424">
        <f t="shared" si="245"/>
        <v>12</v>
      </c>
      <c r="L835" s="424">
        <f t="shared" si="245"/>
        <v>12</v>
      </c>
      <c r="M835" s="424">
        <f t="shared" si="245"/>
        <v>12</v>
      </c>
      <c r="N835" s="424">
        <f t="shared" si="245"/>
        <v>12</v>
      </c>
      <c r="O835" s="424">
        <f t="shared" si="245"/>
        <v>12</v>
      </c>
      <c r="P835" s="424">
        <f t="shared" si="245"/>
        <v>12</v>
      </c>
      <c r="Q835" s="424">
        <f t="shared" si="245"/>
        <v>12</v>
      </c>
      <c r="R835" s="424">
        <f t="shared" si="245"/>
        <v>144</v>
      </c>
    </row>
    <row r="836" spans="2:19" x14ac:dyDescent="0.2">
      <c r="C836" s="32" t="s">
        <v>1141</v>
      </c>
      <c r="F836" s="357">
        <f t="shared" ref="F836:R836" si="246">SUM(F824:F835)</f>
        <v>757684</v>
      </c>
      <c r="G836" s="357">
        <f t="shared" si="246"/>
        <v>758885</v>
      </c>
      <c r="H836" s="357">
        <f t="shared" si="246"/>
        <v>759873</v>
      </c>
      <c r="I836" s="357">
        <f t="shared" si="246"/>
        <v>760124.03</v>
      </c>
      <c r="J836" s="357">
        <f t="shared" si="246"/>
        <v>760670</v>
      </c>
      <c r="K836" s="357">
        <f t="shared" si="246"/>
        <v>761724</v>
      </c>
      <c r="L836" s="357">
        <f t="shared" si="246"/>
        <v>762056</v>
      </c>
      <c r="M836" s="357">
        <f t="shared" si="246"/>
        <v>761195</v>
      </c>
      <c r="N836" s="357">
        <f t="shared" si="246"/>
        <v>762357</v>
      </c>
      <c r="O836" s="357">
        <f t="shared" si="246"/>
        <v>761431</v>
      </c>
      <c r="P836" s="357">
        <f t="shared" si="246"/>
        <v>761918</v>
      </c>
      <c r="Q836" s="357">
        <f t="shared" si="246"/>
        <v>762413</v>
      </c>
      <c r="R836" s="357">
        <f t="shared" si="246"/>
        <v>9130330.0299999993</v>
      </c>
    </row>
    <row r="837" spans="2:19" x14ac:dyDescent="0.2">
      <c r="C837" s="32" t="s">
        <v>1153</v>
      </c>
      <c r="F837" s="424">
        <f t="shared" ref="F837:R837" si="247">F836-F821</f>
        <v>0</v>
      </c>
      <c r="G837" s="424">
        <f t="shared" si="247"/>
        <v>0</v>
      </c>
      <c r="H837" s="424">
        <f t="shared" si="247"/>
        <v>0</v>
      </c>
      <c r="I837" s="424">
        <f t="shared" si="247"/>
        <v>0</v>
      </c>
      <c r="J837" s="424">
        <f t="shared" si="247"/>
        <v>0</v>
      </c>
      <c r="K837" s="424">
        <f t="shared" si="247"/>
        <v>0</v>
      </c>
      <c r="L837" s="424">
        <f t="shared" si="247"/>
        <v>0</v>
      </c>
      <c r="M837" s="424">
        <f t="shared" si="247"/>
        <v>0</v>
      </c>
      <c r="N837" s="424">
        <f t="shared" si="247"/>
        <v>0</v>
      </c>
      <c r="O837" s="424">
        <f t="shared" si="247"/>
        <v>0</v>
      </c>
      <c r="P837" s="424">
        <f t="shared" si="247"/>
        <v>0</v>
      </c>
      <c r="Q837" s="424">
        <f t="shared" si="247"/>
        <v>0</v>
      </c>
      <c r="R837" s="424">
        <f t="shared" si="247"/>
        <v>0</v>
      </c>
    </row>
    <row r="838" spans="2:19" x14ac:dyDescent="0.2">
      <c r="F838" s="424"/>
      <c r="G838" s="424"/>
      <c r="H838" s="424"/>
      <c r="I838" s="424"/>
      <c r="J838" s="424"/>
      <c r="K838" s="424"/>
      <c r="L838" s="424"/>
      <c r="M838" s="424"/>
      <c r="N838" s="424"/>
      <c r="O838" s="424"/>
      <c r="P838" s="424"/>
      <c r="Q838" s="424"/>
      <c r="R838" s="424"/>
    </row>
    <row r="839" spans="2:19" x14ac:dyDescent="0.2">
      <c r="B839" s="32" t="s">
        <v>1154</v>
      </c>
      <c r="F839" s="279"/>
      <c r="G839" s="279"/>
      <c r="H839" s="279"/>
      <c r="I839" s="279"/>
      <c r="J839" s="279"/>
      <c r="K839" s="279"/>
      <c r="L839" s="279"/>
      <c r="M839" s="279"/>
      <c r="N839" s="279"/>
      <c r="O839" s="279"/>
      <c r="P839" s="279"/>
      <c r="Q839" s="279"/>
      <c r="R839" s="279"/>
    </row>
    <row r="840" spans="2:19" x14ac:dyDescent="0.2">
      <c r="C840" s="336" t="s">
        <v>1155</v>
      </c>
      <c r="D840" s="336">
        <v>16</v>
      </c>
      <c r="F840" s="398">
        <f t="shared" ref="F840:Q840" si="248">F16</f>
        <v>1026</v>
      </c>
      <c r="G840" s="398">
        <f t="shared" si="248"/>
        <v>1026</v>
      </c>
      <c r="H840" s="398">
        <f t="shared" si="248"/>
        <v>1026</v>
      </c>
      <c r="I840" s="398">
        <f t="shared" si="248"/>
        <v>1026</v>
      </c>
      <c r="J840" s="398">
        <f t="shared" si="248"/>
        <v>1025.9999999999998</v>
      </c>
      <c r="K840" s="398">
        <f t="shared" si="248"/>
        <v>1026</v>
      </c>
      <c r="L840" s="398">
        <f t="shared" si="248"/>
        <v>1007</v>
      </c>
      <c r="M840" s="398">
        <f t="shared" si="248"/>
        <v>1007</v>
      </c>
      <c r="N840" s="398">
        <f t="shared" si="248"/>
        <v>1007</v>
      </c>
      <c r="O840" s="398">
        <f t="shared" si="248"/>
        <v>1007</v>
      </c>
      <c r="P840" s="398">
        <f t="shared" si="248"/>
        <v>1007</v>
      </c>
      <c r="Q840" s="398">
        <f t="shared" si="248"/>
        <v>1007</v>
      </c>
      <c r="R840" s="279">
        <f t="shared" ref="R840:R852" si="249">SUM(F840:Q840)</f>
        <v>12198</v>
      </c>
      <c r="S840" s="279"/>
    </row>
    <row r="841" spans="2:19" x14ac:dyDescent="0.2">
      <c r="C841" s="32" t="s">
        <v>374</v>
      </c>
      <c r="D841" s="32">
        <v>23</v>
      </c>
      <c r="F841" s="279">
        <f t="shared" ref="F841:Q841" si="250">F34</f>
        <v>71187692</v>
      </c>
      <c r="G841" s="279">
        <f t="shared" si="250"/>
        <v>58357925</v>
      </c>
      <c r="H841" s="279">
        <f t="shared" si="250"/>
        <v>59215201</v>
      </c>
      <c r="I841" s="279">
        <f t="shared" si="250"/>
        <v>46508498</v>
      </c>
      <c r="J841" s="279">
        <f t="shared" si="250"/>
        <v>33382131</v>
      </c>
      <c r="K841" s="279">
        <f t="shared" si="250"/>
        <v>21957138</v>
      </c>
      <c r="L841" s="279">
        <f t="shared" si="250"/>
        <v>15080375</v>
      </c>
      <c r="M841" s="279">
        <f t="shared" si="250"/>
        <v>14189236</v>
      </c>
      <c r="N841" s="279">
        <f t="shared" si="250"/>
        <v>18121975</v>
      </c>
      <c r="O841" s="279">
        <f t="shared" si="250"/>
        <v>36524174</v>
      </c>
      <c r="P841" s="279">
        <f t="shared" si="250"/>
        <v>67472591</v>
      </c>
      <c r="Q841" s="279">
        <f t="shared" si="250"/>
        <v>84734325</v>
      </c>
      <c r="R841" s="279">
        <f t="shared" si="249"/>
        <v>526731261</v>
      </c>
      <c r="S841" s="279"/>
    </row>
    <row r="842" spans="2:19" x14ac:dyDescent="0.2">
      <c r="C842" s="32" t="s">
        <v>1122</v>
      </c>
      <c r="D842" s="32">
        <v>53</v>
      </c>
      <c r="F842" s="279">
        <f t="shared" ref="F842:Q842" si="251">F52</f>
        <v>205</v>
      </c>
      <c r="G842" s="279">
        <f t="shared" si="251"/>
        <v>216</v>
      </c>
      <c r="H842" s="279">
        <f t="shared" si="251"/>
        <v>301</v>
      </c>
      <c r="I842" s="279">
        <f t="shared" si="251"/>
        <v>219</v>
      </c>
      <c r="J842" s="279">
        <f t="shared" si="251"/>
        <v>145</v>
      </c>
      <c r="K842" s="279">
        <f t="shared" si="251"/>
        <v>107</v>
      </c>
      <c r="L842" s="279">
        <f t="shared" si="251"/>
        <v>89</v>
      </c>
      <c r="M842" s="279">
        <f t="shared" si="251"/>
        <v>86</v>
      </c>
      <c r="N842" s="279">
        <f t="shared" si="251"/>
        <v>84</v>
      </c>
      <c r="O842" s="279">
        <f t="shared" si="251"/>
        <v>160</v>
      </c>
      <c r="P842" s="279">
        <f t="shared" si="251"/>
        <v>222</v>
      </c>
      <c r="Q842" s="279">
        <f t="shared" si="251"/>
        <v>280</v>
      </c>
      <c r="R842" s="279">
        <f t="shared" si="249"/>
        <v>2114</v>
      </c>
      <c r="S842" s="279"/>
    </row>
    <row r="843" spans="2:19" x14ac:dyDescent="0.2">
      <c r="C843" s="32" t="s">
        <v>1123</v>
      </c>
      <c r="D843" s="32">
        <v>31</v>
      </c>
      <c r="F843" s="279">
        <f t="shared" ref="F843:Q843" si="252">F81</f>
        <v>22530052</v>
      </c>
      <c r="G843" s="279">
        <f t="shared" si="252"/>
        <v>18400356</v>
      </c>
      <c r="H843" s="279">
        <f t="shared" si="252"/>
        <v>18722609</v>
      </c>
      <c r="I843" s="279">
        <f t="shared" si="252"/>
        <v>15159542</v>
      </c>
      <c r="J843" s="279">
        <f t="shared" si="252"/>
        <v>11739148</v>
      </c>
      <c r="K843" s="279">
        <f t="shared" si="252"/>
        <v>8759117</v>
      </c>
      <c r="L843" s="279">
        <f t="shared" si="252"/>
        <v>7017499</v>
      </c>
      <c r="M843" s="279">
        <f t="shared" si="252"/>
        <v>6870079</v>
      </c>
      <c r="N843" s="279">
        <f t="shared" si="252"/>
        <v>7730919</v>
      </c>
      <c r="O843" s="279">
        <f t="shared" si="252"/>
        <v>12369351</v>
      </c>
      <c r="P843" s="279">
        <f t="shared" si="252"/>
        <v>21057029</v>
      </c>
      <c r="Q843" s="279">
        <f t="shared" si="252"/>
        <v>26731097</v>
      </c>
      <c r="R843" s="279">
        <f t="shared" si="249"/>
        <v>177086798</v>
      </c>
      <c r="S843" s="279"/>
    </row>
    <row r="844" spans="2:19" x14ac:dyDescent="0.2">
      <c r="C844" s="32" t="s">
        <v>1124</v>
      </c>
      <c r="D844" s="32">
        <v>41</v>
      </c>
      <c r="F844" s="279">
        <f t="shared" ref="F844:Q844" si="253">F111</f>
        <v>6678954</v>
      </c>
      <c r="G844" s="279">
        <f t="shared" si="253"/>
        <v>5756196</v>
      </c>
      <c r="H844" s="279">
        <f t="shared" si="253"/>
        <v>6096346</v>
      </c>
      <c r="I844" s="279">
        <f t="shared" si="253"/>
        <v>5248744</v>
      </c>
      <c r="J844" s="279">
        <f t="shared" si="253"/>
        <v>4556788</v>
      </c>
      <c r="K844" s="279">
        <f t="shared" si="253"/>
        <v>3569491</v>
      </c>
      <c r="L844" s="279">
        <f t="shared" si="253"/>
        <v>2925297</v>
      </c>
      <c r="M844" s="279">
        <f t="shared" si="253"/>
        <v>2859421</v>
      </c>
      <c r="N844" s="279">
        <f t="shared" si="253"/>
        <v>3145935</v>
      </c>
      <c r="O844" s="279">
        <f t="shared" si="253"/>
        <v>4405828</v>
      </c>
      <c r="P844" s="279">
        <f t="shared" si="253"/>
        <v>6086833</v>
      </c>
      <c r="Q844" s="279">
        <f t="shared" si="253"/>
        <v>6998517</v>
      </c>
      <c r="R844" s="279">
        <f t="shared" si="249"/>
        <v>58328350</v>
      </c>
      <c r="S844" s="279"/>
    </row>
    <row r="845" spans="2:19" x14ac:dyDescent="0.2">
      <c r="C845" s="32" t="s">
        <v>1128</v>
      </c>
      <c r="D845" s="32">
        <v>85</v>
      </c>
      <c r="F845" s="279">
        <f t="shared" ref="F845:Q845" si="254">F281</f>
        <v>1540528</v>
      </c>
      <c r="G845" s="279">
        <f t="shared" si="254"/>
        <v>1365910</v>
      </c>
      <c r="H845" s="279">
        <f t="shared" si="254"/>
        <v>1543042</v>
      </c>
      <c r="I845" s="279">
        <f t="shared" si="254"/>
        <v>1351647</v>
      </c>
      <c r="J845" s="279">
        <f t="shared" si="254"/>
        <v>1142807</v>
      </c>
      <c r="K845" s="279">
        <f t="shared" si="254"/>
        <v>861289</v>
      </c>
      <c r="L845" s="279">
        <f t="shared" si="254"/>
        <v>719459</v>
      </c>
      <c r="M845" s="279">
        <f t="shared" si="254"/>
        <v>682351</v>
      </c>
      <c r="N845" s="279">
        <f t="shared" si="254"/>
        <v>737916</v>
      </c>
      <c r="O845" s="279">
        <f t="shared" si="254"/>
        <v>1088491</v>
      </c>
      <c r="P845" s="279">
        <f t="shared" si="254"/>
        <v>1469983</v>
      </c>
      <c r="Q845" s="279">
        <f t="shared" si="254"/>
        <v>1567374</v>
      </c>
      <c r="R845" s="279">
        <f t="shared" si="249"/>
        <v>14070797</v>
      </c>
      <c r="S845" s="279"/>
    </row>
    <row r="846" spans="2:19" x14ac:dyDescent="0.2">
      <c r="C846" s="32" t="s">
        <v>1129</v>
      </c>
      <c r="D846" s="32">
        <v>86</v>
      </c>
      <c r="F846" s="279">
        <f t="shared" ref="F846:Q846" si="255">F324</f>
        <v>1663779</v>
      </c>
      <c r="G846" s="279">
        <f t="shared" si="255"/>
        <v>1409469</v>
      </c>
      <c r="H846" s="279">
        <f t="shared" si="255"/>
        <v>1462011</v>
      </c>
      <c r="I846" s="279">
        <f t="shared" si="255"/>
        <v>1219957</v>
      </c>
      <c r="J846" s="279">
        <f t="shared" si="255"/>
        <v>979898</v>
      </c>
      <c r="K846" s="279">
        <f t="shared" si="255"/>
        <v>626681</v>
      </c>
      <c r="L846" s="279">
        <f t="shared" si="255"/>
        <v>362839</v>
      </c>
      <c r="M846" s="279">
        <f t="shared" si="255"/>
        <v>338531</v>
      </c>
      <c r="N846" s="279">
        <f t="shared" si="255"/>
        <v>494396</v>
      </c>
      <c r="O846" s="279">
        <f t="shared" si="255"/>
        <v>927504</v>
      </c>
      <c r="P846" s="279">
        <f t="shared" si="255"/>
        <v>1494947</v>
      </c>
      <c r="Q846" s="279">
        <f t="shared" si="255"/>
        <v>1707029</v>
      </c>
      <c r="R846" s="279">
        <f t="shared" si="249"/>
        <v>12687041</v>
      </c>
      <c r="S846" s="279"/>
    </row>
    <row r="847" spans="2:19" x14ac:dyDescent="0.2">
      <c r="C847" s="32" t="s">
        <v>1130</v>
      </c>
      <c r="D847" s="32">
        <v>87</v>
      </c>
      <c r="F847" s="279">
        <f t="shared" ref="F847:Q847" si="256">F374</f>
        <v>2992144</v>
      </c>
      <c r="G847" s="279">
        <f t="shared" si="256"/>
        <v>2636531</v>
      </c>
      <c r="H847" s="279">
        <f t="shared" si="256"/>
        <v>2769578</v>
      </c>
      <c r="I847" s="279">
        <f t="shared" si="256"/>
        <v>2479235</v>
      </c>
      <c r="J847" s="279">
        <f t="shared" si="256"/>
        <v>2256353</v>
      </c>
      <c r="K847" s="279">
        <f t="shared" si="256"/>
        <v>1872603</v>
      </c>
      <c r="L847" s="279">
        <f t="shared" si="256"/>
        <v>1565592</v>
      </c>
      <c r="M847" s="279">
        <f t="shared" si="256"/>
        <v>1423850</v>
      </c>
      <c r="N847" s="279">
        <f t="shared" si="256"/>
        <v>1529532</v>
      </c>
      <c r="O847" s="279">
        <f t="shared" si="256"/>
        <v>2142717</v>
      </c>
      <c r="P847" s="279">
        <f t="shared" si="256"/>
        <v>2807516</v>
      </c>
      <c r="Q847" s="279">
        <f t="shared" si="256"/>
        <v>3255881</v>
      </c>
      <c r="R847" s="279">
        <f t="shared" si="249"/>
        <v>27731532</v>
      </c>
      <c r="S847" s="279"/>
    </row>
    <row r="848" spans="2:19" x14ac:dyDescent="0.2">
      <c r="C848" s="32" t="s">
        <v>1131</v>
      </c>
      <c r="D848" s="32">
        <v>31</v>
      </c>
      <c r="F848" s="279">
        <f t="shared" ref="F848:Q848" si="257">F409</f>
        <v>1862880</v>
      </c>
      <c r="G848" s="279">
        <f t="shared" si="257"/>
        <v>1530899</v>
      </c>
      <c r="H848" s="279">
        <f t="shared" si="257"/>
        <v>1488929</v>
      </c>
      <c r="I848" s="279">
        <f t="shared" si="257"/>
        <v>1169710</v>
      </c>
      <c r="J848" s="279">
        <f t="shared" si="257"/>
        <v>831580</v>
      </c>
      <c r="K848" s="279">
        <f t="shared" si="257"/>
        <v>572733</v>
      </c>
      <c r="L848" s="279">
        <f t="shared" si="257"/>
        <v>457633</v>
      </c>
      <c r="M848" s="279">
        <f t="shared" si="257"/>
        <v>450461</v>
      </c>
      <c r="N848" s="279">
        <f t="shared" si="257"/>
        <v>516301</v>
      </c>
      <c r="O848" s="279">
        <f t="shared" si="257"/>
        <v>875671</v>
      </c>
      <c r="P848" s="279">
        <f t="shared" si="257"/>
        <v>1570654</v>
      </c>
      <c r="Q848" s="279">
        <f t="shared" si="257"/>
        <v>2065921</v>
      </c>
      <c r="R848" s="279">
        <f t="shared" si="249"/>
        <v>13393372</v>
      </c>
      <c r="S848" s="279"/>
    </row>
    <row r="849" spans="2:19" x14ac:dyDescent="0.2">
      <c r="C849" s="32" t="s">
        <v>1132</v>
      </c>
      <c r="D849" s="32">
        <v>41</v>
      </c>
      <c r="F849" s="279">
        <f t="shared" ref="F849:Q849" si="258">F439</f>
        <v>1325101</v>
      </c>
      <c r="G849" s="279">
        <f t="shared" si="258"/>
        <v>1224918</v>
      </c>
      <c r="H849" s="279">
        <f t="shared" si="258"/>
        <v>1400426</v>
      </c>
      <c r="I849" s="279">
        <f t="shared" si="258"/>
        <v>1346735</v>
      </c>
      <c r="J849" s="279">
        <f t="shared" si="258"/>
        <v>1340123</v>
      </c>
      <c r="K849" s="279">
        <f t="shared" si="258"/>
        <v>1198669</v>
      </c>
      <c r="L849" s="279">
        <f t="shared" si="258"/>
        <v>1166838</v>
      </c>
      <c r="M849" s="279">
        <f t="shared" si="258"/>
        <v>1217574</v>
      </c>
      <c r="N849" s="279">
        <f t="shared" si="258"/>
        <v>1197533</v>
      </c>
      <c r="O849" s="279">
        <f t="shared" si="258"/>
        <v>1340154</v>
      </c>
      <c r="P849" s="279">
        <f t="shared" si="258"/>
        <v>1386876</v>
      </c>
      <c r="Q849" s="279">
        <f t="shared" si="258"/>
        <v>1384284</v>
      </c>
      <c r="R849" s="279">
        <f t="shared" si="249"/>
        <v>15529231</v>
      </c>
      <c r="S849" s="424"/>
    </row>
    <row r="850" spans="2:19" x14ac:dyDescent="0.2">
      <c r="C850" s="32" t="s">
        <v>1137</v>
      </c>
      <c r="D850" s="32">
        <v>85</v>
      </c>
      <c r="F850" s="279">
        <f t="shared" ref="F850:Q850" si="259">F640</f>
        <v>244025</v>
      </c>
      <c r="G850" s="279">
        <f t="shared" si="259"/>
        <v>230437</v>
      </c>
      <c r="H850" s="279">
        <f t="shared" si="259"/>
        <v>250310</v>
      </c>
      <c r="I850" s="279">
        <f t="shared" si="259"/>
        <v>238410</v>
      </c>
      <c r="J850" s="279">
        <f t="shared" si="259"/>
        <v>231789</v>
      </c>
      <c r="K850" s="279">
        <f t="shared" si="259"/>
        <v>223465</v>
      </c>
      <c r="L850" s="279">
        <f t="shared" si="259"/>
        <v>210855</v>
      </c>
      <c r="M850" s="279">
        <f t="shared" si="259"/>
        <v>254827</v>
      </c>
      <c r="N850" s="279">
        <f t="shared" si="259"/>
        <v>253789</v>
      </c>
      <c r="O850" s="279">
        <f t="shared" si="259"/>
        <v>236615</v>
      </c>
      <c r="P850" s="279">
        <f t="shared" si="259"/>
        <v>238060</v>
      </c>
      <c r="Q850" s="279">
        <f t="shared" si="259"/>
        <v>249530</v>
      </c>
      <c r="R850" s="279">
        <f t="shared" si="249"/>
        <v>2862112</v>
      </c>
      <c r="S850" s="424"/>
    </row>
    <row r="851" spans="2:19" x14ac:dyDescent="0.2">
      <c r="C851" s="32" t="s">
        <v>1138</v>
      </c>
      <c r="D851" s="32">
        <v>86</v>
      </c>
      <c r="F851" s="279">
        <f t="shared" ref="F851:Q851" si="260">F683</f>
        <v>171505</v>
      </c>
      <c r="G851" s="279">
        <f t="shared" si="260"/>
        <v>146383</v>
      </c>
      <c r="H851" s="279">
        <f t="shared" si="260"/>
        <v>66915</v>
      </c>
      <c r="I851" s="279">
        <f t="shared" si="260"/>
        <v>40614</v>
      </c>
      <c r="J851" s="279">
        <f t="shared" si="260"/>
        <v>65028</v>
      </c>
      <c r="K851" s="279">
        <f t="shared" si="260"/>
        <v>83876</v>
      </c>
      <c r="L851" s="279">
        <f t="shared" si="260"/>
        <v>55528</v>
      </c>
      <c r="M851" s="279">
        <f t="shared" si="260"/>
        <v>31451</v>
      </c>
      <c r="N851" s="279">
        <f t="shared" si="260"/>
        <v>25943</v>
      </c>
      <c r="O851" s="279">
        <f t="shared" si="260"/>
        <v>30191</v>
      </c>
      <c r="P851" s="279">
        <f t="shared" si="260"/>
        <v>52254</v>
      </c>
      <c r="Q851" s="279">
        <f t="shared" si="260"/>
        <v>62644</v>
      </c>
      <c r="R851" s="279">
        <f t="shared" si="249"/>
        <v>832332</v>
      </c>
      <c r="S851" s="424"/>
    </row>
    <row r="852" spans="2:19" x14ac:dyDescent="0.2">
      <c r="C852" s="32" t="s">
        <v>1139</v>
      </c>
      <c r="D852" s="32">
        <v>87</v>
      </c>
      <c r="F852" s="279">
        <f t="shared" ref="F852:Q852" si="261">F733</f>
        <v>83770</v>
      </c>
      <c r="G852" s="279">
        <f t="shared" si="261"/>
        <v>115393</v>
      </c>
      <c r="H852" s="279">
        <f t="shared" si="261"/>
        <v>118389</v>
      </c>
      <c r="I852" s="279">
        <f t="shared" si="261"/>
        <v>148227</v>
      </c>
      <c r="J852" s="279">
        <f t="shared" si="261"/>
        <v>172767</v>
      </c>
      <c r="K852" s="279">
        <f t="shared" si="261"/>
        <v>130945</v>
      </c>
      <c r="L852" s="279">
        <f t="shared" si="261"/>
        <v>105034</v>
      </c>
      <c r="M852" s="279">
        <f t="shared" si="261"/>
        <v>153481</v>
      </c>
      <c r="N852" s="279">
        <f t="shared" si="261"/>
        <v>200237</v>
      </c>
      <c r="O852" s="279">
        <f t="shared" si="261"/>
        <v>222364</v>
      </c>
      <c r="P852" s="279">
        <f t="shared" si="261"/>
        <v>202008</v>
      </c>
      <c r="Q852" s="279">
        <f t="shared" si="261"/>
        <v>136423</v>
      </c>
      <c r="R852" s="279">
        <f t="shared" si="249"/>
        <v>1789038</v>
      </c>
      <c r="S852" s="424"/>
    </row>
    <row r="853" spans="2:19" x14ac:dyDescent="0.2">
      <c r="C853" s="32" t="s">
        <v>1156</v>
      </c>
      <c r="F853" s="357">
        <f t="shared" ref="F853:R853" si="262">SUM(F840:F852)</f>
        <v>110281661</v>
      </c>
      <c r="G853" s="357">
        <f t="shared" si="262"/>
        <v>91175659</v>
      </c>
      <c r="H853" s="357">
        <f t="shared" si="262"/>
        <v>93135083</v>
      </c>
      <c r="I853" s="357">
        <f t="shared" si="262"/>
        <v>74912564</v>
      </c>
      <c r="J853" s="357">
        <f t="shared" si="262"/>
        <v>56699583</v>
      </c>
      <c r="K853" s="357">
        <f t="shared" si="262"/>
        <v>39857140</v>
      </c>
      <c r="L853" s="357">
        <f t="shared" si="262"/>
        <v>29668045</v>
      </c>
      <c r="M853" s="357">
        <f t="shared" si="262"/>
        <v>28472355</v>
      </c>
      <c r="N853" s="357">
        <f t="shared" si="262"/>
        <v>33955567</v>
      </c>
      <c r="O853" s="357">
        <f t="shared" si="262"/>
        <v>60164227</v>
      </c>
      <c r="P853" s="357">
        <f t="shared" si="262"/>
        <v>103839980</v>
      </c>
      <c r="Q853" s="357">
        <f t="shared" si="262"/>
        <v>128894312</v>
      </c>
      <c r="R853" s="357">
        <f t="shared" si="262"/>
        <v>851056176</v>
      </c>
      <c r="S853" s="424"/>
    </row>
    <row r="855" spans="2:19" x14ac:dyDescent="0.2">
      <c r="B855" s="32" t="s">
        <v>1157</v>
      </c>
    </row>
    <row r="856" spans="2:19" x14ac:dyDescent="0.2">
      <c r="C856" s="32" t="s">
        <v>1158</v>
      </c>
      <c r="D856" s="444" t="s">
        <v>808</v>
      </c>
      <c r="F856" s="279">
        <f t="shared" ref="F856:Q856" si="263">F150</f>
        <v>100691</v>
      </c>
      <c r="G856" s="279">
        <f t="shared" si="263"/>
        <v>97206</v>
      </c>
      <c r="H856" s="279">
        <f t="shared" si="263"/>
        <v>117660</v>
      </c>
      <c r="I856" s="279">
        <f t="shared" si="263"/>
        <v>114662</v>
      </c>
      <c r="J856" s="279">
        <f t="shared" si="263"/>
        <v>102961</v>
      </c>
      <c r="K856" s="279">
        <f t="shared" si="263"/>
        <v>89621</v>
      </c>
      <c r="L856" s="279">
        <f t="shared" si="263"/>
        <v>96388</v>
      </c>
      <c r="M856" s="279">
        <f t="shared" si="263"/>
        <v>90663</v>
      </c>
      <c r="N856" s="279">
        <f t="shared" si="263"/>
        <v>131647</v>
      </c>
      <c r="O856" s="279">
        <f t="shared" si="263"/>
        <v>137275</v>
      </c>
      <c r="P856" s="279">
        <f t="shared" si="263"/>
        <v>228305</v>
      </c>
      <c r="Q856" s="279">
        <f t="shared" si="263"/>
        <v>318484</v>
      </c>
      <c r="R856" s="279">
        <f t="shared" ref="R856:R863" si="264">SUM(F856:Q856)</f>
        <v>1625563</v>
      </c>
      <c r="S856" s="424"/>
    </row>
    <row r="857" spans="2:19" x14ac:dyDescent="0.2">
      <c r="C857" s="32" t="s">
        <v>1159</v>
      </c>
      <c r="D857" s="444" t="s">
        <v>809</v>
      </c>
      <c r="F857" s="279">
        <f t="shared" ref="F857:Q857" si="265">F186</f>
        <v>2122993</v>
      </c>
      <c r="G857" s="279">
        <f t="shared" si="265"/>
        <v>1912161</v>
      </c>
      <c r="H857" s="279">
        <f t="shared" si="265"/>
        <v>2151429</v>
      </c>
      <c r="I857" s="279">
        <f t="shared" si="265"/>
        <v>1981454</v>
      </c>
      <c r="J857" s="279">
        <f t="shared" si="265"/>
        <v>1886419</v>
      </c>
      <c r="K857" s="279">
        <f t="shared" si="265"/>
        <v>1770605</v>
      </c>
      <c r="L857" s="279">
        <f t="shared" si="265"/>
        <v>1664441</v>
      </c>
      <c r="M857" s="279">
        <f t="shared" si="265"/>
        <v>1721220</v>
      </c>
      <c r="N857" s="279">
        <f t="shared" si="265"/>
        <v>1702205</v>
      </c>
      <c r="O857" s="279">
        <f t="shared" si="265"/>
        <v>1940953</v>
      </c>
      <c r="P857" s="279">
        <f t="shared" si="265"/>
        <v>2090527</v>
      </c>
      <c r="Q857" s="279">
        <f t="shared" si="265"/>
        <v>2197380</v>
      </c>
      <c r="R857" s="279">
        <f t="shared" si="264"/>
        <v>23141787</v>
      </c>
      <c r="S857" s="424"/>
    </row>
    <row r="858" spans="2:19" x14ac:dyDescent="0.2">
      <c r="C858" s="32" t="s">
        <v>1160</v>
      </c>
      <c r="D858" s="444" t="s">
        <v>811</v>
      </c>
      <c r="F858" s="279">
        <f t="shared" ref="F858:Q858" si="266">F227</f>
        <v>1937952</v>
      </c>
      <c r="G858" s="279">
        <f t="shared" si="266"/>
        <v>1707812</v>
      </c>
      <c r="H858" s="279">
        <f t="shared" si="266"/>
        <v>1821369</v>
      </c>
      <c r="I858" s="279">
        <f t="shared" si="266"/>
        <v>1678807</v>
      </c>
      <c r="J858" s="279">
        <f t="shared" si="266"/>
        <v>1544678</v>
      </c>
      <c r="K858" s="279">
        <f t="shared" si="266"/>
        <v>1294429</v>
      </c>
      <c r="L858" s="279">
        <f t="shared" si="266"/>
        <v>1196692</v>
      </c>
      <c r="M858" s="279">
        <f t="shared" si="266"/>
        <v>1164811</v>
      </c>
      <c r="N858" s="279">
        <f t="shared" si="266"/>
        <v>1237757</v>
      </c>
      <c r="O858" s="279">
        <f t="shared" si="266"/>
        <v>1487119</v>
      </c>
      <c r="P858" s="279">
        <f t="shared" si="266"/>
        <v>1981257</v>
      </c>
      <c r="Q858" s="279">
        <f t="shared" si="266"/>
        <v>1990898</v>
      </c>
      <c r="R858" s="279">
        <f t="shared" si="264"/>
        <v>19043581</v>
      </c>
      <c r="S858" s="424"/>
    </row>
    <row r="859" spans="2:19" x14ac:dyDescent="0.2">
      <c r="C859" s="32" t="s">
        <v>1161</v>
      </c>
      <c r="D859" s="444" t="s">
        <v>808</v>
      </c>
      <c r="F859" s="279">
        <f t="shared" ref="F859:Q859" si="267">F478</f>
        <v>309029</v>
      </c>
      <c r="G859" s="279">
        <f t="shared" si="267"/>
        <v>288055</v>
      </c>
      <c r="H859" s="279">
        <f t="shared" si="267"/>
        <v>328103</v>
      </c>
      <c r="I859" s="279">
        <f t="shared" si="267"/>
        <v>311349</v>
      </c>
      <c r="J859" s="279">
        <f t="shared" si="267"/>
        <v>287974</v>
      </c>
      <c r="K859" s="279">
        <f t="shared" si="267"/>
        <v>309899</v>
      </c>
      <c r="L859" s="279">
        <f t="shared" si="267"/>
        <v>405719</v>
      </c>
      <c r="M859" s="279">
        <f t="shared" si="267"/>
        <v>414751</v>
      </c>
      <c r="N859" s="279">
        <f t="shared" si="267"/>
        <v>393132</v>
      </c>
      <c r="O859" s="279">
        <f t="shared" si="267"/>
        <v>429271</v>
      </c>
      <c r="P859" s="279">
        <f t="shared" si="267"/>
        <v>479248</v>
      </c>
      <c r="Q859" s="279">
        <f t="shared" si="267"/>
        <v>494758</v>
      </c>
      <c r="R859" s="279">
        <f t="shared" si="264"/>
        <v>4451288</v>
      </c>
      <c r="S859" s="424"/>
    </row>
    <row r="860" spans="2:19" x14ac:dyDescent="0.2">
      <c r="C860" s="32" t="s">
        <v>1162</v>
      </c>
      <c r="D860" s="444" t="s">
        <v>809</v>
      </c>
      <c r="F860" s="279">
        <f t="shared" ref="F860:Q860" si="268">F514</f>
        <v>3196913</v>
      </c>
      <c r="G860" s="279">
        <f t="shared" si="268"/>
        <v>3150964</v>
      </c>
      <c r="H860" s="279">
        <f t="shared" si="268"/>
        <v>3626483</v>
      </c>
      <c r="I860" s="279">
        <f t="shared" si="268"/>
        <v>3513263</v>
      </c>
      <c r="J860" s="279">
        <f t="shared" si="268"/>
        <v>3574891</v>
      </c>
      <c r="K860" s="279">
        <f t="shared" si="268"/>
        <v>3984245</v>
      </c>
      <c r="L860" s="279">
        <f t="shared" si="268"/>
        <v>3565124</v>
      </c>
      <c r="M860" s="279">
        <f t="shared" si="268"/>
        <v>3675294</v>
      </c>
      <c r="N860" s="279">
        <f t="shared" si="268"/>
        <v>3427405</v>
      </c>
      <c r="O860" s="279">
        <f t="shared" si="268"/>
        <v>3642138</v>
      </c>
      <c r="P860" s="279">
        <f t="shared" si="268"/>
        <v>3503575</v>
      </c>
      <c r="Q860" s="279">
        <f t="shared" si="268"/>
        <v>3241505</v>
      </c>
      <c r="R860" s="279">
        <f t="shared" si="264"/>
        <v>42101800</v>
      </c>
      <c r="S860" s="424"/>
    </row>
    <row r="861" spans="2:19" x14ac:dyDescent="0.2">
      <c r="C861" s="32" t="s">
        <v>1163</v>
      </c>
      <c r="D861" s="444" t="s">
        <v>810</v>
      </c>
      <c r="F861" s="279">
        <f>F547</f>
        <v>0</v>
      </c>
      <c r="G861" s="279">
        <f t="shared" ref="G861:Q861" si="269">G547</f>
        <v>0</v>
      </c>
      <c r="H861" s="279">
        <f t="shared" si="269"/>
        <v>0</v>
      </c>
      <c r="I861" s="279">
        <f t="shared" si="269"/>
        <v>0</v>
      </c>
      <c r="J861" s="279">
        <f t="shared" si="269"/>
        <v>0</v>
      </c>
      <c r="K861" s="279">
        <f t="shared" si="269"/>
        <v>0</v>
      </c>
      <c r="L861" s="279">
        <f t="shared" si="269"/>
        <v>0</v>
      </c>
      <c r="M861" s="279">
        <f t="shared" si="269"/>
        <v>2158</v>
      </c>
      <c r="N861" s="279">
        <f t="shared" si="269"/>
        <v>9063</v>
      </c>
      <c r="O861" s="279">
        <f t="shared" si="269"/>
        <v>8098</v>
      </c>
      <c r="P861" s="279">
        <f t="shared" si="269"/>
        <v>963</v>
      </c>
      <c r="Q861" s="279">
        <f t="shared" si="269"/>
        <v>197</v>
      </c>
      <c r="R861" s="279">
        <f t="shared" si="264"/>
        <v>20479</v>
      </c>
      <c r="S861" s="424"/>
    </row>
    <row r="862" spans="2:19" x14ac:dyDescent="0.2">
      <c r="C862" s="32" t="s">
        <v>1164</v>
      </c>
      <c r="D862" s="444" t="s">
        <v>811</v>
      </c>
      <c r="F862" s="279">
        <f t="shared" ref="F862:Q862" si="270">F587</f>
        <v>7278688</v>
      </c>
      <c r="G862" s="279">
        <f t="shared" si="270"/>
        <v>5758210</v>
      </c>
      <c r="H862" s="279">
        <f t="shared" si="270"/>
        <v>6916724</v>
      </c>
      <c r="I862" s="279">
        <f t="shared" si="270"/>
        <v>6858301</v>
      </c>
      <c r="J862" s="279">
        <f t="shared" si="270"/>
        <v>7969590</v>
      </c>
      <c r="K862" s="279">
        <f t="shared" si="270"/>
        <v>6711041</v>
      </c>
      <c r="L862" s="279">
        <f t="shared" si="270"/>
        <v>7300080</v>
      </c>
      <c r="M862" s="279">
        <f t="shared" si="270"/>
        <v>7448528</v>
      </c>
      <c r="N862" s="279">
        <f t="shared" si="270"/>
        <v>6304467</v>
      </c>
      <c r="O862" s="279">
        <f t="shared" si="270"/>
        <v>6466760</v>
      </c>
      <c r="P862" s="279">
        <f t="shared" si="270"/>
        <v>5295710</v>
      </c>
      <c r="Q862" s="279">
        <f t="shared" si="270"/>
        <v>5673131</v>
      </c>
      <c r="R862" s="279">
        <f t="shared" si="264"/>
        <v>79981230</v>
      </c>
      <c r="S862" s="424"/>
    </row>
    <row r="863" spans="2:19" x14ac:dyDescent="0.2">
      <c r="C863" s="32" t="s">
        <v>1165</v>
      </c>
      <c r="D863" s="32">
        <v>99</v>
      </c>
      <c r="F863" s="279">
        <f t="shared" ref="F863:Q863" si="271">F780</f>
        <v>3517110</v>
      </c>
      <c r="G863" s="279">
        <f t="shared" si="271"/>
        <v>3347997</v>
      </c>
      <c r="H863" s="279">
        <f t="shared" si="271"/>
        <v>3654461</v>
      </c>
      <c r="I863" s="279">
        <f t="shared" si="271"/>
        <v>3238199</v>
      </c>
      <c r="J863" s="279">
        <f t="shared" si="271"/>
        <v>2805705</v>
      </c>
      <c r="K863" s="279">
        <f t="shared" si="271"/>
        <v>2216168</v>
      </c>
      <c r="L863" s="279">
        <f t="shared" si="271"/>
        <v>2006793</v>
      </c>
      <c r="M863" s="279">
        <f t="shared" si="271"/>
        <v>1941842</v>
      </c>
      <c r="N863" s="279">
        <f t="shared" si="271"/>
        <v>1979407</v>
      </c>
      <c r="O863" s="279">
        <f t="shared" si="271"/>
        <v>2787377</v>
      </c>
      <c r="P863" s="279">
        <f t="shared" si="271"/>
        <v>3842036</v>
      </c>
      <c r="Q863" s="279">
        <f t="shared" si="271"/>
        <v>3871544</v>
      </c>
      <c r="R863" s="279">
        <f t="shared" si="264"/>
        <v>35208639</v>
      </c>
      <c r="S863" s="424"/>
    </row>
    <row r="864" spans="2:19" x14ac:dyDescent="0.2">
      <c r="C864" s="32" t="s">
        <v>1166</v>
      </c>
      <c r="F864" s="357">
        <f t="shared" ref="F864:R864" si="272">SUM(F856:F863)</f>
        <v>18463376</v>
      </c>
      <c r="G864" s="357">
        <f t="shared" si="272"/>
        <v>16262405</v>
      </c>
      <c r="H864" s="357">
        <f t="shared" si="272"/>
        <v>18616229</v>
      </c>
      <c r="I864" s="357">
        <f t="shared" si="272"/>
        <v>17696035</v>
      </c>
      <c r="J864" s="357">
        <f t="shared" si="272"/>
        <v>18172218</v>
      </c>
      <c r="K864" s="357">
        <f t="shared" si="272"/>
        <v>16376008</v>
      </c>
      <c r="L864" s="357">
        <f t="shared" si="272"/>
        <v>16235237</v>
      </c>
      <c r="M864" s="357">
        <f t="shared" si="272"/>
        <v>16459267</v>
      </c>
      <c r="N864" s="357">
        <f t="shared" si="272"/>
        <v>15185083</v>
      </c>
      <c r="O864" s="357">
        <f t="shared" si="272"/>
        <v>16898991</v>
      </c>
      <c r="P864" s="357">
        <f t="shared" si="272"/>
        <v>17421621</v>
      </c>
      <c r="Q864" s="357">
        <f t="shared" si="272"/>
        <v>17787897</v>
      </c>
      <c r="R864" s="357">
        <f t="shared" si="272"/>
        <v>205574367</v>
      </c>
      <c r="S864" s="424"/>
    </row>
    <row r="865" spans="2:19" x14ac:dyDescent="0.2">
      <c r="F865" s="424"/>
      <c r="G865" s="424"/>
      <c r="H865" s="424"/>
      <c r="I865" s="424"/>
      <c r="J865" s="424"/>
      <c r="K865" s="424"/>
      <c r="L865" s="424"/>
      <c r="M865" s="424"/>
      <c r="N865" s="424"/>
      <c r="O865" s="424"/>
      <c r="P865" s="424"/>
      <c r="Q865" s="424"/>
      <c r="R865" s="424"/>
    </row>
    <row r="866" spans="2:19" x14ac:dyDescent="0.2">
      <c r="B866" s="32" t="s">
        <v>1167</v>
      </c>
      <c r="F866" s="357">
        <f t="shared" ref="F866:R866" si="273">F853+F864</f>
        <v>128745037</v>
      </c>
      <c r="G866" s="357">
        <f t="shared" si="273"/>
        <v>107438064</v>
      </c>
      <c r="H866" s="357">
        <f t="shared" si="273"/>
        <v>111751312</v>
      </c>
      <c r="I866" s="357">
        <f t="shared" si="273"/>
        <v>92608599</v>
      </c>
      <c r="J866" s="357">
        <f t="shared" si="273"/>
        <v>74871801</v>
      </c>
      <c r="K866" s="357">
        <f t="shared" si="273"/>
        <v>56233148</v>
      </c>
      <c r="L866" s="357">
        <f t="shared" si="273"/>
        <v>45903282</v>
      </c>
      <c r="M866" s="357">
        <f t="shared" si="273"/>
        <v>44931622</v>
      </c>
      <c r="N866" s="357">
        <f t="shared" si="273"/>
        <v>49140650</v>
      </c>
      <c r="O866" s="357">
        <f t="shared" si="273"/>
        <v>77063218</v>
      </c>
      <c r="P866" s="357">
        <f t="shared" si="273"/>
        <v>121261601</v>
      </c>
      <c r="Q866" s="357">
        <f t="shared" si="273"/>
        <v>146682209</v>
      </c>
      <c r="R866" s="357">
        <f t="shared" si="273"/>
        <v>1056630543</v>
      </c>
      <c r="S866" s="424"/>
    </row>
    <row r="868" spans="2:19" x14ac:dyDescent="0.2">
      <c r="B868" s="32" t="s">
        <v>1168</v>
      </c>
      <c r="F868" s="424"/>
      <c r="G868" s="424"/>
      <c r="H868" s="424"/>
      <c r="I868" s="424"/>
      <c r="J868" s="424"/>
      <c r="K868" s="424"/>
      <c r="L868" s="424"/>
      <c r="M868" s="424"/>
      <c r="N868" s="424"/>
      <c r="O868" s="424"/>
      <c r="P868" s="424"/>
      <c r="Q868" s="424"/>
      <c r="R868" s="424"/>
    </row>
    <row r="869" spans="2:19" x14ac:dyDescent="0.2">
      <c r="C869" s="343" t="s">
        <v>1143</v>
      </c>
      <c r="D869" s="32">
        <v>16</v>
      </c>
      <c r="F869" s="424">
        <f t="shared" ref="F869:R871" si="274">F840</f>
        <v>1026</v>
      </c>
      <c r="G869" s="424">
        <f t="shared" si="274"/>
        <v>1026</v>
      </c>
      <c r="H869" s="424">
        <f t="shared" si="274"/>
        <v>1026</v>
      </c>
      <c r="I869" s="424">
        <f t="shared" si="274"/>
        <v>1026</v>
      </c>
      <c r="J869" s="424">
        <f t="shared" si="274"/>
        <v>1025.9999999999998</v>
      </c>
      <c r="K869" s="424">
        <f t="shared" si="274"/>
        <v>1026</v>
      </c>
      <c r="L869" s="424">
        <f t="shared" si="274"/>
        <v>1007</v>
      </c>
      <c r="M869" s="424">
        <f t="shared" si="274"/>
        <v>1007</v>
      </c>
      <c r="N869" s="424">
        <f t="shared" si="274"/>
        <v>1007</v>
      </c>
      <c r="O869" s="424">
        <f t="shared" si="274"/>
        <v>1007</v>
      </c>
      <c r="P869" s="424">
        <f t="shared" si="274"/>
        <v>1007</v>
      </c>
      <c r="Q869" s="424">
        <f t="shared" si="274"/>
        <v>1007</v>
      </c>
      <c r="R869" s="424">
        <f t="shared" si="274"/>
        <v>12198</v>
      </c>
    </row>
    <row r="870" spans="2:19" x14ac:dyDescent="0.2">
      <c r="C870" s="343" t="s">
        <v>1143</v>
      </c>
      <c r="D870" s="32">
        <v>23</v>
      </c>
      <c r="F870" s="424">
        <f t="shared" si="274"/>
        <v>71187692</v>
      </c>
      <c r="G870" s="424">
        <f t="shared" si="274"/>
        <v>58357925</v>
      </c>
      <c r="H870" s="424">
        <f t="shared" si="274"/>
        <v>59215201</v>
      </c>
      <c r="I870" s="424">
        <f t="shared" si="274"/>
        <v>46508498</v>
      </c>
      <c r="J870" s="424">
        <f t="shared" si="274"/>
        <v>33382131</v>
      </c>
      <c r="K870" s="424">
        <f t="shared" si="274"/>
        <v>21957138</v>
      </c>
      <c r="L870" s="424">
        <f t="shared" si="274"/>
        <v>15080375</v>
      </c>
      <c r="M870" s="424">
        <f t="shared" si="274"/>
        <v>14189236</v>
      </c>
      <c r="N870" s="424">
        <f t="shared" si="274"/>
        <v>18121975</v>
      </c>
      <c r="O870" s="424">
        <f t="shared" si="274"/>
        <v>36524174</v>
      </c>
      <c r="P870" s="424">
        <f t="shared" si="274"/>
        <v>67472591</v>
      </c>
      <c r="Q870" s="424">
        <f t="shared" si="274"/>
        <v>84734325</v>
      </c>
      <c r="R870" s="424">
        <f t="shared" si="274"/>
        <v>526731261</v>
      </c>
    </row>
    <row r="871" spans="2:19" x14ac:dyDescent="0.2">
      <c r="C871" s="343" t="s">
        <v>374</v>
      </c>
      <c r="D871" s="32">
        <v>53</v>
      </c>
      <c r="F871" s="424">
        <f t="shared" si="274"/>
        <v>205</v>
      </c>
      <c r="G871" s="424">
        <f t="shared" si="274"/>
        <v>216</v>
      </c>
      <c r="H871" s="424">
        <f t="shared" si="274"/>
        <v>301</v>
      </c>
      <c r="I871" s="424">
        <f t="shared" si="274"/>
        <v>219</v>
      </c>
      <c r="J871" s="424">
        <f t="shared" si="274"/>
        <v>145</v>
      </c>
      <c r="K871" s="424">
        <f t="shared" si="274"/>
        <v>107</v>
      </c>
      <c r="L871" s="424">
        <f t="shared" si="274"/>
        <v>89</v>
      </c>
      <c r="M871" s="424">
        <f t="shared" si="274"/>
        <v>86</v>
      </c>
      <c r="N871" s="424">
        <f t="shared" si="274"/>
        <v>84</v>
      </c>
      <c r="O871" s="424">
        <f t="shared" si="274"/>
        <v>160</v>
      </c>
      <c r="P871" s="424">
        <f t="shared" si="274"/>
        <v>222</v>
      </c>
      <c r="Q871" s="424">
        <f t="shared" si="274"/>
        <v>280</v>
      </c>
      <c r="R871" s="424">
        <f t="shared" si="274"/>
        <v>2114</v>
      </c>
    </row>
    <row r="872" spans="2:19" x14ac:dyDescent="0.2">
      <c r="C872" s="346" t="s">
        <v>1144</v>
      </c>
      <c r="D872" s="32">
        <v>31</v>
      </c>
      <c r="F872" s="424">
        <f t="shared" ref="F872:R876" si="275">F843+F848</f>
        <v>24392932</v>
      </c>
      <c r="G872" s="424">
        <f t="shared" si="275"/>
        <v>19931255</v>
      </c>
      <c r="H872" s="424">
        <f t="shared" si="275"/>
        <v>20211538</v>
      </c>
      <c r="I872" s="424">
        <f t="shared" si="275"/>
        <v>16329252</v>
      </c>
      <c r="J872" s="424">
        <f t="shared" si="275"/>
        <v>12570728</v>
      </c>
      <c r="K872" s="424">
        <f t="shared" si="275"/>
        <v>9331850</v>
      </c>
      <c r="L872" s="424">
        <f t="shared" si="275"/>
        <v>7475132</v>
      </c>
      <c r="M872" s="424">
        <f t="shared" si="275"/>
        <v>7320540</v>
      </c>
      <c r="N872" s="424">
        <f t="shared" si="275"/>
        <v>8247220</v>
      </c>
      <c r="O872" s="424">
        <f t="shared" si="275"/>
        <v>13245022</v>
      </c>
      <c r="P872" s="424">
        <f t="shared" si="275"/>
        <v>22627683</v>
      </c>
      <c r="Q872" s="424">
        <f t="shared" si="275"/>
        <v>28797018</v>
      </c>
      <c r="R872" s="424">
        <f t="shared" si="275"/>
        <v>190480170</v>
      </c>
    </row>
    <row r="873" spans="2:19" x14ac:dyDescent="0.2">
      <c r="C873" s="343" t="s">
        <v>1145</v>
      </c>
      <c r="D873" s="32">
        <v>41</v>
      </c>
      <c r="F873" s="424">
        <f t="shared" si="275"/>
        <v>8004055</v>
      </c>
      <c r="G873" s="424">
        <f t="shared" si="275"/>
        <v>6981114</v>
      </c>
      <c r="H873" s="424">
        <f t="shared" si="275"/>
        <v>7496772</v>
      </c>
      <c r="I873" s="424">
        <f t="shared" si="275"/>
        <v>6595479</v>
      </c>
      <c r="J873" s="424">
        <f t="shared" si="275"/>
        <v>5896911</v>
      </c>
      <c r="K873" s="424">
        <f t="shared" si="275"/>
        <v>4768160</v>
      </c>
      <c r="L873" s="424">
        <f t="shared" si="275"/>
        <v>4092135</v>
      </c>
      <c r="M873" s="424">
        <f t="shared" si="275"/>
        <v>4076995</v>
      </c>
      <c r="N873" s="424">
        <f t="shared" si="275"/>
        <v>4343468</v>
      </c>
      <c r="O873" s="424">
        <f t="shared" si="275"/>
        <v>5745982</v>
      </c>
      <c r="P873" s="424">
        <f t="shared" si="275"/>
        <v>7473709</v>
      </c>
      <c r="Q873" s="424">
        <f t="shared" si="275"/>
        <v>8382801</v>
      </c>
      <c r="R873" s="424">
        <f t="shared" si="275"/>
        <v>73857581</v>
      </c>
    </row>
    <row r="874" spans="2:19" x14ac:dyDescent="0.2">
      <c r="C874" s="343" t="s">
        <v>1146</v>
      </c>
      <c r="D874" s="32">
        <v>85</v>
      </c>
      <c r="F874" s="424">
        <f t="shared" si="275"/>
        <v>1784553</v>
      </c>
      <c r="G874" s="424">
        <f t="shared" si="275"/>
        <v>1596347</v>
      </c>
      <c r="H874" s="424">
        <f t="shared" si="275"/>
        <v>1793352</v>
      </c>
      <c r="I874" s="424">
        <f t="shared" si="275"/>
        <v>1590057</v>
      </c>
      <c r="J874" s="424">
        <f t="shared" si="275"/>
        <v>1374596</v>
      </c>
      <c r="K874" s="424">
        <f t="shared" si="275"/>
        <v>1084754</v>
      </c>
      <c r="L874" s="424">
        <f t="shared" si="275"/>
        <v>930314</v>
      </c>
      <c r="M874" s="424">
        <f t="shared" si="275"/>
        <v>937178</v>
      </c>
      <c r="N874" s="424">
        <f t="shared" si="275"/>
        <v>991705</v>
      </c>
      <c r="O874" s="424">
        <f t="shared" si="275"/>
        <v>1325106</v>
      </c>
      <c r="P874" s="424">
        <f t="shared" si="275"/>
        <v>1708043</v>
      </c>
      <c r="Q874" s="424">
        <f t="shared" si="275"/>
        <v>1816904</v>
      </c>
      <c r="R874" s="424">
        <f t="shared" si="275"/>
        <v>16932909</v>
      </c>
    </row>
    <row r="875" spans="2:19" x14ac:dyDescent="0.2">
      <c r="C875" s="343" t="s">
        <v>1147</v>
      </c>
      <c r="D875" s="32">
        <v>86</v>
      </c>
      <c r="F875" s="424">
        <f t="shared" si="275"/>
        <v>1835284</v>
      </c>
      <c r="G875" s="424">
        <f t="shared" si="275"/>
        <v>1555852</v>
      </c>
      <c r="H875" s="424">
        <f t="shared" si="275"/>
        <v>1528926</v>
      </c>
      <c r="I875" s="424">
        <f t="shared" si="275"/>
        <v>1260571</v>
      </c>
      <c r="J875" s="424">
        <f t="shared" si="275"/>
        <v>1044926</v>
      </c>
      <c r="K875" s="424">
        <f t="shared" si="275"/>
        <v>710557</v>
      </c>
      <c r="L875" s="424">
        <f t="shared" si="275"/>
        <v>418367</v>
      </c>
      <c r="M875" s="424">
        <f t="shared" si="275"/>
        <v>369982</v>
      </c>
      <c r="N875" s="424">
        <f t="shared" si="275"/>
        <v>520339</v>
      </c>
      <c r="O875" s="424">
        <f t="shared" si="275"/>
        <v>957695</v>
      </c>
      <c r="P875" s="424">
        <f t="shared" si="275"/>
        <v>1547201</v>
      </c>
      <c r="Q875" s="424">
        <f t="shared" si="275"/>
        <v>1769673</v>
      </c>
      <c r="R875" s="424">
        <f t="shared" si="275"/>
        <v>13519373</v>
      </c>
    </row>
    <row r="876" spans="2:19" x14ac:dyDescent="0.2">
      <c r="C876" s="343" t="s">
        <v>1148</v>
      </c>
      <c r="D876" s="32">
        <v>87</v>
      </c>
      <c r="F876" s="424">
        <f t="shared" si="275"/>
        <v>3075914</v>
      </c>
      <c r="G876" s="424">
        <f t="shared" si="275"/>
        <v>2751924</v>
      </c>
      <c r="H876" s="424">
        <f t="shared" si="275"/>
        <v>2887967</v>
      </c>
      <c r="I876" s="424">
        <f t="shared" si="275"/>
        <v>2627462</v>
      </c>
      <c r="J876" s="424">
        <f t="shared" si="275"/>
        <v>2429120</v>
      </c>
      <c r="K876" s="424">
        <f t="shared" si="275"/>
        <v>2003548</v>
      </c>
      <c r="L876" s="424">
        <f t="shared" si="275"/>
        <v>1670626</v>
      </c>
      <c r="M876" s="424">
        <f t="shared" si="275"/>
        <v>1577331</v>
      </c>
      <c r="N876" s="424">
        <f t="shared" si="275"/>
        <v>1729769</v>
      </c>
      <c r="O876" s="424">
        <f t="shared" si="275"/>
        <v>2365081</v>
      </c>
      <c r="P876" s="424">
        <f t="shared" si="275"/>
        <v>3009524</v>
      </c>
      <c r="Q876" s="424">
        <f t="shared" si="275"/>
        <v>3392304</v>
      </c>
      <c r="R876" s="424">
        <f t="shared" si="275"/>
        <v>29520570</v>
      </c>
    </row>
    <row r="877" spans="2:19" x14ac:dyDescent="0.2">
      <c r="C877" s="32" t="s">
        <v>1149</v>
      </c>
      <c r="D877" s="444" t="s">
        <v>808</v>
      </c>
      <c r="F877" s="424">
        <f t="shared" ref="F877:R878" si="276">F856+F859</f>
        <v>409720</v>
      </c>
      <c r="G877" s="424">
        <f t="shared" si="276"/>
        <v>385261</v>
      </c>
      <c r="H877" s="424">
        <f t="shared" si="276"/>
        <v>445763</v>
      </c>
      <c r="I877" s="424">
        <f t="shared" si="276"/>
        <v>426011</v>
      </c>
      <c r="J877" s="424">
        <f t="shared" si="276"/>
        <v>390935</v>
      </c>
      <c r="K877" s="424">
        <f t="shared" si="276"/>
        <v>399520</v>
      </c>
      <c r="L877" s="424">
        <f t="shared" si="276"/>
        <v>502107</v>
      </c>
      <c r="M877" s="424">
        <f t="shared" si="276"/>
        <v>505414</v>
      </c>
      <c r="N877" s="424">
        <f t="shared" si="276"/>
        <v>524779</v>
      </c>
      <c r="O877" s="424">
        <f t="shared" si="276"/>
        <v>566546</v>
      </c>
      <c r="P877" s="424">
        <f t="shared" si="276"/>
        <v>707553</v>
      </c>
      <c r="Q877" s="424">
        <f t="shared" si="276"/>
        <v>813242</v>
      </c>
      <c r="R877" s="424">
        <f t="shared" si="276"/>
        <v>6076851</v>
      </c>
    </row>
    <row r="878" spans="2:19" x14ac:dyDescent="0.2">
      <c r="C878" s="32" t="s">
        <v>1150</v>
      </c>
      <c r="D878" s="444" t="s">
        <v>809</v>
      </c>
      <c r="F878" s="424">
        <f t="shared" si="276"/>
        <v>5319906</v>
      </c>
      <c r="G878" s="424">
        <f t="shared" si="276"/>
        <v>5063125</v>
      </c>
      <c r="H878" s="424">
        <f t="shared" si="276"/>
        <v>5777912</v>
      </c>
      <c r="I878" s="424">
        <f t="shared" si="276"/>
        <v>5494717</v>
      </c>
      <c r="J878" s="424">
        <f t="shared" si="276"/>
        <v>5461310</v>
      </c>
      <c r="K878" s="424">
        <f t="shared" si="276"/>
        <v>5754850</v>
      </c>
      <c r="L878" s="424">
        <f t="shared" si="276"/>
        <v>5229565</v>
      </c>
      <c r="M878" s="424">
        <f t="shared" si="276"/>
        <v>5396514</v>
      </c>
      <c r="N878" s="424">
        <f t="shared" si="276"/>
        <v>5129610</v>
      </c>
      <c r="O878" s="424">
        <f t="shared" si="276"/>
        <v>5583091</v>
      </c>
      <c r="P878" s="424">
        <f t="shared" si="276"/>
        <v>5594102</v>
      </c>
      <c r="Q878" s="424">
        <f t="shared" si="276"/>
        <v>5438885</v>
      </c>
      <c r="R878" s="424">
        <f t="shared" si="276"/>
        <v>65243587</v>
      </c>
    </row>
    <row r="879" spans="2:19" x14ac:dyDescent="0.2">
      <c r="C879" s="32" t="s">
        <v>1151</v>
      </c>
      <c r="D879" s="444" t="s">
        <v>810</v>
      </c>
      <c r="F879" s="424">
        <f>F861</f>
        <v>0</v>
      </c>
      <c r="G879" s="424">
        <f t="shared" ref="G879:R879" si="277">G861</f>
        <v>0</v>
      </c>
      <c r="H879" s="424">
        <f t="shared" si="277"/>
        <v>0</v>
      </c>
      <c r="I879" s="424">
        <f t="shared" si="277"/>
        <v>0</v>
      </c>
      <c r="J879" s="424">
        <f t="shared" si="277"/>
        <v>0</v>
      </c>
      <c r="K879" s="424">
        <f t="shared" si="277"/>
        <v>0</v>
      </c>
      <c r="L879" s="424">
        <f t="shared" si="277"/>
        <v>0</v>
      </c>
      <c r="M879" s="424">
        <f t="shared" si="277"/>
        <v>2158</v>
      </c>
      <c r="N879" s="424">
        <f t="shared" si="277"/>
        <v>9063</v>
      </c>
      <c r="O879" s="424">
        <f t="shared" si="277"/>
        <v>8098</v>
      </c>
      <c r="P879" s="424">
        <f t="shared" si="277"/>
        <v>963</v>
      </c>
      <c r="Q879" s="424">
        <f t="shared" si="277"/>
        <v>197</v>
      </c>
      <c r="R879" s="424">
        <f t="shared" si="277"/>
        <v>20479</v>
      </c>
    </row>
    <row r="880" spans="2:19" x14ac:dyDescent="0.2">
      <c r="C880" s="32" t="s">
        <v>1152</v>
      </c>
      <c r="D880" s="444" t="s">
        <v>811</v>
      </c>
      <c r="F880" s="424">
        <f t="shared" ref="F880:R880" si="278">F858+F862</f>
        <v>9216640</v>
      </c>
      <c r="G880" s="424">
        <f t="shared" si="278"/>
        <v>7466022</v>
      </c>
      <c r="H880" s="424">
        <f t="shared" si="278"/>
        <v>8738093</v>
      </c>
      <c r="I880" s="424">
        <f t="shared" si="278"/>
        <v>8537108</v>
      </c>
      <c r="J880" s="424">
        <f t="shared" si="278"/>
        <v>9514268</v>
      </c>
      <c r="K880" s="424">
        <f t="shared" si="278"/>
        <v>8005470</v>
      </c>
      <c r="L880" s="424">
        <f t="shared" si="278"/>
        <v>8496772</v>
      </c>
      <c r="M880" s="424">
        <f t="shared" si="278"/>
        <v>8613339</v>
      </c>
      <c r="N880" s="424">
        <f t="shared" si="278"/>
        <v>7542224</v>
      </c>
      <c r="O880" s="424">
        <f t="shared" si="278"/>
        <v>7953879</v>
      </c>
      <c r="P880" s="424">
        <f t="shared" si="278"/>
        <v>7276967</v>
      </c>
      <c r="Q880" s="424">
        <f t="shared" si="278"/>
        <v>7664029</v>
      </c>
      <c r="R880" s="424">
        <f t="shared" si="278"/>
        <v>99024811</v>
      </c>
    </row>
    <row r="881" spans="2:19" x14ac:dyDescent="0.2">
      <c r="C881" s="343" t="s">
        <v>844</v>
      </c>
      <c r="F881" s="424">
        <f t="shared" ref="F881:R881" si="279">F863</f>
        <v>3517110</v>
      </c>
      <c r="G881" s="424">
        <f t="shared" si="279"/>
        <v>3347997</v>
      </c>
      <c r="H881" s="424">
        <f t="shared" si="279"/>
        <v>3654461</v>
      </c>
      <c r="I881" s="424">
        <f t="shared" si="279"/>
        <v>3238199</v>
      </c>
      <c r="J881" s="424">
        <f t="shared" si="279"/>
        <v>2805705</v>
      </c>
      <c r="K881" s="424">
        <f t="shared" si="279"/>
        <v>2216168</v>
      </c>
      <c r="L881" s="424">
        <f t="shared" si="279"/>
        <v>2006793</v>
      </c>
      <c r="M881" s="424">
        <f t="shared" si="279"/>
        <v>1941842</v>
      </c>
      <c r="N881" s="424">
        <f t="shared" si="279"/>
        <v>1979407</v>
      </c>
      <c r="O881" s="424">
        <f t="shared" si="279"/>
        <v>2787377</v>
      </c>
      <c r="P881" s="424">
        <f t="shared" si="279"/>
        <v>3842036</v>
      </c>
      <c r="Q881" s="424">
        <f t="shared" si="279"/>
        <v>3871544</v>
      </c>
      <c r="R881" s="424">
        <f t="shared" si="279"/>
        <v>35208639</v>
      </c>
    </row>
    <row r="882" spans="2:19" x14ac:dyDescent="0.2">
      <c r="C882" s="32" t="s">
        <v>1167</v>
      </c>
      <c r="F882" s="357">
        <f t="shared" ref="F882:R882" si="280">SUM(F869:F881)</f>
        <v>128745037</v>
      </c>
      <c r="G882" s="357">
        <f t="shared" si="280"/>
        <v>107438064</v>
      </c>
      <c r="H882" s="357">
        <f t="shared" si="280"/>
        <v>111751312</v>
      </c>
      <c r="I882" s="357">
        <f t="shared" si="280"/>
        <v>92608599</v>
      </c>
      <c r="J882" s="357">
        <f t="shared" si="280"/>
        <v>74871801</v>
      </c>
      <c r="K882" s="357">
        <f t="shared" si="280"/>
        <v>56233148</v>
      </c>
      <c r="L882" s="357">
        <f t="shared" si="280"/>
        <v>45903282</v>
      </c>
      <c r="M882" s="357">
        <f t="shared" si="280"/>
        <v>44931622</v>
      </c>
      <c r="N882" s="357">
        <f t="shared" si="280"/>
        <v>49140650</v>
      </c>
      <c r="O882" s="357">
        <f t="shared" si="280"/>
        <v>77063218</v>
      </c>
      <c r="P882" s="357">
        <f t="shared" si="280"/>
        <v>121261601</v>
      </c>
      <c r="Q882" s="357">
        <f t="shared" si="280"/>
        <v>146682209</v>
      </c>
      <c r="R882" s="357">
        <f t="shared" si="280"/>
        <v>1056630543</v>
      </c>
    </row>
    <row r="883" spans="2:19" x14ac:dyDescent="0.2">
      <c r="C883" s="32" t="s">
        <v>131</v>
      </c>
      <c r="F883" s="279">
        <f t="shared" ref="F883:R883" si="281">F866-F882</f>
        <v>0</v>
      </c>
      <c r="G883" s="279">
        <f t="shared" si="281"/>
        <v>0</v>
      </c>
      <c r="H883" s="279">
        <f t="shared" si="281"/>
        <v>0</v>
      </c>
      <c r="I883" s="279">
        <f t="shared" si="281"/>
        <v>0</v>
      </c>
      <c r="J883" s="279">
        <f t="shared" si="281"/>
        <v>0</v>
      </c>
      <c r="K883" s="279">
        <f t="shared" si="281"/>
        <v>0</v>
      </c>
      <c r="L883" s="279">
        <f t="shared" si="281"/>
        <v>0</v>
      </c>
      <c r="M883" s="279">
        <f t="shared" si="281"/>
        <v>0</v>
      </c>
      <c r="N883" s="279">
        <f t="shared" si="281"/>
        <v>0</v>
      </c>
      <c r="O883" s="279">
        <f t="shared" si="281"/>
        <v>0</v>
      </c>
      <c r="P883" s="279">
        <f t="shared" si="281"/>
        <v>0</v>
      </c>
      <c r="Q883" s="279">
        <f t="shared" si="281"/>
        <v>0</v>
      </c>
      <c r="R883" s="279">
        <f t="shared" si="281"/>
        <v>0</v>
      </c>
    </row>
    <row r="885" spans="2:19" x14ac:dyDescent="0.2">
      <c r="B885" s="32" t="s">
        <v>1169</v>
      </c>
    </row>
    <row r="886" spans="2:19" x14ac:dyDescent="0.2">
      <c r="C886" s="32" t="s">
        <v>1170</v>
      </c>
      <c r="D886" s="32">
        <v>61</v>
      </c>
      <c r="F886" s="279">
        <f>F67</f>
        <v>4027</v>
      </c>
      <c r="G886" s="279">
        <f t="shared" ref="G886:Q886" si="282">G67</f>
        <v>4027</v>
      </c>
      <c r="H886" s="279">
        <f t="shared" si="282"/>
        <v>4027</v>
      </c>
      <c r="I886" s="279">
        <f t="shared" si="282"/>
        <v>4027</v>
      </c>
      <c r="J886" s="279">
        <f t="shared" si="282"/>
        <v>4027</v>
      </c>
      <c r="K886" s="279">
        <f t="shared" si="282"/>
        <v>4027</v>
      </c>
      <c r="L886" s="279">
        <f t="shared" si="282"/>
        <v>4027</v>
      </c>
      <c r="M886" s="279">
        <f t="shared" si="282"/>
        <v>4027</v>
      </c>
      <c r="N886" s="279">
        <f t="shared" si="282"/>
        <v>4027</v>
      </c>
      <c r="O886" s="279">
        <f t="shared" si="282"/>
        <v>4027</v>
      </c>
      <c r="P886" s="279">
        <f t="shared" si="282"/>
        <v>4027</v>
      </c>
      <c r="Q886" s="279">
        <f t="shared" si="282"/>
        <v>4027</v>
      </c>
      <c r="R886" s="279">
        <f>SUM(F886:Q886)</f>
        <v>48324</v>
      </c>
    </row>
    <row r="887" spans="2:19" x14ac:dyDescent="0.2">
      <c r="C887" s="32" t="s">
        <v>1171</v>
      </c>
      <c r="D887" s="32">
        <v>61</v>
      </c>
      <c r="F887" s="279">
        <f>F253</f>
        <v>88936</v>
      </c>
      <c r="G887" s="279">
        <f t="shared" ref="G887:Q887" si="283">G253</f>
        <v>88936</v>
      </c>
      <c r="H887" s="279">
        <f t="shared" si="283"/>
        <v>89191</v>
      </c>
      <c r="I887" s="279">
        <f t="shared" si="283"/>
        <v>88936</v>
      </c>
      <c r="J887" s="279">
        <f t="shared" si="283"/>
        <v>91309</v>
      </c>
      <c r="K887" s="279">
        <f t="shared" si="283"/>
        <v>90116</v>
      </c>
      <c r="L887" s="279">
        <f t="shared" si="283"/>
        <v>92111</v>
      </c>
      <c r="M887" s="279">
        <f t="shared" si="283"/>
        <v>93269</v>
      </c>
      <c r="N887" s="279">
        <f t="shared" si="283"/>
        <v>92656</v>
      </c>
      <c r="O887" s="279">
        <f t="shared" si="283"/>
        <v>92656</v>
      </c>
      <c r="P887" s="279">
        <f t="shared" si="283"/>
        <v>92656</v>
      </c>
      <c r="Q887" s="279">
        <f t="shared" si="283"/>
        <v>92656</v>
      </c>
      <c r="R887" s="279">
        <f>SUM(F887:Q887)</f>
        <v>1093428</v>
      </c>
    </row>
    <row r="888" spans="2:19" x14ac:dyDescent="0.2">
      <c r="C888" s="32" t="s">
        <v>1172</v>
      </c>
      <c r="D888" s="32">
        <v>61</v>
      </c>
      <c r="F888" s="279">
        <f>F613</f>
        <v>947</v>
      </c>
      <c r="G888" s="279">
        <f t="shared" ref="G888:Q888" si="284">G613</f>
        <v>947</v>
      </c>
      <c r="H888" s="279">
        <f t="shared" si="284"/>
        <v>947</v>
      </c>
      <c r="I888" s="279">
        <f t="shared" si="284"/>
        <v>947</v>
      </c>
      <c r="J888" s="279">
        <f t="shared" si="284"/>
        <v>947</v>
      </c>
      <c r="K888" s="279">
        <f t="shared" si="284"/>
        <v>947</v>
      </c>
      <c r="L888" s="279">
        <f t="shared" si="284"/>
        <v>947</v>
      </c>
      <c r="M888" s="279">
        <f t="shared" si="284"/>
        <v>947</v>
      </c>
      <c r="N888" s="279">
        <f t="shared" si="284"/>
        <v>947</v>
      </c>
      <c r="O888" s="279">
        <f t="shared" si="284"/>
        <v>947</v>
      </c>
      <c r="P888" s="279">
        <f t="shared" si="284"/>
        <v>947</v>
      </c>
      <c r="Q888" s="279">
        <f t="shared" si="284"/>
        <v>947</v>
      </c>
      <c r="R888" s="279">
        <f>SUM(F888:Q888)</f>
        <v>11364</v>
      </c>
    </row>
    <row r="889" spans="2:19" x14ac:dyDescent="0.2">
      <c r="C889" s="32" t="s">
        <v>1124</v>
      </c>
      <c r="D889" s="32">
        <v>41</v>
      </c>
      <c r="F889" s="279">
        <f t="shared" ref="F889:Q889" si="285">F112</f>
        <v>345023.82</v>
      </c>
      <c r="G889" s="279">
        <f t="shared" si="285"/>
        <v>345483.82</v>
      </c>
      <c r="H889" s="279">
        <f t="shared" si="285"/>
        <v>343434.82</v>
      </c>
      <c r="I889" s="279">
        <f t="shared" si="285"/>
        <v>344454.82999999996</v>
      </c>
      <c r="J889" s="279">
        <f t="shared" si="285"/>
        <v>343545.81999999995</v>
      </c>
      <c r="K889" s="279">
        <f t="shared" si="285"/>
        <v>347633.82000000007</v>
      </c>
      <c r="L889" s="279">
        <f t="shared" si="285"/>
        <v>349911.64</v>
      </c>
      <c r="M889" s="279">
        <f t="shared" si="285"/>
        <v>346640</v>
      </c>
      <c r="N889" s="279">
        <f t="shared" si="285"/>
        <v>346444</v>
      </c>
      <c r="O889" s="279">
        <f t="shared" si="285"/>
        <v>339453</v>
      </c>
      <c r="P889" s="279">
        <f t="shared" si="285"/>
        <v>337940</v>
      </c>
      <c r="Q889" s="279">
        <f t="shared" si="285"/>
        <v>335944</v>
      </c>
      <c r="R889" s="279">
        <f t="shared" ref="R889:R904" si="286">SUM(F889:Q889)</f>
        <v>4125909.57</v>
      </c>
      <c r="S889" s="507"/>
    </row>
    <row r="890" spans="2:19" x14ac:dyDescent="0.2">
      <c r="C890" s="32" t="s">
        <v>1125</v>
      </c>
      <c r="D890" s="444" t="s">
        <v>808</v>
      </c>
      <c r="F890" s="279">
        <f t="shared" ref="F890:Q890" si="287">F151</f>
        <v>6680</v>
      </c>
      <c r="G890" s="279">
        <f t="shared" si="287"/>
        <v>6680</v>
      </c>
      <c r="H890" s="279">
        <f t="shared" si="287"/>
        <v>6680</v>
      </c>
      <c r="I890" s="279">
        <f t="shared" si="287"/>
        <v>6680</v>
      </c>
      <c r="J890" s="279">
        <f t="shared" si="287"/>
        <v>6679.9999999999991</v>
      </c>
      <c r="K890" s="279">
        <f t="shared" si="287"/>
        <v>6680</v>
      </c>
      <c r="L890" s="279">
        <f t="shared" si="287"/>
        <v>5996</v>
      </c>
      <c r="M890" s="279">
        <f t="shared" si="287"/>
        <v>5996</v>
      </c>
      <c r="N890" s="279">
        <f t="shared" si="287"/>
        <v>5996</v>
      </c>
      <c r="O890" s="279">
        <f t="shared" si="287"/>
        <v>8026</v>
      </c>
      <c r="P890" s="279">
        <f t="shared" si="287"/>
        <v>8026</v>
      </c>
      <c r="Q890" s="279">
        <f t="shared" si="287"/>
        <v>12103</v>
      </c>
      <c r="R890" s="279">
        <f t="shared" si="286"/>
        <v>86223</v>
      </c>
      <c r="S890" s="507"/>
    </row>
    <row r="891" spans="2:19" x14ac:dyDescent="0.2">
      <c r="C891" s="32" t="s">
        <v>1126</v>
      </c>
      <c r="D891" s="444" t="s">
        <v>809</v>
      </c>
      <c r="F891" s="279">
        <f t="shared" ref="F891:Q891" si="288">F187</f>
        <v>22456</v>
      </c>
      <c r="G891" s="279">
        <f t="shared" si="288"/>
        <v>24856</v>
      </c>
      <c r="H891" s="279">
        <f t="shared" si="288"/>
        <v>23656</v>
      </c>
      <c r="I891" s="279">
        <f t="shared" si="288"/>
        <v>23656</v>
      </c>
      <c r="J891" s="279">
        <f t="shared" si="288"/>
        <v>23656</v>
      </c>
      <c r="K891" s="279">
        <f t="shared" si="288"/>
        <v>23656</v>
      </c>
      <c r="L891" s="279">
        <f t="shared" si="288"/>
        <v>23656</v>
      </c>
      <c r="M891" s="279">
        <f t="shared" si="288"/>
        <v>23656</v>
      </c>
      <c r="N891" s="279">
        <f t="shared" si="288"/>
        <v>23656</v>
      </c>
      <c r="O891" s="279">
        <f t="shared" si="288"/>
        <v>21156</v>
      </c>
      <c r="P891" s="279">
        <f t="shared" si="288"/>
        <v>19656</v>
      </c>
      <c r="Q891" s="279">
        <f t="shared" si="288"/>
        <v>19356</v>
      </c>
      <c r="R891" s="279">
        <f t="shared" si="286"/>
        <v>273072</v>
      </c>
      <c r="S891" s="507"/>
    </row>
    <row r="892" spans="2:19" x14ac:dyDescent="0.2">
      <c r="C892" s="32" t="s">
        <v>1127</v>
      </c>
      <c r="D892" s="444" t="s">
        <v>811</v>
      </c>
      <c r="F892" s="279">
        <f t="shared" ref="F892:Q892" si="289">F228</f>
        <v>2</v>
      </c>
      <c r="G892" s="279">
        <f t="shared" si="289"/>
        <v>2</v>
      </c>
      <c r="H892" s="279">
        <f t="shared" si="289"/>
        <v>2</v>
      </c>
      <c r="I892" s="279">
        <f t="shared" si="289"/>
        <v>2</v>
      </c>
      <c r="J892" s="279">
        <f t="shared" si="289"/>
        <v>2</v>
      </c>
      <c r="K892" s="279">
        <f t="shared" si="289"/>
        <v>2</v>
      </c>
      <c r="L892" s="279">
        <f t="shared" si="289"/>
        <v>2</v>
      </c>
      <c r="M892" s="279">
        <f t="shared" si="289"/>
        <v>2</v>
      </c>
      <c r="N892" s="279">
        <f t="shared" si="289"/>
        <v>2</v>
      </c>
      <c r="O892" s="279">
        <f t="shared" si="289"/>
        <v>2</v>
      </c>
      <c r="P892" s="279">
        <f t="shared" si="289"/>
        <v>2</v>
      </c>
      <c r="Q892" s="279">
        <f t="shared" si="289"/>
        <v>2</v>
      </c>
      <c r="R892" s="279">
        <f t="shared" si="286"/>
        <v>24</v>
      </c>
      <c r="S892" s="507"/>
    </row>
    <row r="893" spans="2:19" x14ac:dyDescent="0.2">
      <c r="C893" s="32" t="s">
        <v>1128</v>
      </c>
      <c r="D893" s="32">
        <v>85</v>
      </c>
      <c r="F893" s="279">
        <f t="shared" ref="F893:Q893" si="290">F282</f>
        <v>7593</v>
      </c>
      <c r="G893" s="279">
        <f t="shared" si="290"/>
        <v>7593</v>
      </c>
      <c r="H893" s="279">
        <f t="shared" si="290"/>
        <v>7593</v>
      </c>
      <c r="I893" s="279">
        <f t="shared" si="290"/>
        <v>7593</v>
      </c>
      <c r="J893" s="279">
        <f t="shared" si="290"/>
        <v>7593</v>
      </c>
      <c r="K893" s="279">
        <f t="shared" si="290"/>
        <v>7593</v>
      </c>
      <c r="L893" s="279">
        <f t="shared" si="290"/>
        <v>7593</v>
      </c>
      <c r="M893" s="279">
        <f t="shared" si="290"/>
        <v>7661</v>
      </c>
      <c r="N893" s="279">
        <f t="shared" si="290"/>
        <v>7593</v>
      </c>
      <c r="O893" s="279">
        <f t="shared" si="290"/>
        <v>7593</v>
      </c>
      <c r="P893" s="279">
        <f t="shared" si="290"/>
        <v>7593</v>
      </c>
      <c r="Q893" s="279">
        <f t="shared" si="290"/>
        <v>7593</v>
      </c>
      <c r="R893" s="279">
        <f t="shared" si="286"/>
        <v>91184</v>
      </c>
      <c r="S893" s="507"/>
    </row>
    <row r="894" spans="2:19" x14ac:dyDescent="0.2">
      <c r="C894" s="32" t="s">
        <v>1129</v>
      </c>
      <c r="D894" s="32">
        <v>86</v>
      </c>
      <c r="F894" s="279">
        <f t="shared" ref="F894:Q894" si="291">F325</f>
        <v>9510</v>
      </c>
      <c r="G894" s="279">
        <f t="shared" si="291"/>
        <v>9429</v>
      </c>
      <c r="H894" s="279">
        <f t="shared" si="291"/>
        <v>9258</v>
      </c>
      <c r="I894" s="279">
        <f t="shared" si="291"/>
        <v>9188</v>
      </c>
      <c r="J894" s="279">
        <f t="shared" si="291"/>
        <v>9260</v>
      </c>
      <c r="K894" s="279">
        <f t="shared" si="291"/>
        <v>9258</v>
      </c>
      <c r="L894" s="279">
        <f t="shared" si="291"/>
        <v>9136</v>
      </c>
      <c r="M894" s="279">
        <f t="shared" si="291"/>
        <v>8867</v>
      </c>
      <c r="N894" s="279">
        <f t="shared" si="291"/>
        <v>8570</v>
      </c>
      <c r="O894" s="279">
        <f t="shared" si="291"/>
        <v>8457</v>
      </c>
      <c r="P894" s="279">
        <f t="shared" si="291"/>
        <v>8504</v>
      </c>
      <c r="Q894" s="279">
        <f t="shared" si="291"/>
        <v>8244</v>
      </c>
      <c r="R894" s="279">
        <f t="shared" si="286"/>
        <v>107681</v>
      </c>
      <c r="S894" s="507"/>
    </row>
    <row r="895" spans="2:19" x14ac:dyDescent="0.2">
      <c r="C895" s="32" t="s">
        <v>1130</v>
      </c>
      <c r="D895" s="32">
        <v>87</v>
      </c>
      <c r="F895" s="279">
        <f t="shared" ref="F895:Q895" si="292">F375</f>
        <v>532</v>
      </c>
      <c r="G895" s="279">
        <f t="shared" si="292"/>
        <v>532</v>
      </c>
      <c r="H895" s="279">
        <f t="shared" si="292"/>
        <v>532</v>
      </c>
      <c r="I895" s="279">
        <f t="shared" si="292"/>
        <v>532</v>
      </c>
      <c r="J895" s="279">
        <f t="shared" si="292"/>
        <v>532</v>
      </c>
      <c r="K895" s="279">
        <f t="shared" si="292"/>
        <v>532</v>
      </c>
      <c r="L895" s="279">
        <f t="shared" si="292"/>
        <v>532</v>
      </c>
      <c r="M895" s="279">
        <f t="shared" si="292"/>
        <v>532</v>
      </c>
      <c r="N895" s="279">
        <f t="shared" si="292"/>
        <v>532</v>
      </c>
      <c r="O895" s="279">
        <f t="shared" si="292"/>
        <v>532</v>
      </c>
      <c r="P895" s="279">
        <f t="shared" si="292"/>
        <v>532</v>
      </c>
      <c r="Q895" s="279">
        <f t="shared" si="292"/>
        <v>532</v>
      </c>
      <c r="R895" s="279">
        <f t="shared" si="286"/>
        <v>6384</v>
      </c>
      <c r="S895" s="507"/>
    </row>
    <row r="896" spans="2:19" x14ac:dyDescent="0.2">
      <c r="C896" s="32" t="s">
        <v>1145</v>
      </c>
      <c r="D896" s="32">
        <v>41</v>
      </c>
      <c r="F896" s="279">
        <f t="shared" ref="F896:Q896" si="293">F440</f>
        <v>57110.51</v>
      </c>
      <c r="G896" s="279">
        <f t="shared" si="293"/>
        <v>57496.51</v>
      </c>
      <c r="H896" s="279">
        <f t="shared" si="293"/>
        <v>58536.51</v>
      </c>
      <c r="I896" s="279">
        <f t="shared" si="293"/>
        <v>58147.519999999997</v>
      </c>
      <c r="J896" s="279">
        <f t="shared" si="293"/>
        <v>58460.499999999993</v>
      </c>
      <c r="K896" s="279">
        <f t="shared" si="293"/>
        <v>58908.51</v>
      </c>
      <c r="L896" s="279">
        <f t="shared" si="293"/>
        <v>57873</v>
      </c>
      <c r="M896" s="279">
        <f t="shared" si="293"/>
        <v>57441</v>
      </c>
      <c r="N896" s="279">
        <f t="shared" si="293"/>
        <v>57931</v>
      </c>
      <c r="O896" s="279">
        <f t="shared" si="293"/>
        <v>57777</v>
      </c>
      <c r="P896" s="279">
        <f t="shared" si="293"/>
        <v>57723</v>
      </c>
      <c r="Q896" s="279">
        <f t="shared" si="293"/>
        <v>57689</v>
      </c>
      <c r="R896" s="279">
        <f t="shared" si="286"/>
        <v>695094.06</v>
      </c>
      <c r="S896" s="507"/>
    </row>
    <row r="897" spans="2:19" x14ac:dyDescent="0.2">
      <c r="C897" s="32" t="s">
        <v>1133</v>
      </c>
      <c r="D897" s="444" t="s">
        <v>808</v>
      </c>
      <c r="F897" s="279">
        <f t="shared" ref="F897:Q897" si="294">F479</f>
        <v>16443</v>
      </c>
      <c r="G897" s="279">
        <f t="shared" si="294"/>
        <v>16443</v>
      </c>
      <c r="H897" s="279">
        <f t="shared" si="294"/>
        <v>14103</v>
      </c>
      <c r="I897" s="279">
        <f t="shared" si="294"/>
        <v>14103</v>
      </c>
      <c r="J897" s="279">
        <f t="shared" si="294"/>
        <v>14103.000000000002</v>
      </c>
      <c r="K897" s="279">
        <f t="shared" si="294"/>
        <v>14103</v>
      </c>
      <c r="L897" s="279">
        <f t="shared" si="294"/>
        <v>18197</v>
      </c>
      <c r="M897" s="279">
        <f t="shared" si="294"/>
        <v>18309</v>
      </c>
      <c r="N897" s="279">
        <f t="shared" si="294"/>
        <v>18309</v>
      </c>
      <c r="O897" s="279">
        <f t="shared" si="294"/>
        <v>18309</v>
      </c>
      <c r="P897" s="279">
        <f t="shared" si="294"/>
        <v>20237</v>
      </c>
      <c r="Q897" s="279">
        <f t="shared" si="294"/>
        <v>20237</v>
      </c>
      <c r="R897" s="279">
        <f t="shared" si="286"/>
        <v>202896</v>
      </c>
      <c r="S897" s="507"/>
    </row>
    <row r="898" spans="2:19" x14ac:dyDescent="0.2">
      <c r="C898" s="32" t="s">
        <v>1134</v>
      </c>
      <c r="D898" s="444" t="s">
        <v>809</v>
      </c>
      <c r="F898" s="279">
        <f t="shared" ref="F898:Q898" si="295">F515</f>
        <v>41254</v>
      </c>
      <c r="G898" s="279">
        <f t="shared" si="295"/>
        <v>38204</v>
      </c>
      <c r="H898" s="279">
        <f t="shared" si="295"/>
        <v>38204</v>
      </c>
      <c r="I898" s="279">
        <f t="shared" si="295"/>
        <v>38204</v>
      </c>
      <c r="J898" s="279">
        <f t="shared" si="295"/>
        <v>35704</v>
      </c>
      <c r="K898" s="279">
        <f t="shared" si="295"/>
        <v>35704</v>
      </c>
      <c r="L898" s="279">
        <f t="shared" si="295"/>
        <v>35704</v>
      </c>
      <c r="M898" s="279">
        <f t="shared" si="295"/>
        <v>35584</v>
      </c>
      <c r="N898" s="279">
        <f t="shared" si="295"/>
        <v>35584</v>
      </c>
      <c r="O898" s="279">
        <f t="shared" si="295"/>
        <v>35584</v>
      </c>
      <c r="P898" s="279">
        <f t="shared" si="295"/>
        <v>35584</v>
      </c>
      <c r="Q898" s="279">
        <f t="shared" si="295"/>
        <v>35601</v>
      </c>
      <c r="R898" s="279">
        <f t="shared" si="286"/>
        <v>440915</v>
      </c>
      <c r="S898" s="507"/>
    </row>
    <row r="899" spans="2:19" x14ac:dyDescent="0.2">
      <c r="C899" s="32" t="s">
        <v>1163</v>
      </c>
      <c r="D899" s="444" t="s">
        <v>810</v>
      </c>
      <c r="F899" s="279">
        <f>F548</f>
        <v>0</v>
      </c>
      <c r="G899" s="279">
        <f t="shared" ref="G899:Q899" si="296">G548</f>
        <v>0</v>
      </c>
      <c r="H899" s="279">
        <f t="shared" si="296"/>
        <v>0</v>
      </c>
      <c r="I899" s="279">
        <f t="shared" si="296"/>
        <v>0</v>
      </c>
      <c r="J899" s="279">
        <f t="shared" si="296"/>
        <v>0</v>
      </c>
      <c r="K899" s="279">
        <f t="shared" si="296"/>
        <v>0</v>
      </c>
      <c r="L899" s="279">
        <f t="shared" si="296"/>
        <v>0</v>
      </c>
      <c r="M899" s="279">
        <f t="shared" si="296"/>
        <v>0</v>
      </c>
      <c r="N899" s="279">
        <f t="shared" si="296"/>
        <v>0</v>
      </c>
      <c r="O899" s="279">
        <f t="shared" si="296"/>
        <v>0</v>
      </c>
      <c r="P899" s="279">
        <f t="shared" si="296"/>
        <v>0</v>
      </c>
      <c r="Q899" s="279">
        <f t="shared" si="296"/>
        <v>0</v>
      </c>
      <c r="R899" s="279">
        <f t="shared" si="286"/>
        <v>0</v>
      </c>
      <c r="S899" s="507"/>
    </row>
    <row r="900" spans="2:19" x14ac:dyDescent="0.2">
      <c r="C900" s="32" t="s">
        <v>1136</v>
      </c>
      <c r="D900" s="444" t="s">
        <v>811</v>
      </c>
      <c r="F900" s="279">
        <f t="shared" ref="F900:Q900" si="297">F588</f>
        <v>37739</v>
      </c>
      <c r="G900" s="279">
        <f t="shared" si="297"/>
        <v>37739</v>
      </c>
      <c r="H900" s="279">
        <f t="shared" si="297"/>
        <v>37739</v>
      </c>
      <c r="I900" s="279">
        <f t="shared" si="297"/>
        <v>37739</v>
      </c>
      <c r="J900" s="279">
        <f t="shared" si="297"/>
        <v>37739</v>
      </c>
      <c r="K900" s="279">
        <f t="shared" si="297"/>
        <v>37739</v>
      </c>
      <c r="L900" s="279">
        <f t="shared" si="297"/>
        <v>37739</v>
      </c>
      <c r="M900" s="279">
        <f t="shared" si="297"/>
        <v>37739</v>
      </c>
      <c r="N900" s="279">
        <f t="shared" si="297"/>
        <v>37739</v>
      </c>
      <c r="O900" s="279">
        <f t="shared" si="297"/>
        <v>37739</v>
      </c>
      <c r="P900" s="279">
        <f t="shared" si="297"/>
        <v>37739</v>
      </c>
      <c r="Q900" s="279">
        <f t="shared" si="297"/>
        <v>37722</v>
      </c>
      <c r="R900" s="279">
        <f t="shared" si="286"/>
        <v>452851</v>
      </c>
      <c r="S900" s="507"/>
    </row>
    <row r="901" spans="2:19" x14ac:dyDescent="0.2">
      <c r="C901" s="32" t="s">
        <v>1137</v>
      </c>
      <c r="D901" s="32">
        <v>85</v>
      </c>
      <c r="F901" s="279">
        <f t="shared" ref="F901:Q901" si="298">F641</f>
        <v>2443</v>
      </c>
      <c r="G901" s="279">
        <f t="shared" si="298"/>
        <v>2443</v>
      </c>
      <c r="H901" s="279">
        <f t="shared" si="298"/>
        <v>2443</v>
      </c>
      <c r="I901" s="279">
        <f t="shared" si="298"/>
        <v>2443</v>
      </c>
      <c r="J901" s="279">
        <f t="shared" si="298"/>
        <v>2443</v>
      </c>
      <c r="K901" s="279">
        <f t="shared" si="298"/>
        <v>2443</v>
      </c>
      <c r="L901" s="279">
        <f t="shared" si="298"/>
        <v>2443</v>
      </c>
      <c r="M901" s="279">
        <f t="shared" si="298"/>
        <v>2443</v>
      </c>
      <c r="N901" s="279">
        <f t="shared" si="298"/>
        <v>2443</v>
      </c>
      <c r="O901" s="279">
        <f t="shared" si="298"/>
        <v>2443</v>
      </c>
      <c r="P901" s="279">
        <f t="shared" si="298"/>
        <v>2443</v>
      </c>
      <c r="Q901" s="279">
        <f t="shared" si="298"/>
        <v>2443</v>
      </c>
      <c r="R901" s="279">
        <f t="shared" si="286"/>
        <v>29316</v>
      </c>
      <c r="S901" s="507"/>
    </row>
    <row r="902" spans="2:19" x14ac:dyDescent="0.2">
      <c r="C902" s="32" t="s">
        <v>1138</v>
      </c>
      <c r="D902" s="32">
        <v>86</v>
      </c>
      <c r="F902" s="279">
        <f t="shared" ref="F902:Q902" si="299">F684</f>
        <v>127</v>
      </c>
      <c r="G902" s="279">
        <f t="shared" si="299"/>
        <v>137</v>
      </c>
      <c r="H902" s="279">
        <f t="shared" si="299"/>
        <v>132</v>
      </c>
      <c r="I902" s="279">
        <f t="shared" si="299"/>
        <v>132</v>
      </c>
      <c r="J902" s="279">
        <f t="shared" si="299"/>
        <v>132</v>
      </c>
      <c r="K902" s="279">
        <f t="shared" si="299"/>
        <v>132</v>
      </c>
      <c r="L902" s="279">
        <f t="shared" si="299"/>
        <v>132</v>
      </c>
      <c r="M902" s="279">
        <f t="shared" si="299"/>
        <v>132</v>
      </c>
      <c r="N902" s="279">
        <f t="shared" si="299"/>
        <v>132</v>
      </c>
      <c r="O902" s="279">
        <f t="shared" si="299"/>
        <v>132</v>
      </c>
      <c r="P902" s="279">
        <f t="shared" si="299"/>
        <v>132</v>
      </c>
      <c r="Q902" s="279">
        <f t="shared" si="299"/>
        <v>132</v>
      </c>
      <c r="R902" s="279">
        <f t="shared" si="286"/>
        <v>1584</v>
      </c>
      <c r="S902" s="507"/>
    </row>
    <row r="903" spans="2:19" x14ac:dyDescent="0.2">
      <c r="C903" s="32" t="s">
        <v>1139</v>
      </c>
      <c r="D903" s="32">
        <v>87</v>
      </c>
      <c r="F903" s="279">
        <f t="shared" ref="F903:Q903" si="300">F734</f>
        <v>0</v>
      </c>
      <c r="G903" s="279">
        <f t="shared" si="300"/>
        <v>0</v>
      </c>
      <c r="H903" s="279">
        <f t="shared" si="300"/>
        <v>0</v>
      </c>
      <c r="I903" s="279">
        <f t="shared" si="300"/>
        <v>0</v>
      </c>
      <c r="J903" s="279">
        <f t="shared" si="300"/>
        <v>0</v>
      </c>
      <c r="K903" s="279">
        <f t="shared" si="300"/>
        <v>0</v>
      </c>
      <c r="L903" s="279">
        <f t="shared" si="300"/>
        <v>0</v>
      </c>
      <c r="M903" s="279">
        <f t="shared" si="300"/>
        <v>0</v>
      </c>
      <c r="N903" s="279">
        <f t="shared" si="300"/>
        <v>0</v>
      </c>
      <c r="O903" s="279">
        <f t="shared" si="300"/>
        <v>0</v>
      </c>
      <c r="P903" s="279">
        <f t="shared" si="300"/>
        <v>0</v>
      </c>
      <c r="Q903" s="279">
        <f t="shared" si="300"/>
        <v>0</v>
      </c>
      <c r="R903" s="279">
        <f t="shared" si="286"/>
        <v>0</v>
      </c>
      <c r="S903" s="507"/>
    </row>
    <row r="904" spans="2:19" x14ac:dyDescent="0.2">
      <c r="C904" s="32" t="s">
        <v>1173</v>
      </c>
      <c r="D904" s="32">
        <v>99</v>
      </c>
      <c r="F904" s="279">
        <f t="shared" ref="F904:Q904" si="301">F781</f>
        <v>38483</v>
      </c>
      <c r="G904" s="279">
        <f t="shared" si="301"/>
        <v>38483</v>
      </c>
      <c r="H904" s="279">
        <f t="shared" si="301"/>
        <v>38483</v>
      </c>
      <c r="I904" s="279">
        <f t="shared" si="301"/>
        <v>38483</v>
      </c>
      <c r="J904" s="279">
        <f t="shared" si="301"/>
        <v>38483</v>
      </c>
      <c r="K904" s="279">
        <f t="shared" si="301"/>
        <v>38483</v>
      </c>
      <c r="L904" s="279">
        <f t="shared" si="301"/>
        <v>38483</v>
      </c>
      <c r="M904" s="279">
        <f t="shared" si="301"/>
        <v>38483</v>
      </c>
      <c r="N904" s="279">
        <f t="shared" si="301"/>
        <v>38483</v>
      </c>
      <c r="O904" s="279">
        <f t="shared" si="301"/>
        <v>38483</v>
      </c>
      <c r="P904" s="279">
        <f t="shared" si="301"/>
        <v>38483</v>
      </c>
      <c r="Q904" s="279">
        <f t="shared" si="301"/>
        <v>38483</v>
      </c>
      <c r="R904" s="279">
        <f t="shared" si="286"/>
        <v>461796</v>
      </c>
      <c r="S904" s="507"/>
    </row>
    <row r="905" spans="2:19" x14ac:dyDescent="0.2">
      <c r="C905" s="32" t="s">
        <v>1174</v>
      </c>
      <c r="F905" s="357">
        <f>SUM(F886:F904)</f>
        <v>679306.33</v>
      </c>
      <c r="G905" s="357">
        <f t="shared" ref="G905:R905" si="302">SUM(G886:G904)</f>
        <v>679431.33</v>
      </c>
      <c r="H905" s="357">
        <f t="shared" si="302"/>
        <v>674961.33</v>
      </c>
      <c r="I905" s="357">
        <f t="shared" si="302"/>
        <v>675267.35</v>
      </c>
      <c r="J905" s="357">
        <f t="shared" si="302"/>
        <v>674616.31999999995</v>
      </c>
      <c r="K905" s="357">
        <f t="shared" si="302"/>
        <v>677957.33000000007</v>
      </c>
      <c r="L905" s="357">
        <f t="shared" si="302"/>
        <v>684482.64</v>
      </c>
      <c r="M905" s="357">
        <f t="shared" si="302"/>
        <v>681728</v>
      </c>
      <c r="N905" s="357">
        <f t="shared" si="302"/>
        <v>681044</v>
      </c>
      <c r="O905" s="357">
        <f t="shared" si="302"/>
        <v>673316</v>
      </c>
      <c r="P905" s="357">
        <f t="shared" si="302"/>
        <v>672224</v>
      </c>
      <c r="Q905" s="357">
        <f t="shared" si="302"/>
        <v>673711</v>
      </c>
      <c r="R905" s="357">
        <f t="shared" si="302"/>
        <v>8128045.6300000008</v>
      </c>
      <c r="S905" s="507"/>
    </row>
    <row r="907" spans="2:19" x14ac:dyDescent="0.2">
      <c r="B907" s="32" t="s">
        <v>1175</v>
      </c>
      <c r="F907" s="424"/>
      <c r="G907" s="424"/>
      <c r="H907" s="424"/>
      <c r="I907" s="424"/>
      <c r="J907" s="424"/>
      <c r="K907" s="424"/>
      <c r="L907" s="424"/>
      <c r="M907" s="424"/>
      <c r="N907" s="424"/>
      <c r="O907" s="424"/>
      <c r="P907" s="424"/>
      <c r="Q907" s="424"/>
      <c r="R907" s="424"/>
    </row>
    <row r="908" spans="2:19" x14ac:dyDescent="0.2">
      <c r="C908" s="32" t="s">
        <v>1176</v>
      </c>
      <c r="D908" s="32">
        <v>61</v>
      </c>
      <c r="F908" s="424">
        <f>SUM(F886:F888)</f>
        <v>93910</v>
      </c>
      <c r="G908" s="424">
        <f t="shared" ref="G908:Q908" si="303">SUM(G886:G888)</f>
        <v>93910</v>
      </c>
      <c r="H908" s="424">
        <f t="shared" si="303"/>
        <v>94165</v>
      </c>
      <c r="I908" s="424">
        <f t="shared" si="303"/>
        <v>93910</v>
      </c>
      <c r="J908" s="424">
        <f t="shared" si="303"/>
        <v>96283</v>
      </c>
      <c r="K908" s="424">
        <f t="shared" si="303"/>
        <v>95090</v>
      </c>
      <c r="L908" s="424">
        <f t="shared" si="303"/>
        <v>97085</v>
      </c>
      <c r="M908" s="424">
        <f t="shared" si="303"/>
        <v>98243</v>
      </c>
      <c r="N908" s="424">
        <f t="shared" si="303"/>
        <v>97630</v>
      </c>
      <c r="O908" s="424">
        <f t="shared" si="303"/>
        <v>97630</v>
      </c>
      <c r="P908" s="424">
        <f t="shared" si="303"/>
        <v>97630</v>
      </c>
      <c r="Q908" s="424">
        <f t="shared" si="303"/>
        <v>97630</v>
      </c>
      <c r="R908" s="279">
        <f t="shared" ref="R908:R917" si="304">SUM(F908:Q908)</f>
        <v>1153116</v>
      </c>
    </row>
    <row r="909" spans="2:19" x14ac:dyDescent="0.2">
      <c r="C909" s="343" t="s">
        <v>1145</v>
      </c>
      <c r="D909" s="32">
        <v>41</v>
      </c>
      <c r="F909" s="424">
        <f t="shared" ref="F909:Q909" si="305">F889+F896</f>
        <v>402134.33</v>
      </c>
      <c r="G909" s="424">
        <f t="shared" si="305"/>
        <v>402980.33</v>
      </c>
      <c r="H909" s="424">
        <f t="shared" si="305"/>
        <v>401971.33</v>
      </c>
      <c r="I909" s="424">
        <f t="shared" si="305"/>
        <v>402602.35</v>
      </c>
      <c r="J909" s="424">
        <f t="shared" si="305"/>
        <v>402006.31999999995</v>
      </c>
      <c r="K909" s="424">
        <f t="shared" si="305"/>
        <v>406542.33000000007</v>
      </c>
      <c r="L909" s="424">
        <f t="shared" si="305"/>
        <v>407784.64</v>
      </c>
      <c r="M909" s="424">
        <f t="shared" si="305"/>
        <v>404081</v>
      </c>
      <c r="N909" s="424">
        <f t="shared" si="305"/>
        <v>404375</v>
      </c>
      <c r="O909" s="424">
        <f t="shared" si="305"/>
        <v>397230</v>
      </c>
      <c r="P909" s="424">
        <f t="shared" si="305"/>
        <v>395663</v>
      </c>
      <c r="Q909" s="424">
        <f t="shared" si="305"/>
        <v>393633</v>
      </c>
      <c r="R909" s="279">
        <f t="shared" si="304"/>
        <v>4821003.63</v>
      </c>
    </row>
    <row r="910" spans="2:19" x14ac:dyDescent="0.2">
      <c r="C910" s="343" t="s">
        <v>1146</v>
      </c>
      <c r="D910" s="32">
        <v>85</v>
      </c>
      <c r="F910" s="424">
        <f t="shared" ref="F910:Q912" si="306">F893+F901</f>
        <v>10036</v>
      </c>
      <c r="G910" s="424">
        <f t="shared" si="306"/>
        <v>10036</v>
      </c>
      <c r="H910" s="424">
        <f t="shared" si="306"/>
        <v>10036</v>
      </c>
      <c r="I910" s="424">
        <f t="shared" si="306"/>
        <v>10036</v>
      </c>
      <c r="J910" s="424">
        <f t="shared" si="306"/>
        <v>10036</v>
      </c>
      <c r="K910" s="424">
        <f t="shared" si="306"/>
        <v>10036</v>
      </c>
      <c r="L910" s="424">
        <f t="shared" si="306"/>
        <v>10036</v>
      </c>
      <c r="M910" s="424">
        <f t="shared" si="306"/>
        <v>10104</v>
      </c>
      <c r="N910" s="424">
        <f t="shared" si="306"/>
        <v>10036</v>
      </c>
      <c r="O910" s="424">
        <f t="shared" si="306"/>
        <v>10036</v>
      </c>
      <c r="P910" s="424">
        <f t="shared" si="306"/>
        <v>10036</v>
      </c>
      <c r="Q910" s="424">
        <f t="shared" si="306"/>
        <v>10036</v>
      </c>
      <c r="R910" s="279">
        <f t="shared" si="304"/>
        <v>120500</v>
      </c>
    </row>
    <row r="911" spans="2:19" x14ac:dyDescent="0.2">
      <c r="C911" s="343" t="s">
        <v>1147</v>
      </c>
      <c r="D911" s="32">
        <v>86</v>
      </c>
      <c r="F911" s="424">
        <f t="shared" si="306"/>
        <v>9637</v>
      </c>
      <c r="G911" s="424">
        <f t="shared" si="306"/>
        <v>9566</v>
      </c>
      <c r="H911" s="424">
        <f t="shared" si="306"/>
        <v>9390</v>
      </c>
      <c r="I911" s="424">
        <f t="shared" si="306"/>
        <v>9320</v>
      </c>
      <c r="J911" s="424">
        <f t="shared" si="306"/>
        <v>9392</v>
      </c>
      <c r="K911" s="424">
        <f t="shared" si="306"/>
        <v>9390</v>
      </c>
      <c r="L911" s="424">
        <f t="shared" si="306"/>
        <v>9268</v>
      </c>
      <c r="M911" s="424">
        <f t="shared" si="306"/>
        <v>8999</v>
      </c>
      <c r="N911" s="424">
        <f t="shared" si="306"/>
        <v>8702</v>
      </c>
      <c r="O911" s="424">
        <f t="shared" si="306"/>
        <v>8589</v>
      </c>
      <c r="P911" s="424">
        <f t="shared" si="306"/>
        <v>8636</v>
      </c>
      <c r="Q911" s="424">
        <f t="shared" si="306"/>
        <v>8376</v>
      </c>
      <c r="R911" s="279">
        <f t="shared" si="304"/>
        <v>109265</v>
      </c>
    </row>
    <row r="912" spans="2:19" x14ac:dyDescent="0.2">
      <c r="C912" s="343" t="s">
        <v>1148</v>
      </c>
      <c r="D912" s="32">
        <v>87</v>
      </c>
      <c r="F912" s="424">
        <f t="shared" si="306"/>
        <v>532</v>
      </c>
      <c r="G912" s="424">
        <f t="shared" si="306"/>
        <v>532</v>
      </c>
      <c r="H912" s="424">
        <f t="shared" si="306"/>
        <v>532</v>
      </c>
      <c r="I912" s="424">
        <f t="shared" si="306"/>
        <v>532</v>
      </c>
      <c r="J912" s="424">
        <f t="shared" si="306"/>
        <v>532</v>
      </c>
      <c r="K912" s="424">
        <f t="shared" si="306"/>
        <v>532</v>
      </c>
      <c r="L912" s="424">
        <f t="shared" si="306"/>
        <v>532</v>
      </c>
      <c r="M912" s="424">
        <f t="shared" si="306"/>
        <v>532</v>
      </c>
      <c r="N912" s="424">
        <f t="shared" si="306"/>
        <v>532</v>
      </c>
      <c r="O912" s="424">
        <f t="shared" si="306"/>
        <v>532</v>
      </c>
      <c r="P912" s="424">
        <f t="shared" si="306"/>
        <v>532</v>
      </c>
      <c r="Q912" s="424">
        <f t="shared" si="306"/>
        <v>532</v>
      </c>
      <c r="R912" s="279">
        <f t="shared" si="304"/>
        <v>6384</v>
      </c>
    </row>
    <row r="913" spans="1:32" x14ac:dyDescent="0.2">
      <c r="C913" s="32" t="s">
        <v>1149</v>
      </c>
      <c r="D913" s="444" t="s">
        <v>808</v>
      </c>
      <c r="F913" s="424">
        <f t="shared" ref="F913:Q914" si="307">F890+F897</f>
        <v>23123</v>
      </c>
      <c r="G913" s="424">
        <f t="shared" si="307"/>
        <v>23123</v>
      </c>
      <c r="H913" s="424">
        <f t="shared" si="307"/>
        <v>20783</v>
      </c>
      <c r="I913" s="424">
        <f t="shared" si="307"/>
        <v>20783</v>
      </c>
      <c r="J913" s="424">
        <f t="shared" si="307"/>
        <v>20783</v>
      </c>
      <c r="K913" s="424">
        <f t="shared" si="307"/>
        <v>20783</v>
      </c>
      <c r="L913" s="424">
        <f t="shared" si="307"/>
        <v>24193</v>
      </c>
      <c r="M913" s="424">
        <f t="shared" si="307"/>
        <v>24305</v>
      </c>
      <c r="N913" s="424">
        <f t="shared" si="307"/>
        <v>24305</v>
      </c>
      <c r="O913" s="424">
        <f t="shared" si="307"/>
        <v>26335</v>
      </c>
      <c r="P913" s="424">
        <f t="shared" si="307"/>
        <v>28263</v>
      </c>
      <c r="Q913" s="424">
        <f t="shared" si="307"/>
        <v>32340</v>
      </c>
      <c r="R913" s="279">
        <f t="shared" si="304"/>
        <v>289119</v>
      </c>
    </row>
    <row r="914" spans="1:32" x14ac:dyDescent="0.2">
      <c r="C914" s="32" t="s">
        <v>1150</v>
      </c>
      <c r="D914" s="444" t="s">
        <v>809</v>
      </c>
      <c r="F914" s="424">
        <f t="shared" si="307"/>
        <v>63710</v>
      </c>
      <c r="G914" s="424">
        <f t="shared" si="307"/>
        <v>63060</v>
      </c>
      <c r="H914" s="424">
        <f t="shared" si="307"/>
        <v>61860</v>
      </c>
      <c r="I914" s="424">
        <f t="shared" si="307"/>
        <v>61860</v>
      </c>
      <c r="J914" s="424">
        <f t="shared" si="307"/>
        <v>59360</v>
      </c>
      <c r="K914" s="424">
        <f t="shared" si="307"/>
        <v>59360</v>
      </c>
      <c r="L914" s="424">
        <f t="shared" si="307"/>
        <v>59360</v>
      </c>
      <c r="M914" s="424">
        <f t="shared" si="307"/>
        <v>59240</v>
      </c>
      <c r="N914" s="424">
        <f t="shared" si="307"/>
        <v>59240</v>
      </c>
      <c r="O914" s="424">
        <f t="shared" si="307"/>
        <v>56740</v>
      </c>
      <c r="P914" s="424">
        <f t="shared" si="307"/>
        <v>55240</v>
      </c>
      <c r="Q914" s="424">
        <f t="shared" si="307"/>
        <v>54957</v>
      </c>
      <c r="R914" s="279">
        <f t="shared" si="304"/>
        <v>713987</v>
      </c>
    </row>
    <row r="915" spans="1:32" x14ac:dyDescent="0.2">
      <c r="C915" s="32" t="s">
        <v>1177</v>
      </c>
      <c r="D915" s="444" t="s">
        <v>810</v>
      </c>
      <c r="F915" s="424">
        <f>F899</f>
        <v>0</v>
      </c>
      <c r="G915" s="424">
        <f t="shared" ref="G915:Q915" si="308">G899</f>
        <v>0</v>
      </c>
      <c r="H915" s="424">
        <f t="shared" si="308"/>
        <v>0</v>
      </c>
      <c r="I915" s="424">
        <f t="shared" si="308"/>
        <v>0</v>
      </c>
      <c r="J915" s="424">
        <f t="shared" si="308"/>
        <v>0</v>
      </c>
      <c r="K915" s="424">
        <f t="shared" si="308"/>
        <v>0</v>
      </c>
      <c r="L915" s="424">
        <f t="shared" si="308"/>
        <v>0</v>
      </c>
      <c r="M915" s="424">
        <f t="shared" si="308"/>
        <v>0</v>
      </c>
      <c r="N915" s="424">
        <f t="shared" si="308"/>
        <v>0</v>
      </c>
      <c r="O915" s="424">
        <f t="shared" si="308"/>
        <v>0</v>
      </c>
      <c r="P915" s="424">
        <f t="shared" si="308"/>
        <v>0</v>
      </c>
      <c r="Q915" s="424">
        <f t="shared" si="308"/>
        <v>0</v>
      </c>
      <c r="R915" s="279">
        <f t="shared" si="304"/>
        <v>0</v>
      </c>
    </row>
    <row r="916" spans="1:32" x14ac:dyDescent="0.2">
      <c r="C916" s="32" t="s">
        <v>1152</v>
      </c>
      <c r="D916" s="444" t="s">
        <v>811</v>
      </c>
      <c r="F916" s="424">
        <f t="shared" ref="F916:Q916" si="309">F892+F900</f>
        <v>37741</v>
      </c>
      <c r="G916" s="424">
        <f t="shared" si="309"/>
        <v>37741</v>
      </c>
      <c r="H916" s="424">
        <f t="shared" si="309"/>
        <v>37741</v>
      </c>
      <c r="I916" s="424">
        <f t="shared" si="309"/>
        <v>37741</v>
      </c>
      <c r="J916" s="424">
        <f t="shared" si="309"/>
        <v>37741</v>
      </c>
      <c r="K916" s="424">
        <f t="shared" si="309"/>
        <v>37741</v>
      </c>
      <c r="L916" s="424">
        <f t="shared" si="309"/>
        <v>37741</v>
      </c>
      <c r="M916" s="424">
        <f t="shared" si="309"/>
        <v>37741</v>
      </c>
      <c r="N916" s="424">
        <f t="shared" si="309"/>
        <v>37741</v>
      </c>
      <c r="O916" s="424">
        <f t="shared" si="309"/>
        <v>37741</v>
      </c>
      <c r="P916" s="424">
        <f t="shared" si="309"/>
        <v>37741</v>
      </c>
      <c r="Q916" s="424">
        <f t="shared" si="309"/>
        <v>37724</v>
      </c>
      <c r="R916" s="279">
        <f t="shared" si="304"/>
        <v>452875</v>
      </c>
    </row>
    <row r="917" spans="1:32" x14ac:dyDescent="0.2">
      <c r="C917" s="343" t="s">
        <v>844</v>
      </c>
      <c r="F917" s="424">
        <f t="shared" ref="F917:Q917" si="310">F904</f>
        <v>38483</v>
      </c>
      <c r="G917" s="424">
        <f t="shared" si="310"/>
        <v>38483</v>
      </c>
      <c r="H917" s="424">
        <f t="shared" si="310"/>
        <v>38483</v>
      </c>
      <c r="I917" s="424">
        <f t="shared" si="310"/>
        <v>38483</v>
      </c>
      <c r="J917" s="424">
        <f t="shared" si="310"/>
        <v>38483</v>
      </c>
      <c r="K917" s="424">
        <f t="shared" si="310"/>
        <v>38483</v>
      </c>
      <c r="L917" s="424">
        <f t="shared" si="310"/>
        <v>38483</v>
      </c>
      <c r="M917" s="424">
        <f t="shared" si="310"/>
        <v>38483</v>
      </c>
      <c r="N917" s="424">
        <f t="shared" si="310"/>
        <v>38483</v>
      </c>
      <c r="O917" s="424">
        <f t="shared" si="310"/>
        <v>38483</v>
      </c>
      <c r="P917" s="424">
        <f t="shared" si="310"/>
        <v>38483</v>
      </c>
      <c r="Q917" s="424">
        <f t="shared" si="310"/>
        <v>38483</v>
      </c>
      <c r="R917" s="279">
        <f t="shared" si="304"/>
        <v>461796</v>
      </c>
    </row>
    <row r="918" spans="1:32" x14ac:dyDescent="0.2">
      <c r="C918" s="32" t="s">
        <v>1174</v>
      </c>
      <c r="E918" s="364"/>
      <c r="F918" s="357">
        <f>SUM(F908:F917)</f>
        <v>679306.33000000007</v>
      </c>
      <c r="G918" s="357">
        <f t="shared" ref="G918:R918" si="311">SUM(G908:G917)</f>
        <v>679431.33000000007</v>
      </c>
      <c r="H918" s="357">
        <f t="shared" si="311"/>
        <v>674961.33000000007</v>
      </c>
      <c r="I918" s="357">
        <f t="shared" si="311"/>
        <v>675267.35</v>
      </c>
      <c r="J918" s="357">
        <f t="shared" si="311"/>
        <v>674616.31999999995</v>
      </c>
      <c r="K918" s="357">
        <f t="shared" si="311"/>
        <v>677957.33000000007</v>
      </c>
      <c r="L918" s="357">
        <f t="shared" si="311"/>
        <v>684482.64</v>
      </c>
      <c r="M918" s="357">
        <f t="shared" si="311"/>
        <v>681728</v>
      </c>
      <c r="N918" s="357">
        <f t="shared" si="311"/>
        <v>681044</v>
      </c>
      <c r="O918" s="357">
        <f t="shared" si="311"/>
        <v>673316</v>
      </c>
      <c r="P918" s="357">
        <f t="shared" si="311"/>
        <v>672224</v>
      </c>
      <c r="Q918" s="357">
        <f t="shared" si="311"/>
        <v>673711</v>
      </c>
      <c r="R918" s="357">
        <f t="shared" si="311"/>
        <v>8128045.6299999999</v>
      </c>
    </row>
    <row r="919" spans="1:32" x14ac:dyDescent="0.2">
      <c r="C919" s="32" t="s">
        <v>131</v>
      </c>
      <c r="E919" s="364"/>
      <c r="F919" s="424">
        <f t="shared" ref="F919:R919" si="312">F918-F905</f>
        <v>0</v>
      </c>
      <c r="G919" s="424">
        <f t="shared" si="312"/>
        <v>0</v>
      </c>
      <c r="H919" s="424">
        <f t="shared" si="312"/>
        <v>0</v>
      </c>
      <c r="I919" s="424">
        <f t="shared" si="312"/>
        <v>0</v>
      </c>
      <c r="J919" s="424">
        <f t="shared" si="312"/>
        <v>0</v>
      </c>
      <c r="K919" s="424">
        <f t="shared" si="312"/>
        <v>0</v>
      </c>
      <c r="L919" s="424">
        <f t="shared" si="312"/>
        <v>0</v>
      </c>
      <c r="M919" s="424">
        <f t="shared" si="312"/>
        <v>0</v>
      </c>
      <c r="N919" s="424">
        <f t="shared" si="312"/>
        <v>0</v>
      </c>
      <c r="O919" s="424">
        <f t="shared" si="312"/>
        <v>0</v>
      </c>
      <c r="P919" s="424">
        <f t="shared" si="312"/>
        <v>0</v>
      </c>
      <c r="Q919" s="424">
        <f t="shared" si="312"/>
        <v>0</v>
      </c>
      <c r="R919" s="424">
        <f t="shared" si="312"/>
        <v>0</v>
      </c>
    </row>
    <row r="920" spans="1:32" x14ac:dyDescent="0.2">
      <c r="E920" s="364"/>
      <c r="F920" s="364"/>
      <c r="G920" s="364"/>
      <c r="H920" s="364"/>
      <c r="I920" s="364"/>
      <c r="J920" s="364"/>
      <c r="K920" s="364"/>
      <c r="L920" s="364"/>
      <c r="M920" s="364"/>
      <c r="N920" s="364"/>
      <c r="O920" s="364"/>
      <c r="P920" s="364"/>
      <c r="Q920" s="364"/>
      <c r="R920" s="364"/>
    </row>
    <row r="921" spans="1:32" x14ac:dyDescent="0.2">
      <c r="B921" s="182" t="s">
        <v>1178</v>
      </c>
    </row>
    <row r="922" spans="1:32" x14ac:dyDescent="0.2">
      <c r="A922" s="32" t="s">
        <v>1056</v>
      </c>
      <c r="B922" s="32" t="s">
        <v>1179</v>
      </c>
      <c r="F922" s="364">
        <f t="shared" ref="F922:Q922" si="313">SUMIF($A$7:$A$795,$A922,F$7:F$795)-F57</f>
        <v>78568352.19363001</v>
      </c>
      <c r="G922" s="364">
        <f t="shared" si="313"/>
        <v>64981137.321800001</v>
      </c>
      <c r="H922" s="364">
        <f t="shared" si="313"/>
        <v>66324742.240589991</v>
      </c>
      <c r="I922" s="364">
        <f t="shared" si="313"/>
        <v>53356343.594020024</v>
      </c>
      <c r="J922" s="364">
        <f t="shared" si="313"/>
        <v>40369611.848740004</v>
      </c>
      <c r="K922" s="364">
        <f t="shared" si="313"/>
        <v>28433676.676270001</v>
      </c>
      <c r="L922" s="364">
        <f t="shared" si="313"/>
        <v>21218674.936810005</v>
      </c>
      <c r="M922" s="364">
        <f t="shared" si="313"/>
        <v>20364316.985850003</v>
      </c>
      <c r="N922" s="364">
        <f t="shared" si="313"/>
        <v>24259635.229509994</v>
      </c>
      <c r="O922" s="364">
        <f t="shared" si="313"/>
        <v>42877764.082180001</v>
      </c>
      <c r="P922" s="364">
        <f t="shared" si="313"/>
        <v>74005814.215269983</v>
      </c>
      <c r="Q922" s="364">
        <f t="shared" si="313"/>
        <v>91876027.920269996</v>
      </c>
      <c r="R922" s="364">
        <f>SUM(F922:Q922)</f>
        <v>606636097.24494004</v>
      </c>
      <c r="S922" s="438">
        <f>R922-'JKP-3.1c - Rev Rates PGA Nov10'!R922</f>
        <v>0</v>
      </c>
      <c r="T922" s="417"/>
      <c r="U922" s="364"/>
    </row>
    <row r="923" spans="1:32" x14ac:dyDescent="0.2">
      <c r="A923" s="32" t="s">
        <v>1056</v>
      </c>
      <c r="B923" s="32" t="s">
        <v>1180</v>
      </c>
      <c r="F923" s="364">
        <f>F57</f>
        <v>821.31404999999995</v>
      </c>
      <c r="G923" s="364">
        <f t="shared" ref="G923:Q923" si="314">G57</f>
        <v>865.38455999999996</v>
      </c>
      <c r="H923" s="364">
        <f t="shared" si="314"/>
        <v>1205.92941</v>
      </c>
      <c r="I923" s="364">
        <f t="shared" si="314"/>
        <v>877.40378999999996</v>
      </c>
      <c r="J923" s="364">
        <f t="shared" si="314"/>
        <v>580.92944999999997</v>
      </c>
      <c r="K923" s="364">
        <f t="shared" si="314"/>
        <v>428.68586999999997</v>
      </c>
      <c r="L923" s="364">
        <f t="shared" si="314"/>
        <v>356.57049000000001</v>
      </c>
      <c r="M923" s="364">
        <f t="shared" si="314"/>
        <v>344.55125999999996</v>
      </c>
      <c r="N923" s="364">
        <f t="shared" si="314"/>
        <v>336.53843999999998</v>
      </c>
      <c r="O923" s="364">
        <f t="shared" si="314"/>
        <v>641.02559999999994</v>
      </c>
      <c r="P923" s="364">
        <f t="shared" si="314"/>
        <v>889.42301999999995</v>
      </c>
      <c r="Q923" s="364">
        <f t="shared" si="314"/>
        <v>1121.7947999999999</v>
      </c>
      <c r="R923" s="364">
        <f>SUM(F923:Q923)</f>
        <v>8469.5507400000006</v>
      </c>
      <c r="S923" s="438">
        <f>R923-'JKP-3.1c - Rev Rates PGA Nov10'!R923</f>
        <v>0</v>
      </c>
      <c r="T923" s="417"/>
      <c r="U923" s="364"/>
    </row>
    <row r="924" spans="1:32" s="336" customFormat="1" x14ac:dyDescent="0.2">
      <c r="A924" s="336" t="s">
        <v>1054</v>
      </c>
      <c r="B924" s="336" t="s">
        <v>1181</v>
      </c>
      <c r="F924" s="418">
        <f t="shared" ref="F924:R924" si="315">SUMIF($A$7:$A$795,$A924,F$7:F$795)</f>
        <v>46694737.283479981</v>
      </c>
      <c r="G924" s="418">
        <f t="shared" si="315"/>
        <v>40343150.236929983</v>
      </c>
      <c r="H924" s="418">
        <f t="shared" si="315"/>
        <v>40843221.649509981</v>
      </c>
      <c r="I924" s="418">
        <f t="shared" si="315"/>
        <v>34856558.61084</v>
      </c>
      <c r="J924" s="418">
        <f t="shared" si="315"/>
        <v>28585381.615409993</v>
      </c>
      <c r="K924" s="418">
        <f t="shared" si="315"/>
        <v>22933563.658979993</v>
      </c>
      <c r="L924" s="418">
        <f t="shared" si="315"/>
        <v>19657826.720759999</v>
      </c>
      <c r="M924" s="418">
        <f t="shared" si="315"/>
        <v>19230705.499459993</v>
      </c>
      <c r="N924" s="418">
        <f t="shared" si="315"/>
        <v>21071782.946330015</v>
      </c>
      <c r="O924" s="418">
        <f t="shared" si="315"/>
        <v>29789461.34120002</v>
      </c>
      <c r="P924" s="418">
        <f t="shared" si="315"/>
        <v>44683203.638759993</v>
      </c>
      <c r="Q924" s="418">
        <f t="shared" si="315"/>
        <v>53260778.546349987</v>
      </c>
      <c r="R924" s="418">
        <f t="shared" si="315"/>
        <v>401950371.74800998</v>
      </c>
      <c r="S924" s="438">
        <f>R924-'JKP-3.1c - Rev Rates PGA Nov10'!R924</f>
        <v>18001388.606510043</v>
      </c>
      <c r="T924" s="340"/>
    </row>
    <row r="925" spans="1:32" x14ac:dyDescent="0.2">
      <c r="F925" s="364"/>
      <c r="G925" s="364"/>
      <c r="H925" s="364"/>
      <c r="I925" s="364"/>
      <c r="J925" s="364"/>
      <c r="K925" s="364"/>
      <c r="L925" s="364"/>
      <c r="M925" s="364"/>
      <c r="N925" s="364"/>
      <c r="O925" s="364"/>
      <c r="P925" s="364"/>
      <c r="Q925" s="364"/>
      <c r="R925" s="364"/>
      <c r="T925" s="417"/>
      <c r="U925" s="417"/>
      <c r="V925" s="417"/>
      <c r="W925" s="417"/>
      <c r="X925" s="417"/>
      <c r="Y925" s="417"/>
      <c r="Z925" s="417"/>
      <c r="AA925" s="417"/>
      <c r="AB925" s="417"/>
      <c r="AC925" s="417"/>
      <c r="AD925" s="417"/>
      <c r="AE925" s="417"/>
      <c r="AF925" s="417"/>
    </row>
    <row r="926" spans="1:32" s="336" customFormat="1" x14ac:dyDescent="0.2">
      <c r="B926" s="336" t="s">
        <v>1182</v>
      </c>
      <c r="F926" s="521">
        <f>'JKP-3.1c - Rev Rates PGA Nov10'!F926</f>
        <v>1.045199</v>
      </c>
      <c r="G926" s="521">
        <f>'JKP-3.1c - Rev Rates PGA Nov10'!G926</f>
        <v>1.045199</v>
      </c>
      <c r="H926" s="521">
        <f>'JKP-3.1c - Rev Rates PGA Nov10'!H926</f>
        <v>1.045199</v>
      </c>
      <c r="I926" s="521">
        <f>'JKP-3.1c - Rev Rates PGA Nov10'!I926</f>
        <v>1.045199</v>
      </c>
      <c r="J926" s="521">
        <f>'JKP-3.1c - Rev Rates PGA Nov10'!J926</f>
        <v>1.045199</v>
      </c>
      <c r="K926" s="521">
        <f>'JKP-3.1c - Rev Rates PGA Nov10'!K926</f>
        <v>1.045199</v>
      </c>
      <c r="L926" s="521">
        <f>'JKP-3.1c - Rev Rates PGA Nov10'!L926</f>
        <v>1.045199</v>
      </c>
      <c r="M926" s="521">
        <f>'JKP-3.1c - Rev Rates PGA Nov10'!M926</f>
        <v>1.045199</v>
      </c>
      <c r="N926" s="521">
        <f>'JKP-3.1c - Rev Rates PGA Nov10'!N926</f>
        <v>1.045199</v>
      </c>
      <c r="O926" s="521">
        <f>'JKP-3.1c - Rev Rates PGA Nov10'!O926</f>
        <v>1.045199</v>
      </c>
      <c r="P926" s="521">
        <f>'JKP-3.1c - Rev Rates PGA Nov10'!P926</f>
        <v>1.045199</v>
      </c>
      <c r="Q926" s="521">
        <f>'JKP-3.1c - Rev Rates PGA Nov10'!Q926</f>
        <v>1.045199</v>
      </c>
      <c r="R926" s="418"/>
      <c r="S926" s="335"/>
      <c r="T926" s="417"/>
      <c r="U926" s="417"/>
      <c r="V926" s="417"/>
      <c r="W926" s="417"/>
      <c r="X926" s="417"/>
      <c r="Y926" s="417"/>
      <c r="Z926" s="417"/>
      <c r="AA926" s="417"/>
      <c r="AB926" s="417"/>
      <c r="AC926" s="417"/>
      <c r="AD926" s="417"/>
      <c r="AE926" s="417"/>
      <c r="AF926" s="417"/>
    </row>
    <row r="927" spans="1:32" x14ac:dyDescent="0.2">
      <c r="A927" s="32" t="s">
        <v>1058</v>
      </c>
      <c r="B927" s="32" t="s">
        <v>1050</v>
      </c>
      <c r="F927" s="364">
        <f t="shared" ref="F927:Q927" si="316">SUMIF($A$7:$A$795,$A927,F$7:F$795)</f>
        <v>75170440.44641003</v>
      </c>
      <c r="G927" s="364">
        <f t="shared" si="316"/>
        <v>62170704.715360008</v>
      </c>
      <c r="H927" s="364">
        <f t="shared" si="316"/>
        <v>63456617.819050007</v>
      </c>
      <c r="I927" s="364">
        <f t="shared" si="316"/>
        <v>51048615.265020013</v>
      </c>
      <c r="J927" s="364">
        <f t="shared" si="316"/>
        <v>38623150.528369993</v>
      </c>
      <c r="K927" s="364">
        <f t="shared" si="316"/>
        <v>27203106.820100009</v>
      </c>
      <c r="L927" s="364">
        <f t="shared" si="316"/>
        <v>20300001.922380004</v>
      </c>
      <c r="M927" s="364">
        <f t="shared" si="316"/>
        <v>19482599.852339998</v>
      </c>
      <c r="N927" s="364">
        <f t="shared" si="316"/>
        <v>23209440.745080002</v>
      </c>
      <c r="O927" s="364">
        <f t="shared" si="316"/>
        <v>41022902.262379996</v>
      </c>
      <c r="P927" s="364">
        <f t="shared" si="316"/>
        <v>70805245.085819989</v>
      </c>
      <c r="Q927" s="364">
        <f t="shared" si="316"/>
        <v>87903021.67504999</v>
      </c>
      <c r="R927" s="364">
        <f>SUM(F927:Q927)</f>
        <v>580395847.1373601</v>
      </c>
      <c r="S927" s="438">
        <f>R927-'JKP-3.1c - Rev Rates PGA Nov10'!R927</f>
        <v>0</v>
      </c>
    </row>
    <row r="929" spans="2:20" x14ac:dyDescent="0.2">
      <c r="B929" s="488" t="s">
        <v>1183</v>
      </c>
    </row>
    <row r="930" spans="2:20" x14ac:dyDescent="0.2">
      <c r="B930" s="343" t="s">
        <v>827</v>
      </c>
      <c r="F930" s="364">
        <f t="shared" ref="F930:Q930" si="317">F19</f>
        <v>535.67999999999995</v>
      </c>
      <c r="G930" s="364">
        <f t="shared" si="317"/>
        <v>535.67999999999995</v>
      </c>
      <c r="H930" s="364">
        <f t="shared" si="317"/>
        <v>535.67999999999995</v>
      </c>
      <c r="I930" s="364">
        <f t="shared" si="317"/>
        <v>535.67999999999995</v>
      </c>
      <c r="J930" s="364">
        <f t="shared" si="317"/>
        <v>535.67999999999995</v>
      </c>
      <c r="K930" s="364">
        <f t="shared" si="317"/>
        <v>535.67999999999995</v>
      </c>
      <c r="L930" s="364">
        <f t="shared" si="317"/>
        <v>525.76</v>
      </c>
      <c r="M930" s="364">
        <f t="shared" si="317"/>
        <v>525.76</v>
      </c>
      <c r="N930" s="364">
        <f t="shared" si="317"/>
        <v>525.76</v>
      </c>
      <c r="O930" s="364">
        <f t="shared" si="317"/>
        <v>525.76</v>
      </c>
      <c r="P930" s="364">
        <f t="shared" si="317"/>
        <v>525.76</v>
      </c>
      <c r="Q930" s="364">
        <f t="shared" si="317"/>
        <v>525.76</v>
      </c>
      <c r="R930" s="364">
        <f t="shared" ref="R930:R935" si="318">SUM(F930:Q930)</f>
        <v>6368.64</v>
      </c>
      <c r="S930" s="438">
        <f>R930-'JKP-3.1c - Rev Rates PGA Nov10'!R930</f>
        <v>301.73999999999978</v>
      </c>
    </row>
    <row r="931" spans="2:20" x14ac:dyDescent="0.2">
      <c r="B931" s="343" t="s">
        <v>828</v>
      </c>
      <c r="F931" s="437">
        <f t="shared" ref="F931:Q931" si="319">F37+F38</f>
        <v>33603914</v>
      </c>
      <c r="G931" s="437">
        <f t="shared" si="319"/>
        <v>28821674</v>
      </c>
      <c r="H931" s="437">
        <f t="shared" si="319"/>
        <v>29152475</v>
      </c>
      <c r="I931" s="437">
        <f t="shared" si="319"/>
        <v>24406886</v>
      </c>
      <c r="J931" s="437">
        <f t="shared" si="319"/>
        <v>19508030</v>
      </c>
      <c r="K931" s="437">
        <f t="shared" si="319"/>
        <v>15249482</v>
      </c>
      <c r="L931" s="437">
        <f t="shared" si="319"/>
        <v>12683418</v>
      </c>
      <c r="M931" s="437">
        <f t="shared" si="319"/>
        <v>12342441</v>
      </c>
      <c r="N931" s="437">
        <f t="shared" si="319"/>
        <v>13824074</v>
      </c>
      <c r="O931" s="437">
        <f t="shared" si="319"/>
        <v>20691184</v>
      </c>
      <c r="P931" s="437">
        <f t="shared" si="319"/>
        <v>32262517</v>
      </c>
      <c r="Q931" s="437">
        <f t="shared" si="319"/>
        <v>38717272</v>
      </c>
      <c r="R931" s="364">
        <f t="shared" si="318"/>
        <v>281263367</v>
      </c>
      <c r="S931" s="438">
        <f>R931-'JKP-3.1c - Rev Rates PGA Nov10'!R931</f>
        <v>13036599</v>
      </c>
    </row>
    <row r="932" spans="2:20" x14ac:dyDescent="0.2">
      <c r="B932" s="343" t="s">
        <v>829</v>
      </c>
      <c r="F932" s="437">
        <f t="shared" ref="F932:Q932" si="320">+F55+F56</f>
        <v>126.6126</v>
      </c>
      <c r="G932" s="437">
        <f t="shared" si="320"/>
        <v>130.72352000000001</v>
      </c>
      <c r="H932" s="437">
        <f t="shared" si="320"/>
        <v>162.48972000000001</v>
      </c>
      <c r="I932" s="437">
        <f t="shared" si="320"/>
        <v>131.84467999999998</v>
      </c>
      <c r="J932" s="437">
        <f t="shared" si="320"/>
        <v>104.18940000000001</v>
      </c>
      <c r="K932" s="437">
        <f t="shared" si="320"/>
        <v>89.988039999999998</v>
      </c>
      <c r="L932" s="437">
        <f t="shared" si="320"/>
        <v>93.261079999999993</v>
      </c>
      <c r="M932" s="437">
        <f t="shared" si="320"/>
        <v>92.139919999999989</v>
      </c>
      <c r="N932" s="437">
        <f t="shared" si="320"/>
        <v>81.392480000000006</v>
      </c>
      <c r="O932" s="437">
        <f t="shared" si="320"/>
        <v>109.79519999999999</v>
      </c>
      <c r="P932" s="437">
        <f t="shared" si="320"/>
        <v>132.96584000000001</v>
      </c>
      <c r="Q932" s="437">
        <f t="shared" si="320"/>
        <v>144.64159999999998</v>
      </c>
      <c r="R932" s="364">
        <f t="shared" si="318"/>
        <v>1400.0440799999997</v>
      </c>
      <c r="S932" s="438">
        <f>R932-'JKP-3.1c - Rev Rates PGA Nov10'!R932</f>
        <v>52.32149999999956</v>
      </c>
    </row>
    <row r="933" spans="2:20" x14ac:dyDescent="0.2">
      <c r="B933" s="346" t="s">
        <v>830</v>
      </c>
      <c r="F933" s="364">
        <f t="shared" ref="F933:Q933" si="321">F84+F85+F412+F413</f>
        <v>9471644.1516399998</v>
      </c>
      <c r="G933" s="364">
        <f t="shared" si="321"/>
        <v>8063330.6038499996</v>
      </c>
      <c r="H933" s="364">
        <f t="shared" si="321"/>
        <v>8150079.4252599999</v>
      </c>
      <c r="I933" s="364">
        <f t="shared" si="321"/>
        <v>6924140.2444399996</v>
      </c>
      <c r="J933" s="364">
        <f t="shared" si="321"/>
        <v>5735085.0965599995</v>
      </c>
      <c r="K933" s="364">
        <f t="shared" si="321"/>
        <v>4711604.6694999998</v>
      </c>
      <c r="L933" s="364">
        <f t="shared" si="321"/>
        <v>4124427.2656399999</v>
      </c>
      <c r="M933" s="364">
        <f t="shared" si="321"/>
        <v>4074137.6858000001</v>
      </c>
      <c r="N933" s="364">
        <f t="shared" si="321"/>
        <v>4365839.6093999995</v>
      </c>
      <c r="O933" s="364">
        <f t="shared" si="321"/>
        <v>5945245.7659400003</v>
      </c>
      <c r="P933" s="364">
        <f t="shared" si="321"/>
        <v>8902347.6994100008</v>
      </c>
      <c r="Q933" s="364">
        <f t="shared" si="321"/>
        <v>10851167.70486</v>
      </c>
      <c r="R933" s="364">
        <f t="shared" si="318"/>
        <v>81319049.922299996</v>
      </c>
      <c r="S933" s="438">
        <f>R933-'JKP-3.1c - Rev Rates PGA Nov10'!R933</f>
        <v>3819257.4263999909</v>
      </c>
    </row>
    <row r="934" spans="2:20" x14ac:dyDescent="0.2">
      <c r="B934" s="343" t="s">
        <v>832</v>
      </c>
      <c r="F934" s="364">
        <f t="shared" ref="F934:Q934" si="322">F116+F121+F124+F127+F444+F449+F452+F455</f>
        <v>1777770.6306999999</v>
      </c>
      <c r="G934" s="364">
        <f t="shared" si="322"/>
        <v>1647758.8449200001</v>
      </c>
      <c r="H934" s="364">
        <f t="shared" si="322"/>
        <v>1710555.2676800003</v>
      </c>
      <c r="I934" s="364">
        <f t="shared" si="322"/>
        <v>1596269.8630999997</v>
      </c>
      <c r="J934" s="364">
        <f t="shared" si="322"/>
        <v>1508371.3291</v>
      </c>
      <c r="K934" s="364">
        <f t="shared" si="322"/>
        <v>1390527.5362599997</v>
      </c>
      <c r="L934" s="364">
        <f t="shared" si="322"/>
        <v>1329905.9307800001</v>
      </c>
      <c r="M934" s="364">
        <f t="shared" si="322"/>
        <v>1321200.1907399998</v>
      </c>
      <c r="N934" s="364">
        <f t="shared" si="322"/>
        <v>1338540.0171399999</v>
      </c>
      <c r="O934" s="364">
        <f t="shared" si="322"/>
        <v>1479035.0620400005</v>
      </c>
      <c r="P934" s="364">
        <f t="shared" si="322"/>
        <v>1692596.7851199997</v>
      </c>
      <c r="Q934" s="364">
        <f t="shared" si="322"/>
        <v>1807576.6167599999</v>
      </c>
      <c r="R934" s="364">
        <f t="shared" si="318"/>
        <v>18600108.074340001</v>
      </c>
      <c r="S934" s="438">
        <f>R934-'JKP-3.1c - Rev Rates PGA Nov10'!R934</f>
        <v>660646.69257999957</v>
      </c>
    </row>
    <row r="935" spans="2:20" x14ac:dyDescent="0.2">
      <c r="B935" s="343" t="s">
        <v>836</v>
      </c>
      <c r="F935" s="364">
        <f t="shared" ref="F935:Q935" si="323">F70+F256+F616</f>
        <v>9391.0000000000018</v>
      </c>
      <c r="G935" s="364">
        <f t="shared" si="323"/>
        <v>9391.0000000000018</v>
      </c>
      <c r="H935" s="364">
        <f t="shared" si="323"/>
        <v>9416.5000000000018</v>
      </c>
      <c r="I935" s="364">
        <f t="shared" si="323"/>
        <v>9391.0000000000018</v>
      </c>
      <c r="J935" s="364">
        <f t="shared" si="323"/>
        <v>9628.3000000000011</v>
      </c>
      <c r="K935" s="364">
        <f t="shared" si="323"/>
        <v>9509.0000000000018</v>
      </c>
      <c r="L935" s="364">
        <f t="shared" si="323"/>
        <v>9708.5000000000018</v>
      </c>
      <c r="M935" s="364">
        <f t="shared" si="323"/>
        <v>9824.3000000000011</v>
      </c>
      <c r="N935" s="364">
        <f t="shared" si="323"/>
        <v>9763.0000000000018</v>
      </c>
      <c r="O935" s="364">
        <f t="shared" si="323"/>
        <v>9763.0000000000018</v>
      </c>
      <c r="P935" s="364">
        <f t="shared" si="323"/>
        <v>9763.0000000000018</v>
      </c>
      <c r="Q935" s="364">
        <f t="shared" si="323"/>
        <v>9763.0000000000018</v>
      </c>
      <c r="R935" s="364">
        <f t="shared" si="318"/>
        <v>115311.60000000002</v>
      </c>
      <c r="S935" s="438">
        <f>R935-'JKP-3.1c - Rev Rates PGA Nov10'!R935</f>
        <v>0</v>
      </c>
    </row>
    <row r="936" spans="2:20" x14ac:dyDescent="0.2">
      <c r="B936" s="343" t="s">
        <v>837</v>
      </c>
      <c r="F936" s="364">
        <f t="shared" ref="F936:Q936" si="324">F286+F291+F293+F295+F298+F645+F650+F652+F654+F657</f>
        <v>178284.78378</v>
      </c>
      <c r="G936" s="364">
        <f t="shared" si="324"/>
        <v>179588.72751</v>
      </c>
      <c r="H936" s="364">
        <f t="shared" si="324"/>
        <v>179277.78776999997</v>
      </c>
      <c r="I936" s="364">
        <f t="shared" si="324"/>
        <v>166739.63744999998</v>
      </c>
      <c r="J936" s="364">
        <f t="shared" si="324"/>
        <v>151484.69546000002</v>
      </c>
      <c r="K936" s="364">
        <f t="shared" si="324"/>
        <v>132825.34650000001</v>
      </c>
      <c r="L936" s="364">
        <f t="shared" si="324"/>
        <v>119927.38188</v>
      </c>
      <c r="M936" s="364">
        <f t="shared" si="324"/>
        <v>125034.28786000003</v>
      </c>
      <c r="N936" s="364">
        <f t="shared" si="324"/>
        <v>128387.56562000002</v>
      </c>
      <c r="O936" s="364">
        <f t="shared" si="324"/>
        <v>148363.40742</v>
      </c>
      <c r="P936" s="364">
        <f t="shared" si="324"/>
        <v>173247.08250999998</v>
      </c>
      <c r="Q936" s="364">
        <f t="shared" si="324"/>
        <v>191649.03460999997</v>
      </c>
      <c r="R936" s="364">
        <f t="shared" ref="R936:R943" si="325">SUM(F936:Q936)</f>
        <v>1874809.7383699999</v>
      </c>
      <c r="S936" s="438">
        <f>R936-'JKP-3.1c - Rev Rates PGA Nov10'!R936</f>
        <v>46068.265029999893</v>
      </c>
    </row>
    <row r="937" spans="2:20" x14ac:dyDescent="0.2">
      <c r="B937" s="343" t="s">
        <v>839</v>
      </c>
      <c r="F937" s="364">
        <f t="shared" ref="F937:Q937" si="326">F329+F333+F335+F337+F340+F688+F692+F694+F696+F699</f>
        <v>358282.43118000007</v>
      </c>
      <c r="G937" s="364">
        <f t="shared" si="326"/>
        <v>317233.03755999997</v>
      </c>
      <c r="H937" s="364">
        <f t="shared" si="326"/>
        <v>310555.4743</v>
      </c>
      <c r="I937" s="364">
        <f t="shared" si="326"/>
        <v>268917.56879999995</v>
      </c>
      <c r="J937" s="364">
        <f t="shared" si="326"/>
        <v>235380.88121000002</v>
      </c>
      <c r="K937" s="364">
        <f t="shared" si="326"/>
        <v>180886.73349000001</v>
      </c>
      <c r="L937" s="364">
        <f t="shared" si="326"/>
        <v>130769.27633999997</v>
      </c>
      <c r="M937" s="364">
        <f t="shared" si="326"/>
        <v>124301.17483</v>
      </c>
      <c r="N937" s="364">
        <f t="shared" si="326"/>
        <v>172762.74479999999</v>
      </c>
      <c r="O937" s="364">
        <f t="shared" si="326"/>
        <v>218739.66336999999</v>
      </c>
      <c r="P937" s="364">
        <f t="shared" si="326"/>
        <v>311021.09736999997</v>
      </c>
      <c r="Q937" s="364">
        <f t="shared" si="326"/>
        <v>343783.19209000003</v>
      </c>
      <c r="R937" s="364">
        <f t="shared" si="325"/>
        <v>2972633.2753400002</v>
      </c>
      <c r="S937" s="438">
        <f>R937-'JKP-3.1c - Rev Rates PGA Nov10'!R937</f>
        <v>70812.786369999871</v>
      </c>
    </row>
    <row r="938" spans="2:20" x14ac:dyDescent="0.2">
      <c r="B938" s="343" t="s">
        <v>841</v>
      </c>
      <c r="F938" s="364">
        <f t="shared" ref="F938:Q938" si="327">F379+F387+F389+F391+F394+F738+F746+F748+F750+F753</f>
        <v>155812.84790000002</v>
      </c>
      <c r="G938" s="364">
        <f t="shared" si="327"/>
        <v>215571.88906000004</v>
      </c>
      <c r="H938" s="364">
        <f t="shared" si="327"/>
        <v>150777.17227000004</v>
      </c>
      <c r="I938" s="364">
        <f t="shared" si="327"/>
        <v>141438.20387999999</v>
      </c>
      <c r="J938" s="364">
        <f t="shared" si="327"/>
        <v>134913.04385999998</v>
      </c>
      <c r="K938" s="364">
        <f t="shared" si="327"/>
        <v>120428.73859000001</v>
      </c>
      <c r="L938" s="364">
        <f t="shared" si="327"/>
        <v>108006.05088</v>
      </c>
      <c r="M938" s="364">
        <f t="shared" si="327"/>
        <v>104506.35027000002</v>
      </c>
      <c r="N938" s="364">
        <f t="shared" si="327"/>
        <v>111912.35680999998</v>
      </c>
      <c r="O938" s="364">
        <f t="shared" si="327"/>
        <v>146561.39321000001</v>
      </c>
      <c r="P938" s="364">
        <f t="shared" si="327"/>
        <v>154674.49</v>
      </c>
      <c r="Q938" s="364">
        <f t="shared" si="327"/>
        <v>165459.88702000005</v>
      </c>
      <c r="R938" s="364">
        <f t="shared" si="325"/>
        <v>1710062.4237500001</v>
      </c>
      <c r="S938" s="438">
        <f>R938-'JKP-3.1c - Rev Rates PGA Nov10'!R938</f>
        <v>39577.23844999983</v>
      </c>
    </row>
    <row r="939" spans="2:20" s="336" customFormat="1" x14ac:dyDescent="0.2">
      <c r="B939" s="336" t="s">
        <v>1184</v>
      </c>
      <c r="F939" s="418">
        <f t="shared" ref="F939:Q939" si="328">F155+F160+F162+F163+F164+F483+F488+F490+F491+F492</f>
        <v>86127.998800000001</v>
      </c>
      <c r="G939" s="418">
        <f t="shared" si="328"/>
        <v>83324.581520000007</v>
      </c>
      <c r="H939" s="418">
        <f t="shared" si="328"/>
        <v>86917.260620000015</v>
      </c>
      <c r="I939" s="418">
        <f t="shared" si="328"/>
        <v>84666.964939999991</v>
      </c>
      <c r="J939" s="418">
        <f t="shared" si="328"/>
        <v>80733.535100000008</v>
      </c>
      <c r="K939" s="418">
        <f t="shared" si="328"/>
        <v>81611.406400000007</v>
      </c>
      <c r="L939" s="418">
        <f t="shared" si="328"/>
        <v>96966.755579999997</v>
      </c>
      <c r="M939" s="418">
        <f t="shared" si="328"/>
        <v>97985.136160000009</v>
      </c>
      <c r="N939" s="418">
        <f t="shared" si="328"/>
        <v>100738.02624000001</v>
      </c>
      <c r="O939" s="418">
        <f t="shared" si="328"/>
        <v>108872.20963999999</v>
      </c>
      <c r="P939" s="418">
        <f t="shared" si="328"/>
        <v>131445.95082</v>
      </c>
      <c r="Q939" s="418">
        <f t="shared" si="328"/>
        <v>153563.71507999999</v>
      </c>
      <c r="R939" s="364">
        <f t="shared" si="325"/>
        <v>1192953.5408999999</v>
      </c>
      <c r="S939" s="438">
        <f>R939-'JKP-3.1c - Rev Rates PGA Nov10'!R939</f>
        <v>43114.429339999799</v>
      </c>
      <c r="T939" s="415"/>
    </row>
    <row r="940" spans="2:20" s="336" customFormat="1" x14ac:dyDescent="0.2">
      <c r="B940" s="336" t="s">
        <v>1185</v>
      </c>
      <c r="F940" s="418">
        <f t="shared" ref="F940:Q940" si="329">F191+F196+F198+F199+F519+F524+F526+F527</f>
        <v>551526.05991999991</v>
      </c>
      <c r="G940" s="418">
        <f t="shared" si="329"/>
        <v>543848.11335</v>
      </c>
      <c r="H940" s="418">
        <f t="shared" si="329"/>
        <v>599045.70825999998</v>
      </c>
      <c r="I940" s="418">
        <f t="shared" si="329"/>
        <v>773909.0307</v>
      </c>
      <c r="J940" s="418">
        <f t="shared" si="329"/>
        <v>699264.49230000004</v>
      </c>
      <c r="K940" s="418">
        <f t="shared" si="329"/>
        <v>600609.73647999996</v>
      </c>
      <c r="L940" s="418">
        <f t="shared" si="329"/>
        <v>558148.92374999984</v>
      </c>
      <c r="M940" s="418">
        <f t="shared" si="329"/>
        <v>556997.34831999999</v>
      </c>
      <c r="N940" s="418">
        <f t="shared" si="329"/>
        <v>561423.25109999999</v>
      </c>
      <c r="O940" s="418">
        <f t="shared" si="329"/>
        <v>565087.25683000009</v>
      </c>
      <c r="P940" s="418">
        <f t="shared" si="329"/>
        <v>572751.60968000011</v>
      </c>
      <c r="Q940" s="418">
        <f t="shared" si="329"/>
        <v>546553.21441999997</v>
      </c>
      <c r="R940" s="364">
        <f t="shared" si="325"/>
        <v>7129164.7451099996</v>
      </c>
      <c r="S940" s="438">
        <f>R940-'JKP-3.1c - Rev Rates PGA Nov10'!R940</f>
        <v>168728.19232999906</v>
      </c>
      <c r="T940" s="415"/>
    </row>
    <row r="941" spans="2:20" s="336" customFormat="1" x14ac:dyDescent="0.2">
      <c r="B941" s="338" t="s">
        <v>1186</v>
      </c>
      <c r="F941" s="418">
        <f>F552+F556+F558+F559</f>
        <v>0</v>
      </c>
      <c r="G941" s="418">
        <f t="shared" ref="G941:Q941" si="330">G552+G556+G558+G559</f>
        <v>0</v>
      </c>
      <c r="H941" s="418">
        <f t="shared" si="330"/>
        <v>0</v>
      </c>
      <c r="I941" s="418">
        <f t="shared" si="330"/>
        <v>0</v>
      </c>
      <c r="J941" s="418">
        <f t="shared" si="330"/>
        <v>0</v>
      </c>
      <c r="K941" s="418">
        <f t="shared" si="330"/>
        <v>454.33</v>
      </c>
      <c r="L941" s="418">
        <f t="shared" si="330"/>
        <v>454.33</v>
      </c>
      <c r="M941" s="418">
        <f t="shared" si="330"/>
        <v>825.98322000000007</v>
      </c>
      <c r="N941" s="418">
        <f t="shared" si="330"/>
        <v>1899.77217</v>
      </c>
      <c r="O941" s="418">
        <f t="shared" si="330"/>
        <v>1690.7878199999998</v>
      </c>
      <c r="P941" s="418">
        <f t="shared" si="330"/>
        <v>649.87677999999994</v>
      </c>
      <c r="Q941" s="418">
        <f t="shared" si="330"/>
        <v>494.33281999999997</v>
      </c>
      <c r="R941" s="364">
        <f t="shared" si="325"/>
        <v>6469.4128099999989</v>
      </c>
      <c r="S941" s="438">
        <f>R941-'JKP-3.1c - Rev Rates PGA Nov10'!R941</f>
        <v>153.33090999999968</v>
      </c>
      <c r="T941" s="415"/>
    </row>
    <row r="942" spans="2:20" s="336" customFormat="1" x14ac:dyDescent="0.2">
      <c r="B942" s="336" t="s">
        <v>1187</v>
      </c>
      <c r="F942" s="418">
        <f t="shared" ref="F942:Q942" si="331">F232+F240+F242+F243+F592+F600+F602+F603</f>
        <v>353476.39812000003</v>
      </c>
      <c r="G942" s="418">
        <f t="shared" si="331"/>
        <v>316122.64639000001</v>
      </c>
      <c r="H942" s="418">
        <f t="shared" si="331"/>
        <v>344902.85956000001</v>
      </c>
      <c r="I942" s="418">
        <f t="shared" si="331"/>
        <v>342023.00992000004</v>
      </c>
      <c r="J942" s="418">
        <f t="shared" si="331"/>
        <v>387154.66240000003</v>
      </c>
      <c r="K942" s="418">
        <f t="shared" si="331"/>
        <v>330348.47559000005</v>
      </c>
      <c r="L942" s="418">
        <f t="shared" si="331"/>
        <v>374019.16223000002</v>
      </c>
      <c r="M942" s="418">
        <f t="shared" si="331"/>
        <v>352689.56851000007</v>
      </c>
      <c r="N942" s="418">
        <f t="shared" si="331"/>
        <v>334069.8664</v>
      </c>
      <c r="O942" s="418">
        <f t="shared" si="331"/>
        <v>337592.60749000002</v>
      </c>
      <c r="P942" s="418">
        <f t="shared" si="331"/>
        <v>318156.46978000004</v>
      </c>
      <c r="Q942" s="418">
        <f t="shared" si="331"/>
        <v>318382.16136000003</v>
      </c>
      <c r="R942" s="364">
        <f t="shared" si="325"/>
        <v>4108937.8877499998</v>
      </c>
      <c r="S942" s="438">
        <f>R942-'JKP-3.1c - Rev Rates PGA Nov10'!R942</f>
        <v>99110.023599999957</v>
      </c>
      <c r="T942" s="415"/>
    </row>
    <row r="943" spans="2:20" s="336" customFormat="1" x14ac:dyDescent="0.2">
      <c r="B943" s="338" t="s">
        <v>844</v>
      </c>
      <c r="F943" s="418">
        <f t="shared" ref="F943:Q943" si="332">F784+F792+F793</f>
        <v>147844.68884000002</v>
      </c>
      <c r="G943" s="418">
        <f t="shared" si="332"/>
        <v>144640.38925000001</v>
      </c>
      <c r="H943" s="418">
        <f t="shared" si="332"/>
        <v>148521.02406999998</v>
      </c>
      <c r="I943" s="418">
        <f t="shared" si="332"/>
        <v>141509.56293000001</v>
      </c>
      <c r="J943" s="418">
        <f t="shared" si="332"/>
        <v>134695.71002</v>
      </c>
      <c r="K943" s="418">
        <f t="shared" si="332"/>
        <v>124650.01813</v>
      </c>
      <c r="L943" s="418">
        <f t="shared" si="332"/>
        <v>121456.12259999999</v>
      </c>
      <c r="M943" s="418">
        <f t="shared" si="332"/>
        <v>120144.57382999999</v>
      </c>
      <c r="N943" s="418">
        <f t="shared" si="332"/>
        <v>121765.58416999999</v>
      </c>
      <c r="O943" s="418">
        <f t="shared" si="332"/>
        <v>136690.63224000001</v>
      </c>
      <c r="P943" s="418">
        <f t="shared" si="332"/>
        <v>153373.85145000002</v>
      </c>
      <c r="Q943" s="418">
        <f t="shared" si="332"/>
        <v>154443.28573</v>
      </c>
      <c r="R943" s="364">
        <f t="shared" si="325"/>
        <v>1649735.4432599996</v>
      </c>
      <c r="S943" s="438">
        <f>R943-'JKP-3.1c - Rev Rates PGA Nov10'!R943</f>
        <v>16967.159999999683</v>
      </c>
      <c r="T943" s="415"/>
    </row>
    <row r="944" spans="2:20" x14ac:dyDescent="0.2">
      <c r="B944" s="343" t="s">
        <v>1188</v>
      </c>
      <c r="F944" s="365">
        <f t="shared" ref="F944:R944" si="333">SUM(F930:F943)</f>
        <v>46694737.283480003</v>
      </c>
      <c r="G944" s="365">
        <f t="shared" si="333"/>
        <v>40343150.23692999</v>
      </c>
      <c r="H944" s="365">
        <f t="shared" si="333"/>
        <v>40843221.649509996</v>
      </c>
      <c r="I944" s="365">
        <f t="shared" si="333"/>
        <v>34856558.61084</v>
      </c>
      <c r="J944" s="365">
        <f t="shared" si="333"/>
        <v>28585381.615409996</v>
      </c>
      <c r="K944" s="365">
        <f t="shared" si="333"/>
        <v>22933563.658980004</v>
      </c>
      <c r="L944" s="365">
        <f t="shared" si="333"/>
        <v>19657826.720759999</v>
      </c>
      <c r="M944" s="365">
        <f t="shared" si="333"/>
        <v>19230705.499460001</v>
      </c>
      <c r="N944" s="365">
        <f t="shared" si="333"/>
        <v>21071782.94633</v>
      </c>
      <c r="O944" s="365">
        <f t="shared" si="333"/>
        <v>29789461.341200002</v>
      </c>
      <c r="P944" s="365">
        <f t="shared" si="333"/>
        <v>44683203.638760008</v>
      </c>
      <c r="Q944" s="365">
        <f t="shared" si="333"/>
        <v>53260778.546349995</v>
      </c>
      <c r="R944" s="365">
        <f t="shared" si="333"/>
        <v>401950371.74800998</v>
      </c>
      <c r="S944" s="365">
        <f>SUM(S930:S943)</f>
        <v>18001388.606509987</v>
      </c>
      <c r="T944" s="417"/>
    </row>
    <row r="945" spans="2:19" x14ac:dyDescent="0.2">
      <c r="F945" s="364"/>
      <c r="G945" s="364"/>
      <c r="H945" s="364"/>
      <c r="I945" s="364"/>
      <c r="J945" s="364"/>
      <c r="K945" s="364"/>
      <c r="L945" s="364"/>
      <c r="M945" s="364"/>
      <c r="N945" s="364"/>
      <c r="O945" s="364"/>
      <c r="P945" s="364"/>
      <c r="Q945" s="364"/>
      <c r="R945" s="364"/>
    </row>
    <row r="946" spans="2:19" x14ac:dyDescent="0.2">
      <c r="B946" s="488" t="s">
        <v>186</v>
      </c>
    </row>
    <row r="947" spans="2:19" x14ac:dyDescent="0.2">
      <c r="B947" s="343" t="s">
        <v>827</v>
      </c>
      <c r="F947" s="364">
        <f t="shared" ref="F947:Q947" si="334">F20</f>
        <v>738.18</v>
      </c>
      <c r="G947" s="364">
        <f t="shared" si="334"/>
        <v>738.18</v>
      </c>
      <c r="H947" s="364">
        <f t="shared" si="334"/>
        <v>738.18</v>
      </c>
      <c r="I947" s="364">
        <f t="shared" si="334"/>
        <v>738.18</v>
      </c>
      <c r="J947" s="364">
        <f t="shared" si="334"/>
        <v>738.18</v>
      </c>
      <c r="K947" s="364">
        <f t="shared" si="334"/>
        <v>738.18</v>
      </c>
      <c r="L947" s="364">
        <f t="shared" si="334"/>
        <v>724.51</v>
      </c>
      <c r="M947" s="364">
        <f t="shared" si="334"/>
        <v>724.51</v>
      </c>
      <c r="N947" s="364">
        <f t="shared" si="334"/>
        <v>724.51</v>
      </c>
      <c r="O947" s="364">
        <f t="shared" si="334"/>
        <v>724.51</v>
      </c>
      <c r="P947" s="364">
        <f t="shared" si="334"/>
        <v>724.51</v>
      </c>
      <c r="Q947" s="364">
        <f t="shared" si="334"/>
        <v>724.51</v>
      </c>
      <c r="R947" s="364">
        <f>SUM(F947:Q947)</f>
        <v>8776.1400000000012</v>
      </c>
      <c r="S947" s="438">
        <f>R947-'JKP-3.1c - Rev Rates PGA Nov10'!R947</f>
        <v>0</v>
      </c>
    </row>
    <row r="948" spans="2:19" x14ac:dyDescent="0.2">
      <c r="B948" s="343" t="s">
        <v>828</v>
      </c>
      <c r="F948" s="418">
        <f t="shared" ref="F948:Q948" si="335">F39</f>
        <v>51235918</v>
      </c>
      <c r="G948" s="418">
        <f t="shared" si="335"/>
        <v>42001949</v>
      </c>
      <c r="H948" s="418">
        <f t="shared" si="335"/>
        <v>42618957</v>
      </c>
      <c r="I948" s="418">
        <f t="shared" si="335"/>
        <v>33473561</v>
      </c>
      <c r="J948" s="418">
        <f t="shared" si="335"/>
        <v>24026121</v>
      </c>
      <c r="K948" s="418">
        <f t="shared" si="335"/>
        <v>15803211</v>
      </c>
      <c r="L948" s="418">
        <f t="shared" si="335"/>
        <v>10853798</v>
      </c>
      <c r="M948" s="418">
        <f t="shared" si="335"/>
        <v>10212419</v>
      </c>
      <c r="N948" s="418">
        <f t="shared" si="335"/>
        <v>13042929</v>
      </c>
      <c r="O948" s="418">
        <f t="shared" si="335"/>
        <v>26287544</v>
      </c>
      <c r="P948" s="418">
        <f t="shared" si="335"/>
        <v>48562048</v>
      </c>
      <c r="Q948" s="418">
        <f t="shared" si="335"/>
        <v>60985836</v>
      </c>
      <c r="R948" s="364">
        <f t="shared" ref="R948:R960" si="336">SUM(F948:Q948)</f>
        <v>379104291</v>
      </c>
      <c r="S948" s="438">
        <f>R948-'JKP-3.1c - Rev Rates PGA Nov10'!R948</f>
        <v>0</v>
      </c>
    </row>
    <row r="949" spans="2:19" x14ac:dyDescent="0.2">
      <c r="B949" s="343" t="s">
        <v>829</v>
      </c>
      <c r="F949" s="418">
        <f t="shared" ref="F949:Q949" si="337">+F57</f>
        <v>821.31404999999995</v>
      </c>
      <c r="G949" s="418">
        <f t="shared" si="337"/>
        <v>865.38455999999996</v>
      </c>
      <c r="H949" s="418">
        <f t="shared" si="337"/>
        <v>1205.92941</v>
      </c>
      <c r="I949" s="418">
        <f t="shared" si="337"/>
        <v>877.40378999999996</v>
      </c>
      <c r="J949" s="418">
        <f t="shared" si="337"/>
        <v>580.92944999999997</v>
      </c>
      <c r="K949" s="418">
        <f t="shared" si="337"/>
        <v>428.68586999999997</v>
      </c>
      <c r="L949" s="418">
        <f t="shared" si="337"/>
        <v>356.57049000000001</v>
      </c>
      <c r="M949" s="418">
        <f t="shared" si="337"/>
        <v>344.55125999999996</v>
      </c>
      <c r="N949" s="418">
        <f t="shared" si="337"/>
        <v>336.53843999999998</v>
      </c>
      <c r="O949" s="418">
        <f t="shared" si="337"/>
        <v>641.02559999999994</v>
      </c>
      <c r="P949" s="418">
        <f t="shared" si="337"/>
        <v>889.42301999999995</v>
      </c>
      <c r="Q949" s="418">
        <f t="shared" si="337"/>
        <v>1121.7947999999999</v>
      </c>
      <c r="R949" s="364">
        <f t="shared" si="336"/>
        <v>8469.5507400000006</v>
      </c>
      <c r="S949" s="438">
        <f>R949-'JKP-3.1c - Rev Rates PGA Nov10'!R949</f>
        <v>0</v>
      </c>
    </row>
    <row r="950" spans="2:19" x14ac:dyDescent="0.2">
      <c r="B950" s="346" t="s">
        <v>830</v>
      </c>
      <c r="F950" s="364">
        <f t="shared" ref="F950:Q950" si="338">F86+F414</f>
        <v>17414845.942759998</v>
      </c>
      <c r="G950" s="364">
        <f t="shared" si="338"/>
        <v>14229520.882149998</v>
      </c>
      <c r="H950" s="364">
        <f t="shared" si="338"/>
        <v>14429623.324339999</v>
      </c>
      <c r="I950" s="364">
        <f t="shared" si="338"/>
        <v>11657942.88036</v>
      </c>
      <c r="J950" s="364">
        <f t="shared" si="338"/>
        <v>8974619.8410399985</v>
      </c>
      <c r="K950" s="364">
        <f t="shared" si="338"/>
        <v>6662287.6704999991</v>
      </c>
      <c r="L950" s="364">
        <f t="shared" si="338"/>
        <v>5336720.9887600001</v>
      </c>
      <c r="M950" s="364">
        <f t="shared" si="338"/>
        <v>5226353.1221999992</v>
      </c>
      <c r="N950" s="364">
        <f t="shared" si="338"/>
        <v>5887937.7745999992</v>
      </c>
      <c r="O950" s="364">
        <f t="shared" si="338"/>
        <v>9456018.5564599987</v>
      </c>
      <c r="P950" s="364">
        <f t="shared" si="338"/>
        <v>16154581.72419</v>
      </c>
      <c r="Q950" s="364">
        <f t="shared" si="338"/>
        <v>20559055.060739998</v>
      </c>
      <c r="R950" s="364">
        <f t="shared" si="336"/>
        <v>135989507.76809996</v>
      </c>
      <c r="S950" s="438">
        <f>R950-'JKP-3.1c - Rev Rates PGA Nov10'!R950</f>
        <v>0</v>
      </c>
    </row>
    <row r="951" spans="2:19" x14ac:dyDescent="0.2">
      <c r="B951" s="343" t="s">
        <v>832</v>
      </c>
      <c r="F951" s="364">
        <f t="shared" ref="F951:Q951" si="339">F122+F125+F450+F453</f>
        <v>5455030.749400001</v>
      </c>
      <c r="G951" s="364">
        <f t="shared" si="339"/>
        <v>4812714.2074199999</v>
      </c>
      <c r="H951" s="364">
        <f t="shared" si="339"/>
        <v>5135890.1946600005</v>
      </c>
      <c r="I951" s="364">
        <f t="shared" si="339"/>
        <v>4569837.7531199995</v>
      </c>
      <c r="J951" s="364">
        <f t="shared" si="339"/>
        <v>4129966.33458</v>
      </c>
      <c r="K951" s="364">
        <f t="shared" si="339"/>
        <v>3424993.0913</v>
      </c>
      <c r="L951" s="364">
        <f t="shared" si="339"/>
        <v>3001226.5172999999</v>
      </c>
      <c r="M951" s="364">
        <f t="shared" si="339"/>
        <v>2987817.9660999994</v>
      </c>
      <c r="N951" s="364">
        <f t="shared" si="339"/>
        <v>3155679.5590400002</v>
      </c>
      <c r="O951" s="364">
        <f t="shared" si="339"/>
        <v>4030050.0619600001</v>
      </c>
      <c r="P951" s="364">
        <f t="shared" si="339"/>
        <v>5114764.8950200006</v>
      </c>
      <c r="Q951" s="364">
        <f t="shared" si="339"/>
        <v>5684252.2627800005</v>
      </c>
      <c r="R951" s="364">
        <f t="shared" si="336"/>
        <v>51502223.59268</v>
      </c>
      <c r="S951" s="438">
        <f>R951-'JKP-3.1c - Rev Rates PGA Nov10'!R951</f>
        <v>0</v>
      </c>
    </row>
    <row r="952" spans="2:19" x14ac:dyDescent="0.2">
      <c r="B952" s="343" t="s">
        <v>836</v>
      </c>
      <c r="R952" s="364">
        <f t="shared" si="336"/>
        <v>0</v>
      </c>
      <c r="S952" s="438">
        <f>R952-'JKP-3.1c - Rev Rates PGA Nov10'!R952</f>
        <v>0</v>
      </c>
    </row>
    <row r="953" spans="2:19" x14ac:dyDescent="0.2">
      <c r="B953" s="343" t="s">
        <v>837</v>
      </c>
      <c r="F953" s="364">
        <f t="shared" ref="F953:Q953" si="340">F292+F296+F651+F655</f>
        <v>1190573.4712499999</v>
      </c>
      <c r="G953" s="364">
        <f t="shared" si="340"/>
        <v>1066122.2537499999</v>
      </c>
      <c r="H953" s="364">
        <f t="shared" si="340"/>
        <v>1196391.8099999998</v>
      </c>
      <c r="I953" s="364">
        <f t="shared" si="340"/>
        <v>1061962.99125</v>
      </c>
      <c r="J953" s="364">
        <f t="shared" si="340"/>
        <v>919489.40500000014</v>
      </c>
      <c r="K953" s="364">
        <f t="shared" si="340"/>
        <v>727831.38249999995</v>
      </c>
      <c r="L953" s="364">
        <f t="shared" si="340"/>
        <v>625707.9325</v>
      </c>
      <c r="M953" s="364">
        <f t="shared" si="340"/>
        <v>630318.15249999997</v>
      </c>
      <c r="N953" s="364">
        <f t="shared" si="340"/>
        <v>666302.73125000007</v>
      </c>
      <c r="O953" s="364">
        <f t="shared" si="340"/>
        <v>886764.14249999996</v>
      </c>
      <c r="P953" s="364">
        <f t="shared" si="340"/>
        <v>1139981.2337499999</v>
      </c>
      <c r="Q953" s="364">
        <f t="shared" si="340"/>
        <v>1211965.5699999998</v>
      </c>
      <c r="R953" s="364">
        <f t="shared" si="336"/>
        <v>11323411.07625</v>
      </c>
      <c r="S953" s="438">
        <f>R953-'JKP-3.1c - Rev Rates PGA Nov10'!R953</f>
        <v>0</v>
      </c>
    </row>
    <row r="954" spans="2:19" x14ac:dyDescent="0.2">
      <c r="B954" s="343" t="s">
        <v>839</v>
      </c>
      <c r="F954" s="364">
        <f t="shared" ref="F954:Q954" si="341">F334+F338+F693+F697</f>
        <v>1231628.8218800002</v>
      </c>
      <c r="G954" s="364">
        <f t="shared" si="341"/>
        <v>1045572.71564</v>
      </c>
      <c r="H954" s="364">
        <f t="shared" si="341"/>
        <v>1027466.7778200001</v>
      </c>
      <c r="I954" s="364">
        <f t="shared" si="341"/>
        <v>848784.24047000008</v>
      </c>
      <c r="J954" s="364">
        <f t="shared" si="341"/>
        <v>705332.99782000005</v>
      </c>
      <c r="K954" s="364">
        <f t="shared" si="341"/>
        <v>482784.92248999997</v>
      </c>
      <c r="L954" s="364">
        <f t="shared" si="341"/>
        <v>288183.92418999999</v>
      </c>
      <c r="M954" s="364">
        <f t="shared" si="341"/>
        <v>255697.86974000002</v>
      </c>
      <c r="N954" s="364">
        <f t="shared" si="341"/>
        <v>355459.12822999997</v>
      </c>
      <c r="O954" s="364">
        <f t="shared" si="341"/>
        <v>646431.51114999992</v>
      </c>
      <c r="P954" s="364">
        <f t="shared" si="341"/>
        <v>1038838.36957</v>
      </c>
      <c r="Q954" s="364">
        <f t="shared" si="341"/>
        <v>1186636.0586100002</v>
      </c>
      <c r="R954" s="364">
        <f t="shared" si="336"/>
        <v>9112817.3376099989</v>
      </c>
      <c r="S954" s="438">
        <f>R954-'JKP-3.1c - Rev Rates PGA Nov10'!R954</f>
        <v>0</v>
      </c>
    </row>
    <row r="955" spans="2:19" x14ac:dyDescent="0.2">
      <c r="B955" s="343" t="s">
        <v>841</v>
      </c>
      <c r="F955" s="364">
        <f t="shared" ref="F955:Q955" si="342">F388+F392+F747+F751</f>
        <v>2029154.6421400001</v>
      </c>
      <c r="G955" s="364">
        <f t="shared" si="342"/>
        <v>1815479.9972400002</v>
      </c>
      <c r="H955" s="364">
        <f t="shared" si="342"/>
        <v>1905201.7161700001</v>
      </c>
      <c r="I955" s="364">
        <f t="shared" si="342"/>
        <v>1733396.0636200001</v>
      </c>
      <c r="J955" s="364">
        <f t="shared" si="342"/>
        <v>1602587.5312000001</v>
      </c>
      <c r="K955" s="364">
        <f t="shared" si="342"/>
        <v>1321918.5414800004</v>
      </c>
      <c r="L955" s="364">
        <f t="shared" si="342"/>
        <v>1102353.1532600001</v>
      </c>
      <c r="M955" s="364">
        <f t="shared" si="342"/>
        <v>1040824.16781</v>
      </c>
      <c r="N955" s="364">
        <f t="shared" si="342"/>
        <v>1141358.5531900001</v>
      </c>
      <c r="O955" s="364">
        <f t="shared" si="342"/>
        <v>1560353.1703100002</v>
      </c>
      <c r="P955" s="364">
        <f t="shared" si="342"/>
        <v>1985369.7732400002</v>
      </c>
      <c r="Q955" s="364">
        <f t="shared" si="342"/>
        <v>2237817.0110400002</v>
      </c>
      <c r="R955" s="364">
        <f t="shared" si="336"/>
        <v>19475814.320700005</v>
      </c>
      <c r="S955" s="438">
        <f>R955-'JKP-3.1c - Rev Rates PGA Nov10'!R955</f>
        <v>0</v>
      </c>
    </row>
    <row r="956" spans="2:19" x14ac:dyDescent="0.2">
      <c r="B956" s="32" t="s">
        <v>1184</v>
      </c>
      <c r="F956" s="364">
        <f t="shared" ref="F956:Q956" si="343">F161+F489</f>
        <v>286.80399999999997</v>
      </c>
      <c r="G956" s="364">
        <f t="shared" si="343"/>
        <v>269.68270000000001</v>
      </c>
      <c r="H956" s="364">
        <f t="shared" si="343"/>
        <v>312.03409999999997</v>
      </c>
      <c r="I956" s="364">
        <f t="shared" si="343"/>
        <v>298.20769999999999</v>
      </c>
      <c r="J956" s="364">
        <f t="shared" si="343"/>
        <v>273.65449999999998</v>
      </c>
      <c r="K956" s="364">
        <f t="shared" si="343"/>
        <v>279.66399999999999</v>
      </c>
      <c r="L956" s="364">
        <f t="shared" si="343"/>
        <v>351.47490000000005</v>
      </c>
      <c r="M956" s="364">
        <f t="shared" si="343"/>
        <v>353.78980000000001</v>
      </c>
      <c r="N956" s="364">
        <f t="shared" si="343"/>
        <v>367.34530000000001</v>
      </c>
      <c r="O956" s="364">
        <f t="shared" si="343"/>
        <v>396.58219999999994</v>
      </c>
      <c r="P956" s="364">
        <f t="shared" si="343"/>
        <v>495.28710000000001</v>
      </c>
      <c r="Q956" s="364">
        <f t="shared" si="343"/>
        <v>569.26940000000002</v>
      </c>
      <c r="R956" s="364">
        <f t="shared" si="336"/>
        <v>4253.7956999999997</v>
      </c>
      <c r="S956" s="438">
        <f>R956-'JKP-3.1c - Rev Rates PGA Nov10'!R956</f>
        <v>0</v>
      </c>
    </row>
    <row r="957" spans="2:19" x14ac:dyDescent="0.2">
      <c r="B957" s="32" t="s">
        <v>1185</v>
      </c>
      <c r="F957" s="364">
        <f t="shared" ref="F957:Q957" si="344">F197+F525</f>
        <v>3723.9342000000001</v>
      </c>
      <c r="G957" s="364">
        <f t="shared" si="344"/>
        <v>3544.1875</v>
      </c>
      <c r="H957" s="364">
        <f t="shared" si="344"/>
        <v>4044.5383999999995</v>
      </c>
      <c r="I957" s="364">
        <f t="shared" si="344"/>
        <v>3846.3018999999999</v>
      </c>
      <c r="J957" s="364">
        <f t="shared" si="344"/>
        <v>3822.9169999999999</v>
      </c>
      <c r="K957" s="364">
        <f t="shared" si="344"/>
        <v>4028.395</v>
      </c>
      <c r="L957" s="364">
        <f t="shared" si="344"/>
        <v>3660.6954999999998</v>
      </c>
      <c r="M957" s="364">
        <f t="shared" si="344"/>
        <v>3777.5598</v>
      </c>
      <c r="N957" s="364">
        <f t="shared" si="344"/>
        <v>3590.7269999999999</v>
      </c>
      <c r="O957" s="364">
        <f t="shared" si="344"/>
        <v>3908.1637000000001</v>
      </c>
      <c r="P957" s="364">
        <f t="shared" si="344"/>
        <v>3915.8714</v>
      </c>
      <c r="Q957" s="364">
        <f t="shared" si="344"/>
        <v>3807.2195000000002</v>
      </c>
      <c r="R957" s="364">
        <f t="shared" si="336"/>
        <v>45670.510900000001</v>
      </c>
      <c r="S957" s="438">
        <f>R957-'JKP-3.1c - Rev Rates PGA Nov10'!R957</f>
        <v>0</v>
      </c>
    </row>
    <row r="958" spans="2:19" x14ac:dyDescent="0.2">
      <c r="B958" s="338" t="s">
        <v>1186</v>
      </c>
      <c r="F958" s="364">
        <f>F557</f>
        <v>0</v>
      </c>
      <c r="G958" s="364">
        <f t="shared" ref="G958:Q958" si="345">G557</f>
        <v>0</v>
      </c>
      <c r="H958" s="364">
        <f t="shared" si="345"/>
        <v>0</v>
      </c>
      <c r="I958" s="364">
        <f t="shared" si="345"/>
        <v>0</v>
      </c>
      <c r="J958" s="364">
        <f t="shared" si="345"/>
        <v>0</v>
      </c>
      <c r="K958" s="364">
        <f t="shared" si="345"/>
        <v>0</v>
      </c>
      <c r="L958" s="364">
        <f t="shared" si="345"/>
        <v>0</v>
      </c>
      <c r="M958" s="364">
        <f t="shared" si="345"/>
        <v>1.5105999999999999</v>
      </c>
      <c r="N958" s="364">
        <f t="shared" si="345"/>
        <v>6.3441000000000001</v>
      </c>
      <c r="O958" s="364">
        <f t="shared" si="345"/>
        <v>5.6685999999999996</v>
      </c>
      <c r="P958" s="364">
        <f t="shared" si="345"/>
        <v>0.67410000000000003</v>
      </c>
      <c r="Q958" s="364">
        <f t="shared" si="345"/>
        <v>0.13789999999999999</v>
      </c>
      <c r="R958" s="364">
        <f t="shared" si="336"/>
        <v>14.335299999999998</v>
      </c>
      <c r="S958" s="438">
        <f>R958-'JKP-3.1c - Rev Rates PGA Nov10'!R958</f>
        <v>0</v>
      </c>
    </row>
    <row r="959" spans="2:19" x14ac:dyDescent="0.2">
      <c r="B959" s="32" t="s">
        <v>1187</v>
      </c>
      <c r="F959" s="364">
        <f t="shared" ref="F959:Q959" si="346">F241+F601</f>
        <v>6451.6479999999992</v>
      </c>
      <c r="G959" s="364">
        <f t="shared" si="346"/>
        <v>5226.2154</v>
      </c>
      <c r="H959" s="364">
        <f t="shared" si="346"/>
        <v>6116.6651000000002</v>
      </c>
      <c r="I959" s="364">
        <f t="shared" si="346"/>
        <v>5975.9755999999998</v>
      </c>
      <c r="J959" s="364">
        <f t="shared" si="346"/>
        <v>6659.9875999999995</v>
      </c>
      <c r="K959" s="364">
        <f t="shared" si="346"/>
        <v>5603.8289999999997</v>
      </c>
      <c r="L959" s="364">
        <f t="shared" si="346"/>
        <v>5947.7403999999997</v>
      </c>
      <c r="M959" s="364">
        <f t="shared" si="346"/>
        <v>6029.3373000000001</v>
      </c>
      <c r="N959" s="364">
        <f t="shared" si="346"/>
        <v>5279.5568000000003</v>
      </c>
      <c r="O959" s="364">
        <f t="shared" si="346"/>
        <v>5567.7152999999998</v>
      </c>
      <c r="P959" s="364">
        <f t="shared" si="346"/>
        <v>5093.8768999999993</v>
      </c>
      <c r="Q959" s="364">
        <f t="shared" si="346"/>
        <v>5364.8202999999994</v>
      </c>
      <c r="R959" s="364">
        <f t="shared" si="336"/>
        <v>69317.367700000003</v>
      </c>
      <c r="S959" s="438">
        <f>R959-'JKP-3.1c - Rev Rates PGA Nov10'!R959</f>
        <v>0</v>
      </c>
    </row>
    <row r="960" spans="2:19" x14ac:dyDescent="0.2">
      <c r="B960" s="343" t="s">
        <v>144</v>
      </c>
      <c r="F960" s="364">
        <v>0</v>
      </c>
      <c r="G960" s="364">
        <v>0</v>
      </c>
      <c r="H960" s="364">
        <v>0</v>
      </c>
      <c r="I960" s="364">
        <v>0</v>
      </c>
      <c r="J960" s="364">
        <v>0</v>
      </c>
      <c r="K960" s="364">
        <v>0</v>
      </c>
      <c r="L960" s="364">
        <v>0</v>
      </c>
      <c r="M960" s="364">
        <v>0</v>
      </c>
      <c r="N960" s="364">
        <v>0</v>
      </c>
      <c r="O960" s="364">
        <v>0</v>
      </c>
      <c r="P960" s="364">
        <v>0</v>
      </c>
      <c r="Q960" s="364">
        <v>0</v>
      </c>
      <c r="R960" s="364">
        <f t="shared" si="336"/>
        <v>0</v>
      </c>
      <c r="S960" s="438">
        <f>R960-'JKP-3.1c - Rev Rates PGA Nov10'!R960</f>
        <v>0</v>
      </c>
    </row>
    <row r="961" spans="2:24" x14ac:dyDescent="0.2">
      <c r="B961" s="343" t="s">
        <v>1189</v>
      </c>
      <c r="F961" s="365">
        <f t="shared" ref="F961:S961" si="347">SUM(F947:F960)</f>
        <v>78569173.507679999</v>
      </c>
      <c r="G961" s="365">
        <f t="shared" si="347"/>
        <v>64982002.70635999</v>
      </c>
      <c r="H961" s="365">
        <f t="shared" si="347"/>
        <v>66325948.170000009</v>
      </c>
      <c r="I961" s="365">
        <f t="shared" si="347"/>
        <v>53357220.997809991</v>
      </c>
      <c r="J961" s="365">
        <f t="shared" si="347"/>
        <v>40370192.778189994</v>
      </c>
      <c r="K961" s="365">
        <f t="shared" si="347"/>
        <v>28434105.36214</v>
      </c>
      <c r="L961" s="365">
        <f t="shared" si="347"/>
        <v>21219031.507300004</v>
      </c>
      <c r="M961" s="365">
        <f t="shared" si="347"/>
        <v>20364661.537109997</v>
      </c>
      <c r="N961" s="365">
        <f t="shared" si="347"/>
        <v>24259971.767950002</v>
      </c>
      <c r="O961" s="365">
        <f t="shared" si="347"/>
        <v>42878405.107779995</v>
      </c>
      <c r="P961" s="365">
        <f t="shared" si="347"/>
        <v>74006703.638290003</v>
      </c>
      <c r="Q961" s="365">
        <f t="shared" si="347"/>
        <v>91877149.715069994</v>
      </c>
      <c r="R961" s="365">
        <f t="shared" si="347"/>
        <v>606644566.79567993</v>
      </c>
      <c r="S961" s="365">
        <f t="shared" si="347"/>
        <v>0</v>
      </c>
    </row>
    <row r="962" spans="2:24" s="336" customFormat="1" x14ac:dyDescent="0.2">
      <c r="B962" s="336" t="s">
        <v>131</v>
      </c>
      <c r="F962" s="418">
        <f>F961-F922-F923</f>
        <v>-1.1014890333171934E-8</v>
      </c>
      <c r="G962" s="418">
        <f t="shared" ref="G962:R962" si="348">G961-G922-G923</f>
        <v>-1.102444002754055E-8</v>
      </c>
      <c r="H962" s="418">
        <f t="shared" si="348"/>
        <v>1.8026867110165767E-8</v>
      </c>
      <c r="I962" s="418">
        <f t="shared" si="348"/>
        <v>-3.2701450436434243E-8</v>
      </c>
      <c r="J962" s="418">
        <f t="shared" si="348"/>
        <v>-9.6082430900423788E-9</v>
      </c>
      <c r="K962" s="418">
        <f t="shared" si="348"/>
        <v>-7.7005779530736618E-10</v>
      </c>
      <c r="L962" s="418">
        <f t="shared" si="348"/>
        <v>-1.0931557881121989E-9</v>
      </c>
      <c r="M962" s="418">
        <f t="shared" si="348"/>
        <v>-5.4931206250330433E-9</v>
      </c>
      <c r="N962" s="418">
        <f t="shared" si="348"/>
        <v>7.7164372669358272E-9</v>
      </c>
      <c r="O962" s="418">
        <f t="shared" si="348"/>
        <v>-6.2345861806534231E-9</v>
      </c>
      <c r="P962" s="418">
        <f t="shared" si="348"/>
        <v>2.0127345123910345E-8</v>
      </c>
      <c r="Q962" s="418">
        <f t="shared" si="348"/>
        <v>-1.5973000699887052E-9</v>
      </c>
      <c r="R962" s="418">
        <f t="shared" si="348"/>
        <v>-1.1562406143639237E-7</v>
      </c>
      <c r="S962" s="335"/>
      <c r="T962" s="415"/>
    </row>
    <row r="964" spans="2:24" x14ac:dyDescent="0.2">
      <c r="B964" s="488" t="s">
        <v>1190</v>
      </c>
      <c r="S964" s="438"/>
    </row>
    <row r="965" spans="2:24" x14ac:dyDescent="0.2">
      <c r="B965" s="343" t="s">
        <v>827</v>
      </c>
      <c r="F965" s="364">
        <f t="shared" ref="F965:Q976" si="349">F930+F947</f>
        <v>1273.8599999999999</v>
      </c>
      <c r="G965" s="364">
        <f t="shared" si="349"/>
        <v>1273.8599999999999</v>
      </c>
      <c r="H965" s="364">
        <f t="shared" si="349"/>
        <v>1273.8599999999999</v>
      </c>
      <c r="I965" s="364">
        <f t="shared" si="349"/>
        <v>1273.8599999999999</v>
      </c>
      <c r="J965" s="364">
        <f t="shared" si="349"/>
        <v>1273.8599999999999</v>
      </c>
      <c r="K965" s="364">
        <f t="shared" si="349"/>
        <v>1273.8599999999999</v>
      </c>
      <c r="L965" s="364">
        <f t="shared" si="349"/>
        <v>1250.27</v>
      </c>
      <c r="M965" s="364">
        <f t="shared" si="349"/>
        <v>1250.27</v>
      </c>
      <c r="N965" s="364">
        <f t="shared" si="349"/>
        <v>1250.27</v>
      </c>
      <c r="O965" s="364">
        <f t="shared" si="349"/>
        <v>1250.27</v>
      </c>
      <c r="P965" s="364">
        <f t="shared" si="349"/>
        <v>1250.27</v>
      </c>
      <c r="Q965" s="364">
        <f t="shared" si="349"/>
        <v>1250.27</v>
      </c>
      <c r="R965" s="364">
        <f t="shared" ref="R965:R972" si="350">SUM(F965:Q965)</f>
        <v>15144.78</v>
      </c>
      <c r="S965" s="438">
        <f t="shared" ref="S965:S976" si="351">S930+S947</f>
        <v>301.73999999999978</v>
      </c>
      <c r="V965" s="364"/>
      <c r="X965" s="522"/>
    </row>
    <row r="966" spans="2:24" x14ac:dyDescent="0.2">
      <c r="B966" s="343" t="s">
        <v>828</v>
      </c>
      <c r="F966" s="364">
        <f t="shared" si="349"/>
        <v>84839832</v>
      </c>
      <c r="G966" s="364">
        <f t="shared" si="349"/>
        <v>70823623</v>
      </c>
      <c r="H966" s="364">
        <f t="shared" si="349"/>
        <v>71771432</v>
      </c>
      <c r="I966" s="364">
        <f t="shared" si="349"/>
        <v>57880447</v>
      </c>
      <c r="J966" s="364">
        <f t="shared" si="349"/>
        <v>43534151</v>
      </c>
      <c r="K966" s="364">
        <f t="shared" si="349"/>
        <v>31052693</v>
      </c>
      <c r="L966" s="364">
        <f t="shared" si="349"/>
        <v>23537216</v>
      </c>
      <c r="M966" s="364">
        <f t="shared" si="349"/>
        <v>22554860</v>
      </c>
      <c r="N966" s="364">
        <f t="shared" si="349"/>
        <v>26867003</v>
      </c>
      <c r="O966" s="364">
        <f t="shared" si="349"/>
        <v>46978728</v>
      </c>
      <c r="P966" s="364">
        <f t="shared" si="349"/>
        <v>80824565</v>
      </c>
      <c r="Q966" s="364">
        <f t="shared" si="349"/>
        <v>99703108</v>
      </c>
      <c r="R966" s="364">
        <f t="shared" si="350"/>
        <v>660367658</v>
      </c>
      <c r="S966" s="438">
        <f t="shared" si="351"/>
        <v>13036599</v>
      </c>
      <c r="T966" s="417"/>
      <c r="V966" s="364"/>
      <c r="X966" s="522"/>
    </row>
    <row r="967" spans="2:24" x14ac:dyDescent="0.2">
      <c r="B967" s="343" t="s">
        <v>829</v>
      </c>
      <c r="F967" s="364">
        <f t="shared" si="349"/>
        <v>947.92665</v>
      </c>
      <c r="G967" s="364">
        <f t="shared" si="349"/>
        <v>996.10807999999997</v>
      </c>
      <c r="H967" s="364">
        <f t="shared" si="349"/>
        <v>1368.41913</v>
      </c>
      <c r="I967" s="364">
        <f t="shared" si="349"/>
        <v>1009.24847</v>
      </c>
      <c r="J967" s="364">
        <f t="shared" si="349"/>
        <v>685.11884999999995</v>
      </c>
      <c r="K967" s="364">
        <f t="shared" si="349"/>
        <v>518.67390999999998</v>
      </c>
      <c r="L967" s="364">
        <f t="shared" si="349"/>
        <v>449.83157</v>
      </c>
      <c r="M967" s="364">
        <f t="shared" si="349"/>
        <v>436.69117999999992</v>
      </c>
      <c r="N967" s="364">
        <f t="shared" si="349"/>
        <v>417.93092000000001</v>
      </c>
      <c r="O967" s="364">
        <f t="shared" si="349"/>
        <v>750.82079999999996</v>
      </c>
      <c r="P967" s="364">
        <f t="shared" si="349"/>
        <v>1022.38886</v>
      </c>
      <c r="Q967" s="364">
        <f t="shared" si="349"/>
        <v>1266.4363999999998</v>
      </c>
      <c r="R967" s="364">
        <f t="shared" si="350"/>
        <v>9869.5948200000003</v>
      </c>
      <c r="S967" s="438">
        <f t="shared" si="351"/>
        <v>52.32149999999956</v>
      </c>
      <c r="T967" s="417"/>
      <c r="V967" s="364"/>
      <c r="X967" s="522"/>
    </row>
    <row r="968" spans="2:24" x14ac:dyDescent="0.2">
      <c r="B968" s="346" t="s">
        <v>830</v>
      </c>
      <c r="F968" s="364">
        <f t="shared" si="349"/>
        <v>26886490.094399996</v>
      </c>
      <c r="G968" s="364">
        <f t="shared" si="349"/>
        <v>22292851.485999998</v>
      </c>
      <c r="H968" s="364">
        <f t="shared" si="349"/>
        <v>22579702.749600001</v>
      </c>
      <c r="I968" s="364">
        <f t="shared" si="349"/>
        <v>18582083.1248</v>
      </c>
      <c r="J968" s="364">
        <f t="shared" si="349"/>
        <v>14709704.937599998</v>
      </c>
      <c r="K968" s="364">
        <f t="shared" si="349"/>
        <v>11373892.34</v>
      </c>
      <c r="L968" s="364">
        <f t="shared" si="349"/>
        <v>9461148.2544</v>
      </c>
      <c r="M968" s="364">
        <f t="shared" si="349"/>
        <v>9300490.8079999983</v>
      </c>
      <c r="N968" s="364">
        <f t="shared" si="349"/>
        <v>10253777.384</v>
      </c>
      <c r="O968" s="364">
        <f t="shared" si="349"/>
        <v>15401264.3224</v>
      </c>
      <c r="P968" s="364">
        <f t="shared" si="349"/>
        <v>25056929.423600003</v>
      </c>
      <c r="Q968" s="364">
        <f t="shared" si="349"/>
        <v>31410222.765599996</v>
      </c>
      <c r="R968" s="364">
        <f t="shared" si="350"/>
        <v>217308557.69039997</v>
      </c>
      <c r="S968" s="438">
        <f t="shared" si="351"/>
        <v>3819257.4263999909</v>
      </c>
      <c r="V968" s="364"/>
      <c r="X968" s="522"/>
    </row>
    <row r="969" spans="2:24" x14ac:dyDescent="0.2">
      <c r="B969" s="343" t="s">
        <v>832</v>
      </c>
      <c r="F969" s="364">
        <f t="shared" si="349"/>
        <v>7232801.3801000006</v>
      </c>
      <c r="G969" s="364">
        <f t="shared" si="349"/>
        <v>6460473.0523399999</v>
      </c>
      <c r="H969" s="364">
        <f t="shared" si="349"/>
        <v>6846445.462340001</v>
      </c>
      <c r="I969" s="364">
        <f t="shared" si="349"/>
        <v>6166107.6162199993</v>
      </c>
      <c r="J969" s="364">
        <f t="shared" si="349"/>
        <v>5638337.6636800002</v>
      </c>
      <c r="K969" s="364">
        <f t="shared" si="349"/>
        <v>4815520.6275599999</v>
      </c>
      <c r="L969" s="364">
        <f t="shared" si="349"/>
        <v>4331132.4480799995</v>
      </c>
      <c r="M969" s="364">
        <f t="shared" si="349"/>
        <v>4309018.1568399994</v>
      </c>
      <c r="N969" s="364">
        <f t="shared" si="349"/>
        <v>4494219.5761799999</v>
      </c>
      <c r="O969" s="364">
        <f t="shared" si="349"/>
        <v>5509085.1240000008</v>
      </c>
      <c r="P969" s="364">
        <f t="shared" si="349"/>
        <v>6807361.6801399998</v>
      </c>
      <c r="Q969" s="364">
        <f t="shared" si="349"/>
        <v>7491828.8795400001</v>
      </c>
      <c r="R969" s="364">
        <f t="shared" si="350"/>
        <v>70102331.667019993</v>
      </c>
      <c r="S969" s="438">
        <f t="shared" si="351"/>
        <v>660646.69257999957</v>
      </c>
      <c r="V969" s="364"/>
      <c r="X969" s="522"/>
    </row>
    <row r="970" spans="2:24" x14ac:dyDescent="0.2">
      <c r="B970" s="343" t="s">
        <v>836</v>
      </c>
      <c r="F970" s="364">
        <f t="shared" si="349"/>
        <v>9391.0000000000018</v>
      </c>
      <c r="G970" s="364">
        <f t="shared" si="349"/>
        <v>9391.0000000000018</v>
      </c>
      <c r="H970" s="364">
        <f t="shared" si="349"/>
        <v>9416.5000000000018</v>
      </c>
      <c r="I970" s="364">
        <f t="shared" si="349"/>
        <v>9391.0000000000018</v>
      </c>
      <c r="J970" s="364">
        <f t="shared" si="349"/>
        <v>9628.3000000000011</v>
      </c>
      <c r="K970" s="364">
        <f t="shared" si="349"/>
        <v>9509.0000000000018</v>
      </c>
      <c r="L970" s="364">
        <f t="shared" si="349"/>
        <v>9708.5000000000018</v>
      </c>
      <c r="M970" s="364">
        <f t="shared" si="349"/>
        <v>9824.3000000000011</v>
      </c>
      <c r="N970" s="364">
        <f t="shared" si="349"/>
        <v>9763.0000000000018</v>
      </c>
      <c r="O970" s="364">
        <f t="shared" si="349"/>
        <v>9763.0000000000018</v>
      </c>
      <c r="P970" s="364">
        <f t="shared" si="349"/>
        <v>9763.0000000000018</v>
      </c>
      <c r="Q970" s="364">
        <f t="shared" si="349"/>
        <v>9763.0000000000018</v>
      </c>
      <c r="R970" s="364">
        <f t="shared" si="350"/>
        <v>115311.60000000002</v>
      </c>
      <c r="S970" s="438">
        <f t="shared" si="351"/>
        <v>0</v>
      </c>
      <c r="V970" s="364"/>
      <c r="X970" s="522"/>
    </row>
    <row r="971" spans="2:24" x14ac:dyDescent="0.2">
      <c r="B971" s="343" t="s">
        <v>837</v>
      </c>
      <c r="F971" s="364">
        <f t="shared" si="349"/>
        <v>1368858.2550299999</v>
      </c>
      <c r="G971" s="364">
        <f t="shared" si="349"/>
        <v>1245710.9812599998</v>
      </c>
      <c r="H971" s="364">
        <f t="shared" si="349"/>
        <v>1375669.5977699999</v>
      </c>
      <c r="I971" s="364">
        <f t="shared" si="349"/>
        <v>1228702.6287</v>
      </c>
      <c r="J971" s="364">
        <f t="shared" si="349"/>
        <v>1070974.1004600001</v>
      </c>
      <c r="K971" s="364">
        <f t="shared" si="349"/>
        <v>860656.72899999993</v>
      </c>
      <c r="L971" s="364">
        <f t="shared" si="349"/>
        <v>745635.31438</v>
      </c>
      <c r="M971" s="364">
        <f t="shared" si="349"/>
        <v>755352.44036000001</v>
      </c>
      <c r="N971" s="364">
        <f t="shared" si="349"/>
        <v>794690.29687000008</v>
      </c>
      <c r="O971" s="364">
        <f t="shared" si="349"/>
        <v>1035127.5499199999</v>
      </c>
      <c r="P971" s="364">
        <f t="shared" si="349"/>
        <v>1313228.3162599998</v>
      </c>
      <c r="Q971" s="364">
        <f t="shared" si="349"/>
        <v>1403614.6046099998</v>
      </c>
      <c r="R971" s="364">
        <f t="shared" si="350"/>
        <v>13198220.814619999</v>
      </c>
      <c r="S971" s="438">
        <f t="shared" si="351"/>
        <v>46068.265029999893</v>
      </c>
      <c r="V971" s="364"/>
      <c r="X971" s="522"/>
    </row>
    <row r="972" spans="2:24" x14ac:dyDescent="0.2">
      <c r="B972" s="343" t="s">
        <v>839</v>
      </c>
      <c r="F972" s="364">
        <f t="shared" si="349"/>
        <v>1589911.2530600003</v>
      </c>
      <c r="G972" s="364">
        <f t="shared" si="349"/>
        <v>1362805.7531999999</v>
      </c>
      <c r="H972" s="364">
        <f t="shared" si="349"/>
        <v>1338022.2521200001</v>
      </c>
      <c r="I972" s="364">
        <f t="shared" si="349"/>
        <v>1117701.8092700001</v>
      </c>
      <c r="J972" s="364">
        <f t="shared" si="349"/>
        <v>940713.87903000007</v>
      </c>
      <c r="K972" s="364">
        <f t="shared" si="349"/>
        <v>663671.65598000004</v>
      </c>
      <c r="L972" s="364">
        <f t="shared" si="349"/>
        <v>418953.20052999997</v>
      </c>
      <c r="M972" s="364">
        <f t="shared" si="349"/>
        <v>379999.04457000003</v>
      </c>
      <c r="N972" s="364">
        <f t="shared" si="349"/>
        <v>528221.8730299999</v>
      </c>
      <c r="O972" s="364">
        <f t="shared" si="349"/>
        <v>865171.17451999988</v>
      </c>
      <c r="P972" s="364">
        <f t="shared" si="349"/>
        <v>1349859.46694</v>
      </c>
      <c r="Q972" s="364">
        <f t="shared" si="349"/>
        <v>1530419.2507000002</v>
      </c>
      <c r="R972" s="364">
        <f t="shared" si="350"/>
        <v>12085450.612950001</v>
      </c>
      <c r="S972" s="438">
        <f t="shared" si="351"/>
        <v>70812.786369999871</v>
      </c>
      <c r="V972" s="364"/>
      <c r="X972" s="522"/>
    </row>
    <row r="973" spans="2:24" x14ac:dyDescent="0.2">
      <c r="B973" s="343" t="s">
        <v>841</v>
      </c>
      <c r="F973" s="364">
        <f t="shared" si="349"/>
        <v>2184967.4900400001</v>
      </c>
      <c r="G973" s="364">
        <f t="shared" si="349"/>
        <v>2031051.8863000001</v>
      </c>
      <c r="H973" s="364">
        <f t="shared" si="349"/>
        <v>2055978.8884400001</v>
      </c>
      <c r="I973" s="364">
        <f t="shared" si="349"/>
        <v>1874834.2675000001</v>
      </c>
      <c r="J973" s="364">
        <f t="shared" si="349"/>
        <v>1737500.5750600002</v>
      </c>
      <c r="K973" s="364">
        <f t="shared" si="349"/>
        <v>1442347.2800700003</v>
      </c>
      <c r="L973" s="364">
        <f t="shared" si="349"/>
        <v>1210359.20414</v>
      </c>
      <c r="M973" s="364">
        <f t="shared" si="349"/>
        <v>1145330.5180800001</v>
      </c>
      <c r="N973" s="364">
        <f t="shared" si="349"/>
        <v>1253270.9100000001</v>
      </c>
      <c r="O973" s="364">
        <f t="shared" si="349"/>
        <v>1706914.5635200003</v>
      </c>
      <c r="P973" s="364">
        <f t="shared" si="349"/>
        <v>2140044.2632400002</v>
      </c>
      <c r="Q973" s="364">
        <f t="shared" si="349"/>
        <v>2403276.8980600005</v>
      </c>
      <c r="R973" s="364">
        <f t="shared" ref="R973:R978" si="352">SUM(F973:Q973)</f>
        <v>21185876.744450003</v>
      </c>
      <c r="S973" s="438">
        <f t="shared" si="351"/>
        <v>39577.23844999983</v>
      </c>
      <c r="V973" s="364"/>
      <c r="X973" s="522"/>
    </row>
    <row r="974" spans="2:24" x14ac:dyDescent="0.2">
      <c r="B974" s="32" t="s">
        <v>1184</v>
      </c>
      <c r="F974" s="364">
        <f t="shared" si="349"/>
        <v>86414.802800000005</v>
      </c>
      <c r="G974" s="364">
        <f t="shared" si="349"/>
        <v>83594.264220000012</v>
      </c>
      <c r="H974" s="364">
        <f t="shared" si="349"/>
        <v>87229.29472000002</v>
      </c>
      <c r="I974" s="364">
        <f t="shared" si="349"/>
        <v>84965.17263999999</v>
      </c>
      <c r="J974" s="364">
        <f t="shared" si="349"/>
        <v>81007.189600000012</v>
      </c>
      <c r="K974" s="364">
        <f t="shared" si="349"/>
        <v>81891.070400000011</v>
      </c>
      <c r="L974" s="364">
        <f t="shared" si="349"/>
        <v>97318.230479999998</v>
      </c>
      <c r="M974" s="364">
        <f t="shared" si="349"/>
        <v>98338.925960000008</v>
      </c>
      <c r="N974" s="364">
        <f t="shared" si="349"/>
        <v>101105.37154000001</v>
      </c>
      <c r="O974" s="364">
        <f t="shared" si="349"/>
        <v>109268.79183999999</v>
      </c>
      <c r="P974" s="364">
        <f t="shared" si="349"/>
        <v>131941.23791999999</v>
      </c>
      <c r="Q974" s="364">
        <f t="shared" si="349"/>
        <v>154132.98447999998</v>
      </c>
      <c r="R974" s="364">
        <f t="shared" si="352"/>
        <v>1197207.3366</v>
      </c>
      <c r="S974" s="438">
        <f t="shared" si="351"/>
        <v>43114.429339999799</v>
      </c>
      <c r="V974" s="364"/>
      <c r="X974" s="522"/>
    </row>
    <row r="975" spans="2:24" x14ac:dyDescent="0.2">
      <c r="B975" s="32" t="s">
        <v>1185</v>
      </c>
      <c r="F975" s="364">
        <f t="shared" si="349"/>
        <v>555249.99411999993</v>
      </c>
      <c r="G975" s="364">
        <f t="shared" si="349"/>
        <v>547392.30085</v>
      </c>
      <c r="H975" s="364">
        <f t="shared" si="349"/>
        <v>603090.24665999995</v>
      </c>
      <c r="I975" s="364">
        <f t="shared" si="349"/>
        <v>777755.33259999997</v>
      </c>
      <c r="J975" s="364">
        <f t="shared" si="349"/>
        <v>703087.40930000006</v>
      </c>
      <c r="K975" s="364">
        <f t="shared" si="349"/>
        <v>604638.13147999998</v>
      </c>
      <c r="L975" s="364">
        <f t="shared" si="349"/>
        <v>561809.61924999987</v>
      </c>
      <c r="M975" s="364">
        <f t="shared" si="349"/>
        <v>560774.90812000004</v>
      </c>
      <c r="N975" s="364">
        <f t="shared" si="349"/>
        <v>565013.97809999995</v>
      </c>
      <c r="O975" s="364">
        <f t="shared" si="349"/>
        <v>568995.42053000012</v>
      </c>
      <c r="P975" s="364">
        <f t="shared" si="349"/>
        <v>576667.48108000006</v>
      </c>
      <c r="Q975" s="364">
        <f t="shared" si="349"/>
        <v>550360.43391999998</v>
      </c>
      <c r="R975" s="364">
        <f t="shared" si="352"/>
        <v>7174835.2560099987</v>
      </c>
      <c r="S975" s="438">
        <f t="shared" si="351"/>
        <v>168728.19232999906</v>
      </c>
      <c r="V975" s="364"/>
      <c r="X975" s="522"/>
    </row>
    <row r="976" spans="2:24" x14ac:dyDescent="0.2">
      <c r="B976" s="338" t="s">
        <v>1186</v>
      </c>
      <c r="F976" s="364">
        <f>F941+F958</f>
        <v>0</v>
      </c>
      <c r="G976" s="364">
        <f t="shared" si="349"/>
        <v>0</v>
      </c>
      <c r="H976" s="364">
        <f t="shared" si="349"/>
        <v>0</v>
      </c>
      <c r="I976" s="364">
        <f t="shared" si="349"/>
        <v>0</v>
      </c>
      <c r="J976" s="364">
        <f t="shared" si="349"/>
        <v>0</v>
      </c>
      <c r="K976" s="364">
        <f t="shared" si="349"/>
        <v>454.33</v>
      </c>
      <c r="L976" s="364">
        <f t="shared" si="349"/>
        <v>454.33</v>
      </c>
      <c r="M976" s="364">
        <f t="shared" si="349"/>
        <v>827.49382000000003</v>
      </c>
      <c r="N976" s="364">
        <f t="shared" si="349"/>
        <v>1906.11627</v>
      </c>
      <c r="O976" s="364">
        <f t="shared" si="349"/>
        <v>1696.4564199999998</v>
      </c>
      <c r="P976" s="364">
        <f t="shared" si="349"/>
        <v>650.55087999999989</v>
      </c>
      <c r="Q976" s="364">
        <f t="shared" si="349"/>
        <v>494.47071999999997</v>
      </c>
      <c r="R976" s="364">
        <f t="shared" si="352"/>
        <v>6483.7481099999995</v>
      </c>
      <c r="S976" s="438">
        <f t="shared" si="351"/>
        <v>153.33090999999968</v>
      </c>
      <c r="V976" s="364"/>
      <c r="X976" s="522"/>
    </row>
    <row r="977" spans="2:24" x14ac:dyDescent="0.2">
      <c r="B977" s="32" t="s">
        <v>1187</v>
      </c>
      <c r="F977" s="364">
        <f t="shared" ref="F977:Q978" si="353">F942+F959</f>
        <v>359928.04612000001</v>
      </c>
      <c r="G977" s="364">
        <f t="shared" si="353"/>
        <v>321348.86179</v>
      </c>
      <c r="H977" s="364">
        <f t="shared" si="353"/>
        <v>351019.52466</v>
      </c>
      <c r="I977" s="364">
        <f t="shared" si="353"/>
        <v>347998.98552000005</v>
      </c>
      <c r="J977" s="364">
        <f t="shared" si="353"/>
        <v>393814.65</v>
      </c>
      <c r="K977" s="364">
        <f t="shared" si="353"/>
        <v>335952.30459000007</v>
      </c>
      <c r="L977" s="364">
        <f t="shared" si="353"/>
        <v>379966.90263000003</v>
      </c>
      <c r="M977" s="364">
        <f t="shared" si="353"/>
        <v>358718.90581000008</v>
      </c>
      <c r="N977" s="364">
        <f t="shared" si="353"/>
        <v>339349.42320000002</v>
      </c>
      <c r="O977" s="364">
        <f t="shared" si="353"/>
        <v>343160.32279000001</v>
      </c>
      <c r="P977" s="364">
        <f t="shared" si="353"/>
        <v>323250.34668000002</v>
      </c>
      <c r="Q977" s="364">
        <f t="shared" si="353"/>
        <v>323746.98166000005</v>
      </c>
      <c r="R977" s="364">
        <f t="shared" si="352"/>
        <v>4178255.2554500001</v>
      </c>
      <c r="S977" s="438">
        <f>S942+S959</f>
        <v>99110.023599999957</v>
      </c>
      <c r="V977" s="364"/>
      <c r="X977" s="522"/>
    </row>
    <row r="978" spans="2:24" x14ac:dyDescent="0.2">
      <c r="B978" s="343" t="s">
        <v>844</v>
      </c>
      <c r="F978" s="364">
        <f t="shared" si="353"/>
        <v>147844.68884000002</v>
      </c>
      <c r="G978" s="364">
        <f t="shared" si="353"/>
        <v>144640.38925000001</v>
      </c>
      <c r="H978" s="364">
        <f t="shared" si="353"/>
        <v>148521.02406999998</v>
      </c>
      <c r="I978" s="364">
        <f t="shared" si="353"/>
        <v>141509.56293000001</v>
      </c>
      <c r="J978" s="364">
        <f t="shared" si="353"/>
        <v>134695.71002</v>
      </c>
      <c r="K978" s="364">
        <f t="shared" si="353"/>
        <v>124650.01813</v>
      </c>
      <c r="L978" s="364">
        <f t="shared" si="353"/>
        <v>121456.12259999999</v>
      </c>
      <c r="M978" s="364">
        <f t="shared" si="353"/>
        <v>120144.57382999999</v>
      </c>
      <c r="N978" s="364">
        <f t="shared" si="353"/>
        <v>121765.58416999999</v>
      </c>
      <c r="O978" s="364">
        <f t="shared" si="353"/>
        <v>136690.63224000001</v>
      </c>
      <c r="P978" s="364">
        <f t="shared" si="353"/>
        <v>153373.85145000002</v>
      </c>
      <c r="Q978" s="364">
        <f t="shared" si="353"/>
        <v>154443.28573</v>
      </c>
      <c r="R978" s="364">
        <f t="shared" si="352"/>
        <v>1649735.4432599996</v>
      </c>
      <c r="S978" s="438">
        <f>S943+S960</f>
        <v>16967.159999999683</v>
      </c>
      <c r="V978" s="364"/>
      <c r="X978" s="522"/>
    </row>
    <row r="979" spans="2:24" x14ac:dyDescent="0.2">
      <c r="B979" s="343" t="s">
        <v>1191</v>
      </c>
      <c r="F979" s="365">
        <f t="shared" ref="F979:S979" si="354">SUM(F965:F978)</f>
        <v>125263910.79116</v>
      </c>
      <c r="G979" s="365">
        <f t="shared" si="354"/>
        <v>105325152.94329</v>
      </c>
      <c r="H979" s="365">
        <f t="shared" si="354"/>
        <v>107169169.81951</v>
      </c>
      <c r="I979" s="365">
        <f t="shared" si="354"/>
        <v>88213779.608649999</v>
      </c>
      <c r="J979" s="365">
        <f t="shared" si="354"/>
        <v>68955574.393600002</v>
      </c>
      <c r="K979" s="365">
        <f t="shared" si="354"/>
        <v>51367669.021119989</v>
      </c>
      <c r="L979" s="365">
        <f t="shared" si="354"/>
        <v>40876858.228059992</v>
      </c>
      <c r="M979" s="365">
        <f t="shared" si="354"/>
        <v>39595367.03656999</v>
      </c>
      <c r="N979" s="365">
        <f t="shared" si="354"/>
        <v>45331754.714279994</v>
      </c>
      <c r="O979" s="365">
        <f t="shared" si="354"/>
        <v>72667866.448980004</v>
      </c>
      <c r="P979" s="365">
        <f t="shared" si="354"/>
        <v>118689907.27704999</v>
      </c>
      <c r="Q979" s="365">
        <f t="shared" si="354"/>
        <v>145137928.26141998</v>
      </c>
      <c r="R979" s="365">
        <f t="shared" si="354"/>
        <v>1008594938.54369</v>
      </c>
      <c r="S979" s="365">
        <f t="shared" si="354"/>
        <v>18001388.606509987</v>
      </c>
      <c r="V979" s="364"/>
      <c r="W979" s="336"/>
      <c r="X979" s="523"/>
    </row>
    <row r="980" spans="2:24" s="336" customFormat="1" x14ac:dyDescent="0.2">
      <c r="B980" s="336" t="s">
        <v>131</v>
      </c>
      <c r="F980" s="418">
        <f t="shared" ref="F980:S980" si="355">F979-F944-F961</f>
        <v>0</v>
      </c>
      <c r="G980" s="418">
        <f t="shared" si="355"/>
        <v>0</v>
      </c>
      <c r="H980" s="418">
        <f t="shared" si="355"/>
        <v>0</v>
      </c>
      <c r="I980" s="418">
        <f t="shared" si="355"/>
        <v>0</v>
      </c>
      <c r="J980" s="418">
        <f t="shared" si="355"/>
        <v>0</v>
      </c>
      <c r="K980" s="418">
        <f t="shared" si="355"/>
        <v>0</v>
      </c>
      <c r="L980" s="418">
        <f t="shared" si="355"/>
        <v>0</v>
      </c>
      <c r="M980" s="418">
        <f t="shared" si="355"/>
        <v>0</v>
      </c>
      <c r="N980" s="418">
        <f t="shared" si="355"/>
        <v>0</v>
      </c>
      <c r="O980" s="418">
        <f t="shared" si="355"/>
        <v>0</v>
      </c>
      <c r="P980" s="418">
        <f t="shared" si="355"/>
        <v>0</v>
      </c>
      <c r="Q980" s="418">
        <f t="shared" si="355"/>
        <v>0</v>
      </c>
      <c r="R980" s="418">
        <f t="shared" si="355"/>
        <v>0</v>
      </c>
      <c r="S980" s="418">
        <f t="shared" si="355"/>
        <v>0</v>
      </c>
      <c r="T980" s="390"/>
      <c r="U980" s="32"/>
      <c r="W980" s="32"/>
      <c r="X980" s="32"/>
    </row>
    <row r="981" spans="2:24" x14ac:dyDescent="0.2">
      <c r="B981" s="336" t="s">
        <v>131</v>
      </c>
      <c r="F981" s="364">
        <f>F979-SUM(F922:F924)</f>
        <v>0</v>
      </c>
      <c r="G981" s="364">
        <f t="shared" ref="G981:R981" si="356">G979-SUM(G922:G924)</f>
        <v>0</v>
      </c>
      <c r="H981" s="364">
        <f t="shared" si="356"/>
        <v>0</v>
      </c>
      <c r="I981" s="364">
        <f t="shared" si="356"/>
        <v>0</v>
      </c>
      <c r="J981" s="364">
        <f t="shared" si="356"/>
        <v>0</v>
      </c>
      <c r="K981" s="364">
        <f t="shared" si="356"/>
        <v>0</v>
      </c>
      <c r="L981" s="364">
        <f t="shared" si="356"/>
        <v>0</v>
      </c>
      <c r="M981" s="364">
        <f t="shared" si="356"/>
        <v>0</v>
      </c>
      <c r="N981" s="364">
        <f t="shared" si="356"/>
        <v>0</v>
      </c>
      <c r="O981" s="364">
        <f t="shared" si="356"/>
        <v>0</v>
      </c>
      <c r="P981" s="364">
        <f t="shared" si="356"/>
        <v>0</v>
      </c>
      <c r="Q981" s="364">
        <f t="shared" si="356"/>
        <v>0</v>
      </c>
      <c r="R981" s="364">
        <f t="shared" si="356"/>
        <v>0</v>
      </c>
    </row>
    <row r="982" spans="2:24" ht="13.5" thickBot="1" x14ac:dyDescent="0.25"/>
    <row r="983" spans="2:24" x14ac:dyDescent="0.2">
      <c r="B983" s="401" t="s">
        <v>1192</v>
      </c>
      <c r="C983" s="402"/>
      <c r="D983" s="402"/>
      <c r="E983" s="402"/>
      <c r="F983" s="489">
        <f>'JKP-3.1c - Therms Data'!E103</f>
        <v>128745037</v>
      </c>
      <c r="G983" s="489">
        <f>'JKP-3.1c - Therms Data'!F103</f>
        <v>107438064</v>
      </c>
      <c r="H983" s="489">
        <f>'JKP-3.1c - Therms Data'!G103</f>
        <v>111751312</v>
      </c>
      <c r="I983" s="489">
        <f>'JKP-3.1c - Therms Data'!H103</f>
        <v>92608599</v>
      </c>
      <c r="J983" s="489">
        <f>'JKP-3.1c - Therms Data'!I103</f>
        <v>74871801</v>
      </c>
      <c r="K983" s="489">
        <f>'JKP-3.1c - Therms Data'!J103</f>
        <v>56233148</v>
      </c>
      <c r="L983" s="489">
        <f>'JKP-3.1c - Therms Data'!K103</f>
        <v>45903282</v>
      </c>
      <c r="M983" s="489">
        <f>'JKP-3.1c - Therms Data'!L103</f>
        <v>44931622</v>
      </c>
      <c r="N983" s="489">
        <f>'JKP-3.1c - Therms Data'!M103</f>
        <v>49140650</v>
      </c>
      <c r="O983" s="489">
        <f>'JKP-3.1c - Therms Data'!N103</f>
        <v>77063218</v>
      </c>
      <c r="P983" s="489">
        <f>'JKP-3.1c - Therms Data'!O103</f>
        <v>121261601</v>
      </c>
      <c r="Q983" s="489">
        <f>'JKP-3.1c - Therms Data'!P103</f>
        <v>146682209</v>
      </c>
      <c r="R983" s="509">
        <f>'JKP-3.1c - Therms Data'!Q103</f>
        <v>1056630543</v>
      </c>
      <c r="T983" s="415"/>
      <c r="U983" s="336"/>
    </row>
    <row r="984" spans="2:24" x14ac:dyDescent="0.2">
      <c r="B984" s="405" t="s">
        <v>131</v>
      </c>
      <c r="C984" s="390"/>
      <c r="D984" s="390"/>
      <c r="E984" s="390"/>
      <c r="F984" s="412">
        <f t="shared" ref="F984:R984" si="357">F866-F983</f>
        <v>0</v>
      </c>
      <c r="G984" s="412">
        <f t="shared" si="357"/>
        <v>0</v>
      </c>
      <c r="H984" s="412">
        <f t="shared" si="357"/>
        <v>0</v>
      </c>
      <c r="I984" s="412">
        <f t="shared" si="357"/>
        <v>0</v>
      </c>
      <c r="J984" s="412">
        <f t="shared" si="357"/>
        <v>0</v>
      </c>
      <c r="K984" s="412">
        <f t="shared" si="357"/>
        <v>0</v>
      </c>
      <c r="L984" s="412">
        <f t="shared" si="357"/>
        <v>0</v>
      </c>
      <c r="M984" s="412">
        <f t="shared" si="357"/>
        <v>0</v>
      </c>
      <c r="N984" s="412">
        <f t="shared" si="357"/>
        <v>0</v>
      </c>
      <c r="O984" s="412">
        <f t="shared" si="357"/>
        <v>0</v>
      </c>
      <c r="P984" s="412">
        <f t="shared" si="357"/>
        <v>0</v>
      </c>
      <c r="Q984" s="412">
        <f t="shared" si="357"/>
        <v>0</v>
      </c>
      <c r="R984" s="491">
        <f t="shared" si="357"/>
        <v>0</v>
      </c>
    </row>
    <row r="985" spans="2:24" x14ac:dyDescent="0.2">
      <c r="B985" s="405"/>
      <c r="C985" s="390"/>
      <c r="D985" s="390"/>
      <c r="E985" s="390"/>
      <c r="F985" s="412"/>
      <c r="G985" s="412"/>
      <c r="H985" s="412"/>
      <c r="I985" s="412"/>
      <c r="J985" s="412"/>
      <c r="K985" s="412"/>
      <c r="L985" s="412"/>
      <c r="M985" s="412"/>
      <c r="N985" s="412"/>
      <c r="O985" s="412"/>
      <c r="P985" s="412"/>
      <c r="Q985" s="412"/>
      <c r="R985" s="491"/>
    </row>
    <row r="986" spans="2:24" x14ac:dyDescent="0.2">
      <c r="B986" s="492" t="s">
        <v>1193</v>
      </c>
      <c r="C986" s="390"/>
      <c r="D986" s="390"/>
      <c r="E986" s="390"/>
      <c r="F986" s="406">
        <f>'JKP-3.1c - Data'!C158</f>
        <v>757684</v>
      </c>
      <c r="G986" s="406">
        <f>'JKP-3.1c - Data'!D158</f>
        <v>758885</v>
      </c>
      <c r="H986" s="406">
        <f>'JKP-3.1c - Data'!E158</f>
        <v>759873</v>
      </c>
      <c r="I986" s="406">
        <f>'JKP-3.1c - Data'!F158</f>
        <v>760124.03</v>
      </c>
      <c r="J986" s="406">
        <f>'JKP-3.1c - Data'!G158</f>
        <v>760670</v>
      </c>
      <c r="K986" s="406">
        <f>'JKP-3.1c - Data'!H158</f>
        <v>761724</v>
      </c>
      <c r="L986" s="406">
        <f>'JKP-3.1c - Data'!I158</f>
        <v>762056</v>
      </c>
      <c r="M986" s="406">
        <f>'JKP-3.1c - Data'!J158</f>
        <v>761195</v>
      </c>
      <c r="N986" s="406">
        <f>'JKP-3.1c - Data'!K158</f>
        <v>762357</v>
      </c>
      <c r="O986" s="406">
        <f>'JKP-3.1c - Data'!L158</f>
        <v>761431</v>
      </c>
      <c r="P986" s="406">
        <f>'JKP-3.1c - Data'!M158</f>
        <v>761918</v>
      </c>
      <c r="Q986" s="406">
        <f>'JKP-3.1c - Data'!N158</f>
        <v>762413</v>
      </c>
      <c r="R986" s="510">
        <f>'JKP-3.1c - Data'!O158</f>
        <v>9130330.0299999993</v>
      </c>
    </row>
    <row r="987" spans="2:24" x14ac:dyDescent="0.2">
      <c r="B987" s="492" t="s">
        <v>131</v>
      </c>
      <c r="C987" s="390"/>
      <c r="D987" s="390"/>
      <c r="E987" s="390"/>
      <c r="F987" s="412">
        <f t="shared" ref="F987:R987" si="358">F821-F986</f>
        <v>0</v>
      </c>
      <c r="G987" s="412">
        <f t="shared" si="358"/>
        <v>0</v>
      </c>
      <c r="H987" s="412">
        <f t="shared" si="358"/>
        <v>0</v>
      </c>
      <c r="I987" s="412">
        <f t="shared" si="358"/>
        <v>0</v>
      </c>
      <c r="J987" s="412">
        <f t="shared" si="358"/>
        <v>0</v>
      </c>
      <c r="K987" s="412">
        <f t="shared" si="358"/>
        <v>0</v>
      </c>
      <c r="L987" s="412">
        <f t="shared" si="358"/>
        <v>0</v>
      </c>
      <c r="M987" s="412">
        <f t="shared" si="358"/>
        <v>0</v>
      </c>
      <c r="N987" s="412">
        <f t="shared" si="358"/>
        <v>0</v>
      </c>
      <c r="O987" s="412">
        <f t="shared" si="358"/>
        <v>0</v>
      </c>
      <c r="P987" s="412">
        <f t="shared" si="358"/>
        <v>0</v>
      </c>
      <c r="Q987" s="412">
        <f t="shared" si="358"/>
        <v>0</v>
      </c>
      <c r="R987" s="491">
        <f t="shared" si="358"/>
        <v>0</v>
      </c>
    </row>
    <row r="988" spans="2:24" x14ac:dyDescent="0.2">
      <c r="B988" s="492"/>
      <c r="C988" s="390"/>
      <c r="D988" s="390"/>
      <c r="E988" s="390"/>
      <c r="F988" s="412"/>
      <c r="G988" s="412"/>
      <c r="H988" s="412"/>
      <c r="I988" s="412"/>
      <c r="J988" s="412"/>
      <c r="K988" s="412"/>
      <c r="L988" s="412"/>
      <c r="M988" s="412"/>
      <c r="N988" s="412"/>
      <c r="O988" s="412"/>
      <c r="P988" s="412"/>
      <c r="Q988" s="412"/>
      <c r="R988" s="491"/>
    </row>
    <row r="989" spans="2:24" x14ac:dyDescent="0.2">
      <c r="B989" s="492" t="s">
        <v>1194</v>
      </c>
      <c r="C989" s="390"/>
      <c r="D989" s="390"/>
      <c r="E989" s="390"/>
      <c r="F989" s="406">
        <f>'JKP-3.1c - Data'!C178</f>
        <v>585396.33000000007</v>
      </c>
      <c r="G989" s="406">
        <f>'JKP-3.1c - Data'!D178</f>
        <v>585521.33000000007</v>
      </c>
      <c r="H989" s="406">
        <f>'JKP-3.1c - Data'!E178</f>
        <v>580796.33000000007</v>
      </c>
      <c r="I989" s="406">
        <f>'JKP-3.1c - Data'!F178</f>
        <v>581357.35</v>
      </c>
      <c r="J989" s="406">
        <f>'JKP-3.1c - Data'!G178</f>
        <v>578333.31999999995</v>
      </c>
      <c r="K989" s="406">
        <f>'JKP-3.1c - Data'!H178</f>
        <v>582867.33000000007</v>
      </c>
      <c r="L989" s="406">
        <f>'JKP-3.1c - Data'!I178</f>
        <v>587397.64</v>
      </c>
      <c r="M989" s="406">
        <f>'JKP-3.1c - Data'!J178</f>
        <v>583485</v>
      </c>
      <c r="N989" s="406">
        <f>'JKP-3.1c - Data'!K178</f>
        <v>583414</v>
      </c>
      <c r="O989" s="406">
        <f>'JKP-3.1c - Data'!L178</f>
        <v>575686</v>
      </c>
      <c r="P989" s="406">
        <f>'JKP-3.1c - Data'!M178</f>
        <v>574594</v>
      </c>
      <c r="Q989" s="406">
        <f>'JKP-3.1c - Data'!N178</f>
        <v>576081</v>
      </c>
      <c r="R989" s="510">
        <f>'JKP-3.1c - Data'!O178</f>
        <v>6974929.6299999999</v>
      </c>
    </row>
    <row r="990" spans="2:24" x14ac:dyDescent="0.2">
      <c r="B990" s="492" t="s">
        <v>131</v>
      </c>
      <c r="C990" s="390"/>
      <c r="D990" s="390"/>
      <c r="E990" s="390"/>
      <c r="F990" s="412">
        <f>F905-F989-SUM(F886:F888)</f>
        <v>-1.1641532182693481E-10</v>
      </c>
      <c r="G990" s="412">
        <f t="shared" ref="G990:R990" si="359">G905-G989-SUM(G886:G888)</f>
        <v>-1.1641532182693481E-10</v>
      </c>
      <c r="H990" s="412">
        <f t="shared" si="359"/>
        <v>-1.1641532182693481E-10</v>
      </c>
      <c r="I990" s="412">
        <f t="shared" si="359"/>
        <v>0</v>
      </c>
      <c r="J990" s="412">
        <f t="shared" si="359"/>
        <v>0</v>
      </c>
      <c r="K990" s="412">
        <f t="shared" si="359"/>
        <v>0</v>
      </c>
      <c r="L990" s="412">
        <f t="shared" si="359"/>
        <v>0</v>
      </c>
      <c r="M990" s="412">
        <f t="shared" si="359"/>
        <v>0</v>
      </c>
      <c r="N990" s="412">
        <f t="shared" si="359"/>
        <v>0</v>
      </c>
      <c r="O990" s="412">
        <f t="shared" si="359"/>
        <v>0</v>
      </c>
      <c r="P990" s="412">
        <f t="shared" si="359"/>
        <v>0</v>
      </c>
      <c r="Q990" s="412">
        <f t="shared" si="359"/>
        <v>0</v>
      </c>
      <c r="R990" s="491">
        <f t="shared" si="359"/>
        <v>0</v>
      </c>
    </row>
    <row r="991" spans="2:24" x14ac:dyDescent="0.2">
      <c r="B991" s="492"/>
      <c r="C991" s="390"/>
      <c r="D991" s="390"/>
      <c r="E991" s="390"/>
      <c r="F991" s="412"/>
      <c r="G991" s="412"/>
      <c r="H991" s="412"/>
      <c r="I991" s="412"/>
      <c r="J991" s="412"/>
      <c r="K991" s="412"/>
      <c r="L991" s="412"/>
      <c r="M991" s="412"/>
      <c r="N991" s="412"/>
      <c r="O991" s="412"/>
      <c r="P991" s="412"/>
      <c r="Q991" s="412"/>
      <c r="R991" s="491"/>
    </row>
    <row r="992" spans="2:24" x14ac:dyDescent="0.2">
      <c r="B992" s="405"/>
      <c r="C992" s="390"/>
      <c r="D992" s="390"/>
      <c r="E992" s="390"/>
      <c r="F992" s="417"/>
      <c r="G992" s="417"/>
      <c r="H992" s="417"/>
      <c r="I992" s="417"/>
      <c r="J992" s="417"/>
      <c r="K992" s="417"/>
      <c r="L992" s="417"/>
      <c r="M992" s="417"/>
      <c r="N992" s="417"/>
      <c r="O992" s="417"/>
      <c r="P992" s="417"/>
      <c r="Q992" s="417"/>
      <c r="R992" s="511"/>
      <c r="W992" s="336"/>
      <c r="X992" s="336"/>
    </row>
    <row r="993" spans="2:24" s="336" customFormat="1" ht="13.5" thickBot="1" x14ac:dyDescent="0.25">
      <c r="B993" s="493"/>
      <c r="C993" s="512"/>
      <c r="D993" s="512"/>
      <c r="E993" s="512"/>
      <c r="F993" s="513"/>
      <c r="G993" s="513"/>
      <c r="H993" s="513"/>
      <c r="I993" s="513"/>
      <c r="J993" s="513"/>
      <c r="K993" s="513"/>
      <c r="L993" s="513"/>
      <c r="M993" s="513"/>
      <c r="N993" s="513"/>
      <c r="O993" s="513"/>
      <c r="P993" s="513"/>
      <c r="Q993" s="513"/>
      <c r="R993" s="514"/>
      <c r="S993" s="335"/>
      <c r="T993" s="390"/>
      <c r="U993" s="32"/>
      <c r="W993" s="32"/>
      <c r="X993" s="32"/>
    </row>
    <row r="994" spans="2:24" x14ac:dyDescent="0.2">
      <c r="B994" s="415"/>
      <c r="C994" s="390"/>
      <c r="D994" s="390"/>
      <c r="E994" s="390"/>
      <c r="F994" s="412"/>
      <c r="G994" s="412"/>
      <c r="H994" s="412"/>
      <c r="I994" s="412"/>
      <c r="J994" s="412"/>
      <c r="K994" s="412"/>
      <c r="L994" s="412"/>
      <c r="M994" s="412"/>
      <c r="N994" s="412"/>
      <c r="O994" s="412"/>
      <c r="P994" s="412"/>
      <c r="Q994" s="412"/>
      <c r="R994" s="412"/>
    </row>
    <row r="995" spans="2:24" x14ac:dyDescent="0.2">
      <c r="F995" s="364"/>
      <c r="G995" s="364"/>
      <c r="H995" s="364"/>
      <c r="I995" s="364"/>
      <c r="J995" s="364"/>
      <c r="K995" s="364"/>
      <c r="L995" s="364"/>
      <c r="M995" s="364"/>
      <c r="N995" s="364"/>
      <c r="O995" s="364"/>
      <c r="P995" s="364"/>
      <c r="Q995" s="364"/>
      <c r="R995" s="364"/>
      <c r="W995" s="336"/>
      <c r="X995" s="336"/>
    </row>
    <row r="996" spans="2:24" s="524" customFormat="1" x14ac:dyDescent="0.2">
      <c r="S996" s="335"/>
      <c r="T996" s="525"/>
      <c r="W996" s="526"/>
      <c r="X996" s="526"/>
    </row>
    <row r="999" spans="2:24" x14ac:dyDescent="0.2">
      <c r="T999" s="415"/>
      <c r="U999" s="336"/>
    </row>
    <row r="1001" spans="2:24" x14ac:dyDescent="0.2">
      <c r="F1001" s="279"/>
    </row>
    <row r="1002" spans="2:24" x14ac:dyDescent="0.2">
      <c r="R1002" s="364"/>
    </row>
  </sheetData>
  <pageMargins left="0.7" right="0.7" top="0.75" bottom="0.75" header="0.3" footer="0.3"/>
  <pageSetup orientation="portrait" r:id="rId1"/>
  <rowBreaks count="19" manualBreakCount="19">
    <brk id="43" max="16383" man="1"/>
    <brk id="71" max="16383" man="1"/>
    <brk id="132" min="1" max="17" man="1"/>
    <brk id="168" min="1" max="17" man="1"/>
    <brk id="203" min="1" max="17" man="1"/>
    <brk id="247" min="1" max="17" man="1"/>
    <brk id="303" max="16383" man="1"/>
    <brk id="345" max="16383" man="1"/>
    <brk id="399" max="16383" man="1"/>
    <brk id="460" min="1" max="17" man="1"/>
    <brk id="496" min="1" max="17" man="1"/>
    <brk id="563" min="1" max="17" man="1"/>
    <brk id="607" max="16383" man="1"/>
    <brk id="662" max="16383" man="1"/>
    <brk id="704" max="16383" man="1"/>
    <brk id="758" max="16383" man="1"/>
    <brk id="795" max="16383" man="1"/>
    <brk id="854" max="16383" man="1"/>
    <brk id="920" min="1" max="17" man="1"/>
  </rowBreaks>
  <colBreaks count="1" manualBreakCount="1">
    <brk id="18"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61"/>
  <sheetViews>
    <sheetView topLeftCell="A7" workbookViewId="0">
      <selection activeCell="C35" sqref="C35"/>
    </sheetView>
  </sheetViews>
  <sheetFormatPr defaultRowHeight="15" x14ac:dyDescent="0.25"/>
  <cols>
    <col min="1" max="1" width="14.140625" style="528" customWidth="1"/>
    <col min="2" max="2" width="12.5703125" style="528" bestFit="1" customWidth="1"/>
    <col min="3" max="3" width="14" style="528" bestFit="1" customWidth="1"/>
    <col min="4" max="4" width="12.85546875" style="528" customWidth="1"/>
    <col min="5" max="5" width="16.28515625" style="528" bestFit="1" customWidth="1"/>
    <col min="6" max="6" width="17.28515625" style="528" bestFit="1" customWidth="1"/>
    <col min="7" max="7" width="18.7109375" style="528" bestFit="1" customWidth="1"/>
    <col min="8" max="8" width="12.85546875" style="528" customWidth="1"/>
    <col min="9" max="9" width="17.28515625" style="528" bestFit="1" customWidth="1"/>
    <col min="10" max="13" width="10.42578125" style="528" customWidth="1"/>
    <col min="14" max="24" width="8.42578125" style="528" bestFit="1" customWidth="1"/>
    <col min="25" max="16384" width="9.140625" style="528"/>
  </cols>
  <sheetData>
    <row r="1" spans="1:13" x14ac:dyDescent="0.25">
      <c r="A1" s="527" t="s">
        <v>1204</v>
      </c>
      <c r="B1" s="527"/>
      <c r="C1" s="527"/>
      <c r="D1" s="527"/>
      <c r="E1" s="527"/>
      <c r="F1" s="527"/>
      <c r="G1" s="527"/>
      <c r="H1" s="527"/>
      <c r="I1" s="527"/>
      <c r="J1" s="527"/>
      <c r="K1" s="527"/>
      <c r="L1" s="527"/>
      <c r="M1" s="527"/>
    </row>
    <row r="2" spans="1:13" x14ac:dyDescent="0.25">
      <c r="A2" s="527"/>
      <c r="B2" s="527"/>
      <c r="C2" s="527"/>
      <c r="D2" s="527"/>
      <c r="E2" s="527"/>
      <c r="F2" s="527"/>
      <c r="G2" s="527"/>
      <c r="H2" s="527"/>
      <c r="I2" s="527"/>
      <c r="J2" s="527"/>
      <c r="K2" s="527"/>
      <c r="L2" s="527"/>
      <c r="M2" s="527"/>
    </row>
    <row r="3" spans="1:13" x14ac:dyDescent="0.25">
      <c r="A3" s="529" t="s">
        <v>1205</v>
      </c>
      <c r="B3" s="527"/>
      <c r="C3" s="527"/>
      <c r="D3" s="530"/>
      <c r="E3" s="530"/>
      <c r="F3" s="531"/>
      <c r="G3" s="531"/>
      <c r="H3" s="532"/>
      <c r="I3" s="533"/>
      <c r="J3" s="534"/>
      <c r="K3" s="535"/>
      <c r="L3" s="532"/>
      <c r="M3" s="527"/>
    </row>
    <row r="4" spans="1:13" x14ac:dyDescent="0.25">
      <c r="A4" s="536" t="s">
        <v>1206</v>
      </c>
      <c r="B4" s="537" t="s">
        <v>124</v>
      </c>
      <c r="C4" s="527"/>
      <c r="D4" s="530"/>
      <c r="E4" s="530"/>
      <c r="F4" s="531"/>
      <c r="G4" s="531"/>
      <c r="H4" s="532"/>
      <c r="I4" s="533"/>
      <c r="J4" s="534"/>
      <c r="K4" s="535"/>
      <c r="L4" s="532"/>
      <c r="M4" s="527"/>
    </row>
    <row r="5" spans="1:13" x14ac:dyDescent="0.25">
      <c r="A5" s="277" t="s">
        <v>910</v>
      </c>
      <c r="B5" s="538">
        <f>SUMIF($B$14:$B$36,$A5,$H$14:$H$36)</f>
        <v>-3601.7799999999997</v>
      </c>
      <c r="C5" s="527"/>
      <c r="D5" s="532"/>
      <c r="E5" s="532"/>
      <c r="F5" s="539"/>
      <c r="G5" s="539"/>
      <c r="H5" s="532"/>
      <c r="I5" s="533"/>
      <c r="J5" s="534"/>
      <c r="K5" s="535"/>
      <c r="L5" s="532"/>
      <c r="M5" s="540"/>
    </row>
    <row r="6" spans="1:13" x14ac:dyDescent="0.25">
      <c r="A6" s="277" t="s">
        <v>920</v>
      </c>
      <c r="B6" s="538">
        <f>SUMIF($B$14:$B$36,$A6,$H$14:$H$36)</f>
        <v>0</v>
      </c>
      <c r="C6" s="527"/>
      <c r="D6" s="532"/>
      <c r="E6" s="532"/>
      <c r="F6" s="539"/>
      <c r="G6" s="539"/>
      <c r="H6" s="532"/>
      <c r="I6" s="533"/>
      <c r="J6" s="534"/>
      <c r="K6" s="535"/>
      <c r="L6" s="532"/>
      <c r="M6" s="540"/>
    </row>
    <row r="7" spans="1:13" x14ac:dyDescent="0.25">
      <c r="A7" s="277" t="s">
        <v>741</v>
      </c>
      <c r="B7" s="538">
        <f>SUMIF($B$14:$B$36,$A7,$H$14:$H$36)</f>
        <v>-19921.75</v>
      </c>
      <c r="C7" s="527"/>
      <c r="D7" s="530"/>
      <c r="E7" s="530"/>
      <c r="F7" s="531"/>
      <c r="G7" s="531"/>
      <c r="H7" s="532"/>
      <c r="I7" s="533"/>
      <c r="J7" s="534"/>
      <c r="K7" s="535"/>
      <c r="L7" s="532"/>
      <c r="M7" s="527"/>
    </row>
    <row r="8" spans="1:13" x14ac:dyDescent="0.25">
      <c r="A8" s="277" t="s">
        <v>742</v>
      </c>
      <c r="B8" s="538">
        <f>SUMIF($B$14:$B$36,$A8,$H$14:$H$36)</f>
        <v>-364964.94999999995</v>
      </c>
      <c r="C8" s="527"/>
      <c r="D8" s="532"/>
      <c r="E8" s="532"/>
      <c r="F8" s="539"/>
      <c r="G8" s="539"/>
      <c r="H8" s="532"/>
      <c r="I8" s="533"/>
      <c r="J8" s="534"/>
      <c r="K8" s="535"/>
      <c r="L8" s="532"/>
      <c r="M8" s="540"/>
    </row>
    <row r="9" spans="1:13" x14ac:dyDescent="0.25">
      <c r="A9" s="541" t="s">
        <v>23</v>
      </c>
      <c r="B9" s="542">
        <f>SUM(B5:B8)</f>
        <v>-388488.48</v>
      </c>
      <c r="C9" s="527"/>
      <c r="D9" s="532"/>
      <c r="E9" s="532"/>
      <c r="F9" s="539"/>
      <c r="G9" s="539"/>
      <c r="H9" s="532"/>
      <c r="I9" s="533"/>
      <c r="J9" s="534"/>
      <c r="K9" s="535"/>
      <c r="L9" s="532"/>
      <c r="M9" s="540"/>
    </row>
    <row r="10" spans="1:13" x14ac:dyDescent="0.25">
      <c r="A10" s="527"/>
      <c r="B10" s="527"/>
      <c r="C10" s="527"/>
      <c r="D10" s="532"/>
      <c r="E10" s="532"/>
      <c r="F10" s="539"/>
      <c r="G10" s="539"/>
      <c r="H10" s="532"/>
      <c r="I10" s="533"/>
      <c r="J10" s="534"/>
      <c r="K10" s="535"/>
      <c r="L10" s="532"/>
      <c r="M10" s="540"/>
    </row>
    <row r="11" spans="1:13" x14ac:dyDescent="0.25">
      <c r="A11" s="527"/>
      <c r="B11" s="543"/>
      <c r="C11" s="543" t="s">
        <v>1207</v>
      </c>
      <c r="D11" s="543" t="s">
        <v>1208</v>
      </c>
      <c r="E11" s="543" t="s">
        <v>1209</v>
      </c>
      <c r="F11" s="543" t="s">
        <v>1210</v>
      </c>
      <c r="G11" s="543" t="s">
        <v>1211</v>
      </c>
      <c r="H11" s="543" t="s">
        <v>1212</v>
      </c>
      <c r="I11" s="543" t="s">
        <v>1213</v>
      </c>
      <c r="J11" s="527"/>
      <c r="K11" s="527"/>
      <c r="L11" s="527"/>
      <c r="M11" s="527"/>
    </row>
    <row r="12" spans="1:13" x14ac:dyDescent="0.25">
      <c r="A12" s="527"/>
      <c r="B12" s="543" t="s">
        <v>1214</v>
      </c>
      <c r="C12" s="543" t="s">
        <v>1215</v>
      </c>
      <c r="D12" s="543" t="s">
        <v>1212</v>
      </c>
      <c r="E12" s="543" t="s">
        <v>1216</v>
      </c>
      <c r="F12" s="543" t="s">
        <v>1213</v>
      </c>
      <c r="G12" s="543" t="s">
        <v>1217</v>
      </c>
      <c r="H12" s="543" t="s">
        <v>147</v>
      </c>
      <c r="I12" s="543" t="s">
        <v>1218</v>
      </c>
      <c r="J12" s="544"/>
      <c r="K12" s="544"/>
      <c r="L12" s="544"/>
      <c r="M12" s="544"/>
    </row>
    <row r="13" spans="1:13" s="549" customFormat="1" x14ac:dyDescent="0.25">
      <c r="A13" s="545" t="s">
        <v>737</v>
      </c>
      <c r="B13" s="545" t="s">
        <v>25</v>
      </c>
      <c r="C13" s="545" t="s">
        <v>10</v>
      </c>
      <c r="D13" s="545" t="s">
        <v>147</v>
      </c>
      <c r="E13" s="545" t="s">
        <v>413</v>
      </c>
      <c r="F13" s="545" t="s">
        <v>1219</v>
      </c>
      <c r="G13" s="545" t="s">
        <v>1219</v>
      </c>
      <c r="H13" s="546" t="s">
        <v>1220</v>
      </c>
      <c r="I13" s="547" t="s">
        <v>1221</v>
      </c>
      <c r="J13" s="548"/>
      <c r="K13" s="548"/>
      <c r="L13" s="548"/>
      <c r="M13" s="548"/>
    </row>
    <row r="14" spans="1:13" s="549" customFormat="1" x14ac:dyDescent="0.25">
      <c r="A14" s="550">
        <v>1</v>
      </c>
      <c r="B14" s="277" t="s">
        <v>910</v>
      </c>
      <c r="C14" s="551">
        <v>191374.65629999997</v>
      </c>
      <c r="D14" s="552">
        <v>3471.66</v>
      </c>
      <c r="E14" s="551">
        <v>31899.835500000001</v>
      </c>
      <c r="F14" s="552">
        <v>0</v>
      </c>
      <c r="G14" s="551">
        <v>0</v>
      </c>
      <c r="H14" s="552">
        <f>F14-D14</f>
        <v>-3471.66</v>
      </c>
      <c r="I14" s="553">
        <v>40179</v>
      </c>
      <c r="J14" s="554"/>
      <c r="K14" s="555"/>
      <c r="L14" s="555"/>
      <c r="M14" s="554"/>
    </row>
    <row r="15" spans="1:13" x14ac:dyDescent="0.25">
      <c r="A15" s="550">
        <v>2</v>
      </c>
      <c r="B15" s="277" t="s">
        <v>920</v>
      </c>
      <c r="C15" s="551">
        <v>6796.818299999999</v>
      </c>
      <c r="D15" s="552">
        <v>16339.8</v>
      </c>
      <c r="E15" s="551">
        <v>150140.5754</v>
      </c>
      <c r="F15" s="552">
        <v>16339.8</v>
      </c>
      <c r="G15" s="551">
        <v>150140.5754</v>
      </c>
      <c r="H15" s="552">
        <f t="shared" ref="H15:H36" si="0">F15-D15</f>
        <v>0</v>
      </c>
      <c r="I15" s="553">
        <v>40210</v>
      </c>
      <c r="J15" s="556"/>
      <c r="K15" s="557"/>
      <c r="L15" s="558"/>
      <c r="M15" s="559"/>
    </row>
    <row r="16" spans="1:13" x14ac:dyDescent="0.25">
      <c r="A16" s="550">
        <v>3</v>
      </c>
      <c r="B16" s="277" t="s">
        <v>742</v>
      </c>
      <c r="C16" s="551">
        <v>866612.91229999997</v>
      </c>
      <c r="D16" s="552">
        <v>4975.97</v>
      </c>
      <c r="E16" s="551">
        <v>48626.722300000001</v>
      </c>
      <c r="F16" s="552">
        <v>0</v>
      </c>
      <c r="G16" s="551">
        <v>0</v>
      </c>
      <c r="H16" s="552">
        <f t="shared" si="0"/>
        <v>-4975.97</v>
      </c>
      <c r="I16" s="553">
        <v>40238</v>
      </c>
      <c r="J16" s="560"/>
      <c r="K16" s="557"/>
      <c r="L16" s="558"/>
      <c r="M16" s="559"/>
    </row>
    <row r="17" spans="1:13" s="549" customFormat="1" x14ac:dyDescent="0.25">
      <c r="A17" s="550">
        <v>4</v>
      </c>
      <c r="B17" s="277" t="s">
        <v>741</v>
      </c>
      <c r="C17" s="551">
        <v>146684.9362</v>
      </c>
      <c r="D17" s="552">
        <v>9926.75</v>
      </c>
      <c r="E17" s="551">
        <v>97007.239199999996</v>
      </c>
      <c r="F17" s="552">
        <v>9926.75</v>
      </c>
      <c r="G17" s="551">
        <v>97007.239200000011</v>
      </c>
      <c r="H17" s="552">
        <f t="shared" si="0"/>
        <v>0</v>
      </c>
      <c r="I17" s="553">
        <v>40238</v>
      </c>
      <c r="J17" s="561"/>
      <c r="K17" s="562"/>
      <c r="L17" s="558"/>
      <c r="M17" s="554"/>
    </row>
    <row r="18" spans="1:13" x14ac:dyDescent="0.25">
      <c r="A18" s="550">
        <v>5</v>
      </c>
      <c r="B18" s="277" t="s">
        <v>742</v>
      </c>
      <c r="C18" s="551">
        <v>212933.39499999999</v>
      </c>
      <c r="D18" s="552">
        <v>204602.52</v>
      </c>
      <c r="E18" s="551">
        <v>1999438.3001000001</v>
      </c>
      <c r="F18" s="552">
        <v>0</v>
      </c>
      <c r="G18" s="551">
        <v>0</v>
      </c>
      <c r="H18" s="552">
        <f t="shared" si="0"/>
        <v>-204602.52</v>
      </c>
      <c r="I18" s="553">
        <v>40269</v>
      </c>
      <c r="J18" s="556"/>
      <c r="K18" s="557"/>
      <c r="L18" s="558"/>
      <c r="M18" s="559"/>
    </row>
    <row r="19" spans="1:13" x14ac:dyDescent="0.25">
      <c r="A19" s="550">
        <v>6</v>
      </c>
      <c r="B19" s="277" t="s">
        <v>742</v>
      </c>
      <c r="C19" s="551">
        <v>52303.918000000005</v>
      </c>
      <c r="D19" s="552">
        <v>6683.63</v>
      </c>
      <c r="E19" s="551">
        <v>64414.340199999999</v>
      </c>
      <c r="F19" s="552">
        <v>6683.63</v>
      </c>
      <c r="G19" s="551">
        <v>64414.340199999999</v>
      </c>
      <c r="H19" s="552">
        <f t="shared" si="0"/>
        <v>0</v>
      </c>
      <c r="I19" s="553">
        <v>40299</v>
      </c>
      <c r="J19" s="534"/>
      <c r="K19" s="535"/>
      <c r="L19" s="532"/>
      <c r="M19" s="540"/>
    </row>
    <row r="20" spans="1:13" x14ac:dyDescent="0.25">
      <c r="A20" s="550">
        <v>7</v>
      </c>
      <c r="B20" s="277" t="s">
        <v>742</v>
      </c>
      <c r="C20" s="551">
        <v>1596735.9313000001</v>
      </c>
      <c r="D20" s="552">
        <v>84032.21</v>
      </c>
      <c r="E20" s="551">
        <v>809870.94819999998</v>
      </c>
      <c r="F20" s="552">
        <v>0</v>
      </c>
      <c r="G20" s="551">
        <v>0</v>
      </c>
      <c r="H20" s="552">
        <f t="shared" si="0"/>
        <v>-84032.21</v>
      </c>
      <c r="I20" s="553">
        <v>40299</v>
      </c>
      <c r="J20" s="534"/>
      <c r="K20" s="535"/>
      <c r="L20" s="532"/>
      <c r="M20" s="527"/>
    </row>
    <row r="21" spans="1:13" x14ac:dyDescent="0.25">
      <c r="A21" s="550">
        <v>8</v>
      </c>
      <c r="B21" s="277" t="s">
        <v>742</v>
      </c>
      <c r="C21" s="551">
        <v>501201.90829999995</v>
      </c>
      <c r="D21" s="552">
        <v>19358.04</v>
      </c>
      <c r="E21" s="551">
        <v>186565.51519999999</v>
      </c>
      <c r="F21" s="552">
        <v>0</v>
      </c>
      <c r="G21" s="551">
        <v>0</v>
      </c>
      <c r="H21" s="552">
        <f t="shared" si="0"/>
        <v>-19358.04</v>
      </c>
      <c r="I21" s="553">
        <v>40299</v>
      </c>
      <c r="J21" s="534"/>
      <c r="K21" s="535"/>
      <c r="L21" s="532"/>
      <c r="M21" s="540"/>
    </row>
    <row r="22" spans="1:13" x14ac:dyDescent="0.25">
      <c r="A22" s="550">
        <v>9</v>
      </c>
      <c r="B22" s="277" t="s">
        <v>742</v>
      </c>
      <c r="C22" s="551">
        <v>552400.00679999997</v>
      </c>
      <c r="D22" s="552">
        <v>14978.92</v>
      </c>
      <c r="E22" s="551">
        <v>144361.21</v>
      </c>
      <c r="F22" s="552">
        <v>0</v>
      </c>
      <c r="G22" s="551">
        <v>0</v>
      </c>
      <c r="H22" s="552">
        <f t="shared" si="0"/>
        <v>-14978.92</v>
      </c>
      <c r="I22" s="553">
        <v>40299</v>
      </c>
      <c r="J22" s="534"/>
      <c r="K22" s="535"/>
      <c r="L22" s="532"/>
      <c r="M22" s="540"/>
    </row>
    <row r="23" spans="1:13" x14ac:dyDescent="0.25">
      <c r="A23" s="550">
        <v>10</v>
      </c>
      <c r="B23" s="277" t="s">
        <v>742</v>
      </c>
      <c r="C23" s="551">
        <v>463333.12260000012</v>
      </c>
      <c r="D23" s="552">
        <v>7669.18</v>
      </c>
      <c r="E23" s="551">
        <v>73912.642999999996</v>
      </c>
      <c r="F23" s="552">
        <v>0</v>
      </c>
      <c r="G23" s="551">
        <v>0</v>
      </c>
      <c r="H23" s="552">
        <f t="shared" si="0"/>
        <v>-7669.18</v>
      </c>
      <c r="I23" s="553">
        <v>40299</v>
      </c>
      <c r="J23" s="534"/>
      <c r="K23" s="535"/>
      <c r="L23" s="532"/>
      <c r="M23" s="540"/>
    </row>
    <row r="24" spans="1:13" x14ac:dyDescent="0.25">
      <c r="A24" s="550">
        <v>11</v>
      </c>
      <c r="B24" s="277" t="s">
        <v>741</v>
      </c>
      <c r="C24" s="551">
        <v>441105.24729999999</v>
      </c>
      <c r="D24" s="552">
        <v>19921.75</v>
      </c>
      <c r="E24" s="551">
        <v>191998.34520000001</v>
      </c>
      <c r="F24" s="552">
        <v>0</v>
      </c>
      <c r="G24" s="551">
        <v>0</v>
      </c>
      <c r="H24" s="552">
        <f t="shared" si="0"/>
        <v>-19921.75</v>
      </c>
      <c r="I24" s="553">
        <v>40330</v>
      </c>
      <c r="J24" s="534"/>
      <c r="K24" s="535"/>
      <c r="L24" s="532"/>
      <c r="M24" s="540"/>
    </row>
    <row r="25" spans="1:13" x14ac:dyDescent="0.25">
      <c r="A25" s="550">
        <v>12</v>
      </c>
      <c r="B25" s="277" t="s">
        <v>910</v>
      </c>
      <c r="C25" s="551">
        <v>192405.46390000003</v>
      </c>
      <c r="D25" s="552">
        <v>1102.1300000000001</v>
      </c>
      <c r="E25" s="551">
        <v>9987.6224000000002</v>
      </c>
      <c r="F25" s="552">
        <v>1102.1300000000001</v>
      </c>
      <c r="G25" s="551">
        <v>9988.402299999987</v>
      </c>
      <c r="H25" s="552">
        <f t="shared" si="0"/>
        <v>0</v>
      </c>
      <c r="I25" s="553">
        <v>40330</v>
      </c>
      <c r="J25" s="534"/>
      <c r="K25" s="535"/>
      <c r="L25" s="532"/>
      <c r="M25" s="540"/>
    </row>
    <row r="26" spans="1:13" x14ac:dyDescent="0.25">
      <c r="A26" s="550">
        <v>13</v>
      </c>
      <c r="B26" s="277" t="s">
        <v>742</v>
      </c>
      <c r="C26" s="551">
        <v>93739.409899999999</v>
      </c>
      <c r="D26" s="552">
        <v>9820.9500000000007</v>
      </c>
      <c r="E26" s="551">
        <v>94650.682199999996</v>
      </c>
      <c r="F26" s="552">
        <v>0</v>
      </c>
      <c r="G26" s="551">
        <v>0</v>
      </c>
      <c r="H26" s="552">
        <f t="shared" si="0"/>
        <v>-9820.9500000000007</v>
      </c>
      <c r="I26" s="553">
        <v>40360</v>
      </c>
      <c r="J26" s="534"/>
      <c r="K26" s="535"/>
      <c r="L26" s="532"/>
      <c r="M26" s="540"/>
    </row>
    <row r="27" spans="1:13" x14ac:dyDescent="0.25">
      <c r="A27" s="550">
        <v>14</v>
      </c>
      <c r="B27" s="277" t="s">
        <v>910</v>
      </c>
      <c r="C27" s="551">
        <v>150104.14359999998</v>
      </c>
      <c r="D27" s="552">
        <v>2809.87</v>
      </c>
      <c r="E27" s="551">
        <v>25463.264500000001</v>
      </c>
      <c r="F27" s="552">
        <v>2809.87</v>
      </c>
      <c r="G27" s="551">
        <v>25463.26449999999</v>
      </c>
      <c r="H27" s="552">
        <f t="shared" si="0"/>
        <v>0</v>
      </c>
      <c r="I27" s="553">
        <v>40391</v>
      </c>
      <c r="J27" s="534"/>
      <c r="K27" s="535"/>
      <c r="L27" s="532"/>
      <c r="M27" s="527"/>
    </row>
    <row r="28" spans="1:13" x14ac:dyDescent="0.25">
      <c r="A28" s="550">
        <v>15</v>
      </c>
      <c r="B28" s="277" t="s">
        <v>910</v>
      </c>
      <c r="C28" s="551">
        <v>337893.68150000001</v>
      </c>
      <c r="D28" s="552">
        <v>130.12</v>
      </c>
      <c r="E28" s="551">
        <v>1179.1965</v>
      </c>
      <c r="F28" s="552">
        <v>0</v>
      </c>
      <c r="G28" s="551">
        <v>0</v>
      </c>
      <c r="H28" s="552">
        <f t="shared" si="0"/>
        <v>-130.12</v>
      </c>
      <c r="I28" s="553">
        <v>40391</v>
      </c>
      <c r="J28" s="534"/>
      <c r="K28" s="535"/>
      <c r="L28" s="532"/>
      <c r="M28" s="540"/>
    </row>
    <row r="29" spans="1:13" x14ac:dyDescent="0.25">
      <c r="A29" s="550">
        <v>16</v>
      </c>
      <c r="B29" s="277" t="s">
        <v>742</v>
      </c>
      <c r="C29" s="551">
        <v>451835.07739999995</v>
      </c>
      <c r="D29" s="552">
        <v>19527.16</v>
      </c>
      <c r="E29" s="551">
        <v>188195.46900000001</v>
      </c>
      <c r="F29" s="552">
        <v>0</v>
      </c>
      <c r="G29" s="551">
        <v>0</v>
      </c>
      <c r="H29" s="552">
        <f t="shared" si="0"/>
        <v>-19527.16</v>
      </c>
      <c r="I29" s="553">
        <v>40422</v>
      </c>
      <c r="J29" s="534"/>
      <c r="K29" s="535"/>
      <c r="L29" s="532"/>
      <c r="M29" s="540"/>
    </row>
    <row r="30" spans="1:13" x14ac:dyDescent="0.25">
      <c r="A30" s="550">
        <v>17</v>
      </c>
      <c r="B30" s="277" t="s">
        <v>910</v>
      </c>
      <c r="C30" s="551">
        <v>159757.7163</v>
      </c>
      <c r="D30" s="552">
        <v>2856.66</v>
      </c>
      <c r="E30" s="551">
        <v>25887.257300000001</v>
      </c>
      <c r="F30" s="552">
        <v>2856.66</v>
      </c>
      <c r="G30" s="551">
        <v>25887.257299999939</v>
      </c>
      <c r="H30" s="552">
        <f t="shared" si="0"/>
        <v>0</v>
      </c>
      <c r="I30" s="553">
        <v>40422</v>
      </c>
      <c r="J30" s="534"/>
      <c r="K30" s="535"/>
      <c r="L30" s="532"/>
      <c r="M30" s="540"/>
    </row>
    <row r="31" spans="1:13" x14ac:dyDescent="0.25">
      <c r="A31" s="550">
        <v>18</v>
      </c>
      <c r="B31" s="277" t="s">
        <v>742</v>
      </c>
      <c r="C31" s="551">
        <v>239052.50270000001</v>
      </c>
      <c r="D31" s="552">
        <v>57.22</v>
      </c>
      <c r="E31" s="551">
        <v>550.92529999999999</v>
      </c>
      <c r="F31" s="552">
        <v>57.22</v>
      </c>
      <c r="G31" s="551">
        <v>550.92529999999999</v>
      </c>
      <c r="H31" s="552">
        <f t="shared" si="0"/>
        <v>0</v>
      </c>
      <c r="I31" s="553">
        <v>40483</v>
      </c>
      <c r="J31" s="534"/>
      <c r="K31" s="535"/>
      <c r="L31" s="532"/>
      <c r="M31" s="540"/>
    </row>
    <row r="32" spans="1:13" x14ac:dyDescent="0.25">
      <c r="A32" s="550">
        <v>19</v>
      </c>
      <c r="B32" s="277" t="s">
        <v>742</v>
      </c>
      <c r="C32" s="551">
        <v>115594.04750000002</v>
      </c>
      <c r="D32" s="552">
        <v>5104.41</v>
      </c>
      <c r="E32" s="551">
        <v>49147.067300000002</v>
      </c>
      <c r="F32" s="552">
        <v>5104.41</v>
      </c>
      <c r="G32" s="551">
        <v>49147.067300000002</v>
      </c>
      <c r="H32" s="552">
        <f t="shared" si="0"/>
        <v>0</v>
      </c>
      <c r="I32" s="553">
        <v>40483</v>
      </c>
      <c r="J32" s="534"/>
      <c r="K32" s="535"/>
      <c r="L32" s="532"/>
      <c r="M32" s="540"/>
    </row>
    <row r="33" spans="1:24" x14ac:dyDescent="0.25">
      <c r="A33" s="550">
        <v>20</v>
      </c>
      <c r="B33" s="277" t="s">
        <v>742</v>
      </c>
      <c r="C33" s="551">
        <v>118002.23670000001</v>
      </c>
      <c r="D33" s="552">
        <v>6213.27</v>
      </c>
      <c r="E33" s="551">
        <v>59823.5533</v>
      </c>
      <c r="F33" s="552">
        <v>6213.27</v>
      </c>
      <c r="G33" s="551">
        <v>59823.5533</v>
      </c>
      <c r="H33" s="552">
        <f t="shared" si="0"/>
        <v>0</v>
      </c>
      <c r="I33" s="553">
        <v>40483</v>
      </c>
      <c r="J33" s="534"/>
      <c r="K33" s="535"/>
      <c r="L33" s="532"/>
      <c r="M33" s="540"/>
    </row>
    <row r="34" spans="1:24" x14ac:dyDescent="0.25">
      <c r="A34" s="550">
        <v>21</v>
      </c>
      <c r="B34" s="277" t="s">
        <v>741</v>
      </c>
      <c r="C34" s="551">
        <v>177218.08960000001</v>
      </c>
      <c r="D34" s="552">
        <v>442.69</v>
      </c>
      <c r="E34" s="551">
        <v>4262.3833000000004</v>
      </c>
      <c r="F34" s="552">
        <v>442.69</v>
      </c>
      <c r="G34" s="551">
        <v>4262.3833000000004</v>
      </c>
      <c r="H34" s="552">
        <f t="shared" si="0"/>
        <v>0</v>
      </c>
      <c r="I34" s="553">
        <v>40483</v>
      </c>
      <c r="J34" s="534"/>
      <c r="K34" s="535"/>
      <c r="L34" s="532"/>
      <c r="M34" s="527"/>
    </row>
    <row r="35" spans="1:24" x14ac:dyDescent="0.25">
      <c r="A35" s="550">
        <v>22</v>
      </c>
      <c r="B35" s="277" t="s">
        <v>920</v>
      </c>
      <c r="C35" s="551">
        <v>154235.9676</v>
      </c>
      <c r="D35" s="552">
        <v>1052.69</v>
      </c>
      <c r="E35" s="551">
        <v>9530.9470999999994</v>
      </c>
      <c r="F35" s="552">
        <v>1052.69</v>
      </c>
      <c r="G35" s="551">
        <v>11657.766099999979</v>
      </c>
      <c r="H35" s="552">
        <f t="shared" si="0"/>
        <v>0</v>
      </c>
      <c r="I35" s="553">
        <v>40513</v>
      </c>
      <c r="J35" s="534"/>
      <c r="K35" s="535"/>
      <c r="L35" s="532"/>
      <c r="M35" s="540"/>
    </row>
    <row r="36" spans="1:24" x14ac:dyDescent="0.25">
      <c r="A36" s="550">
        <v>23</v>
      </c>
      <c r="B36" s="277" t="s">
        <v>910</v>
      </c>
      <c r="C36" s="551">
        <v>91132.813999999984</v>
      </c>
      <c r="D36" s="552">
        <v>9865.4599999999991</v>
      </c>
      <c r="E36" s="551">
        <v>89320.554799999998</v>
      </c>
      <c r="F36" s="552">
        <v>9865.4599999999991</v>
      </c>
      <c r="G36" s="551">
        <v>89320.554899999988</v>
      </c>
      <c r="H36" s="552">
        <f t="shared" si="0"/>
        <v>0</v>
      </c>
      <c r="I36" s="553">
        <v>40513</v>
      </c>
      <c r="J36" s="534"/>
      <c r="K36" s="535"/>
      <c r="L36" s="532"/>
      <c r="M36" s="540"/>
    </row>
    <row r="37" spans="1:24" x14ac:dyDescent="0.25">
      <c r="A37" s="563" t="s">
        <v>23</v>
      </c>
      <c r="B37" s="563"/>
      <c r="C37" s="564">
        <f t="shared" ref="C37:H37" si="1">SUM(C14:C36)</f>
        <v>7312454.0031000013</v>
      </c>
      <c r="D37" s="565">
        <f t="shared" si="1"/>
        <v>450943.05999999988</v>
      </c>
      <c r="E37" s="564">
        <f t="shared" si="1"/>
        <v>4356234.5973000014</v>
      </c>
      <c r="F37" s="565">
        <f t="shared" si="1"/>
        <v>62454.580000000009</v>
      </c>
      <c r="G37" s="564">
        <f t="shared" si="1"/>
        <v>587663.32909999986</v>
      </c>
      <c r="H37" s="565">
        <f t="shared" si="1"/>
        <v>-388488.47999999992</v>
      </c>
      <c r="I37" s="533"/>
      <c r="J37" s="534"/>
      <c r="K37" s="535"/>
      <c r="L37" s="532"/>
      <c r="M37" s="540"/>
    </row>
    <row r="38" spans="1:24" x14ac:dyDescent="0.25">
      <c r="A38" s="529"/>
      <c r="B38" s="527"/>
      <c r="C38" s="527"/>
      <c r="D38" s="530"/>
      <c r="E38" s="530"/>
      <c r="F38" s="531"/>
      <c r="G38" s="531"/>
      <c r="H38" s="532"/>
      <c r="I38" s="533"/>
      <c r="J38" s="534"/>
      <c r="K38" s="535"/>
      <c r="L38" s="532"/>
      <c r="M38" s="527"/>
    </row>
    <row r="39" spans="1:24" x14ac:dyDescent="0.25">
      <c r="A39" s="566" t="s">
        <v>1222</v>
      </c>
      <c r="B39" s="527"/>
      <c r="C39" s="527"/>
      <c r="D39" s="530"/>
      <c r="E39" s="530"/>
      <c r="F39" s="531"/>
      <c r="G39" s="531"/>
      <c r="H39" s="532"/>
      <c r="I39" s="533"/>
      <c r="J39" s="534"/>
      <c r="K39" s="535"/>
      <c r="L39" s="532"/>
      <c r="M39" s="527"/>
    </row>
    <row r="40" spans="1:24" x14ac:dyDescent="0.25">
      <c r="A40" s="536" t="s">
        <v>1206</v>
      </c>
      <c r="B40" s="567">
        <v>40179</v>
      </c>
      <c r="C40" s="567">
        <v>40210</v>
      </c>
      <c r="D40" s="567">
        <v>40238</v>
      </c>
      <c r="E40" s="567">
        <v>40269</v>
      </c>
      <c r="F40" s="567">
        <v>40299</v>
      </c>
      <c r="G40" s="567">
        <v>40330</v>
      </c>
      <c r="H40" s="567">
        <v>40360</v>
      </c>
      <c r="I40" s="567">
        <v>40391</v>
      </c>
      <c r="J40" s="567">
        <v>40422</v>
      </c>
      <c r="K40" s="567">
        <v>40452</v>
      </c>
      <c r="L40" s="567">
        <v>40483</v>
      </c>
      <c r="M40" s="567">
        <v>40513</v>
      </c>
    </row>
    <row r="41" spans="1:24" x14ac:dyDescent="0.25">
      <c r="A41" s="277" t="s">
        <v>910</v>
      </c>
      <c r="B41" s="568">
        <f>H14</f>
        <v>-3471.66</v>
      </c>
      <c r="C41" s="568"/>
      <c r="D41" s="568"/>
      <c r="E41" s="568"/>
      <c r="F41" s="568"/>
      <c r="G41" s="568"/>
      <c r="H41" s="568"/>
      <c r="I41" s="568">
        <f>H28</f>
        <v>-130.12</v>
      </c>
      <c r="J41" s="534"/>
      <c r="K41" s="535"/>
      <c r="L41" s="532"/>
      <c r="M41" s="540"/>
    </row>
    <row r="42" spans="1:24" x14ac:dyDescent="0.25">
      <c r="A42" s="277" t="s">
        <v>920</v>
      </c>
      <c r="B42" s="569"/>
      <c r="C42" s="568">
        <f>H15</f>
        <v>0</v>
      </c>
      <c r="D42" s="568"/>
      <c r="E42" s="568"/>
      <c r="F42" s="568"/>
      <c r="G42" s="568"/>
      <c r="H42" s="568"/>
      <c r="I42" s="568"/>
      <c r="J42" s="534"/>
      <c r="K42" s="535"/>
      <c r="L42" s="532"/>
      <c r="M42" s="527"/>
      <c r="N42" s="570"/>
      <c r="O42" s="570"/>
      <c r="P42" s="570"/>
      <c r="Q42" s="570"/>
      <c r="R42" s="570"/>
      <c r="S42" s="570"/>
      <c r="T42" s="570"/>
      <c r="U42" s="570"/>
      <c r="V42" s="570"/>
      <c r="W42" s="570"/>
      <c r="X42" s="570"/>
    </row>
    <row r="43" spans="1:24" x14ac:dyDescent="0.25">
      <c r="A43" s="277" t="s">
        <v>741</v>
      </c>
      <c r="B43" s="569"/>
      <c r="C43" s="568"/>
      <c r="D43" s="568"/>
      <c r="E43" s="568"/>
      <c r="F43" s="568"/>
      <c r="G43" s="568">
        <f>H24</f>
        <v>-19921.75</v>
      </c>
      <c r="H43" s="568"/>
      <c r="I43" s="568"/>
      <c r="J43" s="534"/>
      <c r="K43" s="535"/>
      <c r="L43" s="532"/>
      <c r="M43" s="527"/>
      <c r="N43" s="570"/>
      <c r="O43" s="570"/>
      <c r="P43" s="570"/>
      <c r="Q43" s="570"/>
      <c r="R43" s="570"/>
      <c r="S43" s="570"/>
      <c r="T43" s="570"/>
      <c r="U43" s="570"/>
      <c r="V43" s="570"/>
      <c r="W43" s="570"/>
      <c r="X43" s="570"/>
    </row>
    <row r="44" spans="1:24" x14ac:dyDescent="0.25">
      <c r="A44" s="277" t="s">
        <v>742</v>
      </c>
      <c r="B44" s="569"/>
      <c r="C44" s="568"/>
      <c r="D44" s="568">
        <f>H16</f>
        <v>-4975.97</v>
      </c>
      <c r="E44" s="568">
        <f>H18</f>
        <v>-204602.52</v>
      </c>
      <c r="F44" s="568">
        <f>SUM(H20:H23)</f>
        <v>-126038.35</v>
      </c>
      <c r="G44" s="568"/>
      <c r="H44" s="568">
        <f>H26</f>
        <v>-9820.9500000000007</v>
      </c>
      <c r="I44" s="568">
        <f>H29</f>
        <v>-19527.16</v>
      </c>
      <c r="J44" s="534"/>
      <c r="K44" s="535"/>
      <c r="L44" s="532"/>
      <c r="M44" s="527"/>
      <c r="N44" s="570"/>
      <c r="O44" s="570"/>
      <c r="P44" s="570"/>
      <c r="Q44" s="570"/>
      <c r="R44" s="570"/>
      <c r="S44" s="570"/>
      <c r="T44" s="570"/>
      <c r="U44" s="570"/>
      <c r="V44" s="570"/>
      <c r="W44" s="570"/>
      <c r="X44" s="570"/>
    </row>
    <row r="45" spans="1:24" x14ac:dyDescent="0.25">
      <c r="A45" s="541" t="s">
        <v>23</v>
      </c>
      <c r="B45" s="542">
        <f>SUM(B41:B44)</f>
        <v>-3471.66</v>
      </c>
      <c r="C45" s="542">
        <f t="shared" ref="C45:M45" si="2">SUM(C41:C44)</f>
        <v>0</v>
      </c>
      <c r="D45" s="542">
        <f t="shared" si="2"/>
        <v>-4975.97</v>
      </c>
      <c r="E45" s="542">
        <f t="shared" si="2"/>
        <v>-204602.52</v>
      </c>
      <c r="F45" s="542">
        <f t="shared" si="2"/>
        <v>-126038.35</v>
      </c>
      <c r="G45" s="542">
        <f t="shared" si="2"/>
        <v>-19921.75</v>
      </c>
      <c r="H45" s="542">
        <f t="shared" si="2"/>
        <v>-9820.9500000000007</v>
      </c>
      <c r="I45" s="542">
        <f t="shared" si="2"/>
        <v>-19657.28</v>
      </c>
      <c r="J45" s="542">
        <f t="shared" si="2"/>
        <v>0</v>
      </c>
      <c r="K45" s="542">
        <f t="shared" si="2"/>
        <v>0</v>
      </c>
      <c r="L45" s="542">
        <f t="shared" si="2"/>
        <v>0</v>
      </c>
      <c r="M45" s="542">
        <f t="shared" si="2"/>
        <v>0</v>
      </c>
    </row>
    <row r="46" spans="1:24" x14ac:dyDescent="0.25">
      <c r="A46" s="527"/>
      <c r="B46" s="527"/>
      <c r="C46" s="527"/>
      <c r="D46" s="532"/>
      <c r="E46" s="532"/>
      <c r="F46" s="539"/>
      <c r="G46" s="539"/>
      <c r="H46" s="532"/>
      <c r="I46" s="533"/>
      <c r="J46" s="534"/>
      <c r="K46" s="535"/>
      <c r="L46" s="532"/>
      <c r="M46" s="540"/>
    </row>
    <row r="47" spans="1:24" x14ac:dyDescent="0.25">
      <c r="D47" s="570"/>
      <c r="E47" s="570"/>
      <c r="F47" s="571"/>
      <c r="G47" s="571"/>
      <c r="H47" s="572"/>
      <c r="I47" s="573"/>
      <c r="J47" s="574"/>
      <c r="K47" s="575"/>
      <c r="L47" s="572"/>
      <c r="M47" s="576"/>
    </row>
    <row r="48" spans="1:24" x14ac:dyDescent="0.25">
      <c r="D48" s="570"/>
      <c r="E48" s="570"/>
      <c r="F48" s="571"/>
      <c r="G48" s="571"/>
      <c r="H48" s="572"/>
      <c r="I48" s="573"/>
      <c r="J48" s="574"/>
      <c r="K48" s="575"/>
      <c r="L48" s="572"/>
      <c r="M48" s="576"/>
    </row>
    <row r="49" spans="1:13" x14ac:dyDescent="0.25">
      <c r="D49" s="570"/>
      <c r="E49" s="570"/>
      <c r="F49" s="571"/>
      <c r="G49" s="571"/>
      <c r="H49" s="572"/>
      <c r="I49" s="573"/>
      <c r="J49" s="574"/>
      <c r="K49" s="575"/>
      <c r="L49" s="572"/>
      <c r="M49" s="576"/>
    </row>
    <row r="50" spans="1:13" x14ac:dyDescent="0.25">
      <c r="D50" s="577"/>
      <c r="E50" s="577"/>
      <c r="F50" s="578"/>
      <c r="G50" s="578"/>
      <c r="H50" s="572"/>
      <c r="I50" s="573"/>
      <c r="J50" s="574"/>
      <c r="K50" s="575"/>
      <c r="L50" s="572"/>
    </row>
    <row r="51" spans="1:13" x14ac:dyDescent="0.25">
      <c r="A51" s="579"/>
      <c r="D51" s="580"/>
      <c r="E51" s="580"/>
      <c r="F51" s="581"/>
      <c r="G51" s="581"/>
      <c r="H51" s="572"/>
      <c r="I51" s="573"/>
      <c r="J51" s="574"/>
      <c r="K51" s="575"/>
      <c r="L51" s="572"/>
    </row>
    <row r="52" spans="1:13" x14ac:dyDescent="0.25">
      <c r="D52" s="570"/>
      <c r="E52" s="570"/>
      <c r="F52" s="571"/>
      <c r="G52" s="571"/>
      <c r="H52" s="572"/>
      <c r="I52" s="573"/>
      <c r="J52" s="574"/>
      <c r="K52" s="575"/>
      <c r="L52" s="572"/>
      <c r="M52" s="576"/>
    </row>
    <row r="53" spans="1:13" x14ac:dyDescent="0.25">
      <c r="D53" s="570"/>
      <c r="E53" s="570"/>
      <c r="F53" s="571"/>
      <c r="G53" s="571"/>
      <c r="H53" s="572"/>
      <c r="I53" s="573"/>
      <c r="J53" s="574"/>
      <c r="K53" s="575"/>
      <c r="L53" s="572"/>
      <c r="M53" s="576"/>
    </row>
    <row r="54" spans="1:13" x14ac:dyDescent="0.25">
      <c r="H54" s="582"/>
    </row>
    <row r="55" spans="1:13" x14ac:dyDescent="0.25">
      <c r="H55" s="582"/>
    </row>
    <row r="56" spans="1:13" x14ac:dyDescent="0.25">
      <c r="H56" s="582"/>
    </row>
    <row r="57" spans="1:13" x14ac:dyDescent="0.25">
      <c r="H57" s="582"/>
    </row>
    <row r="58" spans="1:13" x14ac:dyDescent="0.25">
      <c r="H58" s="582"/>
    </row>
    <row r="59" spans="1:13" x14ac:dyDescent="0.25">
      <c r="H59" s="582"/>
    </row>
    <row r="60" spans="1:13" x14ac:dyDescent="0.25">
      <c r="H60" s="582"/>
    </row>
    <row r="61" spans="1:13" x14ac:dyDescent="0.25">
      <c r="H61" s="58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Q65"/>
  <sheetViews>
    <sheetView topLeftCell="A18" workbookViewId="0">
      <selection activeCell="L6" sqref="L6"/>
    </sheetView>
  </sheetViews>
  <sheetFormatPr defaultRowHeight="12.75" x14ac:dyDescent="0.2"/>
  <cols>
    <col min="1" max="1" width="5" style="1431" customWidth="1"/>
    <col min="2" max="2" width="37.140625" style="1431" customWidth="1"/>
    <col min="3" max="4" width="16.85546875" style="1431" bestFit="1" customWidth="1"/>
    <col min="5" max="6" width="15.140625" style="1431" bestFit="1" customWidth="1"/>
    <col min="7" max="11" width="14" style="1431" bestFit="1" customWidth="1"/>
    <col min="12" max="16384" width="9.140625" style="1431"/>
  </cols>
  <sheetData>
    <row r="1" spans="1:17" hidden="1" x14ac:dyDescent="0.2">
      <c r="K1" s="1431">
        <v>1</v>
      </c>
    </row>
    <row r="2" spans="1:17" x14ac:dyDescent="0.2">
      <c r="A2" s="1825"/>
      <c r="B2" s="1825"/>
      <c r="C2" s="1825"/>
      <c r="D2" s="1825"/>
      <c r="E2" s="1825"/>
      <c r="F2" s="1825"/>
      <c r="G2" s="1825"/>
      <c r="H2" s="1825"/>
      <c r="I2" s="1825"/>
      <c r="J2" s="1825"/>
      <c r="K2" s="1826" t="s">
        <v>2141</v>
      </c>
    </row>
    <row r="3" spans="1:17" ht="13.5" thickBot="1" x14ac:dyDescent="0.25">
      <c r="A3" s="1825"/>
      <c r="B3" s="1825"/>
      <c r="C3" s="1825"/>
      <c r="D3" s="1825"/>
      <c r="E3" s="1825"/>
      <c r="F3" s="1825"/>
      <c r="G3" s="1825"/>
      <c r="H3" s="1825"/>
      <c r="I3" s="1825"/>
      <c r="J3" s="1825"/>
      <c r="K3" s="1827" t="s">
        <v>2131</v>
      </c>
    </row>
    <row r="4" spans="1:17" ht="14.25" thickTop="1" thickBot="1" x14ac:dyDescent="0.25">
      <c r="A4" s="1825"/>
      <c r="B4" s="1825"/>
      <c r="C4" s="1825"/>
      <c r="D4" s="1825"/>
      <c r="E4" s="1825"/>
      <c r="F4" s="1825"/>
      <c r="G4" s="1825"/>
      <c r="H4" s="1825"/>
      <c r="I4" s="1825"/>
      <c r="J4" s="1825"/>
      <c r="K4" s="1828" t="str">
        <f>"Page "&amp;K1&amp;" of "&amp;'Exhibit No._(CTM-4), Pg. 6'!$K$1</f>
        <v>Page 1 of 6</v>
      </c>
    </row>
    <row r="5" spans="1:17" ht="13.5" thickTop="1" x14ac:dyDescent="0.2">
      <c r="A5" s="1862" t="s">
        <v>2132</v>
      </c>
      <c r="B5" s="1862"/>
      <c r="C5" s="1862"/>
      <c r="D5" s="1862"/>
      <c r="E5" s="1862"/>
      <c r="F5" s="1862"/>
      <c r="G5" s="1862"/>
      <c r="H5" s="1862"/>
      <c r="I5" s="1862"/>
      <c r="J5" s="1862"/>
      <c r="K5" s="1862"/>
    </row>
    <row r="6" spans="1:17" x14ac:dyDescent="0.2">
      <c r="A6" s="1862" t="s">
        <v>2133</v>
      </c>
      <c r="B6" s="1862"/>
      <c r="C6" s="1862"/>
      <c r="D6" s="1862"/>
      <c r="E6" s="1862"/>
      <c r="F6" s="1862"/>
      <c r="G6" s="1862"/>
      <c r="H6" s="1862"/>
      <c r="I6" s="1862"/>
      <c r="J6" s="1862"/>
      <c r="K6" s="1862"/>
    </row>
    <row r="7" spans="1:17" x14ac:dyDescent="0.2">
      <c r="A7" s="1862" t="s">
        <v>2130</v>
      </c>
      <c r="B7" s="1862"/>
      <c r="C7" s="1862"/>
      <c r="D7" s="1862"/>
      <c r="E7" s="1862"/>
      <c r="F7" s="1862"/>
      <c r="G7" s="1862"/>
      <c r="H7" s="1862"/>
      <c r="I7" s="1862"/>
      <c r="J7" s="1862"/>
      <c r="K7" s="1862"/>
    </row>
    <row r="8" spans="1:17" x14ac:dyDescent="0.2">
      <c r="A8" s="1449"/>
      <c r="B8" s="1432"/>
      <c r="C8" s="1432"/>
      <c r="D8" s="1432"/>
      <c r="E8" s="1432"/>
      <c r="F8" s="1432"/>
      <c r="G8" s="1432"/>
      <c r="H8" s="1432"/>
      <c r="I8" s="1432"/>
      <c r="J8" s="1432"/>
    </row>
    <row r="9" spans="1:17" ht="38.25" x14ac:dyDescent="0.2">
      <c r="A9" s="1433" t="s">
        <v>2092</v>
      </c>
      <c r="B9" s="1433" t="s">
        <v>3</v>
      </c>
      <c r="C9" s="1433" t="s">
        <v>2093</v>
      </c>
      <c r="D9" s="1434" t="str">
        <f>[6]INPUTS!$C$16</f>
        <v>Residential (16,23,53)</v>
      </c>
      <c r="E9" s="1433" t="str">
        <f>[6]INPUTS!$C$17</f>
        <v>Comm. &amp; Indus. (31,61)</v>
      </c>
      <c r="F9" s="1433" t="str">
        <f>[6]INPUTS!$C$18</f>
        <v>Large Volume (41,41T)</v>
      </c>
      <c r="G9" s="1433" t="str">
        <f>[6]INPUTS!$C$19</f>
        <v>Interruptible (85, 85T)</v>
      </c>
      <c r="H9" s="1433" t="str">
        <f>[6]INPUTS!$C$20</f>
        <v>Limited Interruptible (86, 86T)</v>
      </c>
      <c r="I9" s="1433" t="str">
        <f>[6]INPUTS!$C$21</f>
        <v>Non-Exclusive Interruptible (87, 87T)</v>
      </c>
      <c r="J9" s="1434" t="str">
        <f>[6]INPUTS!$C$22</f>
        <v>Contracts</v>
      </c>
      <c r="K9" s="1434" t="str">
        <f>[6]INPUTS!$C$23</f>
        <v>Rentals</v>
      </c>
    </row>
    <row r="10" spans="1:17" x14ac:dyDescent="0.2">
      <c r="A10" s="1435"/>
      <c r="B10" s="1833" t="s">
        <v>102</v>
      </c>
      <c r="C10" s="1753" t="s">
        <v>103</v>
      </c>
      <c r="D10" s="1753" t="s">
        <v>104</v>
      </c>
      <c r="E10" s="1753" t="s">
        <v>105</v>
      </c>
      <c r="F10" s="1753" t="s">
        <v>106</v>
      </c>
      <c r="G10" s="1753" t="s">
        <v>107</v>
      </c>
      <c r="H10" s="1753" t="s">
        <v>108</v>
      </c>
      <c r="I10" s="1753" t="s">
        <v>109</v>
      </c>
      <c r="J10" s="1753" t="s">
        <v>116</v>
      </c>
      <c r="K10" s="1753" t="s">
        <v>110</v>
      </c>
      <c r="L10" s="1753"/>
      <c r="M10" s="1753"/>
      <c r="N10" s="1753"/>
      <c r="O10" s="1753"/>
      <c r="P10" s="1753"/>
      <c r="Q10" s="1753"/>
    </row>
    <row r="11" spans="1:17" x14ac:dyDescent="0.2">
      <c r="A11" s="1436">
        <v>1</v>
      </c>
      <c r="B11" s="1437" t="s">
        <v>2094</v>
      </c>
      <c r="C11" s="1435"/>
      <c r="D11" s="1435"/>
      <c r="E11" s="1435"/>
      <c r="F11" s="1435"/>
      <c r="G11" s="1435"/>
      <c r="H11" s="1435"/>
      <c r="I11" s="1435"/>
      <c r="J11" s="1435"/>
      <c r="K11" s="1435"/>
    </row>
    <row r="12" spans="1:17" x14ac:dyDescent="0.2">
      <c r="A12" s="1436">
        <v>2</v>
      </c>
      <c r="B12" s="1438" t="s">
        <v>2095</v>
      </c>
      <c r="C12" s="1439">
        <f>[6]CLASSALLOC!F319</f>
        <v>2787911459.4195461</v>
      </c>
      <c r="D12" s="1439">
        <f>[6]CLASSALLOC!H319</f>
        <v>1890181986.4829156</v>
      </c>
      <c r="E12" s="1439">
        <f>[6]CLASSALLOC!I319</f>
        <v>631421219.17318416</v>
      </c>
      <c r="F12" s="1439">
        <f>[6]CLASSALLOC!J319</f>
        <v>102727120.59398919</v>
      </c>
      <c r="G12" s="1439">
        <f>[6]CLASSALLOC!K319</f>
        <v>48653941.916662976</v>
      </c>
      <c r="H12" s="1439">
        <f>[6]CLASSALLOC!L319</f>
        <v>12568362.917955004</v>
      </c>
      <c r="I12" s="1439">
        <f>[6]CLASSALLOC!M319</f>
        <v>47872865.277014278</v>
      </c>
      <c r="J12" s="1439">
        <f>[6]CLASSALLOC!N319</f>
        <v>16713412.941295339</v>
      </c>
      <c r="K12" s="1439">
        <f>[6]CLASSALLOC!O319</f>
        <v>37772550.116529651</v>
      </c>
    </row>
    <row r="13" spans="1:17" x14ac:dyDescent="0.2">
      <c r="A13" s="1436">
        <f>A12+1</f>
        <v>3</v>
      </c>
      <c r="B13" s="1438" t="s">
        <v>2096</v>
      </c>
      <c r="C13" s="1440">
        <f>[6]CLASSALLOC!F477</f>
        <v>-926793660.13410079</v>
      </c>
      <c r="D13" s="1440">
        <f>[6]CLASSALLOC!H477</f>
        <v>-618676870.51142216</v>
      </c>
      <c r="E13" s="1440">
        <f>[6]CLASSALLOC!I477</f>
        <v>-208179277.32395685</v>
      </c>
      <c r="F13" s="1440">
        <f>[6]CLASSALLOC!J477</f>
        <v>-30485610.599740759</v>
      </c>
      <c r="G13" s="1440">
        <f>[6]CLASSALLOC!K477</f>
        <v>-14313573.328218415</v>
      </c>
      <c r="H13" s="1440">
        <f>[6]CLASSALLOC!L477</f>
        <v>-3796129.2179827895</v>
      </c>
      <c r="I13" s="1440">
        <f>[6]CLASSALLOC!M477</f>
        <v>-13867386.381829416</v>
      </c>
      <c r="J13" s="1440">
        <f>[6]CLASSALLOC!N477</f>
        <v>-4832365.0451084431</v>
      </c>
      <c r="K13" s="1440">
        <f>[6]CLASSALLOC!O477</f>
        <v>-32642447.725841846</v>
      </c>
    </row>
    <row r="14" spans="1:17" x14ac:dyDescent="0.2">
      <c r="A14" s="1436">
        <v>3</v>
      </c>
      <c r="B14" s="1438" t="s">
        <v>2097</v>
      </c>
      <c r="C14" s="1440">
        <f>[6]CLASSALLOC!F635</f>
        <v>-240387574.12733316</v>
      </c>
      <c r="D14" s="1440">
        <f>[6]CLASSALLOC!H635</f>
        <v>-165845031.16611242</v>
      </c>
      <c r="E14" s="1440">
        <f>[6]CLASSALLOC!I635</f>
        <v>-54357592.724365592</v>
      </c>
      <c r="F14" s="1440">
        <f>[6]CLASSALLOC!J635</f>
        <v>-9148865.3868824542</v>
      </c>
      <c r="G14" s="1440">
        <f>[6]CLASSALLOC!K635</f>
        <v>-4315439.5883712983</v>
      </c>
      <c r="H14" s="1440">
        <f>[6]CLASSALLOC!L635</f>
        <v>-946801.27895313583</v>
      </c>
      <c r="I14" s="1440">
        <f>[6]CLASSALLOC!M635</f>
        <v>-4259818.4485223833</v>
      </c>
      <c r="J14" s="1440">
        <f>[6]CLASSALLOC!N635</f>
        <v>-1571574.2679476363</v>
      </c>
      <c r="K14" s="1440">
        <f>[6]CLASSALLOC!O635</f>
        <v>57548.733821709407</v>
      </c>
    </row>
    <row r="15" spans="1:17" ht="13.5" thickBot="1" x14ac:dyDescent="0.25">
      <c r="A15" s="1436">
        <v>4</v>
      </c>
      <c r="B15" s="1441" t="s">
        <v>2098</v>
      </c>
      <c r="C15" s="1441">
        <f>SUM(C12:C14)</f>
        <v>1620730225.158112</v>
      </c>
      <c r="D15" s="1441">
        <f t="shared" ref="D15:K15" si="0">SUM(D12:D14)</f>
        <v>1105660084.8053811</v>
      </c>
      <c r="E15" s="1441">
        <f t="shared" si="0"/>
        <v>368884349.12486172</v>
      </c>
      <c r="F15" s="1441">
        <f t="shared" si="0"/>
        <v>63092644.607365981</v>
      </c>
      <c r="G15" s="1441">
        <f t="shared" si="0"/>
        <v>30024929.000073262</v>
      </c>
      <c r="H15" s="1441">
        <f t="shared" si="0"/>
        <v>7825432.4210190782</v>
      </c>
      <c r="I15" s="1441">
        <f t="shared" si="0"/>
        <v>29745660.446662478</v>
      </c>
      <c r="J15" s="1441">
        <f t="shared" si="0"/>
        <v>10309473.628239259</v>
      </c>
      <c r="K15" s="1441">
        <f t="shared" si="0"/>
        <v>5187651.1245095143</v>
      </c>
    </row>
    <row r="16" spans="1:17" ht="13.5" thickTop="1" x14ac:dyDescent="0.2">
      <c r="A16" s="1436">
        <f t="shared" ref="A16" si="1">A15+1</f>
        <v>5</v>
      </c>
      <c r="B16" s="1435"/>
      <c r="C16" s="1435"/>
      <c r="D16" s="1435"/>
      <c r="E16" s="1435"/>
      <c r="F16" s="1435"/>
      <c r="G16" s="1435"/>
      <c r="H16" s="1435"/>
      <c r="I16" s="1435"/>
      <c r="J16" s="1435"/>
      <c r="K16" s="1435"/>
    </row>
    <row r="17" spans="1:11" x14ac:dyDescent="0.2">
      <c r="A17" s="1436">
        <v>5</v>
      </c>
      <c r="B17" s="1432" t="s">
        <v>2099</v>
      </c>
      <c r="C17" s="1442"/>
      <c r="D17" s="1435"/>
      <c r="E17" s="1435"/>
      <c r="F17" s="1435"/>
      <c r="G17" s="1435"/>
      <c r="H17" s="1435"/>
      <c r="I17" s="1435"/>
      <c r="J17" s="1435"/>
      <c r="K17" s="1435"/>
    </row>
    <row r="18" spans="1:11" x14ac:dyDescent="0.2">
      <c r="A18" s="1436">
        <v>6</v>
      </c>
      <c r="B18" s="1438" t="s">
        <v>2100</v>
      </c>
      <c r="C18" s="1443">
        <f>[6]CLASSALLOC!F2228</f>
        <v>0</v>
      </c>
      <c r="D18" s="1443">
        <f>[6]CLASSALLOC!H2228</f>
        <v>0</v>
      </c>
      <c r="E18" s="1443">
        <f>[6]CLASSALLOC!I2228</f>
        <v>0</v>
      </c>
      <c r="F18" s="1443">
        <f>[6]CLASSALLOC!J2228</f>
        <v>0</v>
      </c>
      <c r="G18" s="1443">
        <f>[6]CLASSALLOC!K2228</f>
        <v>0</v>
      </c>
      <c r="H18" s="1443">
        <f>[6]CLASSALLOC!L2228</f>
        <v>0</v>
      </c>
      <c r="I18" s="1443">
        <f>[6]CLASSALLOC!M2228</f>
        <v>0</v>
      </c>
      <c r="J18" s="1443">
        <f>[6]CLASSALLOC!N2228</f>
        <v>0</v>
      </c>
      <c r="K18" s="1443">
        <f>[6]CLASSALLOC!O2228</f>
        <v>0</v>
      </c>
    </row>
    <row r="19" spans="1:11" x14ac:dyDescent="0.2">
      <c r="A19" s="1436">
        <f t="shared" ref="A19" si="2">A18+1</f>
        <v>7</v>
      </c>
      <c r="B19" s="1438" t="s">
        <v>2101</v>
      </c>
      <c r="C19" s="1443">
        <f>[6]CLASSALLOC!F2229+[6]CLASSALLOC!F2230+[6]CLASSALLOC!F2232</f>
        <v>420045912.21667004</v>
      </c>
      <c r="D19" s="1443">
        <f>[6]CLASSALLOC!H2229+[6]CLASSALLOC!H2230+[6]CLASSALLOC!H2232</f>
        <v>289229013.37180001</v>
      </c>
      <c r="E19" s="1443">
        <f>[6]CLASSALLOC!I2229+[6]CLASSALLOC!I2230+[6]CLASSALLOC!I2232</f>
        <v>85374212.859899998</v>
      </c>
      <c r="F19" s="1443">
        <f>[6]CLASSALLOC!J2229+[6]CLASSALLOC!J2230+[6]CLASSALLOC!J2232</f>
        <v>18192108.604619995</v>
      </c>
      <c r="G19" s="1443">
        <f>[6]CLASSALLOC!K2229+[6]CLASSALLOC!K2230+[6]CLASSALLOC!K2232</f>
        <v>8563124.0175100006</v>
      </c>
      <c r="H19" s="1443">
        <f>[6]CLASSALLOC!L2229+[6]CLASSALLOC!L2230+[6]CLASSALLOC!L2232</f>
        <v>3045621.4169800002</v>
      </c>
      <c r="I19" s="1443">
        <f>[6]CLASSALLOC!M2229+[6]CLASSALLOC!M2230+[6]CLASSALLOC!M2232</f>
        <v>5844434.5487100016</v>
      </c>
      <c r="J19" s="1443">
        <f>[6]CLASSALLOC!N2229+[6]CLASSALLOC!N2230+[6]CLASSALLOC!N2232</f>
        <v>1658615.8571499998</v>
      </c>
      <c r="K19" s="1443">
        <f>[6]CLASSALLOC!O2229+[6]CLASSALLOC!O2230+[6]CLASSALLOC!O2232</f>
        <v>8138781.5399999991</v>
      </c>
    </row>
    <row r="20" spans="1:11" x14ac:dyDescent="0.2">
      <c r="A20" s="1436">
        <v>7</v>
      </c>
      <c r="B20" s="1438" t="s">
        <v>2102</v>
      </c>
      <c r="C20" s="1443">
        <f>[6]CLASSALLOC!F2227+[6]CLASSALLOC!F2231+[6]CLASSALLOC!F2233</f>
        <v>6760042.1649999991</v>
      </c>
      <c r="D20" s="1443">
        <f>[6]CLASSALLOC!H2227+[6]CLASSALLOC!H2231+[6]CLASSALLOC!H2233</f>
        <v>4549895.4034020314</v>
      </c>
      <c r="E20" s="1443">
        <f>[6]CLASSALLOC!I2227+[6]CLASSALLOC!I2231+[6]CLASSALLOC!I2233</f>
        <v>1932278.7945358464</v>
      </c>
      <c r="F20" s="1443">
        <f>[6]CLASSALLOC!J2227+[6]CLASSALLOC!J2231+[6]CLASSALLOC!J2233</f>
        <v>121667.32458930287</v>
      </c>
      <c r="G20" s="1443">
        <f>[6]CLASSALLOC!K2227+[6]CLASSALLOC!K2231+[6]CLASSALLOC!K2233</f>
        <v>62597.699708686698</v>
      </c>
      <c r="H20" s="1443">
        <f>[6]CLASSALLOC!L2227+[6]CLASSALLOC!L2231+[6]CLASSALLOC!L2233</f>
        <v>25835.516809727553</v>
      </c>
      <c r="I20" s="1443">
        <f>[6]CLASSALLOC!M2227+[6]CLASSALLOC!M2231+[6]CLASSALLOC!M2233</f>
        <v>36238.781981410873</v>
      </c>
      <c r="J20" s="1443">
        <f>[6]CLASSALLOC!N2227+[6]CLASSALLOC!N2231+[6]CLASSALLOC!N2233</f>
        <v>24.707889921985704</v>
      </c>
      <c r="K20" s="1443">
        <f>[6]CLASSALLOC!O2227+[6]CLASSALLOC!O2231+[6]CLASSALLOC!O2233</f>
        <v>31503.936083070519</v>
      </c>
    </row>
    <row r="21" spans="1:11" ht="13.5" thickBot="1" x14ac:dyDescent="0.25">
      <c r="A21" s="1436">
        <v>8</v>
      </c>
      <c r="B21" s="1441" t="s">
        <v>2103</v>
      </c>
      <c r="C21" s="1441">
        <f>SUM(C18:C20)</f>
        <v>426805954.38167006</v>
      </c>
      <c r="D21" s="1441">
        <f>SUM(D18:D20)</f>
        <v>293778908.77520204</v>
      </c>
      <c r="E21" s="1441">
        <f t="shared" ref="E21:K21" si="3">SUM(E18:E20)</f>
        <v>87306491.654435843</v>
      </c>
      <c r="F21" s="1441">
        <f t="shared" si="3"/>
        <v>18313775.929209299</v>
      </c>
      <c r="G21" s="1441">
        <f t="shared" si="3"/>
        <v>8625721.7172186878</v>
      </c>
      <c r="H21" s="1441">
        <f t="shared" si="3"/>
        <v>3071456.9337897277</v>
      </c>
      <c r="I21" s="1441">
        <f t="shared" si="3"/>
        <v>5880673.3306914121</v>
      </c>
      <c r="J21" s="1441">
        <f t="shared" si="3"/>
        <v>1658640.5650399218</v>
      </c>
      <c r="K21" s="1441">
        <f t="shared" si="3"/>
        <v>8170285.47608307</v>
      </c>
    </row>
    <row r="22" spans="1:11" ht="13.5" thickTop="1" x14ac:dyDescent="0.2">
      <c r="A22" s="1436">
        <f t="shared" ref="A22" si="4">A21+1</f>
        <v>9</v>
      </c>
      <c r="B22" s="1435"/>
      <c r="C22" s="1444"/>
      <c r="D22" s="1444"/>
      <c r="E22" s="1444"/>
      <c r="F22" s="1444"/>
      <c r="G22" s="1444"/>
      <c r="H22" s="1444"/>
      <c r="I22" s="1444"/>
      <c r="J22" s="1444"/>
      <c r="K22" s="1444"/>
    </row>
    <row r="23" spans="1:11" x14ac:dyDescent="0.2">
      <c r="A23" s="1436">
        <v>9</v>
      </c>
      <c r="B23" s="1432" t="s">
        <v>2104</v>
      </c>
      <c r="C23" s="1438"/>
      <c r="D23" s="1438"/>
      <c r="E23" s="1438"/>
      <c r="F23" s="1438"/>
      <c r="G23" s="1438"/>
      <c r="H23" s="1438"/>
      <c r="I23" s="1438"/>
      <c r="J23" s="1438"/>
      <c r="K23" s="1438"/>
    </row>
    <row r="24" spans="1:11" x14ac:dyDescent="0.2">
      <c r="A24" s="1436">
        <v>10</v>
      </c>
      <c r="B24" s="1438" t="s">
        <v>2105</v>
      </c>
      <c r="C24" s="1443">
        <f>[6]CLASSALLOC!F$1111-[6]ACCOUNTALLOC!D342-[6]ACCOUNTALLOC!D388</f>
        <v>122931524.52028695</v>
      </c>
      <c r="D24" s="1443">
        <f>[6]CLASSALLOC!H$1111-[6]ACCOUNTALLOC!L342-[6]ACCOUNTALLOC!L388</f>
        <v>91783014.873728946</v>
      </c>
      <c r="E24" s="1443">
        <f>[6]CLASSALLOC!I$1111-[6]ACCOUNTALLOC!T342-[6]ACCOUNTALLOC!T388</f>
        <v>22521041.316508058</v>
      </c>
      <c r="F24" s="1443">
        <f>[6]CLASSALLOC!J$1111-[6]ACCOUNTALLOC!AB342-[6]ACCOUNTALLOC!AB388</f>
        <v>3153784.9717699438</v>
      </c>
      <c r="G24" s="1443">
        <f>[6]CLASSALLOC!K$1111-[6]ACCOUNTALLOC!AJ342-[6]ACCOUNTALLOC!AJ388</f>
        <v>1598693.4632198613</v>
      </c>
      <c r="H24" s="1443">
        <f>[6]CLASSALLOC!L$1111-[6]ACCOUNTALLOC!AR342-[6]ACCOUNTALLOC!AR388</f>
        <v>501453.50804716896</v>
      </c>
      <c r="I24" s="1443">
        <f>[6]CLASSALLOC!M$1111-[6]ACCOUNTALLOC!AZ342-[6]ACCOUNTALLOC!AZ388</f>
        <v>1379885.7380044519</v>
      </c>
      <c r="J24" s="1443">
        <f>[6]CLASSALLOC!N$1111-[6]ACCOUNTALLOC!BH$342-[6]ACCOUNTALLOC!BH$388</f>
        <v>437820.883016187</v>
      </c>
      <c r="K24" s="1443">
        <f>[6]CLASSALLOC!O$1111-[6]ACCOUNTALLOC!BP342-[6]ACCOUNTALLOC!BP388</f>
        <v>1555829.7659923532</v>
      </c>
    </row>
    <row r="25" spans="1:11" x14ac:dyDescent="0.2">
      <c r="A25" s="1436">
        <f t="shared" ref="A25" si="5">A24+1</f>
        <v>11</v>
      </c>
      <c r="B25" s="1438" t="s">
        <v>1414</v>
      </c>
      <c r="C25" s="1443">
        <f>[6]CLASSALLOC!F$1429</f>
        <v>108609791.72938827</v>
      </c>
      <c r="D25" s="1443">
        <f>[6]CLASSALLOC!H$1429</f>
        <v>74088814.720380068</v>
      </c>
      <c r="E25" s="1443">
        <f>[6]CLASSALLOC!I$1429</f>
        <v>24370528.625295658</v>
      </c>
      <c r="F25" s="1443">
        <f>[6]CLASSALLOC!J$1429</f>
        <v>3939448.2863560575</v>
      </c>
      <c r="G25" s="1443">
        <f>[6]CLASSALLOC!K$1429</f>
        <v>1875563.1083630773</v>
      </c>
      <c r="H25" s="1443">
        <f>[6]CLASSALLOC!L$1429</f>
        <v>483135.77392972441</v>
      </c>
      <c r="I25" s="1443">
        <f>[6]CLASSALLOC!M$1429</f>
        <v>1830871.2225195819</v>
      </c>
      <c r="J25" s="1443">
        <f>[6]CLASSALLOC!N$1429</f>
        <v>639964.03293971985</v>
      </c>
      <c r="K25" s="1443">
        <f>[6]CLASSALLOC!O$1429</f>
        <v>1381465.9596043758</v>
      </c>
    </row>
    <row r="26" spans="1:11" x14ac:dyDescent="0.2">
      <c r="A26" s="1436">
        <v>11</v>
      </c>
      <c r="B26" s="1438" t="s">
        <v>2106</v>
      </c>
      <c r="C26" s="1443">
        <f>[6]CLASSALLOC!F$1589-[6]ACCOUNTALLOC!D546</f>
        <v>34965023.772307485</v>
      </c>
      <c r="D26" s="1443">
        <f>[6]CLASSALLOC!H$1589-[6]ACCOUNTALLOC!L546</f>
        <v>23920003.654211063</v>
      </c>
      <c r="E26" s="1443">
        <f>[6]CLASSALLOC!I$1589-[6]ACCOUNTALLOC!T546</f>
        <v>7463813.7686933316</v>
      </c>
      <c r="F26" s="1443">
        <f>[6]CLASSALLOC!J$1589-[6]ACCOUNTALLOC!AB546</f>
        <v>1381025.4183682888</v>
      </c>
      <c r="G26" s="1443">
        <f>[6]CLASSALLOC!K$1589-[6]ACCOUNTALLOC!AJ546</f>
        <v>662354.58868086128</v>
      </c>
      <c r="H26" s="1443">
        <f>[6]CLASSALLOC!L$1589-[6]ACCOUNTALLOC!AR546</f>
        <v>207304.30505504017</v>
      </c>
      <c r="I26" s="1443">
        <f>[6]CLASSALLOC!M$1589-[6]ACCOUNTALLOC!AZ546</f>
        <v>534757.61803758529</v>
      </c>
      <c r="J26" s="1443">
        <f>[6]CLASSALLOC!N$1589-[6]ACCOUNTALLOC!BH$546</f>
        <v>170044.50253971812</v>
      </c>
      <c r="K26" s="1443">
        <f>[6]CLASSALLOC!O$1589-[6]ACCOUNTALLOC!BP546</f>
        <v>625719.9167215972</v>
      </c>
    </row>
    <row r="27" spans="1:11" x14ac:dyDescent="0.2">
      <c r="A27" s="1436">
        <v>12</v>
      </c>
      <c r="B27" s="1438" t="s">
        <v>2107</v>
      </c>
      <c r="C27" s="1443">
        <f>[6]CLASSALLOC!F$1747-[6]ACCOUNTALLOC!D$557</f>
        <v>38223998.291000001</v>
      </c>
      <c r="D27" s="1443">
        <f>(D15/$C15)*$C27</f>
        <v>26076362.701204523</v>
      </c>
      <c r="E27" s="1443">
        <f t="shared" ref="E27:K27" si="6">(E15/$C15)*$C27</f>
        <v>8699927.0524184853</v>
      </c>
      <c r="F27" s="1443">
        <f t="shared" si="6"/>
        <v>1488004.0504034879</v>
      </c>
      <c r="G27" s="1443">
        <f t="shared" si="6"/>
        <v>708120.83156790282</v>
      </c>
      <c r="H27" s="1443">
        <f t="shared" si="6"/>
        <v>184558.36193107854</v>
      </c>
      <c r="I27" s="1443">
        <f t="shared" si="6"/>
        <v>701534.44196240115</v>
      </c>
      <c r="J27" s="1443">
        <f t="shared" si="6"/>
        <v>243143.05751192069</v>
      </c>
      <c r="K27" s="1443">
        <f t="shared" si="6"/>
        <v>122347.79400020831</v>
      </c>
    </row>
    <row r="28" spans="1:11" ht="13.5" thickBot="1" x14ac:dyDescent="0.25">
      <c r="A28" s="1436">
        <f t="shared" ref="A28" si="7">A27+1</f>
        <v>13</v>
      </c>
      <c r="B28" s="1441" t="s">
        <v>2108</v>
      </c>
      <c r="C28" s="1445">
        <f>SUM(C24:C27)</f>
        <v>304730338.31298268</v>
      </c>
      <c r="D28" s="1445">
        <f t="shared" ref="D28:K28" si="8">SUM(D24:D27)</f>
        <v>215868195.94952458</v>
      </c>
      <c r="E28" s="1445">
        <f t="shared" si="8"/>
        <v>63055310.762915537</v>
      </c>
      <c r="F28" s="1445">
        <f t="shared" si="8"/>
        <v>9962262.7268977799</v>
      </c>
      <c r="G28" s="1445">
        <f t="shared" si="8"/>
        <v>4844731.9918317031</v>
      </c>
      <c r="H28" s="1445">
        <f t="shared" si="8"/>
        <v>1376451.9489630121</v>
      </c>
      <c r="I28" s="1445">
        <f t="shared" si="8"/>
        <v>4447049.0205240203</v>
      </c>
      <c r="J28" s="1445">
        <f t="shared" si="8"/>
        <v>1490972.4760075454</v>
      </c>
      <c r="K28" s="1445">
        <f t="shared" si="8"/>
        <v>3685363.4363185344</v>
      </c>
    </row>
    <row r="29" spans="1:11" ht="13.5" thickTop="1" x14ac:dyDescent="0.2">
      <c r="A29" s="1436">
        <v>13</v>
      </c>
      <c r="B29" s="1435"/>
      <c r="C29" s="1442"/>
      <c r="D29" s="1442"/>
      <c r="E29" s="1442"/>
      <c r="F29" s="1442"/>
      <c r="G29" s="1442"/>
      <c r="H29" s="1442"/>
      <c r="I29" s="1442"/>
      <c r="J29" s="1442"/>
      <c r="K29" s="1442"/>
    </row>
    <row r="30" spans="1:11" x14ac:dyDescent="0.2">
      <c r="A30" s="1436">
        <v>14</v>
      </c>
      <c r="B30" s="1438" t="s">
        <v>2109</v>
      </c>
      <c r="C30" s="1438">
        <f>C21-C28</f>
        <v>122075616.06868738</v>
      </c>
      <c r="D30" s="1438">
        <f>D21-D28</f>
        <v>77910712.825677454</v>
      </c>
      <c r="E30" s="1438">
        <f t="shared" ref="E30:K30" si="9">E21-E28</f>
        <v>24251180.891520306</v>
      </c>
      <c r="F30" s="1438">
        <f t="shared" si="9"/>
        <v>8351513.2023115195</v>
      </c>
      <c r="G30" s="1438">
        <f t="shared" si="9"/>
        <v>3780989.7253869846</v>
      </c>
      <c r="H30" s="1438">
        <f t="shared" si="9"/>
        <v>1695004.9848267157</v>
      </c>
      <c r="I30" s="1438">
        <f t="shared" si="9"/>
        <v>1433624.3101673918</v>
      </c>
      <c r="J30" s="1438">
        <f t="shared" si="9"/>
        <v>167668.08903237642</v>
      </c>
      <c r="K30" s="1438">
        <f t="shared" si="9"/>
        <v>4484922.0397645356</v>
      </c>
    </row>
    <row r="31" spans="1:11" ht="13.5" thickBot="1" x14ac:dyDescent="0.25">
      <c r="A31" s="1436">
        <f t="shared" ref="A31" si="10">A30+1</f>
        <v>15</v>
      </c>
      <c r="B31" s="1446" t="s">
        <v>2110</v>
      </c>
      <c r="C31" s="1447">
        <f>IF(C15=0, 0, C30/C15)</f>
        <v>7.5321366982452717E-2</v>
      </c>
      <c r="D31" s="1447">
        <f t="shared" ref="D31:K31" si="11">IF(D15=0, 0, D30/D15)</f>
        <v>7.0465339118569476E-2</v>
      </c>
      <c r="E31" s="1447">
        <f>IF(E15=0, 0, E30/E15)</f>
        <v>6.5741962078504051E-2</v>
      </c>
      <c r="F31" s="1447">
        <f t="shared" si="11"/>
        <v>0.13236904641236882</v>
      </c>
      <c r="G31" s="1447">
        <f t="shared" si="11"/>
        <v>0.12592834858586208</v>
      </c>
      <c r="H31" s="1447">
        <f t="shared" si="11"/>
        <v>0.21660208581878995</v>
      </c>
      <c r="I31" s="1447">
        <f t="shared" si="11"/>
        <v>4.8196082676935391E-2</v>
      </c>
      <c r="J31" s="1447">
        <f t="shared" si="11"/>
        <v>1.6263496573977097E-2</v>
      </c>
      <c r="K31" s="1447">
        <f t="shared" si="11"/>
        <v>0.86453809867342979</v>
      </c>
    </row>
    <row r="32" spans="1:11" ht="13.5" thickTop="1" x14ac:dyDescent="0.2">
      <c r="A32" s="1436">
        <v>15</v>
      </c>
      <c r="B32" s="1438"/>
      <c r="C32" s="1443"/>
      <c r="D32" s="1443"/>
      <c r="E32" s="1448"/>
      <c r="F32" s="1448"/>
      <c r="G32" s="1448"/>
      <c r="H32" s="1448"/>
      <c r="I32" s="1448"/>
      <c r="J32" s="1448"/>
      <c r="K32" s="1448"/>
    </row>
    <row r="33" spans="1:11" x14ac:dyDescent="0.2">
      <c r="A33" s="1436">
        <v>16</v>
      </c>
      <c r="B33" s="1449" t="s">
        <v>2111</v>
      </c>
      <c r="C33" s="1443"/>
      <c r="D33" s="1450"/>
      <c r="E33" s="1448"/>
      <c r="F33" s="1448"/>
      <c r="G33" s="1448"/>
      <c r="H33" s="1448"/>
      <c r="I33" s="1448"/>
      <c r="J33" s="1448"/>
      <c r="K33" s="1448"/>
    </row>
    <row r="34" spans="1:11" x14ac:dyDescent="0.2">
      <c r="A34" s="1436">
        <f t="shared" ref="A34" si="12">A33+1</f>
        <v>17</v>
      </c>
      <c r="B34" s="1438" t="s">
        <v>2112</v>
      </c>
      <c r="C34" s="1451">
        <f>'[15]Exhibit No._(CTM-2), Pg. 31-33'!$J$18</f>
        <v>7.5899999999999995E-2</v>
      </c>
      <c r="D34" s="1451">
        <f>C34</f>
        <v>7.5899999999999995E-2</v>
      </c>
      <c r="E34" s="1451">
        <f>D34</f>
        <v>7.5899999999999995E-2</v>
      </c>
      <c r="F34" s="1451">
        <f t="shared" ref="F34:K34" si="13">E34</f>
        <v>7.5899999999999995E-2</v>
      </c>
      <c r="G34" s="1451">
        <f t="shared" si="13"/>
        <v>7.5899999999999995E-2</v>
      </c>
      <c r="H34" s="1451">
        <f t="shared" si="13"/>
        <v>7.5899999999999995E-2</v>
      </c>
      <c r="I34" s="1451">
        <f t="shared" si="13"/>
        <v>7.5899999999999995E-2</v>
      </c>
      <c r="J34" s="1451">
        <f t="shared" si="13"/>
        <v>7.5899999999999995E-2</v>
      </c>
      <c r="K34" s="1451">
        <f t="shared" si="13"/>
        <v>7.5899999999999995E-2</v>
      </c>
    </row>
    <row r="35" spans="1:11" x14ac:dyDescent="0.2">
      <c r="A35" s="1436">
        <v>17</v>
      </c>
      <c r="B35" s="1438" t="s">
        <v>2113</v>
      </c>
      <c r="C35" s="1438">
        <f>C34*C15</f>
        <v>123013424.0895007</v>
      </c>
      <c r="D35" s="1438">
        <f>D34*D15</f>
        <v>83919600.436728418</v>
      </c>
      <c r="E35" s="1438">
        <f t="shared" ref="E35:K35" si="14">E34*E15</f>
        <v>27998322.098577004</v>
      </c>
      <c r="F35" s="1438">
        <f t="shared" si="14"/>
        <v>4788731.7256990774</v>
      </c>
      <c r="G35" s="1438">
        <f t="shared" si="14"/>
        <v>2278892.1111055603</v>
      </c>
      <c r="H35" s="1438">
        <f t="shared" si="14"/>
        <v>593950.32075534796</v>
      </c>
      <c r="I35" s="1438">
        <f t="shared" si="14"/>
        <v>2257695.6279016822</v>
      </c>
      <c r="J35" s="1438">
        <f t="shared" si="14"/>
        <v>782489.04838335968</v>
      </c>
      <c r="K35" s="1438">
        <f t="shared" si="14"/>
        <v>393742.72035027214</v>
      </c>
    </row>
    <row r="36" spans="1:11" x14ac:dyDescent="0.2">
      <c r="A36" s="1436">
        <v>18</v>
      </c>
      <c r="B36" s="1438" t="s">
        <v>2114</v>
      </c>
      <c r="C36" s="1443">
        <f>C30-C35</f>
        <v>-937808.02081331611</v>
      </c>
      <c r="D36" s="1443">
        <f>D30-D35</f>
        <v>-6008887.6110509634</v>
      </c>
      <c r="E36" s="1443">
        <f t="shared" ref="E36:K36" si="15">E30-E35</f>
        <v>-3747141.2070566975</v>
      </c>
      <c r="F36" s="1443">
        <f t="shared" si="15"/>
        <v>3562781.4766124422</v>
      </c>
      <c r="G36" s="1443">
        <f t="shared" si="15"/>
        <v>1502097.6142814243</v>
      </c>
      <c r="H36" s="1443">
        <f t="shared" si="15"/>
        <v>1101054.6640713676</v>
      </c>
      <c r="I36" s="1443">
        <f t="shared" si="15"/>
        <v>-824071.31773429038</v>
      </c>
      <c r="J36" s="1443">
        <f t="shared" si="15"/>
        <v>-614820.95935098326</v>
      </c>
      <c r="K36" s="1443">
        <f t="shared" si="15"/>
        <v>4091179.3194142636</v>
      </c>
    </row>
    <row r="37" spans="1:11" x14ac:dyDescent="0.2">
      <c r="A37" s="1436">
        <f t="shared" ref="A37" si="16">A36+1</f>
        <v>19</v>
      </c>
      <c r="B37" s="1438" t="s">
        <v>2115</v>
      </c>
      <c r="C37" s="1452">
        <f>RCF</f>
        <v>0</v>
      </c>
      <c r="D37" s="1453"/>
      <c r="E37" s="1453"/>
      <c r="F37" s="1453"/>
      <c r="G37" s="1453"/>
      <c r="H37" s="1453"/>
      <c r="I37" s="1453"/>
      <c r="J37" s="1453"/>
      <c r="K37" s="1453"/>
    </row>
    <row r="38" spans="1:11" x14ac:dyDescent="0.2">
      <c r="A38" s="1436">
        <v>19</v>
      </c>
      <c r="B38" s="1454" t="s">
        <v>2116</v>
      </c>
      <c r="C38" s="1454">
        <f>SUM(D38:M38)</f>
        <v>-1515541.0208134148</v>
      </c>
      <c r="D38" s="1454">
        <f>D21-D40</f>
        <v>-6404110.140801549</v>
      </c>
      <c r="E38" s="1454">
        <f t="shared" ref="E38:K38" si="17">E21-E40</f>
        <v>-3876805.9501653612</v>
      </c>
      <c r="F38" s="1454">
        <f t="shared" si="17"/>
        <v>3540173.4896479398</v>
      </c>
      <c r="G38" s="1454">
        <f t="shared" si="17"/>
        <v>1491375.3598862095</v>
      </c>
      <c r="H38" s="1454">
        <f t="shared" si="17"/>
        <v>1098136.4169347105</v>
      </c>
      <c r="I38" s="1454">
        <f t="shared" si="17"/>
        <v>-834303.58715647087</v>
      </c>
      <c r="J38" s="1454">
        <f t="shared" si="17"/>
        <v>-618313.47868989198</v>
      </c>
      <c r="K38" s="1454">
        <f t="shared" si="17"/>
        <v>4088306.8695309982</v>
      </c>
    </row>
    <row r="39" spans="1:11" x14ac:dyDescent="0.2">
      <c r="A39" s="1436">
        <v>20</v>
      </c>
      <c r="B39" s="1438"/>
      <c r="C39" s="1455"/>
      <c r="D39" s="1456"/>
      <c r="E39" s="1456"/>
      <c r="F39" s="1456"/>
      <c r="G39" s="1456"/>
      <c r="H39" s="1456"/>
      <c r="I39" s="1456"/>
      <c r="J39" s="1456"/>
      <c r="K39" s="1456"/>
    </row>
    <row r="40" spans="1:11" x14ac:dyDescent="0.2">
      <c r="A40" s="1436">
        <f t="shared" ref="A40" si="18">A39+1</f>
        <v>21</v>
      </c>
      <c r="B40" s="1438" t="s">
        <v>2117</v>
      </c>
      <c r="C40" s="1439">
        <f>SUM(D40:M40)</f>
        <v>428321495.4024834</v>
      </c>
      <c r="D40" s="1439">
        <f>SUM(D50,D35)</f>
        <v>300183018.91600358</v>
      </c>
      <c r="E40" s="1439">
        <f t="shared" ref="E40:K40" si="19">SUM(E50,E35)</f>
        <v>91183297.604601204</v>
      </c>
      <c r="F40" s="1439">
        <f t="shared" si="19"/>
        <v>14773602.43956136</v>
      </c>
      <c r="G40" s="1439">
        <f t="shared" si="19"/>
        <v>7134346.3573324783</v>
      </c>
      <c r="H40" s="1439">
        <f t="shared" si="19"/>
        <v>1973320.5168550173</v>
      </c>
      <c r="I40" s="1439">
        <f>SUM(I50,I35)</f>
        <v>6714976.917847883</v>
      </c>
      <c r="J40" s="1439">
        <f t="shared" si="19"/>
        <v>2276954.0437298138</v>
      </c>
      <c r="K40" s="1439">
        <f t="shared" si="19"/>
        <v>4081978.6065520719</v>
      </c>
    </row>
    <row r="41" spans="1:11" x14ac:dyDescent="0.2">
      <c r="A41" s="1436">
        <v>21</v>
      </c>
      <c r="B41" s="1438" t="s">
        <v>2118</v>
      </c>
      <c r="C41" s="1443">
        <f>SUM(D41:R41)</f>
        <v>6760042.1649999991</v>
      </c>
      <c r="D41" s="1443">
        <f>D20</f>
        <v>4549895.4034020314</v>
      </c>
      <c r="E41" s="1443">
        <f t="shared" ref="E41:K41" si="20">E20</f>
        <v>1932278.7945358464</v>
      </c>
      <c r="F41" s="1443">
        <f t="shared" si="20"/>
        <v>121667.32458930287</v>
      </c>
      <c r="G41" s="1443">
        <f t="shared" si="20"/>
        <v>62597.699708686698</v>
      </c>
      <c r="H41" s="1443">
        <f t="shared" si="20"/>
        <v>25835.516809727553</v>
      </c>
      <c r="I41" s="1443">
        <f t="shared" si="20"/>
        <v>36238.781981410873</v>
      </c>
      <c r="J41" s="1443">
        <f t="shared" si="20"/>
        <v>24.707889921985704</v>
      </c>
      <c r="K41" s="1443">
        <f t="shared" si="20"/>
        <v>31503.936083070519</v>
      </c>
    </row>
    <row r="42" spans="1:11" x14ac:dyDescent="0.2">
      <c r="A42" s="1436">
        <v>22</v>
      </c>
      <c r="B42" s="1438" t="s">
        <v>2119</v>
      </c>
      <c r="C42" s="1443">
        <f>SUM(D42:M42)</f>
        <v>421561453.23748332</v>
      </c>
      <c r="D42" s="1443">
        <f>D40-D41</f>
        <v>295633123.51260155</v>
      </c>
      <c r="E42" s="1443">
        <f t="shared" ref="E42:K42" si="21">E40-E41</f>
        <v>89251018.810065359</v>
      </c>
      <c r="F42" s="1443">
        <f t="shared" si="21"/>
        <v>14651935.114972057</v>
      </c>
      <c r="G42" s="1443">
        <f t="shared" si="21"/>
        <v>7071748.6576237911</v>
      </c>
      <c r="H42" s="1443">
        <f t="shared" si="21"/>
        <v>1947485.0000452898</v>
      </c>
      <c r="I42" s="1443">
        <f>I40-I41</f>
        <v>6678738.1358664725</v>
      </c>
      <c r="J42" s="1443">
        <f t="shared" si="21"/>
        <v>2276929.3358398918</v>
      </c>
      <c r="K42" s="1443">
        <f t="shared" si="21"/>
        <v>4050474.6704690014</v>
      </c>
    </row>
    <row r="43" spans="1:11" x14ac:dyDescent="0.2">
      <c r="A43" s="1436">
        <f t="shared" ref="A43" si="22">A42+1</f>
        <v>23</v>
      </c>
      <c r="B43" s="1438" t="s">
        <v>2120</v>
      </c>
      <c r="C43" s="1451">
        <f>IF(SUM(C18:C19)=0,0,(C42/SUM(C18:C19))-1)</f>
        <v>3.608036590132313E-3</v>
      </c>
      <c r="D43" s="1451">
        <f>IF(SUM(D18:D19)=0,0,(D42/SUM(D18:D19))-1)</f>
        <v>2.2142004587102582E-2</v>
      </c>
      <c r="E43" s="1451">
        <f t="shared" ref="E43:K43" si="23">IF(SUM(E18:E19)=0,0,(E42/SUM(E18:E19))-1)</f>
        <v>4.5409565960241816E-2</v>
      </c>
      <c r="F43" s="1451">
        <f t="shared" si="23"/>
        <v>-0.19459940387278085</v>
      </c>
      <c r="G43" s="1451">
        <f t="shared" si="23"/>
        <v>-0.17416253190268216</v>
      </c>
      <c r="H43" s="1451">
        <f t="shared" si="23"/>
        <v>-0.36056235053127805</v>
      </c>
      <c r="I43" s="1451">
        <f t="shared" si="23"/>
        <v>0.14275180604779303</v>
      </c>
      <c r="J43" s="1451">
        <f t="shared" si="23"/>
        <v>0.37278883837053156</v>
      </c>
      <c r="K43" s="1451">
        <f t="shared" si="23"/>
        <v>-0.50232419305494691</v>
      </c>
    </row>
    <row r="44" spans="1:11" x14ac:dyDescent="0.2">
      <c r="A44" s="1436">
        <v>23</v>
      </c>
      <c r="B44" s="1438"/>
      <c r="C44" s="1438"/>
      <c r="D44" s="1438"/>
      <c r="E44" s="1438"/>
      <c r="F44" s="1438"/>
      <c r="G44" s="1438"/>
      <c r="H44" s="1438"/>
      <c r="I44" s="1438"/>
      <c r="J44" s="1438"/>
      <c r="K44" s="1438"/>
    </row>
    <row r="45" spans="1:11" x14ac:dyDescent="0.2">
      <c r="A45" s="1436">
        <v>24</v>
      </c>
      <c r="B45" s="1432" t="s">
        <v>2121</v>
      </c>
      <c r="C45" s="1455"/>
      <c r="D45" s="1455"/>
      <c r="E45" s="1455"/>
      <c r="F45" s="1455"/>
      <c r="G45" s="1455"/>
      <c r="H45" s="1455"/>
      <c r="I45" s="1455"/>
      <c r="J45" s="1455"/>
      <c r="K45" s="1455"/>
    </row>
    <row r="46" spans="1:11" x14ac:dyDescent="0.2">
      <c r="A46" s="1436">
        <f t="shared" ref="A46" si="24">A45+1</f>
        <v>25</v>
      </c>
      <c r="B46" s="1438" t="s">
        <v>2105</v>
      </c>
      <c r="C46" s="1438">
        <f>[6]CLASSALLOC!F$1111</f>
        <v>122939881.52028695</v>
      </c>
      <c r="D46" s="1438">
        <f>[6]CLASSALLOC!H$1111</f>
        <v>91789436.810894191</v>
      </c>
      <c r="E46" s="1438">
        <f>[6]CLASSALLOC!I$1111</f>
        <v>22522540.826904099</v>
      </c>
      <c r="F46" s="1438">
        <f>[6]CLASSALLOC!J$1111</f>
        <v>3153971.289032456</v>
      </c>
      <c r="G46" s="1438">
        <f>[6]CLASSALLOC!K$1111</f>
        <v>1598758.6975932033</v>
      </c>
      <c r="H46" s="1438">
        <f>[6]CLASSALLOC!L$1111</f>
        <v>501480.69026905228</v>
      </c>
      <c r="I46" s="1438">
        <f>[6]CLASSALLOC!M$1111</f>
        <v>1379928.2168339279</v>
      </c>
      <c r="J46" s="1438">
        <f>[6]CLASSALLOC!N$1111</f>
        <v>437832.93825601815</v>
      </c>
      <c r="K46" s="1438">
        <f>[6]CLASSALLOC!O$1111</f>
        <v>1555932.0505040195</v>
      </c>
    </row>
    <row r="47" spans="1:11" x14ac:dyDescent="0.2">
      <c r="A47" s="1436">
        <v>25</v>
      </c>
      <c r="B47" s="1438" t="s">
        <v>1414</v>
      </c>
      <c r="C47" s="1443">
        <f>[6]CLASSALLOC!F$1429</f>
        <v>108609791.72938827</v>
      </c>
      <c r="D47" s="1443">
        <f>[6]CLASSALLOC!H$1429</f>
        <v>74088814.720380068</v>
      </c>
      <c r="E47" s="1443">
        <f>[6]CLASSALLOC!I$1429</f>
        <v>24370528.625295658</v>
      </c>
      <c r="F47" s="1443">
        <f>[6]CLASSALLOC!J$1429</f>
        <v>3939448.2863560575</v>
      </c>
      <c r="G47" s="1443">
        <f>[6]CLASSALLOC!K$1429</f>
        <v>1875563.1083630773</v>
      </c>
      <c r="H47" s="1443">
        <f>[6]CLASSALLOC!L$1429</f>
        <v>483135.77392972441</v>
      </c>
      <c r="I47" s="1443">
        <f>[6]CLASSALLOC!M$1429</f>
        <v>1830871.2225195819</v>
      </c>
      <c r="J47" s="1443">
        <f>[6]CLASSALLOC!N$1429</f>
        <v>639964.03293971985</v>
      </c>
      <c r="K47" s="1443">
        <f>[6]CLASSALLOC!O$1429</f>
        <v>1381465.9596043758</v>
      </c>
    </row>
    <row r="48" spans="1:11" x14ac:dyDescent="0.2">
      <c r="A48" s="1436">
        <v>26</v>
      </c>
      <c r="B48" s="1438" t="s">
        <v>2106</v>
      </c>
      <c r="C48" s="1443">
        <f>[6]CLASSALLOC!F$1589</f>
        <v>35023613.772307485</v>
      </c>
      <c r="D48" s="1443">
        <f>[6]CLASSALLOC!H$1589</f>
        <v>23960346.691485312</v>
      </c>
      <c r="E48" s="1443">
        <f>[6]CLASSALLOC!I$1589</f>
        <v>7475722.1696228031</v>
      </c>
      <c r="F48" s="1443">
        <f>[6]CLASSALLOC!J$1589</f>
        <v>1383562.9401299453</v>
      </c>
      <c r="G48" s="1443">
        <f>[6]CLASSALLOC!K$1589</f>
        <v>663549.01391294668</v>
      </c>
      <c r="H48" s="1443">
        <f>[6]CLASSALLOC!L$1589</f>
        <v>207729.12280384096</v>
      </c>
      <c r="I48" s="1443">
        <f>[6]CLASSALLOC!M$1589</f>
        <v>535572.82754266507</v>
      </c>
      <c r="J48" s="1443">
        <f>[6]CLASSALLOC!N$1589</f>
        <v>170275.85416163391</v>
      </c>
      <c r="K48" s="1443">
        <f>[6]CLASSALLOC!O$1589</f>
        <v>626855.15264833707</v>
      </c>
    </row>
    <row r="49" spans="1:11" x14ac:dyDescent="0.2">
      <c r="A49" s="1436">
        <f t="shared" ref="A49" si="25">A48+1</f>
        <v>27</v>
      </c>
      <c r="B49" s="1438" t="s">
        <v>2107</v>
      </c>
      <c r="C49" s="1443">
        <f>[6]CLASSALLOC!F$1747</f>
        <v>38734784.291000001</v>
      </c>
      <c r="D49" s="1443">
        <f>[6]CLASSALLOC!H$1747</f>
        <v>26424820.256515618</v>
      </c>
      <c r="E49" s="1443">
        <f>[6]CLASSALLOC!I$1747</f>
        <v>8816183.884201644</v>
      </c>
      <c r="F49" s="1443">
        <f>[6]CLASSALLOC!J$1747</f>
        <v>1507888.1983438237</v>
      </c>
      <c r="G49" s="1443">
        <f>[6]CLASSALLOC!K$1747</f>
        <v>717583.42635769001</v>
      </c>
      <c r="H49" s="1443">
        <f>[6]CLASSALLOC!L$1747</f>
        <v>187024.60909705132</v>
      </c>
      <c r="I49" s="1443">
        <f>[6]CLASSALLOC!M$1747</f>
        <v>710909.02305002557</v>
      </c>
      <c r="J49" s="1443">
        <f>[6]CLASSALLOC!N$1747</f>
        <v>246392.16998908203</v>
      </c>
      <c r="K49" s="1443">
        <f>[6]CLASSALLOC!O$1747</f>
        <v>123982.72344506707</v>
      </c>
    </row>
    <row r="50" spans="1:11" ht="13.5" thickBot="1" x14ac:dyDescent="0.25">
      <c r="A50" s="1436">
        <v>27</v>
      </c>
      <c r="B50" s="1441" t="s">
        <v>2122</v>
      </c>
      <c r="C50" s="1445">
        <f>SUM(C46:C49)</f>
        <v>305308071.31298268</v>
      </c>
      <c r="D50" s="1445">
        <f t="shared" ref="D50:K50" si="26">SUM(D46:D49)</f>
        <v>216263418.4792752</v>
      </c>
      <c r="E50" s="1445">
        <f t="shared" si="26"/>
        <v>63184975.506024204</v>
      </c>
      <c r="F50" s="1445">
        <f t="shared" si="26"/>
        <v>9984870.7138622813</v>
      </c>
      <c r="G50" s="1445">
        <f t="shared" si="26"/>
        <v>4855454.246226918</v>
      </c>
      <c r="H50" s="1445">
        <f t="shared" si="26"/>
        <v>1379370.1960996692</v>
      </c>
      <c r="I50" s="1445">
        <f t="shared" si="26"/>
        <v>4457281.2899462003</v>
      </c>
      <c r="J50" s="1445">
        <f t="shared" si="26"/>
        <v>1494464.995346454</v>
      </c>
      <c r="K50" s="1445">
        <f t="shared" si="26"/>
        <v>3688235.8862017998</v>
      </c>
    </row>
    <row r="51" spans="1:11" ht="13.5" thickTop="1" x14ac:dyDescent="0.2">
      <c r="A51" s="1436">
        <v>28</v>
      </c>
      <c r="B51" s="1438"/>
      <c r="C51" s="1438"/>
      <c r="D51" s="1457"/>
      <c r="E51" s="1457"/>
      <c r="F51" s="1457"/>
      <c r="G51" s="1457"/>
      <c r="H51" s="1457"/>
      <c r="I51" s="1457"/>
      <c r="J51" s="1457"/>
      <c r="K51" s="1457"/>
    </row>
    <row r="52" spans="1:11" x14ac:dyDescent="0.2">
      <c r="A52" s="1436">
        <f t="shared" ref="A52" si="27">A51+1</f>
        <v>29</v>
      </c>
      <c r="B52" s="1458" t="s">
        <v>2123</v>
      </c>
      <c r="C52" s="1459">
        <f>SUM(D52:R52)</f>
        <v>421588243.71585006</v>
      </c>
      <c r="D52" s="1459">
        <f>CHOOSE(CASE,[6]INPUTS!$C58,[6]INPUTS!$D58,[6]INPUTS!$E58,[6]INPUTS!$F58,[6]INPUTS!$G58)</f>
        <v>290284603.95999998</v>
      </c>
      <c r="E52" s="1459">
        <f>CHOOSE(CASE,[6]INPUTS!$C59,[6]INPUTS!$D59,[6]INPUTS!$E59,[6]INPUTS!$F59,[6]INPUTS!$G59)</f>
        <v>85684583.859999999</v>
      </c>
      <c r="F52" s="1459">
        <f>CHOOSE(CASE,[6]INPUTS!$C60,[6]INPUTS!$D60,[6]INPUTS!$E60,[6]INPUTS!$F60,[6]INPUTS!$G60)</f>
        <v>18239443.4987</v>
      </c>
      <c r="G52" s="1459">
        <f>CHOOSE(CASE,[6]INPUTS!$C61,[6]INPUTS!$D61,[6]INPUTS!$E61,[6]INPUTS!$F61,[6]INPUTS!$G61)</f>
        <v>8578533.0099999998</v>
      </c>
      <c r="H52" s="1459">
        <f>CHOOSE(CASE,[6]INPUTS!$C62,[6]INPUTS!$D62,[6]INPUTS!$E62,[6]INPUTS!$F62,[6]INPUTS!$G62)</f>
        <v>3046714</v>
      </c>
      <c r="I52" s="1459">
        <f>CHOOSE(CASE,[6]INPUTS!$C63,[6]INPUTS!$D63,[6]INPUTS!$E63,[6]INPUTS!$F63,[6]INPUTS!$G63)</f>
        <v>5876442.9900000002</v>
      </c>
      <c r="J52" s="1459">
        <f>CHOOSE(CASE,[6]INPUTS!$C64,[6]INPUTS!$D64,[6]INPUTS!$E64,[6]INPUTS!$F64,[6]INPUTS!$G64)</f>
        <v>1739140.8571500001</v>
      </c>
      <c r="K52" s="1459">
        <f>CHOOSE(CASE,[6]INPUTS!$C65,[6]INPUTS!$D65,[6]INPUTS!$E65,[6]INPUTS!$F65,[6]INPUTS!$G65)</f>
        <v>8138781.5399999991</v>
      </c>
    </row>
    <row r="53" spans="1:11" x14ac:dyDescent="0.2">
      <c r="A53" s="1436">
        <v>29</v>
      </c>
      <c r="B53" s="1460" t="s">
        <v>2088</v>
      </c>
      <c r="C53" s="1443">
        <f>SUM(D53:R53)</f>
        <v>6760042.1649999991</v>
      </c>
      <c r="D53" s="1461">
        <f>D41</f>
        <v>4549895.4034020314</v>
      </c>
      <c r="E53" s="1461">
        <f t="shared" ref="E53:K53" si="28">E41</f>
        <v>1932278.7945358464</v>
      </c>
      <c r="F53" s="1461">
        <f t="shared" si="28"/>
        <v>121667.32458930287</v>
      </c>
      <c r="G53" s="1461">
        <f t="shared" si="28"/>
        <v>62597.699708686698</v>
      </c>
      <c r="H53" s="1461">
        <f t="shared" si="28"/>
        <v>25835.516809727553</v>
      </c>
      <c r="I53" s="1461">
        <f t="shared" si="28"/>
        <v>36238.781981410873</v>
      </c>
      <c r="J53" s="1461">
        <f t="shared" si="28"/>
        <v>24.707889921985704</v>
      </c>
      <c r="K53" s="1461">
        <f t="shared" si="28"/>
        <v>31503.936083070519</v>
      </c>
    </row>
    <row r="54" spans="1:11" ht="13.5" thickBot="1" x14ac:dyDescent="0.25">
      <c r="A54" s="1436">
        <v>30</v>
      </c>
      <c r="B54" s="1441" t="s">
        <v>2124</v>
      </c>
      <c r="C54" s="1445">
        <f>SUM(D54:R54)</f>
        <v>428348285.88084996</v>
      </c>
      <c r="D54" s="1445">
        <f>D53+D52</f>
        <v>294834499.36340201</v>
      </c>
      <c r="E54" s="1445">
        <f t="shared" ref="E54:K54" si="29">E53+E52</f>
        <v>87616862.654535845</v>
      </c>
      <c r="F54" s="1445">
        <f t="shared" si="29"/>
        <v>18361110.823289305</v>
      </c>
      <c r="G54" s="1445">
        <f t="shared" si="29"/>
        <v>8641130.7097086869</v>
      </c>
      <c r="H54" s="1445">
        <f t="shared" si="29"/>
        <v>3072549.5168097275</v>
      </c>
      <c r="I54" s="1445">
        <f t="shared" si="29"/>
        <v>5912681.7719814107</v>
      </c>
      <c r="J54" s="1445">
        <f t="shared" si="29"/>
        <v>1739165.565039922</v>
      </c>
      <c r="K54" s="1445">
        <f t="shared" si="29"/>
        <v>8170285.47608307</v>
      </c>
    </row>
    <row r="55" spans="1:11" ht="13.5" thickTop="1" x14ac:dyDescent="0.2">
      <c r="A55" s="1436">
        <f t="shared" ref="A55" si="30">A54+1</f>
        <v>31</v>
      </c>
      <c r="B55" s="1458"/>
      <c r="C55" s="1459"/>
      <c r="D55" s="1459"/>
      <c r="E55" s="1459"/>
      <c r="F55" s="1459"/>
      <c r="G55" s="1459"/>
      <c r="H55" s="1459"/>
      <c r="I55" s="1459"/>
      <c r="J55" s="1459"/>
      <c r="K55" s="1459"/>
    </row>
    <row r="56" spans="1:11" x14ac:dyDescent="0.2">
      <c r="A56" s="1436">
        <v>31</v>
      </c>
      <c r="B56" s="1462" t="s">
        <v>2125</v>
      </c>
      <c r="C56" s="1463">
        <f>SUM(D56:R56)</f>
        <v>1542331.4991799782</v>
      </c>
      <c r="D56" s="1463">
        <f>+D54-D21</f>
        <v>1055590.5881999731</v>
      </c>
      <c r="E56" s="1463">
        <f t="shared" ref="E56:K56" si="31">+E54-E21</f>
        <v>310371.00010000169</v>
      </c>
      <c r="F56" s="1463">
        <f t="shared" si="31"/>
        <v>47334.894080005586</v>
      </c>
      <c r="G56" s="1463">
        <f t="shared" si="31"/>
        <v>15408.99248999916</v>
      </c>
      <c r="H56" s="1463">
        <f t="shared" si="31"/>
        <v>1092.5830199997872</v>
      </c>
      <c r="I56" s="1463">
        <f t="shared" si="31"/>
        <v>32008.441289998591</v>
      </c>
      <c r="J56" s="1463">
        <f t="shared" si="31"/>
        <v>80525.000000000233</v>
      </c>
      <c r="K56" s="1463">
        <f t="shared" si="31"/>
        <v>0</v>
      </c>
    </row>
    <row r="57" spans="1:11" x14ac:dyDescent="0.2">
      <c r="A57" s="1436">
        <v>32</v>
      </c>
      <c r="B57" s="1460"/>
      <c r="C57" s="1464"/>
      <c r="D57" s="1464"/>
      <c r="E57" s="1464"/>
      <c r="F57" s="1464"/>
      <c r="G57" s="1464"/>
      <c r="H57" s="1464"/>
      <c r="I57" s="1464"/>
      <c r="J57" s="1464"/>
      <c r="K57" s="1464"/>
    </row>
    <row r="58" spans="1:11" ht="13.5" thickBot="1" x14ac:dyDescent="0.25">
      <c r="A58" s="1436">
        <f t="shared" ref="A58" si="32">A57+1</f>
        <v>33</v>
      </c>
      <c r="B58" s="1465" t="s">
        <v>2126</v>
      </c>
      <c r="C58" s="1803">
        <f>+C56+C21</f>
        <v>428348285.88085002</v>
      </c>
      <c r="D58" s="1803">
        <f>+D56+D21</f>
        <v>294834499.36340201</v>
      </c>
      <c r="E58" s="1803">
        <f t="shared" ref="E58:K58" si="33">+E56+E21</f>
        <v>87616862.654535845</v>
      </c>
      <c r="F58" s="1803">
        <f t="shared" si="33"/>
        <v>18361110.823289305</v>
      </c>
      <c r="G58" s="1803">
        <f t="shared" si="33"/>
        <v>8641130.7097086869</v>
      </c>
      <c r="H58" s="1803">
        <f t="shared" si="33"/>
        <v>3072549.5168097275</v>
      </c>
      <c r="I58" s="1803">
        <f t="shared" si="33"/>
        <v>5912681.7719814107</v>
      </c>
      <c r="J58" s="1803">
        <f t="shared" si="33"/>
        <v>1739165.565039922</v>
      </c>
      <c r="K58" s="1803">
        <f t="shared" si="33"/>
        <v>8170285.47608307</v>
      </c>
    </row>
    <row r="59" spans="1:11" ht="13.5" thickTop="1" x14ac:dyDescent="0.2">
      <c r="A59" s="1436">
        <v>33</v>
      </c>
      <c r="B59" s="1460"/>
      <c r="C59" s="1464"/>
      <c r="D59" s="1464"/>
      <c r="E59" s="1464"/>
      <c r="F59" s="1464"/>
      <c r="G59" s="1464"/>
      <c r="H59" s="1464"/>
      <c r="I59" s="1464"/>
      <c r="J59" s="1464"/>
      <c r="K59" s="1464"/>
    </row>
    <row r="60" spans="1:11" x14ac:dyDescent="0.2">
      <c r="A60" s="1436">
        <v>34</v>
      </c>
      <c r="B60" s="1438" t="s">
        <v>2127</v>
      </c>
      <c r="C60" s="1450">
        <f>IF(C42=0,0,SUM(C18,C19)/C42)</f>
        <v>0.99640493453759982</v>
      </c>
      <c r="D60" s="1450">
        <f>IF(D42=0,0,SUM(D18,D19)/D42)</f>
        <v>0.97833764341183993</v>
      </c>
      <c r="E60" s="1450">
        <f t="shared" ref="E60:K60" si="34">IF(E42=0,0,SUM(E18,E19)/E42)</f>
        <v>0.95656289416241203</v>
      </c>
      <c r="F60" s="1450">
        <f t="shared" si="34"/>
        <v>1.2416181522692125</v>
      </c>
      <c r="G60" s="1450">
        <f t="shared" si="34"/>
        <v>1.2108920200774405</v>
      </c>
      <c r="H60" s="1450">
        <f t="shared" si="34"/>
        <v>1.5638741335153661</v>
      </c>
      <c r="I60" s="1450">
        <f>IF(I42=0,0,SUM(I18,I19)/I42)</f>
        <v>0.87508065592869189</v>
      </c>
      <c r="J60" s="1450">
        <f t="shared" si="34"/>
        <v>0.72844415109535476</v>
      </c>
      <c r="K60" s="1450">
        <f t="shared" si="34"/>
        <v>2.009340189024714</v>
      </c>
    </row>
    <row r="61" spans="1:11" x14ac:dyDescent="0.2">
      <c r="A61" s="1436">
        <f t="shared" ref="A61" si="35">A60+1</f>
        <v>35</v>
      </c>
      <c r="B61" s="1466" t="s">
        <v>2128</v>
      </c>
      <c r="C61" s="1467">
        <f>+C60/$C$60</f>
        <v>1</v>
      </c>
      <c r="D61" s="1467">
        <f>+D60/$C$60</f>
        <v>0.9818675214267738</v>
      </c>
      <c r="E61" s="1467">
        <f t="shared" ref="E61:K61" si="36">+E60/$C$60</f>
        <v>0.96001420808531301</v>
      </c>
      <c r="F61" s="1467">
        <f t="shared" si="36"/>
        <v>1.2460979559935723</v>
      </c>
      <c r="G61" s="1467">
        <f t="shared" si="36"/>
        <v>1.2152609627925792</v>
      </c>
      <c r="H61" s="1467">
        <f t="shared" si="36"/>
        <v>1.5695166486114511</v>
      </c>
      <c r="I61" s="1467">
        <f>+I60/$C$60</f>
        <v>0.87823797895459965</v>
      </c>
      <c r="J61" s="1467">
        <f t="shared" si="36"/>
        <v>0.73107240424637476</v>
      </c>
      <c r="K61" s="1467">
        <f t="shared" si="36"/>
        <v>2.0165899619487386</v>
      </c>
    </row>
    <row r="62" spans="1:11" ht="13.5" thickBot="1" x14ac:dyDescent="0.25">
      <c r="A62" s="1436">
        <v>35</v>
      </c>
      <c r="B62" s="1446" t="s">
        <v>2129</v>
      </c>
      <c r="C62" s="1804">
        <f>IF(C42=0,0,C52/C42)</f>
        <v>1.0000635505883211</v>
      </c>
      <c r="D62" s="1804">
        <f>IF(D42=0,0,D52/D42)</f>
        <v>0.98190825341540733</v>
      </c>
      <c r="E62" s="1804">
        <f t="shared" ref="E62:K62" si="37">IF(E42=0,0,E52/E42)</f>
        <v>0.96004040068545249</v>
      </c>
      <c r="F62" s="1804">
        <f t="shared" si="37"/>
        <v>1.2448487763273026</v>
      </c>
      <c r="G62" s="1804">
        <f t="shared" si="37"/>
        <v>1.2130709708908842</v>
      </c>
      <c r="H62" s="1804">
        <f t="shared" si="37"/>
        <v>1.5644351560752185</v>
      </c>
      <c r="I62" s="1804">
        <f>IF(I42=0,0,I52/I42)</f>
        <v>0.879873244085144</v>
      </c>
      <c r="J62" s="1804">
        <f>IF(J42=0,0,J52/J42)</f>
        <v>0.76380976334010053</v>
      </c>
      <c r="K62" s="1804">
        <f t="shared" si="37"/>
        <v>2.009340189024714</v>
      </c>
    </row>
    <row r="63" spans="1:11" ht="13.5" hidden="1" thickTop="1" x14ac:dyDescent="0.2">
      <c r="A63" s="1436">
        <v>36</v>
      </c>
      <c r="B63" s="1435"/>
      <c r="C63" s="1442"/>
      <c r="D63" s="1468">
        <f>D62/$C$61</f>
        <v>0.98190825341540733</v>
      </c>
      <c r="E63" s="1468">
        <f t="shared" ref="E63:K63" si="38">E62/$C$61</f>
        <v>0.96004040068545249</v>
      </c>
      <c r="F63" s="1468">
        <f t="shared" si="38"/>
        <v>1.2448487763273026</v>
      </c>
      <c r="G63" s="1468">
        <f t="shared" si="38"/>
        <v>1.2130709708908842</v>
      </c>
      <c r="H63" s="1468">
        <f t="shared" si="38"/>
        <v>1.5644351560752185</v>
      </c>
      <c r="I63" s="1468">
        <f t="shared" si="38"/>
        <v>0.879873244085144</v>
      </c>
      <c r="J63" s="1468">
        <f t="shared" si="38"/>
        <v>0.76380976334010053</v>
      </c>
      <c r="K63" s="1468">
        <f t="shared" si="38"/>
        <v>2.009340189024714</v>
      </c>
    </row>
    <row r="64" spans="1:11" ht="13.5" thickTop="1" x14ac:dyDescent="0.2">
      <c r="A64" s="1469"/>
      <c r="B64" s="1460"/>
      <c r="C64" s="1470"/>
      <c r="D64" s="1461"/>
      <c r="E64" s="1461"/>
      <c r="F64" s="1461"/>
      <c r="G64" s="1461"/>
      <c r="H64" s="1461"/>
      <c r="I64" s="1461"/>
      <c r="J64" s="1461"/>
      <c r="K64" s="1470"/>
    </row>
    <row r="65" spans="1:11" x14ac:dyDescent="0.2">
      <c r="A65" s="1471"/>
      <c r="B65" s="1471"/>
      <c r="C65" s="1471"/>
      <c r="D65" s="1471"/>
      <c r="E65" s="1471"/>
      <c r="F65" s="1471"/>
      <c r="G65" s="1471"/>
      <c r="H65" s="1471"/>
      <c r="I65" s="1471"/>
      <c r="J65" s="1471"/>
      <c r="K65" s="1471"/>
    </row>
  </sheetData>
  <mergeCells count="3">
    <mergeCell ref="A5:K5"/>
    <mergeCell ref="A7:K7"/>
    <mergeCell ref="A6:K6"/>
  </mergeCells>
  <pageMargins left="0.2" right="0.2" top="0.25" bottom="0.25" header="0" footer="0"/>
  <pageSetup scale="7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48"/>
  <sheetViews>
    <sheetView workbookViewId="0">
      <selection activeCell="C35" sqref="C35"/>
    </sheetView>
  </sheetViews>
  <sheetFormatPr defaultRowHeight="12.75" x14ac:dyDescent="0.2"/>
  <cols>
    <col min="1" max="1" width="43.5703125" style="584" customWidth="1"/>
    <col min="2" max="2" width="12.28515625" style="584" bestFit="1" customWidth="1"/>
    <col min="3" max="3" width="14" style="584" bestFit="1" customWidth="1"/>
    <col min="4" max="4" width="15.7109375" style="584" bestFit="1" customWidth="1"/>
    <col min="5" max="5" width="12.5703125" style="584" bestFit="1" customWidth="1"/>
    <col min="6" max="6" width="11.85546875" style="584" bestFit="1" customWidth="1"/>
    <col min="7" max="12" width="11.28515625" style="584" bestFit="1" customWidth="1"/>
    <col min="13" max="13" width="10.7109375" style="584" customWidth="1"/>
    <col min="14" max="14" width="11.28515625" style="584" bestFit="1" customWidth="1"/>
    <col min="15" max="16384" width="9.140625" style="584"/>
  </cols>
  <sheetData>
    <row r="1" spans="1:7" x14ac:dyDescent="0.2">
      <c r="A1" s="584" t="s">
        <v>1223</v>
      </c>
    </row>
    <row r="2" spans="1:7" x14ac:dyDescent="0.2">
      <c r="A2" s="584" t="s">
        <v>1224</v>
      </c>
    </row>
    <row r="4" spans="1:7" x14ac:dyDescent="0.2">
      <c r="A4" s="585" t="s">
        <v>1205</v>
      </c>
    </row>
    <row r="5" spans="1:7" x14ac:dyDescent="0.2">
      <c r="A5" s="586" t="s">
        <v>789</v>
      </c>
      <c r="B5" s="587" t="s">
        <v>76</v>
      </c>
      <c r="C5" s="587" t="s">
        <v>124</v>
      </c>
      <c r="D5" s="587" t="s">
        <v>1225</v>
      </c>
      <c r="E5" s="587" t="s">
        <v>80</v>
      </c>
      <c r="F5" s="587" t="s">
        <v>1226</v>
      </c>
      <c r="G5" s="588" t="s">
        <v>1227</v>
      </c>
    </row>
    <row r="6" spans="1:7" x14ac:dyDescent="0.2">
      <c r="A6" s="589" t="s">
        <v>89</v>
      </c>
      <c r="B6" s="590"/>
      <c r="C6" s="591"/>
      <c r="D6" s="591"/>
      <c r="E6" s="591"/>
      <c r="F6" s="592"/>
    </row>
    <row r="7" spans="1:7" x14ac:dyDescent="0.2">
      <c r="A7" s="593" t="s">
        <v>1038</v>
      </c>
      <c r="B7" s="594">
        <v>4292526</v>
      </c>
      <c r="C7" s="595">
        <v>4604708.4533198765</v>
      </c>
      <c r="D7" s="595">
        <v>1540146.2165019023</v>
      </c>
      <c r="E7" s="595">
        <v>3064562.2368179783</v>
      </c>
      <c r="F7" s="596">
        <f>E7/G7</f>
        <v>2932037.0922838412</v>
      </c>
      <c r="G7" s="597">
        <v>1.045199</v>
      </c>
    </row>
    <row r="8" spans="1:7" x14ac:dyDescent="0.2">
      <c r="A8" s="589" t="s">
        <v>832</v>
      </c>
      <c r="B8" s="594">
        <v>-4292526</v>
      </c>
      <c r="C8" s="595">
        <v>-5020612.849079174</v>
      </c>
      <c r="D8" s="595">
        <v>-1914704.0497390344</v>
      </c>
      <c r="E8" s="595">
        <v>-3105908.7993401443</v>
      </c>
      <c r="F8" s="598">
        <f>E8/G7</f>
        <v>-2971595.6476614927</v>
      </c>
    </row>
    <row r="9" spans="1:7" x14ac:dyDescent="0.2">
      <c r="A9" s="589" t="s">
        <v>1184</v>
      </c>
      <c r="B9" s="590"/>
      <c r="C9" s="591"/>
      <c r="D9" s="591"/>
      <c r="E9" s="591"/>
      <c r="F9" s="599"/>
    </row>
    <row r="10" spans="1:7" x14ac:dyDescent="0.2">
      <c r="A10" s="589" t="s">
        <v>837</v>
      </c>
      <c r="B10" s="590"/>
      <c r="C10" s="591"/>
      <c r="D10" s="591"/>
      <c r="E10" s="591"/>
      <c r="F10" s="592"/>
    </row>
    <row r="11" spans="1:7" x14ac:dyDescent="0.2">
      <c r="A11" s="589" t="s">
        <v>1228</v>
      </c>
      <c r="B11" s="590"/>
      <c r="C11" s="591"/>
      <c r="D11" s="591"/>
      <c r="E11" s="591"/>
      <c r="F11" s="599"/>
    </row>
    <row r="12" spans="1:7" x14ac:dyDescent="0.2">
      <c r="A12" s="589" t="s">
        <v>839</v>
      </c>
      <c r="B12" s="590"/>
      <c r="C12" s="591"/>
      <c r="D12" s="591"/>
      <c r="E12" s="591"/>
      <c r="F12" s="592"/>
    </row>
    <row r="13" spans="1:7" x14ac:dyDescent="0.2">
      <c r="A13" s="589" t="s">
        <v>1229</v>
      </c>
      <c r="B13" s="590"/>
      <c r="C13" s="591"/>
      <c r="D13" s="591"/>
      <c r="E13" s="591"/>
      <c r="F13" s="589"/>
    </row>
    <row r="14" spans="1:7" x14ac:dyDescent="0.2">
      <c r="A14" s="589" t="s">
        <v>841</v>
      </c>
      <c r="B14" s="590"/>
      <c r="C14" s="591"/>
      <c r="D14" s="591"/>
      <c r="E14" s="591"/>
      <c r="F14" s="592"/>
    </row>
    <row r="15" spans="1:7" x14ac:dyDescent="0.2">
      <c r="A15" s="589" t="s">
        <v>1230</v>
      </c>
      <c r="B15" s="590"/>
      <c r="C15" s="591"/>
      <c r="D15" s="591"/>
      <c r="E15" s="591"/>
      <c r="F15" s="599"/>
    </row>
    <row r="16" spans="1:7" x14ac:dyDescent="0.2">
      <c r="A16" s="589" t="s">
        <v>844</v>
      </c>
      <c r="B16" s="590"/>
      <c r="C16" s="591"/>
      <c r="D16" s="591"/>
      <c r="E16" s="591"/>
      <c r="F16" s="592"/>
    </row>
    <row r="17" spans="1:14" x14ac:dyDescent="0.2">
      <c r="A17" s="600" t="s">
        <v>23</v>
      </c>
      <c r="B17" s="601">
        <f>SUM(B6:B16)</f>
        <v>0</v>
      </c>
      <c r="C17" s="602">
        <f>SUM(C6:C16)</f>
        <v>-415904.39575929753</v>
      </c>
      <c r="D17" s="602">
        <f t="shared" ref="D17:F17" si="0">SUM(D6:D16)</f>
        <v>-374557.83323713206</v>
      </c>
      <c r="E17" s="602">
        <f t="shared" si="0"/>
        <v>-41346.562522165943</v>
      </c>
      <c r="F17" s="602">
        <f t="shared" si="0"/>
        <v>-39558.555377651472</v>
      </c>
    </row>
    <row r="19" spans="1:14" x14ac:dyDescent="0.2">
      <c r="A19" s="603" t="s">
        <v>1231</v>
      </c>
      <c r="E19" s="604"/>
    </row>
    <row r="20" spans="1:14" x14ac:dyDescent="0.2">
      <c r="A20" s="603" t="s">
        <v>76</v>
      </c>
      <c r="C20" s="605"/>
      <c r="D20" s="605"/>
      <c r="E20" s="605"/>
    </row>
    <row r="21" spans="1:14" x14ac:dyDescent="0.2">
      <c r="A21" s="606" t="s">
        <v>1232</v>
      </c>
      <c r="B21" s="607">
        <v>40179</v>
      </c>
      <c r="C21" s="607">
        <v>40210</v>
      </c>
      <c r="D21" s="607">
        <v>40238</v>
      </c>
      <c r="E21" s="607">
        <v>40269</v>
      </c>
      <c r="F21" s="607">
        <v>40299</v>
      </c>
      <c r="G21" s="607">
        <v>40330</v>
      </c>
      <c r="H21" s="607">
        <v>40360</v>
      </c>
      <c r="I21" s="607">
        <v>40391</v>
      </c>
      <c r="J21" s="607">
        <v>40422</v>
      </c>
      <c r="K21" s="607">
        <v>40452</v>
      </c>
      <c r="L21" s="607">
        <v>40483</v>
      </c>
      <c r="M21" s="607">
        <v>40513</v>
      </c>
      <c r="N21" s="607" t="s">
        <v>1233</v>
      </c>
    </row>
    <row r="22" spans="1:14" x14ac:dyDescent="0.2">
      <c r="A22" s="584" t="s">
        <v>901</v>
      </c>
      <c r="B22" s="594">
        <v>499230</v>
      </c>
      <c r="C22" s="594">
        <v>423313</v>
      </c>
      <c r="D22" s="594">
        <v>439839</v>
      </c>
      <c r="E22" s="594">
        <v>374976</v>
      </c>
      <c r="F22" s="594">
        <v>318808</v>
      </c>
      <c r="G22" s="594">
        <v>253009</v>
      </c>
      <c r="H22" s="594">
        <v>210313</v>
      </c>
      <c r="I22" s="594">
        <v>204064</v>
      </c>
      <c r="J22" s="594">
        <v>221801</v>
      </c>
      <c r="K22" s="594">
        <v>316152</v>
      </c>
      <c r="L22" s="594">
        <v>458391</v>
      </c>
      <c r="M22" s="594">
        <v>525420</v>
      </c>
      <c r="N22" s="608">
        <f>SUM(B22:M22)</f>
        <v>4245316</v>
      </c>
    </row>
    <row r="23" spans="1:14" x14ac:dyDescent="0.2">
      <c r="A23" s="584" t="s">
        <v>907</v>
      </c>
      <c r="B23" s="594"/>
      <c r="C23" s="594"/>
      <c r="D23" s="594"/>
      <c r="E23" s="594"/>
      <c r="F23" s="594"/>
      <c r="G23" s="594"/>
      <c r="H23" s="594"/>
      <c r="I23" s="594"/>
      <c r="J23" s="594"/>
      <c r="K23" s="594"/>
      <c r="L23" s="594"/>
      <c r="M23" s="594"/>
      <c r="N23" s="608"/>
    </row>
    <row r="24" spans="1:14" x14ac:dyDescent="0.2">
      <c r="A24" s="584" t="s">
        <v>162</v>
      </c>
      <c r="B24" s="594">
        <v>-379182</v>
      </c>
      <c r="C24" s="594">
        <v>-363223</v>
      </c>
      <c r="D24" s="594">
        <v>-371076</v>
      </c>
      <c r="E24" s="594">
        <v>-351503</v>
      </c>
      <c r="F24" s="594">
        <v>-310473</v>
      </c>
      <c r="G24" s="594">
        <v>-245336</v>
      </c>
      <c r="H24" s="594">
        <v>-204579</v>
      </c>
      <c r="I24" s="594">
        <v>-201083</v>
      </c>
      <c r="J24" s="594">
        <v>-220879</v>
      </c>
      <c r="K24" s="594">
        <v>-310463</v>
      </c>
      <c r="L24" s="594">
        <v>-367981</v>
      </c>
      <c r="M24" s="594">
        <v>-370410</v>
      </c>
      <c r="N24" s="608">
        <f t="shared" ref="N24:N28" si="1">SUM(B24:M24)</f>
        <v>-3696188</v>
      </c>
    </row>
    <row r="25" spans="1:14" x14ac:dyDescent="0.2">
      <c r="A25" s="584" t="s">
        <v>1234</v>
      </c>
      <c r="B25" s="594">
        <v>-120048</v>
      </c>
      <c r="C25" s="594">
        <v>-60091</v>
      </c>
      <c r="D25" s="594">
        <v>-68763</v>
      </c>
      <c r="E25" s="594">
        <v>-23473</v>
      </c>
      <c r="F25" s="594">
        <v>-8335</v>
      </c>
      <c r="G25" s="594">
        <v>-7673</v>
      </c>
      <c r="H25" s="594">
        <v>-5734</v>
      </c>
      <c r="I25" s="594">
        <v>-2981</v>
      </c>
      <c r="J25" s="594">
        <v>-922</v>
      </c>
      <c r="K25" s="594">
        <v>-5689</v>
      </c>
      <c r="L25" s="594">
        <v>-90410</v>
      </c>
      <c r="M25" s="594">
        <v>-155011</v>
      </c>
      <c r="N25" s="608">
        <f t="shared" si="1"/>
        <v>-549130</v>
      </c>
    </row>
    <row r="26" spans="1:14" x14ac:dyDescent="0.2">
      <c r="A26" s="584" t="s">
        <v>1235</v>
      </c>
      <c r="B26" s="594">
        <v>0</v>
      </c>
      <c r="C26" s="594">
        <v>0</v>
      </c>
      <c r="D26" s="594">
        <v>0</v>
      </c>
      <c r="E26" s="594">
        <v>0</v>
      </c>
      <c r="F26" s="594">
        <v>0</v>
      </c>
      <c r="G26" s="594">
        <v>0</v>
      </c>
      <c r="H26" s="594">
        <v>0</v>
      </c>
      <c r="I26" s="594">
        <v>0</v>
      </c>
      <c r="J26" s="594">
        <v>0</v>
      </c>
      <c r="K26" s="594">
        <v>0</v>
      </c>
      <c r="L26" s="594">
        <v>0</v>
      </c>
      <c r="M26" s="594">
        <v>0</v>
      </c>
      <c r="N26" s="608">
        <f t="shared" si="1"/>
        <v>0</v>
      </c>
    </row>
    <row r="27" spans="1:14" x14ac:dyDescent="0.2">
      <c r="B27" s="594"/>
      <c r="C27" s="594"/>
      <c r="D27" s="594"/>
      <c r="E27" s="594"/>
      <c r="F27" s="594"/>
      <c r="G27" s="594"/>
      <c r="H27" s="594"/>
      <c r="I27" s="594"/>
      <c r="J27" s="594"/>
      <c r="K27" s="594"/>
      <c r="L27" s="594"/>
      <c r="M27" s="594"/>
      <c r="N27" s="608"/>
    </row>
    <row r="28" spans="1:14" x14ac:dyDescent="0.2">
      <c r="A28" s="584" t="s">
        <v>915</v>
      </c>
      <c r="B28" s="594">
        <v>4812</v>
      </c>
      <c r="C28" s="594">
        <v>4262</v>
      </c>
      <c r="D28" s="594">
        <v>4548</v>
      </c>
      <c r="E28" s="594">
        <v>4294</v>
      </c>
      <c r="F28" s="594">
        <v>4097</v>
      </c>
      <c r="G28" s="594">
        <v>3115</v>
      </c>
      <c r="H28" s="594">
        <v>2524</v>
      </c>
      <c r="I28" s="594">
        <v>3221</v>
      </c>
      <c r="J28" s="594">
        <v>3222</v>
      </c>
      <c r="K28" s="594">
        <v>3974</v>
      </c>
      <c r="L28" s="594">
        <v>4568</v>
      </c>
      <c r="M28" s="594">
        <v>4573</v>
      </c>
      <c r="N28" s="608">
        <f t="shared" si="1"/>
        <v>47210</v>
      </c>
    </row>
    <row r="29" spans="1:14" x14ac:dyDescent="0.2">
      <c r="A29" s="584" t="s">
        <v>918</v>
      </c>
      <c r="B29" s="609"/>
      <c r="C29" s="609"/>
      <c r="D29" s="609"/>
      <c r="E29" s="609"/>
      <c r="F29" s="609"/>
      <c r="G29" s="609"/>
      <c r="H29" s="609"/>
      <c r="I29" s="609"/>
      <c r="J29" s="609"/>
      <c r="K29" s="609"/>
      <c r="L29" s="609"/>
      <c r="M29" s="609"/>
    </row>
    <row r="30" spans="1:14" x14ac:dyDescent="0.2">
      <c r="A30" s="584" t="s">
        <v>162</v>
      </c>
      <c r="B30" s="594">
        <v>-4374</v>
      </c>
      <c r="C30" s="594">
        <v>-4199</v>
      </c>
      <c r="D30" s="594">
        <v>-4356</v>
      </c>
      <c r="E30" s="594">
        <v>-4159</v>
      </c>
      <c r="F30" s="594">
        <v>-4007</v>
      </c>
      <c r="G30" s="594">
        <v>-3115</v>
      </c>
      <c r="H30" s="594">
        <v>-2524</v>
      </c>
      <c r="I30" s="594">
        <v>-3221</v>
      </c>
      <c r="J30" s="594">
        <v>-3222</v>
      </c>
      <c r="K30" s="594">
        <v>-3898</v>
      </c>
      <c r="L30" s="594">
        <v>-4124</v>
      </c>
      <c r="M30" s="594">
        <v>-3891</v>
      </c>
      <c r="N30" s="608">
        <f>SUM(B30:M30)</f>
        <v>-45090</v>
      </c>
    </row>
    <row r="31" spans="1:14" x14ac:dyDescent="0.2">
      <c r="A31" s="584" t="s">
        <v>1234</v>
      </c>
      <c r="B31" s="594">
        <v>-438</v>
      </c>
      <c r="C31" s="594">
        <v>-62</v>
      </c>
      <c r="D31" s="594">
        <v>-192</v>
      </c>
      <c r="E31" s="594">
        <v>-134</v>
      </c>
      <c r="F31" s="594">
        <v>-90</v>
      </c>
      <c r="G31" s="594">
        <v>0</v>
      </c>
      <c r="H31" s="594">
        <v>0</v>
      </c>
      <c r="I31" s="594">
        <v>0</v>
      </c>
      <c r="J31" s="594">
        <v>0</v>
      </c>
      <c r="K31" s="594">
        <v>-76</v>
      </c>
      <c r="L31" s="594">
        <v>-444</v>
      </c>
      <c r="M31" s="594">
        <v>-682</v>
      </c>
      <c r="N31" s="608">
        <f>SUM(B31:M31)</f>
        <v>-2118</v>
      </c>
    </row>
    <row r="32" spans="1:14" x14ac:dyDescent="0.2">
      <c r="A32" s="584" t="s">
        <v>1235</v>
      </c>
      <c r="B32" s="594">
        <v>0</v>
      </c>
      <c r="C32" s="594">
        <v>0</v>
      </c>
      <c r="D32" s="594">
        <v>0</v>
      </c>
      <c r="E32" s="594">
        <v>0</v>
      </c>
      <c r="F32" s="594">
        <v>0</v>
      </c>
      <c r="G32" s="594">
        <v>0</v>
      </c>
      <c r="H32" s="594">
        <v>0</v>
      </c>
      <c r="I32" s="594">
        <v>0</v>
      </c>
      <c r="J32" s="594">
        <v>0</v>
      </c>
      <c r="K32" s="594">
        <v>0</v>
      </c>
      <c r="L32" s="594">
        <v>0</v>
      </c>
      <c r="M32" s="594">
        <v>0</v>
      </c>
      <c r="N32" s="608">
        <f t="shared" ref="N32" si="2">SUM(B32:M32)</f>
        <v>0</v>
      </c>
    </row>
    <row r="33" spans="1:14" x14ac:dyDescent="0.2">
      <c r="B33" s="608"/>
      <c r="C33" s="608"/>
      <c r="D33" s="608"/>
      <c r="E33" s="608"/>
      <c r="F33" s="608"/>
      <c r="G33" s="608"/>
      <c r="H33" s="608"/>
      <c r="I33" s="608"/>
      <c r="J33" s="608"/>
      <c r="K33" s="608"/>
      <c r="L33" s="608"/>
      <c r="M33" s="608"/>
      <c r="N33" s="608"/>
    </row>
    <row r="34" spans="1:14" x14ac:dyDescent="0.2">
      <c r="A34" s="585" t="s">
        <v>67</v>
      </c>
      <c r="B34" s="608"/>
      <c r="C34" s="608"/>
      <c r="D34" s="608"/>
      <c r="E34" s="608"/>
      <c r="F34" s="608"/>
      <c r="G34" s="608"/>
      <c r="H34" s="608"/>
      <c r="I34" s="608"/>
      <c r="J34" s="608"/>
      <c r="K34" s="608"/>
      <c r="L34" s="608"/>
      <c r="M34" s="608"/>
    </row>
    <row r="35" spans="1:14" x14ac:dyDescent="0.2">
      <c r="A35" s="606" t="s">
        <v>1232</v>
      </c>
      <c r="B35" s="607">
        <v>40179</v>
      </c>
      <c r="C35" s="607">
        <v>40210</v>
      </c>
      <c r="D35" s="607">
        <v>40238</v>
      </c>
      <c r="E35" s="607">
        <v>40269</v>
      </c>
      <c r="F35" s="607">
        <v>40299</v>
      </c>
      <c r="G35" s="607">
        <v>40330</v>
      </c>
      <c r="H35" s="607">
        <v>40360</v>
      </c>
      <c r="I35" s="607">
        <v>40391</v>
      </c>
      <c r="J35" s="607">
        <v>40422</v>
      </c>
      <c r="K35" s="607">
        <v>40452</v>
      </c>
      <c r="L35" s="607">
        <v>40483</v>
      </c>
      <c r="M35" s="607">
        <v>40513</v>
      </c>
      <c r="N35" s="607" t="s">
        <v>1233</v>
      </c>
    </row>
    <row r="36" spans="1:14" x14ac:dyDescent="0.2">
      <c r="A36" s="584" t="s">
        <v>901</v>
      </c>
      <c r="B36" s="609">
        <v>474</v>
      </c>
      <c r="C36" s="609">
        <v>474</v>
      </c>
      <c r="D36" s="609">
        <v>474</v>
      </c>
      <c r="E36" s="609">
        <v>474</v>
      </c>
      <c r="F36" s="609">
        <v>474</v>
      </c>
      <c r="G36" s="609">
        <v>474</v>
      </c>
      <c r="H36" s="609">
        <v>474</v>
      </c>
      <c r="I36" s="609">
        <v>474</v>
      </c>
      <c r="J36" s="609">
        <v>474</v>
      </c>
      <c r="K36" s="609">
        <v>474</v>
      </c>
      <c r="L36" s="609">
        <v>474</v>
      </c>
      <c r="M36" s="609">
        <v>474</v>
      </c>
      <c r="N36" s="584">
        <f>SUM(B36:M36)</f>
        <v>5688</v>
      </c>
    </row>
    <row r="37" spans="1:14" x14ac:dyDescent="0.2">
      <c r="A37" s="584" t="s">
        <v>907</v>
      </c>
      <c r="B37" s="609">
        <v>-474</v>
      </c>
      <c r="C37" s="609">
        <v>-474</v>
      </c>
      <c r="D37" s="609">
        <v>-474</v>
      </c>
      <c r="E37" s="609">
        <v>-474</v>
      </c>
      <c r="F37" s="609">
        <v>-474</v>
      </c>
      <c r="G37" s="609">
        <v>-474</v>
      </c>
      <c r="H37" s="609">
        <v>-474</v>
      </c>
      <c r="I37" s="609">
        <v>-474</v>
      </c>
      <c r="J37" s="609">
        <v>-474</v>
      </c>
      <c r="K37" s="609">
        <v>-474</v>
      </c>
      <c r="L37" s="609">
        <v>-474</v>
      </c>
      <c r="M37" s="609">
        <v>-474</v>
      </c>
      <c r="N37" s="584">
        <f t="shared" ref="N37:N39" si="3">SUM(B37:M37)</f>
        <v>-5688</v>
      </c>
    </row>
    <row r="38" spans="1:14" x14ac:dyDescent="0.2">
      <c r="A38" s="584" t="s">
        <v>915</v>
      </c>
      <c r="B38" s="609">
        <v>8</v>
      </c>
      <c r="C38" s="609">
        <v>8</v>
      </c>
      <c r="D38" s="609">
        <v>8</v>
      </c>
      <c r="E38" s="609">
        <v>8</v>
      </c>
      <c r="F38" s="609">
        <v>8</v>
      </c>
      <c r="G38" s="609">
        <v>8</v>
      </c>
      <c r="H38" s="609">
        <v>8</v>
      </c>
      <c r="I38" s="609">
        <v>8</v>
      </c>
      <c r="J38" s="609">
        <v>8</v>
      </c>
      <c r="K38" s="609">
        <v>8</v>
      </c>
      <c r="L38" s="609">
        <v>8</v>
      </c>
      <c r="M38" s="609">
        <v>8</v>
      </c>
      <c r="N38" s="584">
        <f t="shared" si="3"/>
        <v>96</v>
      </c>
    </row>
    <row r="39" spans="1:14" x14ac:dyDescent="0.2">
      <c r="A39" s="584" t="s">
        <v>918</v>
      </c>
      <c r="B39" s="609">
        <v>-8</v>
      </c>
      <c r="C39" s="609">
        <v>-8</v>
      </c>
      <c r="D39" s="609">
        <v>-8</v>
      </c>
      <c r="E39" s="609">
        <v>-8</v>
      </c>
      <c r="F39" s="609">
        <v>-8</v>
      </c>
      <c r="G39" s="609">
        <v>-8</v>
      </c>
      <c r="H39" s="609">
        <v>-8</v>
      </c>
      <c r="I39" s="609">
        <v>-8</v>
      </c>
      <c r="J39" s="609">
        <v>-8</v>
      </c>
      <c r="K39" s="609">
        <v>-8</v>
      </c>
      <c r="L39" s="609">
        <v>-8</v>
      </c>
      <c r="M39" s="609">
        <v>-8</v>
      </c>
      <c r="N39" s="584">
        <f t="shared" si="3"/>
        <v>-96</v>
      </c>
    </row>
    <row r="40" spans="1:14" x14ac:dyDescent="0.2">
      <c r="A40" s="610" t="s">
        <v>23</v>
      </c>
      <c r="B40" s="610">
        <f t="shared" ref="B40:N40" si="4">SUM(B36:B39)</f>
        <v>0</v>
      </c>
      <c r="C40" s="610">
        <f t="shared" si="4"/>
        <v>0</v>
      </c>
      <c r="D40" s="610">
        <f t="shared" si="4"/>
        <v>0</v>
      </c>
      <c r="E40" s="610">
        <f t="shared" si="4"/>
        <v>0</v>
      </c>
      <c r="F40" s="610">
        <f t="shared" si="4"/>
        <v>0</v>
      </c>
      <c r="G40" s="610">
        <f t="shared" si="4"/>
        <v>0</v>
      </c>
      <c r="H40" s="610">
        <f t="shared" si="4"/>
        <v>0</v>
      </c>
      <c r="I40" s="610">
        <f t="shared" si="4"/>
        <v>0</v>
      </c>
      <c r="J40" s="610">
        <f t="shared" si="4"/>
        <v>0</v>
      </c>
      <c r="K40" s="610">
        <f t="shared" si="4"/>
        <v>0</v>
      </c>
      <c r="L40" s="610">
        <f t="shared" si="4"/>
        <v>0</v>
      </c>
      <c r="M40" s="610">
        <f t="shared" si="4"/>
        <v>0</v>
      </c>
      <c r="N40" s="610">
        <f t="shared" si="4"/>
        <v>0</v>
      </c>
    </row>
    <row r="42" spans="1:14" x14ac:dyDescent="0.2">
      <c r="A42" s="585" t="s">
        <v>74</v>
      </c>
    </row>
    <row r="43" spans="1:14" x14ac:dyDescent="0.2">
      <c r="A43" s="606" t="s">
        <v>1232</v>
      </c>
      <c r="B43" s="607">
        <v>40179</v>
      </c>
      <c r="C43" s="607">
        <v>40210</v>
      </c>
      <c r="D43" s="607">
        <v>40238</v>
      </c>
      <c r="E43" s="607">
        <v>40269</v>
      </c>
      <c r="F43" s="607">
        <v>40299</v>
      </c>
      <c r="G43" s="607">
        <v>40330</v>
      </c>
      <c r="H43" s="607">
        <v>40360</v>
      </c>
      <c r="I43" s="607">
        <v>40391</v>
      </c>
      <c r="J43" s="607">
        <v>40422</v>
      </c>
      <c r="K43" s="607">
        <v>40452</v>
      </c>
      <c r="L43" s="607">
        <v>40483</v>
      </c>
      <c r="M43" s="607">
        <v>40513</v>
      </c>
      <c r="N43" s="607" t="s">
        <v>1233</v>
      </c>
    </row>
    <row r="44" spans="1:14" x14ac:dyDescent="0.2">
      <c r="A44" s="584" t="s">
        <v>901</v>
      </c>
      <c r="B44" s="590"/>
      <c r="C44" s="590"/>
      <c r="D44" s="590"/>
      <c r="E44" s="590"/>
      <c r="F44" s="590"/>
      <c r="G44" s="590"/>
      <c r="H44" s="590"/>
      <c r="I44" s="590"/>
      <c r="J44" s="590"/>
      <c r="K44" s="590"/>
      <c r="L44" s="590"/>
      <c r="M44" s="590"/>
      <c r="N44" s="608"/>
    </row>
    <row r="45" spans="1:14" x14ac:dyDescent="0.2">
      <c r="A45" s="584" t="s">
        <v>907</v>
      </c>
      <c r="B45" s="594">
        <v>-32709</v>
      </c>
      <c r="C45" s="594">
        <v>-32709</v>
      </c>
      <c r="D45" s="594">
        <v>-32742</v>
      </c>
      <c r="E45" s="594">
        <v>-32742</v>
      </c>
      <c r="F45" s="594">
        <v>-32742</v>
      </c>
      <c r="G45" s="594">
        <v>-32741</v>
      </c>
      <c r="H45" s="594">
        <v>-30419</v>
      </c>
      <c r="I45" s="594">
        <v>-30419</v>
      </c>
      <c r="J45" s="594">
        <v>-30419</v>
      </c>
      <c r="K45" s="594">
        <v>-30419</v>
      </c>
      <c r="L45" s="594">
        <v>-30419</v>
      </c>
      <c r="M45" s="594">
        <v>-30419</v>
      </c>
      <c r="N45" s="608">
        <f t="shared" ref="N45:N47" si="5">SUM(B45:M45)</f>
        <v>-378899</v>
      </c>
    </row>
    <row r="46" spans="1:14" x14ac:dyDescent="0.2">
      <c r="A46" s="584" t="s">
        <v>915</v>
      </c>
      <c r="B46" s="594"/>
      <c r="C46" s="594"/>
      <c r="D46" s="594"/>
      <c r="E46" s="594"/>
      <c r="F46" s="594"/>
      <c r="G46" s="594"/>
      <c r="H46" s="594"/>
      <c r="I46" s="594"/>
      <c r="J46" s="594"/>
      <c r="K46" s="594"/>
      <c r="L46" s="594"/>
      <c r="M46" s="594"/>
      <c r="N46" s="608"/>
    </row>
    <row r="47" spans="1:14" x14ac:dyDescent="0.2">
      <c r="A47" s="584" t="s">
        <v>918</v>
      </c>
      <c r="B47" s="594">
        <v>-1050</v>
      </c>
      <c r="C47" s="594">
        <v>-1050</v>
      </c>
      <c r="D47" s="594">
        <v>-1050</v>
      </c>
      <c r="E47" s="594">
        <v>-1050</v>
      </c>
      <c r="F47" s="594">
        <v>-1050</v>
      </c>
      <c r="G47" s="594">
        <v>-1050</v>
      </c>
      <c r="H47" s="594">
        <v>-386</v>
      </c>
      <c r="I47" s="594">
        <v>-386</v>
      </c>
      <c r="J47" s="594">
        <v>-386</v>
      </c>
      <c r="K47" s="594">
        <v>-386</v>
      </c>
      <c r="L47" s="594">
        <v>-386</v>
      </c>
      <c r="M47" s="594">
        <v>-352</v>
      </c>
      <c r="N47" s="608">
        <f t="shared" si="5"/>
        <v>-8582</v>
      </c>
    </row>
    <row r="48" spans="1:14" x14ac:dyDescent="0.2">
      <c r="A48" s="611" t="s">
        <v>23</v>
      </c>
      <c r="B48" s="612">
        <f>SUM(B44:B47)</f>
        <v>-33759</v>
      </c>
      <c r="C48" s="612">
        <f t="shared" ref="C48:N48" si="6">SUM(C44:C47)</f>
        <v>-33759</v>
      </c>
      <c r="D48" s="612">
        <f t="shared" si="6"/>
        <v>-33792</v>
      </c>
      <c r="E48" s="612">
        <f t="shared" si="6"/>
        <v>-33792</v>
      </c>
      <c r="F48" s="612">
        <f t="shared" si="6"/>
        <v>-33792</v>
      </c>
      <c r="G48" s="612">
        <f t="shared" si="6"/>
        <v>-33791</v>
      </c>
      <c r="H48" s="612">
        <f t="shared" si="6"/>
        <v>-30805</v>
      </c>
      <c r="I48" s="612">
        <f t="shared" si="6"/>
        <v>-30805</v>
      </c>
      <c r="J48" s="612">
        <f t="shared" si="6"/>
        <v>-30805</v>
      </c>
      <c r="K48" s="612">
        <f t="shared" si="6"/>
        <v>-30805</v>
      </c>
      <c r="L48" s="612">
        <f t="shared" si="6"/>
        <v>-30805</v>
      </c>
      <c r="M48" s="612">
        <f t="shared" si="6"/>
        <v>-30771</v>
      </c>
      <c r="N48" s="612">
        <f t="shared" si="6"/>
        <v>-387481</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70"/>
  <sheetViews>
    <sheetView workbookViewId="0">
      <selection activeCell="C35" sqref="C35"/>
    </sheetView>
  </sheetViews>
  <sheetFormatPr defaultRowHeight="12.75" x14ac:dyDescent="0.2"/>
  <cols>
    <col min="1" max="1" width="43.5703125" style="613" customWidth="1"/>
    <col min="2" max="2" width="12.42578125" style="613" bestFit="1" customWidth="1"/>
    <col min="3" max="3" width="14.140625" style="613" bestFit="1" customWidth="1"/>
    <col min="4" max="4" width="15.85546875" style="613" bestFit="1" customWidth="1"/>
    <col min="5" max="5" width="13.28515625" style="613" bestFit="1" customWidth="1"/>
    <col min="6" max="6" width="13" style="613" customWidth="1"/>
    <col min="7" max="12" width="11.42578125" style="613" bestFit="1" customWidth="1"/>
    <col min="13" max="13" width="10.7109375" style="613" customWidth="1"/>
    <col min="14" max="14" width="11.42578125" style="613" bestFit="1" customWidth="1"/>
    <col min="15" max="15" width="9.140625" style="613"/>
    <col min="16" max="16" width="10.85546875" style="613" bestFit="1" customWidth="1"/>
    <col min="17" max="16384" width="9.140625" style="613"/>
  </cols>
  <sheetData>
    <row r="1" spans="1:7" x14ac:dyDescent="0.2">
      <c r="A1" s="613" t="s">
        <v>1236</v>
      </c>
    </row>
    <row r="2" spans="1:7" x14ac:dyDescent="0.2">
      <c r="A2" s="613" t="s">
        <v>1224</v>
      </c>
    </row>
    <row r="4" spans="1:7" x14ac:dyDescent="0.2">
      <c r="A4" s="614" t="s">
        <v>1205</v>
      </c>
    </row>
    <row r="5" spans="1:7" x14ac:dyDescent="0.2">
      <c r="A5" s="615" t="s">
        <v>789</v>
      </c>
      <c r="B5" s="588" t="s">
        <v>76</v>
      </c>
      <c r="C5" s="588" t="s">
        <v>124</v>
      </c>
      <c r="D5" s="588" t="s">
        <v>1225</v>
      </c>
      <c r="E5" s="588" t="s">
        <v>80</v>
      </c>
      <c r="F5" s="588" t="s">
        <v>1226</v>
      </c>
      <c r="G5" s="588" t="s">
        <v>1227</v>
      </c>
    </row>
    <row r="6" spans="1:7" x14ac:dyDescent="0.2">
      <c r="A6" s="616" t="s">
        <v>89</v>
      </c>
      <c r="B6" s="617">
        <v>0</v>
      </c>
      <c r="C6" s="618">
        <v>0</v>
      </c>
      <c r="D6" s="618">
        <v>0</v>
      </c>
      <c r="E6" s="618">
        <v>0</v>
      </c>
      <c r="F6" s="619">
        <f t="shared" ref="F6:F17" si="0">E6/$G$7</f>
        <v>0</v>
      </c>
    </row>
    <row r="7" spans="1:7" x14ac:dyDescent="0.2">
      <c r="A7" s="620" t="s">
        <v>1038</v>
      </c>
      <c r="B7" s="617">
        <v>-435746</v>
      </c>
      <c r="C7" s="618">
        <v>-449441.5683974399</v>
      </c>
      <c r="D7" s="618">
        <v>-138347.91080126399</v>
      </c>
      <c r="E7" s="618">
        <v>-311093.65759617602</v>
      </c>
      <c r="F7" s="619">
        <f t="shared" si="0"/>
        <v>-297640.60011172615</v>
      </c>
      <c r="G7" s="597">
        <v>1.045199</v>
      </c>
    </row>
    <row r="8" spans="1:7" x14ac:dyDescent="0.2">
      <c r="A8" s="616" t="s">
        <v>832</v>
      </c>
      <c r="B8" s="617">
        <v>-1016581</v>
      </c>
      <c r="C8" s="618">
        <v>-959438.46074683196</v>
      </c>
      <c r="D8" s="618">
        <v>-242721.40176675399</v>
      </c>
      <c r="E8" s="618">
        <v>-716717.05898007785</v>
      </c>
      <c r="F8" s="619">
        <f t="shared" si="0"/>
        <v>-685723.06228773459</v>
      </c>
    </row>
    <row r="9" spans="1:7" x14ac:dyDescent="0.2">
      <c r="A9" s="616" t="s">
        <v>1184</v>
      </c>
      <c r="B9" s="617">
        <v>1737726</v>
      </c>
      <c r="C9" s="618">
        <v>436763.93581574393</v>
      </c>
      <c r="D9" s="618">
        <v>444583.70594144403</v>
      </c>
      <c r="E9" s="618">
        <v>-7819.7701256999999</v>
      </c>
      <c r="F9" s="619">
        <f t="shared" si="0"/>
        <v>-7481.6088856763163</v>
      </c>
    </row>
    <row r="10" spans="1:7" x14ac:dyDescent="0.2">
      <c r="A10" s="616" t="s">
        <v>837</v>
      </c>
      <c r="B10" s="617">
        <v>0</v>
      </c>
      <c r="C10" s="618"/>
      <c r="D10" s="618"/>
      <c r="E10" s="618"/>
      <c r="F10" s="619">
        <f t="shared" si="0"/>
        <v>0</v>
      </c>
    </row>
    <row r="11" spans="1:7" x14ac:dyDescent="0.2">
      <c r="A11" s="616" t="s">
        <v>1228</v>
      </c>
      <c r="B11" s="617">
        <v>-337703</v>
      </c>
      <c r="C11" s="618">
        <v>-73143.361187650007</v>
      </c>
      <c r="D11" s="618">
        <v>-72906.969263139996</v>
      </c>
      <c r="E11" s="618">
        <v>-236.39192450999997</v>
      </c>
      <c r="F11" s="619">
        <f t="shared" si="0"/>
        <v>-226.16929839198082</v>
      </c>
    </row>
    <row r="12" spans="1:7" x14ac:dyDescent="0.2">
      <c r="A12" s="616" t="s">
        <v>839</v>
      </c>
      <c r="B12" s="617">
        <v>0</v>
      </c>
      <c r="C12" s="618"/>
      <c r="D12" s="618"/>
      <c r="E12" s="618"/>
      <c r="F12" s="619">
        <f t="shared" si="0"/>
        <v>0</v>
      </c>
    </row>
    <row r="13" spans="1:7" x14ac:dyDescent="0.2">
      <c r="A13" s="616" t="s">
        <v>1229</v>
      </c>
      <c r="B13" s="617">
        <v>52304</v>
      </c>
      <c r="C13" s="618">
        <v>10158.292411397</v>
      </c>
      <c r="D13" s="618">
        <v>10121.679668797</v>
      </c>
      <c r="E13" s="618">
        <v>36.612742599999997</v>
      </c>
      <c r="F13" s="619">
        <f t="shared" si="0"/>
        <v>35.029446641261615</v>
      </c>
    </row>
    <row r="14" spans="1:7" x14ac:dyDescent="0.2">
      <c r="A14" s="616" t="s">
        <v>841</v>
      </c>
      <c r="B14" s="617">
        <v>0</v>
      </c>
      <c r="C14" s="618"/>
      <c r="D14" s="618"/>
      <c r="E14" s="618"/>
      <c r="F14" s="619">
        <f t="shared" si="0"/>
        <v>0</v>
      </c>
    </row>
    <row r="15" spans="1:7" x14ac:dyDescent="0.2">
      <c r="A15" s="616" t="s">
        <v>1230</v>
      </c>
      <c r="B15" s="617">
        <v>0</v>
      </c>
      <c r="C15" s="618"/>
      <c r="D15" s="618"/>
      <c r="E15" s="618"/>
      <c r="F15" s="619">
        <f t="shared" si="0"/>
        <v>0</v>
      </c>
    </row>
    <row r="16" spans="1:7" x14ac:dyDescent="0.2">
      <c r="A16" s="616" t="s">
        <v>844</v>
      </c>
      <c r="B16" s="617">
        <v>0</v>
      </c>
      <c r="C16" s="618"/>
      <c r="D16" s="618"/>
      <c r="E16" s="618"/>
      <c r="F16" s="619">
        <f t="shared" si="0"/>
        <v>0</v>
      </c>
    </row>
    <row r="17" spans="1:16" x14ac:dyDescent="0.2">
      <c r="A17" s="621" t="s">
        <v>23</v>
      </c>
      <c r="B17" s="622">
        <f>SUM(B6:B16)</f>
        <v>0</v>
      </c>
      <c r="C17" s="623">
        <f>SUM(C6:C16)</f>
        <v>-1035101.1621047809</v>
      </c>
      <c r="D17" s="623">
        <f>SUM(D6:D16)</f>
        <v>729.10377908305418</v>
      </c>
      <c r="E17" s="623">
        <f>SUM(E6:E16)</f>
        <v>-1035830.2658838639</v>
      </c>
      <c r="F17" s="623">
        <f t="shared" si="0"/>
        <v>-991036.41113688773</v>
      </c>
    </row>
    <row r="19" spans="1:16" x14ac:dyDescent="0.2">
      <c r="A19" s="624" t="s">
        <v>1231</v>
      </c>
      <c r="E19" s="625"/>
    </row>
    <row r="20" spans="1:16" x14ac:dyDescent="0.2">
      <c r="A20" s="624" t="s">
        <v>76</v>
      </c>
      <c r="E20" s="625"/>
    </row>
    <row r="21" spans="1:16" x14ac:dyDescent="0.2">
      <c r="A21" s="626" t="s">
        <v>1232</v>
      </c>
      <c r="B21" s="627">
        <v>40179</v>
      </c>
      <c r="C21" s="627">
        <v>40210</v>
      </c>
      <c r="D21" s="627">
        <v>40238</v>
      </c>
      <c r="E21" s="627">
        <v>40269</v>
      </c>
      <c r="F21" s="627">
        <v>40299</v>
      </c>
      <c r="G21" s="627">
        <v>40330</v>
      </c>
      <c r="H21" s="627">
        <v>40360</v>
      </c>
      <c r="I21" s="627">
        <v>40391</v>
      </c>
      <c r="J21" s="627">
        <v>40422</v>
      </c>
      <c r="K21" s="627">
        <v>40452</v>
      </c>
      <c r="L21" s="627">
        <v>40483</v>
      </c>
      <c r="M21" s="627">
        <v>40513</v>
      </c>
      <c r="N21" s="627" t="s">
        <v>1233</v>
      </c>
      <c r="P21" s="628" t="s">
        <v>131</v>
      </c>
    </row>
    <row r="22" spans="1:16" x14ac:dyDescent="0.2">
      <c r="A22" s="613" t="s">
        <v>901</v>
      </c>
      <c r="B22" s="629">
        <v>-13116</v>
      </c>
      <c r="C22" s="629">
        <v>-10876</v>
      </c>
      <c r="D22" s="629">
        <v>-11912</v>
      </c>
      <c r="E22" s="629">
        <v>-10359</v>
      </c>
      <c r="F22" s="629">
        <v>-8197</v>
      </c>
      <c r="G22" s="629">
        <v>-6699</v>
      </c>
      <c r="H22" s="629">
        <v>-6034</v>
      </c>
      <c r="I22" s="629">
        <v>-6073</v>
      </c>
      <c r="J22" s="629">
        <v>-6298</v>
      </c>
      <c r="K22" s="629">
        <v>-9214</v>
      </c>
      <c r="L22" s="629">
        <v>-4028</v>
      </c>
      <c r="M22" s="629">
        <v>0</v>
      </c>
      <c r="N22" s="629">
        <f>SUM(B22:M22)</f>
        <v>-92806</v>
      </c>
      <c r="P22" s="630">
        <f>N22+N31-B7</f>
        <v>0</v>
      </c>
    </row>
    <row r="23" spans="1:16" x14ac:dyDescent="0.2">
      <c r="A23" s="613" t="s">
        <v>907</v>
      </c>
      <c r="B23" s="629"/>
      <c r="C23" s="629"/>
      <c r="D23" s="629"/>
      <c r="E23" s="629"/>
      <c r="F23" s="629"/>
      <c r="G23" s="629"/>
      <c r="H23" s="629"/>
      <c r="I23" s="629"/>
      <c r="J23" s="629"/>
      <c r="K23" s="629"/>
      <c r="L23" s="629"/>
      <c r="M23" s="629"/>
      <c r="N23" s="629"/>
      <c r="P23" s="631"/>
    </row>
    <row r="24" spans="1:16" x14ac:dyDescent="0.2">
      <c r="A24" s="613" t="s">
        <v>162</v>
      </c>
      <c r="B24" s="629">
        <v>-15300</v>
      </c>
      <c r="C24" s="629">
        <v>-15300</v>
      </c>
      <c r="D24" s="629">
        <v>-15300</v>
      </c>
      <c r="E24" s="629">
        <v>-15300</v>
      </c>
      <c r="F24" s="629">
        <v>-15300</v>
      </c>
      <c r="G24" s="629">
        <v>-15300</v>
      </c>
      <c r="H24" s="629">
        <v>-15300</v>
      </c>
      <c r="I24" s="629">
        <v>-15300</v>
      </c>
      <c r="J24" s="629">
        <v>-14400</v>
      </c>
      <c r="K24" s="629">
        <v>-14400</v>
      </c>
      <c r="L24" s="629">
        <v>-8100</v>
      </c>
      <c r="M24" s="629">
        <v>0</v>
      </c>
      <c r="N24" s="629">
        <f t="shared" ref="N24:N46" si="1">SUM(B24:M24)</f>
        <v>-159300</v>
      </c>
      <c r="P24" s="630">
        <f>SUM(N24:N26)-B8</f>
        <v>3</v>
      </c>
    </row>
    <row r="25" spans="1:16" x14ac:dyDescent="0.2">
      <c r="A25" s="613" t="s">
        <v>1234</v>
      </c>
      <c r="B25" s="629">
        <v>-68067</v>
      </c>
      <c r="C25" s="629">
        <v>-66817</v>
      </c>
      <c r="D25" s="629">
        <v>-67964</v>
      </c>
      <c r="E25" s="629">
        <v>-65638</v>
      </c>
      <c r="F25" s="629">
        <v>-58471</v>
      </c>
      <c r="G25" s="629">
        <v>-44798</v>
      </c>
      <c r="H25" s="629">
        <v>-42942</v>
      </c>
      <c r="I25" s="629">
        <v>-42693</v>
      </c>
      <c r="J25" s="629">
        <v>-40423</v>
      </c>
      <c r="K25" s="629">
        <v>-55783</v>
      </c>
      <c r="L25" s="629">
        <v>-32284</v>
      </c>
      <c r="M25" s="629">
        <v>0</v>
      </c>
      <c r="N25" s="629">
        <f t="shared" si="1"/>
        <v>-585880</v>
      </c>
      <c r="P25" s="631"/>
    </row>
    <row r="26" spans="1:16" x14ac:dyDescent="0.2">
      <c r="A26" s="613" t="s">
        <v>1235</v>
      </c>
      <c r="B26" s="629">
        <v>-59891</v>
      </c>
      <c r="C26" s="629">
        <v>-44305</v>
      </c>
      <c r="D26" s="629">
        <v>-46682</v>
      </c>
      <c r="E26" s="629">
        <v>-28679</v>
      </c>
      <c r="F26" s="629">
        <v>-20077</v>
      </c>
      <c r="G26" s="629">
        <v>-16414</v>
      </c>
      <c r="H26" s="629">
        <v>-16889</v>
      </c>
      <c r="I26" s="629">
        <v>-18843</v>
      </c>
      <c r="J26" s="629">
        <v>-384</v>
      </c>
      <c r="K26" s="629">
        <v>-6948</v>
      </c>
      <c r="L26" s="629">
        <v>-12286</v>
      </c>
      <c r="M26" s="629">
        <v>0</v>
      </c>
      <c r="N26" s="629">
        <f t="shared" si="1"/>
        <v>-271398</v>
      </c>
      <c r="P26" s="631"/>
    </row>
    <row r="27" spans="1:16" x14ac:dyDescent="0.2">
      <c r="A27" s="613" t="s">
        <v>741</v>
      </c>
      <c r="B27" s="629"/>
      <c r="C27" s="629"/>
      <c r="D27" s="629"/>
      <c r="E27" s="629"/>
      <c r="F27" s="629"/>
      <c r="G27" s="629"/>
      <c r="H27" s="629"/>
      <c r="I27" s="629"/>
      <c r="J27" s="629"/>
      <c r="K27" s="629"/>
      <c r="L27" s="629"/>
      <c r="M27" s="629"/>
      <c r="N27" s="629"/>
      <c r="P27" s="631"/>
    </row>
    <row r="28" spans="1:16" x14ac:dyDescent="0.2">
      <c r="A28" s="613" t="s">
        <v>1086</v>
      </c>
      <c r="B28" s="629">
        <v>-22389</v>
      </c>
      <c r="C28" s="629">
        <v>-23057</v>
      </c>
      <c r="D28" s="629">
        <v>-25000</v>
      </c>
      <c r="E28" s="629">
        <v>-25000</v>
      </c>
      <c r="F28" s="629">
        <v>-23598</v>
      </c>
      <c r="G28" s="629">
        <v>-25000</v>
      </c>
      <c r="H28" s="629">
        <v>-22484</v>
      </c>
      <c r="I28" s="629">
        <v>-22924</v>
      </c>
      <c r="J28" s="629">
        <v>0</v>
      </c>
      <c r="K28" s="629">
        <v>0</v>
      </c>
      <c r="L28" s="629">
        <v>0</v>
      </c>
      <c r="M28" s="629">
        <v>0</v>
      </c>
      <c r="N28" s="629">
        <f t="shared" si="1"/>
        <v>-189452</v>
      </c>
      <c r="P28" s="630">
        <f>SUM(N28:N30,N33:N35)-B11</f>
        <v>0</v>
      </c>
    </row>
    <row r="29" spans="1:16" x14ac:dyDescent="0.2">
      <c r="A29" s="613" t="s">
        <v>1087</v>
      </c>
      <c r="B29" s="629">
        <v>0</v>
      </c>
      <c r="C29" s="629">
        <v>0</v>
      </c>
      <c r="D29" s="629">
        <v>-1477</v>
      </c>
      <c r="E29" s="629">
        <v>-303</v>
      </c>
      <c r="F29" s="629">
        <v>0</v>
      </c>
      <c r="G29" s="629">
        <v>-428</v>
      </c>
      <c r="H29" s="629">
        <v>0</v>
      </c>
      <c r="I29" s="629">
        <v>0</v>
      </c>
      <c r="J29" s="629">
        <v>0</v>
      </c>
      <c r="K29" s="629">
        <v>0</v>
      </c>
      <c r="L29" s="629">
        <v>0</v>
      </c>
      <c r="M29" s="629">
        <v>0</v>
      </c>
      <c r="N29" s="629">
        <f t="shared" si="1"/>
        <v>-2208</v>
      </c>
      <c r="P29" s="631"/>
    </row>
    <row r="30" spans="1:16" x14ac:dyDescent="0.2">
      <c r="A30" s="613" t="s">
        <v>1088</v>
      </c>
      <c r="B30" s="629">
        <v>0</v>
      </c>
      <c r="C30" s="629">
        <v>0</v>
      </c>
      <c r="D30" s="629">
        <v>0</v>
      </c>
      <c r="E30" s="629">
        <v>0</v>
      </c>
      <c r="F30" s="629">
        <v>0</v>
      </c>
      <c r="G30" s="629">
        <v>0</v>
      </c>
      <c r="H30" s="629">
        <v>0</v>
      </c>
      <c r="I30" s="629">
        <v>0</v>
      </c>
      <c r="J30" s="629">
        <v>0</v>
      </c>
      <c r="K30" s="629">
        <v>0</v>
      </c>
      <c r="L30" s="629">
        <v>0</v>
      </c>
      <c r="M30" s="629">
        <v>0</v>
      </c>
      <c r="N30" s="629">
        <f t="shared" si="1"/>
        <v>0</v>
      </c>
      <c r="P30" s="631"/>
    </row>
    <row r="31" spans="1:16" x14ac:dyDescent="0.2">
      <c r="A31" s="613" t="s">
        <v>915</v>
      </c>
      <c r="B31" s="629">
        <v>-48771</v>
      </c>
      <c r="C31" s="629">
        <v>-57791</v>
      </c>
      <c r="D31" s="629">
        <v>-45382</v>
      </c>
      <c r="E31" s="629">
        <v>-40720</v>
      </c>
      <c r="F31" s="629">
        <v>-37662</v>
      </c>
      <c r="G31" s="629">
        <v>-30450</v>
      </c>
      <c r="H31" s="629">
        <v>-27544</v>
      </c>
      <c r="I31" s="629">
        <v>-27032</v>
      </c>
      <c r="J31" s="629">
        <v>-27588</v>
      </c>
      <c r="K31" s="629">
        <v>0</v>
      </c>
      <c r="L31" s="629">
        <v>0</v>
      </c>
      <c r="M31" s="629">
        <v>0</v>
      </c>
      <c r="N31" s="629">
        <f t="shared" si="1"/>
        <v>-342940</v>
      </c>
      <c r="P31" s="631"/>
    </row>
    <row r="32" spans="1:16" x14ac:dyDescent="0.2">
      <c r="A32" s="613" t="s">
        <v>742</v>
      </c>
      <c r="B32" s="629"/>
      <c r="C32" s="629"/>
      <c r="D32" s="629"/>
      <c r="E32" s="629"/>
      <c r="F32" s="629"/>
      <c r="G32" s="629"/>
      <c r="H32" s="629"/>
      <c r="I32" s="629"/>
      <c r="J32" s="629"/>
      <c r="K32" s="629"/>
      <c r="L32" s="629"/>
      <c r="M32" s="629"/>
      <c r="N32" s="629"/>
      <c r="P32" s="631"/>
    </row>
    <row r="33" spans="1:16" x14ac:dyDescent="0.2">
      <c r="A33" s="613" t="s">
        <v>1086</v>
      </c>
      <c r="B33" s="629">
        <v>-2625</v>
      </c>
      <c r="C33" s="629">
        <v>-5198</v>
      </c>
      <c r="D33" s="629">
        <v>-14644</v>
      </c>
      <c r="E33" s="629">
        <v>-24721</v>
      </c>
      <c r="F33" s="629">
        <v>-16305</v>
      </c>
      <c r="G33" s="629">
        <v>-25000</v>
      </c>
      <c r="H33" s="629">
        <v>0</v>
      </c>
      <c r="I33" s="629">
        <v>0</v>
      </c>
      <c r="J33" s="629">
        <v>0</v>
      </c>
      <c r="K33" s="629">
        <v>0</v>
      </c>
      <c r="L33" s="629">
        <v>0</v>
      </c>
      <c r="M33" s="629">
        <v>0</v>
      </c>
      <c r="N33" s="629">
        <f t="shared" si="1"/>
        <v>-88493</v>
      </c>
      <c r="P33" s="630"/>
    </row>
    <row r="34" spans="1:16" x14ac:dyDescent="0.2">
      <c r="A34" s="613" t="s">
        <v>1087</v>
      </c>
      <c r="B34" s="629">
        <v>0</v>
      </c>
      <c r="C34" s="629">
        <v>0</v>
      </c>
      <c r="D34" s="629">
        <v>0</v>
      </c>
      <c r="E34" s="629">
        <v>0</v>
      </c>
      <c r="F34" s="629">
        <v>0</v>
      </c>
      <c r="G34" s="629">
        <v>-25000</v>
      </c>
      <c r="H34" s="629">
        <v>0</v>
      </c>
      <c r="I34" s="629">
        <v>0</v>
      </c>
      <c r="J34" s="629">
        <v>0</v>
      </c>
      <c r="K34" s="629">
        <v>0</v>
      </c>
      <c r="L34" s="629">
        <v>0</v>
      </c>
      <c r="M34" s="629">
        <v>0</v>
      </c>
      <c r="N34" s="629">
        <f t="shared" si="1"/>
        <v>-25000</v>
      </c>
      <c r="P34" s="631"/>
    </row>
    <row r="35" spans="1:16" x14ac:dyDescent="0.2">
      <c r="A35" s="613" t="s">
        <v>1088</v>
      </c>
      <c r="B35" s="629">
        <v>0</v>
      </c>
      <c r="C35" s="629">
        <v>0</v>
      </c>
      <c r="D35" s="629">
        <v>0</v>
      </c>
      <c r="E35" s="629">
        <v>0</v>
      </c>
      <c r="F35" s="629">
        <v>0</v>
      </c>
      <c r="G35" s="629">
        <v>-32550</v>
      </c>
      <c r="H35" s="629">
        <v>0</v>
      </c>
      <c r="I35" s="629">
        <v>0</v>
      </c>
      <c r="J35" s="629">
        <v>0</v>
      </c>
      <c r="K35" s="629">
        <v>0</v>
      </c>
      <c r="L35" s="629">
        <v>0</v>
      </c>
      <c r="M35" s="629">
        <v>0</v>
      </c>
      <c r="N35" s="629">
        <f t="shared" si="1"/>
        <v>-32550</v>
      </c>
      <c r="P35" s="631"/>
    </row>
    <row r="36" spans="1:16" x14ac:dyDescent="0.2">
      <c r="A36" s="613" t="s">
        <v>908</v>
      </c>
      <c r="B36" s="629"/>
      <c r="C36" s="629"/>
      <c r="D36" s="629"/>
      <c r="E36" s="629"/>
      <c r="F36" s="629"/>
      <c r="G36" s="629"/>
      <c r="H36" s="629"/>
      <c r="I36" s="629"/>
      <c r="J36" s="629"/>
      <c r="K36" s="629"/>
      <c r="L36" s="629"/>
      <c r="M36" s="629"/>
      <c r="N36" s="629"/>
      <c r="P36" s="631"/>
    </row>
    <row r="37" spans="1:16" x14ac:dyDescent="0.2">
      <c r="A37" s="613" t="s">
        <v>162</v>
      </c>
      <c r="B37" s="629">
        <v>18000</v>
      </c>
      <c r="C37" s="629">
        <v>18000</v>
      </c>
      <c r="D37" s="629">
        <v>18000</v>
      </c>
      <c r="E37" s="629">
        <v>18000</v>
      </c>
      <c r="F37" s="629">
        <v>18000</v>
      </c>
      <c r="G37" s="629">
        <v>18000</v>
      </c>
      <c r="H37" s="629">
        <v>18000</v>
      </c>
      <c r="I37" s="629">
        <v>18000</v>
      </c>
      <c r="J37" s="629">
        <v>16200</v>
      </c>
      <c r="K37" s="629">
        <v>16200</v>
      </c>
      <c r="L37" s="629">
        <v>9000</v>
      </c>
      <c r="M37" s="629">
        <v>0</v>
      </c>
      <c r="N37" s="629">
        <f t="shared" si="1"/>
        <v>185400</v>
      </c>
      <c r="P37" s="630">
        <f>SUM(N37:N39,N41:N43)-B9</f>
        <v>-3</v>
      </c>
    </row>
    <row r="38" spans="1:16" x14ac:dyDescent="0.2">
      <c r="A38" s="613" t="s">
        <v>1234</v>
      </c>
      <c r="B38" s="629">
        <v>80170</v>
      </c>
      <c r="C38" s="629">
        <v>78402</v>
      </c>
      <c r="D38" s="629">
        <v>79976</v>
      </c>
      <c r="E38" s="629">
        <v>77308</v>
      </c>
      <c r="F38" s="629">
        <v>68969</v>
      </c>
      <c r="G38" s="629">
        <v>53797</v>
      </c>
      <c r="H38" s="629">
        <v>51276</v>
      </c>
      <c r="I38" s="629">
        <v>51065</v>
      </c>
      <c r="J38" s="629">
        <v>44921</v>
      </c>
      <c r="K38" s="629">
        <v>62871</v>
      </c>
      <c r="L38" s="629">
        <v>35412</v>
      </c>
      <c r="M38" s="629">
        <v>0</v>
      </c>
      <c r="N38" s="629">
        <f t="shared" si="1"/>
        <v>684167</v>
      </c>
      <c r="P38" s="631"/>
    </row>
    <row r="39" spans="1:16" x14ac:dyDescent="0.2">
      <c r="A39" s="613" t="s">
        <v>1235</v>
      </c>
      <c r="B39" s="629">
        <v>80593</v>
      </c>
      <c r="C39" s="629">
        <v>63953</v>
      </c>
      <c r="D39" s="629">
        <v>70358</v>
      </c>
      <c r="E39" s="629">
        <v>49972</v>
      </c>
      <c r="F39" s="629">
        <v>38675</v>
      </c>
      <c r="G39" s="629">
        <v>36842</v>
      </c>
      <c r="H39" s="629">
        <v>34373</v>
      </c>
      <c r="I39" s="629">
        <v>36767</v>
      </c>
      <c r="J39" s="629">
        <v>384</v>
      </c>
      <c r="K39" s="629">
        <v>7273</v>
      </c>
      <c r="L39" s="629">
        <v>12286</v>
      </c>
      <c r="M39" s="629">
        <v>0</v>
      </c>
      <c r="N39" s="629">
        <f t="shared" si="1"/>
        <v>431476</v>
      </c>
      <c r="P39" s="631"/>
    </row>
    <row r="40" spans="1:16" x14ac:dyDescent="0.2">
      <c r="A40" s="613" t="s">
        <v>919</v>
      </c>
      <c r="B40" s="629"/>
      <c r="C40" s="629"/>
      <c r="D40" s="629"/>
      <c r="E40" s="629"/>
      <c r="F40" s="629"/>
      <c r="G40" s="629"/>
      <c r="H40" s="629"/>
      <c r="I40" s="629"/>
      <c r="J40" s="629"/>
      <c r="K40" s="629"/>
      <c r="L40" s="629"/>
      <c r="M40" s="629"/>
      <c r="N40" s="629"/>
      <c r="P40" s="631"/>
    </row>
    <row r="41" spans="1:16" x14ac:dyDescent="0.2">
      <c r="A41" s="613" t="s">
        <v>162</v>
      </c>
      <c r="B41" s="629">
        <v>1800</v>
      </c>
      <c r="C41" s="629">
        <v>1800</v>
      </c>
      <c r="D41" s="629">
        <v>1800</v>
      </c>
      <c r="E41" s="629">
        <v>1800</v>
      </c>
      <c r="F41" s="629">
        <v>1800</v>
      </c>
      <c r="G41" s="629">
        <v>1800</v>
      </c>
      <c r="H41" s="629">
        <v>900</v>
      </c>
      <c r="I41" s="629">
        <v>900</v>
      </c>
      <c r="J41" s="629">
        <v>900</v>
      </c>
      <c r="K41" s="629">
        <v>0</v>
      </c>
      <c r="L41" s="629">
        <v>0</v>
      </c>
      <c r="M41" s="629">
        <v>0</v>
      </c>
      <c r="N41" s="629">
        <f t="shared" si="1"/>
        <v>13500</v>
      </c>
      <c r="P41" s="630"/>
    </row>
    <row r="42" spans="1:16" x14ac:dyDescent="0.2">
      <c r="A42" s="613" t="s">
        <v>1234</v>
      </c>
      <c r="B42" s="629">
        <v>5734</v>
      </c>
      <c r="C42" s="629">
        <v>5512</v>
      </c>
      <c r="D42" s="629">
        <v>5540</v>
      </c>
      <c r="E42" s="629">
        <v>5341</v>
      </c>
      <c r="F42" s="629">
        <v>5062</v>
      </c>
      <c r="G42" s="629">
        <v>8200</v>
      </c>
      <c r="H42" s="629">
        <v>4100</v>
      </c>
      <c r="I42" s="629">
        <v>4100</v>
      </c>
      <c r="J42" s="629">
        <v>4100</v>
      </c>
      <c r="K42" s="629">
        <v>0</v>
      </c>
      <c r="L42" s="629">
        <v>0</v>
      </c>
      <c r="M42" s="629">
        <v>0</v>
      </c>
      <c r="N42" s="629">
        <f t="shared" si="1"/>
        <v>47689</v>
      </c>
      <c r="P42" s="631"/>
    </row>
    <row r="43" spans="1:16" x14ac:dyDescent="0.2">
      <c r="A43" s="613" t="s">
        <v>1235</v>
      </c>
      <c r="B43" s="629">
        <v>43771</v>
      </c>
      <c r="C43" s="629">
        <v>52791</v>
      </c>
      <c r="D43" s="629">
        <v>40382</v>
      </c>
      <c r="E43" s="629">
        <v>35720</v>
      </c>
      <c r="F43" s="629">
        <v>32662</v>
      </c>
      <c r="G43" s="629">
        <v>103001</v>
      </c>
      <c r="H43" s="629">
        <v>22544</v>
      </c>
      <c r="I43" s="629">
        <v>22032</v>
      </c>
      <c r="J43" s="629">
        <v>22588</v>
      </c>
      <c r="K43" s="629">
        <v>0</v>
      </c>
      <c r="L43" s="629">
        <v>0</v>
      </c>
      <c r="M43" s="629">
        <v>0</v>
      </c>
      <c r="N43" s="629">
        <f t="shared" si="1"/>
        <v>375491</v>
      </c>
      <c r="P43" s="631"/>
    </row>
    <row r="44" spans="1:16" x14ac:dyDescent="0.2">
      <c r="A44" s="613" t="s">
        <v>922</v>
      </c>
      <c r="B44" s="629"/>
      <c r="C44" s="629"/>
      <c r="D44" s="629"/>
      <c r="E44" s="629"/>
      <c r="F44" s="629"/>
      <c r="G44" s="629"/>
      <c r="H44" s="629"/>
      <c r="I44" s="629"/>
      <c r="J44" s="629"/>
      <c r="K44" s="629"/>
      <c r="L44" s="629"/>
      <c r="M44" s="629"/>
      <c r="N44" s="629"/>
      <c r="P44" s="631"/>
    </row>
    <row r="45" spans="1:16" x14ac:dyDescent="0.2">
      <c r="A45" s="613" t="s">
        <v>1237</v>
      </c>
      <c r="B45" s="629">
        <v>91</v>
      </c>
      <c r="C45" s="629">
        <v>1000</v>
      </c>
      <c r="D45" s="629">
        <v>1000</v>
      </c>
      <c r="E45" s="629">
        <v>1000</v>
      </c>
      <c r="F45" s="629">
        <v>1000</v>
      </c>
      <c r="G45" s="629">
        <v>0</v>
      </c>
      <c r="H45" s="629">
        <v>0</v>
      </c>
      <c r="I45" s="629">
        <v>0</v>
      </c>
      <c r="J45" s="629">
        <v>0</v>
      </c>
      <c r="K45" s="629">
        <v>0</v>
      </c>
      <c r="L45" s="629">
        <v>0</v>
      </c>
      <c r="M45" s="629">
        <v>0</v>
      </c>
      <c r="N45" s="629">
        <f t="shared" si="1"/>
        <v>4091</v>
      </c>
      <c r="P45" s="630">
        <f>SUM(N45:N46)-B13</f>
        <v>0</v>
      </c>
    </row>
    <row r="46" spans="1:16" x14ac:dyDescent="0.2">
      <c r="A46" s="613" t="s">
        <v>1238</v>
      </c>
      <c r="B46" s="629">
        <v>0</v>
      </c>
      <c r="C46" s="629">
        <v>1886</v>
      </c>
      <c r="D46" s="629">
        <v>11304</v>
      </c>
      <c r="E46" s="629">
        <v>21580</v>
      </c>
      <c r="F46" s="629">
        <v>13443</v>
      </c>
      <c r="G46" s="629">
        <v>0</v>
      </c>
      <c r="H46" s="629">
        <v>0</v>
      </c>
      <c r="I46" s="629">
        <v>0</v>
      </c>
      <c r="J46" s="629">
        <v>0</v>
      </c>
      <c r="K46" s="629">
        <v>0</v>
      </c>
      <c r="L46" s="629">
        <v>0</v>
      </c>
      <c r="M46" s="629">
        <v>0</v>
      </c>
      <c r="N46" s="629">
        <f t="shared" si="1"/>
        <v>48213</v>
      </c>
      <c r="P46" s="632"/>
    </row>
    <row r="47" spans="1:16" x14ac:dyDescent="0.2">
      <c r="B47" s="629"/>
      <c r="C47" s="629"/>
      <c r="D47" s="629"/>
      <c r="E47" s="629"/>
      <c r="F47" s="629"/>
      <c r="G47" s="629"/>
      <c r="H47" s="629"/>
      <c r="I47" s="629"/>
      <c r="J47" s="629"/>
      <c r="K47" s="629"/>
      <c r="L47" s="629"/>
      <c r="M47" s="629"/>
    </row>
    <row r="48" spans="1:16" x14ac:dyDescent="0.2">
      <c r="A48" s="614" t="s">
        <v>67</v>
      </c>
    </row>
    <row r="49" spans="1:14" x14ac:dyDescent="0.2">
      <c r="A49" s="626" t="s">
        <v>1232</v>
      </c>
      <c r="B49" s="627">
        <v>40179</v>
      </c>
      <c r="C49" s="627">
        <v>40210</v>
      </c>
      <c r="D49" s="627">
        <v>40238</v>
      </c>
      <c r="E49" s="627">
        <v>40269</v>
      </c>
      <c r="F49" s="627">
        <v>40299</v>
      </c>
      <c r="G49" s="627">
        <v>40330</v>
      </c>
      <c r="H49" s="627">
        <v>40360</v>
      </c>
      <c r="I49" s="627">
        <v>40391</v>
      </c>
      <c r="J49" s="627">
        <v>40422</v>
      </c>
      <c r="K49" s="627">
        <v>40452</v>
      </c>
      <c r="L49" s="627">
        <v>40483</v>
      </c>
      <c r="M49" s="627">
        <v>40513</v>
      </c>
      <c r="N49" s="627" t="s">
        <v>1233</v>
      </c>
    </row>
    <row r="50" spans="1:14" x14ac:dyDescent="0.2">
      <c r="A50" s="613" t="s">
        <v>901</v>
      </c>
      <c r="B50" s="633">
        <v>-2</v>
      </c>
      <c r="C50" s="633">
        <v>-2</v>
      </c>
      <c r="D50" s="633">
        <v>-2</v>
      </c>
      <c r="E50" s="633">
        <v>-2</v>
      </c>
      <c r="F50" s="633">
        <v>-2</v>
      </c>
      <c r="G50" s="633">
        <v>-2</v>
      </c>
      <c r="H50" s="633">
        <v>-2</v>
      </c>
      <c r="I50" s="633">
        <v>-2</v>
      </c>
      <c r="J50" s="633">
        <v>-2</v>
      </c>
      <c r="K50" s="633">
        <v>-2</v>
      </c>
      <c r="L50" s="633">
        <v>-1</v>
      </c>
      <c r="M50" s="633">
        <v>0</v>
      </c>
      <c r="N50" s="613">
        <f>SUM(B50:M50)</f>
        <v>-21</v>
      </c>
    </row>
    <row r="51" spans="1:14" x14ac:dyDescent="0.2">
      <c r="A51" s="613" t="s">
        <v>907</v>
      </c>
      <c r="B51" s="633">
        <v>-17</v>
      </c>
      <c r="C51" s="633">
        <v>-17</v>
      </c>
      <c r="D51" s="633">
        <v>-17</v>
      </c>
      <c r="E51" s="633">
        <v>-17</v>
      </c>
      <c r="F51" s="633">
        <v>-17</v>
      </c>
      <c r="G51" s="633">
        <v>-17</v>
      </c>
      <c r="H51" s="633">
        <v>-17</v>
      </c>
      <c r="I51" s="633">
        <v>-17</v>
      </c>
      <c r="J51" s="633">
        <v>-16</v>
      </c>
      <c r="K51" s="633">
        <v>-16</v>
      </c>
      <c r="L51" s="633">
        <v>-9</v>
      </c>
      <c r="M51" s="633">
        <v>0</v>
      </c>
      <c r="N51" s="613">
        <f t="shared" ref="N51:N57" si="2">SUM(B51:M51)</f>
        <v>-177</v>
      </c>
    </row>
    <row r="52" spans="1:14" x14ac:dyDescent="0.2">
      <c r="A52" s="613" t="s">
        <v>741</v>
      </c>
      <c r="B52" s="633">
        <v>-1</v>
      </c>
      <c r="C52" s="633">
        <v>-1</v>
      </c>
      <c r="D52" s="633">
        <v>-1</v>
      </c>
      <c r="E52" s="633">
        <v>-1</v>
      </c>
      <c r="F52" s="633">
        <v>-1</v>
      </c>
      <c r="G52" s="633">
        <v>-1</v>
      </c>
      <c r="H52" s="633">
        <v>-1</v>
      </c>
      <c r="I52" s="633">
        <v>-1</v>
      </c>
      <c r="J52" s="633">
        <v>0</v>
      </c>
      <c r="K52" s="633">
        <v>0</v>
      </c>
      <c r="L52" s="633">
        <v>0</v>
      </c>
      <c r="M52" s="633">
        <v>0</v>
      </c>
      <c r="N52" s="613">
        <f t="shared" si="2"/>
        <v>-8</v>
      </c>
    </row>
    <row r="53" spans="1:14" x14ac:dyDescent="0.2">
      <c r="A53" s="613" t="s">
        <v>915</v>
      </c>
      <c r="B53" s="633">
        <v>-1</v>
      </c>
      <c r="C53" s="633">
        <v>-1</v>
      </c>
      <c r="D53" s="633">
        <v>-1</v>
      </c>
      <c r="E53" s="633">
        <v>-1</v>
      </c>
      <c r="F53" s="633">
        <v>-1</v>
      </c>
      <c r="G53" s="633">
        <v>-1</v>
      </c>
      <c r="H53" s="633">
        <v>-1</v>
      </c>
      <c r="I53" s="633">
        <v>-1</v>
      </c>
      <c r="J53" s="633">
        <v>-1</v>
      </c>
      <c r="K53" s="633">
        <v>0</v>
      </c>
      <c r="L53" s="633">
        <v>0</v>
      </c>
      <c r="M53" s="633">
        <v>0</v>
      </c>
      <c r="N53" s="613">
        <f t="shared" si="2"/>
        <v>-9</v>
      </c>
    </row>
    <row r="54" spans="1:14" x14ac:dyDescent="0.2">
      <c r="A54" s="613" t="s">
        <v>742</v>
      </c>
      <c r="B54" s="633">
        <v>-2</v>
      </c>
      <c r="C54" s="633">
        <v>-2</v>
      </c>
      <c r="D54" s="633">
        <v>-2</v>
      </c>
      <c r="E54" s="633">
        <v>-2</v>
      </c>
      <c r="F54" s="633">
        <v>-2</v>
      </c>
      <c r="G54" s="633">
        <v>-1</v>
      </c>
      <c r="H54" s="633">
        <v>0</v>
      </c>
      <c r="I54" s="633">
        <v>0</v>
      </c>
      <c r="J54" s="633">
        <v>0</v>
      </c>
      <c r="K54" s="633">
        <v>0</v>
      </c>
      <c r="L54" s="633">
        <v>0</v>
      </c>
      <c r="M54" s="633">
        <v>0</v>
      </c>
      <c r="N54" s="613">
        <f t="shared" si="2"/>
        <v>-11</v>
      </c>
    </row>
    <row r="55" spans="1:14" x14ac:dyDescent="0.2">
      <c r="A55" s="613" t="s">
        <v>908</v>
      </c>
      <c r="B55" s="633">
        <v>20</v>
      </c>
      <c r="C55" s="633">
        <v>20</v>
      </c>
      <c r="D55" s="633">
        <v>20</v>
      </c>
      <c r="E55" s="633">
        <v>20</v>
      </c>
      <c r="F55" s="633">
        <v>20</v>
      </c>
      <c r="G55" s="633">
        <v>20</v>
      </c>
      <c r="H55" s="633">
        <v>20</v>
      </c>
      <c r="I55" s="633">
        <v>20</v>
      </c>
      <c r="J55" s="633">
        <v>18</v>
      </c>
      <c r="K55" s="633">
        <v>18</v>
      </c>
      <c r="L55" s="633">
        <v>10</v>
      </c>
      <c r="M55" s="633">
        <v>0</v>
      </c>
      <c r="N55" s="613">
        <f t="shared" si="2"/>
        <v>206</v>
      </c>
    </row>
    <row r="56" spans="1:14" x14ac:dyDescent="0.2">
      <c r="A56" s="613" t="s">
        <v>919</v>
      </c>
      <c r="B56" s="633">
        <v>2</v>
      </c>
      <c r="C56" s="633">
        <v>2</v>
      </c>
      <c r="D56" s="633">
        <v>2</v>
      </c>
      <c r="E56" s="633">
        <v>2</v>
      </c>
      <c r="F56" s="633">
        <v>2</v>
      </c>
      <c r="G56" s="633">
        <v>2</v>
      </c>
      <c r="H56" s="633">
        <v>1</v>
      </c>
      <c r="I56" s="633">
        <v>1</v>
      </c>
      <c r="J56" s="633">
        <v>1</v>
      </c>
      <c r="K56" s="633">
        <v>0</v>
      </c>
      <c r="L56" s="633">
        <v>0</v>
      </c>
      <c r="M56" s="633">
        <v>0</v>
      </c>
      <c r="N56" s="613">
        <f t="shared" si="2"/>
        <v>15</v>
      </c>
    </row>
    <row r="57" spans="1:14" x14ac:dyDescent="0.2">
      <c r="A57" s="613" t="s">
        <v>922</v>
      </c>
      <c r="B57" s="633">
        <v>1</v>
      </c>
      <c r="C57" s="633">
        <v>1</v>
      </c>
      <c r="D57" s="633">
        <v>1</v>
      </c>
      <c r="E57" s="633">
        <v>1</v>
      </c>
      <c r="F57" s="633">
        <v>1</v>
      </c>
      <c r="G57" s="633">
        <v>0</v>
      </c>
      <c r="H57" s="633">
        <v>0</v>
      </c>
      <c r="I57" s="633">
        <v>0</v>
      </c>
      <c r="J57" s="633">
        <v>0</v>
      </c>
      <c r="K57" s="633">
        <v>0</v>
      </c>
      <c r="L57" s="633">
        <v>0</v>
      </c>
      <c r="M57" s="633">
        <v>0</v>
      </c>
      <c r="N57" s="613">
        <f t="shared" si="2"/>
        <v>5</v>
      </c>
    </row>
    <row r="58" spans="1:14" x14ac:dyDescent="0.2">
      <c r="A58" s="634" t="s">
        <v>23</v>
      </c>
      <c r="B58" s="634">
        <f>SUM(B50:B57)</f>
        <v>0</v>
      </c>
      <c r="C58" s="634">
        <f t="shared" ref="C58:N58" si="3">SUM(C50:C57)</f>
        <v>0</v>
      </c>
      <c r="D58" s="634">
        <f t="shared" si="3"/>
        <v>0</v>
      </c>
      <c r="E58" s="634">
        <f t="shared" si="3"/>
        <v>0</v>
      </c>
      <c r="F58" s="634">
        <f t="shared" si="3"/>
        <v>0</v>
      </c>
      <c r="G58" s="634">
        <f t="shared" si="3"/>
        <v>0</v>
      </c>
      <c r="H58" s="634">
        <f t="shared" si="3"/>
        <v>0</v>
      </c>
      <c r="I58" s="634">
        <f t="shared" si="3"/>
        <v>0</v>
      </c>
      <c r="J58" s="634">
        <f t="shared" si="3"/>
        <v>0</v>
      </c>
      <c r="K58" s="634">
        <f t="shared" si="3"/>
        <v>0</v>
      </c>
      <c r="L58" s="634">
        <f t="shared" si="3"/>
        <v>0</v>
      </c>
      <c r="M58" s="634">
        <f t="shared" si="3"/>
        <v>0</v>
      </c>
      <c r="N58" s="634">
        <f t="shared" si="3"/>
        <v>0</v>
      </c>
    </row>
    <row r="60" spans="1:14" ht="15" x14ac:dyDescent="0.25">
      <c r="A60" s="635" t="s">
        <v>74</v>
      </c>
      <c r="B60" s="32"/>
      <c r="C60" s="32"/>
      <c r="D60" s="32"/>
      <c r="E60" s="32"/>
      <c r="F60" s="32"/>
      <c r="G60" s="32"/>
      <c r="H60" s="32"/>
      <c r="I60" s="32"/>
      <c r="J60" s="32"/>
      <c r="K60" s="32"/>
      <c r="L60" s="32"/>
      <c r="M60" s="32"/>
      <c r="N60" s="32"/>
    </row>
    <row r="61" spans="1:14" x14ac:dyDescent="0.2">
      <c r="A61" s="636" t="s">
        <v>1232</v>
      </c>
      <c r="B61" s="637">
        <v>40179</v>
      </c>
      <c r="C61" s="637">
        <v>40210</v>
      </c>
      <c r="D61" s="637">
        <v>40238</v>
      </c>
      <c r="E61" s="637">
        <v>40269</v>
      </c>
      <c r="F61" s="637">
        <v>40299</v>
      </c>
      <c r="G61" s="637">
        <v>40330</v>
      </c>
      <c r="H61" s="637">
        <v>40360</v>
      </c>
      <c r="I61" s="637">
        <v>40391</v>
      </c>
      <c r="J61" s="637">
        <v>40422</v>
      </c>
      <c r="K61" s="637">
        <v>40452</v>
      </c>
      <c r="L61" s="637">
        <v>40483</v>
      </c>
      <c r="M61" s="637">
        <v>40513</v>
      </c>
      <c r="N61" s="637" t="s">
        <v>1233</v>
      </c>
    </row>
    <row r="62" spans="1:14" x14ac:dyDescent="0.2">
      <c r="A62" s="32" t="s">
        <v>901</v>
      </c>
      <c r="B62" s="638"/>
      <c r="C62" s="638"/>
      <c r="D62" s="638"/>
      <c r="E62" s="638"/>
      <c r="F62" s="638"/>
      <c r="G62" s="638"/>
      <c r="H62" s="638"/>
      <c r="I62" s="638"/>
      <c r="J62" s="638"/>
      <c r="K62" s="638"/>
      <c r="L62" s="638"/>
      <c r="M62" s="638"/>
      <c r="N62" s="639">
        <v>0</v>
      </c>
    </row>
    <row r="63" spans="1:14" x14ac:dyDescent="0.2">
      <c r="A63" s="32" t="s">
        <v>907</v>
      </c>
      <c r="B63" s="638">
        <v>-6856</v>
      </c>
      <c r="C63" s="638">
        <v>-6856</v>
      </c>
      <c r="D63" s="638">
        <v>-6856</v>
      </c>
      <c r="E63" s="638">
        <v>-6856</v>
      </c>
      <c r="F63" s="638">
        <v>-6856</v>
      </c>
      <c r="G63" s="638">
        <v>-6856</v>
      </c>
      <c r="H63" s="638">
        <v>-7694</v>
      </c>
      <c r="I63" s="638">
        <v>-7694</v>
      </c>
      <c r="J63" s="638">
        <v>-7004</v>
      </c>
      <c r="K63" s="638">
        <v>-7004</v>
      </c>
      <c r="L63" s="638">
        <v>-3289</v>
      </c>
      <c r="M63" s="638">
        <v>0</v>
      </c>
      <c r="N63" s="639">
        <v>-73821</v>
      </c>
    </row>
    <row r="64" spans="1:14" x14ac:dyDescent="0.2">
      <c r="A64" s="32" t="s">
        <v>741</v>
      </c>
      <c r="B64" s="638">
        <v>-2500</v>
      </c>
      <c r="C64" s="638">
        <v>-2500</v>
      </c>
      <c r="D64" s="638">
        <v>-2500</v>
      </c>
      <c r="E64" s="638">
        <v>-2500</v>
      </c>
      <c r="F64" s="638">
        <v>-2500</v>
      </c>
      <c r="G64" s="638">
        <v>-2500</v>
      </c>
      <c r="H64" s="638">
        <v>-2500</v>
      </c>
      <c r="I64" s="638">
        <v>-2500</v>
      </c>
      <c r="J64" s="638">
        <v>0</v>
      </c>
      <c r="K64" s="638">
        <v>0</v>
      </c>
      <c r="L64" s="638">
        <v>0</v>
      </c>
      <c r="M64" s="638">
        <v>0</v>
      </c>
      <c r="N64" s="639">
        <v>-20000</v>
      </c>
    </row>
    <row r="65" spans="1:14" x14ac:dyDescent="0.2">
      <c r="A65" s="32" t="s">
        <v>915</v>
      </c>
      <c r="B65" s="638"/>
      <c r="C65" s="638"/>
      <c r="D65" s="638"/>
      <c r="E65" s="638"/>
      <c r="F65" s="638"/>
      <c r="G65" s="638"/>
      <c r="H65" s="638"/>
      <c r="I65" s="638"/>
      <c r="J65" s="638"/>
      <c r="K65" s="638"/>
      <c r="L65" s="638"/>
      <c r="M65" s="638"/>
      <c r="N65" s="639">
        <v>0</v>
      </c>
    </row>
    <row r="66" spans="1:14" x14ac:dyDescent="0.2">
      <c r="A66" s="32" t="s">
        <v>742</v>
      </c>
      <c r="B66" s="638">
        <v>-120</v>
      </c>
      <c r="C66" s="638">
        <v>-120</v>
      </c>
      <c r="D66" s="638">
        <v>-120</v>
      </c>
      <c r="E66" s="638">
        <v>-120</v>
      </c>
      <c r="F66" s="638">
        <v>-120</v>
      </c>
      <c r="G66" s="638">
        <v>-120</v>
      </c>
      <c r="H66" s="638">
        <v>0</v>
      </c>
      <c r="I66" s="638">
        <v>0</v>
      </c>
      <c r="J66" s="638">
        <v>0</v>
      </c>
      <c r="K66" s="638">
        <v>0</v>
      </c>
      <c r="L66" s="638">
        <v>0</v>
      </c>
      <c r="M66" s="638">
        <v>0</v>
      </c>
      <c r="N66" s="639">
        <v>-720</v>
      </c>
    </row>
    <row r="67" spans="1:14" x14ac:dyDescent="0.2">
      <c r="A67" s="32" t="s">
        <v>908</v>
      </c>
      <c r="B67" s="638">
        <v>8558</v>
      </c>
      <c r="C67" s="638">
        <v>8558</v>
      </c>
      <c r="D67" s="638">
        <v>8558</v>
      </c>
      <c r="E67" s="638">
        <v>8558</v>
      </c>
      <c r="F67" s="638">
        <v>8558</v>
      </c>
      <c r="G67" s="638">
        <v>8558</v>
      </c>
      <c r="H67" s="638">
        <v>9396</v>
      </c>
      <c r="I67" s="638">
        <v>9396</v>
      </c>
      <c r="J67" s="638">
        <v>7366</v>
      </c>
      <c r="K67" s="638">
        <v>7366</v>
      </c>
      <c r="L67" s="638">
        <v>3289</v>
      </c>
      <c r="M67" s="638">
        <v>0</v>
      </c>
      <c r="N67" s="639">
        <v>88161</v>
      </c>
    </row>
    <row r="68" spans="1:14" x14ac:dyDescent="0.2">
      <c r="A68" s="32" t="s">
        <v>919</v>
      </c>
      <c r="B68" s="638">
        <v>2040</v>
      </c>
      <c r="C68" s="638">
        <v>2040</v>
      </c>
      <c r="D68" s="638">
        <v>2040</v>
      </c>
      <c r="E68" s="638">
        <v>2040</v>
      </c>
      <c r="F68" s="638">
        <v>2040</v>
      </c>
      <c r="G68" s="638">
        <v>2040</v>
      </c>
      <c r="H68" s="638">
        <v>1928</v>
      </c>
      <c r="I68" s="638">
        <v>1928</v>
      </c>
      <c r="J68" s="638">
        <v>1928</v>
      </c>
      <c r="K68" s="638">
        <v>1928</v>
      </c>
      <c r="L68" s="638">
        <v>0</v>
      </c>
      <c r="M68" s="638">
        <v>0</v>
      </c>
      <c r="N68" s="639">
        <v>19952</v>
      </c>
    </row>
    <row r="69" spans="1:14" x14ac:dyDescent="0.2">
      <c r="A69" s="32" t="s">
        <v>922</v>
      </c>
      <c r="B69" s="638"/>
      <c r="C69" s="638"/>
      <c r="D69" s="638"/>
      <c r="E69" s="638"/>
      <c r="F69" s="638"/>
      <c r="G69" s="638"/>
      <c r="H69" s="638"/>
      <c r="I69" s="638"/>
      <c r="J69" s="638"/>
      <c r="K69" s="638"/>
      <c r="L69" s="638"/>
      <c r="M69" s="638"/>
      <c r="N69" s="32"/>
    </row>
    <row r="70" spans="1:14" x14ac:dyDescent="0.2">
      <c r="A70" s="613" t="s">
        <v>23</v>
      </c>
      <c r="B70" s="640">
        <f>SUM(B62:B69)</f>
        <v>1122</v>
      </c>
      <c r="C70" s="640">
        <f t="shared" ref="C70:N70" si="4">SUM(C62:C69)</f>
        <v>1122</v>
      </c>
      <c r="D70" s="640">
        <f t="shared" si="4"/>
        <v>1122</v>
      </c>
      <c r="E70" s="640">
        <f t="shared" si="4"/>
        <v>1122</v>
      </c>
      <c r="F70" s="640">
        <f t="shared" si="4"/>
        <v>1122</v>
      </c>
      <c r="G70" s="640">
        <f t="shared" si="4"/>
        <v>1122</v>
      </c>
      <c r="H70" s="640">
        <f t="shared" si="4"/>
        <v>1130</v>
      </c>
      <c r="I70" s="640">
        <f t="shared" si="4"/>
        <v>1130</v>
      </c>
      <c r="J70" s="640">
        <f t="shared" si="4"/>
        <v>2290</v>
      </c>
      <c r="K70" s="640">
        <f t="shared" si="4"/>
        <v>2290</v>
      </c>
      <c r="L70" s="640">
        <f t="shared" si="4"/>
        <v>0</v>
      </c>
      <c r="M70" s="640">
        <f t="shared" si="4"/>
        <v>0</v>
      </c>
      <c r="N70" s="640">
        <f t="shared" si="4"/>
        <v>13572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Y319"/>
  <sheetViews>
    <sheetView workbookViewId="0">
      <selection activeCell="C35" sqref="C35"/>
    </sheetView>
  </sheetViews>
  <sheetFormatPr defaultRowHeight="12.75" x14ac:dyDescent="0.2"/>
  <cols>
    <col min="1" max="1" width="2.28515625" style="32" customWidth="1"/>
    <col min="2" max="2" width="41.5703125" style="32" customWidth="1"/>
    <col min="3" max="3" width="9.85546875" style="32" bestFit="1" customWidth="1"/>
    <col min="4" max="4" width="13.28515625" style="32" bestFit="1" customWidth="1"/>
    <col min="5" max="6" width="12.7109375" style="32" bestFit="1" customWidth="1"/>
    <col min="7" max="7" width="12.42578125" style="32" bestFit="1" customWidth="1"/>
    <col min="8" max="8" width="11.85546875" style="32" bestFit="1" customWidth="1"/>
    <col min="9" max="10" width="12.42578125" style="32" bestFit="1" customWidth="1"/>
    <col min="11" max="11" width="13.140625" style="32" bestFit="1" customWidth="1"/>
    <col min="12" max="12" width="12.7109375" style="32" bestFit="1" customWidth="1"/>
    <col min="13" max="15" width="12.28515625" style="32" customWidth="1"/>
    <col min="16" max="16" width="14.42578125" style="32" bestFit="1" customWidth="1"/>
    <col min="17" max="17" width="9.140625" style="32"/>
    <col min="18" max="18" width="12.7109375" style="32" bestFit="1" customWidth="1"/>
    <col min="19" max="19" width="19.42578125" style="32" customWidth="1"/>
    <col min="20" max="16384" width="9.140625" style="32"/>
  </cols>
  <sheetData>
    <row r="1" spans="2:19" x14ac:dyDescent="0.2">
      <c r="B1" s="385" t="str">
        <f>'JKP-3.1c - Revenue'!$B$1</f>
        <v>Puget Sound Energy</v>
      </c>
      <c r="C1" s="386"/>
      <c r="D1" s="386"/>
      <c r="E1" s="386"/>
      <c r="F1" s="386"/>
      <c r="G1" s="386"/>
      <c r="H1" s="386"/>
      <c r="I1" s="386"/>
      <c r="J1" s="386"/>
      <c r="K1" s="386"/>
      <c r="L1" s="386"/>
      <c r="M1" s="386"/>
      <c r="N1" s="386"/>
      <c r="O1" s="386"/>
      <c r="P1" s="386"/>
    </row>
    <row r="2" spans="2:19" x14ac:dyDescent="0.2">
      <c r="B2" s="385" t="str">
        <f>'JKP-3.1c - Revenue'!$B$2</f>
        <v>2011 General Rate Case - Gas</v>
      </c>
      <c r="C2" s="386"/>
      <c r="D2" s="388"/>
      <c r="E2" s="386"/>
      <c r="F2" s="386"/>
      <c r="G2" s="386"/>
      <c r="H2" s="386"/>
      <c r="I2" s="386"/>
      <c r="J2" s="386"/>
      <c r="K2" s="386"/>
      <c r="L2" s="386"/>
      <c r="M2" s="386"/>
      <c r="N2" s="386"/>
      <c r="O2" s="386"/>
      <c r="P2" s="386"/>
    </row>
    <row r="3" spans="2:19" x14ac:dyDescent="0.2">
      <c r="B3" s="386" t="s">
        <v>1239</v>
      </c>
      <c r="C3" s="386"/>
      <c r="D3" s="386"/>
      <c r="E3" s="386"/>
      <c r="F3" s="386"/>
      <c r="G3" s="386"/>
      <c r="H3" s="386"/>
      <c r="I3" s="386"/>
      <c r="J3" s="386"/>
      <c r="K3" s="386"/>
      <c r="L3" s="386"/>
      <c r="M3" s="386"/>
      <c r="N3" s="386"/>
      <c r="O3" s="386"/>
      <c r="P3" s="386"/>
    </row>
    <row r="4" spans="2:19" x14ac:dyDescent="0.2">
      <c r="B4" s="385" t="str">
        <f>'JKP-3.1c - Revenue'!$B$4</f>
        <v>Test Year Ended December 31, 2010</v>
      </c>
      <c r="C4" s="386"/>
      <c r="D4" s="387"/>
      <c r="E4" s="387"/>
      <c r="F4" s="386"/>
      <c r="G4" s="386"/>
      <c r="H4" s="386"/>
      <c r="I4" s="386"/>
      <c r="J4" s="386"/>
      <c r="K4" s="386"/>
      <c r="L4" s="386"/>
      <c r="M4" s="386"/>
      <c r="N4" s="386"/>
      <c r="O4" s="386"/>
      <c r="P4" s="386"/>
    </row>
    <row r="5" spans="2:19" x14ac:dyDescent="0.2">
      <c r="B5" s="388"/>
      <c r="C5" s="386"/>
      <c r="D5" s="386"/>
      <c r="E5" s="386"/>
      <c r="F5" s="386"/>
      <c r="G5" s="386"/>
      <c r="H5" s="386"/>
      <c r="I5" s="386"/>
      <c r="J5" s="386"/>
      <c r="K5" s="386"/>
      <c r="L5" s="386"/>
      <c r="M5" s="386"/>
      <c r="N5" s="386"/>
      <c r="O5" s="386"/>
    </row>
    <row r="6" spans="2:19" x14ac:dyDescent="0.2">
      <c r="B6" s="388"/>
      <c r="C6" s="386"/>
      <c r="P6" s="276"/>
    </row>
    <row r="7" spans="2:19" x14ac:dyDescent="0.2">
      <c r="B7" s="333" t="s">
        <v>69</v>
      </c>
      <c r="C7" s="333" t="s">
        <v>1240</v>
      </c>
      <c r="D7" s="370">
        <f>'JKP-3.1c - Data'!C4</f>
        <v>40179</v>
      </c>
      <c r="E7" s="370">
        <f>'JKP-3.1c - Data'!D4</f>
        <v>40210</v>
      </c>
      <c r="F7" s="370">
        <f>'JKP-3.1c - Data'!E4</f>
        <v>40238</v>
      </c>
      <c r="G7" s="370">
        <f>'JKP-3.1c - Data'!F4</f>
        <v>40269</v>
      </c>
      <c r="H7" s="370">
        <f>'JKP-3.1c - Data'!G4</f>
        <v>40299</v>
      </c>
      <c r="I7" s="370">
        <f>'JKP-3.1c - Data'!H4</f>
        <v>40330</v>
      </c>
      <c r="J7" s="370">
        <f>'JKP-3.1c - Data'!I4</f>
        <v>40360</v>
      </c>
      <c r="K7" s="370">
        <f>'JKP-3.1c - Data'!J4</f>
        <v>40391</v>
      </c>
      <c r="L7" s="370">
        <f>'JKP-3.1c - Data'!K4</f>
        <v>40422</v>
      </c>
      <c r="M7" s="370">
        <f>'JKP-3.1c - Data'!L4</f>
        <v>40452</v>
      </c>
      <c r="N7" s="370">
        <f>'JKP-3.1c - Data'!M4</f>
        <v>40483</v>
      </c>
      <c r="O7" s="370">
        <f>'JKP-3.1c - Data'!N4</f>
        <v>40513</v>
      </c>
      <c r="P7" s="333" t="s">
        <v>23</v>
      </c>
    </row>
    <row r="8" spans="2:19" x14ac:dyDescent="0.2">
      <c r="B8" s="276" t="s">
        <v>1241</v>
      </c>
      <c r="C8" s="641"/>
      <c r="D8" s="642"/>
      <c r="E8" s="642"/>
      <c r="F8" s="642"/>
      <c r="G8" s="642"/>
      <c r="H8" s="642"/>
      <c r="I8" s="642"/>
      <c r="J8" s="642"/>
      <c r="K8" s="642"/>
      <c r="L8" s="642"/>
      <c r="M8" s="642"/>
      <c r="N8" s="642"/>
      <c r="O8" s="642"/>
    </row>
    <row r="9" spans="2:19" s="336" customFormat="1" x14ac:dyDescent="0.2">
      <c r="B9" s="179" t="s">
        <v>1242</v>
      </c>
      <c r="C9" s="643">
        <v>16</v>
      </c>
      <c r="D9" s="421">
        <f>'JKP-3.1c - Data'!C122*19</f>
        <v>1026</v>
      </c>
      <c r="E9" s="421">
        <f>'JKP-3.1c - Data'!D122*19</f>
        <v>1026</v>
      </c>
      <c r="F9" s="421">
        <f>'JKP-3.1c - Data'!E122*19</f>
        <v>1026</v>
      </c>
      <c r="G9" s="421">
        <f>'JKP-3.1c - Data'!F122*19</f>
        <v>1026</v>
      </c>
      <c r="H9" s="421">
        <f>'JKP-3.1c - Data'!G122*19</f>
        <v>1025.9999999999998</v>
      </c>
      <c r="I9" s="421">
        <f>'JKP-3.1c - Data'!H122*19</f>
        <v>1026</v>
      </c>
      <c r="J9" s="421">
        <f>'JKP-3.1c - Data'!I122*19</f>
        <v>1007</v>
      </c>
      <c r="K9" s="421">
        <f>'JKP-3.1c - Data'!J122*19</f>
        <v>1007</v>
      </c>
      <c r="L9" s="421">
        <f>'JKP-3.1c - Data'!K122*19</f>
        <v>1007</v>
      </c>
      <c r="M9" s="421">
        <f>'JKP-3.1c - Data'!L122*19</f>
        <v>1007</v>
      </c>
      <c r="N9" s="421">
        <f>'JKP-3.1c - Data'!M122*19</f>
        <v>1007</v>
      </c>
      <c r="O9" s="421">
        <f>'JKP-3.1c - Data'!N122*19</f>
        <v>1007</v>
      </c>
      <c r="P9" s="362">
        <f t="shared" ref="P9:P29" si="0">SUM(D9:O9)</f>
        <v>12198</v>
      </c>
    </row>
    <row r="10" spans="2:19" s="336" customFormat="1" x14ac:dyDescent="0.2">
      <c r="B10" s="336" t="s">
        <v>374</v>
      </c>
      <c r="C10" s="336">
        <v>23</v>
      </c>
      <c r="D10" s="421">
        <f>ROUND('JKP-3.1c - Therms Data'!E57,0)</f>
        <v>71187692</v>
      </c>
      <c r="E10" s="421">
        <f>ROUND('JKP-3.1c - Therms Data'!F57,0)</f>
        <v>58357925</v>
      </c>
      <c r="F10" s="421">
        <f>ROUND('JKP-3.1c - Therms Data'!G57,0)</f>
        <v>59215201</v>
      </c>
      <c r="G10" s="421">
        <f>ROUND('JKP-3.1c - Therms Data'!H57,0)</f>
        <v>46508498</v>
      </c>
      <c r="H10" s="421">
        <f>ROUND('JKP-3.1c - Therms Data'!I57,0)</f>
        <v>33382131</v>
      </c>
      <c r="I10" s="421">
        <f>ROUND('JKP-3.1c - Therms Data'!J57,0)</f>
        <v>21957138</v>
      </c>
      <c r="J10" s="421">
        <f>ROUND('JKP-3.1c - Therms Data'!K57,0)</f>
        <v>15080375</v>
      </c>
      <c r="K10" s="421">
        <f>ROUND('JKP-3.1c - Therms Data'!L57,0)</f>
        <v>14189236</v>
      </c>
      <c r="L10" s="421">
        <f>ROUND('JKP-3.1c - Therms Data'!M57,0)</f>
        <v>18121975</v>
      </c>
      <c r="M10" s="421">
        <f>ROUND('JKP-3.1c - Therms Data'!N57,0)</f>
        <v>36524174</v>
      </c>
      <c r="N10" s="421">
        <f>ROUND('JKP-3.1c - Therms Data'!O57,0)</f>
        <v>67472591</v>
      </c>
      <c r="O10" s="421">
        <f>ROUND('JKP-3.1c - Therms Data'!P57,0)</f>
        <v>84734325</v>
      </c>
      <c r="P10" s="362">
        <f t="shared" si="0"/>
        <v>526731261</v>
      </c>
    </row>
    <row r="11" spans="2:19" s="336" customFormat="1" x14ac:dyDescent="0.2">
      <c r="B11" s="336" t="s">
        <v>1122</v>
      </c>
      <c r="C11" s="336">
        <v>53</v>
      </c>
      <c r="D11" s="421">
        <f>ROUND('JKP-3.1c - Therms Data'!E59,0)</f>
        <v>205</v>
      </c>
      <c r="E11" s="421">
        <f>ROUND('JKP-3.1c - Therms Data'!F59,0)</f>
        <v>216</v>
      </c>
      <c r="F11" s="421">
        <f>ROUND('JKP-3.1c - Therms Data'!G59,0)</f>
        <v>301</v>
      </c>
      <c r="G11" s="421">
        <f>ROUND('JKP-3.1c - Therms Data'!H59,0)</f>
        <v>219</v>
      </c>
      <c r="H11" s="421">
        <f>ROUND('JKP-3.1c - Therms Data'!I59,0)</f>
        <v>145</v>
      </c>
      <c r="I11" s="421">
        <f>ROUND('JKP-3.1c - Therms Data'!J59,0)</f>
        <v>107</v>
      </c>
      <c r="J11" s="421">
        <f>ROUND('JKP-3.1c - Therms Data'!K59,0)</f>
        <v>89</v>
      </c>
      <c r="K11" s="421">
        <f>ROUND('JKP-3.1c - Therms Data'!L59,0)</f>
        <v>86</v>
      </c>
      <c r="L11" s="421">
        <f>ROUND('JKP-3.1c - Therms Data'!M59,0)</f>
        <v>84</v>
      </c>
      <c r="M11" s="421">
        <f>ROUND('JKP-3.1c - Therms Data'!N59,0)</f>
        <v>160</v>
      </c>
      <c r="N11" s="421">
        <f>ROUND('JKP-3.1c - Therms Data'!O59,0)</f>
        <v>222</v>
      </c>
      <c r="O11" s="421">
        <f>ROUND('JKP-3.1c - Therms Data'!P59,0)</f>
        <v>280</v>
      </c>
      <c r="P11" s="362">
        <f t="shared" si="0"/>
        <v>2114</v>
      </c>
    </row>
    <row r="12" spans="2:19" s="336" customFormat="1" x14ac:dyDescent="0.2">
      <c r="B12" s="336" t="s">
        <v>1123</v>
      </c>
      <c r="C12" s="336">
        <v>31</v>
      </c>
      <c r="D12" s="421">
        <f>ROUND('JKP-3.1c - Therms Data'!E69,0)+'JKP-3.1c - 41T 86T Migrat Adj'!B22+'JKP-3.1c - 41 Min Migration Adj'!B22</f>
        <v>23016166</v>
      </c>
      <c r="E12" s="421">
        <f>ROUND('JKP-3.1c - Therms Data'!F69,0)+'JKP-3.1c - 41T 86T Migrat Adj'!C22+'JKP-3.1c - 41 Min Migration Adj'!C22</f>
        <v>18812793</v>
      </c>
      <c r="F12" s="421">
        <f>ROUND('JKP-3.1c - Therms Data'!G69,0)+'JKP-3.1c - 41T 86T Migrat Adj'!D22+'JKP-3.1c - 41 Min Migration Adj'!D22</f>
        <v>19150536</v>
      </c>
      <c r="G12" s="421">
        <f>ROUND('JKP-3.1c - Therms Data'!H69,0)+'JKP-3.1c - 41T 86T Migrat Adj'!E22+'JKP-3.1c - 41 Min Migration Adj'!E22</f>
        <v>15524159</v>
      </c>
      <c r="H12" s="421">
        <f>ROUND('JKP-3.1c - Therms Data'!I69,0)+'JKP-3.1c - 41T 86T Migrat Adj'!F22+'JKP-3.1c - 41 Min Migration Adj'!F22</f>
        <v>12049759</v>
      </c>
      <c r="I12" s="421">
        <f>ROUND('JKP-3.1c - Therms Data'!J69,0)+'JKP-3.1c - 41T 86T Migrat Adj'!G22+'JKP-3.1c - 41 Min Migration Adj'!G22</f>
        <v>9005427</v>
      </c>
      <c r="J12" s="421">
        <f>ROUND('JKP-3.1c - Therms Data'!K69,0)+'JKP-3.1c - 41T 86T Migrat Adj'!H22+'JKP-3.1c - 41 Min Migration Adj'!H22</f>
        <v>7221778</v>
      </c>
      <c r="K12" s="421">
        <f>ROUND('JKP-3.1c - Therms Data'!L69,0)+'JKP-3.1c - 41T 86T Migrat Adj'!I22+'JKP-3.1c - 41 Min Migration Adj'!I22</f>
        <v>7068070</v>
      </c>
      <c r="L12" s="421">
        <f>ROUND('JKP-3.1c - Therms Data'!M69,0)+'JKP-3.1c - 41T 86T Migrat Adj'!J22+'JKP-3.1c - 41 Min Migration Adj'!J22</f>
        <v>7946422</v>
      </c>
      <c r="M12" s="421">
        <f>ROUND('JKP-3.1c - Therms Data'!N69,0)+'JKP-3.1c - 41T 86T Migrat Adj'!K22+'JKP-3.1c - 41 Min Migration Adj'!K22</f>
        <v>12676289</v>
      </c>
      <c r="N12" s="421">
        <f>ROUND('JKP-3.1c - Therms Data'!O69,0)+'JKP-3.1c - 41T 86T Migrat Adj'!L22+'JKP-3.1c - 41 Min Migration Adj'!L22</f>
        <v>21511392</v>
      </c>
      <c r="O12" s="421">
        <f>ROUND('JKP-3.1c - Therms Data'!P69,0)+'JKP-3.1c - 41T 86T Migrat Adj'!M22+'JKP-3.1c - 41 Min Migration Adj'!M22</f>
        <v>27256517</v>
      </c>
      <c r="P12" s="362">
        <f t="shared" si="0"/>
        <v>181239308</v>
      </c>
      <c r="S12" s="362"/>
    </row>
    <row r="13" spans="2:19" s="336" customFormat="1" x14ac:dyDescent="0.2">
      <c r="B13" s="336" t="s">
        <v>1124</v>
      </c>
      <c r="C13" s="336">
        <v>41</v>
      </c>
      <c r="D13" s="421">
        <f>ROUND('JKP-3.1c - Therms Data'!E70,0)+SUM('JKP-3.1c - 41T 86T Migrat Adj'!B24:B26)+SUM('JKP-3.1c - 41 Min Migration Adj'!B24:B25)</f>
        <v>6036466</v>
      </c>
      <c r="E13" s="421">
        <f>ROUND('JKP-3.1c - Therms Data'!F70,0)+SUM('JKP-3.1c - 41T 86T Migrat Adj'!C24:C26)+SUM('JKP-3.1c - 41 Min Migration Adj'!C24:C25)</f>
        <v>5206460</v>
      </c>
      <c r="F13" s="421">
        <f>ROUND('JKP-3.1c - Therms Data'!G70,0)+SUM('JKP-3.1c - 41T 86T Migrat Adj'!D24:D26)+SUM('JKP-3.1c - 41 Min Migration Adj'!D24:D25)</f>
        <v>5526561</v>
      </c>
      <c r="G13" s="421">
        <f>ROUND('JKP-3.1c - Therms Data'!H70,0)+SUM('JKP-3.1c - 41T 86T Migrat Adj'!E24:E26)+SUM('JKP-3.1c - 41 Min Migration Adj'!E24:E25)</f>
        <v>4764151</v>
      </c>
      <c r="H13" s="421">
        <f>ROUND('JKP-3.1c - Therms Data'!I70,0)+SUM('JKP-3.1c - 41T 86T Migrat Adj'!F24:F26)+SUM('JKP-3.1c - 41 Min Migration Adj'!F24:F25)</f>
        <v>4144132</v>
      </c>
      <c r="I13" s="421">
        <f>ROUND('JKP-3.1c - Therms Data'!J70,0)+SUM('JKP-3.1c - 41T 86T Migrat Adj'!G24:G26)+SUM('JKP-3.1c - 41 Min Migration Adj'!G24:G25)</f>
        <v>3239970</v>
      </c>
      <c r="J13" s="421">
        <f>ROUND('JKP-3.1c - Therms Data'!K70,0)+SUM('JKP-3.1c - 41T 86T Migrat Adj'!H24:H26)+SUM('JKP-3.1c - 41 Min Migration Adj'!H24:H25)</f>
        <v>2639853</v>
      </c>
      <c r="K13" s="421">
        <f>ROUND('JKP-3.1c - Therms Data'!L70,0)+SUM('JKP-3.1c - 41T 86T Migrat Adj'!I24:I26)+SUM('JKP-3.1c - 41 Min Migration Adj'!I24:I25)</f>
        <v>2578521</v>
      </c>
      <c r="L13" s="421">
        <f>ROUND('JKP-3.1c - Therms Data'!M70,0)+SUM('JKP-3.1c - 41T 86T Migrat Adj'!J24:J26)+SUM('JKP-3.1c - 41 Min Migration Adj'!J24:J25)</f>
        <v>2868927</v>
      </c>
      <c r="M13" s="421">
        <f>ROUND('JKP-3.1c - Therms Data'!N70,0)+SUM('JKP-3.1c - 41T 86T Migrat Adj'!K24:K26)+SUM('JKP-3.1c - 41 Min Migration Adj'!K24:K25)</f>
        <v>4012545</v>
      </c>
      <c r="N13" s="421">
        <f>ROUND('JKP-3.1c - Therms Data'!O70,0)+SUM('JKP-3.1c - 41T 86T Migrat Adj'!L24:L26)+SUM('JKP-3.1c - 41 Min Migration Adj'!L24:L25)</f>
        <v>5575772</v>
      </c>
      <c r="O13" s="421">
        <f>ROUND('JKP-3.1c - Therms Data'!P70,0)+SUM('JKP-3.1c - 41T 86T Migrat Adj'!M24:M26)+SUM('JKP-3.1c - 41 Min Migration Adj'!M24:M25)</f>
        <v>6473096</v>
      </c>
      <c r="P13" s="362">
        <f t="shared" si="0"/>
        <v>53066454</v>
      </c>
      <c r="R13" s="362"/>
      <c r="S13" s="362"/>
    </row>
    <row r="14" spans="2:19" s="336" customFormat="1" x14ac:dyDescent="0.2">
      <c r="B14" s="336" t="s">
        <v>1243</v>
      </c>
      <c r="C14" s="336">
        <v>85</v>
      </c>
      <c r="D14" s="421">
        <f>ROUND('JKP-3.1c - Therms Data'!E74,0)</f>
        <v>1540528</v>
      </c>
      <c r="E14" s="421">
        <f>ROUND('JKP-3.1c - Therms Data'!F74,0)</f>
        <v>1365910</v>
      </c>
      <c r="F14" s="421">
        <f>ROUND('JKP-3.1c - Therms Data'!G74,0)</f>
        <v>1543042</v>
      </c>
      <c r="G14" s="421">
        <f>ROUND('JKP-3.1c - Therms Data'!H74,0)</f>
        <v>1351647</v>
      </c>
      <c r="H14" s="421">
        <f>ROUND('JKP-3.1c - Therms Data'!I74,0)</f>
        <v>1142807</v>
      </c>
      <c r="I14" s="421">
        <f>ROUND('JKP-3.1c - Therms Data'!J74,0)</f>
        <v>861289</v>
      </c>
      <c r="J14" s="421">
        <f>ROUND('JKP-3.1c - Therms Data'!K74,0)</f>
        <v>719459</v>
      </c>
      <c r="K14" s="421">
        <f>ROUND('JKP-3.1c - Therms Data'!L74,0)</f>
        <v>682351</v>
      </c>
      <c r="L14" s="421">
        <f>ROUND('JKP-3.1c - Therms Data'!M74,0)</f>
        <v>737916</v>
      </c>
      <c r="M14" s="421">
        <f>ROUND('JKP-3.1c - Therms Data'!N74,0)</f>
        <v>1088491</v>
      </c>
      <c r="N14" s="421">
        <f>ROUND('JKP-3.1c - Therms Data'!O74,0)</f>
        <v>1469983</v>
      </c>
      <c r="O14" s="421">
        <f>ROUND('JKP-3.1c - Therms Data'!P74,0)</f>
        <v>1567374</v>
      </c>
      <c r="P14" s="362">
        <f t="shared" si="0"/>
        <v>14070797</v>
      </c>
    </row>
    <row r="15" spans="2:19" s="336" customFormat="1" x14ac:dyDescent="0.2">
      <c r="B15" s="336" t="s">
        <v>1244</v>
      </c>
      <c r="C15" s="336">
        <v>86</v>
      </c>
      <c r="D15" s="421">
        <f>ROUND('JKP-3.1c - Therms Data'!E76,0)</f>
        <v>1663779</v>
      </c>
      <c r="E15" s="421">
        <f>ROUND('JKP-3.1c - Therms Data'!F76,0)</f>
        <v>1409469</v>
      </c>
      <c r="F15" s="421">
        <f>ROUND('JKP-3.1c - Therms Data'!G76,0)</f>
        <v>1462011</v>
      </c>
      <c r="G15" s="421">
        <f>ROUND('JKP-3.1c - Therms Data'!H76,0)</f>
        <v>1219957</v>
      </c>
      <c r="H15" s="421">
        <f>ROUND('JKP-3.1c - Therms Data'!I76,0)</f>
        <v>979898</v>
      </c>
      <c r="I15" s="421">
        <f>ROUND('JKP-3.1c - Therms Data'!J76,0)</f>
        <v>626681</v>
      </c>
      <c r="J15" s="421">
        <f>ROUND('JKP-3.1c - Therms Data'!K76,0)</f>
        <v>362839</v>
      </c>
      <c r="K15" s="421">
        <f>ROUND('JKP-3.1c - Therms Data'!L76,0)</f>
        <v>338531</v>
      </c>
      <c r="L15" s="421">
        <f>ROUND('JKP-3.1c - Therms Data'!M76,0)</f>
        <v>494396</v>
      </c>
      <c r="M15" s="421">
        <f>ROUND('JKP-3.1c - Therms Data'!N76,0)</f>
        <v>927504</v>
      </c>
      <c r="N15" s="421">
        <f>ROUND('JKP-3.1c - Therms Data'!O76,0)</f>
        <v>1494947</v>
      </c>
      <c r="O15" s="421">
        <f>ROUND('JKP-3.1c - Therms Data'!P76,0)</f>
        <v>1707029</v>
      </c>
      <c r="P15" s="362">
        <f t="shared" si="0"/>
        <v>12687041</v>
      </c>
    </row>
    <row r="16" spans="2:19" s="336" customFormat="1" x14ac:dyDescent="0.2">
      <c r="B16" s="336" t="s">
        <v>1245</v>
      </c>
      <c r="C16" s="336">
        <v>87</v>
      </c>
      <c r="D16" s="421">
        <f>ROUND('JKP-3.1c - Therms Data'!E77,0)</f>
        <v>2992144</v>
      </c>
      <c r="E16" s="421">
        <f>ROUND('JKP-3.1c - Therms Data'!F77,0)</f>
        <v>2636531</v>
      </c>
      <c r="F16" s="421">
        <f>ROUND('JKP-3.1c - Therms Data'!G77,0)</f>
        <v>2769578</v>
      </c>
      <c r="G16" s="421">
        <f>ROUND('JKP-3.1c - Therms Data'!H77,0)</f>
        <v>2479235</v>
      </c>
      <c r="H16" s="421">
        <f>ROUND('JKP-3.1c - Therms Data'!I77,0)</f>
        <v>2256353</v>
      </c>
      <c r="I16" s="421">
        <f>ROUND('JKP-3.1c - Therms Data'!J77,0)</f>
        <v>1872603</v>
      </c>
      <c r="J16" s="421">
        <f>ROUND('JKP-3.1c - Therms Data'!K77,0)</f>
        <v>1565592</v>
      </c>
      <c r="K16" s="421">
        <f>ROUND('JKP-3.1c - Therms Data'!L77,0)</f>
        <v>1423850</v>
      </c>
      <c r="L16" s="421">
        <f>ROUND('JKP-3.1c - Therms Data'!M77,0)</f>
        <v>1529532</v>
      </c>
      <c r="M16" s="421">
        <f>ROUND('JKP-3.1c - Therms Data'!N77,0)</f>
        <v>2142717</v>
      </c>
      <c r="N16" s="421">
        <f>ROUND('JKP-3.1c - Therms Data'!O77,0)</f>
        <v>2807516</v>
      </c>
      <c r="O16" s="421">
        <f>ROUND('JKP-3.1c - Therms Data'!P77,0)</f>
        <v>3255881</v>
      </c>
      <c r="P16" s="362">
        <f t="shared" si="0"/>
        <v>27731532</v>
      </c>
    </row>
    <row r="17" spans="2:18" s="336" customFormat="1" x14ac:dyDescent="0.2">
      <c r="B17" s="336" t="s">
        <v>1131</v>
      </c>
      <c r="C17" s="336">
        <v>31</v>
      </c>
      <c r="D17" s="421">
        <f>ROUND('JKP-3.1c - Therms Data'!E86,0)+'JKP-3.1c - 41T 86T Migrat Adj'!B31+'JKP-3.1c - 41 Min Migration Adj'!B28</f>
        <v>1818921</v>
      </c>
      <c r="E17" s="421">
        <f>ROUND('JKP-3.1c - Therms Data'!F86,0)+'JKP-3.1c - 41T 86T Migrat Adj'!C31+'JKP-3.1c - 41 Min Migration Adj'!C28</f>
        <v>1477370</v>
      </c>
      <c r="F17" s="421">
        <f>ROUND('JKP-3.1c - Therms Data'!G86,0)+'JKP-3.1c - 41T 86T Migrat Adj'!D31+'JKP-3.1c - 41 Min Migration Adj'!D28</f>
        <v>1448095</v>
      </c>
      <c r="G17" s="421">
        <f>ROUND('JKP-3.1c - Therms Data'!H86,0)+'JKP-3.1c - 41T 86T Migrat Adj'!E31+'JKP-3.1c - 41 Min Migration Adj'!E28</f>
        <v>1133284</v>
      </c>
      <c r="H17" s="421">
        <f>ROUND('JKP-3.1c - Therms Data'!I86,0)+'JKP-3.1c - 41T 86T Migrat Adj'!F31+'JKP-3.1c - 41 Min Migration Adj'!F28</f>
        <v>798015</v>
      </c>
      <c r="I17" s="421">
        <f>ROUND('JKP-3.1c - Therms Data'!J86,0)+'JKP-3.1c - 41T 86T Migrat Adj'!G31+'JKP-3.1c - 41 Min Migration Adj'!G28</f>
        <v>545398</v>
      </c>
      <c r="J17" s="421">
        <f>ROUND('JKP-3.1c - Therms Data'!K86,0)+'JKP-3.1c - 41T 86T Migrat Adj'!H31+'JKP-3.1c - 41 Min Migration Adj'!H28</f>
        <v>432613</v>
      </c>
      <c r="K17" s="421">
        <f>ROUND('JKP-3.1c - Therms Data'!L86,0)+'JKP-3.1c - 41T 86T Migrat Adj'!I31+'JKP-3.1c - 41 Min Migration Adj'!I28</f>
        <v>426650</v>
      </c>
      <c r="L17" s="421">
        <f>ROUND('JKP-3.1c - Therms Data'!M86,0)+'JKP-3.1c - 41T 86T Migrat Adj'!J31+'JKP-3.1c - 41 Min Migration Adj'!J28</f>
        <v>491935</v>
      </c>
      <c r="M17" s="421">
        <f>ROUND('JKP-3.1c - Therms Data'!N86,0)+'JKP-3.1c - 41T 86T Migrat Adj'!K31+'JKP-3.1c - 41 Min Migration Adj'!K28</f>
        <v>879645</v>
      </c>
      <c r="N17" s="421">
        <f>ROUND('JKP-3.1c - Therms Data'!O86,0)+'JKP-3.1c - 41T 86T Migrat Adj'!L31+'JKP-3.1c - 41 Min Migration Adj'!L28</f>
        <v>1575222</v>
      </c>
      <c r="O17" s="421">
        <f>ROUND('JKP-3.1c - Therms Data'!P86,0)+'JKP-3.1c - 41T 86T Migrat Adj'!M31+'JKP-3.1c - 41 Min Migration Adj'!M28</f>
        <v>2070494</v>
      </c>
      <c r="P17" s="362">
        <f t="shared" si="0"/>
        <v>13097642</v>
      </c>
    </row>
    <row r="18" spans="2:18" s="336" customFormat="1" x14ac:dyDescent="0.2">
      <c r="B18" s="336" t="s">
        <v>1132</v>
      </c>
      <c r="C18" s="336">
        <v>41</v>
      </c>
      <c r="D18" s="421">
        <f>ROUND('JKP-3.1c - Therms Data'!E87,0)+SUM('JKP-3.1c - 41 Min Migration Adj'!B30:B31)</f>
        <v>1320289</v>
      </c>
      <c r="E18" s="421">
        <f>ROUND('JKP-3.1c - Therms Data'!F87,0)+SUM('JKP-3.1c - 41 Min Migration Adj'!C30:C31)</f>
        <v>1220657</v>
      </c>
      <c r="F18" s="421">
        <f>ROUND('JKP-3.1c - Therms Data'!G87,0)+SUM('JKP-3.1c - 41 Min Migration Adj'!D30:D31)</f>
        <v>1395878</v>
      </c>
      <c r="G18" s="421">
        <f>ROUND('JKP-3.1c - Therms Data'!H87,0)+SUM('JKP-3.1c - 41 Min Migration Adj'!E30:E31)</f>
        <v>1342442</v>
      </c>
      <c r="H18" s="421">
        <f>ROUND('JKP-3.1c - Therms Data'!I87,0)+SUM('JKP-3.1c - 41 Min Migration Adj'!F30:F31)</f>
        <v>1336026</v>
      </c>
      <c r="I18" s="421">
        <f>ROUND('JKP-3.1c - Therms Data'!J87,0)+SUM('JKP-3.1c - 41 Min Migration Adj'!G30:G31)</f>
        <v>1195554</v>
      </c>
      <c r="J18" s="421">
        <f>ROUND('JKP-3.1c - Therms Data'!K87,0)+SUM('JKP-3.1c - 41 Min Migration Adj'!H30:H31)</f>
        <v>1164314</v>
      </c>
      <c r="K18" s="421">
        <f>ROUND('JKP-3.1c - Therms Data'!L87,0)+SUM('JKP-3.1c - 41 Min Migration Adj'!I30:I31)</f>
        <v>1214353</v>
      </c>
      <c r="L18" s="421">
        <f>ROUND('JKP-3.1c - Therms Data'!M87,0)+SUM('JKP-3.1c - 41 Min Migration Adj'!J30:J31)</f>
        <v>1194311</v>
      </c>
      <c r="M18" s="421">
        <f>ROUND('JKP-3.1c - Therms Data'!N87,0)+SUM('JKP-3.1c - 41 Min Migration Adj'!K30:K31)</f>
        <v>1336180</v>
      </c>
      <c r="N18" s="421">
        <f>ROUND('JKP-3.1c - Therms Data'!O87,0)+SUM('JKP-3.1c - 41 Min Migration Adj'!L30:L31)</f>
        <v>1382308</v>
      </c>
      <c r="O18" s="421">
        <f>ROUND('JKP-3.1c - Therms Data'!P87,0)+SUM('JKP-3.1c - 41 Min Migration Adj'!M30:M31)</f>
        <v>1379711</v>
      </c>
      <c r="P18" s="362">
        <f t="shared" si="0"/>
        <v>15482023</v>
      </c>
    </row>
    <row r="19" spans="2:18" s="336" customFormat="1" x14ac:dyDescent="0.2">
      <c r="B19" s="336" t="s">
        <v>1246</v>
      </c>
      <c r="C19" s="336">
        <v>85</v>
      </c>
      <c r="D19" s="421">
        <f>ROUND('JKP-3.1c - Therms Data'!E90,0)</f>
        <v>244025</v>
      </c>
      <c r="E19" s="421">
        <f>ROUND('JKP-3.1c - Therms Data'!F90,0)</f>
        <v>230437</v>
      </c>
      <c r="F19" s="421">
        <f>ROUND('JKP-3.1c - Therms Data'!G90,0)</f>
        <v>250310</v>
      </c>
      <c r="G19" s="421">
        <f>ROUND('JKP-3.1c - Therms Data'!H90,0)</f>
        <v>238410</v>
      </c>
      <c r="H19" s="421">
        <f>ROUND('JKP-3.1c - Therms Data'!I90,0)</f>
        <v>231789</v>
      </c>
      <c r="I19" s="421">
        <f>ROUND('JKP-3.1c - Therms Data'!J90,0)</f>
        <v>223465</v>
      </c>
      <c r="J19" s="421">
        <f>ROUND('JKP-3.1c - Therms Data'!K90,0)</f>
        <v>210855</v>
      </c>
      <c r="K19" s="421">
        <f>ROUND('JKP-3.1c - Therms Data'!L90,0)</f>
        <v>254827</v>
      </c>
      <c r="L19" s="421">
        <f>ROUND('JKP-3.1c - Therms Data'!M90,0)</f>
        <v>253789</v>
      </c>
      <c r="M19" s="421">
        <f>ROUND('JKP-3.1c - Therms Data'!N90,0)</f>
        <v>236615</v>
      </c>
      <c r="N19" s="421">
        <f>ROUND('JKP-3.1c - Therms Data'!O90,0)</f>
        <v>238060</v>
      </c>
      <c r="O19" s="421">
        <f>ROUND('JKP-3.1c - Therms Data'!P90,0)</f>
        <v>249530</v>
      </c>
      <c r="P19" s="362">
        <f t="shared" si="0"/>
        <v>2862112</v>
      </c>
    </row>
    <row r="20" spans="2:18" s="336" customFormat="1" x14ac:dyDescent="0.2">
      <c r="B20" s="336" t="s">
        <v>1247</v>
      </c>
      <c r="C20" s="336">
        <v>86</v>
      </c>
      <c r="D20" s="421">
        <f>ROUND('JKP-3.1c - Therms Data'!E92,0)</f>
        <v>171505</v>
      </c>
      <c r="E20" s="421">
        <f>ROUND('JKP-3.1c - Therms Data'!F92,0)</f>
        <v>146383</v>
      </c>
      <c r="F20" s="421">
        <f>ROUND('JKP-3.1c - Therms Data'!G92,0)</f>
        <v>66915</v>
      </c>
      <c r="G20" s="421">
        <f>ROUND('JKP-3.1c - Therms Data'!H92,0)</f>
        <v>40614</v>
      </c>
      <c r="H20" s="421">
        <f>ROUND('JKP-3.1c - Therms Data'!I92,0)</f>
        <v>65028</v>
      </c>
      <c r="I20" s="421">
        <f>ROUND('JKP-3.1c - Therms Data'!J92,0)</f>
        <v>83876</v>
      </c>
      <c r="J20" s="421">
        <f>ROUND('JKP-3.1c - Therms Data'!K92,0)</f>
        <v>55528</v>
      </c>
      <c r="K20" s="421">
        <f>ROUND('JKP-3.1c - Therms Data'!L92,0)</f>
        <v>31451</v>
      </c>
      <c r="L20" s="421">
        <f>ROUND('JKP-3.1c - Therms Data'!M92,0)</f>
        <v>25943</v>
      </c>
      <c r="M20" s="421">
        <f>ROUND('JKP-3.1c - Therms Data'!N92,0)</f>
        <v>30191</v>
      </c>
      <c r="N20" s="421">
        <f>ROUND('JKP-3.1c - Therms Data'!O92,0)</f>
        <v>52254</v>
      </c>
      <c r="O20" s="421">
        <f>ROUND('JKP-3.1c - Therms Data'!P92,0)</f>
        <v>62644</v>
      </c>
      <c r="P20" s="362">
        <f t="shared" si="0"/>
        <v>832332</v>
      </c>
    </row>
    <row r="21" spans="2:18" s="336" customFormat="1" x14ac:dyDescent="0.2">
      <c r="B21" s="336" t="s">
        <v>1248</v>
      </c>
      <c r="C21" s="336">
        <v>87</v>
      </c>
      <c r="D21" s="421">
        <f>ROUND('JKP-3.1c - Therms Data'!E94,0)</f>
        <v>83770</v>
      </c>
      <c r="E21" s="421">
        <f>ROUND('JKP-3.1c - Therms Data'!F94,0)</f>
        <v>115393</v>
      </c>
      <c r="F21" s="421">
        <f>ROUND('JKP-3.1c - Therms Data'!G94,0)</f>
        <v>118389</v>
      </c>
      <c r="G21" s="421">
        <f>ROUND('JKP-3.1c - Therms Data'!H94,0)</f>
        <v>148227</v>
      </c>
      <c r="H21" s="421">
        <f>ROUND('JKP-3.1c - Therms Data'!I94,0)</f>
        <v>172767</v>
      </c>
      <c r="I21" s="421">
        <f>ROUND('JKP-3.1c - Therms Data'!J94,0)</f>
        <v>130945</v>
      </c>
      <c r="J21" s="421">
        <f>ROUND('JKP-3.1c - Therms Data'!K94,0)</f>
        <v>105034</v>
      </c>
      <c r="K21" s="421">
        <f>ROUND('JKP-3.1c - Therms Data'!L94,0)</f>
        <v>153481</v>
      </c>
      <c r="L21" s="421">
        <f>ROUND('JKP-3.1c - Therms Data'!M94,0)</f>
        <v>200237</v>
      </c>
      <c r="M21" s="421">
        <f>ROUND('JKP-3.1c - Therms Data'!N94,0)</f>
        <v>222364</v>
      </c>
      <c r="N21" s="421">
        <f>ROUND('JKP-3.1c - Therms Data'!O94,0)</f>
        <v>202008</v>
      </c>
      <c r="O21" s="421">
        <f>ROUND('JKP-3.1c - Therms Data'!P94,0)</f>
        <v>136423</v>
      </c>
      <c r="P21" s="362">
        <f t="shared" si="0"/>
        <v>1789038</v>
      </c>
    </row>
    <row r="22" spans="2:18" s="336" customFormat="1" x14ac:dyDescent="0.2">
      <c r="B22" s="32" t="s">
        <v>1158</v>
      </c>
      <c r="C22" s="444" t="s">
        <v>808</v>
      </c>
      <c r="D22" s="421">
        <f>ROUND('JKP-3.1c - Therms Data'!E71,0)+SUM('JKP-3.1c - 41T 86T Migrat Adj'!B37:B39)</f>
        <v>279454</v>
      </c>
      <c r="E22" s="421">
        <f>ROUND('JKP-3.1c - Therms Data'!F71,0)+SUM('JKP-3.1c - 41T 86T Migrat Adj'!C37:C39)</f>
        <v>257561</v>
      </c>
      <c r="F22" s="421">
        <f>ROUND('JKP-3.1c - Therms Data'!G71,0)+SUM('JKP-3.1c - 41T 86T Migrat Adj'!D37:D39)</f>
        <v>285994</v>
      </c>
      <c r="G22" s="421">
        <f>ROUND('JKP-3.1c - Therms Data'!H71,0)+SUM('JKP-3.1c - 41T 86T Migrat Adj'!E37:E39)</f>
        <v>259942</v>
      </c>
      <c r="H22" s="421">
        <f>ROUND('JKP-3.1c - Therms Data'!I71,0)+SUM('JKP-3.1c - 41T 86T Migrat Adj'!F37:F39)</f>
        <v>228605</v>
      </c>
      <c r="I22" s="421">
        <f>ROUND('JKP-3.1c - Therms Data'!J71,0)+SUM('JKP-3.1c - 41T 86T Migrat Adj'!G37:G39)</f>
        <v>198260</v>
      </c>
      <c r="J22" s="421">
        <f>ROUND('JKP-3.1c - Therms Data'!K71,0)+SUM('JKP-3.1c - 41T 86T Migrat Adj'!H37:H39)</f>
        <v>200037</v>
      </c>
      <c r="K22" s="421">
        <f>ROUND('JKP-3.1c - Therms Data'!L71,0)+SUM('JKP-3.1c - 41T 86T Migrat Adj'!I37:I39)</f>
        <v>196495</v>
      </c>
      <c r="L22" s="421">
        <f>ROUND('JKP-3.1c - Therms Data'!M71,0)+SUM('JKP-3.1c - 41T 86T Migrat Adj'!J37:J39)</f>
        <v>193152</v>
      </c>
      <c r="M22" s="421">
        <f>ROUND('JKP-3.1c - Therms Data'!N71,0)+SUM('JKP-3.1c - 41T 86T Migrat Adj'!K37:K39)</f>
        <v>223619</v>
      </c>
      <c r="N22" s="421">
        <f>ROUND('JKP-3.1c - Therms Data'!O71,0)+SUM('JKP-3.1c - 41T 86T Migrat Adj'!L37:L39)</f>
        <v>285003</v>
      </c>
      <c r="O22" s="421">
        <f>ROUND('JKP-3.1c - Therms Data'!P71,0)+SUM('JKP-3.1c - 41T 86T Migrat Adj'!M37:M39)</f>
        <v>318484</v>
      </c>
      <c r="P22" s="362">
        <f t="shared" si="0"/>
        <v>2926606</v>
      </c>
    </row>
    <row r="23" spans="2:18" s="336" customFormat="1" x14ac:dyDescent="0.2">
      <c r="B23" s="32" t="s">
        <v>1159</v>
      </c>
      <c r="C23" s="444" t="s">
        <v>809</v>
      </c>
      <c r="D23" s="421">
        <f>ROUND('JKP-3.1c - Therms Data'!E75,0)+SUM('JKP-3.1c - 41T 86T Migrat Adj'!B28:B30)</f>
        <v>2100604</v>
      </c>
      <c r="E23" s="421">
        <f>ROUND('JKP-3.1c - Therms Data'!F75,0)+SUM('JKP-3.1c - 41T 86T Migrat Adj'!C28:C30)</f>
        <v>1889104</v>
      </c>
      <c r="F23" s="421">
        <f>ROUND('JKP-3.1c - Therms Data'!G75,0)+SUM('JKP-3.1c - 41T 86T Migrat Adj'!D28:D30)</f>
        <v>2124952</v>
      </c>
      <c r="G23" s="421">
        <f>ROUND('JKP-3.1c - Therms Data'!H75,0)+SUM('JKP-3.1c - 41T 86T Migrat Adj'!E28:E30)</f>
        <v>1956151</v>
      </c>
      <c r="H23" s="421">
        <f>ROUND('JKP-3.1c - Therms Data'!I75,0)+SUM('JKP-3.1c - 41T 86T Migrat Adj'!F28:F30)</f>
        <v>1862821</v>
      </c>
      <c r="I23" s="421">
        <f>ROUND('JKP-3.1c - Therms Data'!J75,0)+SUM('JKP-3.1c - 41T 86T Migrat Adj'!G28:G30)</f>
        <v>1745177</v>
      </c>
      <c r="J23" s="421">
        <f>ROUND('JKP-3.1c - Therms Data'!K75,0)+SUM('JKP-3.1c - 41T 86T Migrat Adj'!H28:H30)</f>
        <v>1641957</v>
      </c>
      <c r="K23" s="421">
        <f>ROUND('JKP-3.1c - Therms Data'!L75,0)+SUM('JKP-3.1c - 41T 86T Migrat Adj'!I28:I30)</f>
        <v>1698296</v>
      </c>
      <c r="L23" s="421">
        <f>ROUND('JKP-3.1c - Therms Data'!M75,0)+SUM('JKP-3.1c - 41T 86T Migrat Adj'!J28:J30)</f>
        <v>1702205</v>
      </c>
      <c r="M23" s="421">
        <f>ROUND('JKP-3.1c - Therms Data'!N75,0)+SUM('JKP-3.1c - 41T 86T Migrat Adj'!K28:K30)</f>
        <v>1940953</v>
      </c>
      <c r="N23" s="421">
        <f>ROUND('JKP-3.1c - Therms Data'!O75,0)+SUM('JKP-3.1c - 41T 86T Migrat Adj'!L28:L30)</f>
        <v>2090527</v>
      </c>
      <c r="O23" s="421">
        <f>ROUND('JKP-3.1c - Therms Data'!P75,0)+SUM('JKP-3.1c - 41T 86T Migrat Adj'!M28:M30)</f>
        <v>2197380</v>
      </c>
      <c r="P23" s="362">
        <f t="shared" si="0"/>
        <v>22950127</v>
      </c>
    </row>
    <row r="24" spans="2:18" s="336" customFormat="1" x14ac:dyDescent="0.2">
      <c r="B24" s="32" t="s">
        <v>1249</v>
      </c>
      <c r="C24" s="444" t="s">
        <v>811</v>
      </c>
      <c r="D24" s="421">
        <f>ROUND('JKP-3.1c - Therms Data'!E78,0)</f>
        <v>1937952</v>
      </c>
      <c r="E24" s="421">
        <f>ROUND('JKP-3.1c - Therms Data'!F78,0)</f>
        <v>1707812</v>
      </c>
      <c r="F24" s="421">
        <f>ROUND('JKP-3.1c - Therms Data'!G78,0)</f>
        <v>1821369</v>
      </c>
      <c r="G24" s="421">
        <f>ROUND('JKP-3.1c - Therms Data'!H78,0)</f>
        <v>1678807</v>
      </c>
      <c r="H24" s="421">
        <f>ROUND('JKP-3.1c - Therms Data'!I78,0)</f>
        <v>1544678</v>
      </c>
      <c r="I24" s="421">
        <f>ROUND('JKP-3.1c - Therms Data'!J78,0)</f>
        <v>1294429</v>
      </c>
      <c r="J24" s="421">
        <f>ROUND('JKP-3.1c - Therms Data'!K78,0)</f>
        <v>1196692</v>
      </c>
      <c r="K24" s="421">
        <f>ROUND('JKP-3.1c - Therms Data'!L78,0)</f>
        <v>1164811</v>
      </c>
      <c r="L24" s="421">
        <f>ROUND('JKP-3.1c - Therms Data'!M78,0)</f>
        <v>1237757</v>
      </c>
      <c r="M24" s="421">
        <f>ROUND('JKP-3.1c - Therms Data'!N78,0)</f>
        <v>1487119</v>
      </c>
      <c r="N24" s="421">
        <f>ROUND('JKP-3.1c - Therms Data'!O78,0)</f>
        <v>1981257</v>
      </c>
      <c r="O24" s="421">
        <f>ROUND('JKP-3.1c - Therms Data'!P78,0)</f>
        <v>1990898</v>
      </c>
      <c r="P24" s="362">
        <f t="shared" si="0"/>
        <v>19043581</v>
      </c>
    </row>
    <row r="25" spans="2:18" s="336" customFormat="1" x14ac:dyDescent="0.2">
      <c r="B25" s="32" t="s">
        <v>1161</v>
      </c>
      <c r="C25" s="444" t="s">
        <v>808</v>
      </c>
      <c r="D25" s="421">
        <f>ROUND('JKP-3.1c - Therms Data'!E88,0)+SUM('JKP-3.1c - 41T 86T Migrat Adj'!B41:B43)</f>
        <v>360334</v>
      </c>
      <c r="E25" s="421">
        <f>ROUND('JKP-3.1c - Therms Data'!F88,0)+SUM('JKP-3.1c - 41T 86T Migrat Adj'!C41:C43)</f>
        <v>348158</v>
      </c>
      <c r="F25" s="421">
        <f>ROUND('JKP-3.1c - Therms Data'!G88,0)+SUM('JKP-3.1c - 41T 86T Migrat Adj'!D41:D43)</f>
        <v>375825</v>
      </c>
      <c r="G25" s="421">
        <f>ROUND('JKP-3.1c - Therms Data'!H88,0)+SUM('JKP-3.1c - 41T 86T Migrat Adj'!E41:E43)</f>
        <v>354210</v>
      </c>
      <c r="H25" s="421">
        <f>ROUND('JKP-3.1c - Therms Data'!I88,0)+SUM('JKP-3.1c - 41T 86T Migrat Adj'!F41:F43)</f>
        <v>327498</v>
      </c>
      <c r="I25" s="421">
        <f>ROUND('JKP-3.1c - Therms Data'!J88,0)+SUM('JKP-3.1c - 41T 86T Migrat Adj'!G41:G43)</f>
        <v>422900</v>
      </c>
      <c r="J25" s="421">
        <f>ROUND('JKP-3.1c - Therms Data'!K88,0)+SUM('JKP-3.1c - 41T 86T Migrat Adj'!H41:H43)</f>
        <v>433263</v>
      </c>
      <c r="K25" s="421">
        <f>ROUND('JKP-3.1c - Therms Data'!L88,0)+SUM('JKP-3.1c - 41T 86T Migrat Adj'!I41:I43)</f>
        <v>441783</v>
      </c>
      <c r="L25" s="421">
        <f>ROUND('JKP-3.1c - Therms Data'!M88,0)+SUM('JKP-3.1c - 41T 86T Migrat Adj'!J41:J43)</f>
        <v>420720</v>
      </c>
      <c r="M25" s="421">
        <f>ROUND('JKP-3.1c - Therms Data'!N88,0)+SUM('JKP-3.1c - 41T 86T Migrat Adj'!K41:K43)</f>
        <v>429271</v>
      </c>
      <c r="N25" s="421">
        <f>ROUND('JKP-3.1c - Therms Data'!O88,0)+SUM('JKP-3.1c - 41T 86T Migrat Adj'!L41:L43)</f>
        <v>479248</v>
      </c>
      <c r="O25" s="421">
        <f>ROUND('JKP-3.1c - Therms Data'!P88,0)+SUM('JKP-3.1c - 41T 86T Migrat Adj'!M41:M43)</f>
        <v>494758</v>
      </c>
      <c r="P25" s="362">
        <f t="shared" si="0"/>
        <v>4887968</v>
      </c>
    </row>
    <row r="26" spans="2:18" s="336" customFormat="1" x14ac:dyDescent="0.2">
      <c r="B26" s="32" t="s">
        <v>1162</v>
      </c>
      <c r="C26" s="444" t="s">
        <v>809</v>
      </c>
      <c r="D26" s="421">
        <f>ROUND('JKP-3.1c - Therms Data'!E91,0)+SUM('JKP-3.1c - 41T 86T Migrat Adj'!B33:B35)</f>
        <v>3194288</v>
      </c>
      <c r="E26" s="421">
        <f>ROUND('JKP-3.1c - Therms Data'!F91,0)+SUM('JKP-3.1c - 41T 86T Migrat Adj'!C33:C35)</f>
        <v>3145766</v>
      </c>
      <c r="F26" s="421">
        <f>ROUND('JKP-3.1c - Therms Data'!G91,0)+SUM('JKP-3.1c - 41T 86T Migrat Adj'!D33:D35)</f>
        <v>3611839</v>
      </c>
      <c r="G26" s="421">
        <f>ROUND('JKP-3.1c - Therms Data'!H91,0)+SUM('JKP-3.1c - 41T 86T Migrat Adj'!E33:E35)</f>
        <v>3488542</v>
      </c>
      <c r="H26" s="421">
        <f>ROUND('JKP-3.1c - Therms Data'!I91,0)+SUM('JKP-3.1c - 41T 86T Migrat Adj'!F33:F35)</f>
        <v>3558586</v>
      </c>
      <c r="I26" s="421">
        <f>ROUND('JKP-3.1c - Therms Data'!J91,0)+SUM('JKP-3.1c - 41T 86T Migrat Adj'!G33:G35)</f>
        <v>3901695</v>
      </c>
      <c r="J26" s="421">
        <f>ROUND('JKP-3.1c - Therms Data'!K91,0)+SUM('JKP-3.1c - 41T 86T Migrat Adj'!H33:H35)</f>
        <v>3565124</v>
      </c>
      <c r="K26" s="421">
        <f>ROUND('JKP-3.1c - Therms Data'!L91,0)+SUM('JKP-3.1c - 41T 86T Migrat Adj'!I33:I35)</f>
        <v>3675294</v>
      </c>
      <c r="L26" s="421">
        <f>ROUND('JKP-3.1c - Therms Data'!M91,0)+SUM('JKP-3.1c - 41T 86T Migrat Adj'!J33:J35)</f>
        <v>3427405</v>
      </c>
      <c r="M26" s="421">
        <f>ROUND('JKP-3.1c - Therms Data'!N91,0)+SUM('JKP-3.1c - 41T 86T Migrat Adj'!K33:K35)</f>
        <v>3642138</v>
      </c>
      <c r="N26" s="421">
        <f>ROUND('JKP-3.1c - Therms Data'!O91,0)+SUM('JKP-3.1c - 41T 86T Migrat Adj'!L33:L35)</f>
        <v>3503575</v>
      </c>
      <c r="O26" s="421">
        <f>ROUND('JKP-3.1c - Therms Data'!P91,0)+SUM('JKP-3.1c - 41T 86T Migrat Adj'!M33:M35)</f>
        <v>3241505</v>
      </c>
      <c r="P26" s="362">
        <f t="shared" si="0"/>
        <v>41955757</v>
      </c>
    </row>
    <row r="27" spans="2:18" s="336" customFormat="1" x14ac:dyDescent="0.2">
      <c r="B27" s="336" t="s">
        <v>1250</v>
      </c>
      <c r="C27" s="444" t="s">
        <v>810</v>
      </c>
      <c r="D27" s="421">
        <f>ROUND('JKP-3.1c - Therms Data'!E93,0)+SUM('JKP-3.1c - 41T 86T Migrat Adj'!B45:B46)</f>
        <v>91</v>
      </c>
      <c r="E27" s="421">
        <f>ROUND('JKP-3.1c - Therms Data'!F93,0)+SUM('JKP-3.1c - 41T 86T Migrat Adj'!C45:C46)</f>
        <v>2886</v>
      </c>
      <c r="F27" s="421">
        <f>ROUND('JKP-3.1c - Therms Data'!G93,0)+SUM('JKP-3.1c - 41T 86T Migrat Adj'!D45:D46)</f>
        <v>12304</v>
      </c>
      <c r="G27" s="421">
        <f>ROUND('JKP-3.1c - Therms Data'!H93,0)+SUM('JKP-3.1c - 41T 86T Migrat Adj'!E45:E46)</f>
        <v>22580</v>
      </c>
      <c r="H27" s="421">
        <f>ROUND('JKP-3.1c - Therms Data'!I93,0)+SUM('JKP-3.1c - 41T 86T Migrat Adj'!F45:F46)</f>
        <v>14443</v>
      </c>
      <c r="I27" s="421">
        <f>ROUND('JKP-3.1c - Therms Data'!J93,0)+SUM('JKP-3.1c - 41T 86T Migrat Adj'!G45:G46)</f>
        <v>0</v>
      </c>
      <c r="J27" s="421">
        <f>ROUND('JKP-3.1c - Therms Data'!K93,0)+SUM('JKP-3.1c - 41T 86T Migrat Adj'!H45:H46)</f>
        <v>0</v>
      </c>
      <c r="K27" s="421">
        <f>ROUND('JKP-3.1c - Therms Data'!L93,0)+SUM('JKP-3.1c - 41T 86T Migrat Adj'!I45:I46)</f>
        <v>2158</v>
      </c>
      <c r="L27" s="421">
        <f>ROUND('JKP-3.1c - Therms Data'!M93,0)+SUM('JKP-3.1c - 41T 86T Migrat Adj'!J45:J46)</f>
        <v>9063</v>
      </c>
      <c r="M27" s="421">
        <f>ROUND('JKP-3.1c - Therms Data'!N93,0)+SUM('JKP-3.1c - 41T 86T Migrat Adj'!K45:K46)</f>
        <v>8098</v>
      </c>
      <c r="N27" s="421">
        <f>ROUND('JKP-3.1c - Therms Data'!O93,0)+SUM('JKP-3.1c - 41T 86T Migrat Adj'!L45:L46)</f>
        <v>963</v>
      </c>
      <c r="O27" s="421">
        <f>ROUND('JKP-3.1c - Therms Data'!P93,0)+SUM('JKP-3.1c - 41T 86T Migrat Adj'!M45:M46)</f>
        <v>197</v>
      </c>
      <c r="P27" s="362">
        <f t="shared" si="0"/>
        <v>72783</v>
      </c>
    </row>
    <row r="28" spans="2:18" s="336" customFormat="1" x14ac:dyDescent="0.2">
      <c r="B28" s="32" t="s">
        <v>1251</v>
      </c>
      <c r="C28" s="444" t="s">
        <v>811</v>
      </c>
      <c r="D28" s="421">
        <f>ROUND('JKP-3.1c - Therms Data'!E95,0)</f>
        <v>7278688</v>
      </c>
      <c r="E28" s="421">
        <f>ROUND('JKP-3.1c - Therms Data'!F95,0)</f>
        <v>5758210</v>
      </c>
      <c r="F28" s="421">
        <f>ROUND('JKP-3.1c - Therms Data'!G95,0)</f>
        <v>6916724</v>
      </c>
      <c r="G28" s="421">
        <f>ROUND('JKP-3.1c - Therms Data'!H95,0)</f>
        <v>6858301</v>
      </c>
      <c r="H28" s="421">
        <f>ROUND('JKP-3.1c - Therms Data'!I95,0)</f>
        <v>7969590</v>
      </c>
      <c r="I28" s="421">
        <f>ROUND('JKP-3.1c - Therms Data'!J95,0)</f>
        <v>6711041</v>
      </c>
      <c r="J28" s="421">
        <f>ROUND('JKP-3.1c - Therms Data'!K95,0)</f>
        <v>7300080</v>
      </c>
      <c r="K28" s="421">
        <f>ROUND('JKP-3.1c - Therms Data'!L95,0)</f>
        <v>7448528</v>
      </c>
      <c r="L28" s="421">
        <f>ROUND('JKP-3.1c - Therms Data'!M95,0)</f>
        <v>6304467</v>
      </c>
      <c r="M28" s="421">
        <f>ROUND('JKP-3.1c - Therms Data'!N95,0)</f>
        <v>6466760</v>
      </c>
      <c r="N28" s="421">
        <f>ROUND('JKP-3.1c - Therms Data'!O95,0)</f>
        <v>5295710</v>
      </c>
      <c r="O28" s="421">
        <f>ROUND('JKP-3.1c - Therms Data'!P95,0)</f>
        <v>5673131</v>
      </c>
      <c r="P28" s="362">
        <f t="shared" si="0"/>
        <v>79981230</v>
      </c>
    </row>
    <row r="29" spans="2:18" s="336" customFormat="1" x14ac:dyDescent="0.2">
      <c r="B29" s="336" t="s">
        <v>1252</v>
      </c>
      <c r="C29" s="336">
        <v>99</v>
      </c>
      <c r="D29" s="421">
        <f>ROUND('JKP-3.1c - Therms Data'!E96,0)</f>
        <v>3517110</v>
      </c>
      <c r="E29" s="421">
        <f>ROUND('JKP-3.1c - Therms Data'!F96,0)</f>
        <v>3347997</v>
      </c>
      <c r="F29" s="421">
        <f>ROUND('JKP-3.1c - Therms Data'!G96,0)</f>
        <v>3654461</v>
      </c>
      <c r="G29" s="421">
        <f>ROUND('JKP-3.1c - Therms Data'!H96,0)</f>
        <v>3238199</v>
      </c>
      <c r="H29" s="421">
        <f>ROUND('JKP-3.1c - Therms Data'!I96,0)</f>
        <v>2805705</v>
      </c>
      <c r="I29" s="421">
        <f>ROUND('JKP-3.1c - Therms Data'!J96,0)</f>
        <v>2216168</v>
      </c>
      <c r="J29" s="421">
        <f>ROUND('JKP-3.1c - Therms Data'!K96,0)</f>
        <v>2006793</v>
      </c>
      <c r="K29" s="421">
        <f>ROUND('JKP-3.1c - Therms Data'!L96,0)</f>
        <v>1941842</v>
      </c>
      <c r="L29" s="421">
        <f>ROUND('JKP-3.1c - Therms Data'!M96,0)</f>
        <v>1979407</v>
      </c>
      <c r="M29" s="421">
        <f>ROUND('JKP-3.1c - Therms Data'!N96,0)</f>
        <v>2787377</v>
      </c>
      <c r="N29" s="421">
        <f>ROUND('JKP-3.1c - Therms Data'!O96,0)</f>
        <v>3842036</v>
      </c>
      <c r="O29" s="421">
        <f>ROUND('JKP-3.1c - Therms Data'!P96,0)</f>
        <v>3871544</v>
      </c>
      <c r="P29" s="362">
        <f t="shared" si="0"/>
        <v>35208639</v>
      </c>
    </row>
    <row r="30" spans="2:18" s="336" customFormat="1" x14ac:dyDescent="0.2">
      <c r="B30" s="336" t="s">
        <v>1253</v>
      </c>
      <c r="D30" s="644">
        <f t="shared" ref="D30:L30" si="1">SUM(D9:D29)</f>
        <v>128745037</v>
      </c>
      <c r="E30" s="644">
        <f t="shared" si="1"/>
        <v>107438064</v>
      </c>
      <c r="F30" s="644">
        <f t="shared" si="1"/>
        <v>111751311</v>
      </c>
      <c r="G30" s="644">
        <f t="shared" si="1"/>
        <v>92608601</v>
      </c>
      <c r="H30" s="644">
        <f t="shared" si="1"/>
        <v>74871802</v>
      </c>
      <c r="I30" s="644">
        <f t="shared" si="1"/>
        <v>56233149</v>
      </c>
      <c r="J30" s="644">
        <f t="shared" si="1"/>
        <v>45903282</v>
      </c>
      <c r="K30" s="644">
        <f t="shared" si="1"/>
        <v>44931621</v>
      </c>
      <c r="L30" s="644">
        <f t="shared" si="1"/>
        <v>49140650</v>
      </c>
      <c r="M30" s="644">
        <f>SUM(M9:M29)</f>
        <v>77063217</v>
      </c>
      <c r="N30" s="644">
        <f>SUM(N9:N29)</f>
        <v>121261601</v>
      </c>
      <c r="O30" s="644">
        <f>SUM(O9:O29)</f>
        <v>146682208</v>
      </c>
      <c r="P30" s="644">
        <f>SUM(P9:P29)</f>
        <v>1056630543</v>
      </c>
    </row>
    <row r="31" spans="2:18" s="336" customFormat="1" x14ac:dyDescent="0.2">
      <c r="B31" s="336" t="s">
        <v>1254</v>
      </c>
      <c r="D31" s="506">
        <f t="shared" ref="D31:L31" si="2">SUM(D22:D29)</f>
        <v>18668521</v>
      </c>
      <c r="E31" s="506">
        <f t="shared" si="2"/>
        <v>16457494</v>
      </c>
      <c r="F31" s="506">
        <f t="shared" si="2"/>
        <v>18803468</v>
      </c>
      <c r="G31" s="506">
        <f t="shared" si="2"/>
        <v>17856732</v>
      </c>
      <c r="H31" s="506">
        <f t="shared" si="2"/>
        <v>18311926</v>
      </c>
      <c r="I31" s="506">
        <f t="shared" si="2"/>
        <v>16489670</v>
      </c>
      <c r="J31" s="506">
        <f t="shared" si="2"/>
        <v>16343946</v>
      </c>
      <c r="K31" s="506">
        <f t="shared" si="2"/>
        <v>16569207</v>
      </c>
      <c r="L31" s="506">
        <f t="shared" si="2"/>
        <v>15274176</v>
      </c>
      <c r="M31" s="506">
        <f>SUM(M22:M29)</f>
        <v>16985335</v>
      </c>
      <c r="N31" s="506">
        <f>SUM(N22:N29)</f>
        <v>17478319</v>
      </c>
      <c r="O31" s="506">
        <f>SUM(O22:O29)</f>
        <v>17787897</v>
      </c>
      <c r="P31" s="362">
        <f>SUM(D31:O31)</f>
        <v>207026691</v>
      </c>
      <c r="R31" s="362"/>
    </row>
    <row r="32" spans="2:18" x14ac:dyDescent="0.2">
      <c r="C32" s="444"/>
      <c r="D32" s="279"/>
      <c r="E32" s="279"/>
      <c r="F32" s="279"/>
      <c r="G32" s="279"/>
      <c r="H32" s="279"/>
      <c r="I32" s="279"/>
      <c r="J32" s="279"/>
      <c r="K32" s="279"/>
      <c r="L32" s="279"/>
      <c r="M32" s="279"/>
      <c r="N32" s="279"/>
      <c r="O32" s="279"/>
      <c r="P32" s="279"/>
      <c r="R32" s="279"/>
    </row>
    <row r="33" spans="2:16" x14ac:dyDescent="0.2">
      <c r="B33" s="276" t="s">
        <v>1255</v>
      </c>
      <c r="C33" s="641"/>
      <c r="D33" s="279"/>
      <c r="E33" s="279"/>
      <c r="F33" s="279"/>
      <c r="G33" s="279"/>
      <c r="H33" s="279"/>
      <c r="I33" s="279"/>
      <c r="J33" s="279"/>
      <c r="K33" s="279"/>
      <c r="L33" s="279"/>
      <c r="M33" s="279"/>
      <c r="N33" s="279"/>
      <c r="O33" s="279"/>
      <c r="P33" s="279"/>
    </row>
    <row r="34" spans="2:16" s="336" customFormat="1" x14ac:dyDescent="0.2">
      <c r="B34" s="179" t="s">
        <v>1242</v>
      </c>
      <c r="C34" s="643">
        <v>16</v>
      </c>
      <c r="D34" s="421">
        <f>'JKP-3.1c - Customer Data'!B8</f>
        <v>1</v>
      </c>
      <c r="E34" s="421">
        <f>'JKP-3.1c - Customer Data'!C8</f>
        <v>2</v>
      </c>
      <c r="F34" s="421">
        <f>'JKP-3.1c - Customer Data'!D8</f>
        <v>2</v>
      </c>
      <c r="G34" s="421">
        <f>'JKP-3.1c - Customer Data'!E8</f>
        <v>2</v>
      </c>
      <c r="H34" s="421">
        <f>'JKP-3.1c - Customer Data'!F8</f>
        <v>2</v>
      </c>
      <c r="I34" s="421">
        <f>'JKP-3.1c - Customer Data'!G8</f>
        <v>2</v>
      </c>
      <c r="J34" s="421">
        <f>'JKP-3.1c - Customer Data'!H8</f>
        <v>2</v>
      </c>
      <c r="K34" s="421">
        <f>'JKP-3.1c - Customer Data'!I8</f>
        <v>2</v>
      </c>
      <c r="L34" s="421">
        <f>'JKP-3.1c - Customer Data'!J8</f>
        <v>2</v>
      </c>
      <c r="M34" s="421">
        <f>'JKP-3.1c - Customer Data'!K8</f>
        <v>2</v>
      </c>
      <c r="N34" s="421">
        <f>'JKP-3.1c - Customer Data'!L8</f>
        <v>2</v>
      </c>
      <c r="O34" s="421">
        <f>'JKP-3.1c - Customer Data'!M8</f>
        <v>2</v>
      </c>
      <c r="P34" s="362">
        <f t="shared" ref="P34:P46" si="3">SUM(D34:O34)</f>
        <v>23</v>
      </c>
    </row>
    <row r="35" spans="2:16" s="336" customFormat="1" x14ac:dyDescent="0.2">
      <c r="B35" s="336" t="s">
        <v>374</v>
      </c>
      <c r="C35" s="336">
        <v>23</v>
      </c>
      <c r="D35" s="421">
        <f>'JKP-3.1c - Customer Data'!B6</f>
        <v>693137</v>
      </c>
      <c r="E35" s="421">
        <f>'JKP-3.1c - Customer Data'!C6</f>
        <v>693885</v>
      </c>
      <c r="F35" s="421">
        <f>'JKP-3.1c - Customer Data'!D6</f>
        <v>694255</v>
      </c>
      <c r="G35" s="421">
        <f>'JKP-3.1c - Customer Data'!E6</f>
        <v>694594</v>
      </c>
      <c r="H35" s="421">
        <f>'JKP-3.1c - Customer Data'!F6</f>
        <v>694265</v>
      </c>
      <c r="I35" s="421">
        <f>'JKP-3.1c - Customer Data'!G6</f>
        <v>693750</v>
      </c>
      <c r="J35" s="421">
        <f>'JKP-3.1c - Customer Data'!H6</f>
        <v>693070</v>
      </c>
      <c r="K35" s="421">
        <f>'JKP-3.1c - Customer Data'!I6</f>
        <v>692456</v>
      </c>
      <c r="L35" s="421">
        <f>'JKP-3.1c - Customer Data'!J6</f>
        <v>692762</v>
      </c>
      <c r="M35" s="421">
        <f>'JKP-3.1c - Customer Data'!K6</f>
        <v>694115</v>
      </c>
      <c r="N35" s="421">
        <f>'JKP-3.1c - Customer Data'!L6</f>
        <v>695665</v>
      </c>
      <c r="O35" s="421">
        <f>'JKP-3.1c - Customer Data'!M6</f>
        <v>696981</v>
      </c>
      <c r="P35" s="362">
        <f t="shared" si="3"/>
        <v>8328935</v>
      </c>
    </row>
    <row r="36" spans="2:16" s="336" customFormat="1" x14ac:dyDescent="0.2">
      <c r="B36" s="336" t="s">
        <v>1122</v>
      </c>
      <c r="C36" s="336">
        <v>53</v>
      </c>
      <c r="D36" s="421">
        <f>'JKP-3.1c - Customer Data'!B7</f>
        <v>5</v>
      </c>
      <c r="E36" s="421">
        <f>'JKP-3.1c - Customer Data'!C7</f>
        <v>5</v>
      </c>
      <c r="F36" s="421">
        <f>'JKP-3.1c - Customer Data'!D7</f>
        <v>5</v>
      </c>
      <c r="G36" s="421">
        <f>'JKP-3.1c - Customer Data'!E7</f>
        <v>5</v>
      </c>
      <c r="H36" s="421">
        <f>'JKP-3.1c - Customer Data'!F7</f>
        <v>5</v>
      </c>
      <c r="I36" s="421">
        <f>'JKP-3.1c - Customer Data'!G7</f>
        <v>5</v>
      </c>
      <c r="J36" s="421">
        <f>'JKP-3.1c - Customer Data'!H7</f>
        <v>5</v>
      </c>
      <c r="K36" s="421">
        <f>'JKP-3.1c - Customer Data'!I7</f>
        <v>5</v>
      </c>
      <c r="L36" s="421">
        <f>'JKP-3.1c - Customer Data'!J7</f>
        <v>5</v>
      </c>
      <c r="M36" s="421">
        <f>'JKP-3.1c - Customer Data'!K7</f>
        <v>5</v>
      </c>
      <c r="N36" s="421">
        <f>'JKP-3.1c - Customer Data'!L7</f>
        <v>4</v>
      </c>
      <c r="O36" s="421">
        <f>'JKP-3.1c - Customer Data'!M7</f>
        <v>4</v>
      </c>
      <c r="P36" s="362">
        <f t="shared" si="3"/>
        <v>58</v>
      </c>
    </row>
    <row r="37" spans="2:16" s="336" customFormat="1" x14ac:dyDescent="0.2">
      <c r="B37" s="336" t="s">
        <v>1256</v>
      </c>
      <c r="C37" s="336">
        <v>61</v>
      </c>
      <c r="D37" s="421">
        <f>'JKP-3.1c - Customer Data'!B29</f>
        <v>1</v>
      </c>
      <c r="E37" s="421">
        <f>'JKP-3.1c - Customer Data'!C29</f>
        <v>1</v>
      </c>
      <c r="F37" s="421">
        <f>'JKP-3.1c - Customer Data'!D29</f>
        <v>1</v>
      </c>
      <c r="G37" s="421">
        <f>'JKP-3.1c - Customer Data'!E29</f>
        <v>1</v>
      </c>
      <c r="H37" s="421">
        <f>'JKP-3.1c - Customer Data'!F29</f>
        <v>1</v>
      </c>
      <c r="I37" s="421">
        <f>'JKP-3.1c - Customer Data'!G29</f>
        <v>1</v>
      </c>
      <c r="J37" s="421">
        <f>'JKP-3.1c - Customer Data'!H29</f>
        <v>1</v>
      </c>
      <c r="K37" s="421">
        <f>'JKP-3.1c - Customer Data'!I29</f>
        <v>1</v>
      </c>
      <c r="L37" s="421">
        <f>'JKP-3.1c - Customer Data'!J29</f>
        <v>1</v>
      </c>
      <c r="M37" s="421">
        <f>'JKP-3.1c - Customer Data'!K29</f>
        <v>1</v>
      </c>
      <c r="N37" s="421">
        <f>'JKP-3.1c - Customer Data'!L29</f>
        <v>1</v>
      </c>
      <c r="O37" s="421">
        <f>'JKP-3.1c - Customer Data'!M29</f>
        <v>1</v>
      </c>
      <c r="P37" s="362">
        <f t="shared" si="3"/>
        <v>12</v>
      </c>
    </row>
    <row r="38" spans="2:16" s="336" customFormat="1" x14ac:dyDescent="0.2">
      <c r="B38" s="336" t="s">
        <v>1257</v>
      </c>
      <c r="C38" s="336">
        <v>31</v>
      </c>
      <c r="D38" s="421">
        <f>'JKP-3.1c - Customer Data'!B9+'JKP-3.1c - 41T 86T Migrat Adj'!B50+'JKP-3.1c - 41 Min Migration Adj'!B36</f>
        <v>52431</v>
      </c>
      <c r="E38" s="421">
        <f>'JKP-3.1c - Customer Data'!C9+'JKP-3.1c - 41T 86T Migrat Adj'!C50+'JKP-3.1c - 41 Min Migration Adj'!C36</f>
        <v>52460</v>
      </c>
      <c r="F38" s="421">
        <f>'JKP-3.1c - Customer Data'!D9+'JKP-3.1c - 41T 86T Migrat Adj'!D50+'JKP-3.1c - 41 Min Migration Adj'!D36</f>
        <v>52458</v>
      </c>
      <c r="G38" s="421">
        <f>'JKP-3.1c - Customer Data'!E9+'JKP-3.1c - 41T 86T Migrat Adj'!E50+'JKP-3.1c - 41 Min Migration Adj'!E36</f>
        <v>52390</v>
      </c>
      <c r="H38" s="421">
        <f>'JKP-3.1c - Customer Data'!F9+'JKP-3.1c - 41T 86T Migrat Adj'!F50+'JKP-3.1c - 41 Min Migration Adj'!F36</f>
        <v>52248</v>
      </c>
      <c r="I38" s="421">
        <f>'JKP-3.1c - Customer Data'!G9+'JKP-3.1c - 41T 86T Migrat Adj'!G50+'JKP-3.1c - 41 Min Migration Adj'!G36</f>
        <v>52084</v>
      </c>
      <c r="J38" s="421">
        <f>'JKP-3.1c - Customer Data'!H9+'JKP-3.1c - 41T 86T Migrat Adj'!H50+'JKP-3.1c - 41 Min Migration Adj'!H36</f>
        <v>51997</v>
      </c>
      <c r="K38" s="421">
        <f>'JKP-3.1c - Customer Data'!I9+'JKP-3.1c - 41T 86T Migrat Adj'!I50+'JKP-3.1c - 41 Min Migration Adj'!I36</f>
        <v>51676</v>
      </c>
      <c r="L38" s="421">
        <f>'JKP-3.1c - Customer Data'!J9+'JKP-3.1c - 41T 86T Migrat Adj'!J50+'JKP-3.1c - 41 Min Migration Adj'!J36</f>
        <v>51661</v>
      </c>
      <c r="M38" s="421">
        <f>'JKP-3.1c - Customer Data'!K9+'JKP-3.1c - 41T 86T Migrat Adj'!K50+'JKP-3.1c - 41 Min Migration Adj'!K36</f>
        <v>51751</v>
      </c>
      <c r="N38" s="421">
        <f>'JKP-3.1c - Customer Data'!L9+'JKP-3.1c - 41T 86T Migrat Adj'!L50+'JKP-3.1c - 41 Min Migration Adj'!L36</f>
        <v>51896</v>
      </c>
      <c r="O38" s="421">
        <f>'JKP-3.1c - Customer Data'!M9+'JKP-3.1c - 41T 86T Migrat Adj'!M50+'JKP-3.1c - 41 Min Migration Adj'!M36</f>
        <v>52071</v>
      </c>
      <c r="P38" s="362">
        <f t="shared" si="3"/>
        <v>625123</v>
      </c>
    </row>
    <row r="39" spans="2:16" s="336" customFormat="1" x14ac:dyDescent="0.2">
      <c r="B39" s="336" t="s">
        <v>1258</v>
      </c>
      <c r="C39" s="336">
        <v>41</v>
      </c>
      <c r="D39" s="421">
        <f>'JKP-3.1c - Customer Data'!B10+'JKP-3.1c - 41T 86T Migrat Adj'!B51+'JKP-3.1c - 41 Min Migration Adj'!B37</f>
        <v>1441</v>
      </c>
      <c r="E39" s="421">
        <f>'JKP-3.1c - Customer Data'!C10+'JKP-3.1c - 41T 86T Migrat Adj'!C51+'JKP-3.1c - 41 Min Migration Adj'!C37</f>
        <v>1439</v>
      </c>
      <c r="F39" s="421">
        <f>'JKP-3.1c - Customer Data'!D10+'JKP-3.1c - 41T 86T Migrat Adj'!D51+'JKP-3.1c - 41 Min Migration Adj'!D37</f>
        <v>1453</v>
      </c>
      <c r="G39" s="421">
        <f>'JKP-3.1c - Customer Data'!E10+'JKP-3.1c - 41T 86T Migrat Adj'!E51+'JKP-3.1c - 41 Min Migration Adj'!E37</f>
        <v>1453</v>
      </c>
      <c r="H39" s="421">
        <f>'JKP-3.1c - Customer Data'!F10+'JKP-3.1c - 41T 86T Migrat Adj'!F51+'JKP-3.1c - 41 Min Migration Adj'!F37</f>
        <v>1451</v>
      </c>
      <c r="I39" s="421">
        <f>'JKP-3.1c - Customer Data'!G10+'JKP-3.1c - 41T 86T Migrat Adj'!G51+'JKP-3.1c - 41 Min Migration Adj'!G37</f>
        <v>1450</v>
      </c>
      <c r="J39" s="421">
        <f>'JKP-3.1c - Customer Data'!H10+'JKP-3.1c - 41T 86T Migrat Adj'!H51+'JKP-3.1c - 41 Min Migration Adj'!H37</f>
        <v>1451</v>
      </c>
      <c r="K39" s="421">
        <f>'JKP-3.1c - Customer Data'!I10+'JKP-3.1c - 41T 86T Migrat Adj'!I51+'JKP-3.1c - 41 Min Migration Adj'!I37</f>
        <v>1444</v>
      </c>
      <c r="L39" s="421">
        <f>'JKP-3.1c - Customer Data'!J10+'JKP-3.1c - 41T 86T Migrat Adj'!J51+'JKP-3.1c - 41 Min Migration Adj'!J37</f>
        <v>1420</v>
      </c>
      <c r="M39" s="421">
        <f>'JKP-3.1c - Customer Data'!K10+'JKP-3.1c - 41T 86T Migrat Adj'!K51+'JKP-3.1c - 41 Min Migration Adj'!K37</f>
        <v>1395</v>
      </c>
      <c r="N39" s="421">
        <f>'JKP-3.1c - Customer Data'!L10+'JKP-3.1c - 41T 86T Migrat Adj'!L51+'JKP-3.1c - 41 Min Migration Adj'!L37</f>
        <v>1394</v>
      </c>
      <c r="O39" s="421">
        <f>'JKP-3.1c - Customer Data'!M10+'JKP-3.1c - 41T 86T Migrat Adj'!M51+'JKP-3.1c - 41 Min Migration Adj'!M37</f>
        <v>1395</v>
      </c>
      <c r="P39" s="362">
        <f t="shared" si="3"/>
        <v>17186</v>
      </c>
    </row>
    <row r="40" spans="2:16" s="336" customFormat="1" x14ac:dyDescent="0.2">
      <c r="B40" s="336" t="s">
        <v>1259</v>
      </c>
      <c r="C40" s="336">
        <v>61</v>
      </c>
      <c r="D40" s="421">
        <f>'JKP-3.1c - Customer Data'!B12</f>
        <v>21</v>
      </c>
      <c r="E40" s="421">
        <f>'JKP-3.1c - Customer Data'!C12</f>
        <v>21</v>
      </c>
      <c r="F40" s="421">
        <f>'JKP-3.1c - Customer Data'!D12</f>
        <v>21</v>
      </c>
      <c r="G40" s="421">
        <f>'JKP-3.1c - Customer Data'!E12</f>
        <v>22</v>
      </c>
      <c r="H40" s="421">
        <f>'JKP-3.1c - Customer Data'!F12</f>
        <v>23</v>
      </c>
      <c r="I40" s="421">
        <f>'JKP-3.1c - Customer Data'!G12</f>
        <v>24</v>
      </c>
      <c r="J40" s="421">
        <f>'JKP-3.1c - Customer Data'!H12</f>
        <v>24</v>
      </c>
      <c r="K40" s="421">
        <f>'JKP-3.1c - Customer Data'!I12</f>
        <v>24</v>
      </c>
      <c r="L40" s="421">
        <f>'JKP-3.1c - Customer Data'!J12</f>
        <v>25</v>
      </c>
      <c r="M40" s="421">
        <f>'JKP-3.1c - Customer Data'!K12</f>
        <v>24</v>
      </c>
      <c r="N40" s="421">
        <f>'JKP-3.1c - Customer Data'!L12</f>
        <v>24</v>
      </c>
      <c r="O40" s="421">
        <f>'JKP-3.1c - Customer Data'!M12</f>
        <v>24</v>
      </c>
      <c r="P40" s="362">
        <f t="shared" si="3"/>
        <v>277</v>
      </c>
    </row>
    <row r="41" spans="2:16" s="336" customFormat="1" x14ac:dyDescent="0.2">
      <c r="B41" s="336" t="s">
        <v>1243</v>
      </c>
      <c r="C41" s="336">
        <v>85</v>
      </c>
      <c r="D41" s="421">
        <f>'JKP-3.1c - Customer Data'!B13</f>
        <v>25</v>
      </c>
      <c r="E41" s="421">
        <f>'JKP-3.1c - Customer Data'!C13</f>
        <v>25</v>
      </c>
      <c r="F41" s="421">
        <f>'JKP-3.1c - Customer Data'!D13</f>
        <v>25</v>
      </c>
      <c r="G41" s="421">
        <f>'JKP-3.1c - Customer Data'!E13</f>
        <v>27</v>
      </c>
      <c r="H41" s="421">
        <f>'JKP-3.1c - Customer Data'!F13</f>
        <v>27</v>
      </c>
      <c r="I41" s="421">
        <f>'JKP-3.1c - Customer Data'!G13</f>
        <v>27</v>
      </c>
      <c r="J41" s="421">
        <f>'JKP-3.1c - Customer Data'!H13</f>
        <v>27</v>
      </c>
      <c r="K41" s="421">
        <f>'JKP-3.1c - Customer Data'!I13</f>
        <v>27</v>
      </c>
      <c r="L41" s="421">
        <f>'JKP-3.1c - Customer Data'!J13</f>
        <v>27</v>
      </c>
      <c r="M41" s="421">
        <f>'JKP-3.1c - Customer Data'!K13</f>
        <v>27</v>
      </c>
      <c r="N41" s="421">
        <f>'JKP-3.1c - Customer Data'!L13</f>
        <v>27</v>
      </c>
      <c r="O41" s="421">
        <f>'JKP-3.1c - Customer Data'!M13</f>
        <v>27</v>
      </c>
      <c r="P41" s="362">
        <f t="shared" si="3"/>
        <v>318</v>
      </c>
    </row>
    <row r="42" spans="2:16" s="336" customFormat="1" x14ac:dyDescent="0.2">
      <c r="B42" s="336" t="s">
        <v>1244</v>
      </c>
      <c r="C42" s="336">
        <v>86</v>
      </c>
      <c r="D42" s="421">
        <f>'JKP-3.1c - Customer Data'!B15</f>
        <v>335</v>
      </c>
      <c r="E42" s="421">
        <f>'JKP-3.1c - Customer Data'!C15</f>
        <v>334</v>
      </c>
      <c r="F42" s="421">
        <f>'JKP-3.1c - Customer Data'!D15</f>
        <v>334</v>
      </c>
      <c r="G42" s="421">
        <f>'JKP-3.1c - Customer Data'!E15</f>
        <v>332</v>
      </c>
      <c r="H42" s="421">
        <f>'JKP-3.1c - Customer Data'!F15</f>
        <v>332</v>
      </c>
      <c r="I42" s="421">
        <f>'JKP-3.1c - Customer Data'!G15</f>
        <v>332</v>
      </c>
      <c r="J42" s="421">
        <f>'JKP-3.1c - Customer Data'!H15</f>
        <v>330</v>
      </c>
      <c r="K42" s="421">
        <f>'JKP-3.1c - Customer Data'!I15</f>
        <v>327</v>
      </c>
      <c r="L42" s="421">
        <f>'JKP-3.1c - Customer Data'!J15</f>
        <v>326</v>
      </c>
      <c r="M42" s="421">
        <f>'JKP-3.1c - Customer Data'!K15</f>
        <v>320</v>
      </c>
      <c r="N42" s="421">
        <f>'JKP-3.1c - Customer Data'!L15</f>
        <v>318</v>
      </c>
      <c r="O42" s="421">
        <f>'JKP-3.1c - Customer Data'!M15</f>
        <v>318</v>
      </c>
      <c r="P42" s="362">
        <f t="shared" si="3"/>
        <v>3938</v>
      </c>
    </row>
    <row r="43" spans="2:16" s="336" customFormat="1" x14ac:dyDescent="0.2">
      <c r="B43" s="336" t="s">
        <v>1260</v>
      </c>
      <c r="C43" s="336">
        <v>87</v>
      </c>
      <c r="D43" s="421">
        <f>'JKP-3.1c - Customer Data'!B16</f>
        <v>8</v>
      </c>
      <c r="E43" s="421">
        <f>'JKP-3.1c - Customer Data'!C16</f>
        <v>8</v>
      </c>
      <c r="F43" s="421">
        <f>'JKP-3.1c - Customer Data'!D16</f>
        <v>8</v>
      </c>
      <c r="G43" s="421">
        <f>'JKP-3.1c - Customer Data'!E16</f>
        <v>8</v>
      </c>
      <c r="H43" s="421">
        <f>'JKP-3.1c - Customer Data'!F16</f>
        <v>8</v>
      </c>
      <c r="I43" s="421">
        <f>'JKP-3.1c - Customer Data'!G16</f>
        <v>8</v>
      </c>
      <c r="J43" s="421">
        <f>'JKP-3.1c - Customer Data'!H16</f>
        <v>8</v>
      </c>
      <c r="K43" s="421">
        <f>'JKP-3.1c - Customer Data'!I16</f>
        <v>8</v>
      </c>
      <c r="L43" s="421">
        <f>'JKP-3.1c - Customer Data'!J16</f>
        <v>8</v>
      </c>
      <c r="M43" s="421">
        <f>'JKP-3.1c - Customer Data'!K16</f>
        <v>8</v>
      </c>
      <c r="N43" s="421">
        <f>'JKP-3.1c - Customer Data'!L16</f>
        <v>8</v>
      </c>
      <c r="O43" s="421">
        <f>'JKP-3.1c - Customer Data'!M16</f>
        <v>8</v>
      </c>
      <c r="P43" s="362">
        <f t="shared" si="3"/>
        <v>96</v>
      </c>
    </row>
    <row r="44" spans="2:16" s="336" customFormat="1" x14ac:dyDescent="0.2">
      <c r="B44" s="336" t="s">
        <v>1131</v>
      </c>
      <c r="C44" s="336">
        <v>31</v>
      </c>
      <c r="D44" s="421">
        <f>'JKP-3.1c - Customer Data'!B19+'JKP-3.1c - 41T 86T Migrat Adj'!B53+'JKP-3.1c - 41 Min Migration Adj'!B38</f>
        <v>2418</v>
      </c>
      <c r="E44" s="421">
        <f>'JKP-3.1c - Customer Data'!C19+'JKP-3.1c - 41T 86T Migrat Adj'!C53+'JKP-3.1c - 41 Min Migration Adj'!C38</f>
        <v>2410</v>
      </c>
      <c r="F44" s="421">
        <f>'JKP-3.1c - Customer Data'!D19+'JKP-3.1c - 41T 86T Migrat Adj'!D53+'JKP-3.1c - 41 Min Migration Adj'!D38</f>
        <v>2401</v>
      </c>
      <c r="G44" s="421">
        <f>'JKP-3.1c - Customer Data'!E19+'JKP-3.1c - 41T 86T Migrat Adj'!E53+'JKP-3.1c - 41 Min Migration Adj'!E38</f>
        <v>2393</v>
      </c>
      <c r="H44" s="421">
        <f>'JKP-3.1c - Customer Data'!F19+'JKP-3.1c - 41T 86T Migrat Adj'!F53+'JKP-3.1c - 41 Min Migration Adj'!F38</f>
        <v>2389</v>
      </c>
      <c r="I44" s="421">
        <f>'JKP-3.1c - Customer Data'!G19+'JKP-3.1c - 41T 86T Migrat Adj'!G53+'JKP-3.1c - 41 Min Migration Adj'!G38</f>
        <v>2381</v>
      </c>
      <c r="J44" s="421">
        <f>'JKP-3.1c - Customer Data'!H19+'JKP-3.1c - 41T 86T Migrat Adj'!H53+'JKP-3.1c - 41 Min Migration Adj'!H38</f>
        <v>2375</v>
      </c>
      <c r="K44" s="421">
        <f>'JKP-3.1c - Customer Data'!I19+'JKP-3.1c - 41T 86T Migrat Adj'!I53+'JKP-3.1c - 41 Min Migration Adj'!I38</f>
        <v>2368</v>
      </c>
      <c r="L44" s="421">
        <f>'JKP-3.1c - Customer Data'!J19+'JKP-3.1c - 41T 86T Migrat Adj'!J53+'JKP-3.1c - 41 Min Migration Adj'!J38</f>
        <v>2362</v>
      </c>
      <c r="M44" s="421">
        <f>'JKP-3.1c - Customer Data'!K19+'JKP-3.1c - 41T 86T Migrat Adj'!K53+'JKP-3.1c - 41 Min Migration Adj'!K38</f>
        <v>2363</v>
      </c>
      <c r="N44" s="421">
        <f>'JKP-3.1c - Customer Data'!L19+'JKP-3.1c - 41T 86T Migrat Adj'!L53+'JKP-3.1c - 41 Min Migration Adj'!L38</f>
        <v>2365</v>
      </c>
      <c r="O44" s="421">
        <f>'JKP-3.1c - Customer Data'!M19+'JKP-3.1c - 41T 86T Migrat Adj'!M53+'JKP-3.1c - 41 Min Migration Adj'!M38</f>
        <v>2375</v>
      </c>
      <c r="P44" s="362">
        <f t="shared" si="3"/>
        <v>28600</v>
      </c>
    </row>
    <row r="45" spans="2:16" s="336" customFormat="1" x14ac:dyDescent="0.2">
      <c r="B45" s="336" t="s">
        <v>1132</v>
      </c>
      <c r="C45" s="336">
        <v>41</v>
      </c>
      <c r="D45" s="421">
        <f>'JKP-3.1c - Customer Data'!B20+'JKP-3.1c - 41 Min Migration Adj'!B39</f>
        <v>102</v>
      </c>
      <c r="E45" s="421">
        <f>'JKP-3.1c - Customer Data'!C20+'JKP-3.1c - 41 Min Migration Adj'!C39</f>
        <v>103</v>
      </c>
      <c r="F45" s="421">
        <f>'JKP-3.1c - Customer Data'!D20+'JKP-3.1c - 41 Min Migration Adj'!D39</f>
        <v>106</v>
      </c>
      <c r="G45" s="421">
        <f>'JKP-3.1c - Customer Data'!E20+'JKP-3.1c - 41 Min Migration Adj'!E39</f>
        <v>105</v>
      </c>
      <c r="H45" s="421">
        <f>'JKP-3.1c - Customer Data'!F20+'JKP-3.1c - 41 Min Migration Adj'!F39</f>
        <v>106</v>
      </c>
      <c r="I45" s="421">
        <f>'JKP-3.1c - Customer Data'!G20+'JKP-3.1c - 41 Min Migration Adj'!G39</f>
        <v>106</v>
      </c>
      <c r="J45" s="421">
        <f>'JKP-3.1c - Customer Data'!H20+'JKP-3.1c - 41 Min Migration Adj'!H39</f>
        <v>106</v>
      </c>
      <c r="K45" s="421">
        <f>'JKP-3.1c - Customer Data'!I20+'JKP-3.1c - 41 Min Migration Adj'!I39</f>
        <v>106</v>
      </c>
      <c r="L45" s="421">
        <f>'JKP-3.1c - Customer Data'!J20+'JKP-3.1c - 41 Min Migration Adj'!J39</f>
        <v>106</v>
      </c>
      <c r="M45" s="421">
        <f>'JKP-3.1c - Customer Data'!K20+'JKP-3.1c - 41 Min Migration Adj'!K39</f>
        <v>106</v>
      </c>
      <c r="N45" s="421">
        <f>'JKP-3.1c - Customer Data'!L20+'JKP-3.1c - 41 Min Migration Adj'!L39</f>
        <v>105</v>
      </c>
      <c r="O45" s="421">
        <f>'JKP-3.1c - Customer Data'!M20+'JKP-3.1c - 41 Min Migration Adj'!M39</f>
        <v>105</v>
      </c>
      <c r="P45" s="362">
        <f t="shared" si="3"/>
        <v>1262</v>
      </c>
    </row>
    <row r="46" spans="2:16" s="336" customFormat="1" x14ac:dyDescent="0.2">
      <c r="B46" s="336" t="s">
        <v>1261</v>
      </c>
      <c r="C46" s="336">
        <v>61</v>
      </c>
      <c r="D46" s="421">
        <f>'JKP-3.1c - Customer Data'!B22</f>
        <v>0</v>
      </c>
      <c r="E46" s="421">
        <f>'JKP-3.1c - Customer Data'!C22</f>
        <v>0</v>
      </c>
      <c r="F46" s="421">
        <f>'JKP-3.1c - Customer Data'!D22</f>
        <v>0</v>
      </c>
      <c r="G46" s="421">
        <f>'JKP-3.1c - Customer Data'!E22</f>
        <v>0</v>
      </c>
      <c r="H46" s="421">
        <f>'JKP-3.1c - Customer Data'!F22</f>
        <v>0</v>
      </c>
      <c r="I46" s="421">
        <f>'JKP-3.1c - Customer Data'!G22</f>
        <v>0</v>
      </c>
      <c r="J46" s="421">
        <f>'JKP-3.1c - Customer Data'!H22</f>
        <v>0</v>
      </c>
      <c r="K46" s="421">
        <f>'JKP-3.1c - Customer Data'!I22</f>
        <v>0</v>
      </c>
      <c r="L46" s="421">
        <f>'JKP-3.1c - Customer Data'!J22</f>
        <v>0</v>
      </c>
      <c r="M46" s="421">
        <f>'JKP-3.1c - Customer Data'!K22</f>
        <v>0</v>
      </c>
      <c r="N46" s="421">
        <f>'JKP-3.1c - Customer Data'!L22</f>
        <v>0</v>
      </c>
      <c r="O46" s="421">
        <f>'JKP-3.1c - Customer Data'!M22</f>
        <v>0</v>
      </c>
      <c r="P46" s="362">
        <f t="shared" si="3"/>
        <v>0</v>
      </c>
    </row>
    <row r="47" spans="2:16" s="336" customFormat="1" x14ac:dyDescent="0.2">
      <c r="B47" s="336" t="s">
        <v>1246</v>
      </c>
      <c r="C47" s="336">
        <v>85</v>
      </c>
      <c r="D47" s="421">
        <f>'JKP-3.1c - Customer Data'!B23</f>
        <v>8</v>
      </c>
      <c r="E47" s="421">
        <f>'JKP-3.1c - Customer Data'!C23</f>
        <v>9</v>
      </c>
      <c r="F47" s="421">
        <f>'JKP-3.1c - Customer Data'!D23</f>
        <v>8</v>
      </c>
      <c r="G47" s="421">
        <f>'JKP-3.1c - Customer Data'!E23</f>
        <v>8</v>
      </c>
      <c r="H47" s="421">
        <f>'JKP-3.1c - Customer Data'!F23</f>
        <v>7</v>
      </c>
      <c r="I47" s="421">
        <f>'JKP-3.1c - Customer Data'!G23</f>
        <v>7</v>
      </c>
      <c r="J47" s="421">
        <f>'JKP-3.1c - Customer Data'!H23</f>
        <v>7</v>
      </c>
      <c r="K47" s="421">
        <f>'JKP-3.1c - Customer Data'!I23</f>
        <v>7</v>
      </c>
      <c r="L47" s="421">
        <f>'JKP-3.1c - Customer Data'!J23</f>
        <v>7</v>
      </c>
      <c r="M47" s="421">
        <f>'JKP-3.1c - Customer Data'!K23</f>
        <v>7</v>
      </c>
      <c r="N47" s="421">
        <f>'JKP-3.1c - Customer Data'!L23</f>
        <v>7</v>
      </c>
      <c r="O47" s="421">
        <f>'JKP-3.1c - Customer Data'!M23</f>
        <v>7</v>
      </c>
      <c r="P47" s="362">
        <f t="shared" ref="P47:P57" si="4">SUM(D47:O47)</f>
        <v>89</v>
      </c>
    </row>
    <row r="48" spans="2:16" s="336" customFormat="1" x14ac:dyDescent="0.2">
      <c r="B48" s="336" t="s">
        <v>1247</v>
      </c>
      <c r="C48" s="336">
        <v>86</v>
      </c>
      <c r="D48" s="421">
        <f>'JKP-3.1c - Customer Data'!B25</f>
        <v>10</v>
      </c>
      <c r="E48" s="421">
        <f>'JKP-3.1c - Customer Data'!C25</f>
        <v>10</v>
      </c>
      <c r="F48" s="421">
        <f>'JKP-3.1c - Customer Data'!D25</f>
        <v>10</v>
      </c>
      <c r="G48" s="421">
        <f>'JKP-3.1c - Customer Data'!E25</f>
        <v>10</v>
      </c>
      <c r="H48" s="421">
        <f>'JKP-3.1c - Customer Data'!F25</f>
        <v>10</v>
      </c>
      <c r="I48" s="421">
        <f>'JKP-3.1c - Customer Data'!G25</f>
        <v>10</v>
      </c>
      <c r="J48" s="421">
        <f>'JKP-3.1c - Customer Data'!H25</f>
        <v>10</v>
      </c>
      <c r="K48" s="421">
        <f>'JKP-3.1c - Customer Data'!I25</f>
        <v>10</v>
      </c>
      <c r="L48" s="421">
        <f>'JKP-3.1c - Customer Data'!J25</f>
        <v>10</v>
      </c>
      <c r="M48" s="421">
        <f>'JKP-3.1c - Customer Data'!K25</f>
        <v>10</v>
      </c>
      <c r="N48" s="421">
        <f>'JKP-3.1c - Customer Data'!L25</f>
        <v>10</v>
      </c>
      <c r="O48" s="421">
        <f>'JKP-3.1c - Customer Data'!M25</f>
        <v>10</v>
      </c>
      <c r="P48" s="362">
        <f t="shared" si="4"/>
        <v>120</v>
      </c>
    </row>
    <row r="49" spans="2:16" s="336" customFormat="1" x14ac:dyDescent="0.2">
      <c r="B49" s="336" t="s">
        <v>1248</v>
      </c>
      <c r="C49" s="336">
        <v>87</v>
      </c>
      <c r="D49" s="421">
        <f>'JKP-3.1c - Customer Data'!B27</f>
        <v>1</v>
      </c>
      <c r="E49" s="421">
        <f>'JKP-3.1c - Customer Data'!C27</f>
        <v>1</v>
      </c>
      <c r="F49" s="421">
        <f>'JKP-3.1c - Customer Data'!D27</f>
        <v>1</v>
      </c>
      <c r="G49" s="421">
        <f>'JKP-3.1c - Customer Data'!E27</f>
        <v>1</v>
      </c>
      <c r="H49" s="421">
        <f>'JKP-3.1c - Customer Data'!F27</f>
        <v>1</v>
      </c>
      <c r="I49" s="421">
        <f>'JKP-3.1c - Customer Data'!G27</f>
        <v>1</v>
      </c>
      <c r="J49" s="421">
        <f>'JKP-3.1c - Customer Data'!H27</f>
        <v>1</v>
      </c>
      <c r="K49" s="421">
        <f>'JKP-3.1c - Customer Data'!I27</f>
        <v>1</v>
      </c>
      <c r="L49" s="421">
        <f>'JKP-3.1c - Customer Data'!J27</f>
        <v>1</v>
      </c>
      <c r="M49" s="421">
        <f>'JKP-3.1c - Customer Data'!K27</f>
        <v>1</v>
      </c>
      <c r="N49" s="421">
        <f>'JKP-3.1c - Customer Data'!L27</f>
        <v>1</v>
      </c>
      <c r="O49" s="421">
        <f>'JKP-3.1c - Customer Data'!M27</f>
        <v>1</v>
      </c>
      <c r="P49" s="362">
        <f t="shared" si="4"/>
        <v>12</v>
      </c>
    </row>
    <row r="50" spans="2:16" s="336" customFormat="1" x14ac:dyDescent="0.2">
      <c r="B50" s="32" t="s">
        <v>1158</v>
      </c>
      <c r="C50" s="444" t="s">
        <v>808</v>
      </c>
      <c r="D50" s="421">
        <f>'JKP-3.1c - Customer Data'!B11+'JKP-3.1c - 41T 86T Migrat Adj'!B55</f>
        <v>30</v>
      </c>
      <c r="E50" s="421">
        <f>'JKP-3.1c - Customer Data'!C11+'JKP-3.1c - 41T 86T Migrat Adj'!C55</f>
        <v>30</v>
      </c>
      <c r="F50" s="421">
        <f>'JKP-3.1c - Customer Data'!D11+'JKP-3.1c - 41T 86T Migrat Adj'!D55</f>
        <v>30</v>
      </c>
      <c r="G50" s="421">
        <f>'JKP-3.1c - Customer Data'!E11+'JKP-3.1c - 41T 86T Migrat Adj'!E55</f>
        <v>30</v>
      </c>
      <c r="H50" s="421">
        <f>'JKP-3.1c - Customer Data'!F11+'JKP-3.1c - 41T 86T Migrat Adj'!F55</f>
        <v>30</v>
      </c>
      <c r="I50" s="421">
        <f>'JKP-3.1c - Customer Data'!G11+'JKP-3.1c - 41T 86T Migrat Adj'!G55</f>
        <v>30</v>
      </c>
      <c r="J50" s="421">
        <f>'JKP-3.1c - Customer Data'!H11+'JKP-3.1c - 41T 86T Migrat Adj'!H55</f>
        <v>30</v>
      </c>
      <c r="K50" s="421">
        <f>'JKP-3.1c - Customer Data'!I11+'JKP-3.1c - 41T 86T Migrat Adj'!I55</f>
        <v>30</v>
      </c>
      <c r="L50" s="421">
        <f>'JKP-3.1c - Customer Data'!J11+'JKP-3.1c - 41T 86T Migrat Adj'!J55</f>
        <v>29</v>
      </c>
      <c r="M50" s="421">
        <f>'JKP-3.1c - Customer Data'!K11+'JKP-3.1c - 41T 86T Migrat Adj'!K55</f>
        <v>30</v>
      </c>
      <c r="N50" s="421">
        <f>'JKP-3.1c - Customer Data'!L11+'JKP-3.1c - 41T 86T Migrat Adj'!L55</f>
        <v>30</v>
      </c>
      <c r="O50" s="421">
        <f>'JKP-3.1c - Customer Data'!M11+'JKP-3.1c - 41T 86T Migrat Adj'!M55</f>
        <v>30</v>
      </c>
      <c r="P50" s="362">
        <f t="shared" si="4"/>
        <v>359</v>
      </c>
    </row>
    <row r="51" spans="2:16" s="336" customFormat="1" x14ac:dyDescent="0.2">
      <c r="B51" s="32" t="s">
        <v>1159</v>
      </c>
      <c r="C51" s="444" t="s">
        <v>809</v>
      </c>
      <c r="D51" s="421">
        <f>'JKP-3.1c - Customer Data'!B14+'JKP-3.1c - 41T 86T Migrat Adj'!B52</f>
        <v>35</v>
      </c>
      <c r="E51" s="421">
        <f>'JKP-3.1c - Customer Data'!C14+'JKP-3.1c - 41T 86T Migrat Adj'!C52</f>
        <v>35</v>
      </c>
      <c r="F51" s="421">
        <f>'JKP-3.1c - Customer Data'!D14+'JKP-3.1c - 41T 86T Migrat Adj'!D52</f>
        <v>35</v>
      </c>
      <c r="G51" s="421">
        <f>'JKP-3.1c - Customer Data'!E14+'JKP-3.1c - 41T 86T Migrat Adj'!E52</f>
        <v>36</v>
      </c>
      <c r="H51" s="421">
        <f>'JKP-3.1c - Customer Data'!F14+'JKP-3.1c - 41T 86T Migrat Adj'!F52</f>
        <v>36</v>
      </c>
      <c r="I51" s="421">
        <f>'JKP-3.1c - Customer Data'!G14+'JKP-3.1c - 41T 86T Migrat Adj'!G52</f>
        <v>36</v>
      </c>
      <c r="J51" s="421">
        <f>'JKP-3.1c - Customer Data'!H14+'JKP-3.1c - 41T 86T Migrat Adj'!H52</f>
        <v>36</v>
      </c>
      <c r="K51" s="421">
        <f>'JKP-3.1c - Customer Data'!I14+'JKP-3.1c - 41T 86T Migrat Adj'!I52</f>
        <v>36</v>
      </c>
      <c r="L51" s="421">
        <f>'JKP-3.1c - Customer Data'!J14+'JKP-3.1c - 41T 86T Migrat Adj'!J52</f>
        <v>37</v>
      </c>
      <c r="M51" s="421">
        <f>'JKP-3.1c - Customer Data'!K14+'JKP-3.1c - 41T 86T Migrat Adj'!K52</f>
        <v>36</v>
      </c>
      <c r="N51" s="421">
        <f>'JKP-3.1c - Customer Data'!L14+'JKP-3.1c - 41T 86T Migrat Adj'!L52</f>
        <v>35</v>
      </c>
      <c r="O51" s="421">
        <f>'JKP-3.1c - Customer Data'!M14+'JKP-3.1c - 41T 86T Migrat Adj'!M52</f>
        <v>35</v>
      </c>
      <c r="P51" s="362">
        <f t="shared" si="4"/>
        <v>428</v>
      </c>
    </row>
    <row r="52" spans="2:16" s="336" customFormat="1" x14ac:dyDescent="0.2">
      <c r="B52" s="32" t="s">
        <v>1249</v>
      </c>
      <c r="C52" s="444" t="s">
        <v>811</v>
      </c>
      <c r="D52" s="421">
        <f>'JKP-3.1c - Customer Data'!B17</f>
        <v>2</v>
      </c>
      <c r="E52" s="421">
        <f>'JKP-3.1c - Customer Data'!C17</f>
        <v>2</v>
      </c>
      <c r="F52" s="421">
        <f>'JKP-3.1c - Customer Data'!D17</f>
        <v>2</v>
      </c>
      <c r="G52" s="421">
        <f>'JKP-3.1c - Customer Data'!E17</f>
        <v>2</v>
      </c>
      <c r="H52" s="421">
        <f>'JKP-3.1c - Customer Data'!F17</f>
        <v>2</v>
      </c>
      <c r="I52" s="421">
        <f>'JKP-3.1c - Customer Data'!G17</f>
        <v>2</v>
      </c>
      <c r="J52" s="421">
        <f>'JKP-3.1c - Customer Data'!H17</f>
        <v>2</v>
      </c>
      <c r="K52" s="421">
        <f>'JKP-3.1c - Customer Data'!I17</f>
        <v>2</v>
      </c>
      <c r="L52" s="421">
        <f>'JKP-3.1c - Customer Data'!J17</f>
        <v>2</v>
      </c>
      <c r="M52" s="421">
        <f>'JKP-3.1c - Customer Data'!K17</f>
        <v>2</v>
      </c>
      <c r="N52" s="421">
        <f>'JKP-3.1c - Customer Data'!L17</f>
        <v>2</v>
      </c>
      <c r="O52" s="421">
        <f>'JKP-3.1c - Customer Data'!M17</f>
        <v>2</v>
      </c>
      <c r="P52" s="362">
        <f t="shared" si="4"/>
        <v>24</v>
      </c>
    </row>
    <row r="53" spans="2:16" s="336" customFormat="1" x14ac:dyDescent="0.2">
      <c r="B53" s="32" t="s">
        <v>1161</v>
      </c>
      <c r="C53" s="444" t="s">
        <v>808</v>
      </c>
      <c r="D53" s="421">
        <f>'JKP-3.1c - Customer Data'!B21+'JKP-3.1c - 41T 86T Migrat Adj'!B56</f>
        <v>17</v>
      </c>
      <c r="E53" s="421">
        <f>'JKP-3.1c - Customer Data'!C21+'JKP-3.1c - 41T 86T Migrat Adj'!C56</f>
        <v>17</v>
      </c>
      <c r="F53" s="421">
        <f>'JKP-3.1c - Customer Data'!D21+'JKP-3.1c - 41T 86T Migrat Adj'!D56</f>
        <v>16</v>
      </c>
      <c r="G53" s="421">
        <f>'JKP-3.1c - Customer Data'!E21+'JKP-3.1c - 41T 86T Migrat Adj'!E56</f>
        <v>16</v>
      </c>
      <c r="H53" s="421">
        <f>'JKP-3.1c - Customer Data'!F21+'JKP-3.1c - 41T 86T Migrat Adj'!F56</f>
        <v>16</v>
      </c>
      <c r="I53" s="421">
        <f>'JKP-3.1c - Customer Data'!G21+'JKP-3.1c - 41T 86T Migrat Adj'!G56</f>
        <v>16</v>
      </c>
      <c r="J53" s="421">
        <f>'JKP-3.1c - Customer Data'!H21+'JKP-3.1c - 41T 86T Migrat Adj'!H56</f>
        <v>15</v>
      </c>
      <c r="K53" s="421">
        <f>'JKP-3.1c - Customer Data'!I21+'JKP-3.1c - 41T 86T Migrat Adj'!I56</f>
        <v>16</v>
      </c>
      <c r="L53" s="421">
        <f>'JKP-3.1c - Customer Data'!J21+'JKP-3.1c - 41T 86T Migrat Adj'!J56</f>
        <v>16</v>
      </c>
      <c r="M53" s="421">
        <f>'JKP-3.1c - Customer Data'!K21+'JKP-3.1c - 41T 86T Migrat Adj'!K56</f>
        <v>16</v>
      </c>
      <c r="N53" s="421">
        <f>'JKP-3.1c - Customer Data'!L21+'JKP-3.1c - 41T 86T Migrat Adj'!L56</f>
        <v>16</v>
      </c>
      <c r="O53" s="421">
        <f>'JKP-3.1c - Customer Data'!M21+'JKP-3.1c - 41T 86T Migrat Adj'!M56</f>
        <v>16</v>
      </c>
      <c r="P53" s="362">
        <f t="shared" si="4"/>
        <v>193</v>
      </c>
    </row>
    <row r="54" spans="2:16" s="336" customFormat="1" x14ac:dyDescent="0.2">
      <c r="B54" s="32" t="s">
        <v>1162</v>
      </c>
      <c r="C54" s="444" t="s">
        <v>809</v>
      </c>
      <c r="D54" s="421">
        <f>'JKP-3.1c - Customer Data'!B24+'JKP-3.1c - 41T 86T Migrat Adj'!B54</f>
        <v>62</v>
      </c>
      <c r="E54" s="421">
        <f>'JKP-3.1c - Customer Data'!C24+'JKP-3.1c - 41T 86T Migrat Adj'!C54</f>
        <v>61</v>
      </c>
      <c r="F54" s="421">
        <f>'JKP-3.1c - Customer Data'!D24+'JKP-3.1c - 41T 86T Migrat Adj'!D54</f>
        <v>62</v>
      </c>
      <c r="G54" s="421">
        <f>'JKP-3.1c - Customer Data'!E24+'JKP-3.1c - 41T 86T Migrat Adj'!E54</f>
        <v>62</v>
      </c>
      <c r="H54" s="421">
        <f>'JKP-3.1c - Customer Data'!F24+'JKP-3.1c - 41T 86T Migrat Adj'!F54</f>
        <v>62</v>
      </c>
      <c r="I54" s="421">
        <f>'JKP-3.1c - Customer Data'!G24+'JKP-3.1c - 41T 86T Migrat Adj'!G54</f>
        <v>63</v>
      </c>
      <c r="J54" s="421">
        <f>'JKP-3.1c - Customer Data'!H24+'JKP-3.1c - 41T 86T Migrat Adj'!H54</f>
        <v>63</v>
      </c>
      <c r="K54" s="421">
        <f>'JKP-3.1c - Customer Data'!I24+'JKP-3.1c - 41T 86T Migrat Adj'!I54</f>
        <v>62</v>
      </c>
      <c r="L54" s="421">
        <f>'JKP-3.1c - Customer Data'!J24+'JKP-3.1c - 41T 86T Migrat Adj'!J54</f>
        <v>62</v>
      </c>
      <c r="M54" s="421">
        <f>'JKP-3.1c - Customer Data'!K24+'JKP-3.1c - 41T 86T Migrat Adj'!K54</f>
        <v>62</v>
      </c>
      <c r="N54" s="421">
        <f>'JKP-3.1c - Customer Data'!L24+'JKP-3.1c - 41T 86T Migrat Adj'!L54</f>
        <v>62</v>
      </c>
      <c r="O54" s="421">
        <f>'JKP-3.1c - Customer Data'!M24+'JKP-3.1c - 41T 86T Migrat Adj'!M54</f>
        <v>63</v>
      </c>
      <c r="P54" s="362">
        <f t="shared" si="4"/>
        <v>746</v>
      </c>
    </row>
    <row r="55" spans="2:16" s="336" customFormat="1" x14ac:dyDescent="0.2">
      <c r="B55" s="336" t="s">
        <v>1250</v>
      </c>
      <c r="C55" s="444" t="s">
        <v>810</v>
      </c>
      <c r="D55" s="421">
        <f>'JKP-3.1c - Customer Data'!B26+'JKP-3.1c - 41T 86T Migrat Adj'!B57</f>
        <v>1</v>
      </c>
      <c r="E55" s="421">
        <f>'JKP-3.1c - Customer Data'!C26+'JKP-3.1c - 41T 86T Migrat Adj'!C57</f>
        <v>1</v>
      </c>
      <c r="F55" s="421">
        <f>'JKP-3.1c - Customer Data'!D26+'JKP-3.1c - 41T 86T Migrat Adj'!D57</f>
        <v>1</v>
      </c>
      <c r="G55" s="421">
        <f>'JKP-3.1c - Customer Data'!E26+'JKP-3.1c - 41T 86T Migrat Adj'!E57</f>
        <v>1</v>
      </c>
      <c r="H55" s="421">
        <f>'JKP-3.1c - Customer Data'!F26+'JKP-3.1c - 41T 86T Migrat Adj'!F57</f>
        <v>1</v>
      </c>
      <c r="I55" s="421">
        <f>'JKP-3.1c - Customer Data'!G26+'JKP-3.1c - 41T 86T Migrat Adj'!G57</f>
        <v>1</v>
      </c>
      <c r="J55" s="421">
        <f>'JKP-3.1c - Customer Data'!H26+'JKP-3.1c - 41T 86T Migrat Adj'!H57</f>
        <v>1</v>
      </c>
      <c r="K55" s="421">
        <f>'JKP-3.1c - Customer Data'!I26+'JKP-3.1c - 41T 86T Migrat Adj'!I57</f>
        <v>1</v>
      </c>
      <c r="L55" s="421">
        <f>'JKP-3.1c - Customer Data'!J26+'JKP-3.1c - 41T 86T Migrat Adj'!J57</f>
        <v>1</v>
      </c>
      <c r="M55" s="421">
        <f>'JKP-3.1c - Customer Data'!K26+'JKP-3.1c - 41T 86T Migrat Adj'!K57</f>
        <v>1</v>
      </c>
      <c r="N55" s="421">
        <f>'JKP-3.1c - Customer Data'!L26+'JKP-3.1c - 41T 86T Migrat Adj'!L57</f>
        <v>1</v>
      </c>
      <c r="O55" s="421">
        <f>'JKP-3.1c - Customer Data'!M26+'JKP-3.1c - 41T 86T Migrat Adj'!M57</f>
        <v>1</v>
      </c>
      <c r="P55" s="362">
        <f t="shared" si="4"/>
        <v>12</v>
      </c>
    </row>
    <row r="56" spans="2:16" s="336" customFormat="1" x14ac:dyDescent="0.2">
      <c r="B56" s="32" t="s">
        <v>1251</v>
      </c>
      <c r="C56" s="444" t="s">
        <v>811</v>
      </c>
      <c r="D56" s="421">
        <f>'JKP-3.1c - Customer Data'!B28</f>
        <v>11</v>
      </c>
      <c r="E56" s="421">
        <f>'JKP-3.1c - Customer Data'!C28</f>
        <v>11</v>
      </c>
      <c r="F56" s="421">
        <f>'JKP-3.1c - Customer Data'!D28</f>
        <v>11</v>
      </c>
      <c r="G56" s="421">
        <f>'JKP-3.1c - Customer Data'!E28</f>
        <v>11</v>
      </c>
      <c r="H56" s="421">
        <f>'JKP-3.1c - Customer Data'!F28</f>
        <v>11</v>
      </c>
      <c r="I56" s="421">
        <f>'JKP-3.1c - Customer Data'!G28</f>
        <v>11</v>
      </c>
      <c r="J56" s="421">
        <f>'JKP-3.1c - Customer Data'!H28</f>
        <v>11</v>
      </c>
      <c r="K56" s="421">
        <f>'JKP-3.1c - Customer Data'!I28</f>
        <v>11</v>
      </c>
      <c r="L56" s="421">
        <f>'JKP-3.1c - Customer Data'!J28</f>
        <v>11</v>
      </c>
      <c r="M56" s="421">
        <f>'JKP-3.1c - Customer Data'!K28</f>
        <v>11</v>
      </c>
      <c r="N56" s="421">
        <f>'JKP-3.1c - Customer Data'!L28</f>
        <v>11</v>
      </c>
      <c r="O56" s="421">
        <f>'JKP-3.1c - Customer Data'!M28</f>
        <v>10</v>
      </c>
      <c r="P56" s="362">
        <f t="shared" si="4"/>
        <v>131</v>
      </c>
    </row>
    <row r="57" spans="2:16" s="336" customFormat="1" x14ac:dyDescent="0.2">
      <c r="B57" s="336" t="s">
        <v>1252</v>
      </c>
      <c r="C57" s="336">
        <v>99</v>
      </c>
      <c r="D57" s="421">
        <f>'JKP-3.1c - Customer Data'!B30</f>
        <v>12</v>
      </c>
      <c r="E57" s="421">
        <f>'JKP-3.1c - Customer Data'!C30</f>
        <v>12</v>
      </c>
      <c r="F57" s="421">
        <f>'JKP-3.1c - Customer Data'!D30</f>
        <v>12</v>
      </c>
      <c r="G57" s="421">
        <f>'JKP-3.1c - Customer Data'!E30</f>
        <v>12</v>
      </c>
      <c r="H57" s="421">
        <f>'JKP-3.1c - Customer Data'!F30</f>
        <v>12</v>
      </c>
      <c r="I57" s="421">
        <f>'JKP-3.1c - Customer Data'!G30</f>
        <v>12</v>
      </c>
      <c r="J57" s="421">
        <f>'JKP-3.1c - Customer Data'!H30</f>
        <v>12</v>
      </c>
      <c r="K57" s="421">
        <f>'JKP-3.1c - Customer Data'!I30</f>
        <v>12</v>
      </c>
      <c r="L57" s="421">
        <f>'JKP-3.1c - Customer Data'!J30</f>
        <v>12</v>
      </c>
      <c r="M57" s="421">
        <f>'JKP-3.1c - Customer Data'!K30</f>
        <v>12</v>
      </c>
      <c r="N57" s="421">
        <f>'JKP-3.1c - Customer Data'!L30</f>
        <v>12</v>
      </c>
      <c r="O57" s="421">
        <f>'JKP-3.1c - Customer Data'!M30</f>
        <v>12</v>
      </c>
      <c r="P57" s="362">
        <f t="shared" si="4"/>
        <v>144</v>
      </c>
    </row>
    <row r="58" spans="2:16" s="336" customFormat="1" x14ac:dyDescent="0.2">
      <c r="B58" s="336" t="s">
        <v>23</v>
      </c>
      <c r="D58" s="644">
        <f t="shared" ref="D58:L58" si="5">SUM(D34:D57)</f>
        <v>750114</v>
      </c>
      <c r="E58" s="644">
        <f t="shared" si="5"/>
        <v>750882</v>
      </c>
      <c r="F58" s="644">
        <f t="shared" si="5"/>
        <v>751257</v>
      </c>
      <c r="G58" s="644">
        <f t="shared" si="5"/>
        <v>751521</v>
      </c>
      <c r="H58" s="644">
        <f t="shared" si="5"/>
        <v>751045</v>
      </c>
      <c r="I58" s="644">
        <f t="shared" si="5"/>
        <v>750359</v>
      </c>
      <c r="J58" s="644">
        <f t="shared" si="5"/>
        <v>749584</v>
      </c>
      <c r="K58" s="644">
        <f t="shared" si="5"/>
        <v>748632</v>
      </c>
      <c r="L58" s="644">
        <f t="shared" si="5"/>
        <v>748893</v>
      </c>
      <c r="M58" s="644">
        <f>SUM(M34:M57)</f>
        <v>750305</v>
      </c>
      <c r="N58" s="644">
        <f>SUM(N34:N57)</f>
        <v>751996</v>
      </c>
      <c r="O58" s="644">
        <f>SUM(O34:O57)</f>
        <v>753498</v>
      </c>
      <c r="P58" s="644">
        <f>SUM(P34:P57)</f>
        <v>9008086</v>
      </c>
    </row>
    <row r="59" spans="2:16" s="336" customFormat="1" x14ac:dyDescent="0.2">
      <c r="C59" s="382"/>
      <c r="D59" s="362"/>
      <c r="E59" s="362"/>
      <c r="F59" s="362"/>
      <c r="G59" s="362"/>
      <c r="H59" s="362"/>
      <c r="I59" s="362"/>
      <c r="J59" s="362"/>
      <c r="K59" s="362"/>
      <c r="L59" s="362"/>
      <c r="M59" s="362"/>
      <c r="N59" s="362"/>
      <c r="O59" s="362"/>
      <c r="P59" s="362"/>
    </row>
    <row r="60" spans="2:16" x14ac:dyDescent="0.2">
      <c r="B60" s="276" t="s">
        <v>1262</v>
      </c>
      <c r="C60" s="444"/>
      <c r="D60" s="279"/>
      <c r="E60" s="279"/>
      <c r="F60" s="279"/>
      <c r="G60" s="279"/>
      <c r="H60" s="279"/>
      <c r="I60" s="279"/>
      <c r="J60" s="279"/>
      <c r="K60" s="279"/>
      <c r="L60" s="279"/>
      <c r="M60" s="279"/>
      <c r="N60" s="279"/>
      <c r="O60" s="279"/>
      <c r="P60" s="279"/>
    </row>
    <row r="61" spans="2:16" x14ac:dyDescent="0.2">
      <c r="B61" s="32" t="s">
        <v>374</v>
      </c>
      <c r="C61" s="444">
        <v>23</v>
      </c>
      <c r="D61" s="279">
        <f t="shared" ref="D61:L61" si="6">D10/D35</f>
        <v>102.70363867460546</v>
      </c>
      <c r="E61" s="279">
        <f t="shared" si="6"/>
        <v>84.103165510134971</v>
      </c>
      <c r="F61" s="279">
        <f t="shared" si="6"/>
        <v>85.293157413342357</v>
      </c>
      <c r="G61" s="279">
        <f t="shared" si="6"/>
        <v>66.957817084512683</v>
      </c>
      <c r="H61" s="279">
        <f t="shared" si="6"/>
        <v>48.082693207924926</v>
      </c>
      <c r="I61" s="279">
        <f t="shared" si="6"/>
        <v>31.64992864864865</v>
      </c>
      <c r="J61" s="279">
        <f t="shared" si="6"/>
        <v>21.758805026909258</v>
      </c>
      <c r="K61" s="279">
        <f t="shared" si="6"/>
        <v>20.491173446399483</v>
      </c>
      <c r="L61" s="279">
        <f t="shared" si="6"/>
        <v>26.159019980888097</v>
      </c>
      <c r="M61" s="279">
        <f>M10/M35</f>
        <v>52.619773380491708</v>
      </c>
      <c r="N61" s="279">
        <f>N10/N35</f>
        <v>96.990061308244634</v>
      </c>
      <c r="O61" s="279">
        <f>O10/O35</f>
        <v>121.57336426674472</v>
      </c>
      <c r="P61" s="279">
        <f t="shared" ref="P61:P72" si="7">SUM(D61:O61)</f>
        <v>758.38259794884709</v>
      </c>
    </row>
    <row r="62" spans="2:16" x14ac:dyDescent="0.2">
      <c r="B62" s="336" t="s">
        <v>1123</v>
      </c>
      <c r="C62" s="336">
        <v>31</v>
      </c>
      <c r="D62" s="279">
        <f t="shared" ref="D62:O63" si="8">D12/D38</f>
        <v>438.98010718849537</v>
      </c>
      <c r="E62" s="279">
        <f t="shared" si="8"/>
        <v>358.61214258482653</v>
      </c>
      <c r="F62" s="279">
        <f t="shared" si="8"/>
        <v>365.06416561820885</v>
      </c>
      <c r="G62" s="279">
        <f t="shared" si="8"/>
        <v>296.31912578736399</v>
      </c>
      <c r="H62" s="279">
        <f t="shared" si="8"/>
        <v>230.62622492726993</v>
      </c>
      <c r="I62" s="279">
        <f t="shared" si="8"/>
        <v>172.90198525458874</v>
      </c>
      <c r="J62" s="279">
        <f t="shared" si="8"/>
        <v>138.88835894378522</v>
      </c>
      <c r="K62" s="279">
        <f t="shared" si="8"/>
        <v>136.77664679928787</v>
      </c>
      <c r="L62" s="279">
        <f t="shared" si="8"/>
        <v>153.81858655465439</v>
      </c>
      <c r="M62" s="279">
        <f t="shared" si="8"/>
        <v>244.94771115533999</v>
      </c>
      <c r="N62" s="279">
        <f t="shared" si="8"/>
        <v>414.50963465392323</v>
      </c>
      <c r="O62" s="279">
        <f t="shared" si="8"/>
        <v>523.44907914194084</v>
      </c>
      <c r="P62" s="279">
        <f t="shared" si="7"/>
        <v>3474.8937686096847</v>
      </c>
    </row>
    <row r="63" spans="2:16" s="336" customFormat="1" x14ac:dyDescent="0.2">
      <c r="B63" s="336" t="s">
        <v>1124</v>
      </c>
      <c r="C63" s="336">
        <v>41</v>
      </c>
      <c r="D63" s="362">
        <f t="shared" si="8"/>
        <v>4189.0811936155451</v>
      </c>
      <c r="E63" s="362">
        <f t="shared" si="8"/>
        <v>3618.1097984711605</v>
      </c>
      <c r="F63" s="362">
        <f t="shared" si="8"/>
        <v>3803.5519614590503</v>
      </c>
      <c r="G63" s="362">
        <f t="shared" si="8"/>
        <v>3278.8375774260153</v>
      </c>
      <c r="H63" s="362">
        <f t="shared" si="8"/>
        <v>2856.0523776705722</v>
      </c>
      <c r="I63" s="362">
        <f t="shared" si="8"/>
        <v>2234.4620689655171</v>
      </c>
      <c r="J63" s="362">
        <f t="shared" si="8"/>
        <v>1819.3335630599586</v>
      </c>
      <c r="K63" s="362">
        <f t="shared" si="8"/>
        <v>1785.6793628808864</v>
      </c>
      <c r="L63" s="362">
        <f t="shared" si="8"/>
        <v>2020.3711267605634</v>
      </c>
      <c r="M63" s="362">
        <f t="shared" si="8"/>
        <v>2876.3763440860216</v>
      </c>
      <c r="N63" s="362">
        <f t="shared" si="8"/>
        <v>3999.8364418938309</v>
      </c>
      <c r="O63" s="362">
        <f t="shared" si="8"/>
        <v>4640.2121863799284</v>
      </c>
      <c r="P63" s="279">
        <f t="shared" si="7"/>
        <v>37121.904002669049</v>
      </c>
    </row>
    <row r="64" spans="2:16" s="336" customFormat="1" x14ac:dyDescent="0.2">
      <c r="B64" s="336" t="s">
        <v>1132</v>
      </c>
      <c r="C64" s="336">
        <v>41</v>
      </c>
      <c r="D64" s="362">
        <f t="shared" ref="D64:L64" si="9">D18/D45</f>
        <v>12944.009803921568</v>
      </c>
      <c r="E64" s="362">
        <f t="shared" si="9"/>
        <v>11851.038834951456</v>
      </c>
      <c r="F64" s="362">
        <f t="shared" si="9"/>
        <v>13168.66037735849</v>
      </c>
      <c r="G64" s="362">
        <f t="shared" si="9"/>
        <v>12785.161904761904</v>
      </c>
      <c r="H64" s="362">
        <f t="shared" si="9"/>
        <v>12604.018867924528</v>
      </c>
      <c r="I64" s="362">
        <f t="shared" si="9"/>
        <v>11278.811320754718</v>
      </c>
      <c r="J64" s="362">
        <f t="shared" si="9"/>
        <v>10984.094339622641</v>
      </c>
      <c r="K64" s="362">
        <f t="shared" si="9"/>
        <v>11456.16037735849</v>
      </c>
      <c r="L64" s="362">
        <f t="shared" si="9"/>
        <v>11267.084905660377</v>
      </c>
      <c r="M64" s="362">
        <f>M18/M45</f>
        <v>12605.471698113208</v>
      </c>
      <c r="N64" s="362">
        <f>N18/N45</f>
        <v>13164.838095238096</v>
      </c>
      <c r="O64" s="362">
        <f>O18/O45</f>
        <v>13140.104761904762</v>
      </c>
      <c r="P64" s="279">
        <f t="shared" si="7"/>
        <v>147249.45528757025</v>
      </c>
    </row>
    <row r="65" spans="2:17" x14ac:dyDescent="0.2">
      <c r="B65" s="32" t="s">
        <v>1158</v>
      </c>
      <c r="C65" s="444" t="s">
        <v>808</v>
      </c>
      <c r="D65" s="279">
        <f t="shared" ref="D65:O67" si="10">D22/D50</f>
        <v>9315.1333333333332</v>
      </c>
      <c r="E65" s="279">
        <f t="shared" si="10"/>
        <v>8585.3666666666668</v>
      </c>
      <c r="F65" s="279">
        <f t="shared" si="10"/>
        <v>9533.1333333333332</v>
      </c>
      <c r="G65" s="279">
        <f t="shared" si="10"/>
        <v>8664.7333333333336</v>
      </c>
      <c r="H65" s="279">
        <f t="shared" si="10"/>
        <v>7620.166666666667</v>
      </c>
      <c r="I65" s="279">
        <f t="shared" si="10"/>
        <v>6608.666666666667</v>
      </c>
      <c r="J65" s="279">
        <f t="shared" si="10"/>
        <v>6667.9</v>
      </c>
      <c r="K65" s="279">
        <f t="shared" si="10"/>
        <v>6549.833333333333</v>
      </c>
      <c r="L65" s="279">
        <f t="shared" si="10"/>
        <v>6660.4137931034484</v>
      </c>
      <c r="M65" s="279">
        <f t="shared" si="10"/>
        <v>7453.9666666666662</v>
      </c>
      <c r="N65" s="279">
        <f t="shared" si="10"/>
        <v>9500.1</v>
      </c>
      <c r="O65" s="279">
        <f t="shared" si="10"/>
        <v>10616.133333333333</v>
      </c>
      <c r="P65" s="279">
        <f t="shared" si="7"/>
        <v>97775.547126436781</v>
      </c>
    </row>
    <row r="66" spans="2:17" x14ac:dyDescent="0.2">
      <c r="B66" s="32" t="s">
        <v>1159</v>
      </c>
      <c r="C66" s="444" t="s">
        <v>809</v>
      </c>
      <c r="D66" s="279">
        <f t="shared" si="10"/>
        <v>60017.257142857146</v>
      </c>
      <c r="E66" s="279">
        <f t="shared" si="10"/>
        <v>53974.400000000001</v>
      </c>
      <c r="F66" s="279">
        <f t="shared" si="10"/>
        <v>60712.914285714287</v>
      </c>
      <c r="G66" s="279">
        <f t="shared" si="10"/>
        <v>54337.527777777781</v>
      </c>
      <c r="H66" s="279">
        <f t="shared" si="10"/>
        <v>51745.027777777781</v>
      </c>
      <c r="I66" s="279">
        <f t="shared" si="10"/>
        <v>48477.138888888891</v>
      </c>
      <c r="J66" s="279">
        <f t="shared" si="10"/>
        <v>45609.916666666664</v>
      </c>
      <c r="K66" s="279">
        <f t="shared" si="10"/>
        <v>47174.888888888891</v>
      </c>
      <c r="L66" s="279">
        <f t="shared" si="10"/>
        <v>46005.54054054054</v>
      </c>
      <c r="M66" s="279">
        <f t="shared" si="10"/>
        <v>53915.361111111109</v>
      </c>
      <c r="N66" s="279">
        <f t="shared" si="10"/>
        <v>59729.342857142859</v>
      </c>
      <c r="O66" s="279">
        <f t="shared" si="10"/>
        <v>62782.285714285717</v>
      </c>
      <c r="P66" s="279">
        <f t="shared" si="7"/>
        <v>644481.60165165167</v>
      </c>
    </row>
    <row r="67" spans="2:17" x14ac:dyDescent="0.2">
      <c r="B67" s="32" t="s">
        <v>1249</v>
      </c>
      <c r="C67" s="444" t="s">
        <v>811</v>
      </c>
      <c r="D67" s="279">
        <f>D24/D52</f>
        <v>968976</v>
      </c>
      <c r="E67" s="279">
        <f t="shared" si="10"/>
        <v>853906</v>
      </c>
      <c r="F67" s="279">
        <f t="shared" si="10"/>
        <v>910684.5</v>
      </c>
      <c r="G67" s="279">
        <f t="shared" si="10"/>
        <v>839403.5</v>
      </c>
      <c r="H67" s="279">
        <f t="shared" si="10"/>
        <v>772339</v>
      </c>
      <c r="I67" s="279">
        <f t="shared" si="10"/>
        <v>647214.5</v>
      </c>
      <c r="J67" s="279">
        <f t="shared" si="10"/>
        <v>598346</v>
      </c>
      <c r="K67" s="279">
        <f t="shared" si="10"/>
        <v>582405.5</v>
      </c>
      <c r="L67" s="279">
        <f t="shared" si="10"/>
        <v>618878.5</v>
      </c>
      <c r="M67" s="279">
        <f t="shared" si="10"/>
        <v>743559.5</v>
      </c>
      <c r="N67" s="279">
        <f t="shared" si="10"/>
        <v>990628.5</v>
      </c>
      <c r="O67" s="279">
        <f t="shared" si="10"/>
        <v>995449</v>
      </c>
      <c r="P67" s="279">
        <f t="shared" si="7"/>
        <v>9521790.5</v>
      </c>
    </row>
    <row r="68" spans="2:17" x14ac:dyDescent="0.2">
      <c r="B68" s="32" t="s">
        <v>1243</v>
      </c>
      <c r="C68" s="32">
        <v>85</v>
      </c>
      <c r="D68" s="279">
        <f t="shared" ref="D68:O71" si="11">D14/D41</f>
        <v>61621.120000000003</v>
      </c>
      <c r="E68" s="279">
        <f t="shared" si="11"/>
        <v>54636.4</v>
      </c>
      <c r="F68" s="279">
        <f t="shared" si="11"/>
        <v>61721.68</v>
      </c>
      <c r="G68" s="279">
        <f t="shared" si="11"/>
        <v>50061</v>
      </c>
      <c r="H68" s="279">
        <f t="shared" si="11"/>
        <v>42326.185185185182</v>
      </c>
      <c r="I68" s="279">
        <f t="shared" si="11"/>
        <v>31899.592592592591</v>
      </c>
      <c r="J68" s="279">
        <f t="shared" si="11"/>
        <v>26646.629629629631</v>
      </c>
      <c r="K68" s="279">
        <f t="shared" si="11"/>
        <v>25272.259259259259</v>
      </c>
      <c r="L68" s="279">
        <f t="shared" si="11"/>
        <v>27330.222222222223</v>
      </c>
      <c r="M68" s="279">
        <f t="shared" si="11"/>
        <v>40314.481481481482</v>
      </c>
      <c r="N68" s="279">
        <f t="shared" si="11"/>
        <v>54443.814814814818</v>
      </c>
      <c r="O68" s="279">
        <f t="shared" si="11"/>
        <v>58050.888888888891</v>
      </c>
      <c r="P68" s="279">
        <f t="shared" si="7"/>
        <v>534324.27407407411</v>
      </c>
    </row>
    <row r="69" spans="2:17" x14ac:dyDescent="0.2">
      <c r="B69" s="32" t="s">
        <v>1244</v>
      </c>
      <c r="C69" s="32">
        <v>86</v>
      </c>
      <c r="D69" s="279">
        <f t="shared" si="11"/>
        <v>4966.5044776119403</v>
      </c>
      <c r="E69" s="279">
        <f t="shared" si="11"/>
        <v>4219.9670658682635</v>
      </c>
      <c r="F69" s="279">
        <f t="shared" si="11"/>
        <v>4377.2784431137725</v>
      </c>
      <c r="G69" s="279">
        <f t="shared" si="11"/>
        <v>3674.5692771084337</v>
      </c>
      <c r="H69" s="279">
        <f t="shared" si="11"/>
        <v>2951.5</v>
      </c>
      <c r="I69" s="279">
        <f t="shared" si="11"/>
        <v>1887.5933734939758</v>
      </c>
      <c r="J69" s="279">
        <f t="shared" si="11"/>
        <v>1099.5121212121212</v>
      </c>
      <c r="K69" s="279">
        <f t="shared" si="11"/>
        <v>1035.2629969418961</v>
      </c>
      <c r="L69" s="279">
        <f t="shared" si="11"/>
        <v>1516.5521472392638</v>
      </c>
      <c r="M69" s="279">
        <f t="shared" si="11"/>
        <v>2898.45</v>
      </c>
      <c r="N69" s="279">
        <f t="shared" si="11"/>
        <v>4701.0911949685533</v>
      </c>
      <c r="O69" s="279">
        <f t="shared" si="11"/>
        <v>5368.0157232704405</v>
      </c>
      <c r="P69" s="279">
        <f t="shared" si="7"/>
        <v>38696.296820828662</v>
      </c>
    </row>
    <row r="70" spans="2:17" x14ac:dyDescent="0.2">
      <c r="B70" s="336" t="s">
        <v>1260</v>
      </c>
      <c r="C70" s="336">
        <v>87</v>
      </c>
      <c r="D70" s="279">
        <f t="shared" si="11"/>
        <v>374018</v>
      </c>
      <c r="E70" s="279">
        <f t="shared" si="11"/>
        <v>329566.375</v>
      </c>
      <c r="F70" s="279">
        <f t="shared" si="11"/>
        <v>346197.25</v>
      </c>
      <c r="G70" s="279">
        <f t="shared" si="11"/>
        <v>309904.375</v>
      </c>
      <c r="H70" s="279">
        <f t="shared" si="11"/>
        <v>282044.125</v>
      </c>
      <c r="I70" s="279">
        <f t="shared" si="11"/>
        <v>234075.375</v>
      </c>
      <c r="J70" s="279">
        <f t="shared" si="11"/>
        <v>195699</v>
      </c>
      <c r="K70" s="279">
        <f t="shared" si="11"/>
        <v>177981.25</v>
      </c>
      <c r="L70" s="279">
        <f t="shared" si="11"/>
        <v>191191.5</v>
      </c>
      <c r="M70" s="279">
        <f t="shared" si="11"/>
        <v>267839.625</v>
      </c>
      <c r="N70" s="279">
        <f t="shared" si="11"/>
        <v>350939.5</v>
      </c>
      <c r="O70" s="279">
        <f t="shared" si="11"/>
        <v>406985.125</v>
      </c>
      <c r="P70" s="279">
        <f t="shared" si="7"/>
        <v>3466441.5</v>
      </c>
    </row>
    <row r="71" spans="2:17" x14ac:dyDescent="0.2">
      <c r="B71" s="32" t="s">
        <v>1131</v>
      </c>
      <c r="C71" s="32">
        <v>31</v>
      </c>
      <c r="D71" s="279">
        <f t="shared" si="11"/>
        <v>752.24193548387098</v>
      </c>
      <c r="E71" s="279">
        <f t="shared" si="11"/>
        <v>613.01659751037346</v>
      </c>
      <c r="F71" s="279">
        <f t="shared" si="11"/>
        <v>603.12161599333615</v>
      </c>
      <c r="G71" s="279">
        <f t="shared" si="11"/>
        <v>473.58295027162558</v>
      </c>
      <c r="H71" s="279">
        <f t="shared" si="11"/>
        <v>334.0372540812055</v>
      </c>
      <c r="I71" s="279">
        <f t="shared" si="11"/>
        <v>229.06257874842504</v>
      </c>
      <c r="J71" s="279">
        <f t="shared" si="11"/>
        <v>182.15284210526315</v>
      </c>
      <c r="K71" s="279">
        <f t="shared" si="11"/>
        <v>180.1731418918919</v>
      </c>
      <c r="L71" s="279">
        <f t="shared" si="11"/>
        <v>208.27053344623201</v>
      </c>
      <c r="M71" s="279">
        <f t="shared" si="11"/>
        <v>372.25772323317818</v>
      </c>
      <c r="N71" s="279">
        <f t="shared" si="11"/>
        <v>666.05581395348838</v>
      </c>
      <c r="O71" s="279">
        <f t="shared" si="11"/>
        <v>871.78694736842101</v>
      </c>
      <c r="P71" s="279">
        <f t="shared" si="7"/>
        <v>5485.7599340873121</v>
      </c>
    </row>
    <row r="72" spans="2:17" x14ac:dyDescent="0.2">
      <c r="B72" s="336" t="s">
        <v>1252</v>
      </c>
      <c r="C72" s="32">
        <v>99</v>
      </c>
      <c r="D72" s="279">
        <f t="shared" ref="D72:L72" si="12">D29/D57</f>
        <v>293092.5</v>
      </c>
      <c r="E72" s="279">
        <f t="shared" si="12"/>
        <v>278999.75</v>
      </c>
      <c r="F72" s="279">
        <f t="shared" si="12"/>
        <v>304538.41666666669</v>
      </c>
      <c r="G72" s="279">
        <f t="shared" si="12"/>
        <v>269849.91666666669</v>
      </c>
      <c r="H72" s="279">
        <f t="shared" si="12"/>
        <v>233808.75</v>
      </c>
      <c r="I72" s="279">
        <f t="shared" si="12"/>
        <v>184680.66666666666</v>
      </c>
      <c r="J72" s="279">
        <f t="shared" si="12"/>
        <v>167232.75</v>
      </c>
      <c r="K72" s="279">
        <f t="shared" si="12"/>
        <v>161820.16666666666</v>
      </c>
      <c r="L72" s="279">
        <f t="shared" si="12"/>
        <v>164950.58333333334</v>
      </c>
      <c r="M72" s="279">
        <f>M29/M57</f>
        <v>232281.41666666666</v>
      </c>
      <c r="N72" s="279">
        <f>N29/N57</f>
        <v>320169.66666666669</v>
      </c>
      <c r="O72" s="279">
        <f>O29/O57</f>
        <v>322628.66666666669</v>
      </c>
      <c r="P72" s="279">
        <f t="shared" si="7"/>
        <v>2934053.25</v>
      </c>
    </row>
    <row r="73" spans="2:17" x14ac:dyDescent="0.2">
      <c r="C73" s="444"/>
      <c r="D73" s="279"/>
      <c r="E73" s="279"/>
      <c r="F73" s="279"/>
      <c r="G73" s="279"/>
      <c r="H73" s="279"/>
      <c r="I73" s="279"/>
      <c r="J73" s="279"/>
      <c r="K73" s="279"/>
      <c r="L73" s="279"/>
      <c r="M73" s="279"/>
      <c r="N73" s="279"/>
      <c r="O73" s="279"/>
      <c r="P73" s="279"/>
    </row>
    <row r="74" spans="2:17" x14ac:dyDescent="0.2">
      <c r="B74" s="276" t="s">
        <v>1263</v>
      </c>
      <c r="C74" s="444"/>
      <c r="D74" s="279"/>
      <c r="E74" s="279"/>
      <c r="F74" s="279"/>
      <c r="G74" s="279"/>
      <c r="H74" s="279"/>
      <c r="I74" s="279"/>
      <c r="J74" s="279"/>
      <c r="K74" s="279"/>
      <c r="L74" s="279"/>
      <c r="M74" s="279"/>
      <c r="N74" s="279"/>
      <c r="O74" s="279"/>
      <c r="P74" s="279"/>
    </row>
    <row r="75" spans="2:17" s="336" customFormat="1" x14ac:dyDescent="0.2">
      <c r="B75" s="336" t="s">
        <v>1264</v>
      </c>
      <c r="C75" s="382"/>
      <c r="D75" s="380">
        <v>561.95833333333326</v>
      </c>
      <c r="E75" s="380">
        <v>515</v>
      </c>
      <c r="F75" s="380">
        <v>564.35416666666674</v>
      </c>
      <c r="G75" s="380">
        <v>486.20833333333337</v>
      </c>
      <c r="H75" s="380">
        <v>387.70833333333331</v>
      </c>
      <c r="I75" s="380">
        <v>224.20833333333326</v>
      </c>
      <c r="J75" s="380">
        <v>113.20833333333331</v>
      </c>
      <c r="K75" s="380">
        <v>95.458333333333371</v>
      </c>
      <c r="L75" s="380">
        <v>155.33333333333331</v>
      </c>
      <c r="M75" s="380">
        <v>377.16666666666663</v>
      </c>
      <c r="N75" s="380">
        <v>652.29166666666674</v>
      </c>
      <c r="O75" s="380">
        <v>682.875</v>
      </c>
      <c r="P75" s="362">
        <f>SUM(D75:O75)</f>
        <v>4815.7708333333339</v>
      </c>
    </row>
    <row r="76" spans="2:17" s="336" customFormat="1" x14ac:dyDescent="0.2">
      <c r="B76" s="336" t="s">
        <v>1265</v>
      </c>
      <c r="C76" s="382"/>
      <c r="D76" s="380">
        <v>718.78194444444455</v>
      </c>
      <c r="E76" s="380">
        <v>617.91250000000002</v>
      </c>
      <c r="F76" s="380">
        <v>590.78402777777774</v>
      </c>
      <c r="G76" s="380">
        <v>460.42916666666662</v>
      </c>
      <c r="H76" s="380">
        <v>310.46944444444432</v>
      </c>
      <c r="I76" s="380">
        <v>170.40694444444449</v>
      </c>
      <c r="J76" s="380">
        <v>68.854166666666657</v>
      </c>
      <c r="K76" s="380">
        <v>53.57083333333334</v>
      </c>
      <c r="L76" s="380">
        <v>153.99722222222221</v>
      </c>
      <c r="M76" s="380">
        <v>399.82222222222214</v>
      </c>
      <c r="N76" s="380">
        <v>596.13611111111095</v>
      </c>
      <c r="O76" s="380">
        <v>761.69027777777774</v>
      </c>
      <c r="P76" s="362">
        <f>SUM(D76:O76)</f>
        <v>4902.8548611111109</v>
      </c>
    </row>
    <row r="77" spans="2:17" x14ac:dyDescent="0.2">
      <c r="B77" s="32" t="s">
        <v>1266</v>
      </c>
      <c r="C77" s="444"/>
      <c r="D77" s="357">
        <f t="shared" ref="D77:L77" si="13">D75-D76</f>
        <v>-156.82361111111129</v>
      </c>
      <c r="E77" s="357">
        <f t="shared" si="13"/>
        <v>-102.91250000000002</v>
      </c>
      <c r="F77" s="357">
        <f t="shared" si="13"/>
        <v>-26.429861111110995</v>
      </c>
      <c r="G77" s="357">
        <f t="shared" si="13"/>
        <v>25.779166666666754</v>
      </c>
      <c r="H77" s="357">
        <f t="shared" si="13"/>
        <v>77.238888888888994</v>
      </c>
      <c r="I77" s="357">
        <f t="shared" si="13"/>
        <v>53.801388888888766</v>
      </c>
      <c r="J77" s="357">
        <f t="shared" si="13"/>
        <v>44.354166666666657</v>
      </c>
      <c r="K77" s="357">
        <f t="shared" si="13"/>
        <v>41.887500000000031</v>
      </c>
      <c r="L77" s="357">
        <f t="shared" si="13"/>
        <v>1.3361111111111086</v>
      </c>
      <c r="M77" s="357">
        <f>M75-M76</f>
        <v>-22.655555555555509</v>
      </c>
      <c r="N77" s="357">
        <f>N75-N76</f>
        <v>56.155555555555793</v>
      </c>
      <c r="O77" s="357">
        <f>O75-O76</f>
        <v>-78.815277777777737</v>
      </c>
      <c r="P77" s="357">
        <f>P75-P76</f>
        <v>-87.08402777777701</v>
      </c>
      <c r="Q77" s="279"/>
    </row>
    <row r="78" spans="2:17" x14ac:dyDescent="0.2">
      <c r="C78" s="444"/>
      <c r="D78" s="279"/>
      <c r="E78" s="279"/>
      <c r="F78" s="279"/>
      <c r="G78" s="279"/>
      <c r="H78" s="279"/>
      <c r="I78" s="279"/>
      <c r="J78" s="279"/>
      <c r="K78" s="279"/>
      <c r="L78" s="279"/>
      <c r="M78" s="279"/>
      <c r="N78" s="279"/>
      <c r="O78" s="279"/>
      <c r="P78" s="279"/>
    </row>
    <row r="79" spans="2:17" x14ac:dyDescent="0.2">
      <c r="B79" s="276" t="s">
        <v>1267</v>
      </c>
      <c r="C79" s="444"/>
      <c r="D79" s="279"/>
      <c r="E79" s="279"/>
      <c r="F79" s="279"/>
      <c r="G79" s="279"/>
      <c r="H79" s="279"/>
      <c r="I79" s="279"/>
      <c r="J79" s="279"/>
      <c r="K79" s="279"/>
      <c r="L79" s="279"/>
      <c r="M79" s="279"/>
      <c r="N79" s="279"/>
      <c r="O79" s="279"/>
      <c r="P79" s="279"/>
    </row>
    <row r="80" spans="2:17" s="336" customFormat="1" x14ac:dyDescent="0.2">
      <c r="B80" s="32" t="s">
        <v>374</v>
      </c>
      <c r="C80" s="382">
        <v>23</v>
      </c>
      <c r="D80" s="645">
        <v>0.17375542246646</v>
      </c>
      <c r="E80" s="645">
        <v>0.17375542246646</v>
      </c>
      <c r="F80" s="645">
        <v>0.17375542246646</v>
      </c>
      <c r="G80" s="645">
        <v>0.17375542246646</v>
      </c>
      <c r="H80" s="645">
        <v>0.113685084933606</v>
      </c>
      <c r="I80" s="645">
        <v>0.10310811998269501</v>
      </c>
      <c r="J80" s="645">
        <v>0.121591065488711</v>
      </c>
      <c r="K80" s="645">
        <v>0.121591065488711</v>
      </c>
      <c r="L80" s="645">
        <v>0.10310811998269501</v>
      </c>
      <c r="M80" s="645">
        <v>0.113685084933606</v>
      </c>
      <c r="N80" s="645">
        <v>0.17375542246646</v>
      </c>
      <c r="O80" s="645">
        <v>0.17375542246646</v>
      </c>
      <c r="P80" s="362"/>
    </row>
    <row r="81" spans="2:16" s="336" customFormat="1" x14ac:dyDescent="0.2">
      <c r="B81" s="336" t="s">
        <v>1123</v>
      </c>
      <c r="C81" s="336">
        <v>31</v>
      </c>
      <c r="D81" s="645">
        <v>0.67403273761692895</v>
      </c>
      <c r="E81" s="645">
        <v>0.67403273761692895</v>
      </c>
      <c r="F81" s="645">
        <v>0.67403273761692895</v>
      </c>
      <c r="G81" s="645">
        <v>0.67403273761692895</v>
      </c>
      <c r="H81" s="645">
        <v>0.355209282845452</v>
      </c>
      <c r="I81" s="645">
        <v>0.24712716927068901</v>
      </c>
      <c r="J81" s="645">
        <v>0</v>
      </c>
      <c r="K81" s="645">
        <v>0</v>
      </c>
      <c r="L81" s="645">
        <v>0.24712716927068901</v>
      </c>
      <c r="M81" s="645">
        <v>0.355209282845452</v>
      </c>
      <c r="N81" s="645">
        <v>0.67403273761692895</v>
      </c>
      <c r="O81" s="645">
        <v>0.67403273761692895</v>
      </c>
      <c r="P81" s="362"/>
    </row>
    <row r="82" spans="2:16" s="336" customFormat="1" x14ac:dyDescent="0.2">
      <c r="B82" s="336" t="s">
        <v>1124</v>
      </c>
      <c r="C82" s="336">
        <v>41</v>
      </c>
      <c r="D82" s="645">
        <v>3.5050885894550201</v>
      </c>
      <c r="E82" s="645">
        <v>3.5050885894550201</v>
      </c>
      <c r="F82" s="645">
        <v>3.5050885894550201</v>
      </c>
      <c r="G82" s="645">
        <v>3.5050885894550201</v>
      </c>
      <c r="H82" s="645">
        <v>2.0579641752122102</v>
      </c>
      <c r="I82" s="645">
        <v>2.5408514264763302</v>
      </c>
      <c r="J82" s="645">
        <v>0</v>
      </c>
      <c r="K82" s="645">
        <v>0</v>
      </c>
      <c r="L82" s="645">
        <v>2.5408514264763302</v>
      </c>
      <c r="M82" s="645">
        <v>2.0579641752122102</v>
      </c>
      <c r="N82" s="645">
        <v>3.5050885894550201</v>
      </c>
      <c r="O82" s="645">
        <v>3.5050885894550201</v>
      </c>
      <c r="P82" s="362"/>
    </row>
    <row r="83" spans="2:16" s="336" customFormat="1" x14ac:dyDescent="0.2">
      <c r="B83" s="32" t="s">
        <v>1249</v>
      </c>
      <c r="C83" s="444" t="s">
        <v>811</v>
      </c>
      <c r="D83" s="645">
        <v>924.60984513623498</v>
      </c>
      <c r="E83" s="645">
        <v>924.60984513623498</v>
      </c>
      <c r="F83" s="645">
        <v>924.60984513623498</v>
      </c>
      <c r="G83" s="645">
        <v>924.60984513623498</v>
      </c>
      <c r="H83" s="645">
        <v>477.83125469528898</v>
      </c>
      <c r="I83" s="645">
        <v>244.02269020564501</v>
      </c>
      <c r="J83" s="645">
        <v>0</v>
      </c>
      <c r="K83" s="645">
        <v>0</v>
      </c>
      <c r="L83" s="645">
        <v>244.02269020564501</v>
      </c>
      <c r="M83" s="645">
        <v>477.83125469528898</v>
      </c>
      <c r="N83" s="645">
        <v>924.60984513623498</v>
      </c>
      <c r="O83" s="645">
        <v>924.60984513623498</v>
      </c>
      <c r="P83" s="362"/>
    </row>
    <row r="84" spans="2:16" s="336" customFormat="1" x14ac:dyDescent="0.2">
      <c r="B84" s="336" t="s">
        <v>1243</v>
      </c>
      <c r="C84" s="336">
        <v>85</v>
      </c>
      <c r="D84" s="645">
        <v>55.900144291463803</v>
      </c>
      <c r="E84" s="645">
        <v>55.900144291463803</v>
      </c>
      <c r="F84" s="645">
        <v>55.900144291463803</v>
      </c>
      <c r="G84" s="645">
        <v>55.900144291463803</v>
      </c>
      <c r="H84" s="645">
        <v>55.900144291463803</v>
      </c>
      <c r="I84" s="645">
        <v>23.772554921233102</v>
      </c>
      <c r="J84" s="645">
        <v>0</v>
      </c>
      <c r="K84" s="645">
        <v>0</v>
      </c>
      <c r="L84" s="645">
        <v>23.772554921233102</v>
      </c>
      <c r="M84" s="645">
        <v>55.900144291463803</v>
      </c>
      <c r="N84" s="645">
        <v>55.900144291463803</v>
      </c>
      <c r="O84" s="645">
        <v>55.900144291463803</v>
      </c>
      <c r="P84" s="362"/>
    </row>
    <row r="85" spans="2:16" s="336" customFormat="1" x14ac:dyDescent="0.2">
      <c r="B85" s="336" t="s">
        <v>1244</v>
      </c>
      <c r="C85" s="336">
        <v>86</v>
      </c>
      <c r="D85" s="645">
        <v>4.9843508114065802</v>
      </c>
      <c r="E85" s="645">
        <v>4.9843508114065802</v>
      </c>
      <c r="F85" s="645">
        <v>4.9843508114065802</v>
      </c>
      <c r="G85" s="645">
        <v>4.9843508114065802</v>
      </c>
      <c r="H85" s="645">
        <v>4.9843508114065802</v>
      </c>
      <c r="I85" s="645">
        <v>4.3758203205946504</v>
      </c>
      <c r="J85" s="645">
        <v>0</v>
      </c>
      <c r="K85" s="645">
        <v>0</v>
      </c>
      <c r="L85" s="645">
        <v>4.3758203205946504</v>
      </c>
      <c r="M85" s="645">
        <v>4.9843508114065802</v>
      </c>
      <c r="N85" s="645">
        <v>4.9843508114065802</v>
      </c>
      <c r="O85" s="645">
        <v>4.9843508114065802</v>
      </c>
      <c r="P85" s="362"/>
    </row>
    <row r="86" spans="2:16" s="336" customFormat="1" x14ac:dyDescent="0.2">
      <c r="B86" s="336" t="s">
        <v>1260</v>
      </c>
      <c r="C86" s="336">
        <v>87</v>
      </c>
      <c r="D86" s="646">
        <v>279.94927164111499</v>
      </c>
      <c r="E86" s="646">
        <v>279.94927164111499</v>
      </c>
      <c r="F86" s="646">
        <v>279.94927164111499</v>
      </c>
      <c r="G86" s="646">
        <v>279.94927164111499</v>
      </c>
      <c r="H86" s="646">
        <v>279.94927164111499</v>
      </c>
      <c r="I86" s="645">
        <v>221.28286999958499</v>
      </c>
      <c r="J86" s="645">
        <v>0</v>
      </c>
      <c r="K86" s="645">
        <v>0</v>
      </c>
      <c r="L86" s="645">
        <v>221.28286999958499</v>
      </c>
      <c r="M86" s="645">
        <v>279.94927164111499</v>
      </c>
      <c r="N86" s="645">
        <v>279.94927164111499</v>
      </c>
      <c r="O86" s="645">
        <v>279.94927164111499</v>
      </c>
      <c r="P86" s="362"/>
    </row>
    <row r="87" spans="2:16" s="336" customFormat="1" x14ac:dyDescent="0.2">
      <c r="B87" s="336" t="s">
        <v>1131</v>
      </c>
      <c r="C87" s="336">
        <v>31</v>
      </c>
      <c r="D87" s="645">
        <v>1.38429267855863</v>
      </c>
      <c r="E87" s="645">
        <v>1.38429267855863</v>
      </c>
      <c r="F87" s="645">
        <v>1.38429267855863</v>
      </c>
      <c r="G87" s="645">
        <v>1.38429267855863</v>
      </c>
      <c r="H87" s="645">
        <v>0.56454677367481099</v>
      </c>
      <c r="I87" s="645">
        <v>0.28583815683637998</v>
      </c>
      <c r="J87" s="645">
        <v>0</v>
      </c>
      <c r="K87" s="645">
        <v>0</v>
      </c>
      <c r="L87" s="645">
        <v>0.28583815683637998</v>
      </c>
      <c r="M87" s="645">
        <v>0.56454677367481099</v>
      </c>
      <c r="N87" s="645">
        <v>1.38429267855863</v>
      </c>
      <c r="O87" s="645">
        <v>1.38429267855863</v>
      </c>
      <c r="P87" s="362"/>
    </row>
    <row r="88" spans="2:16" s="336" customFormat="1" x14ac:dyDescent="0.2">
      <c r="B88" s="336" t="s">
        <v>1132</v>
      </c>
      <c r="C88" s="336">
        <v>41</v>
      </c>
      <c r="D88" s="645">
        <v>3.9596424279234999</v>
      </c>
      <c r="E88" s="645">
        <v>3.9596424279234999</v>
      </c>
      <c r="F88" s="645">
        <v>3.9596424279234999</v>
      </c>
      <c r="G88" s="645">
        <v>3.9596424279234999</v>
      </c>
      <c r="H88" s="645">
        <v>5.4505201205863703</v>
      </c>
      <c r="I88" s="645">
        <v>5.8084414203140602</v>
      </c>
      <c r="J88" s="645">
        <v>0</v>
      </c>
      <c r="K88" s="645">
        <v>0</v>
      </c>
      <c r="L88" s="645">
        <v>5.7292726214604297</v>
      </c>
      <c r="M88" s="645">
        <v>5.4505201205863703</v>
      </c>
      <c r="N88" s="645">
        <v>3.9596424279234999</v>
      </c>
      <c r="O88" s="645">
        <v>3.9596424279234999</v>
      </c>
      <c r="P88" s="362"/>
    </row>
    <row r="89" spans="2:16" s="336" customFormat="1" x14ac:dyDescent="0.2">
      <c r="B89" s="336" t="s">
        <v>1252</v>
      </c>
      <c r="C89" s="336">
        <v>99</v>
      </c>
      <c r="D89" s="647">
        <v>259.87782475287798</v>
      </c>
      <c r="E89" s="647">
        <v>259.87782475287798</v>
      </c>
      <c r="F89" s="647">
        <v>259.87782475287798</v>
      </c>
      <c r="G89" s="647">
        <v>259.87782475287798</v>
      </c>
      <c r="H89" s="647">
        <v>259.87782475287798</v>
      </c>
      <c r="I89" s="645">
        <v>182.662534338618</v>
      </c>
      <c r="J89" s="645">
        <v>0</v>
      </c>
      <c r="K89" s="645">
        <v>0</v>
      </c>
      <c r="L89" s="645">
        <v>182.662534338618</v>
      </c>
      <c r="M89" s="645">
        <v>259.87782475287798</v>
      </c>
      <c r="N89" s="645">
        <v>259.87782475287798</v>
      </c>
      <c r="O89" s="645">
        <v>259.87782475287798</v>
      </c>
      <c r="P89" s="362"/>
    </row>
    <row r="90" spans="2:16" x14ac:dyDescent="0.2">
      <c r="C90" s="444"/>
      <c r="D90" s="279"/>
      <c r="E90" s="279"/>
      <c r="F90" s="279"/>
      <c r="G90" s="279"/>
      <c r="H90" s="279"/>
      <c r="I90" s="279"/>
      <c r="J90" s="279"/>
      <c r="K90" s="279"/>
      <c r="L90" s="279"/>
      <c r="M90" s="279"/>
      <c r="N90" s="279"/>
      <c r="O90" s="279"/>
      <c r="P90" s="279"/>
    </row>
    <row r="91" spans="2:16" x14ac:dyDescent="0.2">
      <c r="B91" s="276" t="s">
        <v>1268</v>
      </c>
      <c r="C91" s="444"/>
      <c r="D91" s="279"/>
      <c r="E91" s="279"/>
      <c r="F91" s="279"/>
      <c r="G91" s="279"/>
      <c r="H91" s="279"/>
      <c r="I91" s="279"/>
      <c r="J91" s="279"/>
      <c r="K91" s="279"/>
      <c r="L91" s="279"/>
      <c r="M91" s="279"/>
      <c r="N91" s="279"/>
      <c r="O91" s="279"/>
      <c r="P91" s="279"/>
    </row>
    <row r="92" spans="2:16" x14ac:dyDescent="0.2">
      <c r="B92" s="32" t="s">
        <v>374</v>
      </c>
      <c r="C92" s="444">
        <v>23</v>
      </c>
      <c r="D92" s="279">
        <f t="shared" ref="D92:O94" si="14">D61+D80*-D$77</f>
        <v>129.95259147593242</v>
      </c>
      <c r="E92" s="279">
        <f t="shared" si="14"/>
        <v>101.98477042471454</v>
      </c>
      <c r="F92" s="279">
        <f t="shared" si="14"/>
        <v>89.885489096433304</v>
      </c>
      <c r="G92" s="279">
        <f t="shared" si="14"/>
        <v>62.478547089512716</v>
      </c>
      <c r="H92" s="279">
        <f t="shared" si="14"/>
        <v>39.301783564414222</v>
      </c>
      <c r="I92" s="279">
        <f t="shared" si="14"/>
        <v>26.102568587857473</v>
      </c>
      <c r="J92" s="279">
        <f t="shared" si="14"/>
        <v>16.365734643045389</v>
      </c>
      <c r="K92" s="279">
        <f t="shared" si="14"/>
        <v>15.398027690741097</v>
      </c>
      <c r="L92" s="279">
        <f t="shared" si="14"/>
        <v>26.02125607613344</v>
      </c>
      <c r="M92" s="279">
        <f t="shared" si="14"/>
        <v>55.195372138043062</v>
      </c>
      <c r="N92" s="279">
        <f>N61+N80*-N$77</f>
        <v>87.232729028850272</v>
      </c>
      <c r="O92" s="279">
        <f t="shared" si="14"/>
        <v>135.26794615383389</v>
      </c>
      <c r="P92" s="279">
        <f t="shared" ref="P92:P101" si="15">SUM(D92:O92)</f>
        <v>785.18681596951194</v>
      </c>
    </row>
    <row r="93" spans="2:16" x14ac:dyDescent="0.2">
      <c r="B93" s="336" t="s">
        <v>1123</v>
      </c>
      <c r="C93" s="444">
        <v>31</v>
      </c>
      <c r="D93" s="279">
        <f t="shared" si="14"/>
        <v>544.6843551086904</v>
      </c>
      <c r="E93" s="279">
        <f t="shared" si="14"/>
        <v>427.97853669482873</v>
      </c>
      <c r="F93" s="279">
        <f t="shared" si="14"/>
        <v>382.87875725776621</v>
      </c>
      <c r="G93" s="279">
        <f t="shared" si="14"/>
        <v>278.94312350554753</v>
      </c>
      <c r="H93" s="279">
        <f t="shared" si="14"/>
        <v>203.19025459726811</v>
      </c>
      <c r="I93" s="279">
        <f t="shared" si="14"/>
        <v>159.60620031564616</v>
      </c>
      <c r="J93" s="279">
        <f t="shared" si="14"/>
        <v>138.88835894378522</v>
      </c>
      <c r="K93" s="279">
        <f t="shared" si="14"/>
        <v>136.77664679928787</v>
      </c>
      <c r="L93" s="279">
        <f t="shared" si="14"/>
        <v>153.48839719793438</v>
      </c>
      <c r="M93" s="279">
        <f t="shared" si="14"/>
        <v>252.99517479669416</v>
      </c>
      <c r="N93" s="279">
        <f t="shared" si="14"/>
        <v>376.65895181041242</v>
      </c>
      <c r="O93" s="279">
        <f t="shared" si="14"/>
        <v>576.57315658853508</v>
      </c>
      <c r="P93" s="279">
        <f t="shared" si="15"/>
        <v>3632.6619136163963</v>
      </c>
    </row>
    <row r="94" spans="2:16" x14ac:dyDescent="0.2">
      <c r="B94" s="336" t="s">
        <v>1124</v>
      </c>
      <c r="C94" s="336">
        <v>41</v>
      </c>
      <c r="D94" s="279">
        <f t="shared" si="14"/>
        <v>4738.7618434782325</v>
      </c>
      <c r="E94" s="279">
        <f t="shared" si="14"/>
        <v>3978.8272279334506</v>
      </c>
      <c r="F94" s="279">
        <f t="shared" si="14"/>
        <v>3896.1909660604865</v>
      </c>
      <c r="G94" s="279">
        <f t="shared" si="14"/>
        <v>3188.4793144970226</v>
      </c>
      <c r="H94" s="279">
        <f t="shared" si="14"/>
        <v>2697.0975114040421</v>
      </c>
      <c r="I94" s="279">
        <f t="shared" si="14"/>
        <v>2097.7607332607763</v>
      </c>
      <c r="J94" s="279">
        <f t="shared" si="14"/>
        <v>1819.3335630599586</v>
      </c>
      <c r="K94" s="279">
        <f t="shared" si="14"/>
        <v>1785.6793628808864</v>
      </c>
      <c r="L94" s="279">
        <f t="shared" si="14"/>
        <v>2016.9762669379659</v>
      </c>
      <c r="M94" s="279">
        <f t="shared" si="14"/>
        <v>2923.0006657888848</v>
      </c>
      <c r="N94" s="279">
        <f t="shared" si="14"/>
        <v>3803.0062448815447</v>
      </c>
      <c r="O94" s="279">
        <f t="shared" si="14"/>
        <v>4916.4667171935453</v>
      </c>
      <c r="P94" s="279">
        <f t="shared" si="15"/>
        <v>37861.580417376797</v>
      </c>
    </row>
    <row r="95" spans="2:16" x14ac:dyDescent="0.2">
      <c r="B95" s="32" t="s">
        <v>1249</v>
      </c>
      <c r="C95" s="444" t="s">
        <v>811</v>
      </c>
      <c r="D95" s="279">
        <f t="shared" ref="D95:O99" si="16">D67+D83*-D$77</f>
        <v>1113976.6547831497</v>
      </c>
      <c r="E95" s="279">
        <f t="shared" si="16"/>
        <v>949059.9106875828</v>
      </c>
      <c r="F95" s="279">
        <f t="shared" si="16"/>
        <v>935121.80978891649</v>
      </c>
      <c r="G95" s="279">
        <f t="shared" si="16"/>
        <v>815567.82870059204</v>
      </c>
      <c r="H95" s="279">
        <f t="shared" si="16"/>
        <v>735431.8448109522</v>
      </c>
      <c r="I95" s="279">
        <f t="shared" si="16"/>
        <v>634085.74034653325</v>
      </c>
      <c r="J95" s="279">
        <f t="shared" si="16"/>
        <v>598346</v>
      </c>
      <c r="K95" s="279">
        <f t="shared" si="16"/>
        <v>582405.5</v>
      </c>
      <c r="L95" s="279">
        <f t="shared" si="16"/>
        <v>618552.458572253</v>
      </c>
      <c r="M95" s="279">
        <f t="shared" si="16"/>
        <v>754385.03253692994</v>
      </c>
      <c r="N95" s="279">
        <f t="shared" si="16"/>
        <v>938706.52047423832</v>
      </c>
      <c r="O95" s="279">
        <f t="shared" si="16"/>
        <v>1068322.3817804805</v>
      </c>
      <c r="P95" s="279">
        <f t="shared" si="15"/>
        <v>9743961.6824816279</v>
      </c>
    </row>
    <row r="96" spans="2:16" x14ac:dyDescent="0.2">
      <c r="B96" s="32" t="s">
        <v>1243</v>
      </c>
      <c r="C96" s="32">
        <v>85</v>
      </c>
      <c r="D96" s="279">
        <f t="shared" si="16"/>
        <v>70387.582489419525</v>
      </c>
      <c r="E96" s="279">
        <f t="shared" si="16"/>
        <v>60389.223599395271</v>
      </c>
      <c r="F96" s="279">
        <f t="shared" si="16"/>
        <v>63199.113049714455</v>
      </c>
      <c r="G96" s="279">
        <f t="shared" si="16"/>
        <v>48619.940863619631</v>
      </c>
      <c r="H96" s="279">
        <f t="shared" si="16"/>
        <v>38008.520151383949</v>
      </c>
      <c r="I96" s="279">
        <f t="shared" si="16"/>
        <v>30620.596120392864</v>
      </c>
      <c r="J96" s="279">
        <f t="shared" si="16"/>
        <v>26646.629629629631</v>
      </c>
      <c r="K96" s="279">
        <f t="shared" si="16"/>
        <v>25272.259259259259</v>
      </c>
      <c r="L96" s="279">
        <f t="shared" si="16"/>
        <v>27298.459447452464</v>
      </c>
      <c r="M96" s="279">
        <f t="shared" si="16"/>
        <v>41580.930306040311</v>
      </c>
      <c r="N96" s="279">
        <f t="shared" si="16"/>
        <v>51304.71115649194</v>
      </c>
      <c r="O96" s="279">
        <f t="shared" si="16"/>
        <v>62456.674289038463</v>
      </c>
      <c r="P96" s="279">
        <f t="shared" si="15"/>
        <v>545784.64036183781</v>
      </c>
    </row>
    <row r="97" spans="2:25" x14ac:dyDescent="0.2">
      <c r="B97" s="32" t="s">
        <v>1244</v>
      </c>
      <c r="C97" s="32">
        <v>86</v>
      </c>
      <c r="D97" s="279">
        <f t="shared" si="16"/>
        <v>5748.1683709013178</v>
      </c>
      <c r="E97" s="279">
        <f t="shared" si="16"/>
        <v>4732.9190687471437</v>
      </c>
      <c r="F97" s="279">
        <f t="shared" si="16"/>
        <v>4509.0141427883018</v>
      </c>
      <c r="G97" s="279">
        <f t="shared" si="16"/>
        <v>3546.0768668160476</v>
      </c>
      <c r="H97" s="279">
        <f t="shared" si="16"/>
        <v>2566.5142814945234</v>
      </c>
      <c r="I97" s="279">
        <f t="shared" si="16"/>
        <v>1652.1681627177611</v>
      </c>
      <c r="J97" s="279">
        <f t="shared" si="16"/>
        <v>1099.5121212121212</v>
      </c>
      <c r="K97" s="279">
        <f t="shared" si="16"/>
        <v>1035.2629969418961</v>
      </c>
      <c r="L97" s="279">
        <f t="shared" si="16"/>
        <v>1510.7055650886916</v>
      </c>
      <c r="M97" s="279">
        <f t="shared" si="16"/>
        <v>3011.3732367161997</v>
      </c>
      <c r="N97" s="279">
        <f t="shared" si="16"/>
        <v>4421.1922060702318</v>
      </c>
      <c r="O97" s="279">
        <f t="shared" si="16"/>
        <v>5760.8587170133424</v>
      </c>
      <c r="P97" s="279">
        <f t="shared" si="15"/>
        <v>39593.765736507579</v>
      </c>
    </row>
    <row r="98" spans="2:25" x14ac:dyDescent="0.2">
      <c r="B98" s="336" t="s">
        <v>1260</v>
      </c>
      <c r="C98" s="336">
        <v>87</v>
      </c>
      <c r="D98" s="279">
        <f t="shared" si="16"/>
        <v>417920.65570668509</v>
      </c>
      <c r="E98" s="279">
        <f t="shared" si="16"/>
        <v>358376.65441776626</v>
      </c>
      <c r="F98" s="279">
        <f t="shared" si="16"/>
        <v>353596.27036763134</v>
      </c>
      <c r="G98" s="279">
        <f t="shared" si="16"/>
        <v>302687.51606815174</v>
      </c>
      <c r="H98" s="279">
        <f t="shared" si="16"/>
        <v>260421.15431318653</v>
      </c>
      <c r="I98" s="279">
        <f t="shared" si="16"/>
        <v>222170.04925670291</v>
      </c>
      <c r="J98" s="279">
        <f t="shared" si="16"/>
        <v>195699</v>
      </c>
      <c r="K98" s="279">
        <f t="shared" si="16"/>
        <v>177981.25</v>
      </c>
      <c r="L98" s="279">
        <f t="shared" si="16"/>
        <v>190895.84149869499</v>
      </c>
      <c r="M98" s="279">
        <f t="shared" si="16"/>
        <v>274182.03127640259</v>
      </c>
      <c r="N98" s="279">
        <f t="shared" si="16"/>
        <v>335218.79312361998</v>
      </c>
      <c r="O98" s="279">
        <f t="shared" si="16"/>
        <v>429049.40460808104</v>
      </c>
      <c r="P98" s="279">
        <f t="shared" si="15"/>
        <v>3518198.6206369223</v>
      </c>
    </row>
    <row r="99" spans="2:25" x14ac:dyDescent="0.2">
      <c r="B99" s="32" t="s">
        <v>1131</v>
      </c>
      <c r="C99" s="32">
        <v>31</v>
      </c>
      <c r="D99" s="279">
        <f t="shared" si="16"/>
        <v>969.33171217010818</v>
      </c>
      <c r="E99" s="279">
        <f t="shared" si="16"/>
        <v>755.47761779253847</v>
      </c>
      <c r="F99" s="279">
        <f t="shared" si="16"/>
        <v>639.7082792247686</v>
      </c>
      <c r="G99" s="279">
        <f t="shared" si="16"/>
        <v>437.8970385956161</v>
      </c>
      <c r="H99" s="279">
        <f t="shared" si="16"/>
        <v>290.43228855675602</v>
      </c>
      <c r="I99" s="279">
        <f t="shared" si="16"/>
        <v>213.68408891318779</v>
      </c>
      <c r="J99" s="279">
        <f t="shared" si="16"/>
        <v>182.15284210526315</v>
      </c>
      <c r="K99" s="279">
        <f t="shared" si="16"/>
        <v>180.1731418918919</v>
      </c>
      <c r="L99" s="279">
        <f t="shared" si="16"/>
        <v>207.88862190890339</v>
      </c>
      <c r="M99" s="279">
        <f t="shared" si="16"/>
        <v>385.04784402787749</v>
      </c>
      <c r="N99" s="279">
        <f t="shared" si="16"/>
        <v>588.32008953754007</v>
      </c>
      <c r="O99" s="279">
        <f t="shared" si="16"/>
        <v>980.8903593547634</v>
      </c>
      <c r="P99" s="279">
        <f t="shared" si="15"/>
        <v>5831.0039240792157</v>
      </c>
    </row>
    <row r="100" spans="2:25" x14ac:dyDescent="0.2">
      <c r="B100" s="336" t="s">
        <v>1132</v>
      </c>
      <c r="C100" s="336">
        <v>41</v>
      </c>
      <c r="D100" s="279">
        <f t="shared" ref="D100:O100" si="17">D64+D88*-D$77</f>
        <v>13564.9752281773</v>
      </c>
      <c r="E100" s="279">
        <f t="shared" si="17"/>
        <v>12258.535536315134</v>
      </c>
      <c r="F100" s="279">
        <f t="shared" si="17"/>
        <v>13273.313176778171</v>
      </c>
      <c r="G100" s="279">
        <f t="shared" si="17"/>
        <v>12683.085622672059</v>
      </c>
      <c r="H100" s="279">
        <f t="shared" si="17"/>
        <v>12183.026749943903</v>
      </c>
      <c r="I100" s="279">
        <f t="shared" si="17"/>
        <v>10966.309105062071</v>
      </c>
      <c r="J100" s="279">
        <f t="shared" si="17"/>
        <v>10984.094339622641</v>
      </c>
      <c r="K100" s="279">
        <f t="shared" si="17"/>
        <v>11456.16037735849</v>
      </c>
      <c r="L100" s="279">
        <f t="shared" si="17"/>
        <v>11259.429960852258</v>
      </c>
      <c r="M100" s="279">
        <f t="shared" si="17"/>
        <v>12728.956259511826</v>
      </c>
      <c r="N100" s="279">
        <f t="shared" si="17"/>
        <v>12942.482174896702</v>
      </c>
      <c r="O100" s="279">
        <f t="shared" si="17"/>
        <v>13452.185079762226</v>
      </c>
      <c r="P100" s="279">
        <f t="shared" si="15"/>
        <v>147752.55361095275</v>
      </c>
    </row>
    <row r="101" spans="2:25" x14ac:dyDescent="0.2">
      <c r="B101" s="336" t="s">
        <v>1252</v>
      </c>
      <c r="C101" s="32">
        <v>99</v>
      </c>
      <c r="D101" s="279">
        <f t="shared" ref="D101:O101" si="18">D72+D89*-D$77</f>
        <v>333847.47892544686</v>
      </c>
      <c r="E101" s="279">
        <f t="shared" si="18"/>
        <v>305744.42663988058</v>
      </c>
      <c r="F101" s="279">
        <f t="shared" si="18"/>
        <v>311406.95148074289</v>
      </c>
      <c r="G101" s="279">
        <f t="shared" si="18"/>
        <v>263150.4829093914</v>
      </c>
      <c r="H101" s="279">
        <f t="shared" si="18"/>
        <v>213736.07556922629</v>
      </c>
      <c r="I101" s="279">
        <f t="shared" si="18"/>
        <v>174853.16862128468</v>
      </c>
      <c r="J101" s="279">
        <f t="shared" si="18"/>
        <v>167232.75</v>
      </c>
      <c r="K101" s="279">
        <f t="shared" si="18"/>
        <v>161820.16666666666</v>
      </c>
      <c r="L101" s="279">
        <f t="shared" si="18"/>
        <v>164706.52589161979</v>
      </c>
      <c r="M101" s="279">
        <f t="shared" si="18"/>
        <v>238169.09316301241</v>
      </c>
      <c r="N101" s="279">
        <f t="shared" si="18"/>
        <v>305576.08304109948</v>
      </c>
      <c r="O101" s="279">
        <f t="shared" si="18"/>
        <v>343111.00961284939</v>
      </c>
      <c r="P101" s="279">
        <f t="shared" si="15"/>
        <v>2983354.2125212206</v>
      </c>
    </row>
    <row r="102" spans="2:25" x14ac:dyDescent="0.2">
      <c r="C102" s="444"/>
      <c r="D102" s="279"/>
      <c r="E102" s="279"/>
      <c r="F102" s="279"/>
      <c r="G102" s="279"/>
      <c r="H102" s="279"/>
      <c r="I102" s="279"/>
      <c r="J102" s="279"/>
      <c r="K102" s="279"/>
      <c r="L102" s="279"/>
      <c r="M102" s="279"/>
      <c r="N102" s="279"/>
      <c r="O102" s="279"/>
      <c r="P102" s="279"/>
    </row>
    <row r="103" spans="2:25" x14ac:dyDescent="0.2">
      <c r="B103" s="276" t="s">
        <v>1269</v>
      </c>
      <c r="C103" s="444"/>
      <c r="D103" s="279"/>
      <c r="E103" s="279"/>
      <c r="F103" s="279"/>
      <c r="G103" s="279"/>
      <c r="H103" s="279"/>
      <c r="I103" s="279"/>
      <c r="J103" s="279"/>
      <c r="K103" s="279"/>
      <c r="L103" s="279"/>
      <c r="M103" s="279"/>
      <c r="N103" s="279"/>
      <c r="O103" s="279"/>
      <c r="P103" s="279"/>
    </row>
    <row r="104" spans="2:25" x14ac:dyDescent="0.2">
      <c r="B104" s="32" t="s">
        <v>374</v>
      </c>
      <c r="C104" s="444">
        <v>23</v>
      </c>
      <c r="D104" s="279">
        <f t="shared" ref="D104:O104" si="19">D92*D35</f>
        <v>90074949.397853374</v>
      </c>
      <c r="E104" s="279">
        <f t="shared" si="19"/>
        <v>70765702.426153049</v>
      </c>
      <c r="F104" s="279">
        <f t="shared" si="19"/>
        <v>62403450.232644305</v>
      </c>
      <c r="G104" s="279">
        <f t="shared" si="19"/>
        <v>43397223.937092997</v>
      </c>
      <c r="H104" s="279">
        <f t="shared" si="19"/>
        <v>27285852.766348042</v>
      </c>
      <c r="I104" s="279">
        <f t="shared" si="19"/>
        <v>18108656.957826123</v>
      </c>
      <c r="J104" s="279">
        <f t="shared" si="19"/>
        <v>11342599.709055468</v>
      </c>
      <c r="K104" s="279">
        <f t="shared" si="19"/>
        <v>10662456.662619818</v>
      </c>
      <c r="L104" s="279">
        <f t="shared" si="19"/>
        <v>18026537.401814353</v>
      </c>
      <c r="M104" s="279">
        <f t="shared" si="19"/>
        <v>38311935.731597759</v>
      </c>
      <c r="N104" s="279">
        <f t="shared" si="19"/>
        <v>60684756.439855121</v>
      </c>
      <c r="O104" s="279">
        <f t="shared" si="19"/>
        <v>94279188.378245294</v>
      </c>
      <c r="P104" s="279">
        <f t="shared" ref="P104:P113" si="20">SUM(D104:O104)</f>
        <v>545343310.04110575</v>
      </c>
      <c r="Q104" s="279"/>
      <c r="R104" s="279"/>
      <c r="S104" s="279"/>
      <c r="T104" s="648"/>
      <c r="U104" s="279"/>
      <c r="V104" s="279"/>
      <c r="W104" s="279"/>
      <c r="X104" s="279"/>
      <c r="Y104" s="279"/>
    </row>
    <row r="105" spans="2:25" x14ac:dyDescent="0.2">
      <c r="B105" s="336" t="s">
        <v>1123</v>
      </c>
      <c r="C105" s="444">
        <v>31</v>
      </c>
      <c r="D105" s="279">
        <f t="shared" ref="D105:O106" si="21">D93*D38</f>
        <v>28558345.422703747</v>
      </c>
      <c r="E105" s="279">
        <f t="shared" si="21"/>
        <v>22451754.035010714</v>
      </c>
      <c r="F105" s="279">
        <f t="shared" si="21"/>
        <v>20085053.8482279</v>
      </c>
      <c r="G105" s="279">
        <f t="shared" si="21"/>
        <v>14613830.240455635</v>
      </c>
      <c r="H105" s="279">
        <f t="shared" si="21"/>
        <v>10616284.422198065</v>
      </c>
      <c r="I105" s="279">
        <f t="shared" si="21"/>
        <v>8312929.3372401148</v>
      </c>
      <c r="J105" s="279">
        <f t="shared" si="21"/>
        <v>7221778</v>
      </c>
      <c r="K105" s="279">
        <f t="shared" si="21"/>
        <v>7068070</v>
      </c>
      <c r="L105" s="279">
        <f t="shared" si="21"/>
        <v>7929364.0876424881</v>
      </c>
      <c r="M105" s="279">
        <f t="shared" si="21"/>
        <v>13092753.290903719</v>
      </c>
      <c r="N105" s="279">
        <f t="shared" si="21"/>
        <v>19547092.963153161</v>
      </c>
      <c r="O105" s="279">
        <f t="shared" si="21"/>
        <v>30022740.83672161</v>
      </c>
      <c r="P105" s="279">
        <f t="shared" si="20"/>
        <v>189519996.48425713</v>
      </c>
      <c r="Q105" s="279"/>
      <c r="R105" s="279"/>
      <c r="S105" s="279"/>
      <c r="T105" s="648"/>
      <c r="U105" s="279"/>
      <c r="V105" s="279"/>
      <c r="W105" s="279"/>
      <c r="X105" s="279"/>
      <c r="Y105" s="279"/>
    </row>
    <row r="106" spans="2:25" x14ac:dyDescent="0.2">
      <c r="B106" s="336" t="s">
        <v>1124</v>
      </c>
      <c r="C106" s="336">
        <v>41</v>
      </c>
      <c r="D106" s="279">
        <f t="shared" si="21"/>
        <v>6828555.8164521335</v>
      </c>
      <c r="E106" s="279">
        <f t="shared" si="21"/>
        <v>5725532.3809962356</v>
      </c>
      <c r="F106" s="279">
        <f t="shared" si="21"/>
        <v>5661165.4736858867</v>
      </c>
      <c r="G106" s="279">
        <f t="shared" si="21"/>
        <v>4632860.443964174</v>
      </c>
      <c r="H106" s="279">
        <f t="shared" si="21"/>
        <v>3913488.4890472651</v>
      </c>
      <c r="I106" s="279">
        <f t="shared" si="21"/>
        <v>3041753.0632281257</v>
      </c>
      <c r="J106" s="279">
        <f t="shared" si="21"/>
        <v>2639853</v>
      </c>
      <c r="K106" s="279">
        <f t="shared" si="21"/>
        <v>2578521</v>
      </c>
      <c r="L106" s="279">
        <f t="shared" si="21"/>
        <v>2864106.2990519116</v>
      </c>
      <c r="M106" s="279">
        <f t="shared" si="21"/>
        <v>4077585.9287754945</v>
      </c>
      <c r="N106" s="279">
        <f t="shared" si="21"/>
        <v>5301390.7053648736</v>
      </c>
      <c r="O106" s="279">
        <f t="shared" si="21"/>
        <v>6858471.0704849958</v>
      </c>
      <c r="P106" s="279">
        <f t="shared" si="20"/>
        <v>54123283.6710511</v>
      </c>
      <c r="Q106" s="279"/>
      <c r="R106" s="279"/>
      <c r="S106" s="279"/>
      <c r="T106" s="648"/>
      <c r="U106" s="279"/>
      <c r="V106" s="279"/>
      <c r="W106" s="279"/>
      <c r="X106" s="279"/>
      <c r="Y106" s="279"/>
    </row>
    <row r="107" spans="2:25" x14ac:dyDescent="0.2">
      <c r="B107" s="32" t="s">
        <v>1249</v>
      </c>
      <c r="C107" s="444" t="s">
        <v>811</v>
      </c>
      <c r="D107" s="279">
        <f t="shared" ref="D107:O107" si="22">D95*D52</f>
        <v>2227953.3095662994</v>
      </c>
      <c r="E107" s="279">
        <f t="shared" si="22"/>
        <v>1898119.8213751656</v>
      </c>
      <c r="F107" s="279">
        <f t="shared" si="22"/>
        <v>1870243.619577833</v>
      </c>
      <c r="G107" s="279">
        <f t="shared" si="22"/>
        <v>1631135.6574011841</v>
      </c>
      <c r="H107" s="279">
        <f t="shared" si="22"/>
        <v>1470863.6896219044</v>
      </c>
      <c r="I107" s="279">
        <f t="shared" si="22"/>
        <v>1268171.4806930665</v>
      </c>
      <c r="J107" s="279">
        <f t="shared" si="22"/>
        <v>1196692</v>
      </c>
      <c r="K107" s="279">
        <f t="shared" si="22"/>
        <v>1164811</v>
      </c>
      <c r="L107" s="279">
        <f t="shared" si="22"/>
        <v>1237104.917144506</v>
      </c>
      <c r="M107" s="279">
        <f t="shared" si="22"/>
        <v>1508770.0650738599</v>
      </c>
      <c r="N107" s="279">
        <f t="shared" si="22"/>
        <v>1877413.0409484766</v>
      </c>
      <c r="O107" s="279">
        <f t="shared" si="22"/>
        <v>2136644.763560961</v>
      </c>
      <c r="P107" s="279">
        <f t="shared" si="20"/>
        <v>19487923.364963256</v>
      </c>
      <c r="Q107" s="279"/>
      <c r="R107" s="279"/>
      <c r="S107" s="279"/>
      <c r="T107" s="648"/>
      <c r="U107" s="279"/>
      <c r="V107" s="279"/>
      <c r="W107" s="279"/>
      <c r="X107" s="279"/>
      <c r="Y107" s="279"/>
    </row>
    <row r="108" spans="2:25" x14ac:dyDescent="0.2">
      <c r="B108" s="32" t="s">
        <v>1243</v>
      </c>
      <c r="C108" s="32">
        <v>85</v>
      </c>
      <c r="D108" s="279">
        <f t="shared" ref="D108:O112" si="23">D96*D41</f>
        <v>1759689.5622354881</v>
      </c>
      <c r="E108" s="279">
        <f t="shared" si="23"/>
        <v>1509730.5899848817</v>
      </c>
      <c r="F108" s="279">
        <f t="shared" si="23"/>
        <v>1579977.8262428613</v>
      </c>
      <c r="G108" s="279">
        <f t="shared" si="23"/>
        <v>1312738.4033177299</v>
      </c>
      <c r="H108" s="279">
        <f t="shared" si="23"/>
        <v>1026230.0440873667</v>
      </c>
      <c r="I108" s="279">
        <f t="shared" si="23"/>
        <v>826756.09525060735</v>
      </c>
      <c r="J108" s="279">
        <f t="shared" si="23"/>
        <v>719459</v>
      </c>
      <c r="K108" s="279">
        <f t="shared" si="23"/>
        <v>682351</v>
      </c>
      <c r="L108" s="279">
        <f t="shared" si="23"/>
        <v>737058.40508121648</v>
      </c>
      <c r="M108" s="279">
        <f t="shared" si="23"/>
        <v>1122685.1182630884</v>
      </c>
      <c r="N108" s="279">
        <f t="shared" si="23"/>
        <v>1385227.2012252824</v>
      </c>
      <c r="O108" s="279">
        <f t="shared" si="23"/>
        <v>1686330.2058040386</v>
      </c>
      <c r="P108" s="279">
        <f t="shared" si="20"/>
        <v>14348233.451492561</v>
      </c>
      <c r="Q108" s="279"/>
      <c r="R108" s="279"/>
      <c r="S108" s="279"/>
      <c r="T108" s="648"/>
      <c r="U108" s="279"/>
      <c r="V108" s="279"/>
      <c r="W108" s="279"/>
      <c r="X108" s="279"/>
      <c r="Y108" s="279"/>
    </row>
    <row r="109" spans="2:25" x14ac:dyDescent="0.2">
      <c r="B109" s="32" t="s">
        <v>1244</v>
      </c>
      <c r="C109" s="32">
        <v>86</v>
      </c>
      <c r="D109" s="279">
        <f t="shared" si="23"/>
        <v>1925636.4042519415</v>
      </c>
      <c r="E109" s="279">
        <f t="shared" si="23"/>
        <v>1580794.968961546</v>
      </c>
      <c r="F109" s="279">
        <f t="shared" si="23"/>
        <v>1506010.7236912928</v>
      </c>
      <c r="G109" s="279">
        <f t="shared" si="23"/>
        <v>1177297.5197829278</v>
      </c>
      <c r="H109" s="279">
        <f t="shared" si="23"/>
        <v>852082.74145618174</v>
      </c>
      <c r="I109" s="279">
        <f t="shared" si="23"/>
        <v>548519.83002229664</v>
      </c>
      <c r="J109" s="279">
        <f t="shared" si="23"/>
        <v>362839</v>
      </c>
      <c r="K109" s="279">
        <f t="shared" si="23"/>
        <v>338531</v>
      </c>
      <c r="L109" s="279">
        <f t="shared" si="23"/>
        <v>492490.01421891345</v>
      </c>
      <c r="M109" s="279">
        <f t="shared" si="23"/>
        <v>963639.43574918387</v>
      </c>
      <c r="N109" s="279">
        <f t="shared" si="23"/>
        <v>1405939.1215303338</v>
      </c>
      <c r="O109" s="279">
        <f t="shared" si="23"/>
        <v>1831953.0720102428</v>
      </c>
      <c r="P109" s="279">
        <f t="shared" si="20"/>
        <v>12985733.831674863</v>
      </c>
      <c r="Q109" s="279"/>
      <c r="R109" s="279"/>
      <c r="S109" s="279"/>
      <c r="T109" s="648"/>
      <c r="U109" s="279"/>
      <c r="V109" s="279"/>
      <c r="W109" s="279"/>
      <c r="X109" s="279"/>
      <c r="Y109" s="279"/>
    </row>
    <row r="110" spans="2:25" x14ac:dyDescent="0.2">
      <c r="B110" s="336" t="s">
        <v>1260</v>
      </c>
      <c r="C110" s="336">
        <v>87</v>
      </c>
      <c r="D110" s="279">
        <f t="shared" si="23"/>
        <v>3343365.2456534808</v>
      </c>
      <c r="E110" s="279">
        <f t="shared" si="23"/>
        <v>2867013.2353421301</v>
      </c>
      <c r="F110" s="279">
        <f t="shared" si="23"/>
        <v>2828770.1629410507</v>
      </c>
      <c r="G110" s="279">
        <f t="shared" si="23"/>
        <v>2421500.128545214</v>
      </c>
      <c r="H110" s="279">
        <f t="shared" si="23"/>
        <v>2083369.2345054923</v>
      </c>
      <c r="I110" s="279">
        <f t="shared" si="23"/>
        <v>1777360.3940536233</v>
      </c>
      <c r="J110" s="279">
        <f t="shared" si="23"/>
        <v>1565592</v>
      </c>
      <c r="K110" s="279">
        <f t="shared" si="23"/>
        <v>1423850</v>
      </c>
      <c r="L110" s="279">
        <f t="shared" si="23"/>
        <v>1527166.73198956</v>
      </c>
      <c r="M110" s="279">
        <f t="shared" si="23"/>
        <v>2193456.2502112207</v>
      </c>
      <c r="N110" s="279">
        <f t="shared" si="23"/>
        <v>2681750.3449889598</v>
      </c>
      <c r="O110" s="279">
        <f t="shared" si="23"/>
        <v>3432395.2368646483</v>
      </c>
      <c r="P110" s="279">
        <f t="shared" si="20"/>
        <v>28145588.965095378</v>
      </c>
      <c r="Q110" s="279"/>
      <c r="R110" s="279"/>
      <c r="S110" s="279"/>
      <c r="T110" s="648"/>
      <c r="U110" s="279"/>
      <c r="V110" s="279"/>
      <c r="W110" s="279"/>
      <c r="X110" s="279"/>
      <c r="Y110" s="279"/>
    </row>
    <row r="111" spans="2:25" x14ac:dyDescent="0.2">
      <c r="B111" s="32" t="s">
        <v>1131</v>
      </c>
      <c r="C111" s="32">
        <v>31</v>
      </c>
      <c r="D111" s="279">
        <f t="shared" si="23"/>
        <v>2343844.0800273214</v>
      </c>
      <c r="E111" s="279">
        <f t="shared" si="23"/>
        <v>1820701.0588800176</v>
      </c>
      <c r="F111" s="279">
        <f t="shared" si="23"/>
        <v>1535939.5784186695</v>
      </c>
      <c r="G111" s="279">
        <f t="shared" si="23"/>
        <v>1047887.6133593093</v>
      </c>
      <c r="H111" s="279">
        <f t="shared" si="23"/>
        <v>693842.73736209015</v>
      </c>
      <c r="I111" s="279">
        <f t="shared" si="23"/>
        <v>508781.81570230011</v>
      </c>
      <c r="J111" s="279">
        <f t="shared" si="23"/>
        <v>432613</v>
      </c>
      <c r="K111" s="279">
        <f t="shared" si="23"/>
        <v>426650</v>
      </c>
      <c r="L111" s="279">
        <f t="shared" si="23"/>
        <v>491032.92494882981</v>
      </c>
      <c r="M111" s="279">
        <f t="shared" si="23"/>
        <v>909868.05543787451</v>
      </c>
      <c r="N111" s="279">
        <f t="shared" si="23"/>
        <v>1391377.0117562823</v>
      </c>
      <c r="O111" s="279">
        <f t="shared" si="23"/>
        <v>2329614.6034675632</v>
      </c>
      <c r="P111" s="279">
        <f t="shared" si="20"/>
        <v>13932152.479360258</v>
      </c>
      <c r="Q111" s="279"/>
      <c r="R111" s="279"/>
      <c r="S111" s="279"/>
      <c r="T111" s="648"/>
      <c r="U111" s="279"/>
      <c r="V111" s="279"/>
      <c r="W111" s="279"/>
      <c r="X111" s="279"/>
      <c r="Y111" s="279"/>
    </row>
    <row r="112" spans="2:25" x14ac:dyDescent="0.2">
      <c r="B112" s="336" t="s">
        <v>1132</v>
      </c>
      <c r="C112" s="336">
        <v>41</v>
      </c>
      <c r="D112" s="279">
        <f t="shared" si="23"/>
        <v>1383627.4732740845</v>
      </c>
      <c r="E112" s="279">
        <f t="shared" si="23"/>
        <v>1262629.1602404588</v>
      </c>
      <c r="F112" s="279">
        <f t="shared" si="23"/>
        <v>1406971.1967384862</v>
      </c>
      <c r="G112" s="279">
        <f t="shared" si="23"/>
        <v>1331723.9903805661</v>
      </c>
      <c r="H112" s="279">
        <f t="shared" si="23"/>
        <v>1291400.8354940538</v>
      </c>
      <c r="I112" s="279">
        <f t="shared" si="23"/>
        <v>1162428.7651365795</v>
      </c>
      <c r="J112" s="279">
        <f t="shared" si="23"/>
        <v>1164314</v>
      </c>
      <c r="K112" s="279">
        <f t="shared" si="23"/>
        <v>1214353</v>
      </c>
      <c r="L112" s="279">
        <f t="shared" si="23"/>
        <v>1193499.5758503394</v>
      </c>
      <c r="M112" s="279">
        <f t="shared" si="23"/>
        <v>1349269.3635082536</v>
      </c>
      <c r="N112" s="279">
        <f t="shared" si="23"/>
        <v>1358960.6283641537</v>
      </c>
      <c r="O112" s="279">
        <f t="shared" si="23"/>
        <v>1412479.4333750338</v>
      </c>
      <c r="P112" s="279">
        <f t="shared" si="20"/>
        <v>15531657.422362011</v>
      </c>
      <c r="Q112" s="279"/>
      <c r="R112" s="279"/>
      <c r="S112" s="279"/>
      <c r="T112" s="648"/>
      <c r="U112" s="279"/>
      <c r="V112" s="279"/>
      <c r="W112" s="279"/>
      <c r="X112" s="279"/>
      <c r="Y112" s="279"/>
    </row>
    <row r="113" spans="2:25" x14ac:dyDescent="0.2">
      <c r="B113" s="336" t="s">
        <v>1252</v>
      </c>
      <c r="C113" s="32">
        <v>99</v>
      </c>
      <c r="D113" s="279">
        <f t="shared" ref="D113:O113" si="24">D101*D57</f>
        <v>4006169.7471053624</v>
      </c>
      <c r="E113" s="279">
        <f t="shared" si="24"/>
        <v>3668933.1196785672</v>
      </c>
      <c r="F113" s="279">
        <f t="shared" si="24"/>
        <v>3736883.4177689147</v>
      </c>
      <c r="G113" s="279">
        <f t="shared" si="24"/>
        <v>3157805.7949126968</v>
      </c>
      <c r="H113" s="279">
        <f t="shared" si="24"/>
        <v>2564832.9068307155</v>
      </c>
      <c r="I113" s="279">
        <f t="shared" si="24"/>
        <v>2098238.0234554163</v>
      </c>
      <c r="J113" s="279">
        <f t="shared" si="24"/>
        <v>2006793</v>
      </c>
      <c r="K113" s="279">
        <f t="shared" si="24"/>
        <v>1941842</v>
      </c>
      <c r="L113" s="279">
        <f t="shared" si="24"/>
        <v>1976478.3106994375</v>
      </c>
      <c r="M113" s="279">
        <f t="shared" si="24"/>
        <v>2858029.1179561489</v>
      </c>
      <c r="N113" s="279">
        <f t="shared" si="24"/>
        <v>3666912.9964931938</v>
      </c>
      <c r="O113" s="279">
        <f t="shared" si="24"/>
        <v>4117332.1153541924</v>
      </c>
      <c r="P113" s="279">
        <f t="shared" si="20"/>
        <v>35800250.55025465</v>
      </c>
      <c r="Q113" s="279"/>
      <c r="R113" s="279"/>
      <c r="S113" s="279"/>
      <c r="T113" s="648"/>
      <c r="U113" s="279"/>
      <c r="V113" s="279"/>
      <c r="W113" s="279"/>
      <c r="X113" s="279"/>
      <c r="Y113" s="279"/>
    </row>
    <row r="114" spans="2:25" x14ac:dyDescent="0.2">
      <c r="B114" s="32" t="s">
        <v>1270</v>
      </c>
      <c r="C114" s="444"/>
      <c r="D114" s="357">
        <f t="shared" ref="D114:L114" si="25">SUM(D104:D113)</f>
        <v>142452136.45912322</v>
      </c>
      <c r="E114" s="357">
        <f t="shared" si="25"/>
        <v>113550910.79662277</v>
      </c>
      <c r="F114" s="357">
        <f t="shared" si="25"/>
        <v>102614466.07993722</v>
      </c>
      <c r="G114" s="357">
        <f t="shared" si="25"/>
        <v>74724003.729212433</v>
      </c>
      <c r="H114" s="357">
        <f t="shared" si="25"/>
        <v>51798247.866951168</v>
      </c>
      <c r="I114" s="357">
        <f t="shared" si="25"/>
        <v>37653595.762608252</v>
      </c>
      <c r="J114" s="357">
        <f t="shared" si="25"/>
        <v>28652532.709055468</v>
      </c>
      <c r="K114" s="357">
        <f t="shared" si="25"/>
        <v>27501435.662619818</v>
      </c>
      <c r="L114" s="357">
        <f t="shared" si="25"/>
        <v>36474838.668441556</v>
      </c>
      <c r="M114" s="357">
        <f>SUM(M104:M113)</f>
        <v>66387992.357476607</v>
      </c>
      <c r="N114" s="357">
        <f>SUM(N104:N113)</f>
        <v>99300820.453679845</v>
      </c>
      <c r="O114" s="357">
        <f>SUM(O104:O113)</f>
        <v>148107149.71588859</v>
      </c>
      <c r="P114" s="357">
        <f>SUM(P104:P113)</f>
        <v>929218130.26161695</v>
      </c>
    </row>
    <row r="115" spans="2:25" x14ac:dyDescent="0.2">
      <c r="C115" s="444"/>
      <c r="D115" s="279"/>
      <c r="E115" s="279"/>
      <c r="F115" s="279"/>
      <c r="G115" s="279"/>
      <c r="H115" s="279"/>
      <c r="I115" s="279"/>
      <c r="J115" s="279"/>
      <c r="K115" s="279"/>
      <c r="L115" s="279"/>
      <c r="M115" s="279"/>
      <c r="N115" s="279"/>
      <c r="O115" s="279"/>
      <c r="P115" s="279"/>
    </row>
    <row r="116" spans="2:25" s="336" customFormat="1" x14ac:dyDescent="0.2">
      <c r="B116" s="182" t="s">
        <v>1271</v>
      </c>
      <c r="D116" s="362"/>
      <c r="E116" s="362"/>
      <c r="F116" s="362"/>
      <c r="G116" s="362"/>
      <c r="H116" s="362"/>
      <c r="I116" s="362"/>
      <c r="J116" s="362"/>
      <c r="K116" s="362"/>
      <c r="L116" s="362"/>
      <c r="M116" s="362"/>
      <c r="N116" s="362"/>
      <c r="O116" s="362"/>
      <c r="P116" s="362"/>
    </row>
    <row r="117" spans="2:25" s="336" customFormat="1" x14ac:dyDescent="0.2">
      <c r="B117" s="32" t="s">
        <v>374</v>
      </c>
      <c r="C117" s="382">
        <v>23</v>
      </c>
      <c r="D117" s="362">
        <f t="shared" ref="D117:O117" si="26">D104-D10</f>
        <v>18887257.397853374</v>
      </c>
      <c r="E117" s="362">
        <f t="shared" si="26"/>
        <v>12407777.426153049</v>
      </c>
      <c r="F117" s="362">
        <f t="shared" si="26"/>
        <v>3188249.2326443046</v>
      </c>
      <c r="G117" s="362">
        <f t="shared" si="26"/>
        <v>-3111274.0629070029</v>
      </c>
      <c r="H117" s="362">
        <f t="shared" si="26"/>
        <v>-6096278.2336519584</v>
      </c>
      <c r="I117" s="362">
        <f t="shared" si="26"/>
        <v>-3848481.0421738774</v>
      </c>
      <c r="J117" s="362">
        <f t="shared" si="26"/>
        <v>-3737775.2909445316</v>
      </c>
      <c r="K117" s="362">
        <f t="shared" si="26"/>
        <v>-3526779.337380182</v>
      </c>
      <c r="L117" s="362">
        <f t="shared" si="26"/>
        <v>-95437.598185647279</v>
      </c>
      <c r="M117" s="362">
        <f t="shared" si="26"/>
        <v>1787761.7315977588</v>
      </c>
      <c r="N117" s="362">
        <f t="shared" si="26"/>
        <v>-6787834.5601448789</v>
      </c>
      <c r="O117" s="362">
        <f t="shared" si="26"/>
        <v>9544863.3782452941</v>
      </c>
      <c r="P117" s="362">
        <f t="shared" ref="P117:P126" si="27">SUM(D117:O117)</f>
        <v>18612049.041105703</v>
      </c>
      <c r="R117" s="362"/>
      <c r="S117" s="380"/>
      <c r="T117" s="649"/>
    </row>
    <row r="118" spans="2:25" s="336" customFormat="1" x14ac:dyDescent="0.2">
      <c r="B118" s="336" t="s">
        <v>1123</v>
      </c>
      <c r="C118" s="444">
        <v>31</v>
      </c>
      <c r="D118" s="362">
        <f t="shared" ref="D118:O119" si="28">D105-D12</f>
        <v>5542179.4227037467</v>
      </c>
      <c r="E118" s="362">
        <f t="shared" si="28"/>
        <v>3638961.0350107141</v>
      </c>
      <c r="F118" s="362">
        <f t="shared" si="28"/>
        <v>934517.84822789952</v>
      </c>
      <c r="G118" s="362">
        <f t="shared" si="28"/>
        <v>-910328.75954436511</v>
      </c>
      <c r="H118" s="362">
        <f t="shared" si="28"/>
        <v>-1433474.5778019354</v>
      </c>
      <c r="I118" s="362">
        <f t="shared" si="28"/>
        <v>-692497.66275988519</v>
      </c>
      <c r="J118" s="362">
        <f t="shared" si="28"/>
        <v>0</v>
      </c>
      <c r="K118" s="362">
        <f t="shared" si="28"/>
        <v>0</v>
      </c>
      <c r="L118" s="362">
        <f t="shared" si="28"/>
        <v>-17057.91235751193</v>
      </c>
      <c r="M118" s="362">
        <f t="shared" si="28"/>
        <v>416464.29090371914</v>
      </c>
      <c r="N118" s="362">
        <f t="shared" si="28"/>
        <v>-1964299.0368468389</v>
      </c>
      <c r="O118" s="362">
        <f t="shared" si="28"/>
        <v>2766223.8367216103</v>
      </c>
      <c r="P118" s="362">
        <f t="shared" si="27"/>
        <v>8280688.4842571532</v>
      </c>
      <c r="R118" s="362"/>
      <c r="S118" s="380"/>
      <c r="T118" s="649"/>
    </row>
    <row r="119" spans="2:25" s="336" customFormat="1" x14ac:dyDescent="0.2">
      <c r="B119" s="336" t="s">
        <v>1124</v>
      </c>
      <c r="C119" s="336">
        <v>41</v>
      </c>
      <c r="D119" s="362">
        <f t="shared" si="28"/>
        <v>792089.81645213347</v>
      </c>
      <c r="E119" s="362">
        <f t="shared" si="28"/>
        <v>519072.38099623565</v>
      </c>
      <c r="F119" s="362">
        <f t="shared" si="28"/>
        <v>134604.47368588671</v>
      </c>
      <c r="G119" s="362">
        <f t="shared" si="28"/>
        <v>-131290.55603582598</v>
      </c>
      <c r="H119" s="362">
        <f t="shared" si="28"/>
        <v>-230643.51095273485</v>
      </c>
      <c r="I119" s="362">
        <f t="shared" si="28"/>
        <v>-198216.93677187432</v>
      </c>
      <c r="J119" s="362">
        <f t="shared" si="28"/>
        <v>0</v>
      </c>
      <c r="K119" s="362">
        <f t="shared" si="28"/>
        <v>0</v>
      </c>
      <c r="L119" s="362">
        <f t="shared" si="28"/>
        <v>-4820.7009480884299</v>
      </c>
      <c r="M119" s="362">
        <f t="shared" si="28"/>
        <v>65040.928775494453</v>
      </c>
      <c r="N119" s="362">
        <f t="shared" si="28"/>
        <v>-274381.29463512637</v>
      </c>
      <c r="O119" s="362">
        <f t="shared" si="28"/>
        <v>385375.07048499584</v>
      </c>
      <c r="P119" s="362">
        <f t="shared" si="27"/>
        <v>1056829.6710510962</v>
      </c>
      <c r="R119" s="362"/>
      <c r="S119" s="380"/>
      <c r="T119" s="649"/>
    </row>
    <row r="120" spans="2:25" s="336" customFormat="1" x14ac:dyDescent="0.2">
      <c r="B120" s="32" t="s">
        <v>1249</v>
      </c>
      <c r="C120" s="444" t="s">
        <v>811</v>
      </c>
      <c r="D120" s="362">
        <f t="shared" ref="D120:O120" si="29">D107-D24</f>
        <v>290001.30956629943</v>
      </c>
      <c r="E120" s="362">
        <f t="shared" si="29"/>
        <v>190307.8213751656</v>
      </c>
      <c r="F120" s="362">
        <f t="shared" si="29"/>
        <v>48874.619577832986</v>
      </c>
      <c r="G120" s="362">
        <f t="shared" si="29"/>
        <v>-47671.342598815914</v>
      </c>
      <c r="H120" s="362">
        <f t="shared" si="29"/>
        <v>-73814.310378095601</v>
      </c>
      <c r="I120" s="362">
        <f t="shared" si="29"/>
        <v>-26257.519306933507</v>
      </c>
      <c r="J120" s="362">
        <f t="shared" si="29"/>
        <v>0</v>
      </c>
      <c r="K120" s="362">
        <f t="shared" si="29"/>
        <v>0</v>
      </c>
      <c r="L120" s="362">
        <f t="shared" si="29"/>
        <v>-652.08285549399443</v>
      </c>
      <c r="M120" s="362">
        <f t="shared" si="29"/>
        <v>21651.065073859878</v>
      </c>
      <c r="N120" s="362">
        <f t="shared" si="29"/>
        <v>-103843.95905152336</v>
      </c>
      <c r="O120" s="362">
        <f t="shared" si="29"/>
        <v>145746.763560961</v>
      </c>
      <c r="P120" s="362">
        <f t="shared" si="27"/>
        <v>444342.36496325652</v>
      </c>
      <c r="R120" s="362"/>
      <c r="S120" s="380"/>
      <c r="T120" s="649"/>
    </row>
    <row r="121" spans="2:25" s="336" customFormat="1" x14ac:dyDescent="0.2">
      <c r="B121" s="336" t="s">
        <v>1243</v>
      </c>
      <c r="C121" s="336">
        <v>85</v>
      </c>
      <c r="D121" s="362">
        <f t="shared" ref="D121:O125" si="30">D108-D14</f>
        <v>219161.56223548809</v>
      </c>
      <c r="E121" s="362">
        <f t="shared" si="30"/>
        <v>143820.58998488169</v>
      </c>
      <c r="F121" s="362">
        <f t="shared" si="30"/>
        <v>36935.826242861338</v>
      </c>
      <c r="G121" s="362">
        <f t="shared" si="30"/>
        <v>-38908.596682270057</v>
      </c>
      <c r="H121" s="362">
        <f t="shared" si="30"/>
        <v>-116576.95591263333</v>
      </c>
      <c r="I121" s="362">
        <f t="shared" si="30"/>
        <v>-34532.904749392648</v>
      </c>
      <c r="J121" s="362">
        <f t="shared" si="30"/>
        <v>0</v>
      </c>
      <c r="K121" s="362">
        <f t="shared" si="30"/>
        <v>0</v>
      </c>
      <c r="L121" s="362">
        <f t="shared" si="30"/>
        <v>-857.59491878352128</v>
      </c>
      <c r="M121" s="362">
        <f t="shared" si="30"/>
        <v>34194.1182630884</v>
      </c>
      <c r="N121" s="362">
        <f t="shared" si="30"/>
        <v>-84755.798774717608</v>
      </c>
      <c r="O121" s="362">
        <f t="shared" si="30"/>
        <v>118956.20580403856</v>
      </c>
      <c r="P121" s="362">
        <f t="shared" si="27"/>
        <v>277436.45149256091</v>
      </c>
      <c r="R121" s="362"/>
      <c r="S121" s="380"/>
      <c r="T121" s="649"/>
    </row>
    <row r="122" spans="2:25" s="336" customFormat="1" x14ac:dyDescent="0.2">
      <c r="B122" s="336" t="s">
        <v>1244</v>
      </c>
      <c r="C122" s="336">
        <v>86</v>
      </c>
      <c r="D122" s="362">
        <f t="shared" si="30"/>
        <v>261857.40425194148</v>
      </c>
      <c r="E122" s="362">
        <f t="shared" si="30"/>
        <v>171325.96896154596</v>
      </c>
      <c r="F122" s="362">
        <f t="shared" si="30"/>
        <v>43999.723691292806</v>
      </c>
      <c r="G122" s="362">
        <f t="shared" si="30"/>
        <v>-42659.480217072181</v>
      </c>
      <c r="H122" s="362">
        <f t="shared" si="30"/>
        <v>-127815.25854381826</v>
      </c>
      <c r="I122" s="362">
        <f t="shared" si="30"/>
        <v>-78161.169977703365</v>
      </c>
      <c r="J122" s="362">
        <f t="shared" si="30"/>
        <v>0</v>
      </c>
      <c r="K122" s="362">
        <f t="shared" si="30"/>
        <v>0</v>
      </c>
      <c r="L122" s="362">
        <f t="shared" si="30"/>
        <v>-1905.9857810865506</v>
      </c>
      <c r="M122" s="362">
        <f t="shared" si="30"/>
        <v>36135.435749183875</v>
      </c>
      <c r="N122" s="362">
        <f t="shared" si="30"/>
        <v>-89007.878469666233</v>
      </c>
      <c r="O122" s="362">
        <f t="shared" si="30"/>
        <v>124924.07201024285</v>
      </c>
      <c r="P122" s="362">
        <f t="shared" si="27"/>
        <v>298692.83167486038</v>
      </c>
      <c r="R122" s="362"/>
      <c r="S122" s="380"/>
      <c r="T122" s="649"/>
    </row>
    <row r="123" spans="2:25" s="336" customFormat="1" x14ac:dyDescent="0.2">
      <c r="B123" s="336" t="s">
        <v>1260</v>
      </c>
      <c r="C123" s="336">
        <v>87</v>
      </c>
      <c r="D123" s="362">
        <f t="shared" si="30"/>
        <v>351221.24565348076</v>
      </c>
      <c r="E123" s="362">
        <f t="shared" si="30"/>
        <v>230482.23534213006</v>
      </c>
      <c r="F123" s="362">
        <f t="shared" si="30"/>
        <v>59192.162941050716</v>
      </c>
      <c r="G123" s="362">
        <f t="shared" si="30"/>
        <v>-57734.871454786044</v>
      </c>
      <c r="H123" s="362">
        <f t="shared" si="30"/>
        <v>-172983.76549450774</v>
      </c>
      <c r="I123" s="362">
        <f t="shared" si="30"/>
        <v>-95242.605946376687</v>
      </c>
      <c r="J123" s="362">
        <f t="shared" si="30"/>
        <v>0</v>
      </c>
      <c r="K123" s="362">
        <f t="shared" si="30"/>
        <v>0</v>
      </c>
      <c r="L123" s="362">
        <f t="shared" si="30"/>
        <v>-2365.2680104400497</v>
      </c>
      <c r="M123" s="362">
        <f t="shared" si="30"/>
        <v>50739.2502112207</v>
      </c>
      <c r="N123" s="362">
        <f t="shared" si="30"/>
        <v>-125765.65501104016</v>
      </c>
      <c r="O123" s="362">
        <f t="shared" si="30"/>
        <v>176514.23686464829</v>
      </c>
      <c r="P123" s="362">
        <f t="shared" si="27"/>
        <v>414056.96509537986</v>
      </c>
      <c r="R123" s="362"/>
      <c r="S123" s="380"/>
      <c r="T123" s="649"/>
    </row>
    <row r="124" spans="2:25" s="336" customFormat="1" x14ac:dyDescent="0.2">
      <c r="B124" s="336" t="s">
        <v>1131</v>
      </c>
      <c r="C124" s="336">
        <v>31</v>
      </c>
      <c r="D124" s="362">
        <f t="shared" si="30"/>
        <v>524923.08002732135</v>
      </c>
      <c r="E124" s="362">
        <f t="shared" si="30"/>
        <v>343331.0588800176</v>
      </c>
      <c r="F124" s="362">
        <f t="shared" si="30"/>
        <v>87844.578418669524</v>
      </c>
      <c r="G124" s="362">
        <f t="shared" si="30"/>
        <v>-85396.386640690733</v>
      </c>
      <c r="H124" s="362">
        <f t="shared" si="30"/>
        <v>-104172.26263790985</v>
      </c>
      <c r="I124" s="362">
        <f t="shared" si="30"/>
        <v>-36616.184297699889</v>
      </c>
      <c r="J124" s="362">
        <f t="shared" si="30"/>
        <v>0</v>
      </c>
      <c r="K124" s="362">
        <f t="shared" si="30"/>
        <v>0</v>
      </c>
      <c r="L124" s="362">
        <f t="shared" si="30"/>
        <v>-902.07505117019173</v>
      </c>
      <c r="M124" s="362">
        <f t="shared" si="30"/>
        <v>30223.055437874515</v>
      </c>
      <c r="N124" s="362">
        <f t="shared" si="30"/>
        <v>-183844.9882437177</v>
      </c>
      <c r="O124" s="362">
        <f t="shared" si="30"/>
        <v>259120.60346756317</v>
      </c>
      <c r="P124" s="362">
        <f t="shared" si="27"/>
        <v>834510.47936025786</v>
      </c>
      <c r="R124" s="362"/>
      <c r="S124" s="380"/>
      <c r="T124" s="649"/>
    </row>
    <row r="125" spans="2:25" s="336" customFormat="1" x14ac:dyDescent="0.2">
      <c r="B125" s="336" t="s">
        <v>1132</v>
      </c>
      <c r="C125" s="336">
        <v>41</v>
      </c>
      <c r="D125" s="362">
        <f t="shared" si="30"/>
        <v>63338.473274084507</v>
      </c>
      <c r="E125" s="362">
        <f t="shared" si="30"/>
        <v>41972.16024045879</v>
      </c>
      <c r="F125" s="362">
        <f t="shared" si="30"/>
        <v>11093.196738486178</v>
      </c>
      <c r="G125" s="362">
        <f t="shared" si="30"/>
        <v>-10718.009619433898</v>
      </c>
      <c r="H125" s="362">
        <f t="shared" si="30"/>
        <v>-44625.164505946217</v>
      </c>
      <c r="I125" s="362">
        <f t="shared" si="30"/>
        <v>-33125.234863420483</v>
      </c>
      <c r="J125" s="362">
        <f t="shared" si="30"/>
        <v>0</v>
      </c>
      <c r="K125" s="362">
        <f t="shared" si="30"/>
        <v>0</v>
      </c>
      <c r="L125" s="362">
        <f t="shared" si="30"/>
        <v>-811.42414966062643</v>
      </c>
      <c r="M125" s="362">
        <f t="shared" si="30"/>
        <v>13089.363508253591</v>
      </c>
      <c r="N125" s="362">
        <f t="shared" si="30"/>
        <v>-23347.371635846328</v>
      </c>
      <c r="O125" s="362">
        <f t="shared" si="30"/>
        <v>32768.433375033783</v>
      </c>
      <c r="P125" s="362">
        <f t="shared" si="27"/>
        <v>49634.422362009296</v>
      </c>
      <c r="R125" s="362"/>
      <c r="S125" s="380"/>
      <c r="T125" s="649"/>
    </row>
    <row r="126" spans="2:25" s="336" customFormat="1" x14ac:dyDescent="0.2">
      <c r="B126" s="336" t="s">
        <v>1252</v>
      </c>
      <c r="C126" s="336">
        <v>99</v>
      </c>
      <c r="D126" s="362">
        <f t="shared" ref="D126:O126" si="31">D113-D29</f>
        <v>489059.74710536236</v>
      </c>
      <c r="E126" s="362">
        <f t="shared" si="31"/>
        <v>320936.11967856716</v>
      </c>
      <c r="F126" s="362">
        <f t="shared" si="31"/>
        <v>82422.417768914718</v>
      </c>
      <c r="G126" s="362">
        <f t="shared" si="31"/>
        <v>-80393.205087303184</v>
      </c>
      <c r="H126" s="362">
        <f t="shared" si="31"/>
        <v>-240872.09316928452</v>
      </c>
      <c r="I126" s="362">
        <f t="shared" si="31"/>
        <v>-117929.97654458368</v>
      </c>
      <c r="J126" s="362">
        <f t="shared" si="31"/>
        <v>0</v>
      </c>
      <c r="K126" s="362">
        <f t="shared" si="31"/>
        <v>0</v>
      </c>
      <c r="L126" s="362">
        <f t="shared" si="31"/>
        <v>-2928.6893005624879</v>
      </c>
      <c r="M126" s="362">
        <f t="shared" si="31"/>
        <v>70652.117956148926</v>
      </c>
      <c r="N126" s="362">
        <f t="shared" si="31"/>
        <v>-175123.00350680621</v>
      </c>
      <c r="O126" s="362">
        <f t="shared" si="31"/>
        <v>245788.11535419244</v>
      </c>
      <c r="P126" s="362">
        <f t="shared" si="27"/>
        <v>591611.55025464552</v>
      </c>
      <c r="R126" s="362"/>
      <c r="S126" s="380"/>
      <c r="T126" s="649"/>
    </row>
    <row r="127" spans="2:25" s="336" customFormat="1" x14ac:dyDescent="0.2">
      <c r="B127" s="336" t="s">
        <v>1272</v>
      </c>
      <c r="C127" s="382"/>
      <c r="D127" s="644">
        <f t="shared" ref="D127:L127" si="32">SUM(D117:D126)</f>
        <v>27421089.459123239</v>
      </c>
      <c r="E127" s="644">
        <f t="shared" si="32"/>
        <v>18007986.796622764</v>
      </c>
      <c r="F127" s="644">
        <f t="shared" si="32"/>
        <v>4627734.0799371991</v>
      </c>
      <c r="G127" s="644">
        <f t="shared" si="32"/>
        <v>-4516375.270787566</v>
      </c>
      <c r="H127" s="644">
        <f t="shared" si="32"/>
        <v>-8641256.1330488231</v>
      </c>
      <c r="I127" s="644">
        <f t="shared" si="32"/>
        <v>-5161061.2373917457</v>
      </c>
      <c r="J127" s="644">
        <f t="shared" si="32"/>
        <v>-3737775.2909445316</v>
      </c>
      <c r="K127" s="644">
        <f t="shared" si="32"/>
        <v>-3526779.337380182</v>
      </c>
      <c r="L127" s="644">
        <f t="shared" si="32"/>
        <v>-127739.33155844506</v>
      </c>
      <c r="M127" s="644">
        <f>SUM(M117:M126)</f>
        <v>2525951.3574766028</v>
      </c>
      <c r="N127" s="644">
        <f>SUM(N117:N126)</f>
        <v>-9812203.5463201627</v>
      </c>
      <c r="O127" s="644">
        <f>SUM(O117:O126)</f>
        <v>13800280.715888582</v>
      </c>
      <c r="P127" s="644">
        <f>SUM(P117:P126)</f>
        <v>30859852.261616919</v>
      </c>
    </row>
    <row r="128" spans="2:25" s="336" customFormat="1" x14ac:dyDescent="0.2">
      <c r="B128" s="336" t="s">
        <v>1273</v>
      </c>
      <c r="C128" s="382"/>
      <c r="D128" s="650">
        <f t="shared" ref="D128:P128" si="33">D127/D30</f>
        <v>0.2129875457577696</v>
      </c>
      <c r="E128" s="650">
        <f t="shared" si="33"/>
        <v>0.16761272612491196</v>
      </c>
      <c r="F128" s="650">
        <f t="shared" si="33"/>
        <v>4.141100483319788E-2</v>
      </c>
      <c r="G128" s="650">
        <f t="shared" si="33"/>
        <v>-4.8768421313130146E-2</v>
      </c>
      <c r="H128" s="650">
        <f t="shared" si="33"/>
        <v>-0.1154140264054126</v>
      </c>
      <c r="I128" s="650">
        <f t="shared" si="33"/>
        <v>-9.1779694524874389E-2</v>
      </c>
      <c r="J128" s="650">
        <f t="shared" si="33"/>
        <v>-8.1427190564381247E-2</v>
      </c>
      <c r="K128" s="650">
        <f t="shared" si="33"/>
        <v>-7.849214559564148E-2</v>
      </c>
      <c r="L128" s="650">
        <f t="shared" si="33"/>
        <v>-2.599463612273038E-3</v>
      </c>
      <c r="M128" s="650">
        <f t="shared" si="33"/>
        <v>3.2777652631301425E-2</v>
      </c>
      <c r="N128" s="650">
        <f t="shared" si="33"/>
        <v>-8.0917648005654833E-2</v>
      </c>
      <c r="O128" s="650">
        <f t="shared" si="33"/>
        <v>9.4082853701579011E-2</v>
      </c>
      <c r="P128" s="650">
        <f t="shared" si="33"/>
        <v>2.9205905948922507E-2</v>
      </c>
    </row>
    <row r="129" spans="2:19" s="336" customFormat="1" x14ac:dyDescent="0.2">
      <c r="C129" s="382"/>
      <c r="D129" s="650"/>
      <c r="E129" s="650"/>
      <c r="F129" s="650"/>
      <c r="G129" s="650"/>
      <c r="H129" s="650"/>
      <c r="I129" s="650"/>
      <c r="J129" s="650"/>
      <c r="K129" s="650"/>
      <c r="L129" s="650"/>
      <c r="M129" s="650"/>
      <c r="N129" s="650"/>
      <c r="O129" s="650"/>
      <c r="P129" s="650"/>
    </row>
    <row r="130" spans="2:19" s="336" customFormat="1" x14ac:dyDescent="0.2">
      <c r="B130" s="182" t="s">
        <v>1274</v>
      </c>
      <c r="C130" s="382"/>
      <c r="D130" s="650"/>
      <c r="E130" s="650"/>
      <c r="F130" s="650"/>
      <c r="G130" s="650"/>
      <c r="H130" s="650"/>
      <c r="I130" s="650"/>
      <c r="J130" s="650"/>
      <c r="K130" s="650"/>
      <c r="L130" s="650"/>
      <c r="M130" s="650"/>
      <c r="N130" s="650"/>
      <c r="O130" s="650"/>
      <c r="P130" s="650"/>
    </row>
    <row r="131" spans="2:19" s="336" customFormat="1" x14ac:dyDescent="0.2">
      <c r="B131" s="336" t="s">
        <v>1275</v>
      </c>
      <c r="C131" s="382"/>
      <c r="D131" s="380">
        <v>21191257.891734079</v>
      </c>
      <c r="E131" s="380">
        <v>14458171.346035346</v>
      </c>
      <c r="F131" s="380">
        <v>3599651.0651105195</v>
      </c>
      <c r="G131" s="380">
        <v>-2585492.2683029175</v>
      </c>
      <c r="H131" s="380">
        <v>-5998711.3594723418</v>
      </c>
      <c r="I131" s="380">
        <v>-3107059.715456292</v>
      </c>
      <c r="J131" s="380">
        <v>-1131354.082711447</v>
      </c>
      <c r="K131" s="380">
        <v>-1053686.3329987116</v>
      </c>
      <c r="L131" s="380">
        <v>-70341.258938714862</v>
      </c>
      <c r="M131" s="380">
        <v>2526304.4540828839</v>
      </c>
      <c r="N131" s="380">
        <v>-9334813.7425625622</v>
      </c>
      <c r="O131" s="380">
        <v>11869644.473407492</v>
      </c>
      <c r="P131" s="362">
        <f>SUM(D131:O131)</f>
        <v>30363570.469927333</v>
      </c>
    </row>
    <row r="132" spans="2:19" s="336" customFormat="1" x14ac:dyDescent="0.2">
      <c r="B132" s="336" t="s">
        <v>1276</v>
      </c>
      <c r="C132" s="382"/>
      <c r="D132" s="380">
        <v>967488.80928065162</v>
      </c>
      <c r="E132" s="380">
        <v>638246.60120081715</v>
      </c>
      <c r="F132" s="380">
        <v>191902.5954891704</v>
      </c>
      <c r="G132" s="380">
        <v>-149039.75627887994</v>
      </c>
      <c r="H132" s="380">
        <v>-401216.5427114768</v>
      </c>
      <c r="I132" s="380">
        <v>-292068.18936998025</v>
      </c>
      <c r="J132" s="380">
        <v>0</v>
      </c>
      <c r="K132" s="380">
        <v>0</v>
      </c>
      <c r="L132" s="380">
        <v>-7177.1748227188364</v>
      </c>
      <c r="M132" s="380">
        <v>143879.11137291975</v>
      </c>
      <c r="N132" s="380">
        <v>-322509.29554973263</v>
      </c>
      <c r="O132" s="380">
        <v>467700.05626733601</v>
      </c>
      <c r="P132" s="362">
        <f>SUM(D132:O132)</f>
        <v>1237206.2148781065</v>
      </c>
    </row>
    <row r="133" spans="2:19" s="336" customFormat="1" x14ac:dyDescent="0.2">
      <c r="B133" s="336" t="s">
        <v>368</v>
      </c>
      <c r="C133" s="382"/>
      <c r="D133" s="380">
        <v>1046473.948521141</v>
      </c>
      <c r="E133" s="380">
        <v>590058.59070826322</v>
      </c>
      <c r="F133" s="380">
        <v>176005.86398992315</v>
      </c>
      <c r="G133" s="380">
        <v>-147856.06109522283</v>
      </c>
      <c r="H133" s="380">
        <v>-536058.66192387044</v>
      </c>
      <c r="I133" s="380">
        <v>0</v>
      </c>
      <c r="J133" s="380">
        <v>0</v>
      </c>
      <c r="K133" s="380">
        <v>0</v>
      </c>
      <c r="L133" s="380">
        <v>-6464.8803371544927</v>
      </c>
      <c r="M133" s="380">
        <v>106086.40529658273</v>
      </c>
      <c r="N133" s="380">
        <v>-270488.91134548932</v>
      </c>
      <c r="O133" s="380">
        <v>367547.24322398379</v>
      </c>
      <c r="P133" s="362">
        <f>SUM(D133:O133)</f>
        <v>1325303.5370381568</v>
      </c>
      <c r="R133" s="362"/>
    </row>
    <row r="134" spans="2:19" s="336" customFormat="1" x14ac:dyDescent="0.2">
      <c r="B134" s="336" t="s">
        <v>1272</v>
      </c>
      <c r="C134" s="382"/>
      <c r="D134" s="644">
        <f t="shared" ref="D134:L134" si="34">SUM(D131:D133)</f>
        <v>23205220.649535872</v>
      </c>
      <c r="E134" s="644">
        <f t="shared" si="34"/>
        <v>15686476.537944427</v>
      </c>
      <c r="F134" s="644">
        <f t="shared" si="34"/>
        <v>3967559.5245896131</v>
      </c>
      <c r="G134" s="644">
        <f t="shared" si="34"/>
        <v>-2882388.0856770203</v>
      </c>
      <c r="H134" s="644">
        <f t="shared" si="34"/>
        <v>-6935986.5641076891</v>
      </c>
      <c r="I134" s="644">
        <f t="shared" si="34"/>
        <v>-3399127.9048262723</v>
      </c>
      <c r="J134" s="644">
        <f t="shared" si="34"/>
        <v>-1131354.082711447</v>
      </c>
      <c r="K134" s="644">
        <f t="shared" si="34"/>
        <v>-1053686.3329987116</v>
      </c>
      <c r="L134" s="644">
        <f t="shared" si="34"/>
        <v>-83983.314098588191</v>
      </c>
      <c r="M134" s="644">
        <f>SUM(M131:M133)</f>
        <v>2776269.9707523864</v>
      </c>
      <c r="N134" s="644">
        <f>SUM(N131:N133)</f>
        <v>-9927811.9494577833</v>
      </c>
      <c r="O134" s="644">
        <f>SUM(O131:O133)</f>
        <v>12704891.772898812</v>
      </c>
      <c r="P134" s="644">
        <f>SUM(P131:P133)</f>
        <v>32926080.221843593</v>
      </c>
      <c r="R134" s="651"/>
      <c r="S134" s="362"/>
    </row>
    <row r="135" spans="2:19" s="336" customFormat="1" x14ac:dyDescent="0.2">
      <c r="C135" s="382"/>
      <c r="D135" s="650"/>
      <c r="E135" s="650"/>
      <c r="F135" s="650"/>
      <c r="G135" s="650"/>
      <c r="H135" s="650"/>
      <c r="I135" s="650"/>
      <c r="J135" s="650"/>
      <c r="K135" s="650"/>
      <c r="L135" s="650"/>
      <c r="M135" s="650"/>
      <c r="N135" s="650"/>
      <c r="O135" s="650"/>
      <c r="P135" s="650"/>
    </row>
    <row r="136" spans="2:19" s="336" customFormat="1" x14ac:dyDescent="0.2">
      <c r="B136" s="182" t="s">
        <v>1277</v>
      </c>
      <c r="C136" s="382"/>
      <c r="D136" s="650"/>
      <c r="E136" s="650"/>
      <c r="F136" s="650"/>
      <c r="G136" s="650"/>
      <c r="H136" s="650"/>
      <c r="I136" s="650"/>
      <c r="J136" s="650"/>
      <c r="K136" s="650"/>
      <c r="L136" s="650"/>
      <c r="M136" s="650"/>
      <c r="N136" s="650"/>
      <c r="O136" s="650"/>
      <c r="P136" s="650"/>
    </row>
    <row r="137" spans="2:19" s="336" customFormat="1" x14ac:dyDescent="0.2">
      <c r="B137" s="32" t="s">
        <v>374</v>
      </c>
      <c r="C137" s="382">
        <v>23</v>
      </c>
      <c r="D137" s="362">
        <f t="shared" ref="D137:O139" si="35">ROUND(IF(SUM(D$117:D$119,D$124:D$125)&lt;&gt;0,D$131*D117/SUM(D$117:D$119,D$124:D$125),0),0)</f>
        <v>15507479</v>
      </c>
      <c r="E137" s="362">
        <f t="shared" si="35"/>
        <v>10583008</v>
      </c>
      <c r="F137" s="362">
        <f t="shared" si="35"/>
        <v>2634474</v>
      </c>
      <c r="G137" s="362">
        <f t="shared" si="35"/>
        <v>-1893189</v>
      </c>
      <c r="H137" s="362">
        <f t="shared" si="35"/>
        <v>-4623709</v>
      </c>
      <c r="I137" s="362">
        <f t="shared" si="35"/>
        <v>-2486508</v>
      </c>
      <c r="J137" s="362">
        <f t="shared" si="35"/>
        <v>-1131354</v>
      </c>
      <c r="K137" s="362">
        <f t="shared" si="35"/>
        <v>-1053686</v>
      </c>
      <c r="L137" s="362">
        <f t="shared" si="35"/>
        <v>-56399</v>
      </c>
      <c r="M137" s="362">
        <f t="shared" si="35"/>
        <v>1952984</v>
      </c>
      <c r="N137" s="362">
        <f t="shared" si="35"/>
        <v>-6862159</v>
      </c>
      <c r="O137" s="362">
        <f t="shared" si="35"/>
        <v>8722749</v>
      </c>
      <c r="P137" s="362">
        <f t="shared" ref="P137:P146" si="36">SUM(D137:O137)</f>
        <v>21293690</v>
      </c>
    </row>
    <row r="138" spans="2:19" s="336" customFormat="1" x14ac:dyDescent="0.2">
      <c r="B138" s="336" t="s">
        <v>1123</v>
      </c>
      <c r="C138" s="444">
        <v>31</v>
      </c>
      <c r="D138" s="362">
        <f t="shared" si="35"/>
        <v>4550435</v>
      </c>
      <c r="E138" s="362">
        <f t="shared" si="35"/>
        <v>3103791</v>
      </c>
      <c r="F138" s="362">
        <f t="shared" si="35"/>
        <v>772199</v>
      </c>
      <c r="G138" s="362">
        <f t="shared" si="35"/>
        <v>-553929</v>
      </c>
      <c r="H138" s="362">
        <f t="shared" si="35"/>
        <v>-1087216</v>
      </c>
      <c r="I138" s="362">
        <f t="shared" si="35"/>
        <v>-447424</v>
      </c>
      <c r="J138" s="362">
        <f t="shared" si="35"/>
        <v>0</v>
      </c>
      <c r="K138" s="362">
        <f t="shared" si="35"/>
        <v>0</v>
      </c>
      <c r="L138" s="362">
        <f t="shared" si="35"/>
        <v>-10080</v>
      </c>
      <c r="M138" s="362">
        <f t="shared" si="35"/>
        <v>454953</v>
      </c>
      <c r="N138" s="362">
        <f t="shared" si="35"/>
        <v>-1985808</v>
      </c>
      <c r="O138" s="362">
        <f t="shared" si="35"/>
        <v>2527965</v>
      </c>
      <c r="P138" s="362">
        <f t="shared" si="36"/>
        <v>7324886</v>
      </c>
    </row>
    <row r="139" spans="2:19" s="336" customFormat="1" x14ac:dyDescent="0.2">
      <c r="B139" s="336" t="s">
        <v>1124</v>
      </c>
      <c r="C139" s="336">
        <v>41</v>
      </c>
      <c r="D139" s="362">
        <f t="shared" si="35"/>
        <v>650349</v>
      </c>
      <c r="E139" s="362">
        <f t="shared" si="35"/>
        <v>442734</v>
      </c>
      <c r="F139" s="362">
        <f t="shared" si="35"/>
        <v>111225</v>
      </c>
      <c r="G139" s="362">
        <f t="shared" si="35"/>
        <v>-79889</v>
      </c>
      <c r="H139" s="362">
        <f t="shared" si="35"/>
        <v>-174931</v>
      </c>
      <c r="I139" s="362">
        <f t="shared" si="35"/>
        <v>-128068</v>
      </c>
      <c r="J139" s="362">
        <f t="shared" si="35"/>
        <v>0</v>
      </c>
      <c r="K139" s="362">
        <f t="shared" si="35"/>
        <v>0</v>
      </c>
      <c r="L139" s="362">
        <f t="shared" si="35"/>
        <v>-2849</v>
      </c>
      <c r="M139" s="362">
        <f t="shared" si="35"/>
        <v>71052</v>
      </c>
      <c r="N139" s="362">
        <f t="shared" si="35"/>
        <v>-277386</v>
      </c>
      <c r="O139" s="362">
        <f t="shared" si="35"/>
        <v>352182</v>
      </c>
      <c r="P139" s="362">
        <f t="shared" si="36"/>
        <v>964419</v>
      </c>
    </row>
    <row r="140" spans="2:19" s="336" customFormat="1" x14ac:dyDescent="0.2">
      <c r="B140" s="32" t="s">
        <v>1249</v>
      </c>
      <c r="C140" s="444" t="s">
        <v>811</v>
      </c>
      <c r="D140" s="362">
        <f t="shared" ref="D140:O140" si="37">ROUND(IF(SUM(D$120:D$120,D$126)&lt;&gt;0,D$133*D120/SUM(D$120:D$120,D$126),0),0)</f>
        <v>389544</v>
      </c>
      <c r="E140" s="362">
        <f t="shared" si="37"/>
        <v>219646</v>
      </c>
      <c r="F140" s="362">
        <f t="shared" si="37"/>
        <v>65517</v>
      </c>
      <c r="G140" s="362">
        <f t="shared" si="37"/>
        <v>-55039</v>
      </c>
      <c r="H140" s="362">
        <f t="shared" si="37"/>
        <v>-125740</v>
      </c>
      <c r="I140" s="362">
        <f t="shared" si="37"/>
        <v>0</v>
      </c>
      <c r="J140" s="362">
        <f t="shared" si="37"/>
        <v>0</v>
      </c>
      <c r="K140" s="362">
        <f t="shared" si="37"/>
        <v>0</v>
      </c>
      <c r="L140" s="362">
        <f t="shared" si="37"/>
        <v>-1177</v>
      </c>
      <c r="M140" s="362">
        <f t="shared" si="37"/>
        <v>24884</v>
      </c>
      <c r="N140" s="362">
        <f t="shared" si="37"/>
        <v>-100688</v>
      </c>
      <c r="O140" s="362">
        <f t="shared" si="37"/>
        <v>136817</v>
      </c>
      <c r="P140" s="362">
        <f t="shared" si="36"/>
        <v>553764</v>
      </c>
    </row>
    <row r="141" spans="2:19" s="336" customFormat="1" x14ac:dyDescent="0.2">
      <c r="B141" s="336" t="s">
        <v>1243</v>
      </c>
      <c r="C141" s="336">
        <v>85</v>
      </c>
      <c r="D141" s="362">
        <f>ROUND(IF(SUM(D$121:D$123)&lt;&gt;0,D$132*D121/SUM(D$121:D$123),0),0)</f>
        <v>254778</v>
      </c>
      <c r="E141" s="362">
        <f t="shared" ref="E141:O143" si="38">ROUND(IF(SUM(E$121:E$123)&lt;&gt;0,E$132*E121/SUM(E$121:E$123),0),0)</f>
        <v>168233</v>
      </c>
      <c r="F141" s="362">
        <f t="shared" si="38"/>
        <v>50583</v>
      </c>
      <c r="G141" s="362">
        <f t="shared" si="38"/>
        <v>-41628</v>
      </c>
      <c r="H141" s="362">
        <f t="shared" si="38"/>
        <v>-112063</v>
      </c>
      <c r="I141" s="362">
        <f t="shared" si="38"/>
        <v>-48505</v>
      </c>
      <c r="J141" s="362">
        <f t="shared" si="38"/>
        <v>0</v>
      </c>
      <c r="K141" s="362">
        <f t="shared" si="38"/>
        <v>0</v>
      </c>
      <c r="L141" s="362">
        <f t="shared" si="38"/>
        <v>-1200</v>
      </c>
      <c r="M141" s="362">
        <f t="shared" si="38"/>
        <v>40637</v>
      </c>
      <c r="N141" s="362">
        <f t="shared" si="38"/>
        <v>-91258</v>
      </c>
      <c r="O141" s="362">
        <f t="shared" si="38"/>
        <v>132342</v>
      </c>
      <c r="P141" s="362">
        <f t="shared" si="36"/>
        <v>351919</v>
      </c>
    </row>
    <row r="142" spans="2:19" s="336" customFormat="1" x14ac:dyDescent="0.2">
      <c r="B142" s="336" t="s">
        <v>1244</v>
      </c>
      <c r="C142" s="336">
        <v>86</v>
      </c>
      <c r="D142" s="362">
        <f t="shared" ref="D142:L143" si="39">ROUND(IF(SUM(D$121:D$123)&lt;&gt;0,D$132*D122/SUM(D$121:D$123),0),0)</f>
        <v>304412</v>
      </c>
      <c r="E142" s="362">
        <f t="shared" si="39"/>
        <v>200408</v>
      </c>
      <c r="F142" s="362">
        <f t="shared" si="39"/>
        <v>60257</v>
      </c>
      <c r="G142" s="362">
        <f t="shared" si="39"/>
        <v>-45641</v>
      </c>
      <c r="H142" s="362">
        <f t="shared" si="39"/>
        <v>-122867</v>
      </c>
      <c r="I142" s="362">
        <f t="shared" si="39"/>
        <v>-109785</v>
      </c>
      <c r="J142" s="362">
        <f t="shared" si="39"/>
        <v>0</v>
      </c>
      <c r="K142" s="362">
        <f t="shared" si="39"/>
        <v>0</v>
      </c>
      <c r="L142" s="362">
        <f t="shared" si="39"/>
        <v>-2667</v>
      </c>
      <c r="M142" s="362">
        <f t="shared" si="38"/>
        <v>42944</v>
      </c>
      <c r="N142" s="362">
        <f t="shared" si="38"/>
        <v>-95837</v>
      </c>
      <c r="O142" s="362">
        <f t="shared" si="38"/>
        <v>138981</v>
      </c>
      <c r="P142" s="362">
        <f t="shared" si="36"/>
        <v>370205</v>
      </c>
    </row>
    <row r="143" spans="2:19" s="336" customFormat="1" x14ac:dyDescent="0.2">
      <c r="B143" s="336" t="s">
        <v>1260</v>
      </c>
      <c r="C143" s="336">
        <v>87</v>
      </c>
      <c r="D143" s="362">
        <f t="shared" si="39"/>
        <v>408299</v>
      </c>
      <c r="E143" s="362">
        <f t="shared" si="39"/>
        <v>269605</v>
      </c>
      <c r="F143" s="362">
        <f t="shared" si="39"/>
        <v>81063</v>
      </c>
      <c r="G143" s="362">
        <f t="shared" si="39"/>
        <v>-61770</v>
      </c>
      <c r="H143" s="362">
        <f t="shared" si="39"/>
        <v>-166286</v>
      </c>
      <c r="I143" s="362">
        <f t="shared" si="39"/>
        <v>-133778</v>
      </c>
      <c r="J143" s="362">
        <f t="shared" si="39"/>
        <v>0</v>
      </c>
      <c r="K143" s="362">
        <f t="shared" si="39"/>
        <v>0</v>
      </c>
      <c r="L143" s="362">
        <f t="shared" si="39"/>
        <v>-3310</v>
      </c>
      <c r="M143" s="362">
        <f t="shared" si="38"/>
        <v>60299</v>
      </c>
      <c r="N143" s="362">
        <f t="shared" si="38"/>
        <v>-135414</v>
      </c>
      <c r="O143" s="362">
        <f t="shared" si="38"/>
        <v>196377</v>
      </c>
      <c r="P143" s="362">
        <f t="shared" si="36"/>
        <v>515085</v>
      </c>
    </row>
    <row r="144" spans="2:19" s="336" customFormat="1" x14ac:dyDescent="0.2">
      <c r="B144" s="336" t="s">
        <v>1131</v>
      </c>
      <c r="C144" s="336">
        <v>31</v>
      </c>
      <c r="D144" s="362">
        <f t="shared" ref="D144:O145" si="40">ROUND(IF(SUM(D$117:D$119,D$124:D$125)&lt;&gt;0,D$131*D124/SUM(D$117:D$119,D$124:D$125),0),0)</f>
        <v>430991</v>
      </c>
      <c r="E144" s="362">
        <f t="shared" si="40"/>
        <v>292839</v>
      </c>
      <c r="F144" s="362">
        <f t="shared" si="40"/>
        <v>72587</v>
      </c>
      <c r="G144" s="362">
        <f t="shared" si="40"/>
        <v>-51963</v>
      </c>
      <c r="H144" s="362">
        <f t="shared" si="40"/>
        <v>-79009</v>
      </c>
      <c r="I144" s="362">
        <f t="shared" si="40"/>
        <v>-23658</v>
      </c>
      <c r="J144" s="362">
        <f t="shared" si="40"/>
        <v>0</v>
      </c>
      <c r="K144" s="362">
        <f t="shared" si="40"/>
        <v>0</v>
      </c>
      <c r="L144" s="362">
        <f t="shared" si="40"/>
        <v>-533</v>
      </c>
      <c r="M144" s="362">
        <f t="shared" si="40"/>
        <v>33016</v>
      </c>
      <c r="N144" s="362">
        <f t="shared" si="40"/>
        <v>-185858</v>
      </c>
      <c r="O144" s="362">
        <f t="shared" si="40"/>
        <v>236802</v>
      </c>
      <c r="P144" s="362">
        <f t="shared" si="36"/>
        <v>725214</v>
      </c>
    </row>
    <row r="145" spans="2:16" s="336" customFormat="1" x14ac:dyDescent="0.2">
      <c r="B145" s="336" t="s">
        <v>1132</v>
      </c>
      <c r="C145" s="336">
        <v>41</v>
      </c>
      <c r="D145" s="362">
        <f t="shared" si="40"/>
        <v>52004</v>
      </c>
      <c r="E145" s="362">
        <f t="shared" si="40"/>
        <v>35799</v>
      </c>
      <c r="F145" s="362">
        <f t="shared" si="40"/>
        <v>9166</v>
      </c>
      <c r="G145" s="362">
        <f t="shared" si="40"/>
        <v>-6522</v>
      </c>
      <c r="H145" s="362">
        <f t="shared" si="40"/>
        <v>-33846</v>
      </c>
      <c r="I145" s="362">
        <f t="shared" si="40"/>
        <v>-21402</v>
      </c>
      <c r="J145" s="362">
        <f t="shared" si="40"/>
        <v>0</v>
      </c>
      <c r="K145" s="362">
        <f t="shared" si="40"/>
        <v>0</v>
      </c>
      <c r="L145" s="362">
        <f t="shared" si="40"/>
        <v>-480</v>
      </c>
      <c r="M145" s="362">
        <f t="shared" si="40"/>
        <v>14299</v>
      </c>
      <c r="N145" s="362">
        <f t="shared" si="40"/>
        <v>-23603</v>
      </c>
      <c r="O145" s="362">
        <f t="shared" si="40"/>
        <v>29946</v>
      </c>
      <c r="P145" s="362">
        <f t="shared" si="36"/>
        <v>55361</v>
      </c>
    </row>
    <row r="146" spans="2:16" s="336" customFormat="1" x14ac:dyDescent="0.2">
      <c r="B146" s="336" t="s">
        <v>1252</v>
      </c>
      <c r="C146" s="336">
        <v>99</v>
      </c>
      <c r="D146" s="362">
        <f t="shared" ref="D146:O146" si="41">ROUND(IF(SUM(D$120:D$120,D$126)&lt;&gt;0,D$133*D126/SUM(D$120:D$120,D$126),0),0)</f>
        <v>656930</v>
      </c>
      <c r="E146" s="362">
        <f t="shared" si="41"/>
        <v>370412</v>
      </c>
      <c r="F146" s="362">
        <f t="shared" si="41"/>
        <v>110489</v>
      </c>
      <c r="G146" s="362">
        <f t="shared" si="41"/>
        <v>-92817</v>
      </c>
      <c r="H146" s="362">
        <f t="shared" si="41"/>
        <v>-410318</v>
      </c>
      <c r="I146" s="362">
        <f t="shared" si="41"/>
        <v>0</v>
      </c>
      <c r="J146" s="362">
        <f t="shared" si="41"/>
        <v>0</v>
      </c>
      <c r="K146" s="362">
        <f t="shared" si="41"/>
        <v>0</v>
      </c>
      <c r="L146" s="362">
        <f t="shared" si="41"/>
        <v>-5288</v>
      </c>
      <c r="M146" s="362">
        <f t="shared" si="41"/>
        <v>81202</v>
      </c>
      <c r="N146" s="362">
        <f t="shared" si="41"/>
        <v>-169801</v>
      </c>
      <c r="O146" s="362">
        <f t="shared" si="41"/>
        <v>230730</v>
      </c>
      <c r="P146" s="362">
        <f t="shared" si="36"/>
        <v>771539</v>
      </c>
    </row>
    <row r="147" spans="2:16" s="336" customFormat="1" x14ac:dyDescent="0.2">
      <c r="B147" s="336" t="s">
        <v>1272</v>
      </c>
      <c r="C147" s="382"/>
      <c r="D147" s="644">
        <f t="shared" ref="D147:L147" si="42">SUM(D137:D146)</f>
        <v>23205221</v>
      </c>
      <c r="E147" s="644">
        <f t="shared" si="42"/>
        <v>15686475</v>
      </c>
      <c r="F147" s="644">
        <f t="shared" si="42"/>
        <v>3967560</v>
      </c>
      <c r="G147" s="644">
        <f t="shared" si="42"/>
        <v>-2882387</v>
      </c>
      <c r="H147" s="644">
        <f t="shared" si="42"/>
        <v>-6935985</v>
      </c>
      <c r="I147" s="644">
        <f t="shared" si="42"/>
        <v>-3399128</v>
      </c>
      <c r="J147" s="644">
        <f t="shared" si="42"/>
        <v>-1131354</v>
      </c>
      <c r="K147" s="644">
        <f t="shared" si="42"/>
        <v>-1053686</v>
      </c>
      <c r="L147" s="644">
        <f t="shared" si="42"/>
        <v>-83983</v>
      </c>
      <c r="M147" s="644">
        <f>SUM(M137:M146)</f>
        <v>2776270</v>
      </c>
      <c r="N147" s="644">
        <f>SUM(N137:N146)</f>
        <v>-9927812</v>
      </c>
      <c r="O147" s="644">
        <f>SUM(O137:O146)</f>
        <v>12704891</v>
      </c>
      <c r="P147" s="644">
        <f>SUM(P137:P146)</f>
        <v>32926082</v>
      </c>
    </row>
    <row r="148" spans="2:16" s="336" customFormat="1" x14ac:dyDescent="0.2">
      <c r="B148" s="336" t="s">
        <v>1273</v>
      </c>
      <c r="C148" s="382"/>
      <c r="D148" s="652">
        <f t="shared" ref="D148:P148" si="43">D147/D30</f>
        <v>0.18024167409264871</v>
      </c>
      <c r="E148" s="652">
        <f t="shared" si="43"/>
        <v>0.14600481818064034</v>
      </c>
      <c r="F148" s="652">
        <f t="shared" si="43"/>
        <v>3.5503476106870907E-2</v>
      </c>
      <c r="G148" s="652">
        <f t="shared" si="43"/>
        <v>-3.1124398477847644E-2</v>
      </c>
      <c r="H148" s="652">
        <f t="shared" si="43"/>
        <v>-9.2638147002258614E-2</v>
      </c>
      <c r="I148" s="652">
        <f t="shared" si="43"/>
        <v>-6.0447050546644648E-2</v>
      </c>
      <c r="J148" s="652">
        <f t="shared" si="43"/>
        <v>-2.4646472990754779E-2</v>
      </c>
      <c r="K148" s="652">
        <f t="shared" si="43"/>
        <v>-2.3450878836532518E-2</v>
      </c>
      <c r="L148" s="652">
        <f t="shared" si="43"/>
        <v>-1.7090331527971241E-3</v>
      </c>
      <c r="M148" s="652">
        <f t="shared" si="43"/>
        <v>3.6025877300191092E-2</v>
      </c>
      <c r="N148" s="652">
        <f t="shared" si="43"/>
        <v>-8.1871028570701457E-2</v>
      </c>
      <c r="O148" s="652">
        <f t="shared" si="43"/>
        <v>8.6615078769471485E-2</v>
      </c>
      <c r="P148" s="652">
        <f t="shared" si="43"/>
        <v>3.1161395265478332E-2</v>
      </c>
    </row>
    <row r="149" spans="2:16" s="336" customFormat="1" x14ac:dyDescent="0.2">
      <c r="C149" s="382"/>
      <c r="D149" s="653"/>
      <c r="E149" s="653"/>
      <c r="F149" s="653"/>
      <c r="G149" s="653"/>
      <c r="H149" s="653"/>
      <c r="I149" s="653"/>
      <c r="J149" s="653"/>
      <c r="K149" s="653"/>
      <c r="L149" s="653"/>
      <c r="M149" s="653"/>
      <c r="N149" s="653"/>
      <c r="O149" s="653"/>
      <c r="P149" s="653"/>
    </row>
    <row r="150" spans="2:16" s="336" customFormat="1" x14ac:dyDescent="0.2">
      <c r="B150" s="182" t="s">
        <v>1278</v>
      </c>
      <c r="C150" s="382"/>
      <c r="D150" s="653"/>
      <c r="E150" s="653"/>
      <c r="F150" s="653"/>
      <c r="G150" s="653"/>
      <c r="H150" s="653"/>
      <c r="I150" s="653"/>
      <c r="J150" s="653"/>
      <c r="K150" s="653"/>
      <c r="L150" s="653"/>
      <c r="M150" s="653"/>
      <c r="N150" s="653"/>
      <c r="O150" s="653"/>
      <c r="P150" s="653"/>
    </row>
    <row r="151" spans="2:16" s="336" customFormat="1" x14ac:dyDescent="0.2">
      <c r="B151" s="336" t="s">
        <v>374</v>
      </c>
      <c r="C151" s="382">
        <v>23</v>
      </c>
      <c r="D151" s="362">
        <f t="shared" ref="D151:O151" si="44">D10+D137</f>
        <v>86695171</v>
      </c>
      <c r="E151" s="362">
        <f t="shared" si="44"/>
        <v>68940933</v>
      </c>
      <c r="F151" s="362">
        <f t="shared" si="44"/>
        <v>61849675</v>
      </c>
      <c r="G151" s="362">
        <f t="shared" si="44"/>
        <v>44615309</v>
      </c>
      <c r="H151" s="362">
        <f t="shared" si="44"/>
        <v>28758422</v>
      </c>
      <c r="I151" s="362">
        <f t="shared" si="44"/>
        <v>19470630</v>
      </c>
      <c r="J151" s="362">
        <f t="shared" si="44"/>
        <v>13949021</v>
      </c>
      <c r="K151" s="362">
        <f t="shared" si="44"/>
        <v>13135550</v>
      </c>
      <c r="L151" s="362">
        <f t="shared" si="44"/>
        <v>18065576</v>
      </c>
      <c r="M151" s="362">
        <f t="shared" si="44"/>
        <v>38477158</v>
      </c>
      <c r="N151" s="362">
        <f t="shared" si="44"/>
        <v>60610432</v>
      </c>
      <c r="O151" s="362">
        <f t="shared" si="44"/>
        <v>93457074</v>
      </c>
      <c r="P151" s="362">
        <f t="shared" ref="P151:P160" si="45">SUM(D151:O151)</f>
        <v>548024951</v>
      </c>
    </row>
    <row r="152" spans="2:16" s="336" customFormat="1" x14ac:dyDescent="0.2">
      <c r="B152" s="336" t="s">
        <v>1123</v>
      </c>
      <c r="C152" s="444">
        <v>31</v>
      </c>
      <c r="D152" s="362">
        <f>D12+D138</f>
        <v>27566601</v>
      </c>
      <c r="E152" s="362">
        <f t="shared" ref="E152:O152" si="46">E12+E138</f>
        <v>21916584</v>
      </c>
      <c r="F152" s="362">
        <f t="shared" si="46"/>
        <v>19922735</v>
      </c>
      <c r="G152" s="362">
        <f t="shared" si="46"/>
        <v>14970230</v>
      </c>
      <c r="H152" s="362">
        <f t="shared" si="46"/>
        <v>10962543</v>
      </c>
      <c r="I152" s="362">
        <f t="shared" si="46"/>
        <v>8558003</v>
      </c>
      <c r="J152" s="362">
        <f t="shared" si="46"/>
        <v>7221778</v>
      </c>
      <c r="K152" s="362">
        <f t="shared" si="46"/>
        <v>7068070</v>
      </c>
      <c r="L152" s="362">
        <f t="shared" si="46"/>
        <v>7936342</v>
      </c>
      <c r="M152" s="362">
        <f t="shared" si="46"/>
        <v>13131242</v>
      </c>
      <c r="N152" s="362">
        <f t="shared" si="46"/>
        <v>19525584</v>
      </c>
      <c r="O152" s="362">
        <f t="shared" si="46"/>
        <v>29784482</v>
      </c>
      <c r="P152" s="362">
        <f t="shared" si="45"/>
        <v>188564194</v>
      </c>
    </row>
    <row r="153" spans="2:16" s="336" customFormat="1" x14ac:dyDescent="0.2">
      <c r="B153" s="336" t="s">
        <v>1124</v>
      </c>
      <c r="C153" s="336">
        <v>41</v>
      </c>
      <c r="D153" s="362">
        <f t="shared" ref="D153:O153" si="47">D13+D139</f>
        <v>6686815</v>
      </c>
      <c r="E153" s="362">
        <f t="shared" si="47"/>
        <v>5649194</v>
      </c>
      <c r="F153" s="362">
        <f t="shared" si="47"/>
        <v>5637786</v>
      </c>
      <c r="G153" s="362">
        <f t="shared" si="47"/>
        <v>4684262</v>
      </c>
      <c r="H153" s="362">
        <f t="shared" si="47"/>
        <v>3969201</v>
      </c>
      <c r="I153" s="362">
        <f t="shared" si="47"/>
        <v>3111902</v>
      </c>
      <c r="J153" s="362">
        <f t="shared" si="47"/>
        <v>2639853</v>
      </c>
      <c r="K153" s="362">
        <f t="shared" si="47"/>
        <v>2578521</v>
      </c>
      <c r="L153" s="362">
        <f t="shared" si="47"/>
        <v>2866078</v>
      </c>
      <c r="M153" s="362">
        <f t="shared" si="47"/>
        <v>4083597</v>
      </c>
      <c r="N153" s="362">
        <f t="shared" si="47"/>
        <v>5298386</v>
      </c>
      <c r="O153" s="362">
        <f t="shared" si="47"/>
        <v>6825278</v>
      </c>
      <c r="P153" s="362">
        <f t="shared" si="45"/>
        <v>54030873</v>
      </c>
    </row>
    <row r="154" spans="2:16" s="336" customFormat="1" x14ac:dyDescent="0.2">
      <c r="B154" s="32" t="s">
        <v>1249</v>
      </c>
      <c r="C154" s="444" t="s">
        <v>811</v>
      </c>
      <c r="D154" s="362">
        <f t="shared" ref="D154:O154" si="48">D24+D140</f>
        <v>2327496</v>
      </c>
      <c r="E154" s="362">
        <f t="shared" si="48"/>
        <v>1927458</v>
      </c>
      <c r="F154" s="362">
        <f t="shared" si="48"/>
        <v>1886886</v>
      </c>
      <c r="G154" s="362">
        <f t="shared" si="48"/>
        <v>1623768</v>
      </c>
      <c r="H154" s="362">
        <f t="shared" si="48"/>
        <v>1418938</v>
      </c>
      <c r="I154" s="362">
        <f t="shared" si="48"/>
        <v>1294429</v>
      </c>
      <c r="J154" s="362">
        <f t="shared" si="48"/>
        <v>1196692</v>
      </c>
      <c r="K154" s="362">
        <f t="shared" si="48"/>
        <v>1164811</v>
      </c>
      <c r="L154" s="362">
        <f t="shared" si="48"/>
        <v>1236580</v>
      </c>
      <c r="M154" s="362">
        <f t="shared" si="48"/>
        <v>1512003</v>
      </c>
      <c r="N154" s="362">
        <f t="shared" si="48"/>
        <v>1880569</v>
      </c>
      <c r="O154" s="362">
        <f t="shared" si="48"/>
        <v>2127715</v>
      </c>
      <c r="P154" s="362">
        <f t="shared" si="45"/>
        <v>19597345</v>
      </c>
    </row>
    <row r="155" spans="2:16" s="336" customFormat="1" x14ac:dyDescent="0.2">
      <c r="B155" s="336" t="s">
        <v>1243</v>
      </c>
      <c r="C155" s="336">
        <v>85</v>
      </c>
      <c r="D155" s="362">
        <f t="shared" ref="D155:O159" si="49">D14+D141</f>
        <v>1795306</v>
      </c>
      <c r="E155" s="362">
        <f t="shared" si="49"/>
        <v>1534143</v>
      </c>
      <c r="F155" s="362">
        <f t="shared" si="49"/>
        <v>1593625</v>
      </c>
      <c r="G155" s="362">
        <f t="shared" si="49"/>
        <v>1310019</v>
      </c>
      <c r="H155" s="362">
        <f t="shared" si="49"/>
        <v>1030744</v>
      </c>
      <c r="I155" s="362">
        <f t="shared" si="49"/>
        <v>812784</v>
      </c>
      <c r="J155" s="362">
        <f t="shared" si="49"/>
        <v>719459</v>
      </c>
      <c r="K155" s="362">
        <f t="shared" si="49"/>
        <v>682351</v>
      </c>
      <c r="L155" s="362">
        <f t="shared" si="49"/>
        <v>736716</v>
      </c>
      <c r="M155" s="362">
        <f t="shared" si="49"/>
        <v>1129128</v>
      </c>
      <c r="N155" s="362">
        <f t="shared" si="49"/>
        <v>1378725</v>
      </c>
      <c r="O155" s="362">
        <f t="shared" si="49"/>
        <v>1699716</v>
      </c>
      <c r="P155" s="362">
        <f t="shared" si="45"/>
        <v>14422716</v>
      </c>
    </row>
    <row r="156" spans="2:16" s="336" customFormat="1" x14ac:dyDescent="0.2">
      <c r="B156" s="336" t="s">
        <v>1244</v>
      </c>
      <c r="C156" s="336">
        <v>86</v>
      </c>
      <c r="D156" s="362">
        <f t="shared" si="49"/>
        <v>1968191</v>
      </c>
      <c r="E156" s="362">
        <f t="shared" si="49"/>
        <v>1609877</v>
      </c>
      <c r="F156" s="362">
        <f t="shared" si="49"/>
        <v>1522268</v>
      </c>
      <c r="G156" s="362">
        <f t="shared" si="49"/>
        <v>1174316</v>
      </c>
      <c r="H156" s="362">
        <f t="shared" si="49"/>
        <v>857031</v>
      </c>
      <c r="I156" s="362">
        <f t="shared" si="49"/>
        <v>516896</v>
      </c>
      <c r="J156" s="362">
        <f t="shared" si="49"/>
        <v>362839</v>
      </c>
      <c r="K156" s="362">
        <f t="shared" si="49"/>
        <v>338531</v>
      </c>
      <c r="L156" s="362">
        <f t="shared" si="49"/>
        <v>491729</v>
      </c>
      <c r="M156" s="362">
        <f t="shared" si="49"/>
        <v>970448</v>
      </c>
      <c r="N156" s="362">
        <f t="shared" si="49"/>
        <v>1399110</v>
      </c>
      <c r="O156" s="362">
        <f t="shared" si="49"/>
        <v>1846010</v>
      </c>
      <c r="P156" s="362">
        <f t="shared" si="45"/>
        <v>13057246</v>
      </c>
    </row>
    <row r="157" spans="2:16" s="336" customFormat="1" x14ac:dyDescent="0.2">
      <c r="B157" s="336" t="s">
        <v>1260</v>
      </c>
      <c r="C157" s="336">
        <v>87</v>
      </c>
      <c r="D157" s="362">
        <f t="shared" si="49"/>
        <v>3400443</v>
      </c>
      <c r="E157" s="362">
        <f t="shared" si="49"/>
        <v>2906136</v>
      </c>
      <c r="F157" s="362">
        <f t="shared" si="49"/>
        <v>2850641</v>
      </c>
      <c r="G157" s="362">
        <f t="shared" si="49"/>
        <v>2417465</v>
      </c>
      <c r="H157" s="362">
        <f t="shared" si="49"/>
        <v>2090067</v>
      </c>
      <c r="I157" s="362">
        <f t="shared" si="49"/>
        <v>1738825</v>
      </c>
      <c r="J157" s="362">
        <f t="shared" si="49"/>
        <v>1565592</v>
      </c>
      <c r="K157" s="362">
        <f t="shared" si="49"/>
        <v>1423850</v>
      </c>
      <c r="L157" s="362">
        <f t="shared" si="49"/>
        <v>1526222</v>
      </c>
      <c r="M157" s="362">
        <f t="shared" si="49"/>
        <v>2203016</v>
      </c>
      <c r="N157" s="362">
        <f t="shared" si="49"/>
        <v>2672102</v>
      </c>
      <c r="O157" s="362">
        <f t="shared" si="49"/>
        <v>3452258</v>
      </c>
      <c r="P157" s="362">
        <f t="shared" si="45"/>
        <v>28246617</v>
      </c>
    </row>
    <row r="158" spans="2:16" s="336" customFormat="1" x14ac:dyDescent="0.2">
      <c r="B158" s="336" t="s">
        <v>1131</v>
      </c>
      <c r="C158" s="336">
        <v>31</v>
      </c>
      <c r="D158" s="362">
        <f t="shared" si="49"/>
        <v>2249912</v>
      </c>
      <c r="E158" s="362">
        <f t="shared" si="49"/>
        <v>1770209</v>
      </c>
      <c r="F158" s="362">
        <f t="shared" si="49"/>
        <v>1520682</v>
      </c>
      <c r="G158" s="362">
        <f t="shared" si="49"/>
        <v>1081321</v>
      </c>
      <c r="H158" s="362">
        <f t="shared" si="49"/>
        <v>719006</v>
      </c>
      <c r="I158" s="362">
        <f t="shared" si="49"/>
        <v>521740</v>
      </c>
      <c r="J158" s="362">
        <f t="shared" si="49"/>
        <v>432613</v>
      </c>
      <c r="K158" s="362">
        <f t="shared" si="49"/>
        <v>426650</v>
      </c>
      <c r="L158" s="362">
        <f t="shared" si="49"/>
        <v>491402</v>
      </c>
      <c r="M158" s="362">
        <f t="shared" si="49"/>
        <v>912661</v>
      </c>
      <c r="N158" s="362">
        <f t="shared" si="49"/>
        <v>1389364</v>
      </c>
      <c r="O158" s="362">
        <f t="shared" si="49"/>
        <v>2307296</v>
      </c>
      <c r="P158" s="362">
        <f t="shared" si="45"/>
        <v>13822856</v>
      </c>
    </row>
    <row r="159" spans="2:16" s="336" customFormat="1" x14ac:dyDescent="0.2">
      <c r="B159" s="336" t="s">
        <v>1132</v>
      </c>
      <c r="C159" s="336">
        <v>41</v>
      </c>
      <c r="D159" s="362">
        <f t="shared" si="49"/>
        <v>1372293</v>
      </c>
      <c r="E159" s="362">
        <f t="shared" si="49"/>
        <v>1256456</v>
      </c>
      <c r="F159" s="362">
        <f t="shared" si="49"/>
        <v>1405044</v>
      </c>
      <c r="G159" s="362">
        <f t="shared" si="49"/>
        <v>1335920</v>
      </c>
      <c r="H159" s="362">
        <f t="shared" si="49"/>
        <v>1302180</v>
      </c>
      <c r="I159" s="362">
        <f t="shared" si="49"/>
        <v>1174152</v>
      </c>
      <c r="J159" s="362">
        <f t="shared" si="49"/>
        <v>1164314</v>
      </c>
      <c r="K159" s="362">
        <f t="shared" si="49"/>
        <v>1214353</v>
      </c>
      <c r="L159" s="362">
        <f t="shared" si="49"/>
        <v>1193831</v>
      </c>
      <c r="M159" s="362">
        <f t="shared" si="49"/>
        <v>1350479</v>
      </c>
      <c r="N159" s="362">
        <f t="shared" si="49"/>
        <v>1358705</v>
      </c>
      <c r="O159" s="362">
        <f t="shared" si="49"/>
        <v>1409657</v>
      </c>
      <c r="P159" s="362">
        <f t="shared" si="45"/>
        <v>15537384</v>
      </c>
    </row>
    <row r="160" spans="2:16" s="336" customFormat="1" x14ac:dyDescent="0.2">
      <c r="B160" s="336" t="s">
        <v>1252</v>
      </c>
      <c r="C160" s="336">
        <v>99</v>
      </c>
      <c r="D160" s="362">
        <f t="shared" ref="D160:O160" si="50">D29+D146</f>
        <v>4174040</v>
      </c>
      <c r="E160" s="362">
        <f t="shared" si="50"/>
        <v>3718409</v>
      </c>
      <c r="F160" s="362">
        <f t="shared" si="50"/>
        <v>3764950</v>
      </c>
      <c r="G160" s="362">
        <f t="shared" si="50"/>
        <v>3145382</v>
      </c>
      <c r="H160" s="362">
        <f t="shared" si="50"/>
        <v>2395387</v>
      </c>
      <c r="I160" s="362">
        <f t="shared" si="50"/>
        <v>2216168</v>
      </c>
      <c r="J160" s="362">
        <f t="shared" si="50"/>
        <v>2006793</v>
      </c>
      <c r="K160" s="362">
        <f t="shared" si="50"/>
        <v>1941842</v>
      </c>
      <c r="L160" s="362">
        <f t="shared" si="50"/>
        <v>1974119</v>
      </c>
      <c r="M160" s="362">
        <f t="shared" si="50"/>
        <v>2868579</v>
      </c>
      <c r="N160" s="362">
        <f t="shared" si="50"/>
        <v>3672235</v>
      </c>
      <c r="O160" s="362">
        <f t="shared" si="50"/>
        <v>4102274</v>
      </c>
      <c r="P160" s="362">
        <f t="shared" si="45"/>
        <v>35980178</v>
      </c>
    </row>
    <row r="161" spans="2:16" s="336" customFormat="1" x14ac:dyDescent="0.2">
      <c r="B161" s="336" t="s">
        <v>1270</v>
      </c>
      <c r="C161" s="382"/>
      <c r="D161" s="644">
        <f t="shared" ref="D161:L161" si="51">SUM(D151:D160)</f>
        <v>138236268</v>
      </c>
      <c r="E161" s="644">
        <f t="shared" si="51"/>
        <v>111229399</v>
      </c>
      <c r="F161" s="644">
        <f t="shared" si="51"/>
        <v>101954292</v>
      </c>
      <c r="G161" s="644">
        <f t="shared" si="51"/>
        <v>76357992</v>
      </c>
      <c r="H161" s="644">
        <f t="shared" si="51"/>
        <v>53503519</v>
      </c>
      <c r="I161" s="644">
        <f t="shared" si="51"/>
        <v>39415529</v>
      </c>
      <c r="J161" s="644">
        <f t="shared" si="51"/>
        <v>31258954</v>
      </c>
      <c r="K161" s="644">
        <f t="shared" si="51"/>
        <v>29974529</v>
      </c>
      <c r="L161" s="644">
        <f t="shared" si="51"/>
        <v>36518595</v>
      </c>
      <c r="M161" s="644">
        <f>SUM(M151:M160)</f>
        <v>66638311</v>
      </c>
      <c r="N161" s="644">
        <f>SUM(N151:N160)</f>
        <v>99185212</v>
      </c>
      <c r="O161" s="644">
        <f>SUM(O151:O160)</f>
        <v>147011760</v>
      </c>
      <c r="P161" s="644">
        <f>SUM(P151:P160)</f>
        <v>931284360</v>
      </c>
    </row>
    <row r="162" spans="2:16" s="336" customFormat="1" x14ac:dyDescent="0.2">
      <c r="D162" s="362"/>
      <c r="E162" s="362"/>
      <c r="F162" s="362"/>
      <c r="G162" s="362"/>
      <c r="H162" s="362"/>
      <c r="I162" s="362"/>
      <c r="J162" s="362"/>
      <c r="K162" s="362"/>
      <c r="L162" s="362"/>
      <c r="M162" s="362"/>
      <c r="N162" s="362"/>
      <c r="O162" s="362"/>
      <c r="P162" s="362"/>
    </row>
    <row r="163" spans="2:16" s="336" customFormat="1" x14ac:dyDescent="0.2">
      <c r="B163" s="179" t="s">
        <v>1279</v>
      </c>
      <c r="C163" s="336">
        <v>16</v>
      </c>
      <c r="D163" s="362">
        <f t="shared" ref="D163:L163" si="52">D9</f>
        <v>1026</v>
      </c>
      <c r="E163" s="362">
        <f t="shared" si="52"/>
        <v>1026</v>
      </c>
      <c r="F163" s="362">
        <f t="shared" si="52"/>
        <v>1026</v>
      </c>
      <c r="G163" s="362">
        <f t="shared" si="52"/>
        <v>1026</v>
      </c>
      <c r="H163" s="362">
        <f t="shared" si="52"/>
        <v>1025.9999999999998</v>
      </c>
      <c r="I163" s="362">
        <f t="shared" si="52"/>
        <v>1026</v>
      </c>
      <c r="J163" s="362">
        <f t="shared" si="52"/>
        <v>1007</v>
      </c>
      <c r="K163" s="362">
        <f t="shared" si="52"/>
        <v>1007</v>
      </c>
      <c r="L163" s="362">
        <f t="shared" si="52"/>
        <v>1007</v>
      </c>
      <c r="M163" s="362">
        <f>M9</f>
        <v>1007</v>
      </c>
      <c r="N163" s="362">
        <f>N9</f>
        <v>1007</v>
      </c>
      <c r="O163" s="362">
        <f>O9</f>
        <v>1007</v>
      </c>
      <c r="P163" s="362">
        <f t="shared" ref="P163:P173" si="53">SUM(D163:O163)</f>
        <v>12198</v>
      </c>
    </row>
    <row r="164" spans="2:16" s="336" customFormat="1" x14ac:dyDescent="0.2">
      <c r="B164" s="336" t="str">
        <f>B11</f>
        <v>Propane</v>
      </c>
      <c r="C164" s="382">
        <f>C11</f>
        <v>53</v>
      </c>
      <c r="D164" s="362">
        <f t="shared" ref="D164:L164" si="54">D11</f>
        <v>205</v>
      </c>
      <c r="E164" s="362">
        <f t="shared" si="54"/>
        <v>216</v>
      </c>
      <c r="F164" s="362">
        <f t="shared" si="54"/>
        <v>301</v>
      </c>
      <c r="G164" s="362">
        <f t="shared" si="54"/>
        <v>219</v>
      </c>
      <c r="H164" s="362">
        <f t="shared" si="54"/>
        <v>145</v>
      </c>
      <c r="I164" s="362">
        <f t="shared" si="54"/>
        <v>107</v>
      </c>
      <c r="J164" s="362">
        <f t="shared" si="54"/>
        <v>89</v>
      </c>
      <c r="K164" s="362">
        <f t="shared" si="54"/>
        <v>86</v>
      </c>
      <c r="L164" s="362">
        <f t="shared" si="54"/>
        <v>84</v>
      </c>
      <c r="M164" s="362">
        <f>M11</f>
        <v>160</v>
      </c>
      <c r="N164" s="362">
        <f>N11</f>
        <v>222</v>
      </c>
      <c r="O164" s="362">
        <f>O11</f>
        <v>280</v>
      </c>
      <c r="P164" s="362">
        <f t="shared" si="53"/>
        <v>2114</v>
      </c>
    </row>
    <row r="165" spans="2:16" s="336" customFormat="1" x14ac:dyDescent="0.2">
      <c r="B165" s="32" t="s">
        <v>1158</v>
      </c>
      <c r="C165" s="444" t="s">
        <v>808</v>
      </c>
      <c r="D165" s="362">
        <f>D22</f>
        <v>279454</v>
      </c>
      <c r="E165" s="362">
        <f t="shared" ref="E165:P166" si="55">E22</f>
        <v>257561</v>
      </c>
      <c r="F165" s="362">
        <f t="shared" si="55"/>
        <v>285994</v>
      </c>
      <c r="G165" s="362">
        <f t="shared" si="55"/>
        <v>259942</v>
      </c>
      <c r="H165" s="362">
        <f t="shared" si="55"/>
        <v>228605</v>
      </c>
      <c r="I165" s="362">
        <f t="shared" si="55"/>
        <v>198260</v>
      </c>
      <c r="J165" s="362">
        <f t="shared" si="55"/>
        <v>200037</v>
      </c>
      <c r="K165" s="362">
        <f t="shared" si="55"/>
        <v>196495</v>
      </c>
      <c r="L165" s="362">
        <f t="shared" si="55"/>
        <v>193152</v>
      </c>
      <c r="M165" s="362">
        <f t="shared" si="55"/>
        <v>223619</v>
      </c>
      <c r="N165" s="362">
        <f t="shared" si="55"/>
        <v>285003</v>
      </c>
      <c r="O165" s="362">
        <f t="shared" si="55"/>
        <v>318484</v>
      </c>
      <c r="P165" s="362">
        <f t="shared" si="55"/>
        <v>2926606</v>
      </c>
    </row>
    <row r="166" spans="2:16" s="336" customFormat="1" x14ac:dyDescent="0.2">
      <c r="B166" s="32" t="s">
        <v>1159</v>
      </c>
      <c r="C166" s="444" t="s">
        <v>809</v>
      </c>
      <c r="D166" s="362">
        <f>D23</f>
        <v>2100604</v>
      </c>
      <c r="E166" s="362">
        <f t="shared" si="55"/>
        <v>1889104</v>
      </c>
      <c r="F166" s="362">
        <f t="shared" si="55"/>
        <v>2124952</v>
      </c>
      <c r="G166" s="362">
        <f t="shared" si="55"/>
        <v>1956151</v>
      </c>
      <c r="H166" s="362">
        <f t="shared" si="55"/>
        <v>1862821</v>
      </c>
      <c r="I166" s="362">
        <f t="shared" si="55"/>
        <v>1745177</v>
      </c>
      <c r="J166" s="362">
        <f t="shared" si="55"/>
        <v>1641957</v>
      </c>
      <c r="K166" s="362">
        <f t="shared" si="55"/>
        <v>1698296</v>
      </c>
      <c r="L166" s="362">
        <f t="shared" si="55"/>
        <v>1702205</v>
      </c>
      <c r="M166" s="362">
        <f t="shared" si="55"/>
        <v>1940953</v>
      </c>
      <c r="N166" s="362">
        <f t="shared" si="55"/>
        <v>2090527</v>
      </c>
      <c r="O166" s="362">
        <f t="shared" si="55"/>
        <v>2197380</v>
      </c>
      <c r="P166" s="362">
        <f t="shared" si="55"/>
        <v>22950127</v>
      </c>
    </row>
    <row r="167" spans="2:16" s="336" customFormat="1" x14ac:dyDescent="0.2">
      <c r="B167" s="336" t="s">
        <v>1246</v>
      </c>
      <c r="C167" s="382">
        <f>C19</f>
        <v>85</v>
      </c>
      <c r="D167" s="362">
        <f t="shared" ref="D167:O169" si="56">D19</f>
        <v>244025</v>
      </c>
      <c r="E167" s="362">
        <f t="shared" si="56"/>
        <v>230437</v>
      </c>
      <c r="F167" s="362">
        <f t="shared" si="56"/>
        <v>250310</v>
      </c>
      <c r="G167" s="362">
        <f t="shared" si="56"/>
        <v>238410</v>
      </c>
      <c r="H167" s="362">
        <f t="shared" si="56"/>
        <v>231789</v>
      </c>
      <c r="I167" s="362">
        <f t="shared" si="56"/>
        <v>223465</v>
      </c>
      <c r="J167" s="362">
        <f t="shared" si="56"/>
        <v>210855</v>
      </c>
      <c r="K167" s="362">
        <f t="shared" si="56"/>
        <v>254827</v>
      </c>
      <c r="L167" s="362">
        <f t="shared" si="56"/>
        <v>253789</v>
      </c>
      <c r="M167" s="362">
        <f t="shared" si="56"/>
        <v>236615</v>
      </c>
      <c r="N167" s="362">
        <f t="shared" si="56"/>
        <v>238060</v>
      </c>
      <c r="O167" s="362">
        <f t="shared" si="56"/>
        <v>249530</v>
      </c>
      <c r="P167" s="362">
        <f t="shared" si="53"/>
        <v>2862112</v>
      </c>
    </row>
    <row r="168" spans="2:16" s="336" customFormat="1" x14ac:dyDescent="0.2">
      <c r="B168" s="336" t="s">
        <v>1247</v>
      </c>
      <c r="C168" s="382">
        <f>C20</f>
        <v>86</v>
      </c>
      <c r="D168" s="362">
        <f t="shared" si="56"/>
        <v>171505</v>
      </c>
      <c r="E168" s="362">
        <f t="shared" si="56"/>
        <v>146383</v>
      </c>
      <c r="F168" s="362">
        <f t="shared" si="56"/>
        <v>66915</v>
      </c>
      <c r="G168" s="362">
        <f t="shared" si="56"/>
        <v>40614</v>
      </c>
      <c r="H168" s="362">
        <f t="shared" si="56"/>
        <v>65028</v>
      </c>
      <c r="I168" s="362">
        <f t="shared" si="56"/>
        <v>83876</v>
      </c>
      <c r="J168" s="362">
        <f t="shared" si="56"/>
        <v>55528</v>
      </c>
      <c r="K168" s="362">
        <f t="shared" si="56"/>
        <v>31451</v>
      </c>
      <c r="L168" s="362">
        <f t="shared" si="56"/>
        <v>25943</v>
      </c>
      <c r="M168" s="362">
        <f t="shared" si="56"/>
        <v>30191</v>
      </c>
      <c r="N168" s="362">
        <f t="shared" si="56"/>
        <v>52254</v>
      </c>
      <c r="O168" s="362">
        <f t="shared" si="56"/>
        <v>62644</v>
      </c>
      <c r="P168" s="362">
        <f t="shared" si="53"/>
        <v>832332</v>
      </c>
    </row>
    <row r="169" spans="2:16" s="336" customFormat="1" x14ac:dyDescent="0.2">
      <c r="B169" s="336" t="s">
        <v>1248</v>
      </c>
      <c r="C169" s="382">
        <f>C21</f>
        <v>87</v>
      </c>
      <c r="D169" s="362">
        <f t="shared" si="56"/>
        <v>83770</v>
      </c>
      <c r="E169" s="362">
        <f t="shared" si="56"/>
        <v>115393</v>
      </c>
      <c r="F169" s="362">
        <f t="shared" si="56"/>
        <v>118389</v>
      </c>
      <c r="G169" s="362">
        <f t="shared" si="56"/>
        <v>148227</v>
      </c>
      <c r="H169" s="362">
        <f t="shared" si="56"/>
        <v>172767</v>
      </c>
      <c r="I169" s="362">
        <f t="shared" si="56"/>
        <v>130945</v>
      </c>
      <c r="J169" s="362">
        <f t="shared" si="56"/>
        <v>105034</v>
      </c>
      <c r="K169" s="362">
        <f t="shared" si="56"/>
        <v>153481</v>
      </c>
      <c r="L169" s="362">
        <f t="shared" si="56"/>
        <v>200237</v>
      </c>
      <c r="M169" s="362">
        <f t="shared" si="56"/>
        <v>222364</v>
      </c>
      <c r="N169" s="362">
        <f t="shared" si="56"/>
        <v>202008</v>
      </c>
      <c r="O169" s="362">
        <f t="shared" si="56"/>
        <v>136423</v>
      </c>
      <c r="P169" s="362">
        <f t="shared" si="53"/>
        <v>1789038</v>
      </c>
    </row>
    <row r="170" spans="2:16" s="336" customFormat="1" x14ac:dyDescent="0.2">
      <c r="B170" s="32" t="s">
        <v>1161</v>
      </c>
      <c r="C170" s="444" t="s">
        <v>808</v>
      </c>
      <c r="D170" s="362">
        <f t="shared" ref="D170:P172" si="57">D25</f>
        <v>360334</v>
      </c>
      <c r="E170" s="362">
        <f t="shared" si="57"/>
        <v>348158</v>
      </c>
      <c r="F170" s="362">
        <f t="shared" si="57"/>
        <v>375825</v>
      </c>
      <c r="G170" s="362">
        <f t="shared" si="57"/>
        <v>354210</v>
      </c>
      <c r="H170" s="362">
        <f t="shared" si="57"/>
        <v>327498</v>
      </c>
      <c r="I170" s="362">
        <f t="shared" si="57"/>
        <v>422900</v>
      </c>
      <c r="J170" s="362">
        <f t="shared" si="57"/>
        <v>433263</v>
      </c>
      <c r="K170" s="362">
        <f t="shared" si="57"/>
        <v>441783</v>
      </c>
      <c r="L170" s="362">
        <f t="shared" si="57"/>
        <v>420720</v>
      </c>
      <c r="M170" s="362">
        <f t="shared" si="57"/>
        <v>429271</v>
      </c>
      <c r="N170" s="362">
        <f t="shared" si="57"/>
        <v>479248</v>
      </c>
      <c r="O170" s="362">
        <f t="shared" si="57"/>
        <v>494758</v>
      </c>
      <c r="P170" s="362">
        <f t="shared" si="53"/>
        <v>4887968</v>
      </c>
    </row>
    <row r="171" spans="2:16" s="336" customFormat="1" x14ac:dyDescent="0.2">
      <c r="B171" s="32" t="s">
        <v>1162</v>
      </c>
      <c r="C171" s="444" t="s">
        <v>809</v>
      </c>
      <c r="D171" s="362">
        <f t="shared" si="57"/>
        <v>3194288</v>
      </c>
      <c r="E171" s="362">
        <f t="shared" si="57"/>
        <v>3145766</v>
      </c>
      <c r="F171" s="362">
        <f t="shared" si="57"/>
        <v>3611839</v>
      </c>
      <c r="G171" s="362">
        <f t="shared" si="57"/>
        <v>3488542</v>
      </c>
      <c r="H171" s="362">
        <f t="shared" si="57"/>
        <v>3558586</v>
      </c>
      <c r="I171" s="362">
        <f t="shared" si="57"/>
        <v>3901695</v>
      </c>
      <c r="J171" s="362">
        <f t="shared" si="57"/>
        <v>3565124</v>
      </c>
      <c r="K171" s="362">
        <f t="shared" si="57"/>
        <v>3675294</v>
      </c>
      <c r="L171" s="362">
        <f t="shared" si="57"/>
        <v>3427405</v>
      </c>
      <c r="M171" s="362">
        <f t="shared" si="57"/>
        <v>3642138</v>
      </c>
      <c r="N171" s="362">
        <f t="shared" si="57"/>
        <v>3503575</v>
      </c>
      <c r="O171" s="362">
        <f t="shared" si="57"/>
        <v>3241505</v>
      </c>
      <c r="P171" s="362">
        <f t="shared" si="53"/>
        <v>41955757</v>
      </c>
    </row>
    <row r="172" spans="2:16" s="336" customFormat="1" x14ac:dyDescent="0.2">
      <c r="B172" s="336" t="s">
        <v>1250</v>
      </c>
      <c r="C172" s="444" t="s">
        <v>810</v>
      </c>
      <c r="D172" s="362">
        <f>D27</f>
        <v>91</v>
      </c>
      <c r="E172" s="362">
        <f t="shared" si="57"/>
        <v>2886</v>
      </c>
      <c r="F172" s="362">
        <f t="shared" si="57"/>
        <v>12304</v>
      </c>
      <c r="G172" s="362">
        <f t="shared" si="57"/>
        <v>22580</v>
      </c>
      <c r="H172" s="362">
        <f t="shared" si="57"/>
        <v>14443</v>
      </c>
      <c r="I172" s="362">
        <f t="shared" si="57"/>
        <v>0</v>
      </c>
      <c r="J172" s="362">
        <f t="shared" si="57"/>
        <v>0</v>
      </c>
      <c r="K172" s="362">
        <f t="shared" si="57"/>
        <v>2158</v>
      </c>
      <c r="L172" s="362">
        <f t="shared" si="57"/>
        <v>9063</v>
      </c>
      <c r="M172" s="362">
        <f t="shared" si="57"/>
        <v>8098</v>
      </c>
      <c r="N172" s="362">
        <f t="shared" si="57"/>
        <v>963</v>
      </c>
      <c r="O172" s="362">
        <f t="shared" si="57"/>
        <v>197</v>
      </c>
      <c r="P172" s="362">
        <f t="shared" si="57"/>
        <v>72783</v>
      </c>
    </row>
    <row r="173" spans="2:16" s="336" customFormat="1" x14ac:dyDescent="0.2">
      <c r="B173" s="32" t="s">
        <v>1251</v>
      </c>
      <c r="C173" s="444" t="s">
        <v>811</v>
      </c>
      <c r="D173" s="362">
        <f t="shared" ref="D173:L173" si="58">D28</f>
        <v>7278688</v>
      </c>
      <c r="E173" s="362">
        <f t="shared" si="58"/>
        <v>5758210</v>
      </c>
      <c r="F173" s="362">
        <f t="shared" si="58"/>
        <v>6916724</v>
      </c>
      <c r="G173" s="362">
        <f t="shared" si="58"/>
        <v>6858301</v>
      </c>
      <c r="H173" s="362">
        <f t="shared" si="58"/>
        <v>7969590</v>
      </c>
      <c r="I173" s="362">
        <f t="shared" si="58"/>
        <v>6711041</v>
      </c>
      <c r="J173" s="362">
        <f t="shared" si="58"/>
        <v>7300080</v>
      </c>
      <c r="K173" s="362">
        <f t="shared" si="58"/>
        <v>7448528</v>
      </c>
      <c r="L173" s="362">
        <f t="shared" si="58"/>
        <v>6304467</v>
      </c>
      <c r="M173" s="362">
        <f>M28</f>
        <v>6466760</v>
      </c>
      <c r="N173" s="362">
        <f>N28</f>
        <v>5295710</v>
      </c>
      <c r="O173" s="362">
        <f>O28</f>
        <v>5673131</v>
      </c>
      <c r="P173" s="362">
        <f t="shared" si="53"/>
        <v>79981230</v>
      </c>
    </row>
    <row r="174" spans="2:16" s="336" customFormat="1" x14ac:dyDescent="0.2">
      <c r="B174" s="336" t="s">
        <v>1280</v>
      </c>
      <c r="C174" s="382"/>
      <c r="D174" s="644">
        <f t="shared" ref="D174:L174" si="59">SUM(D163:D173)</f>
        <v>13713990</v>
      </c>
      <c r="E174" s="644">
        <f t="shared" si="59"/>
        <v>11895140</v>
      </c>
      <c r="F174" s="644">
        <f t="shared" si="59"/>
        <v>13764579</v>
      </c>
      <c r="G174" s="644">
        <f t="shared" si="59"/>
        <v>13368222</v>
      </c>
      <c r="H174" s="644">
        <f t="shared" si="59"/>
        <v>14432298</v>
      </c>
      <c r="I174" s="644">
        <f t="shared" si="59"/>
        <v>13418492</v>
      </c>
      <c r="J174" s="644">
        <f t="shared" si="59"/>
        <v>13512974</v>
      </c>
      <c r="K174" s="644">
        <f t="shared" si="59"/>
        <v>13903406</v>
      </c>
      <c r="L174" s="644">
        <f t="shared" si="59"/>
        <v>12538072</v>
      </c>
      <c r="M174" s="644">
        <f>SUM(M163:M173)</f>
        <v>13201176</v>
      </c>
      <c r="N174" s="644">
        <f>SUM(N163:N173)</f>
        <v>12148577</v>
      </c>
      <c r="O174" s="644">
        <f>SUM(O163:O173)</f>
        <v>12375339</v>
      </c>
      <c r="P174" s="644">
        <f>SUM(P163:P173)</f>
        <v>158272265</v>
      </c>
    </row>
    <row r="175" spans="2:16" s="336" customFormat="1" x14ac:dyDescent="0.2">
      <c r="B175" s="336" t="s">
        <v>1281</v>
      </c>
      <c r="C175" s="382"/>
      <c r="D175" s="644">
        <f t="shared" ref="D175:L175" si="60">D161+D174</f>
        <v>151950258</v>
      </c>
      <c r="E175" s="644">
        <f t="shared" si="60"/>
        <v>123124539</v>
      </c>
      <c r="F175" s="644">
        <f t="shared" si="60"/>
        <v>115718871</v>
      </c>
      <c r="G175" s="644">
        <f t="shared" si="60"/>
        <v>89726214</v>
      </c>
      <c r="H175" s="644">
        <f t="shared" si="60"/>
        <v>67935817</v>
      </c>
      <c r="I175" s="644">
        <f t="shared" si="60"/>
        <v>52834021</v>
      </c>
      <c r="J175" s="644">
        <f t="shared" si="60"/>
        <v>44771928</v>
      </c>
      <c r="K175" s="644">
        <f t="shared" si="60"/>
        <v>43877935</v>
      </c>
      <c r="L175" s="644">
        <f t="shared" si="60"/>
        <v>49056667</v>
      </c>
      <c r="M175" s="644">
        <f>M161+M174</f>
        <v>79839487</v>
      </c>
      <c r="N175" s="644">
        <f>N161+N174</f>
        <v>111333789</v>
      </c>
      <c r="O175" s="644">
        <f>O161+O174</f>
        <v>159387099</v>
      </c>
      <c r="P175" s="644">
        <f>P161+P174</f>
        <v>1089556625</v>
      </c>
    </row>
    <row r="176" spans="2:16" x14ac:dyDescent="0.2">
      <c r="C176" s="444"/>
      <c r="D176" s="424"/>
      <c r="E176" s="424"/>
      <c r="F176" s="424"/>
      <c r="G176" s="424"/>
      <c r="H176" s="424"/>
      <c r="I176" s="424"/>
      <c r="J176" s="424"/>
      <c r="K176" s="424"/>
      <c r="L176" s="424"/>
      <c r="M176" s="424"/>
      <c r="N176" s="424"/>
      <c r="O176" s="424"/>
      <c r="P176" s="424"/>
    </row>
    <row r="177" spans="2:19" x14ac:dyDescent="0.2">
      <c r="B177" s="182" t="s">
        <v>1282</v>
      </c>
      <c r="C177" s="444"/>
      <c r="D177" s="424"/>
      <c r="E177" s="424"/>
      <c r="F177" s="424"/>
      <c r="G177" s="424"/>
      <c r="H177" s="424"/>
      <c r="I177" s="424"/>
      <c r="J177" s="424"/>
      <c r="K177" s="424"/>
      <c r="L177" s="424"/>
      <c r="M177" s="424"/>
      <c r="N177" s="424"/>
      <c r="O177" s="424"/>
      <c r="P177" s="424"/>
    </row>
    <row r="178" spans="2:19" x14ac:dyDescent="0.2">
      <c r="B178" s="343" t="s">
        <v>827</v>
      </c>
      <c r="C178" s="444"/>
      <c r="D178" s="424"/>
      <c r="E178" s="424"/>
      <c r="F178" s="424"/>
      <c r="G178" s="424"/>
      <c r="H178" s="424"/>
      <c r="I178" s="424"/>
      <c r="J178" s="424"/>
      <c r="K178" s="424"/>
      <c r="L178" s="424"/>
      <c r="M178" s="424"/>
      <c r="N178" s="424"/>
      <c r="O178" s="424"/>
      <c r="P178" s="424"/>
    </row>
    <row r="179" spans="2:19" x14ac:dyDescent="0.2">
      <c r="B179" s="343" t="s">
        <v>1283</v>
      </c>
      <c r="C179" s="444"/>
      <c r="D179" s="424">
        <f t="shared" ref="D179:L179" si="61">D137</f>
        <v>15507479</v>
      </c>
      <c r="E179" s="424">
        <f t="shared" si="61"/>
        <v>10583008</v>
      </c>
      <c r="F179" s="424">
        <f t="shared" si="61"/>
        <v>2634474</v>
      </c>
      <c r="G179" s="424">
        <f t="shared" si="61"/>
        <v>-1893189</v>
      </c>
      <c r="H179" s="424">
        <f t="shared" si="61"/>
        <v>-4623709</v>
      </c>
      <c r="I179" s="424">
        <f t="shared" si="61"/>
        <v>-2486508</v>
      </c>
      <c r="J179" s="424">
        <f t="shared" si="61"/>
        <v>-1131354</v>
      </c>
      <c r="K179" s="424">
        <f t="shared" si="61"/>
        <v>-1053686</v>
      </c>
      <c r="L179" s="424">
        <f t="shared" si="61"/>
        <v>-56399</v>
      </c>
      <c r="M179" s="424">
        <f>M137</f>
        <v>1952984</v>
      </c>
      <c r="N179" s="424">
        <f>N137</f>
        <v>-6862159</v>
      </c>
      <c r="O179" s="424">
        <f>O137</f>
        <v>8722749</v>
      </c>
      <c r="P179" s="279">
        <f t="shared" ref="P179:P191" si="62">SUM(D179:O179)</f>
        <v>21293690</v>
      </c>
    </row>
    <row r="180" spans="2:19" x14ac:dyDescent="0.2">
      <c r="B180" s="346" t="s">
        <v>830</v>
      </c>
      <c r="C180" s="444"/>
      <c r="D180" s="424">
        <f t="shared" ref="D180:O180" si="63">SUM(D138:D138)+D144</f>
        <v>4981426</v>
      </c>
      <c r="E180" s="424">
        <f t="shared" si="63"/>
        <v>3396630</v>
      </c>
      <c r="F180" s="424">
        <f t="shared" si="63"/>
        <v>844786</v>
      </c>
      <c r="G180" s="424">
        <f t="shared" si="63"/>
        <v>-605892</v>
      </c>
      <c r="H180" s="424">
        <f t="shared" si="63"/>
        <v>-1166225</v>
      </c>
      <c r="I180" s="424">
        <f t="shared" si="63"/>
        <v>-471082</v>
      </c>
      <c r="J180" s="424">
        <f t="shared" si="63"/>
        <v>0</v>
      </c>
      <c r="K180" s="424">
        <f t="shared" si="63"/>
        <v>0</v>
      </c>
      <c r="L180" s="424">
        <f t="shared" si="63"/>
        <v>-10613</v>
      </c>
      <c r="M180" s="424">
        <f t="shared" si="63"/>
        <v>487969</v>
      </c>
      <c r="N180" s="424">
        <f t="shared" si="63"/>
        <v>-2171666</v>
      </c>
      <c r="O180" s="424">
        <f t="shared" si="63"/>
        <v>2764767</v>
      </c>
      <c r="P180" s="279">
        <f t="shared" si="62"/>
        <v>8050100</v>
      </c>
    </row>
    <row r="181" spans="2:19" x14ac:dyDescent="0.2">
      <c r="B181" s="343" t="s">
        <v>832</v>
      </c>
      <c r="C181" s="444"/>
      <c r="D181" s="424">
        <f t="shared" ref="D181:O181" si="64">SUM(D139:D139)+D145</f>
        <v>702353</v>
      </c>
      <c r="E181" s="424">
        <f t="shared" si="64"/>
        <v>478533</v>
      </c>
      <c r="F181" s="424">
        <f t="shared" si="64"/>
        <v>120391</v>
      </c>
      <c r="G181" s="424">
        <f t="shared" si="64"/>
        <v>-86411</v>
      </c>
      <c r="H181" s="424">
        <f t="shared" si="64"/>
        <v>-208777</v>
      </c>
      <c r="I181" s="424">
        <f t="shared" si="64"/>
        <v>-149470</v>
      </c>
      <c r="J181" s="424">
        <f t="shared" si="64"/>
        <v>0</v>
      </c>
      <c r="K181" s="424">
        <f t="shared" si="64"/>
        <v>0</v>
      </c>
      <c r="L181" s="424">
        <f t="shared" si="64"/>
        <v>-3329</v>
      </c>
      <c r="M181" s="424">
        <f t="shared" si="64"/>
        <v>85351</v>
      </c>
      <c r="N181" s="424">
        <f t="shared" si="64"/>
        <v>-300989</v>
      </c>
      <c r="O181" s="424">
        <f t="shared" si="64"/>
        <v>382128</v>
      </c>
      <c r="P181" s="279">
        <f t="shared" si="62"/>
        <v>1019780</v>
      </c>
    </row>
    <row r="182" spans="2:19" x14ac:dyDescent="0.2">
      <c r="B182" s="343" t="s">
        <v>834</v>
      </c>
      <c r="C182" s="444"/>
      <c r="D182" s="424">
        <v>0</v>
      </c>
      <c r="E182" s="424">
        <v>0</v>
      </c>
      <c r="F182" s="424">
        <v>0</v>
      </c>
      <c r="G182" s="424">
        <v>0</v>
      </c>
      <c r="H182" s="424">
        <v>0</v>
      </c>
      <c r="I182" s="424">
        <v>0</v>
      </c>
      <c r="J182" s="424">
        <v>0</v>
      </c>
      <c r="K182" s="424">
        <v>0</v>
      </c>
      <c r="L182" s="424">
        <v>0</v>
      </c>
      <c r="M182" s="424">
        <v>0</v>
      </c>
      <c r="N182" s="424">
        <v>0</v>
      </c>
      <c r="O182" s="424">
        <v>0</v>
      </c>
      <c r="P182" s="279">
        <f t="shared" si="62"/>
        <v>0</v>
      </c>
    </row>
    <row r="183" spans="2:19" x14ac:dyDescent="0.2">
      <c r="B183" s="343" t="s">
        <v>836</v>
      </c>
      <c r="C183" s="444"/>
      <c r="D183" s="424">
        <v>0</v>
      </c>
      <c r="E183" s="424">
        <v>0</v>
      </c>
      <c r="F183" s="424">
        <v>0</v>
      </c>
      <c r="G183" s="424">
        <v>0</v>
      </c>
      <c r="H183" s="424">
        <v>0</v>
      </c>
      <c r="I183" s="424">
        <v>0</v>
      </c>
      <c r="J183" s="424">
        <v>0</v>
      </c>
      <c r="K183" s="424">
        <v>0</v>
      </c>
      <c r="L183" s="424">
        <v>0</v>
      </c>
      <c r="M183" s="424">
        <v>0</v>
      </c>
      <c r="N183" s="424">
        <v>0</v>
      </c>
      <c r="O183" s="424">
        <v>0</v>
      </c>
      <c r="P183" s="279">
        <f t="shared" si="62"/>
        <v>0</v>
      </c>
    </row>
    <row r="184" spans="2:19" x14ac:dyDescent="0.2">
      <c r="B184" s="343" t="s">
        <v>837</v>
      </c>
      <c r="C184" s="444"/>
      <c r="D184" s="424">
        <f t="shared" ref="D184:O186" si="65">D141</f>
        <v>254778</v>
      </c>
      <c r="E184" s="424">
        <f t="shared" si="65"/>
        <v>168233</v>
      </c>
      <c r="F184" s="424">
        <f t="shared" si="65"/>
        <v>50583</v>
      </c>
      <c r="G184" s="424">
        <f t="shared" si="65"/>
        <v>-41628</v>
      </c>
      <c r="H184" s="424">
        <f t="shared" si="65"/>
        <v>-112063</v>
      </c>
      <c r="I184" s="424">
        <f t="shared" si="65"/>
        <v>-48505</v>
      </c>
      <c r="J184" s="424">
        <f t="shared" si="65"/>
        <v>0</v>
      </c>
      <c r="K184" s="424">
        <f t="shared" si="65"/>
        <v>0</v>
      </c>
      <c r="L184" s="424">
        <f t="shared" si="65"/>
        <v>-1200</v>
      </c>
      <c r="M184" s="424">
        <f t="shared" si="65"/>
        <v>40637</v>
      </c>
      <c r="N184" s="424">
        <f t="shared" si="65"/>
        <v>-91258</v>
      </c>
      <c r="O184" s="424">
        <f t="shared" si="65"/>
        <v>132342</v>
      </c>
      <c r="P184" s="279">
        <f t="shared" si="62"/>
        <v>351919</v>
      </c>
    </row>
    <row r="185" spans="2:19" x14ac:dyDescent="0.2">
      <c r="B185" s="343" t="s">
        <v>839</v>
      </c>
      <c r="C185" s="444"/>
      <c r="D185" s="424">
        <f t="shared" si="65"/>
        <v>304412</v>
      </c>
      <c r="E185" s="424">
        <f t="shared" si="65"/>
        <v>200408</v>
      </c>
      <c r="F185" s="424">
        <f t="shared" si="65"/>
        <v>60257</v>
      </c>
      <c r="G185" s="424">
        <f t="shared" si="65"/>
        <v>-45641</v>
      </c>
      <c r="H185" s="424">
        <f t="shared" si="65"/>
        <v>-122867</v>
      </c>
      <c r="I185" s="424">
        <f t="shared" si="65"/>
        <v>-109785</v>
      </c>
      <c r="J185" s="424">
        <f t="shared" si="65"/>
        <v>0</v>
      </c>
      <c r="K185" s="424">
        <f t="shared" si="65"/>
        <v>0</v>
      </c>
      <c r="L185" s="424">
        <f t="shared" si="65"/>
        <v>-2667</v>
      </c>
      <c r="M185" s="424">
        <f t="shared" si="65"/>
        <v>42944</v>
      </c>
      <c r="N185" s="424">
        <f t="shared" si="65"/>
        <v>-95837</v>
      </c>
      <c r="O185" s="424">
        <f t="shared" si="65"/>
        <v>138981</v>
      </c>
      <c r="P185" s="279">
        <f t="shared" si="62"/>
        <v>370205</v>
      </c>
    </row>
    <row r="186" spans="2:19" x14ac:dyDescent="0.2">
      <c r="B186" s="343" t="s">
        <v>841</v>
      </c>
      <c r="C186" s="444"/>
      <c r="D186" s="424">
        <f t="shared" si="65"/>
        <v>408299</v>
      </c>
      <c r="E186" s="424">
        <f t="shared" si="65"/>
        <v>269605</v>
      </c>
      <c r="F186" s="424">
        <f t="shared" si="65"/>
        <v>81063</v>
      </c>
      <c r="G186" s="424">
        <f t="shared" si="65"/>
        <v>-61770</v>
      </c>
      <c r="H186" s="424">
        <f t="shared" si="65"/>
        <v>-166286</v>
      </c>
      <c r="I186" s="424">
        <f t="shared" si="65"/>
        <v>-133778</v>
      </c>
      <c r="J186" s="424">
        <f t="shared" si="65"/>
        <v>0</v>
      </c>
      <c r="K186" s="424">
        <f t="shared" si="65"/>
        <v>0</v>
      </c>
      <c r="L186" s="424">
        <f t="shared" si="65"/>
        <v>-3310</v>
      </c>
      <c r="M186" s="424">
        <f t="shared" si="65"/>
        <v>60299</v>
      </c>
      <c r="N186" s="424">
        <f t="shared" si="65"/>
        <v>-135414</v>
      </c>
      <c r="O186" s="424">
        <f t="shared" si="65"/>
        <v>196377</v>
      </c>
      <c r="P186" s="279">
        <f t="shared" si="62"/>
        <v>515085</v>
      </c>
    </row>
    <row r="187" spans="2:19" x14ac:dyDescent="0.2">
      <c r="B187" s="32" t="s">
        <v>1039</v>
      </c>
      <c r="C187" s="444"/>
      <c r="D187" s="424">
        <v>0</v>
      </c>
      <c r="E187" s="424">
        <v>0</v>
      </c>
      <c r="F187" s="424">
        <v>0</v>
      </c>
      <c r="G187" s="424">
        <v>0</v>
      </c>
      <c r="H187" s="424">
        <v>0</v>
      </c>
      <c r="I187" s="424">
        <v>0</v>
      </c>
      <c r="J187" s="424">
        <v>0</v>
      </c>
      <c r="K187" s="424">
        <v>0</v>
      </c>
      <c r="L187" s="424">
        <v>0</v>
      </c>
      <c r="M187" s="424">
        <v>0</v>
      </c>
      <c r="N187" s="424">
        <v>0</v>
      </c>
      <c r="O187" s="424">
        <v>0</v>
      </c>
      <c r="P187" s="424">
        <v>0</v>
      </c>
    </row>
    <row r="188" spans="2:19" x14ac:dyDescent="0.2">
      <c r="B188" s="32" t="s">
        <v>1040</v>
      </c>
      <c r="C188" s="444"/>
      <c r="D188" s="424">
        <v>0</v>
      </c>
      <c r="E188" s="424">
        <v>0</v>
      </c>
      <c r="F188" s="424">
        <v>0</v>
      </c>
      <c r="G188" s="424">
        <v>0</v>
      </c>
      <c r="H188" s="424">
        <v>0</v>
      </c>
      <c r="I188" s="424">
        <v>0</v>
      </c>
      <c r="J188" s="424">
        <v>0</v>
      </c>
      <c r="K188" s="424">
        <v>0</v>
      </c>
      <c r="L188" s="424">
        <v>0</v>
      </c>
      <c r="M188" s="424">
        <v>0</v>
      </c>
      <c r="N188" s="424">
        <v>0</v>
      </c>
      <c r="O188" s="424">
        <v>0</v>
      </c>
      <c r="P188" s="424">
        <v>0</v>
      </c>
    </row>
    <row r="189" spans="2:19" x14ac:dyDescent="0.2">
      <c r="B189" s="336" t="s">
        <v>1284</v>
      </c>
      <c r="C189" s="444"/>
      <c r="D189" s="424">
        <v>0</v>
      </c>
      <c r="E189" s="424">
        <v>0</v>
      </c>
      <c r="F189" s="424">
        <v>0</v>
      </c>
      <c r="G189" s="424">
        <v>0</v>
      </c>
      <c r="H189" s="424">
        <v>0</v>
      </c>
      <c r="I189" s="424">
        <v>0</v>
      </c>
      <c r="J189" s="424">
        <v>0</v>
      </c>
      <c r="K189" s="424">
        <v>0</v>
      </c>
      <c r="L189" s="424">
        <v>0</v>
      </c>
      <c r="M189" s="424">
        <v>0</v>
      </c>
      <c r="N189" s="424">
        <v>0</v>
      </c>
      <c r="O189" s="424">
        <v>0</v>
      </c>
      <c r="P189" s="424">
        <v>0</v>
      </c>
    </row>
    <row r="190" spans="2:19" x14ac:dyDescent="0.2">
      <c r="B190" s="32" t="s">
        <v>1042</v>
      </c>
      <c r="C190" s="444"/>
      <c r="D190" s="424">
        <f t="shared" ref="D190:L190" si="66">D140</f>
        <v>389544</v>
      </c>
      <c r="E190" s="424">
        <f t="shared" si="66"/>
        <v>219646</v>
      </c>
      <c r="F190" s="424">
        <f t="shared" si="66"/>
        <v>65517</v>
      </c>
      <c r="G190" s="424">
        <f t="shared" si="66"/>
        <v>-55039</v>
      </c>
      <c r="H190" s="424">
        <f t="shared" si="66"/>
        <v>-125740</v>
      </c>
      <c r="I190" s="424">
        <f t="shared" si="66"/>
        <v>0</v>
      </c>
      <c r="J190" s="424">
        <f t="shared" si="66"/>
        <v>0</v>
      </c>
      <c r="K190" s="424">
        <f t="shared" si="66"/>
        <v>0</v>
      </c>
      <c r="L190" s="424">
        <f t="shared" si="66"/>
        <v>-1177</v>
      </c>
      <c r="M190" s="424">
        <f>M140</f>
        <v>24884</v>
      </c>
      <c r="N190" s="424">
        <f>N140</f>
        <v>-100688</v>
      </c>
      <c r="O190" s="424">
        <f>O140</f>
        <v>136817</v>
      </c>
      <c r="P190" s="279">
        <f t="shared" si="62"/>
        <v>553764</v>
      </c>
    </row>
    <row r="191" spans="2:19" x14ac:dyDescent="0.2">
      <c r="B191" s="343" t="s">
        <v>144</v>
      </c>
      <c r="C191" s="444"/>
      <c r="D191" s="424">
        <f t="shared" ref="D191:L191" si="67">D146</f>
        <v>656930</v>
      </c>
      <c r="E191" s="424">
        <f t="shared" si="67"/>
        <v>370412</v>
      </c>
      <c r="F191" s="424">
        <f t="shared" si="67"/>
        <v>110489</v>
      </c>
      <c r="G191" s="424">
        <f t="shared" si="67"/>
        <v>-92817</v>
      </c>
      <c r="H191" s="424">
        <f t="shared" si="67"/>
        <v>-410318</v>
      </c>
      <c r="I191" s="424">
        <f t="shared" si="67"/>
        <v>0</v>
      </c>
      <c r="J191" s="424">
        <f t="shared" si="67"/>
        <v>0</v>
      </c>
      <c r="K191" s="424">
        <f t="shared" si="67"/>
        <v>0</v>
      </c>
      <c r="L191" s="424">
        <f t="shared" si="67"/>
        <v>-5288</v>
      </c>
      <c r="M191" s="424">
        <f>M146</f>
        <v>81202</v>
      </c>
      <c r="N191" s="424">
        <f>N146</f>
        <v>-169801</v>
      </c>
      <c r="O191" s="424">
        <f>O146</f>
        <v>230730</v>
      </c>
      <c r="P191" s="279">
        <f t="shared" si="62"/>
        <v>771539</v>
      </c>
    </row>
    <row r="192" spans="2:19" x14ac:dyDescent="0.2">
      <c r="B192" s="343" t="s">
        <v>1272</v>
      </c>
      <c r="C192" s="444"/>
      <c r="D192" s="357">
        <f t="shared" ref="D192:L192" si="68">SUM(D178:D191)</f>
        <v>23205221</v>
      </c>
      <c r="E192" s="357">
        <f t="shared" si="68"/>
        <v>15686475</v>
      </c>
      <c r="F192" s="357">
        <f t="shared" si="68"/>
        <v>3967560</v>
      </c>
      <c r="G192" s="357">
        <f t="shared" si="68"/>
        <v>-2882387</v>
      </c>
      <c r="H192" s="357">
        <f t="shared" si="68"/>
        <v>-6935985</v>
      </c>
      <c r="I192" s="357">
        <f>SUM(I179:I191)</f>
        <v>-3399128</v>
      </c>
      <c r="J192" s="357">
        <f t="shared" si="68"/>
        <v>-1131354</v>
      </c>
      <c r="K192" s="357">
        <f t="shared" si="68"/>
        <v>-1053686</v>
      </c>
      <c r="L192" s="357">
        <f t="shared" si="68"/>
        <v>-83983</v>
      </c>
      <c r="M192" s="357">
        <f>SUM(M178:M191)</f>
        <v>2776270</v>
      </c>
      <c r="N192" s="357">
        <f>SUM(N178:N191)</f>
        <v>-9927812</v>
      </c>
      <c r="O192" s="357">
        <f>SUM(O178:O191)</f>
        <v>12704891</v>
      </c>
      <c r="P192" s="357">
        <f>SUM(P178:P191)</f>
        <v>32926082</v>
      </c>
      <c r="S192" s="279"/>
    </row>
    <row r="193" spans="2:19" x14ac:dyDescent="0.2">
      <c r="B193" s="343" t="s">
        <v>131</v>
      </c>
      <c r="C193" s="444"/>
      <c r="D193" s="424">
        <f t="shared" ref="D193:P193" si="69">D192-D147</f>
        <v>0</v>
      </c>
      <c r="E193" s="424">
        <f t="shared" si="69"/>
        <v>0</v>
      </c>
      <c r="F193" s="424">
        <f t="shared" si="69"/>
        <v>0</v>
      </c>
      <c r="G193" s="424">
        <f t="shared" si="69"/>
        <v>0</v>
      </c>
      <c r="H193" s="424">
        <f t="shared" si="69"/>
        <v>0</v>
      </c>
      <c r="I193" s="424">
        <f t="shared" si="69"/>
        <v>0</v>
      </c>
      <c r="J193" s="424">
        <f t="shared" si="69"/>
        <v>0</v>
      </c>
      <c r="K193" s="424">
        <f t="shared" si="69"/>
        <v>0</v>
      </c>
      <c r="L193" s="424">
        <f t="shared" si="69"/>
        <v>0</v>
      </c>
      <c r="M193" s="424">
        <f t="shared" si="69"/>
        <v>0</v>
      </c>
      <c r="N193" s="424">
        <f t="shared" si="69"/>
        <v>0</v>
      </c>
      <c r="O193" s="424">
        <f t="shared" si="69"/>
        <v>0</v>
      </c>
      <c r="P193" s="424">
        <f t="shared" si="69"/>
        <v>0</v>
      </c>
    </row>
    <row r="194" spans="2:19" x14ac:dyDescent="0.2">
      <c r="C194" s="444"/>
      <c r="D194" s="424"/>
      <c r="E194" s="424"/>
      <c r="F194" s="424"/>
      <c r="G194" s="424"/>
      <c r="H194" s="424"/>
      <c r="I194" s="424"/>
      <c r="J194" s="424"/>
      <c r="K194" s="424"/>
      <c r="L194" s="424"/>
      <c r="M194" s="424"/>
      <c r="N194" s="424"/>
      <c r="O194" s="424"/>
      <c r="P194" s="424"/>
      <c r="S194" s="279"/>
    </row>
    <row r="195" spans="2:19" x14ac:dyDescent="0.2">
      <c r="B195" s="182" t="s">
        <v>1285</v>
      </c>
      <c r="C195" s="444"/>
      <c r="D195" s="424"/>
      <c r="E195" s="424"/>
      <c r="F195" s="424"/>
      <c r="G195" s="424"/>
      <c r="H195" s="424"/>
      <c r="I195" s="424"/>
      <c r="J195" s="424"/>
      <c r="K195" s="424"/>
      <c r="L195" s="424"/>
      <c r="M195" s="424"/>
      <c r="N195" s="424"/>
      <c r="O195" s="424"/>
      <c r="P195" s="424"/>
    </row>
    <row r="196" spans="2:19" x14ac:dyDescent="0.2">
      <c r="B196" s="343" t="s">
        <v>827</v>
      </c>
      <c r="C196" s="444"/>
      <c r="D196" s="424">
        <f t="shared" ref="D196:L196" si="70">D163</f>
        <v>1026</v>
      </c>
      <c r="E196" s="424">
        <f t="shared" si="70"/>
        <v>1026</v>
      </c>
      <c r="F196" s="424">
        <f t="shared" si="70"/>
        <v>1026</v>
      </c>
      <c r="G196" s="424">
        <f t="shared" si="70"/>
        <v>1026</v>
      </c>
      <c r="H196" s="424">
        <f t="shared" si="70"/>
        <v>1025.9999999999998</v>
      </c>
      <c r="I196" s="424">
        <f t="shared" si="70"/>
        <v>1026</v>
      </c>
      <c r="J196" s="424">
        <f t="shared" si="70"/>
        <v>1007</v>
      </c>
      <c r="K196" s="424">
        <f t="shared" si="70"/>
        <v>1007</v>
      </c>
      <c r="L196" s="424">
        <f t="shared" si="70"/>
        <v>1007</v>
      </c>
      <c r="M196" s="424">
        <f>M163</f>
        <v>1007</v>
      </c>
      <c r="N196" s="424">
        <f>N163</f>
        <v>1007</v>
      </c>
      <c r="O196" s="424">
        <f>O163</f>
        <v>1007</v>
      </c>
      <c r="P196" s="279">
        <f t="shared" ref="P196:P207" si="71">SUM(D196:O196)</f>
        <v>12198</v>
      </c>
    </row>
    <row r="197" spans="2:19" x14ac:dyDescent="0.2">
      <c r="B197" s="343" t="s">
        <v>1283</v>
      </c>
      <c r="C197" s="444"/>
      <c r="D197" s="424">
        <f t="shared" ref="D197:O197" si="72">D151+D164</f>
        <v>86695376</v>
      </c>
      <c r="E197" s="424">
        <f t="shared" si="72"/>
        <v>68941149</v>
      </c>
      <c r="F197" s="424">
        <f>F151+F164</f>
        <v>61849976</v>
      </c>
      <c r="G197" s="424">
        <f t="shared" si="72"/>
        <v>44615528</v>
      </c>
      <c r="H197" s="424">
        <f t="shared" si="72"/>
        <v>28758567</v>
      </c>
      <c r="I197" s="424">
        <f t="shared" si="72"/>
        <v>19470737</v>
      </c>
      <c r="J197" s="424">
        <f t="shared" si="72"/>
        <v>13949110</v>
      </c>
      <c r="K197" s="424">
        <f t="shared" si="72"/>
        <v>13135636</v>
      </c>
      <c r="L197" s="424">
        <f t="shared" si="72"/>
        <v>18065660</v>
      </c>
      <c r="M197" s="424">
        <f t="shared" si="72"/>
        <v>38477318</v>
      </c>
      <c r="N197" s="424">
        <f t="shared" si="72"/>
        <v>60610654</v>
      </c>
      <c r="O197" s="424">
        <f t="shared" si="72"/>
        <v>93457354</v>
      </c>
      <c r="P197" s="279">
        <f t="shared" si="71"/>
        <v>548027065</v>
      </c>
    </row>
    <row r="198" spans="2:19" x14ac:dyDescent="0.2">
      <c r="B198" s="346" t="s">
        <v>830</v>
      </c>
      <c r="C198" s="444"/>
      <c r="D198" s="424">
        <f t="shared" ref="D198:O199" si="73">D152+D158</f>
        <v>29816513</v>
      </c>
      <c r="E198" s="424">
        <f t="shared" si="73"/>
        <v>23686793</v>
      </c>
      <c r="F198" s="424">
        <f t="shared" si="73"/>
        <v>21443417</v>
      </c>
      <c r="G198" s="424">
        <f t="shared" si="73"/>
        <v>16051551</v>
      </c>
      <c r="H198" s="424">
        <f t="shared" si="73"/>
        <v>11681549</v>
      </c>
      <c r="I198" s="424">
        <f t="shared" si="73"/>
        <v>9079743</v>
      </c>
      <c r="J198" s="424">
        <f t="shared" si="73"/>
        <v>7654391</v>
      </c>
      <c r="K198" s="424">
        <f t="shared" si="73"/>
        <v>7494720</v>
      </c>
      <c r="L198" s="424">
        <f t="shared" si="73"/>
        <v>8427744</v>
      </c>
      <c r="M198" s="424">
        <f t="shared" si="73"/>
        <v>14043903</v>
      </c>
      <c r="N198" s="424">
        <f t="shared" si="73"/>
        <v>20914948</v>
      </c>
      <c r="O198" s="424">
        <f t="shared" si="73"/>
        <v>32091778</v>
      </c>
      <c r="P198" s="279">
        <f t="shared" si="71"/>
        <v>202387050</v>
      </c>
    </row>
    <row r="199" spans="2:19" x14ac:dyDescent="0.2">
      <c r="B199" s="343" t="s">
        <v>832</v>
      </c>
      <c r="C199" s="444"/>
      <c r="D199" s="424">
        <f t="shared" si="73"/>
        <v>8059108</v>
      </c>
      <c r="E199" s="424">
        <f t="shared" si="73"/>
        <v>6905650</v>
      </c>
      <c r="F199" s="424">
        <f t="shared" si="73"/>
        <v>7042830</v>
      </c>
      <c r="G199" s="424">
        <f t="shared" si="73"/>
        <v>6020182</v>
      </c>
      <c r="H199" s="424">
        <f t="shared" si="73"/>
        <v>5271381</v>
      </c>
      <c r="I199" s="424">
        <f t="shared" si="73"/>
        <v>4286054</v>
      </c>
      <c r="J199" s="424">
        <f t="shared" si="73"/>
        <v>3804167</v>
      </c>
      <c r="K199" s="424">
        <f t="shared" si="73"/>
        <v>3792874</v>
      </c>
      <c r="L199" s="424">
        <f t="shared" si="73"/>
        <v>4059909</v>
      </c>
      <c r="M199" s="424">
        <f t="shared" si="73"/>
        <v>5434076</v>
      </c>
      <c r="N199" s="424">
        <f t="shared" si="73"/>
        <v>6657091</v>
      </c>
      <c r="O199" s="424">
        <f t="shared" si="73"/>
        <v>8234935</v>
      </c>
      <c r="P199" s="279">
        <f t="shared" si="71"/>
        <v>69568257</v>
      </c>
    </row>
    <row r="200" spans="2:19" x14ac:dyDescent="0.2">
      <c r="B200" s="343" t="s">
        <v>836</v>
      </c>
      <c r="C200" s="444"/>
      <c r="D200" s="424"/>
      <c r="E200" s="424"/>
      <c r="F200" s="424"/>
      <c r="G200" s="424"/>
      <c r="H200" s="424"/>
      <c r="I200" s="424"/>
      <c r="J200" s="424"/>
      <c r="K200" s="424"/>
      <c r="L200" s="424"/>
      <c r="M200" s="424"/>
      <c r="N200" s="424"/>
      <c r="O200" s="424"/>
      <c r="P200" s="279">
        <f t="shared" si="71"/>
        <v>0</v>
      </c>
    </row>
    <row r="201" spans="2:19" x14ac:dyDescent="0.2">
      <c r="B201" s="343" t="s">
        <v>837</v>
      </c>
      <c r="C201" s="444"/>
      <c r="D201" s="424">
        <f t="shared" ref="D201:O203" si="74">D155+D167</f>
        <v>2039331</v>
      </c>
      <c r="E201" s="424">
        <f t="shared" si="74"/>
        <v>1764580</v>
      </c>
      <c r="F201" s="424">
        <f t="shared" si="74"/>
        <v>1843935</v>
      </c>
      <c r="G201" s="424">
        <f t="shared" si="74"/>
        <v>1548429</v>
      </c>
      <c r="H201" s="424">
        <f t="shared" si="74"/>
        <v>1262533</v>
      </c>
      <c r="I201" s="424">
        <f t="shared" si="74"/>
        <v>1036249</v>
      </c>
      <c r="J201" s="424">
        <f t="shared" si="74"/>
        <v>930314</v>
      </c>
      <c r="K201" s="424">
        <f t="shared" si="74"/>
        <v>937178</v>
      </c>
      <c r="L201" s="424">
        <f t="shared" si="74"/>
        <v>990505</v>
      </c>
      <c r="M201" s="424">
        <f t="shared" si="74"/>
        <v>1365743</v>
      </c>
      <c r="N201" s="424">
        <f t="shared" si="74"/>
        <v>1616785</v>
      </c>
      <c r="O201" s="424">
        <f t="shared" si="74"/>
        <v>1949246</v>
      </c>
      <c r="P201" s="279">
        <f t="shared" si="71"/>
        <v>17284828</v>
      </c>
    </row>
    <row r="202" spans="2:19" x14ac:dyDescent="0.2">
      <c r="B202" s="343" t="s">
        <v>839</v>
      </c>
      <c r="C202" s="444"/>
      <c r="D202" s="424">
        <f t="shared" si="74"/>
        <v>2139696</v>
      </c>
      <c r="E202" s="424">
        <f t="shared" si="74"/>
        <v>1756260</v>
      </c>
      <c r="F202" s="424">
        <f t="shared" si="74"/>
        <v>1589183</v>
      </c>
      <c r="G202" s="424">
        <f t="shared" si="74"/>
        <v>1214930</v>
      </c>
      <c r="H202" s="424">
        <f t="shared" si="74"/>
        <v>922059</v>
      </c>
      <c r="I202" s="424">
        <f t="shared" si="74"/>
        <v>600772</v>
      </c>
      <c r="J202" s="424">
        <f t="shared" si="74"/>
        <v>418367</v>
      </c>
      <c r="K202" s="424">
        <f t="shared" si="74"/>
        <v>369982</v>
      </c>
      <c r="L202" s="424">
        <f t="shared" si="74"/>
        <v>517672</v>
      </c>
      <c r="M202" s="424">
        <f t="shared" si="74"/>
        <v>1000639</v>
      </c>
      <c r="N202" s="424">
        <f t="shared" si="74"/>
        <v>1451364</v>
      </c>
      <c r="O202" s="424">
        <f t="shared" si="74"/>
        <v>1908654</v>
      </c>
      <c r="P202" s="279">
        <f t="shared" si="71"/>
        <v>13889578</v>
      </c>
    </row>
    <row r="203" spans="2:19" x14ac:dyDescent="0.2">
      <c r="B203" s="343" t="s">
        <v>841</v>
      </c>
      <c r="C203" s="444"/>
      <c r="D203" s="424">
        <f t="shared" si="74"/>
        <v>3484213</v>
      </c>
      <c r="E203" s="424">
        <f t="shared" si="74"/>
        <v>3021529</v>
      </c>
      <c r="F203" s="424">
        <f t="shared" si="74"/>
        <v>2969030</v>
      </c>
      <c r="G203" s="424">
        <f t="shared" si="74"/>
        <v>2565692</v>
      </c>
      <c r="H203" s="424">
        <f t="shared" si="74"/>
        <v>2262834</v>
      </c>
      <c r="I203" s="424">
        <f t="shared" si="74"/>
        <v>1869770</v>
      </c>
      <c r="J203" s="424">
        <f t="shared" si="74"/>
        <v>1670626</v>
      </c>
      <c r="K203" s="424">
        <f t="shared" si="74"/>
        <v>1577331</v>
      </c>
      <c r="L203" s="424">
        <f t="shared" si="74"/>
        <v>1726459</v>
      </c>
      <c r="M203" s="424">
        <f t="shared" si="74"/>
        <v>2425380</v>
      </c>
      <c r="N203" s="424">
        <f t="shared" si="74"/>
        <v>2874110</v>
      </c>
      <c r="O203" s="424">
        <f t="shared" si="74"/>
        <v>3588681</v>
      </c>
      <c r="P203" s="279">
        <f t="shared" si="71"/>
        <v>30035655</v>
      </c>
    </row>
    <row r="204" spans="2:19" x14ac:dyDescent="0.2">
      <c r="B204" s="32" t="s">
        <v>1039</v>
      </c>
      <c r="C204" s="444"/>
      <c r="D204" s="424">
        <f t="shared" ref="D204:O205" si="75">D165+D170</f>
        <v>639788</v>
      </c>
      <c r="E204" s="424">
        <f t="shared" si="75"/>
        <v>605719</v>
      </c>
      <c r="F204" s="424">
        <f t="shared" si="75"/>
        <v>661819</v>
      </c>
      <c r="G204" s="424">
        <f t="shared" si="75"/>
        <v>614152</v>
      </c>
      <c r="H204" s="424">
        <f t="shared" si="75"/>
        <v>556103</v>
      </c>
      <c r="I204" s="424">
        <f t="shared" si="75"/>
        <v>621160</v>
      </c>
      <c r="J204" s="424">
        <f t="shared" si="75"/>
        <v>633300</v>
      </c>
      <c r="K204" s="424">
        <f t="shared" si="75"/>
        <v>638278</v>
      </c>
      <c r="L204" s="424">
        <f t="shared" si="75"/>
        <v>613872</v>
      </c>
      <c r="M204" s="424">
        <f t="shared" si="75"/>
        <v>652890</v>
      </c>
      <c r="N204" s="424">
        <f t="shared" si="75"/>
        <v>764251</v>
      </c>
      <c r="O204" s="424">
        <f t="shared" si="75"/>
        <v>813242</v>
      </c>
      <c r="P204" s="279">
        <f t="shared" si="71"/>
        <v>7814574</v>
      </c>
    </row>
    <row r="205" spans="2:19" x14ac:dyDescent="0.2">
      <c r="B205" s="32" t="s">
        <v>1040</v>
      </c>
      <c r="C205" s="444"/>
      <c r="D205" s="424">
        <f t="shared" si="75"/>
        <v>5294892</v>
      </c>
      <c r="E205" s="424">
        <f t="shared" si="75"/>
        <v>5034870</v>
      </c>
      <c r="F205" s="424">
        <f t="shared" si="75"/>
        <v>5736791</v>
      </c>
      <c r="G205" s="424">
        <f t="shared" si="75"/>
        <v>5444693</v>
      </c>
      <c r="H205" s="424">
        <f t="shared" si="75"/>
        <v>5421407</v>
      </c>
      <c r="I205" s="424">
        <f t="shared" si="75"/>
        <v>5646872</v>
      </c>
      <c r="J205" s="424">
        <f t="shared" si="75"/>
        <v>5207081</v>
      </c>
      <c r="K205" s="424">
        <f t="shared" si="75"/>
        <v>5373590</v>
      </c>
      <c r="L205" s="424">
        <f t="shared" si="75"/>
        <v>5129610</v>
      </c>
      <c r="M205" s="424">
        <f t="shared" si="75"/>
        <v>5583091</v>
      </c>
      <c r="N205" s="424">
        <f t="shared" si="75"/>
        <v>5594102</v>
      </c>
      <c r="O205" s="424">
        <f t="shared" si="75"/>
        <v>5438885</v>
      </c>
      <c r="P205" s="279">
        <f t="shared" si="71"/>
        <v>64905884</v>
      </c>
    </row>
    <row r="206" spans="2:19" x14ac:dyDescent="0.2">
      <c r="B206" s="336" t="s">
        <v>1284</v>
      </c>
      <c r="C206" s="444"/>
      <c r="D206" s="424">
        <f>D172</f>
        <v>91</v>
      </c>
      <c r="E206" s="424">
        <f t="shared" ref="E206:O206" si="76">E172</f>
        <v>2886</v>
      </c>
      <c r="F206" s="424">
        <f t="shared" si="76"/>
        <v>12304</v>
      </c>
      <c r="G206" s="424">
        <f t="shared" si="76"/>
        <v>22580</v>
      </c>
      <c r="H206" s="424">
        <f t="shared" si="76"/>
        <v>14443</v>
      </c>
      <c r="I206" s="424">
        <f t="shared" si="76"/>
        <v>0</v>
      </c>
      <c r="J206" s="424">
        <f t="shared" si="76"/>
        <v>0</v>
      </c>
      <c r="K206" s="424">
        <f t="shared" si="76"/>
        <v>2158</v>
      </c>
      <c r="L206" s="424">
        <f t="shared" si="76"/>
        <v>9063</v>
      </c>
      <c r="M206" s="424">
        <f t="shared" si="76"/>
        <v>8098</v>
      </c>
      <c r="N206" s="424">
        <f t="shared" si="76"/>
        <v>963</v>
      </c>
      <c r="O206" s="424">
        <f t="shared" si="76"/>
        <v>197</v>
      </c>
      <c r="P206" s="279">
        <f t="shared" si="71"/>
        <v>72783</v>
      </c>
    </row>
    <row r="207" spans="2:19" x14ac:dyDescent="0.2">
      <c r="B207" s="32" t="s">
        <v>1042</v>
      </c>
      <c r="C207" s="444"/>
      <c r="D207" s="424">
        <f t="shared" ref="D207:L207" si="77">D154+D173</f>
        <v>9606184</v>
      </c>
      <c r="E207" s="424">
        <f t="shared" si="77"/>
        <v>7685668</v>
      </c>
      <c r="F207" s="424">
        <f t="shared" si="77"/>
        <v>8803610</v>
      </c>
      <c r="G207" s="424">
        <f t="shared" si="77"/>
        <v>8482069</v>
      </c>
      <c r="H207" s="424">
        <f t="shared" si="77"/>
        <v>9388528</v>
      </c>
      <c r="I207" s="424">
        <f t="shared" si="77"/>
        <v>8005470</v>
      </c>
      <c r="J207" s="424">
        <f t="shared" si="77"/>
        <v>8496772</v>
      </c>
      <c r="K207" s="424">
        <f t="shared" si="77"/>
        <v>8613339</v>
      </c>
      <c r="L207" s="424">
        <f t="shared" si="77"/>
        <v>7541047</v>
      </c>
      <c r="M207" s="424">
        <f>M154+M173</f>
        <v>7978763</v>
      </c>
      <c r="N207" s="424">
        <f>N154+N173</f>
        <v>7176279</v>
      </c>
      <c r="O207" s="424">
        <f>O154+O173</f>
        <v>7800846</v>
      </c>
      <c r="P207" s="279">
        <f t="shared" si="71"/>
        <v>99578575</v>
      </c>
    </row>
    <row r="208" spans="2:19" x14ac:dyDescent="0.2">
      <c r="B208" s="343" t="s">
        <v>144</v>
      </c>
      <c r="C208" s="444"/>
      <c r="D208" s="424">
        <f t="shared" ref="D208:L208" si="78">D160</f>
        <v>4174040</v>
      </c>
      <c r="E208" s="424">
        <f t="shared" si="78"/>
        <v>3718409</v>
      </c>
      <c r="F208" s="424">
        <f t="shared" si="78"/>
        <v>3764950</v>
      </c>
      <c r="G208" s="424">
        <f t="shared" si="78"/>
        <v>3145382</v>
      </c>
      <c r="H208" s="424">
        <f t="shared" si="78"/>
        <v>2395387</v>
      </c>
      <c r="I208" s="424">
        <f t="shared" si="78"/>
        <v>2216168</v>
      </c>
      <c r="J208" s="424">
        <f t="shared" si="78"/>
        <v>2006793</v>
      </c>
      <c r="K208" s="424">
        <f t="shared" si="78"/>
        <v>1941842</v>
      </c>
      <c r="L208" s="424">
        <f t="shared" si="78"/>
        <v>1974119</v>
      </c>
      <c r="M208" s="424">
        <f>M160</f>
        <v>2868579</v>
      </c>
      <c r="N208" s="424">
        <f>N160</f>
        <v>3672235</v>
      </c>
      <c r="O208" s="424">
        <f>O160</f>
        <v>4102274</v>
      </c>
      <c r="P208" s="424">
        <f>P160</f>
        <v>35980178</v>
      </c>
    </row>
    <row r="209" spans="2:18" x14ac:dyDescent="0.2">
      <c r="B209" s="343" t="s">
        <v>1286</v>
      </c>
      <c r="C209" s="444"/>
      <c r="D209" s="357">
        <f t="shared" ref="D209:L209" si="79">SUM(D196:D208)</f>
        <v>151950258</v>
      </c>
      <c r="E209" s="357">
        <f t="shared" si="79"/>
        <v>123124539</v>
      </c>
      <c r="F209" s="357">
        <f t="shared" si="79"/>
        <v>115718871</v>
      </c>
      <c r="G209" s="357">
        <f t="shared" si="79"/>
        <v>89726214</v>
      </c>
      <c r="H209" s="357">
        <f t="shared" si="79"/>
        <v>67935817</v>
      </c>
      <c r="I209" s="357">
        <f t="shared" si="79"/>
        <v>52834021</v>
      </c>
      <c r="J209" s="357">
        <f t="shared" si="79"/>
        <v>44771928</v>
      </c>
      <c r="K209" s="357">
        <f t="shared" si="79"/>
        <v>43877935</v>
      </c>
      <c r="L209" s="357">
        <f t="shared" si="79"/>
        <v>49056667</v>
      </c>
      <c r="M209" s="357">
        <f>SUM(M196:M208)</f>
        <v>79839487</v>
      </c>
      <c r="N209" s="357">
        <f>SUM(N196:N208)</f>
        <v>111333789</v>
      </c>
      <c r="O209" s="357">
        <f>SUM(O196:O208)</f>
        <v>159387099</v>
      </c>
      <c r="P209" s="357">
        <f>SUM(P196:P208)</f>
        <v>1089556625</v>
      </c>
      <c r="R209" s="279"/>
    </row>
    <row r="210" spans="2:18" x14ac:dyDescent="0.2">
      <c r="B210" s="343" t="s">
        <v>131</v>
      </c>
      <c r="C210" s="444"/>
      <c r="D210" s="424">
        <f t="shared" ref="D210:L210" si="80">D209-D175</f>
        <v>0</v>
      </c>
      <c r="E210" s="424">
        <f t="shared" si="80"/>
        <v>0</v>
      </c>
      <c r="F210" s="424">
        <f t="shared" si="80"/>
        <v>0</v>
      </c>
      <c r="G210" s="424">
        <f t="shared" si="80"/>
        <v>0</v>
      </c>
      <c r="H210" s="424">
        <f t="shared" si="80"/>
        <v>0</v>
      </c>
      <c r="I210" s="424">
        <f t="shared" si="80"/>
        <v>0</v>
      </c>
      <c r="J210" s="424">
        <f t="shared" si="80"/>
        <v>0</v>
      </c>
      <c r="K210" s="424">
        <f t="shared" si="80"/>
        <v>0</v>
      </c>
      <c r="L210" s="424">
        <f t="shared" si="80"/>
        <v>0</v>
      </c>
      <c r="M210" s="424">
        <f>M209-M175</f>
        <v>0</v>
      </c>
      <c r="N210" s="424">
        <f>N209-N175</f>
        <v>0</v>
      </c>
      <c r="O210" s="424">
        <f>O209-O175</f>
        <v>0</v>
      </c>
      <c r="P210" s="424">
        <f>P209-P175</f>
        <v>0</v>
      </c>
    </row>
    <row r="211" spans="2:18" x14ac:dyDescent="0.2">
      <c r="C211" s="444"/>
      <c r="D211" s="424"/>
      <c r="E211" s="424"/>
      <c r="F211" s="424"/>
      <c r="G211" s="424"/>
      <c r="H211" s="424"/>
      <c r="I211" s="424"/>
      <c r="J211" s="424"/>
      <c r="K211" s="424"/>
      <c r="L211" s="424"/>
      <c r="M211" s="424"/>
      <c r="N211" s="424"/>
      <c r="O211" s="424"/>
      <c r="P211" s="424"/>
      <c r="R211" s="279"/>
    </row>
    <row r="212" spans="2:18" x14ac:dyDescent="0.2">
      <c r="B212" s="182" t="s">
        <v>1287</v>
      </c>
      <c r="C212" s="444"/>
      <c r="D212" s="424"/>
      <c r="E212" s="424"/>
      <c r="F212" s="424"/>
      <c r="G212" s="424"/>
      <c r="H212" s="424"/>
      <c r="I212" s="424"/>
      <c r="J212" s="424"/>
      <c r="K212" s="424"/>
      <c r="L212" s="424"/>
      <c r="M212" s="424"/>
      <c r="N212" s="424"/>
      <c r="O212" s="424"/>
      <c r="P212" s="424"/>
    </row>
    <row r="213" spans="2:18" s="336" customFormat="1" x14ac:dyDescent="0.2">
      <c r="B213" s="426" t="s">
        <v>1037</v>
      </c>
      <c r="C213" s="382"/>
      <c r="D213" s="506">
        <f t="shared" ref="D213:L213" si="81">SUM(D34:D36)</f>
        <v>693143</v>
      </c>
      <c r="E213" s="506">
        <f t="shared" si="81"/>
        <v>693892</v>
      </c>
      <c r="F213" s="506">
        <f t="shared" si="81"/>
        <v>694262</v>
      </c>
      <c r="G213" s="506">
        <f t="shared" si="81"/>
        <v>694601</v>
      </c>
      <c r="H213" s="506">
        <f t="shared" si="81"/>
        <v>694272</v>
      </c>
      <c r="I213" s="506">
        <f t="shared" si="81"/>
        <v>693757</v>
      </c>
      <c r="J213" s="506">
        <f t="shared" si="81"/>
        <v>693077</v>
      </c>
      <c r="K213" s="506">
        <f t="shared" si="81"/>
        <v>692463</v>
      </c>
      <c r="L213" s="506">
        <f t="shared" si="81"/>
        <v>692769</v>
      </c>
      <c r="M213" s="506">
        <f>SUM(M34:M36)</f>
        <v>694122</v>
      </c>
      <c r="N213" s="506">
        <f>SUM(N34:N36)</f>
        <v>695671</v>
      </c>
      <c r="O213" s="506">
        <f>SUM(O34:O36)</f>
        <v>696987</v>
      </c>
      <c r="P213" s="506">
        <f t="shared" ref="P213:P223" si="82">SUM(D213:O213)</f>
        <v>8329016</v>
      </c>
    </row>
    <row r="214" spans="2:18" s="336" customFormat="1" x14ac:dyDescent="0.2">
      <c r="B214" s="346" t="s">
        <v>830</v>
      </c>
      <c r="C214" s="382"/>
      <c r="D214" s="506">
        <f t="shared" ref="D214:L214" si="83">SUM(D37:D38,D40,D44,D46)</f>
        <v>54871</v>
      </c>
      <c r="E214" s="506">
        <f t="shared" si="83"/>
        <v>54892</v>
      </c>
      <c r="F214" s="506">
        <f t="shared" si="83"/>
        <v>54881</v>
      </c>
      <c r="G214" s="506">
        <f t="shared" si="83"/>
        <v>54806</v>
      </c>
      <c r="H214" s="506">
        <f t="shared" si="83"/>
        <v>54661</v>
      </c>
      <c r="I214" s="506">
        <f t="shared" si="83"/>
        <v>54490</v>
      </c>
      <c r="J214" s="506">
        <f t="shared" si="83"/>
        <v>54397</v>
      </c>
      <c r="K214" s="506">
        <f t="shared" si="83"/>
        <v>54069</v>
      </c>
      <c r="L214" s="506">
        <f t="shared" si="83"/>
        <v>54049</v>
      </c>
      <c r="M214" s="506">
        <f>SUM(M37:M38,M40,M44,M46)</f>
        <v>54139</v>
      </c>
      <c r="N214" s="506">
        <f>SUM(N37:N38,N40,N44,N46)</f>
        <v>54286</v>
      </c>
      <c r="O214" s="506">
        <f>SUM(O37:O38,O40,O44,O46)</f>
        <v>54471</v>
      </c>
      <c r="P214" s="506">
        <f t="shared" si="82"/>
        <v>654012</v>
      </c>
    </row>
    <row r="215" spans="2:18" x14ac:dyDescent="0.2">
      <c r="B215" s="426" t="s">
        <v>832</v>
      </c>
      <c r="C215" s="444"/>
      <c r="D215" s="424">
        <f t="shared" ref="D215:L215" si="84">D39+D45</f>
        <v>1543</v>
      </c>
      <c r="E215" s="424">
        <f t="shared" si="84"/>
        <v>1542</v>
      </c>
      <c r="F215" s="424">
        <f t="shared" si="84"/>
        <v>1559</v>
      </c>
      <c r="G215" s="424">
        <f t="shared" si="84"/>
        <v>1558</v>
      </c>
      <c r="H215" s="424">
        <f t="shared" si="84"/>
        <v>1557</v>
      </c>
      <c r="I215" s="424">
        <f t="shared" si="84"/>
        <v>1556</v>
      </c>
      <c r="J215" s="424">
        <f t="shared" si="84"/>
        <v>1557</v>
      </c>
      <c r="K215" s="424">
        <f t="shared" si="84"/>
        <v>1550</v>
      </c>
      <c r="L215" s="424">
        <f t="shared" si="84"/>
        <v>1526</v>
      </c>
      <c r="M215" s="424">
        <f>M39+M45</f>
        <v>1501</v>
      </c>
      <c r="N215" s="424">
        <f>N39+N45</f>
        <v>1499</v>
      </c>
      <c r="O215" s="424">
        <f>O39+O45</f>
        <v>1500</v>
      </c>
      <c r="P215" s="424">
        <f t="shared" si="82"/>
        <v>18448</v>
      </c>
    </row>
    <row r="216" spans="2:18" x14ac:dyDescent="0.2">
      <c r="B216" s="426" t="s">
        <v>837</v>
      </c>
      <c r="C216" s="444"/>
      <c r="D216" s="424">
        <f t="shared" ref="D216:O218" si="85">D41+D47</f>
        <v>33</v>
      </c>
      <c r="E216" s="424">
        <f t="shared" si="85"/>
        <v>34</v>
      </c>
      <c r="F216" s="424">
        <f t="shared" si="85"/>
        <v>33</v>
      </c>
      <c r="G216" s="424">
        <f t="shared" si="85"/>
        <v>35</v>
      </c>
      <c r="H216" s="424">
        <f t="shared" si="85"/>
        <v>34</v>
      </c>
      <c r="I216" s="424">
        <f t="shared" si="85"/>
        <v>34</v>
      </c>
      <c r="J216" s="424">
        <f t="shared" si="85"/>
        <v>34</v>
      </c>
      <c r="K216" s="424">
        <f t="shared" si="85"/>
        <v>34</v>
      </c>
      <c r="L216" s="424">
        <f t="shared" si="85"/>
        <v>34</v>
      </c>
      <c r="M216" s="424">
        <f t="shared" si="85"/>
        <v>34</v>
      </c>
      <c r="N216" s="424">
        <f t="shared" si="85"/>
        <v>34</v>
      </c>
      <c r="O216" s="424">
        <f t="shared" si="85"/>
        <v>34</v>
      </c>
      <c r="P216" s="424">
        <f t="shared" si="82"/>
        <v>407</v>
      </c>
    </row>
    <row r="217" spans="2:18" x14ac:dyDescent="0.2">
      <c r="B217" s="426" t="s">
        <v>839</v>
      </c>
      <c r="C217" s="444"/>
      <c r="D217" s="424">
        <f t="shared" si="85"/>
        <v>345</v>
      </c>
      <c r="E217" s="424">
        <f t="shared" si="85"/>
        <v>344</v>
      </c>
      <c r="F217" s="424">
        <f t="shared" si="85"/>
        <v>344</v>
      </c>
      <c r="G217" s="424">
        <f t="shared" si="85"/>
        <v>342</v>
      </c>
      <c r="H217" s="424">
        <f t="shared" si="85"/>
        <v>342</v>
      </c>
      <c r="I217" s="424">
        <f t="shared" si="85"/>
        <v>342</v>
      </c>
      <c r="J217" s="424">
        <f t="shared" si="85"/>
        <v>340</v>
      </c>
      <c r="K217" s="424">
        <f t="shared" si="85"/>
        <v>337</v>
      </c>
      <c r="L217" s="424">
        <f t="shared" si="85"/>
        <v>336</v>
      </c>
      <c r="M217" s="424">
        <f t="shared" si="85"/>
        <v>330</v>
      </c>
      <c r="N217" s="424">
        <f t="shared" si="85"/>
        <v>328</v>
      </c>
      <c r="O217" s="424">
        <f t="shared" si="85"/>
        <v>328</v>
      </c>
      <c r="P217" s="424">
        <f t="shared" si="82"/>
        <v>4058</v>
      </c>
    </row>
    <row r="218" spans="2:18" x14ac:dyDescent="0.2">
      <c r="B218" s="426" t="s">
        <v>841</v>
      </c>
      <c r="C218" s="444"/>
      <c r="D218" s="424">
        <f t="shared" si="85"/>
        <v>9</v>
      </c>
      <c r="E218" s="424">
        <f t="shared" si="85"/>
        <v>9</v>
      </c>
      <c r="F218" s="424">
        <f t="shared" si="85"/>
        <v>9</v>
      </c>
      <c r="G218" s="424">
        <f t="shared" si="85"/>
        <v>9</v>
      </c>
      <c r="H218" s="424">
        <f t="shared" si="85"/>
        <v>9</v>
      </c>
      <c r="I218" s="424">
        <f t="shared" si="85"/>
        <v>9</v>
      </c>
      <c r="J218" s="424">
        <f t="shared" si="85"/>
        <v>9</v>
      </c>
      <c r="K218" s="424">
        <f t="shared" si="85"/>
        <v>9</v>
      </c>
      <c r="L218" s="424">
        <f t="shared" si="85"/>
        <v>9</v>
      </c>
      <c r="M218" s="424">
        <f t="shared" si="85"/>
        <v>9</v>
      </c>
      <c r="N218" s="424">
        <f t="shared" si="85"/>
        <v>9</v>
      </c>
      <c r="O218" s="424">
        <f t="shared" si="85"/>
        <v>9</v>
      </c>
      <c r="P218" s="424">
        <f t="shared" si="82"/>
        <v>108</v>
      </c>
    </row>
    <row r="219" spans="2:18" x14ac:dyDescent="0.2">
      <c r="B219" s="32" t="s">
        <v>1039</v>
      </c>
      <c r="C219" s="444"/>
      <c r="D219" s="424">
        <f t="shared" ref="D219:O220" si="86">D50+D53</f>
        <v>47</v>
      </c>
      <c r="E219" s="424">
        <f t="shared" si="86"/>
        <v>47</v>
      </c>
      <c r="F219" s="424">
        <f t="shared" si="86"/>
        <v>46</v>
      </c>
      <c r="G219" s="424">
        <f t="shared" si="86"/>
        <v>46</v>
      </c>
      <c r="H219" s="424">
        <f t="shared" si="86"/>
        <v>46</v>
      </c>
      <c r="I219" s="424">
        <f t="shared" si="86"/>
        <v>46</v>
      </c>
      <c r="J219" s="424">
        <f t="shared" si="86"/>
        <v>45</v>
      </c>
      <c r="K219" s="424">
        <f t="shared" si="86"/>
        <v>46</v>
      </c>
      <c r="L219" s="424">
        <f t="shared" si="86"/>
        <v>45</v>
      </c>
      <c r="M219" s="424">
        <f t="shared" si="86"/>
        <v>46</v>
      </c>
      <c r="N219" s="424">
        <f t="shared" si="86"/>
        <v>46</v>
      </c>
      <c r="O219" s="424">
        <f t="shared" si="86"/>
        <v>46</v>
      </c>
      <c r="P219" s="424">
        <f t="shared" si="82"/>
        <v>552</v>
      </c>
    </row>
    <row r="220" spans="2:18" x14ac:dyDescent="0.2">
      <c r="B220" s="32" t="s">
        <v>1040</v>
      </c>
      <c r="C220" s="444"/>
      <c r="D220" s="424">
        <f t="shared" si="86"/>
        <v>97</v>
      </c>
      <c r="E220" s="424">
        <f t="shared" si="86"/>
        <v>96</v>
      </c>
      <c r="F220" s="424">
        <f t="shared" si="86"/>
        <v>97</v>
      </c>
      <c r="G220" s="424">
        <f t="shared" si="86"/>
        <v>98</v>
      </c>
      <c r="H220" s="424">
        <f t="shared" si="86"/>
        <v>98</v>
      </c>
      <c r="I220" s="424">
        <f t="shared" si="86"/>
        <v>99</v>
      </c>
      <c r="J220" s="424">
        <f t="shared" si="86"/>
        <v>99</v>
      </c>
      <c r="K220" s="424">
        <f t="shared" si="86"/>
        <v>98</v>
      </c>
      <c r="L220" s="424">
        <f t="shared" si="86"/>
        <v>99</v>
      </c>
      <c r="M220" s="424">
        <f t="shared" si="86"/>
        <v>98</v>
      </c>
      <c r="N220" s="424">
        <f t="shared" si="86"/>
        <v>97</v>
      </c>
      <c r="O220" s="424">
        <f t="shared" si="86"/>
        <v>98</v>
      </c>
      <c r="P220" s="424">
        <f t="shared" si="82"/>
        <v>1174</v>
      </c>
    </row>
    <row r="221" spans="2:18" x14ac:dyDescent="0.2">
      <c r="B221" s="336" t="s">
        <v>1284</v>
      </c>
      <c r="C221" s="444"/>
      <c r="D221" s="424">
        <f>D55</f>
        <v>1</v>
      </c>
      <c r="E221" s="424">
        <f t="shared" ref="E221:O221" si="87">E55</f>
        <v>1</v>
      </c>
      <c r="F221" s="424">
        <f t="shared" si="87"/>
        <v>1</v>
      </c>
      <c r="G221" s="424">
        <f t="shared" si="87"/>
        <v>1</v>
      </c>
      <c r="H221" s="424">
        <f t="shared" si="87"/>
        <v>1</v>
      </c>
      <c r="I221" s="424">
        <f t="shared" si="87"/>
        <v>1</v>
      </c>
      <c r="J221" s="424">
        <f t="shared" si="87"/>
        <v>1</v>
      </c>
      <c r="K221" s="424">
        <f t="shared" si="87"/>
        <v>1</v>
      </c>
      <c r="L221" s="424">
        <f t="shared" si="87"/>
        <v>1</v>
      </c>
      <c r="M221" s="424">
        <f t="shared" si="87"/>
        <v>1</v>
      </c>
      <c r="N221" s="424">
        <f t="shared" si="87"/>
        <v>1</v>
      </c>
      <c r="O221" s="424">
        <f t="shared" si="87"/>
        <v>1</v>
      </c>
      <c r="P221" s="424">
        <f t="shared" si="82"/>
        <v>12</v>
      </c>
    </row>
    <row r="222" spans="2:18" x14ac:dyDescent="0.2">
      <c r="B222" s="32" t="s">
        <v>1042</v>
      </c>
      <c r="C222" s="444"/>
      <c r="D222" s="424">
        <f t="shared" ref="D222:L222" si="88">D52+D56</f>
        <v>13</v>
      </c>
      <c r="E222" s="424">
        <f t="shared" si="88"/>
        <v>13</v>
      </c>
      <c r="F222" s="424">
        <f t="shared" si="88"/>
        <v>13</v>
      </c>
      <c r="G222" s="424">
        <f t="shared" si="88"/>
        <v>13</v>
      </c>
      <c r="H222" s="424">
        <f t="shared" si="88"/>
        <v>13</v>
      </c>
      <c r="I222" s="424">
        <f t="shared" si="88"/>
        <v>13</v>
      </c>
      <c r="J222" s="424">
        <f t="shared" si="88"/>
        <v>13</v>
      </c>
      <c r="K222" s="424">
        <f t="shared" si="88"/>
        <v>13</v>
      </c>
      <c r="L222" s="424">
        <f t="shared" si="88"/>
        <v>13</v>
      </c>
      <c r="M222" s="424">
        <f>M52+M56</f>
        <v>13</v>
      </c>
      <c r="N222" s="424">
        <f>N52+N56</f>
        <v>13</v>
      </c>
      <c r="O222" s="424">
        <f>O52+O56</f>
        <v>12</v>
      </c>
      <c r="P222" s="424">
        <f t="shared" si="82"/>
        <v>155</v>
      </c>
    </row>
    <row r="223" spans="2:18" x14ac:dyDescent="0.2">
      <c r="B223" s="343" t="s">
        <v>144</v>
      </c>
      <c r="C223" s="444"/>
      <c r="D223" s="424">
        <f t="shared" ref="D223:L223" si="89">SUM(D57:D57)</f>
        <v>12</v>
      </c>
      <c r="E223" s="424">
        <f t="shared" si="89"/>
        <v>12</v>
      </c>
      <c r="F223" s="424">
        <f t="shared" si="89"/>
        <v>12</v>
      </c>
      <c r="G223" s="424">
        <f t="shared" si="89"/>
        <v>12</v>
      </c>
      <c r="H223" s="424">
        <f t="shared" si="89"/>
        <v>12</v>
      </c>
      <c r="I223" s="424">
        <f t="shared" si="89"/>
        <v>12</v>
      </c>
      <c r="J223" s="424">
        <f t="shared" si="89"/>
        <v>12</v>
      </c>
      <c r="K223" s="424">
        <f t="shared" si="89"/>
        <v>12</v>
      </c>
      <c r="L223" s="424">
        <f t="shared" si="89"/>
        <v>12</v>
      </c>
      <c r="M223" s="424">
        <f>SUM(M57:M57)</f>
        <v>12</v>
      </c>
      <c r="N223" s="424">
        <f>SUM(N57:N57)</f>
        <v>12</v>
      </c>
      <c r="O223" s="424">
        <f>SUM(O57:O57)</f>
        <v>12</v>
      </c>
      <c r="P223" s="424">
        <f t="shared" si="82"/>
        <v>144</v>
      </c>
    </row>
    <row r="224" spans="2:18" x14ac:dyDescent="0.2">
      <c r="B224" s="179" t="s">
        <v>1043</v>
      </c>
      <c r="C224" s="444"/>
      <c r="D224" s="357">
        <f t="shared" ref="D224:L224" si="90">SUM(D213:D223)</f>
        <v>750114</v>
      </c>
      <c r="E224" s="357">
        <f t="shared" si="90"/>
        <v>750882</v>
      </c>
      <c r="F224" s="357">
        <f t="shared" si="90"/>
        <v>751257</v>
      </c>
      <c r="G224" s="357">
        <f t="shared" si="90"/>
        <v>751521</v>
      </c>
      <c r="H224" s="357">
        <f t="shared" si="90"/>
        <v>751045</v>
      </c>
      <c r="I224" s="357">
        <f t="shared" si="90"/>
        <v>750359</v>
      </c>
      <c r="J224" s="357">
        <f t="shared" si="90"/>
        <v>749584</v>
      </c>
      <c r="K224" s="357">
        <f t="shared" si="90"/>
        <v>748632</v>
      </c>
      <c r="L224" s="357">
        <f t="shared" si="90"/>
        <v>748893</v>
      </c>
      <c r="M224" s="357">
        <f>SUM(M213:M223)</f>
        <v>750305</v>
      </c>
      <c r="N224" s="357">
        <f>SUM(N213:N223)</f>
        <v>751996</v>
      </c>
      <c r="O224" s="357">
        <f>SUM(O213:O223)</f>
        <v>753498</v>
      </c>
      <c r="P224" s="357">
        <f>SUM(P213:P223)</f>
        <v>9008086</v>
      </c>
    </row>
    <row r="225" spans="2:16" x14ac:dyDescent="0.2">
      <c r="B225" s="654" t="s">
        <v>131</v>
      </c>
      <c r="C225" s="444"/>
      <c r="D225" s="424">
        <f t="shared" ref="D225:P225" si="91">D224-D58</f>
        <v>0</v>
      </c>
      <c r="E225" s="424">
        <f t="shared" si="91"/>
        <v>0</v>
      </c>
      <c r="F225" s="424">
        <f t="shared" si="91"/>
        <v>0</v>
      </c>
      <c r="G225" s="424">
        <f t="shared" si="91"/>
        <v>0</v>
      </c>
      <c r="H225" s="424">
        <f t="shared" si="91"/>
        <v>0</v>
      </c>
      <c r="I225" s="424">
        <f t="shared" si="91"/>
        <v>0</v>
      </c>
      <c r="J225" s="424">
        <f t="shared" si="91"/>
        <v>0</v>
      </c>
      <c r="K225" s="424">
        <f t="shared" si="91"/>
        <v>0</v>
      </c>
      <c r="L225" s="424">
        <f t="shared" si="91"/>
        <v>0</v>
      </c>
      <c r="M225" s="424">
        <f t="shared" si="91"/>
        <v>0</v>
      </c>
      <c r="N225" s="424">
        <f t="shared" si="91"/>
        <v>0</v>
      </c>
      <c r="O225" s="424">
        <f t="shared" si="91"/>
        <v>0</v>
      </c>
      <c r="P225" s="506">
        <f t="shared" si="91"/>
        <v>0</v>
      </c>
    </row>
    <row r="226" spans="2:16" x14ac:dyDescent="0.2">
      <c r="C226" s="444"/>
      <c r="D226" s="424"/>
      <c r="E226" s="424"/>
      <c r="F226" s="424"/>
      <c r="G226" s="424"/>
      <c r="H226" s="424"/>
      <c r="I226" s="424"/>
      <c r="J226" s="424"/>
      <c r="K226" s="424"/>
      <c r="L226" s="424"/>
      <c r="M226" s="424"/>
      <c r="N226" s="424"/>
      <c r="O226" s="424"/>
      <c r="P226" s="424"/>
    </row>
    <row r="227" spans="2:16" x14ac:dyDescent="0.2">
      <c r="B227" s="182" t="s">
        <v>1288</v>
      </c>
      <c r="C227" s="444"/>
      <c r="D227" s="424"/>
      <c r="E227" s="424"/>
      <c r="F227" s="424"/>
      <c r="G227" s="424"/>
      <c r="H227" s="424"/>
      <c r="I227" s="424"/>
      <c r="J227" s="424"/>
      <c r="K227" s="424"/>
      <c r="L227" s="424"/>
      <c r="M227" s="424"/>
      <c r="N227" s="424"/>
      <c r="O227" s="424"/>
      <c r="P227" s="424"/>
    </row>
    <row r="228" spans="2:16" x14ac:dyDescent="0.2">
      <c r="B228" s="426" t="s">
        <v>1037</v>
      </c>
      <c r="C228" s="444"/>
      <c r="D228" s="424">
        <f t="shared" ref="D228:L228" si="92">SUM(D196:D197)</f>
        <v>86696402</v>
      </c>
      <c r="E228" s="424">
        <f t="shared" si="92"/>
        <v>68942175</v>
      </c>
      <c r="F228" s="424">
        <f t="shared" si="92"/>
        <v>61851002</v>
      </c>
      <c r="G228" s="424">
        <f t="shared" si="92"/>
        <v>44616554</v>
      </c>
      <c r="H228" s="424">
        <f t="shared" si="92"/>
        <v>28759593</v>
      </c>
      <c r="I228" s="424">
        <f t="shared" si="92"/>
        <v>19471763</v>
      </c>
      <c r="J228" s="424">
        <f t="shared" si="92"/>
        <v>13950117</v>
      </c>
      <c r="K228" s="424">
        <f t="shared" si="92"/>
        <v>13136643</v>
      </c>
      <c r="L228" s="424">
        <f t="shared" si="92"/>
        <v>18066667</v>
      </c>
      <c r="M228" s="424">
        <f>SUM(M196:M197)</f>
        <v>38478325</v>
      </c>
      <c r="N228" s="424">
        <f>SUM(N196:N197)</f>
        <v>60611661</v>
      </c>
      <c r="O228" s="424">
        <f>SUM(O196:O197)</f>
        <v>93458361</v>
      </c>
      <c r="P228" s="424">
        <f t="shared" ref="P228:P238" si="93">SUM(D228:O228)</f>
        <v>548039263</v>
      </c>
    </row>
    <row r="229" spans="2:16" x14ac:dyDescent="0.2">
      <c r="B229" s="346" t="s">
        <v>830</v>
      </c>
      <c r="C229" s="444"/>
      <c r="D229" s="424">
        <f t="shared" ref="D229:L229" si="94">SUM(D198:D198,D200:D200)</f>
        <v>29816513</v>
      </c>
      <c r="E229" s="424">
        <f t="shared" si="94"/>
        <v>23686793</v>
      </c>
      <c r="F229" s="424">
        <f t="shared" si="94"/>
        <v>21443417</v>
      </c>
      <c r="G229" s="424">
        <f t="shared" si="94"/>
        <v>16051551</v>
      </c>
      <c r="H229" s="424">
        <f t="shared" si="94"/>
        <v>11681549</v>
      </c>
      <c r="I229" s="424">
        <f t="shared" si="94"/>
        <v>9079743</v>
      </c>
      <c r="J229" s="424">
        <f t="shared" si="94"/>
        <v>7654391</v>
      </c>
      <c r="K229" s="424">
        <f t="shared" si="94"/>
        <v>7494720</v>
      </c>
      <c r="L229" s="424">
        <f t="shared" si="94"/>
        <v>8427744</v>
      </c>
      <c r="M229" s="424">
        <f>SUM(M198:M198,M200:M200)</f>
        <v>14043903</v>
      </c>
      <c r="N229" s="424">
        <f>SUM(N198:N198,N200:N200)</f>
        <v>20914948</v>
      </c>
      <c r="O229" s="424">
        <f>SUM(O198:O198,O200:O200)</f>
        <v>32091778</v>
      </c>
      <c r="P229" s="424">
        <f t="shared" si="93"/>
        <v>202387050</v>
      </c>
    </row>
    <row r="230" spans="2:16" x14ac:dyDescent="0.2">
      <c r="B230" s="426" t="s">
        <v>832</v>
      </c>
      <c r="C230" s="444"/>
      <c r="D230" s="424">
        <f t="shared" ref="D230:L230" si="95">D199</f>
        <v>8059108</v>
      </c>
      <c r="E230" s="424">
        <f t="shared" si="95"/>
        <v>6905650</v>
      </c>
      <c r="F230" s="424">
        <f t="shared" si="95"/>
        <v>7042830</v>
      </c>
      <c r="G230" s="424">
        <f t="shared" si="95"/>
        <v>6020182</v>
      </c>
      <c r="H230" s="424">
        <f t="shared" si="95"/>
        <v>5271381</v>
      </c>
      <c r="I230" s="424">
        <f t="shared" si="95"/>
        <v>4286054</v>
      </c>
      <c r="J230" s="424">
        <f t="shared" si="95"/>
        <v>3804167</v>
      </c>
      <c r="K230" s="424">
        <f t="shared" si="95"/>
        <v>3792874</v>
      </c>
      <c r="L230" s="424">
        <f t="shared" si="95"/>
        <v>4059909</v>
      </c>
      <c r="M230" s="424">
        <f>M199</f>
        <v>5434076</v>
      </c>
      <c r="N230" s="424">
        <f>N199</f>
        <v>6657091</v>
      </c>
      <c r="O230" s="424">
        <f>O199</f>
        <v>8234935</v>
      </c>
      <c r="P230" s="424">
        <f t="shared" si="93"/>
        <v>69568257</v>
      </c>
    </row>
    <row r="231" spans="2:16" x14ac:dyDescent="0.2">
      <c r="B231" s="426" t="s">
        <v>837</v>
      </c>
      <c r="C231" s="444"/>
      <c r="D231" s="424">
        <f t="shared" ref="D231:O238" si="96">D201</f>
        <v>2039331</v>
      </c>
      <c r="E231" s="424">
        <f t="shared" si="96"/>
        <v>1764580</v>
      </c>
      <c r="F231" s="424">
        <f t="shared" si="96"/>
        <v>1843935</v>
      </c>
      <c r="G231" s="424">
        <f t="shared" si="96"/>
        <v>1548429</v>
      </c>
      <c r="H231" s="424">
        <f t="shared" si="96"/>
        <v>1262533</v>
      </c>
      <c r="I231" s="424">
        <f t="shared" si="96"/>
        <v>1036249</v>
      </c>
      <c r="J231" s="424">
        <f t="shared" si="96"/>
        <v>930314</v>
      </c>
      <c r="K231" s="424">
        <f t="shared" si="96"/>
        <v>937178</v>
      </c>
      <c r="L231" s="424">
        <f t="shared" si="96"/>
        <v>990505</v>
      </c>
      <c r="M231" s="424">
        <f t="shared" si="96"/>
        <v>1365743</v>
      </c>
      <c r="N231" s="424">
        <f t="shared" si="96"/>
        <v>1616785</v>
      </c>
      <c r="O231" s="424">
        <f t="shared" si="96"/>
        <v>1949246</v>
      </c>
      <c r="P231" s="424">
        <f t="shared" si="93"/>
        <v>17284828</v>
      </c>
    </row>
    <row r="232" spans="2:16" x14ac:dyDescent="0.2">
      <c r="B232" s="426" t="s">
        <v>839</v>
      </c>
      <c r="C232" s="444"/>
      <c r="D232" s="424">
        <f t="shared" si="96"/>
        <v>2139696</v>
      </c>
      <c r="E232" s="424">
        <f t="shared" si="96"/>
        <v>1756260</v>
      </c>
      <c r="F232" s="424">
        <f t="shared" si="96"/>
        <v>1589183</v>
      </c>
      <c r="G232" s="424">
        <f t="shared" si="96"/>
        <v>1214930</v>
      </c>
      <c r="H232" s="424">
        <f t="shared" si="96"/>
        <v>922059</v>
      </c>
      <c r="I232" s="424">
        <f t="shared" si="96"/>
        <v>600772</v>
      </c>
      <c r="J232" s="424">
        <f t="shared" si="96"/>
        <v>418367</v>
      </c>
      <c r="K232" s="424">
        <f t="shared" si="96"/>
        <v>369982</v>
      </c>
      <c r="L232" s="424">
        <f t="shared" si="96"/>
        <v>517672</v>
      </c>
      <c r="M232" s="424">
        <f t="shared" si="96"/>
        <v>1000639</v>
      </c>
      <c r="N232" s="424">
        <f t="shared" si="96"/>
        <v>1451364</v>
      </c>
      <c r="O232" s="424">
        <f t="shared" si="96"/>
        <v>1908654</v>
      </c>
      <c r="P232" s="424">
        <f t="shared" si="93"/>
        <v>13889578</v>
      </c>
    </row>
    <row r="233" spans="2:16" x14ac:dyDescent="0.2">
      <c r="B233" s="426" t="s">
        <v>841</v>
      </c>
      <c r="C233" s="444"/>
      <c r="D233" s="424">
        <f t="shared" si="96"/>
        <v>3484213</v>
      </c>
      <c r="E233" s="424">
        <f t="shared" si="96"/>
        <v>3021529</v>
      </c>
      <c r="F233" s="424">
        <f t="shared" si="96"/>
        <v>2969030</v>
      </c>
      <c r="G233" s="424">
        <f t="shared" si="96"/>
        <v>2565692</v>
      </c>
      <c r="H233" s="424">
        <f t="shared" si="96"/>
        <v>2262834</v>
      </c>
      <c r="I233" s="424">
        <f t="shared" si="96"/>
        <v>1869770</v>
      </c>
      <c r="J233" s="424">
        <f t="shared" si="96"/>
        <v>1670626</v>
      </c>
      <c r="K233" s="424">
        <f t="shared" si="96"/>
        <v>1577331</v>
      </c>
      <c r="L233" s="424">
        <f t="shared" si="96"/>
        <v>1726459</v>
      </c>
      <c r="M233" s="424">
        <f t="shared" si="96"/>
        <v>2425380</v>
      </c>
      <c r="N233" s="424">
        <f t="shared" si="96"/>
        <v>2874110</v>
      </c>
      <c r="O233" s="424">
        <f t="shared" si="96"/>
        <v>3588681</v>
      </c>
      <c r="P233" s="424">
        <f t="shared" si="93"/>
        <v>30035655</v>
      </c>
    </row>
    <row r="234" spans="2:16" x14ac:dyDescent="0.2">
      <c r="B234" s="32" t="s">
        <v>1039</v>
      </c>
      <c r="C234" s="444"/>
      <c r="D234" s="424">
        <f t="shared" si="96"/>
        <v>639788</v>
      </c>
      <c r="E234" s="424">
        <f t="shared" si="96"/>
        <v>605719</v>
      </c>
      <c r="F234" s="424">
        <f t="shared" si="96"/>
        <v>661819</v>
      </c>
      <c r="G234" s="424">
        <f t="shared" si="96"/>
        <v>614152</v>
      </c>
      <c r="H234" s="424">
        <f t="shared" si="96"/>
        <v>556103</v>
      </c>
      <c r="I234" s="424">
        <f t="shared" si="96"/>
        <v>621160</v>
      </c>
      <c r="J234" s="424">
        <f t="shared" si="96"/>
        <v>633300</v>
      </c>
      <c r="K234" s="424">
        <f t="shared" si="96"/>
        <v>638278</v>
      </c>
      <c r="L234" s="424">
        <f t="shared" si="96"/>
        <v>613872</v>
      </c>
      <c r="M234" s="424">
        <f t="shared" si="96"/>
        <v>652890</v>
      </c>
      <c r="N234" s="424">
        <f t="shared" si="96"/>
        <v>764251</v>
      </c>
      <c r="O234" s="424">
        <f t="shared" si="96"/>
        <v>813242</v>
      </c>
      <c r="P234" s="424">
        <f t="shared" si="93"/>
        <v>7814574</v>
      </c>
    </row>
    <row r="235" spans="2:16" x14ac:dyDescent="0.2">
      <c r="B235" s="32" t="s">
        <v>1040</v>
      </c>
      <c r="C235" s="444"/>
      <c r="D235" s="424">
        <f t="shared" si="96"/>
        <v>5294892</v>
      </c>
      <c r="E235" s="424">
        <f t="shared" si="96"/>
        <v>5034870</v>
      </c>
      <c r="F235" s="424">
        <f t="shared" si="96"/>
        <v>5736791</v>
      </c>
      <c r="G235" s="424">
        <f t="shared" si="96"/>
        <v>5444693</v>
      </c>
      <c r="H235" s="424">
        <f t="shared" si="96"/>
        <v>5421407</v>
      </c>
      <c r="I235" s="424">
        <f t="shared" si="96"/>
        <v>5646872</v>
      </c>
      <c r="J235" s="424">
        <f t="shared" si="96"/>
        <v>5207081</v>
      </c>
      <c r="K235" s="424">
        <f t="shared" si="96"/>
        <v>5373590</v>
      </c>
      <c r="L235" s="424">
        <f t="shared" si="96"/>
        <v>5129610</v>
      </c>
      <c r="M235" s="424">
        <f t="shared" si="96"/>
        <v>5583091</v>
      </c>
      <c r="N235" s="424">
        <f t="shared" si="96"/>
        <v>5594102</v>
      </c>
      <c r="O235" s="424">
        <f t="shared" si="96"/>
        <v>5438885</v>
      </c>
      <c r="P235" s="424">
        <f t="shared" si="93"/>
        <v>64905884</v>
      </c>
    </row>
    <row r="236" spans="2:16" x14ac:dyDescent="0.2">
      <c r="B236" s="336" t="s">
        <v>1284</v>
      </c>
      <c r="C236" s="444"/>
      <c r="D236" s="424">
        <f>D206</f>
        <v>91</v>
      </c>
      <c r="E236" s="424">
        <f t="shared" si="96"/>
        <v>2886</v>
      </c>
      <c r="F236" s="424">
        <f t="shared" si="96"/>
        <v>12304</v>
      </c>
      <c r="G236" s="424">
        <f t="shared" si="96"/>
        <v>22580</v>
      </c>
      <c r="H236" s="424">
        <f t="shared" si="96"/>
        <v>14443</v>
      </c>
      <c r="I236" s="424">
        <f t="shared" si="96"/>
        <v>0</v>
      </c>
      <c r="J236" s="424">
        <f t="shared" si="96"/>
        <v>0</v>
      </c>
      <c r="K236" s="424">
        <f t="shared" si="96"/>
        <v>2158</v>
      </c>
      <c r="L236" s="424">
        <f t="shared" si="96"/>
        <v>9063</v>
      </c>
      <c r="M236" s="424">
        <f t="shared" si="96"/>
        <v>8098</v>
      </c>
      <c r="N236" s="424">
        <f t="shared" si="96"/>
        <v>963</v>
      </c>
      <c r="O236" s="424">
        <f t="shared" si="96"/>
        <v>197</v>
      </c>
      <c r="P236" s="424">
        <f t="shared" si="93"/>
        <v>72783</v>
      </c>
    </row>
    <row r="237" spans="2:16" x14ac:dyDescent="0.2">
      <c r="B237" s="32" t="s">
        <v>1042</v>
      </c>
      <c r="C237" s="444"/>
      <c r="D237" s="424">
        <f t="shared" ref="D237:L238" si="97">D207</f>
        <v>9606184</v>
      </c>
      <c r="E237" s="424">
        <f t="shared" si="97"/>
        <v>7685668</v>
      </c>
      <c r="F237" s="424">
        <f t="shared" si="97"/>
        <v>8803610</v>
      </c>
      <c r="G237" s="424">
        <f t="shared" si="97"/>
        <v>8482069</v>
      </c>
      <c r="H237" s="424">
        <f t="shared" si="97"/>
        <v>9388528</v>
      </c>
      <c r="I237" s="424">
        <f t="shared" si="97"/>
        <v>8005470</v>
      </c>
      <c r="J237" s="424">
        <f t="shared" si="97"/>
        <v>8496772</v>
      </c>
      <c r="K237" s="424">
        <f t="shared" si="97"/>
        <v>8613339</v>
      </c>
      <c r="L237" s="424">
        <f t="shared" si="97"/>
        <v>7541047</v>
      </c>
      <c r="M237" s="424">
        <f t="shared" si="96"/>
        <v>7978763</v>
      </c>
      <c r="N237" s="424">
        <f t="shared" si="96"/>
        <v>7176279</v>
      </c>
      <c r="O237" s="424">
        <f t="shared" si="96"/>
        <v>7800846</v>
      </c>
      <c r="P237" s="424">
        <f t="shared" si="93"/>
        <v>99578575</v>
      </c>
    </row>
    <row r="238" spans="2:16" x14ac:dyDescent="0.2">
      <c r="B238" s="343" t="s">
        <v>144</v>
      </c>
      <c r="C238" s="444"/>
      <c r="D238" s="424">
        <f t="shared" si="97"/>
        <v>4174040</v>
      </c>
      <c r="E238" s="424">
        <f t="shared" si="97"/>
        <v>3718409</v>
      </c>
      <c r="F238" s="424">
        <f t="shared" si="97"/>
        <v>3764950</v>
      </c>
      <c r="G238" s="424">
        <f t="shared" si="97"/>
        <v>3145382</v>
      </c>
      <c r="H238" s="424">
        <f t="shared" si="97"/>
        <v>2395387</v>
      </c>
      <c r="I238" s="424">
        <f t="shared" si="97"/>
        <v>2216168</v>
      </c>
      <c r="J238" s="424">
        <f t="shared" si="97"/>
        <v>2006793</v>
      </c>
      <c r="K238" s="424">
        <f t="shared" si="97"/>
        <v>1941842</v>
      </c>
      <c r="L238" s="424">
        <f t="shared" si="97"/>
        <v>1974119</v>
      </c>
      <c r="M238" s="424">
        <f t="shared" si="96"/>
        <v>2868579</v>
      </c>
      <c r="N238" s="424">
        <f t="shared" si="96"/>
        <v>3672235</v>
      </c>
      <c r="O238" s="424">
        <f t="shared" si="96"/>
        <v>4102274</v>
      </c>
      <c r="P238" s="424">
        <f t="shared" si="93"/>
        <v>35980178</v>
      </c>
    </row>
    <row r="239" spans="2:16" x14ac:dyDescent="0.2">
      <c r="B239" s="343" t="s">
        <v>1286</v>
      </c>
      <c r="C239" s="444"/>
      <c r="D239" s="357">
        <f t="shared" ref="D239:L239" si="98">SUM(D228:D238)</f>
        <v>151950258</v>
      </c>
      <c r="E239" s="357">
        <f t="shared" si="98"/>
        <v>123124539</v>
      </c>
      <c r="F239" s="357">
        <f t="shared" si="98"/>
        <v>115718871</v>
      </c>
      <c r="G239" s="357">
        <f t="shared" si="98"/>
        <v>89726214</v>
      </c>
      <c r="H239" s="357">
        <f t="shared" si="98"/>
        <v>67935817</v>
      </c>
      <c r="I239" s="357">
        <f t="shared" si="98"/>
        <v>52834021</v>
      </c>
      <c r="J239" s="357">
        <f t="shared" si="98"/>
        <v>44771928</v>
      </c>
      <c r="K239" s="357">
        <f t="shared" si="98"/>
        <v>43877935</v>
      </c>
      <c r="L239" s="357">
        <f t="shared" si="98"/>
        <v>49056667</v>
      </c>
      <c r="M239" s="357">
        <f>SUM(M228:M238)</f>
        <v>79839487</v>
      </c>
      <c r="N239" s="357">
        <f>SUM(N228:N238)</f>
        <v>111333789</v>
      </c>
      <c r="O239" s="357">
        <f>SUM(O228:O238)</f>
        <v>159387099</v>
      </c>
      <c r="P239" s="357">
        <f>SUM(P228:P238)</f>
        <v>1089556625</v>
      </c>
    </row>
    <row r="240" spans="2:16" x14ac:dyDescent="0.2">
      <c r="B240" s="343" t="s">
        <v>131</v>
      </c>
      <c r="C240" s="444"/>
      <c r="D240" s="424">
        <f t="shared" ref="D240:L240" si="99">D239-D209</f>
        <v>0</v>
      </c>
      <c r="E240" s="424">
        <f t="shared" si="99"/>
        <v>0</v>
      </c>
      <c r="F240" s="424">
        <f t="shared" si="99"/>
        <v>0</v>
      </c>
      <c r="G240" s="424">
        <f t="shared" si="99"/>
        <v>0</v>
      </c>
      <c r="H240" s="424">
        <f t="shared" si="99"/>
        <v>0</v>
      </c>
      <c r="I240" s="424">
        <f t="shared" si="99"/>
        <v>0</v>
      </c>
      <c r="J240" s="424">
        <f t="shared" si="99"/>
        <v>0</v>
      </c>
      <c r="K240" s="424">
        <f t="shared" si="99"/>
        <v>0</v>
      </c>
      <c r="L240" s="424">
        <f t="shared" si="99"/>
        <v>0</v>
      </c>
      <c r="M240" s="424">
        <f>M239-M209</f>
        <v>0</v>
      </c>
      <c r="N240" s="424">
        <f>N239-N209</f>
        <v>0</v>
      </c>
      <c r="O240" s="424">
        <f>O239-O209</f>
        <v>0</v>
      </c>
      <c r="P240" s="424">
        <f>P239-P209</f>
        <v>0</v>
      </c>
    </row>
    <row r="241" spans="2:17" x14ac:dyDescent="0.2">
      <c r="B241" s="343"/>
      <c r="C241" s="444"/>
      <c r="D241" s="424"/>
      <c r="E241" s="424"/>
      <c r="F241" s="424"/>
      <c r="G241" s="424"/>
      <c r="H241" s="424"/>
      <c r="I241" s="424"/>
      <c r="J241" s="424"/>
      <c r="K241" s="424"/>
      <c r="L241" s="424"/>
      <c r="M241" s="424"/>
      <c r="N241" s="424"/>
      <c r="O241" s="424"/>
      <c r="P241" s="424"/>
    </row>
    <row r="242" spans="2:17" x14ac:dyDescent="0.2">
      <c r="B242" s="343" t="s">
        <v>1156</v>
      </c>
      <c r="C242" s="444"/>
      <c r="D242" s="424">
        <f t="shared" ref="D242:L242" si="100">SUM(D228:D233)</f>
        <v>132235263</v>
      </c>
      <c r="E242" s="424">
        <f t="shared" si="100"/>
        <v>106076987</v>
      </c>
      <c r="F242" s="424">
        <f t="shared" si="100"/>
        <v>96739397</v>
      </c>
      <c r="G242" s="424">
        <f t="shared" si="100"/>
        <v>72017338</v>
      </c>
      <c r="H242" s="424">
        <f t="shared" si="100"/>
        <v>50159949</v>
      </c>
      <c r="I242" s="424">
        <f t="shared" si="100"/>
        <v>36344351</v>
      </c>
      <c r="J242" s="424">
        <f t="shared" si="100"/>
        <v>28427982</v>
      </c>
      <c r="K242" s="424">
        <f t="shared" si="100"/>
        <v>27308728</v>
      </c>
      <c r="L242" s="424">
        <f t="shared" si="100"/>
        <v>33788956</v>
      </c>
      <c r="M242" s="424">
        <f>SUM(M228:M233)</f>
        <v>62748066</v>
      </c>
      <c r="N242" s="424">
        <f>SUM(N228:N233)</f>
        <v>94125959</v>
      </c>
      <c r="O242" s="424">
        <f>SUM(O228:O233)</f>
        <v>141231655</v>
      </c>
      <c r="P242" s="424">
        <f>SUM(D242:O242)</f>
        <v>881204631</v>
      </c>
    </row>
    <row r="243" spans="2:17" x14ac:dyDescent="0.2">
      <c r="B243" s="343" t="s">
        <v>1166</v>
      </c>
      <c r="C243" s="444"/>
      <c r="D243" s="424">
        <f t="shared" ref="D243:L243" si="101">SUM(D234:D238)</f>
        <v>19714995</v>
      </c>
      <c r="E243" s="424">
        <f t="shared" si="101"/>
        <v>17047552</v>
      </c>
      <c r="F243" s="424">
        <f t="shared" si="101"/>
        <v>18979474</v>
      </c>
      <c r="G243" s="424">
        <f t="shared" si="101"/>
        <v>17708876</v>
      </c>
      <c r="H243" s="424">
        <f t="shared" si="101"/>
        <v>17775868</v>
      </c>
      <c r="I243" s="424">
        <f t="shared" si="101"/>
        <v>16489670</v>
      </c>
      <c r="J243" s="424">
        <f t="shared" si="101"/>
        <v>16343946</v>
      </c>
      <c r="K243" s="424">
        <f t="shared" si="101"/>
        <v>16569207</v>
      </c>
      <c r="L243" s="424">
        <f t="shared" si="101"/>
        <v>15267711</v>
      </c>
      <c r="M243" s="424">
        <f>SUM(M234:M238)</f>
        <v>17091421</v>
      </c>
      <c r="N243" s="424">
        <f>SUM(N234:N238)</f>
        <v>17207830</v>
      </c>
      <c r="O243" s="424">
        <f>SUM(O234:O238)</f>
        <v>18155444</v>
      </c>
      <c r="P243" s="424">
        <f>SUM(D243:O243)</f>
        <v>208351994</v>
      </c>
    </row>
    <row r="244" spans="2:17" x14ac:dyDescent="0.2">
      <c r="B244" s="343" t="s">
        <v>23</v>
      </c>
      <c r="C244" s="444"/>
      <c r="D244" s="357">
        <f t="shared" ref="D244:L244" si="102">SUM(D242:D243)</f>
        <v>151950258</v>
      </c>
      <c r="E244" s="357">
        <f t="shared" si="102"/>
        <v>123124539</v>
      </c>
      <c r="F244" s="357">
        <f t="shared" si="102"/>
        <v>115718871</v>
      </c>
      <c r="G244" s="357">
        <f t="shared" si="102"/>
        <v>89726214</v>
      </c>
      <c r="H244" s="357">
        <f t="shared" si="102"/>
        <v>67935817</v>
      </c>
      <c r="I244" s="357">
        <f t="shared" si="102"/>
        <v>52834021</v>
      </c>
      <c r="J244" s="357">
        <f t="shared" si="102"/>
        <v>44771928</v>
      </c>
      <c r="K244" s="357">
        <f t="shared" si="102"/>
        <v>43877935</v>
      </c>
      <c r="L244" s="357">
        <f t="shared" si="102"/>
        <v>49056667</v>
      </c>
      <c r="M244" s="357">
        <f>SUM(M242:M243)</f>
        <v>79839487</v>
      </c>
      <c r="N244" s="357">
        <f>SUM(N242:N243)</f>
        <v>111333789</v>
      </c>
      <c r="O244" s="357">
        <f>SUM(O242:O243)</f>
        <v>159387099</v>
      </c>
      <c r="P244" s="357">
        <f>SUM(P242:P243)</f>
        <v>1089556625</v>
      </c>
    </row>
    <row r="245" spans="2:17" x14ac:dyDescent="0.2">
      <c r="B245" s="343" t="s">
        <v>131</v>
      </c>
      <c r="C245" s="444"/>
      <c r="D245" s="424">
        <f t="shared" ref="D245:L245" si="103">D244-D239</f>
        <v>0</v>
      </c>
      <c r="E245" s="424">
        <f t="shared" si="103"/>
        <v>0</v>
      </c>
      <c r="F245" s="424">
        <f t="shared" si="103"/>
        <v>0</v>
      </c>
      <c r="G245" s="424">
        <f t="shared" si="103"/>
        <v>0</v>
      </c>
      <c r="H245" s="424">
        <f t="shared" si="103"/>
        <v>0</v>
      </c>
      <c r="I245" s="424">
        <f t="shared" si="103"/>
        <v>0</v>
      </c>
      <c r="J245" s="424">
        <f t="shared" si="103"/>
        <v>0</v>
      </c>
      <c r="K245" s="424">
        <f t="shared" si="103"/>
        <v>0</v>
      </c>
      <c r="L245" s="424">
        <f t="shared" si="103"/>
        <v>0</v>
      </c>
      <c r="M245" s="424">
        <f>M244-M239</f>
        <v>0</v>
      </c>
      <c r="N245" s="424">
        <f>N244-N239</f>
        <v>0</v>
      </c>
      <c r="O245" s="424">
        <f>O244-O239</f>
        <v>0</v>
      </c>
      <c r="P245" s="424">
        <f>P244-P239</f>
        <v>0</v>
      </c>
    </row>
    <row r="246" spans="2:17" x14ac:dyDescent="0.2">
      <c r="B246" s="343"/>
      <c r="C246" s="444"/>
      <c r="D246" s="424"/>
      <c r="E246" s="424"/>
      <c r="F246" s="424"/>
      <c r="G246" s="424"/>
      <c r="H246" s="424"/>
      <c r="I246" s="424"/>
      <c r="J246" s="424"/>
      <c r="K246" s="424"/>
      <c r="L246" s="424"/>
      <c r="M246" s="424"/>
      <c r="N246" s="424"/>
      <c r="O246" s="424"/>
      <c r="P246" s="424"/>
    </row>
    <row r="247" spans="2:17" x14ac:dyDescent="0.2">
      <c r="B247" s="360" t="s">
        <v>1289</v>
      </c>
      <c r="C247" s="444"/>
      <c r="D247" s="424"/>
      <c r="E247" s="424"/>
      <c r="F247" s="424"/>
      <c r="G247" s="424"/>
      <c r="H247" s="424"/>
      <c r="I247" s="424"/>
      <c r="J247" s="424"/>
      <c r="K247" s="424"/>
      <c r="L247" s="424"/>
      <c r="M247" s="424"/>
      <c r="N247" s="424"/>
      <c r="O247" s="424"/>
      <c r="P247" s="424"/>
    </row>
    <row r="248" spans="2:17" x14ac:dyDescent="0.2">
      <c r="B248" s="179" t="s">
        <v>1290</v>
      </c>
      <c r="C248" s="643">
        <v>23</v>
      </c>
      <c r="D248" s="424">
        <f t="shared" ref="D248:O259" si="104">ROUND(SUMIF($C$151:$C$173,$C248,D$151:D$173),0)/ROUND(SUMIF($C$34:$C$57,$C248,D$34:D$57),0)</f>
        <v>125.07653032517381</v>
      </c>
      <c r="E248" s="424">
        <f t="shared" si="104"/>
        <v>99.354983895025839</v>
      </c>
      <c r="F248" s="424">
        <f t="shared" si="104"/>
        <v>89.087835161432039</v>
      </c>
      <c r="G248" s="424">
        <f t="shared" si="104"/>
        <v>64.232211910842878</v>
      </c>
      <c r="H248" s="424">
        <f t="shared" si="104"/>
        <v>41.422831339618156</v>
      </c>
      <c r="I248" s="424">
        <f t="shared" si="104"/>
        <v>28.065772972972972</v>
      </c>
      <c r="J248" s="424">
        <f t="shared" si="104"/>
        <v>20.126424459289826</v>
      </c>
      <c r="K248" s="424">
        <f t="shared" si="104"/>
        <v>18.969508531950044</v>
      </c>
      <c r="L248" s="424">
        <f t="shared" si="104"/>
        <v>26.077608182896867</v>
      </c>
      <c r="M248" s="424">
        <f t="shared" si="104"/>
        <v>55.433405127392433</v>
      </c>
      <c r="N248" s="424">
        <f t="shared" si="104"/>
        <v>87.125889616410191</v>
      </c>
      <c r="O248" s="424">
        <f t="shared" si="104"/>
        <v>134.08840987057036</v>
      </c>
      <c r="P248" s="506">
        <f t="shared" ref="P248:P260" si="105">SUM(D248:O248)</f>
        <v>789.06141139357533</v>
      </c>
      <c r="Q248" s="506"/>
    </row>
    <row r="249" spans="2:17" x14ac:dyDescent="0.2">
      <c r="B249" s="179" t="s">
        <v>1291</v>
      </c>
      <c r="C249" s="643">
        <v>31</v>
      </c>
      <c r="D249" s="424">
        <f t="shared" si="104"/>
        <v>543.61087713540815</v>
      </c>
      <c r="E249" s="424">
        <f t="shared" si="104"/>
        <v>431.68932021140881</v>
      </c>
      <c r="F249" s="424">
        <f t="shared" si="104"/>
        <v>390.88238939827556</v>
      </c>
      <c r="G249" s="424">
        <f t="shared" si="104"/>
        <v>293.00240950659878</v>
      </c>
      <c r="H249" s="424">
        <f t="shared" si="104"/>
        <v>213.80289913428629</v>
      </c>
      <c r="I249" s="424">
        <f t="shared" si="104"/>
        <v>166.70784907738914</v>
      </c>
      <c r="J249" s="424">
        <f t="shared" si="104"/>
        <v>140.77817626719636</v>
      </c>
      <c r="K249" s="424">
        <f t="shared" si="104"/>
        <v>138.67811412922805</v>
      </c>
      <c r="L249" s="424">
        <f t="shared" si="104"/>
        <v>156.00288765896008</v>
      </c>
      <c r="M249" s="424">
        <f t="shared" si="104"/>
        <v>259.5243929482204</v>
      </c>
      <c r="N249" s="424">
        <f t="shared" si="104"/>
        <v>385.45083946112311</v>
      </c>
      <c r="O249" s="424">
        <f t="shared" si="104"/>
        <v>589.42397972302831</v>
      </c>
      <c r="P249" s="506">
        <f t="shared" si="105"/>
        <v>3709.5541346511227</v>
      </c>
    </row>
    <row r="250" spans="2:17" x14ac:dyDescent="0.2">
      <c r="B250" s="179" t="s">
        <v>1292</v>
      </c>
      <c r="C250" s="643">
        <v>41</v>
      </c>
      <c r="D250" s="424">
        <f t="shared" si="104"/>
        <v>5223.0123136746597</v>
      </c>
      <c r="E250" s="424">
        <f t="shared" si="104"/>
        <v>4478.3722438391696</v>
      </c>
      <c r="F250" s="424">
        <f t="shared" si="104"/>
        <v>4517.5304682488777</v>
      </c>
      <c r="G250" s="424">
        <f t="shared" si="104"/>
        <v>3864.0449293966626</v>
      </c>
      <c r="H250" s="424">
        <f t="shared" si="104"/>
        <v>3385.6011560693642</v>
      </c>
      <c r="I250" s="424">
        <f t="shared" si="104"/>
        <v>2754.533419023136</v>
      </c>
      <c r="J250" s="424">
        <f t="shared" si="104"/>
        <v>2443.2671804752731</v>
      </c>
      <c r="K250" s="424">
        <f t="shared" si="104"/>
        <v>2447.0154838709677</v>
      </c>
      <c r="L250" s="424">
        <f t="shared" si="104"/>
        <v>2660.4908256880735</v>
      </c>
      <c r="M250" s="424">
        <f t="shared" si="104"/>
        <v>3620.3037974683543</v>
      </c>
      <c r="N250" s="424">
        <f t="shared" si="104"/>
        <v>4441.0213475650435</v>
      </c>
      <c r="O250" s="424">
        <f t="shared" si="104"/>
        <v>5489.9566666666669</v>
      </c>
      <c r="P250" s="506">
        <f t="shared" si="105"/>
        <v>45325.149831986251</v>
      </c>
    </row>
    <row r="251" spans="2:17" x14ac:dyDescent="0.2">
      <c r="B251" s="179" t="s">
        <v>1122</v>
      </c>
      <c r="C251" s="643">
        <v>53</v>
      </c>
      <c r="D251" s="424">
        <f t="shared" si="104"/>
        <v>41</v>
      </c>
      <c r="E251" s="424">
        <f t="shared" si="104"/>
        <v>43.2</v>
      </c>
      <c r="F251" s="424">
        <f t="shared" si="104"/>
        <v>60.2</v>
      </c>
      <c r="G251" s="424">
        <f t="shared" si="104"/>
        <v>43.8</v>
      </c>
      <c r="H251" s="424">
        <f t="shared" si="104"/>
        <v>29</v>
      </c>
      <c r="I251" s="424">
        <f t="shared" si="104"/>
        <v>21.4</v>
      </c>
      <c r="J251" s="424">
        <f t="shared" si="104"/>
        <v>17.8</v>
      </c>
      <c r="K251" s="424">
        <f t="shared" si="104"/>
        <v>17.2</v>
      </c>
      <c r="L251" s="424">
        <f t="shared" si="104"/>
        <v>16.8</v>
      </c>
      <c r="M251" s="424">
        <f t="shared" si="104"/>
        <v>32</v>
      </c>
      <c r="N251" s="424">
        <f t="shared" si="104"/>
        <v>55.5</v>
      </c>
      <c r="O251" s="424">
        <f t="shared" si="104"/>
        <v>70</v>
      </c>
      <c r="P251" s="506">
        <f t="shared" si="105"/>
        <v>447.9</v>
      </c>
    </row>
    <row r="252" spans="2:17" x14ac:dyDescent="0.2">
      <c r="B252" s="32" t="s">
        <v>1039</v>
      </c>
      <c r="C252" s="643" t="s">
        <v>808</v>
      </c>
      <c r="D252" s="424">
        <f t="shared" si="104"/>
        <v>13612.510638297872</v>
      </c>
      <c r="E252" s="424">
        <f t="shared" si="104"/>
        <v>12887.63829787234</v>
      </c>
      <c r="F252" s="424">
        <f t="shared" si="104"/>
        <v>14387.369565217392</v>
      </c>
      <c r="G252" s="424">
        <f t="shared" si="104"/>
        <v>13351.130434782608</v>
      </c>
      <c r="H252" s="424">
        <f t="shared" si="104"/>
        <v>12089.195652173914</v>
      </c>
      <c r="I252" s="424">
        <f t="shared" si="104"/>
        <v>13503.478260869566</v>
      </c>
      <c r="J252" s="424">
        <f t="shared" si="104"/>
        <v>14073.333333333334</v>
      </c>
      <c r="K252" s="424">
        <f t="shared" si="104"/>
        <v>13875.608695652174</v>
      </c>
      <c r="L252" s="424">
        <f t="shared" si="104"/>
        <v>13641.6</v>
      </c>
      <c r="M252" s="424">
        <f t="shared" si="104"/>
        <v>14193.260869565218</v>
      </c>
      <c r="N252" s="424">
        <f t="shared" si="104"/>
        <v>16614.152173913044</v>
      </c>
      <c r="O252" s="424">
        <f t="shared" si="104"/>
        <v>17679.17391304348</v>
      </c>
      <c r="P252" s="506">
        <f t="shared" si="105"/>
        <v>169908.45183472097</v>
      </c>
    </row>
    <row r="253" spans="2:17" x14ac:dyDescent="0.2">
      <c r="B253" s="32" t="s">
        <v>1040</v>
      </c>
      <c r="C253" s="643" t="s">
        <v>809</v>
      </c>
      <c r="D253" s="424">
        <f t="shared" si="104"/>
        <v>54586.515463917523</v>
      </c>
      <c r="E253" s="424">
        <f t="shared" si="104"/>
        <v>52446.5625</v>
      </c>
      <c r="F253" s="424">
        <f t="shared" si="104"/>
        <v>59142.175257731957</v>
      </c>
      <c r="G253" s="424">
        <f t="shared" si="104"/>
        <v>55558.091836734697</v>
      </c>
      <c r="H253" s="424">
        <f t="shared" si="104"/>
        <v>55320.479591836738</v>
      </c>
      <c r="I253" s="424">
        <f t="shared" si="104"/>
        <v>57039.111111111109</v>
      </c>
      <c r="J253" s="424">
        <f t="shared" si="104"/>
        <v>52596.777777777781</v>
      </c>
      <c r="K253" s="424">
        <f t="shared" si="104"/>
        <v>54832.551020408166</v>
      </c>
      <c r="L253" s="424">
        <f t="shared" si="104"/>
        <v>51814.242424242424</v>
      </c>
      <c r="M253" s="424">
        <f t="shared" si="104"/>
        <v>56970.316326530614</v>
      </c>
      <c r="N253" s="424">
        <f t="shared" si="104"/>
        <v>57671.154639175256</v>
      </c>
      <c r="O253" s="424">
        <f t="shared" si="104"/>
        <v>55498.826530612248</v>
      </c>
      <c r="P253" s="506">
        <f t="shared" si="105"/>
        <v>663476.80448007863</v>
      </c>
    </row>
    <row r="254" spans="2:17" x14ac:dyDescent="0.2">
      <c r="B254" s="336" t="s">
        <v>1284</v>
      </c>
      <c r="C254" s="382" t="s">
        <v>810</v>
      </c>
      <c r="D254" s="424">
        <f t="shared" si="104"/>
        <v>91</v>
      </c>
      <c r="E254" s="424">
        <f t="shared" si="104"/>
        <v>2886</v>
      </c>
      <c r="F254" s="424">
        <f t="shared" si="104"/>
        <v>12304</v>
      </c>
      <c r="G254" s="424">
        <f t="shared" si="104"/>
        <v>22580</v>
      </c>
      <c r="H254" s="424">
        <f t="shared" si="104"/>
        <v>14443</v>
      </c>
      <c r="I254" s="424">
        <f t="shared" si="104"/>
        <v>0</v>
      </c>
      <c r="J254" s="424">
        <f>ROUND(SUMIF($C$151:$C$173,$C254,J$151:J$173),0)/ROUND(SUMIF($C$34:$C$57,$C254,J$34:J$57),0)</f>
        <v>0</v>
      </c>
      <c r="K254" s="424">
        <f t="shared" si="104"/>
        <v>2158</v>
      </c>
      <c r="L254" s="424">
        <f t="shared" si="104"/>
        <v>9063</v>
      </c>
      <c r="M254" s="424">
        <f t="shared" si="104"/>
        <v>8098</v>
      </c>
      <c r="N254" s="424">
        <f t="shared" si="104"/>
        <v>963</v>
      </c>
      <c r="O254" s="424">
        <f t="shared" si="104"/>
        <v>197</v>
      </c>
      <c r="P254" s="506">
        <f t="shared" si="105"/>
        <v>72783</v>
      </c>
    </row>
    <row r="255" spans="2:17" x14ac:dyDescent="0.2">
      <c r="B255" s="32" t="s">
        <v>1042</v>
      </c>
      <c r="C255" s="444" t="s">
        <v>811</v>
      </c>
      <c r="D255" s="424">
        <f t="shared" si="104"/>
        <v>738937.23076923075</v>
      </c>
      <c r="E255" s="424">
        <f t="shared" si="104"/>
        <v>591205.23076923075</v>
      </c>
      <c r="F255" s="424">
        <f t="shared" si="104"/>
        <v>677200.76923076925</v>
      </c>
      <c r="G255" s="424">
        <f t="shared" si="104"/>
        <v>652466.84615384613</v>
      </c>
      <c r="H255" s="424">
        <f t="shared" si="104"/>
        <v>722194.4615384615</v>
      </c>
      <c r="I255" s="424">
        <f t="shared" si="104"/>
        <v>615805.38461538462</v>
      </c>
      <c r="J255" s="424">
        <f t="shared" si="104"/>
        <v>653597.84615384613</v>
      </c>
      <c r="K255" s="424">
        <f t="shared" si="104"/>
        <v>662564.5384615385</v>
      </c>
      <c r="L255" s="424">
        <f t="shared" si="104"/>
        <v>580080.5384615385</v>
      </c>
      <c r="M255" s="424">
        <f t="shared" si="104"/>
        <v>613751</v>
      </c>
      <c r="N255" s="424">
        <f t="shared" si="104"/>
        <v>552021.4615384615</v>
      </c>
      <c r="O255" s="424">
        <f t="shared" si="104"/>
        <v>650070.5</v>
      </c>
      <c r="P255" s="506">
        <f t="shared" si="105"/>
        <v>7709895.807692308</v>
      </c>
    </row>
    <row r="256" spans="2:17" x14ac:dyDescent="0.2">
      <c r="B256" s="179" t="s">
        <v>1293</v>
      </c>
      <c r="C256" s="179">
        <v>85</v>
      </c>
      <c r="D256" s="424">
        <f t="shared" si="104"/>
        <v>61797.909090909088</v>
      </c>
      <c r="E256" s="424">
        <f t="shared" si="104"/>
        <v>51899.411764705881</v>
      </c>
      <c r="F256" s="424">
        <f t="shared" si="104"/>
        <v>55876.818181818184</v>
      </c>
      <c r="G256" s="424">
        <f t="shared" si="104"/>
        <v>44240.828571428574</v>
      </c>
      <c r="H256" s="424">
        <f t="shared" si="104"/>
        <v>37133.323529411762</v>
      </c>
      <c r="I256" s="424">
        <f t="shared" si="104"/>
        <v>30477.911764705881</v>
      </c>
      <c r="J256" s="424">
        <f t="shared" si="104"/>
        <v>27362.176470588234</v>
      </c>
      <c r="K256" s="424">
        <f t="shared" si="104"/>
        <v>27564.058823529413</v>
      </c>
      <c r="L256" s="424">
        <f t="shared" si="104"/>
        <v>29132.5</v>
      </c>
      <c r="M256" s="424">
        <f t="shared" si="104"/>
        <v>40168.911764705881</v>
      </c>
      <c r="N256" s="424">
        <f t="shared" si="104"/>
        <v>47552.5</v>
      </c>
      <c r="O256" s="424">
        <f t="shared" si="104"/>
        <v>57330.76470588235</v>
      </c>
      <c r="P256" s="506">
        <f t="shared" si="105"/>
        <v>510537.11466768529</v>
      </c>
    </row>
    <row r="257" spans="2:16" x14ac:dyDescent="0.2">
      <c r="B257" s="179" t="s">
        <v>1294</v>
      </c>
      <c r="C257" s="179">
        <v>86</v>
      </c>
      <c r="D257" s="424">
        <f t="shared" si="104"/>
        <v>6202.0173913043482</v>
      </c>
      <c r="E257" s="424">
        <f t="shared" si="104"/>
        <v>5105.4069767441861</v>
      </c>
      <c r="F257" s="424">
        <f t="shared" si="104"/>
        <v>4619.7180232558139</v>
      </c>
      <c r="G257" s="424">
        <f t="shared" si="104"/>
        <v>3552.4269005847955</v>
      </c>
      <c r="H257" s="424">
        <f t="shared" si="104"/>
        <v>2696.0789473684213</v>
      </c>
      <c r="I257" s="424">
        <f t="shared" si="104"/>
        <v>1756.6432748538011</v>
      </c>
      <c r="J257" s="424">
        <f t="shared" si="104"/>
        <v>1230.4911764705882</v>
      </c>
      <c r="K257" s="424">
        <f t="shared" si="104"/>
        <v>1097.8694362017804</v>
      </c>
      <c r="L257" s="424">
        <f t="shared" si="104"/>
        <v>1540.6904761904761</v>
      </c>
      <c r="M257" s="424">
        <f t="shared" si="104"/>
        <v>3032.2393939393937</v>
      </c>
      <c r="N257" s="424">
        <f t="shared" si="104"/>
        <v>4424.8902439024387</v>
      </c>
      <c r="O257" s="424">
        <f t="shared" si="104"/>
        <v>5819.0670731707314</v>
      </c>
      <c r="P257" s="506">
        <f t="shared" si="105"/>
        <v>41077.539313986774</v>
      </c>
    </row>
    <row r="258" spans="2:16" x14ac:dyDescent="0.2">
      <c r="B258" s="179" t="s">
        <v>1295</v>
      </c>
      <c r="C258" s="179">
        <v>87</v>
      </c>
      <c r="D258" s="424">
        <f t="shared" si="104"/>
        <v>387134.77777777775</v>
      </c>
      <c r="E258" s="424">
        <f t="shared" si="104"/>
        <v>335725.44444444444</v>
      </c>
      <c r="F258" s="424">
        <f t="shared" si="104"/>
        <v>329892.22222222225</v>
      </c>
      <c r="G258" s="424">
        <f t="shared" si="104"/>
        <v>285076.88888888888</v>
      </c>
      <c r="H258" s="424">
        <f t="shared" si="104"/>
        <v>251426</v>
      </c>
      <c r="I258" s="424">
        <f t="shared" si="104"/>
        <v>207752.22222222222</v>
      </c>
      <c r="J258" s="424">
        <f t="shared" si="104"/>
        <v>185625.11111111112</v>
      </c>
      <c r="K258" s="424">
        <f t="shared" si="104"/>
        <v>175259</v>
      </c>
      <c r="L258" s="424">
        <f t="shared" si="104"/>
        <v>191828.77777777778</v>
      </c>
      <c r="M258" s="424">
        <f t="shared" si="104"/>
        <v>269486.66666666669</v>
      </c>
      <c r="N258" s="424">
        <f t="shared" si="104"/>
        <v>319345.55555555556</v>
      </c>
      <c r="O258" s="424">
        <f t="shared" si="104"/>
        <v>398742.33333333331</v>
      </c>
      <c r="P258" s="506">
        <f t="shared" si="105"/>
        <v>3337295.0000000005</v>
      </c>
    </row>
    <row r="259" spans="2:16" x14ac:dyDescent="0.2">
      <c r="B259" s="343" t="s">
        <v>144</v>
      </c>
      <c r="C259" s="179">
        <v>99</v>
      </c>
      <c r="D259" s="424">
        <f t="shared" si="104"/>
        <v>347836.66666666669</v>
      </c>
      <c r="E259" s="424">
        <f t="shared" si="104"/>
        <v>309867.41666666669</v>
      </c>
      <c r="F259" s="424">
        <f t="shared" si="104"/>
        <v>313745.83333333331</v>
      </c>
      <c r="G259" s="424">
        <f t="shared" si="104"/>
        <v>262115.16666666666</v>
      </c>
      <c r="H259" s="424">
        <f t="shared" si="104"/>
        <v>199615.58333333334</v>
      </c>
      <c r="I259" s="424">
        <f t="shared" si="104"/>
        <v>184680.66666666666</v>
      </c>
      <c r="J259" s="424">
        <f t="shared" si="104"/>
        <v>167232.75</v>
      </c>
      <c r="K259" s="424">
        <f t="shared" si="104"/>
        <v>161820.16666666666</v>
      </c>
      <c r="L259" s="424">
        <f t="shared" si="104"/>
        <v>164509.91666666666</v>
      </c>
      <c r="M259" s="424">
        <f t="shared" si="104"/>
        <v>239048.25</v>
      </c>
      <c r="N259" s="424">
        <f t="shared" si="104"/>
        <v>306019.58333333331</v>
      </c>
      <c r="O259" s="424">
        <f t="shared" si="104"/>
        <v>341856.16666666669</v>
      </c>
      <c r="P259" s="506">
        <f t="shared" si="105"/>
        <v>2998348.166666667</v>
      </c>
    </row>
    <row r="260" spans="2:16" x14ac:dyDescent="0.2">
      <c r="B260" s="336" t="s">
        <v>23</v>
      </c>
      <c r="C260" s="336"/>
      <c r="D260" s="424">
        <f t="shared" ref="D260:O260" si="106">ROUND(D175,0)/ROUND(D58,0)</f>
        <v>202.56955342787896</v>
      </c>
      <c r="E260" s="424">
        <f t="shared" si="106"/>
        <v>163.97321949387521</v>
      </c>
      <c r="F260" s="424">
        <f t="shared" si="106"/>
        <v>154.0336675731474</v>
      </c>
      <c r="G260" s="424">
        <f t="shared" si="106"/>
        <v>119.39282335423761</v>
      </c>
      <c r="H260" s="424">
        <f t="shared" si="106"/>
        <v>90.455055289629783</v>
      </c>
      <c r="I260" s="424">
        <f t="shared" si="106"/>
        <v>70.411657619885943</v>
      </c>
      <c r="J260" s="424">
        <f t="shared" si="106"/>
        <v>59.729033704027835</v>
      </c>
      <c r="K260" s="424">
        <f t="shared" si="106"/>
        <v>58.610819468043047</v>
      </c>
      <c r="L260" s="424">
        <f t="shared" si="106"/>
        <v>65.505575562864124</v>
      </c>
      <c r="M260" s="424">
        <f t="shared" si="106"/>
        <v>106.40937618701727</v>
      </c>
      <c r="N260" s="424">
        <f t="shared" si="106"/>
        <v>148.05103883531297</v>
      </c>
      <c r="O260" s="424">
        <f t="shared" si="106"/>
        <v>211.52955814083117</v>
      </c>
      <c r="P260" s="506">
        <f t="shared" si="105"/>
        <v>1450.6713786567511</v>
      </c>
    </row>
    <row r="261" spans="2:16" x14ac:dyDescent="0.2">
      <c r="B261" s="360"/>
      <c r="C261" s="444"/>
      <c r="D261" s="424"/>
      <c r="E261" s="424"/>
      <c r="F261" s="424"/>
      <c r="G261" s="424"/>
      <c r="H261" s="424"/>
      <c r="I261" s="424"/>
      <c r="J261" s="424"/>
      <c r="K261" s="424"/>
      <c r="L261" s="424"/>
      <c r="M261" s="424"/>
      <c r="N261" s="424"/>
      <c r="O261" s="424"/>
      <c r="P261" s="424"/>
    </row>
    <row r="262" spans="2:16" x14ac:dyDescent="0.2">
      <c r="B262" s="343"/>
      <c r="C262" s="444"/>
      <c r="D262" s="424"/>
      <c r="E262" s="424"/>
      <c r="F262" s="424"/>
      <c r="G262" s="424"/>
      <c r="H262" s="424"/>
      <c r="I262" s="424"/>
      <c r="J262" s="424"/>
      <c r="K262" s="424"/>
      <c r="L262" s="424"/>
      <c r="M262" s="424"/>
      <c r="N262" s="424"/>
      <c r="O262" s="424"/>
      <c r="P262" s="424"/>
    </row>
    <row r="263" spans="2:16" x14ac:dyDescent="0.2">
      <c r="B263" s="343"/>
      <c r="C263" s="444"/>
      <c r="D263" s="424"/>
      <c r="E263" s="424"/>
      <c r="F263" s="424"/>
      <c r="G263" s="424"/>
      <c r="H263" s="424"/>
      <c r="I263" s="424"/>
      <c r="J263" s="424"/>
      <c r="K263" s="424"/>
      <c r="L263" s="424"/>
      <c r="M263" s="424"/>
      <c r="N263" s="424"/>
      <c r="O263" s="424"/>
      <c r="P263" s="424"/>
    </row>
    <row r="264" spans="2:16" s="336" customFormat="1" x14ac:dyDescent="0.2">
      <c r="C264" s="382"/>
      <c r="D264" s="362"/>
      <c r="E264" s="362"/>
      <c r="F264" s="362"/>
      <c r="G264" s="362"/>
      <c r="H264" s="362"/>
      <c r="I264" s="362"/>
      <c r="J264" s="362"/>
      <c r="K264" s="362"/>
      <c r="L264" s="362"/>
      <c r="M264" s="362"/>
      <c r="N264" s="362"/>
      <c r="O264" s="362"/>
      <c r="P264" s="655"/>
    </row>
    <row r="265" spans="2:16" s="336" customFormat="1" x14ac:dyDescent="0.2">
      <c r="C265" s="382"/>
      <c r="D265" s="362"/>
      <c r="E265" s="362"/>
      <c r="F265" s="362"/>
      <c r="G265" s="362"/>
      <c r="H265" s="362"/>
      <c r="I265" s="362"/>
      <c r="J265" s="362"/>
      <c r="K265" s="362"/>
      <c r="L265" s="362"/>
      <c r="M265" s="362"/>
      <c r="N265" s="362"/>
      <c r="O265" s="362"/>
      <c r="P265" s="655"/>
    </row>
    <row r="266" spans="2:16" x14ac:dyDescent="0.2">
      <c r="D266" s="279"/>
      <c r="E266" s="279"/>
      <c r="F266" s="279"/>
      <c r="G266" s="279"/>
      <c r="H266" s="279"/>
      <c r="I266" s="279"/>
      <c r="J266" s="279"/>
      <c r="K266" s="279"/>
      <c r="L266" s="279"/>
      <c r="M266" s="279"/>
      <c r="N266" s="279"/>
      <c r="O266" s="279"/>
      <c r="P266" s="279"/>
    </row>
    <row r="267" spans="2:16" x14ac:dyDescent="0.2">
      <c r="D267" s="279"/>
      <c r="E267" s="279"/>
      <c r="F267" s="279"/>
      <c r="G267" s="279"/>
      <c r="H267" s="279"/>
      <c r="I267" s="279"/>
      <c r="J267" s="279"/>
      <c r="K267" s="279"/>
      <c r="L267" s="279"/>
      <c r="M267" s="279"/>
      <c r="N267" s="279"/>
      <c r="O267" s="279"/>
      <c r="P267" s="279"/>
    </row>
    <row r="268" spans="2:16" ht="13.5" thickBot="1" x14ac:dyDescent="0.25">
      <c r="D268" s="279"/>
      <c r="E268" s="279"/>
      <c r="F268" s="279"/>
      <c r="G268" s="279"/>
      <c r="H268" s="279"/>
      <c r="I268" s="279"/>
      <c r="J268" s="279"/>
      <c r="K268" s="279"/>
      <c r="L268" s="279"/>
      <c r="M268" s="279"/>
      <c r="N268" s="279"/>
      <c r="O268" s="279"/>
      <c r="P268" s="279"/>
    </row>
    <row r="269" spans="2:16" x14ac:dyDescent="0.2">
      <c r="B269" s="401" t="s">
        <v>1296</v>
      </c>
      <c r="C269" s="402"/>
      <c r="D269" s="656">
        <f>'JKP-3.1c - Therms Data'!E103-'JKP-3.1c - Therms Data'!E72</f>
        <v>128745037</v>
      </c>
      <c r="E269" s="656">
        <f>'JKP-3.1c - Therms Data'!F103-'JKP-3.1c - Therms Data'!F72</f>
        <v>107438064</v>
      </c>
      <c r="F269" s="656">
        <f>'JKP-3.1c - Therms Data'!G103-'JKP-3.1c - Therms Data'!G72</f>
        <v>111751312</v>
      </c>
      <c r="G269" s="656">
        <f>'JKP-3.1c - Therms Data'!H103-'JKP-3.1c - Therms Data'!H72</f>
        <v>92608599</v>
      </c>
      <c r="H269" s="656">
        <f>'JKP-3.1c - Therms Data'!I103-'JKP-3.1c - Therms Data'!I72</f>
        <v>74871801</v>
      </c>
      <c r="I269" s="656">
        <f>'JKP-3.1c - Therms Data'!J103-'JKP-3.1c - Therms Data'!J72</f>
        <v>56233148</v>
      </c>
      <c r="J269" s="656">
        <f>'JKP-3.1c - Therms Data'!K103-'JKP-3.1c - Therms Data'!K72</f>
        <v>45903282</v>
      </c>
      <c r="K269" s="656">
        <f>'JKP-3.1c - Therms Data'!L103-'JKP-3.1c - Therms Data'!L72</f>
        <v>44931622</v>
      </c>
      <c r="L269" s="656">
        <f>'JKP-3.1c - Therms Data'!M103-'JKP-3.1c - Therms Data'!M72</f>
        <v>49140650</v>
      </c>
      <c r="M269" s="656">
        <f>'JKP-3.1c - Therms Data'!N103-'JKP-3.1c - Therms Data'!N72</f>
        <v>77063218</v>
      </c>
      <c r="N269" s="656">
        <f>'JKP-3.1c - Therms Data'!O103-'JKP-3.1c - Therms Data'!O72</f>
        <v>121261601</v>
      </c>
      <c r="O269" s="656">
        <f>'JKP-3.1c - Therms Data'!P103-'JKP-3.1c - Therms Data'!P72</f>
        <v>146682209</v>
      </c>
      <c r="P269" s="657">
        <f>'JKP-3.1c - Therms Data'!Q103-'JKP-3.1c - Therms Data'!Q72</f>
        <v>1056630543</v>
      </c>
    </row>
    <row r="270" spans="2:16" ht="13.5" thickBot="1" x14ac:dyDescent="0.25">
      <c r="B270" s="658" t="s">
        <v>131</v>
      </c>
      <c r="C270" s="659"/>
      <c r="D270" s="659">
        <f t="shared" ref="D270:P270" si="107">D269-D30</f>
        <v>0</v>
      </c>
      <c r="E270" s="659">
        <f t="shared" si="107"/>
        <v>0</v>
      </c>
      <c r="F270" s="659">
        <f t="shared" si="107"/>
        <v>1</v>
      </c>
      <c r="G270" s="659">
        <f t="shared" si="107"/>
        <v>-2</v>
      </c>
      <c r="H270" s="659">
        <f t="shared" si="107"/>
        <v>-1</v>
      </c>
      <c r="I270" s="659">
        <f t="shared" si="107"/>
        <v>-1</v>
      </c>
      <c r="J270" s="659">
        <f t="shared" si="107"/>
        <v>0</v>
      </c>
      <c r="K270" s="659">
        <f t="shared" si="107"/>
        <v>1</v>
      </c>
      <c r="L270" s="659">
        <f t="shared" si="107"/>
        <v>0</v>
      </c>
      <c r="M270" s="659">
        <f t="shared" si="107"/>
        <v>1</v>
      </c>
      <c r="N270" s="659">
        <f t="shared" si="107"/>
        <v>0</v>
      </c>
      <c r="O270" s="659">
        <f t="shared" si="107"/>
        <v>1</v>
      </c>
      <c r="P270" s="660">
        <f t="shared" si="107"/>
        <v>0</v>
      </c>
    </row>
    <row r="271" spans="2:16" x14ac:dyDescent="0.2">
      <c r="D271" s="279"/>
      <c r="E271" s="279"/>
      <c r="F271" s="279"/>
      <c r="G271" s="279"/>
      <c r="H271" s="279"/>
      <c r="I271" s="279"/>
      <c r="J271" s="279"/>
      <c r="K271" s="279"/>
      <c r="L271" s="279"/>
      <c r="M271" s="279"/>
      <c r="N271" s="279"/>
      <c r="O271" s="279"/>
    </row>
    <row r="272" spans="2:16" x14ac:dyDescent="0.2">
      <c r="D272" s="279"/>
      <c r="E272" s="279"/>
      <c r="F272" s="279"/>
      <c r="G272" s="279"/>
      <c r="H272" s="279"/>
      <c r="I272" s="279"/>
      <c r="J272" s="279"/>
      <c r="K272" s="279"/>
      <c r="L272" s="279"/>
      <c r="M272" s="279"/>
      <c r="N272" s="279"/>
      <c r="O272" s="279"/>
    </row>
    <row r="273" spans="2:15" x14ac:dyDescent="0.2">
      <c r="D273" s="279"/>
      <c r="E273" s="279"/>
      <c r="F273" s="279"/>
      <c r="G273" s="279"/>
      <c r="H273" s="279"/>
      <c r="I273" s="279"/>
      <c r="J273" s="279"/>
      <c r="K273" s="279"/>
      <c r="L273" s="279"/>
      <c r="M273" s="279"/>
      <c r="N273" s="279"/>
      <c r="O273" s="279"/>
    </row>
    <row r="274" spans="2:15" x14ac:dyDescent="0.2">
      <c r="D274" s="279"/>
      <c r="E274" s="279"/>
      <c r="F274" s="279"/>
      <c r="G274" s="279"/>
      <c r="H274" s="279"/>
      <c r="I274" s="279"/>
      <c r="J274" s="279"/>
      <c r="K274" s="279"/>
      <c r="L274" s="279"/>
      <c r="M274" s="279"/>
      <c r="N274" s="279"/>
      <c r="O274" s="279"/>
    </row>
    <row r="275" spans="2:15" x14ac:dyDescent="0.2">
      <c r="D275" s="279"/>
      <c r="E275" s="279"/>
      <c r="F275" s="279"/>
      <c r="G275" s="279"/>
      <c r="H275" s="279"/>
      <c r="I275" s="279"/>
      <c r="J275" s="279"/>
      <c r="K275" s="279"/>
      <c r="L275" s="279"/>
      <c r="M275" s="279"/>
      <c r="N275" s="279"/>
      <c r="O275" s="279"/>
    </row>
    <row r="276" spans="2:15" x14ac:dyDescent="0.2">
      <c r="B276" s="336"/>
      <c r="D276" s="279"/>
      <c r="E276" s="279"/>
      <c r="F276" s="279"/>
      <c r="G276" s="279"/>
      <c r="H276" s="279"/>
      <c r="I276" s="279"/>
      <c r="J276" s="279"/>
      <c r="K276" s="279"/>
      <c r="L276" s="279"/>
      <c r="M276" s="279"/>
      <c r="N276" s="279"/>
      <c r="O276" s="279"/>
    </row>
    <row r="277" spans="2:15" x14ac:dyDescent="0.2">
      <c r="D277" s="279"/>
      <c r="E277" s="279"/>
      <c r="F277" s="279"/>
      <c r="G277" s="279"/>
      <c r="H277" s="279"/>
      <c r="I277" s="279"/>
      <c r="J277" s="279"/>
      <c r="K277" s="279"/>
      <c r="L277" s="279"/>
      <c r="M277" s="279"/>
      <c r="N277" s="279"/>
      <c r="O277" s="279"/>
    </row>
    <row r="278" spans="2:15" x14ac:dyDescent="0.2">
      <c r="D278" s="279"/>
      <c r="E278" s="279"/>
      <c r="F278" s="279"/>
      <c r="G278" s="279"/>
      <c r="H278" s="279"/>
      <c r="I278" s="279"/>
      <c r="J278" s="279"/>
      <c r="K278" s="279"/>
      <c r="L278" s="279"/>
      <c r="M278" s="279"/>
      <c r="N278" s="279"/>
      <c r="O278" s="279"/>
    </row>
    <row r="279" spans="2:15" x14ac:dyDescent="0.2">
      <c r="D279" s="279"/>
      <c r="E279" s="279"/>
      <c r="F279" s="279"/>
      <c r="G279" s="279"/>
      <c r="H279" s="279"/>
      <c r="I279" s="279"/>
      <c r="J279" s="279"/>
      <c r="K279" s="279"/>
      <c r="L279" s="279"/>
      <c r="M279" s="279"/>
      <c r="N279" s="279"/>
      <c r="O279" s="279"/>
    </row>
    <row r="280" spans="2:15" x14ac:dyDescent="0.2">
      <c r="D280" s="279"/>
      <c r="E280" s="279"/>
      <c r="F280" s="279"/>
      <c r="G280" s="279"/>
      <c r="H280" s="279"/>
      <c r="I280" s="279"/>
      <c r="J280" s="279"/>
      <c r="K280" s="279"/>
      <c r="L280" s="279"/>
      <c r="M280" s="279"/>
      <c r="N280" s="279"/>
      <c r="O280" s="279"/>
    </row>
    <row r="281" spans="2:15" x14ac:dyDescent="0.2">
      <c r="D281" s="279"/>
      <c r="E281" s="279"/>
      <c r="F281" s="279"/>
      <c r="G281" s="279"/>
      <c r="H281" s="279"/>
      <c r="I281" s="279"/>
      <c r="J281" s="279"/>
      <c r="K281" s="279"/>
      <c r="L281" s="279"/>
      <c r="M281" s="279"/>
      <c r="N281" s="279"/>
      <c r="O281" s="279"/>
    </row>
    <row r="282" spans="2:15" x14ac:dyDescent="0.2">
      <c r="D282" s="279"/>
      <c r="E282" s="279"/>
      <c r="F282" s="279"/>
      <c r="G282" s="279"/>
      <c r="H282" s="279"/>
      <c r="I282" s="279"/>
      <c r="J282" s="279"/>
      <c r="K282" s="279"/>
      <c r="L282" s="279"/>
      <c r="M282" s="279"/>
      <c r="N282" s="279"/>
      <c r="O282" s="279"/>
    </row>
    <row r="283" spans="2:15" x14ac:dyDescent="0.2">
      <c r="D283" s="279"/>
      <c r="E283" s="279"/>
      <c r="F283" s="279"/>
      <c r="G283" s="279"/>
      <c r="H283" s="279"/>
      <c r="I283" s="279"/>
      <c r="J283" s="279"/>
      <c r="K283" s="279"/>
      <c r="L283" s="279"/>
      <c r="M283" s="279"/>
      <c r="N283" s="279"/>
      <c r="O283" s="279"/>
    </row>
    <row r="284" spans="2:15" x14ac:dyDescent="0.2">
      <c r="D284" s="279"/>
      <c r="E284" s="279"/>
      <c r="F284" s="279"/>
      <c r="G284" s="279"/>
      <c r="H284" s="279"/>
      <c r="I284" s="279"/>
      <c r="J284" s="279"/>
      <c r="K284" s="279"/>
      <c r="L284" s="279"/>
      <c r="M284" s="279"/>
      <c r="N284" s="279"/>
      <c r="O284" s="279"/>
    </row>
    <row r="285" spans="2:15" x14ac:dyDescent="0.2">
      <c r="D285" s="279"/>
      <c r="E285" s="279"/>
      <c r="F285" s="279"/>
      <c r="G285" s="279"/>
      <c r="H285" s="279"/>
      <c r="I285" s="279"/>
      <c r="J285" s="279"/>
      <c r="K285" s="279"/>
      <c r="L285" s="279"/>
      <c r="M285" s="279"/>
      <c r="N285" s="279"/>
      <c r="O285" s="279"/>
    </row>
    <row r="286" spans="2:15" x14ac:dyDescent="0.2">
      <c r="D286" s="279"/>
      <c r="E286" s="279"/>
      <c r="F286" s="279"/>
      <c r="G286" s="279"/>
      <c r="H286" s="279"/>
      <c r="I286" s="279"/>
      <c r="J286" s="279"/>
      <c r="K286" s="279"/>
      <c r="L286" s="279"/>
      <c r="M286" s="279"/>
      <c r="N286" s="279"/>
      <c r="O286" s="279"/>
    </row>
    <row r="287" spans="2:15" x14ac:dyDescent="0.2">
      <c r="D287" s="279"/>
      <c r="E287" s="279"/>
      <c r="F287" s="279"/>
      <c r="G287" s="279"/>
      <c r="H287" s="279"/>
      <c r="I287" s="279"/>
      <c r="J287" s="279"/>
      <c r="K287" s="279"/>
      <c r="L287" s="279"/>
      <c r="M287" s="279"/>
      <c r="N287" s="279"/>
      <c r="O287" s="279"/>
    </row>
    <row r="288" spans="2:15" x14ac:dyDescent="0.2">
      <c r="D288" s="279"/>
      <c r="E288" s="279"/>
      <c r="F288" s="279"/>
      <c r="G288" s="279"/>
      <c r="H288" s="279"/>
      <c r="I288" s="279"/>
      <c r="J288" s="279"/>
      <c r="K288" s="279"/>
      <c r="L288" s="279"/>
      <c r="M288" s="279"/>
      <c r="N288" s="279"/>
      <c r="O288" s="279"/>
    </row>
    <row r="289" spans="4:15" x14ac:dyDescent="0.2">
      <c r="D289" s="279"/>
      <c r="E289" s="279"/>
      <c r="F289" s="279"/>
      <c r="G289" s="279"/>
      <c r="H289" s="279"/>
      <c r="I289" s="279"/>
      <c r="J289" s="279"/>
      <c r="K289" s="279"/>
      <c r="L289" s="279"/>
      <c r="M289" s="279"/>
      <c r="N289" s="279"/>
      <c r="O289" s="279"/>
    </row>
    <row r="290" spans="4:15" x14ac:dyDescent="0.2">
      <c r="D290" s="279"/>
      <c r="E290" s="279"/>
      <c r="F290" s="279"/>
      <c r="G290" s="279"/>
      <c r="H290" s="279"/>
      <c r="I290" s="279"/>
      <c r="J290" s="279"/>
      <c r="K290" s="279"/>
      <c r="L290" s="279"/>
      <c r="M290" s="279"/>
      <c r="N290" s="279"/>
      <c r="O290" s="279"/>
    </row>
    <row r="291" spans="4:15" x14ac:dyDescent="0.2">
      <c r="D291" s="279"/>
      <c r="E291" s="279"/>
      <c r="F291" s="279"/>
      <c r="G291" s="279"/>
      <c r="H291" s="279"/>
      <c r="I291" s="279"/>
      <c r="J291" s="279"/>
      <c r="K291" s="279"/>
      <c r="L291" s="279"/>
      <c r="M291" s="279"/>
      <c r="N291" s="279"/>
      <c r="O291" s="279"/>
    </row>
    <row r="292" spans="4:15" x14ac:dyDescent="0.2">
      <c r="D292" s="279"/>
      <c r="E292" s="279"/>
      <c r="F292" s="279"/>
      <c r="G292" s="279"/>
      <c r="H292" s="279"/>
      <c r="I292" s="279"/>
      <c r="J292" s="279"/>
      <c r="K292" s="279"/>
      <c r="L292" s="279"/>
      <c r="M292" s="279"/>
      <c r="N292" s="279"/>
      <c r="O292" s="279"/>
    </row>
    <row r="293" spans="4:15" x14ac:dyDescent="0.2">
      <c r="D293" s="279"/>
      <c r="E293" s="279"/>
      <c r="F293" s="279"/>
      <c r="G293" s="279"/>
      <c r="H293" s="279"/>
      <c r="I293" s="279"/>
      <c r="J293" s="279"/>
      <c r="K293" s="279"/>
      <c r="L293" s="279"/>
      <c r="M293" s="279"/>
      <c r="N293" s="279"/>
      <c r="O293" s="279"/>
    </row>
    <row r="294" spans="4:15" x14ac:dyDescent="0.2">
      <c r="D294" s="279"/>
      <c r="E294" s="279"/>
      <c r="F294" s="279"/>
      <c r="G294" s="279"/>
      <c r="H294" s="279"/>
      <c r="I294" s="279"/>
      <c r="J294" s="279"/>
      <c r="K294" s="279"/>
      <c r="L294" s="279"/>
      <c r="M294" s="279"/>
      <c r="N294" s="279"/>
      <c r="O294" s="279"/>
    </row>
    <row r="295" spans="4:15" x14ac:dyDescent="0.2">
      <c r="D295" s="279"/>
      <c r="E295" s="279"/>
      <c r="F295" s="279"/>
      <c r="G295" s="279"/>
      <c r="H295" s="279"/>
      <c r="I295" s="279"/>
      <c r="J295" s="279"/>
      <c r="K295" s="279"/>
      <c r="L295" s="279"/>
      <c r="M295" s="279"/>
      <c r="N295" s="279"/>
      <c r="O295" s="279"/>
    </row>
    <row r="296" spans="4:15" x14ac:dyDescent="0.2">
      <c r="D296" s="279"/>
      <c r="E296" s="279"/>
      <c r="F296" s="279"/>
      <c r="G296" s="279"/>
      <c r="H296" s="279"/>
      <c r="I296" s="279"/>
      <c r="J296" s="279"/>
      <c r="K296" s="279"/>
      <c r="L296" s="279"/>
      <c r="M296" s="279"/>
      <c r="N296" s="279"/>
      <c r="O296" s="279"/>
    </row>
    <row r="297" spans="4:15" x14ac:dyDescent="0.2">
      <c r="D297" s="279"/>
      <c r="E297" s="279"/>
      <c r="F297" s="279"/>
      <c r="G297" s="279"/>
      <c r="H297" s="279"/>
      <c r="I297" s="279"/>
      <c r="J297" s="279"/>
      <c r="K297" s="279"/>
      <c r="L297" s="279"/>
      <c r="M297" s="279"/>
      <c r="N297" s="279"/>
      <c r="O297" s="279"/>
    </row>
    <row r="298" spans="4:15" x14ac:dyDescent="0.2">
      <c r="D298" s="279"/>
      <c r="E298" s="279"/>
      <c r="F298" s="279"/>
      <c r="G298" s="279"/>
      <c r="H298" s="279"/>
      <c r="I298" s="279"/>
      <c r="J298" s="279"/>
      <c r="K298" s="279"/>
      <c r="L298" s="279"/>
      <c r="M298" s="279"/>
      <c r="N298" s="279"/>
      <c r="O298" s="279"/>
    </row>
    <row r="299" spans="4:15" x14ac:dyDescent="0.2">
      <c r="D299" s="279"/>
      <c r="E299" s="279"/>
      <c r="F299" s="279"/>
      <c r="G299" s="279"/>
      <c r="H299" s="279"/>
      <c r="I299" s="279"/>
      <c r="J299" s="279"/>
      <c r="K299" s="279"/>
      <c r="L299" s="279"/>
      <c r="M299" s="279"/>
      <c r="N299" s="279"/>
      <c r="O299" s="279"/>
    </row>
    <row r="300" spans="4:15" x14ac:dyDescent="0.2">
      <c r="D300" s="279"/>
      <c r="E300" s="279"/>
      <c r="F300" s="279"/>
      <c r="G300" s="279"/>
      <c r="H300" s="279"/>
      <c r="I300" s="279"/>
      <c r="J300" s="279"/>
      <c r="K300" s="279"/>
      <c r="L300" s="279"/>
      <c r="M300" s="279"/>
      <c r="N300" s="279"/>
      <c r="O300" s="279"/>
    </row>
    <row r="301" spans="4:15" x14ac:dyDescent="0.2">
      <c r="D301" s="279"/>
      <c r="E301" s="279"/>
      <c r="F301" s="279"/>
      <c r="G301" s="279"/>
      <c r="H301" s="279"/>
      <c r="I301" s="279"/>
      <c r="J301" s="279"/>
      <c r="K301" s="279"/>
      <c r="L301" s="279"/>
      <c r="M301" s="279"/>
      <c r="N301" s="279"/>
      <c r="O301" s="279"/>
    </row>
    <row r="302" spans="4:15" x14ac:dyDescent="0.2">
      <c r="D302" s="279"/>
      <c r="E302" s="279"/>
      <c r="F302" s="279"/>
      <c r="G302" s="279"/>
      <c r="H302" s="279"/>
      <c r="I302" s="279"/>
      <c r="J302" s="279"/>
      <c r="K302" s="279"/>
      <c r="L302" s="279"/>
      <c r="M302" s="279"/>
      <c r="N302" s="279"/>
      <c r="O302" s="279"/>
    </row>
    <row r="303" spans="4:15" x14ac:dyDescent="0.2">
      <c r="D303" s="279"/>
      <c r="E303" s="279"/>
      <c r="F303" s="279"/>
      <c r="G303" s="279"/>
      <c r="H303" s="279"/>
      <c r="I303" s="279"/>
      <c r="J303" s="279"/>
      <c r="K303" s="279"/>
      <c r="L303" s="279"/>
      <c r="M303" s="279"/>
      <c r="N303" s="279"/>
      <c r="O303" s="279"/>
    </row>
    <row r="304" spans="4:15" x14ac:dyDescent="0.2">
      <c r="D304" s="279"/>
      <c r="E304" s="279"/>
      <c r="F304" s="279"/>
      <c r="G304" s="279"/>
      <c r="H304" s="279"/>
      <c r="I304" s="279"/>
      <c r="J304" s="279"/>
      <c r="K304" s="279"/>
      <c r="L304" s="279"/>
      <c r="M304" s="279"/>
      <c r="N304" s="279"/>
      <c r="O304" s="279"/>
    </row>
    <row r="305" spans="4:15" x14ac:dyDescent="0.2">
      <c r="D305" s="279"/>
      <c r="E305" s="279"/>
      <c r="F305" s="279"/>
      <c r="G305" s="279"/>
      <c r="H305" s="279"/>
      <c r="I305" s="279"/>
      <c r="J305" s="279"/>
      <c r="K305" s="279"/>
      <c r="L305" s="279"/>
      <c r="M305" s="279"/>
      <c r="N305" s="279"/>
      <c r="O305" s="279"/>
    </row>
    <row r="306" spans="4:15" x14ac:dyDescent="0.2">
      <c r="D306" s="279"/>
      <c r="E306" s="279"/>
      <c r="F306" s="279"/>
      <c r="G306" s="279"/>
      <c r="H306" s="279"/>
      <c r="I306" s="279"/>
      <c r="J306" s="279"/>
      <c r="K306" s="279"/>
      <c r="L306" s="279"/>
      <c r="M306" s="279"/>
      <c r="N306" s="279"/>
      <c r="O306" s="279"/>
    </row>
    <row r="307" spans="4:15" x14ac:dyDescent="0.2">
      <c r="D307" s="279"/>
      <c r="E307" s="279"/>
      <c r="F307" s="279"/>
      <c r="G307" s="279"/>
      <c r="H307" s="279"/>
      <c r="I307" s="279"/>
      <c r="J307" s="279"/>
      <c r="K307" s="279"/>
      <c r="L307" s="279"/>
      <c r="M307" s="279"/>
      <c r="N307" s="279"/>
      <c r="O307" s="279"/>
    </row>
    <row r="308" spans="4:15" x14ac:dyDescent="0.2">
      <c r="D308" s="279"/>
      <c r="E308" s="279"/>
      <c r="F308" s="279"/>
      <c r="G308" s="279"/>
      <c r="H308" s="279"/>
      <c r="I308" s="279"/>
      <c r="J308" s="279"/>
      <c r="K308" s="279"/>
      <c r="L308" s="279"/>
      <c r="M308" s="279"/>
      <c r="N308" s="279"/>
      <c r="O308" s="279"/>
    </row>
    <row r="309" spans="4:15" x14ac:dyDescent="0.2">
      <c r="D309" s="279"/>
      <c r="E309" s="279"/>
      <c r="F309" s="279"/>
      <c r="G309" s="279"/>
      <c r="H309" s="279"/>
      <c r="I309" s="279"/>
      <c r="J309" s="279"/>
      <c r="K309" s="279"/>
      <c r="L309" s="279"/>
      <c r="M309" s="279"/>
      <c r="N309" s="279"/>
      <c r="O309" s="279"/>
    </row>
    <row r="310" spans="4:15" x14ac:dyDescent="0.2">
      <c r="D310" s="279"/>
      <c r="E310" s="279"/>
      <c r="F310" s="279"/>
      <c r="G310" s="279"/>
      <c r="H310" s="279"/>
      <c r="I310" s="279"/>
      <c r="J310" s="279"/>
      <c r="K310" s="279"/>
      <c r="L310" s="279"/>
      <c r="M310" s="279"/>
      <c r="N310" s="279"/>
      <c r="O310" s="279"/>
    </row>
    <row r="311" spans="4:15" x14ac:dyDescent="0.2">
      <c r="D311" s="279"/>
      <c r="E311" s="279"/>
      <c r="F311" s="279"/>
      <c r="G311" s="279"/>
      <c r="H311" s="279"/>
      <c r="I311" s="279"/>
      <c r="J311" s="279"/>
      <c r="K311" s="279"/>
      <c r="L311" s="279"/>
      <c r="M311" s="279"/>
      <c r="N311" s="279"/>
      <c r="O311" s="279"/>
    </row>
    <row r="312" spans="4:15" x14ac:dyDescent="0.2">
      <c r="D312" s="279"/>
      <c r="E312" s="279"/>
      <c r="F312" s="279"/>
      <c r="G312" s="279"/>
      <c r="H312" s="279"/>
      <c r="I312" s="279"/>
      <c r="J312" s="279"/>
      <c r="K312" s="279"/>
      <c r="L312" s="279"/>
      <c r="M312" s="279"/>
      <c r="N312" s="279"/>
      <c r="O312" s="279"/>
    </row>
    <row r="313" spans="4:15" x14ac:dyDescent="0.2">
      <c r="D313" s="279"/>
      <c r="E313" s="279"/>
      <c r="F313" s="279"/>
      <c r="G313" s="279"/>
      <c r="H313" s="279"/>
      <c r="I313" s="279"/>
      <c r="J313" s="279"/>
      <c r="K313" s="279"/>
      <c r="L313" s="279"/>
      <c r="M313" s="279"/>
      <c r="N313" s="279"/>
      <c r="O313" s="279"/>
    </row>
    <row r="314" spans="4:15" x14ac:dyDescent="0.2">
      <c r="D314" s="279"/>
      <c r="E314" s="279"/>
      <c r="F314" s="279"/>
      <c r="G314" s="279"/>
      <c r="H314" s="279"/>
      <c r="I314" s="279"/>
      <c r="J314" s="279"/>
      <c r="K314" s="279"/>
      <c r="L314" s="279"/>
      <c r="M314" s="279"/>
      <c r="N314" s="279"/>
      <c r="O314" s="279"/>
    </row>
    <row r="315" spans="4:15" x14ac:dyDescent="0.2">
      <c r="D315" s="279"/>
      <c r="E315" s="279"/>
      <c r="F315" s="279"/>
      <c r="G315" s="279"/>
      <c r="H315" s="279"/>
      <c r="I315" s="279"/>
      <c r="J315" s="279"/>
      <c r="K315" s="279"/>
      <c r="L315" s="279"/>
      <c r="M315" s="279"/>
      <c r="N315" s="279"/>
      <c r="O315" s="279"/>
    </row>
    <row r="316" spans="4:15" x14ac:dyDescent="0.2">
      <c r="D316" s="279"/>
      <c r="E316" s="279"/>
      <c r="F316" s="279"/>
      <c r="G316" s="279"/>
      <c r="H316" s="279"/>
      <c r="I316" s="279"/>
      <c r="J316" s="279"/>
      <c r="K316" s="279"/>
      <c r="L316" s="279"/>
      <c r="M316" s="279"/>
      <c r="N316" s="279"/>
      <c r="O316" s="279"/>
    </row>
    <row r="317" spans="4:15" x14ac:dyDescent="0.2">
      <c r="D317" s="279"/>
      <c r="E317" s="279"/>
      <c r="F317" s="279"/>
      <c r="G317" s="279"/>
      <c r="H317" s="279"/>
      <c r="I317" s="279"/>
      <c r="J317" s="279"/>
      <c r="K317" s="279"/>
      <c r="L317" s="279"/>
      <c r="M317" s="279"/>
      <c r="N317" s="279"/>
      <c r="O317" s="279"/>
    </row>
    <row r="318" spans="4:15" x14ac:dyDescent="0.2">
      <c r="D318" s="279"/>
      <c r="E318" s="279"/>
      <c r="F318" s="279"/>
      <c r="G318" s="279"/>
      <c r="H318" s="279"/>
      <c r="I318" s="279"/>
      <c r="J318" s="279"/>
      <c r="K318" s="279"/>
      <c r="L318" s="279"/>
      <c r="M318" s="279"/>
      <c r="N318" s="279"/>
      <c r="O318" s="279"/>
    </row>
    <row r="319" spans="4:15" x14ac:dyDescent="0.2">
      <c r="D319" s="279"/>
      <c r="E319" s="279"/>
      <c r="F319" s="279"/>
      <c r="G319" s="279"/>
      <c r="H319" s="279"/>
      <c r="I319" s="279"/>
      <c r="J319" s="279"/>
      <c r="K319" s="279"/>
      <c r="L319" s="279"/>
      <c r="M319" s="279"/>
      <c r="N319" s="279"/>
      <c r="O319" s="279"/>
    </row>
  </sheetData>
  <pageMargins left="0.7" right="0.7" top="0.75" bottom="0.75" header="0.3" footer="0.3"/>
  <pageSetup orientation="portrait" r:id="rId1"/>
  <rowBreaks count="4" manualBreakCount="4">
    <brk id="59" max="16383" man="1"/>
    <brk id="102" max="16383" man="1"/>
    <brk id="149" min="3" max="15" man="1"/>
    <brk id="210" min="3" max="15"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IO1002"/>
  <sheetViews>
    <sheetView topLeftCell="A762" workbookViewId="0">
      <selection activeCell="C35" sqref="C35"/>
    </sheetView>
  </sheetViews>
  <sheetFormatPr defaultRowHeight="12.75" x14ac:dyDescent="0.2"/>
  <cols>
    <col min="1" max="1" width="7.5703125" style="336" bestFit="1" customWidth="1"/>
    <col min="2" max="2" width="1.42578125" style="336" customWidth="1"/>
    <col min="3" max="3" width="25.5703125" style="336" customWidth="1"/>
    <col min="4" max="4" width="9.140625" style="336"/>
    <col min="5" max="5" width="8.7109375" style="336" customWidth="1"/>
    <col min="6" max="17" width="14.140625" style="336" customWidth="1"/>
    <col min="18" max="18" width="15.7109375" style="336" customWidth="1"/>
    <col min="19" max="19" width="12.85546875" style="415" bestFit="1" customWidth="1"/>
    <col min="20" max="20" width="16.140625" style="415" bestFit="1" customWidth="1"/>
    <col min="21" max="21" width="14.5703125" style="336" bestFit="1" customWidth="1"/>
    <col min="22" max="16384" width="9.140625" style="336"/>
  </cols>
  <sheetData>
    <row r="1" spans="1:19" x14ac:dyDescent="0.2">
      <c r="B1" s="661" t="str">
        <f>'JKP-3.1c - Revenue'!$B$1</f>
        <v>Puget Sound Energy</v>
      </c>
      <c r="C1" s="387"/>
      <c r="D1" s="387"/>
      <c r="E1" s="387"/>
      <c r="F1" s="387"/>
      <c r="G1" s="387"/>
      <c r="H1" s="387"/>
      <c r="I1" s="387"/>
      <c r="J1" s="387"/>
      <c r="K1" s="387"/>
      <c r="L1" s="387"/>
      <c r="M1" s="387"/>
      <c r="N1" s="387"/>
      <c r="O1" s="387"/>
      <c r="P1" s="387"/>
      <c r="Q1" s="387"/>
      <c r="R1" s="387"/>
    </row>
    <row r="2" spans="1:19" x14ac:dyDescent="0.2">
      <c r="B2" s="661" t="str">
        <f>'JKP-3.1c - Revenue'!$B$2</f>
        <v>2011 General Rate Case - Gas</v>
      </c>
      <c r="C2" s="387"/>
      <c r="D2" s="387"/>
      <c r="E2" s="387"/>
      <c r="F2" s="431"/>
      <c r="G2" s="387"/>
      <c r="H2" s="387"/>
      <c r="I2" s="387"/>
      <c r="J2" s="387"/>
      <c r="K2" s="387"/>
      <c r="L2" s="387"/>
      <c r="M2" s="387"/>
      <c r="N2" s="387"/>
      <c r="O2" s="387"/>
      <c r="P2" s="387"/>
      <c r="Q2" s="387"/>
      <c r="R2" s="387"/>
    </row>
    <row r="3" spans="1:19" x14ac:dyDescent="0.2">
      <c r="B3" s="387" t="s">
        <v>1297</v>
      </c>
      <c r="C3" s="387"/>
      <c r="D3" s="387"/>
      <c r="E3" s="387"/>
      <c r="F3" s="389"/>
      <c r="G3" s="389"/>
      <c r="H3" s="431"/>
      <c r="I3" s="389"/>
      <c r="J3" s="389"/>
      <c r="K3" s="389"/>
      <c r="L3" s="389"/>
      <c r="M3" s="389"/>
      <c r="N3" s="389"/>
      <c r="O3" s="389"/>
      <c r="P3" s="389"/>
      <c r="Q3" s="389"/>
      <c r="R3" s="387"/>
    </row>
    <row r="4" spans="1:19" x14ac:dyDescent="0.2">
      <c r="B4" s="661" t="str">
        <f>'JKP-3.1c - Revenue'!$B$4</f>
        <v>Test Year Ended December 31, 2010</v>
      </c>
      <c r="C4" s="387"/>
      <c r="D4" s="387"/>
      <c r="E4" s="387"/>
      <c r="F4" s="387"/>
      <c r="G4" s="387"/>
      <c r="H4" s="387"/>
      <c r="I4" s="387"/>
      <c r="J4" s="387"/>
      <c r="K4" s="387"/>
      <c r="L4" s="387"/>
      <c r="M4" s="387"/>
      <c r="N4" s="387"/>
      <c r="O4" s="387"/>
      <c r="P4" s="387"/>
      <c r="Q4" s="387"/>
      <c r="R4" s="387"/>
    </row>
    <row r="5" spans="1:19" x14ac:dyDescent="0.2">
      <c r="B5" s="431"/>
      <c r="C5" s="387"/>
      <c r="D5" s="387"/>
      <c r="E5" s="387"/>
      <c r="F5" s="32"/>
      <c r="G5" s="32"/>
      <c r="H5" s="32"/>
      <c r="I5" s="32"/>
      <c r="J5" s="32"/>
      <c r="K5" s="32"/>
      <c r="L5" s="32"/>
      <c r="M5" s="32"/>
      <c r="N5" s="32"/>
      <c r="O5" s="32"/>
      <c r="P5" s="32"/>
      <c r="Q5" s="32"/>
      <c r="R5" s="276"/>
      <c r="S5" s="335" t="s">
        <v>1298</v>
      </c>
    </row>
    <row r="6" spans="1:19" x14ac:dyDescent="0.2">
      <c r="A6" s="662" t="s">
        <v>445</v>
      </c>
      <c r="B6" s="663" t="s">
        <v>3</v>
      </c>
      <c r="C6" s="663"/>
      <c r="D6" s="664" t="s">
        <v>25</v>
      </c>
      <c r="E6" s="664" t="s">
        <v>75</v>
      </c>
      <c r="F6" s="370">
        <f>'JKP-3.1c - Data'!C4</f>
        <v>40179</v>
      </c>
      <c r="G6" s="370">
        <f>'JKP-3.1c - Data'!D4</f>
        <v>40210</v>
      </c>
      <c r="H6" s="370">
        <f>'JKP-3.1c - Data'!E4</f>
        <v>40238</v>
      </c>
      <c r="I6" s="370">
        <f>'JKP-3.1c - Data'!F4</f>
        <v>40269</v>
      </c>
      <c r="J6" s="370">
        <f>'JKP-3.1c - Data'!G4</f>
        <v>40299</v>
      </c>
      <c r="K6" s="370">
        <f>'JKP-3.1c - Data'!H4</f>
        <v>40330</v>
      </c>
      <c r="L6" s="370">
        <f>'JKP-3.1c - Data'!I4</f>
        <v>40360</v>
      </c>
      <c r="M6" s="370">
        <f>'JKP-3.1c - Data'!J4</f>
        <v>40391</v>
      </c>
      <c r="N6" s="370">
        <f>'JKP-3.1c - Data'!K4</f>
        <v>40422</v>
      </c>
      <c r="O6" s="370">
        <f>'JKP-3.1c - Data'!L4</f>
        <v>40452</v>
      </c>
      <c r="P6" s="370">
        <f>'JKP-3.1c - Data'!M4</f>
        <v>40483</v>
      </c>
      <c r="Q6" s="370">
        <f>'JKP-3.1c - Data'!N4</f>
        <v>40513</v>
      </c>
      <c r="R6" s="333" t="s">
        <v>23</v>
      </c>
      <c r="S6" s="664" t="s">
        <v>1299</v>
      </c>
    </row>
    <row r="7" spans="1:19" x14ac:dyDescent="0.2">
      <c r="B7" s="182" t="s">
        <v>1046</v>
      </c>
      <c r="C7" s="182"/>
    </row>
    <row r="8" spans="1:19" x14ac:dyDescent="0.2">
      <c r="B8" s="182" t="s">
        <v>5</v>
      </c>
      <c r="C8" s="182"/>
    </row>
    <row r="9" spans="1:19" x14ac:dyDescent="0.2">
      <c r="A9" s="415"/>
      <c r="B9" s="415" t="s">
        <v>1047</v>
      </c>
      <c r="C9" s="415"/>
      <c r="D9" s="415">
        <v>16</v>
      </c>
      <c r="E9" s="336" t="s">
        <v>1048</v>
      </c>
      <c r="F9" s="494">
        <f>'JKP-3.1c - Rev Rates GTI10'!F9</f>
        <v>9.92</v>
      </c>
      <c r="G9" s="494">
        <f>'JKP-3.1c - Rev Rates GTI10'!G9</f>
        <v>9.92</v>
      </c>
      <c r="H9" s="494">
        <f>'JKP-3.1c - Rev Rates GTI10'!H9</f>
        <v>9.92</v>
      </c>
      <c r="I9" s="494">
        <f>'JKP-3.1c - Rev Rates GTI10'!I9</f>
        <v>9.92</v>
      </c>
      <c r="J9" s="494">
        <f>'JKP-3.1c - Rev Rates GTI10'!J9</f>
        <v>9.92</v>
      </c>
      <c r="K9" s="494">
        <f>'JKP-3.1c - Rev Rates GTI10'!K9</f>
        <v>9.92</v>
      </c>
      <c r="L9" s="494">
        <f>'JKP-3.1c - Rev Rates GTI10'!L9</f>
        <v>9.92</v>
      </c>
      <c r="M9" s="494">
        <f>'JKP-3.1c - Rev Rates GTI10'!M9</f>
        <v>9.92</v>
      </c>
      <c r="N9" s="494">
        <f>'JKP-3.1c - Rev Rates GTI10'!N9</f>
        <v>9.92</v>
      </c>
      <c r="O9" s="494">
        <f>'JKP-3.1c - Rev Rates GTI10'!O9</f>
        <v>9.92</v>
      </c>
      <c r="P9" s="494">
        <f>'JKP-3.1c - Rev Rates GTI10'!P9</f>
        <v>9.92</v>
      </c>
      <c r="Q9" s="494">
        <f>'JKP-3.1c - Rev Rates GTI10'!Q9</f>
        <v>9.92</v>
      </c>
      <c r="R9" s="435"/>
    </row>
    <row r="10" spans="1:19" x14ac:dyDescent="0.2">
      <c r="A10" s="415"/>
      <c r="B10" s="415" t="s">
        <v>1067</v>
      </c>
      <c r="D10" s="336">
        <v>101</v>
      </c>
      <c r="E10" s="336" t="s">
        <v>1048</v>
      </c>
      <c r="F10" s="494">
        <f>'JKP-3.1c - Rev Rates GTI10'!F10</f>
        <v>13.67</v>
      </c>
      <c r="G10" s="494">
        <f>'JKP-3.1c - Rev Rates GTI10'!G10</f>
        <v>13.67</v>
      </c>
      <c r="H10" s="494">
        <f>'JKP-3.1c - Rev Rates GTI10'!H10</f>
        <v>13.67</v>
      </c>
      <c r="I10" s="494">
        <f>'JKP-3.1c - Rev Rates GTI10'!I10</f>
        <v>13.67</v>
      </c>
      <c r="J10" s="494">
        <f>'JKP-3.1c - Rev Rates GTI10'!J10</f>
        <v>13.67</v>
      </c>
      <c r="K10" s="494">
        <f>'JKP-3.1c - Rev Rates GTI10'!K10</f>
        <v>13.67</v>
      </c>
      <c r="L10" s="494">
        <f>'JKP-3.1c - Rev Rates GTI10'!L10</f>
        <v>13.67</v>
      </c>
      <c r="M10" s="494">
        <f>'JKP-3.1c - Rev Rates GTI10'!M10</f>
        <v>13.67</v>
      </c>
      <c r="N10" s="494">
        <f>'JKP-3.1c - Rev Rates GTI10'!N10</f>
        <v>13.67</v>
      </c>
      <c r="O10" s="494">
        <f>'JKP-3.1c - Rev Rates GTI10'!O10</f>
        <v>13.67</v>
      </c>
      <c r="P10" s="494">
        <f>'JKP-3.1c - Rev Rates GTI10'!P10</f>
        <v>13.67</v>
      </c>
      <c r="Q10" s="494">
        <f>'JKP-3.1c - Rev Rates GTI10'!Q10</f>
        <v>13.67</v>
      </c>
      <c r="R10" s="435"/>
    </row>
    <row r="11" spans="1:19" x14ac:dyDescent="0.2">
      <c r="A11" s="415"/>
      <c r="B11" s="415" t="s">
        <v>1197</v>
      </c>
      <c r="F11" s="494">
        <f>'JKP-3.1c - Rev Rates GTI10'!F11</f>
        <v>13.08</v>
      </c>
      <c r="G11" s="494">
        <f>'JKP-3.1c - Rev Rates GTI10'!G11</f>
        <v>13.08</v>
      </c>
      <c r="H11" s="494">
        <f>'JKP-3.1c - Rev Rates GTI10'!H11</f>
        <v>13.08</v>
      </c>
      <c r="I11" s="494">
        <f>'JKP-3.1c - Rev Rates GTI10'!I11</f>
        <v>13.08</v>
      </c>
      <c r="J11" s="494">
        <f>'JKP-3.1c - Rev Rates GTI10'!J11</f>
        <v>13.08</v>
      </c>
      <c r="K11" s="494">
        <f>'JKP-3.1c - Rev Rates GTI10'!K11</f>
        <v>13.08</v>
      </c>
      <c r="L11" s="494">
        <f>'JKP-3.1c - Rev Rates GTI10'!L11</f>
        <v>13.08</v>
      </c>
      <c r="M11" s="494">
        <f>'JKP-3.1c - Rev Rates GTI10'!M11</f>
        <v>13.08</v>
      </c>
      <c r="N11" s="494">
        <f>'JKP-3.1c - Rev Rates GTI10'!N11</f>
        <v>13.08</v>
      </c>
      <c r="O11" s="494">
        <f>'JKP-3.1c - Rev Rates GTI10'!O11</f>
        <v>13.08</v>
      </c>
      <c r="P11" s="494">
        <f>'JKP-3.1c - Rev Rates GTI10'!P11</f>
        <v>13.08</v>
      </c>
      <c r="Q11" s="494">
        <f>'JKP-3.1c - Rev Rates GTI10'!Q11</f>
        <v>13.08</v>
      </c>
      <c r="R11" s="435"/>
    </row>
    <row r="13" spans="1:19" x14ac:dyDescent="0.2">
      <c r="B13" s="182" t="s">
        <v>982</v>
      </c>
      <c r="E13" s="415"/>
      <c r="F13" s="415"/>
      <c r="G13" s="415"/>
      <c r="H13" s="415"/>
      <c r="I13" s="415"/>
      <c r="J13" s="415"/>
      <c r="K13" s="415"/>
      <c r="L13" s="415"/>
      <c r="M13" s="415"/>
      <c r="N13" s="415"/>
      <c r="O13" s="415"/>
      <c r="P13" s="415"/>
      <c r="Q13" s="415"/>
      <c r="R13" s="415"/>
    </row>
    <row r="14" spans="1:19" x14ac:dyDescent="0.2">
      <c r="B14" s="415" t="s">
        <v>9</v>
      </c>
      <c r="F14" s="478">
        <f>'JKP-3.1c - Data'!C122</f>
        <v>54</v>
      </c>
      <c r="G14" s="478">
        <f>'JKP-3.1c - Data'!D122</f>
        <v>54</v>
      </c>
      <c r="H14" s="478">
        <f>'JKP-3.1c - Data'!E122</f>
        <v>54</v>
      </c>
      <c r="I14" s="478">
        <f>'JKP-3.1c - Data'!F122</f>
        <v>54</v>
      </c>
      <c r="J14" s="478">
        <f>'JKP-3.1c - Data'!G122</f>
        <v>53.999999999999993</v>
      </c>
      <c r="K14" s="478">
        <f>'JKP-3.1c - Data'!H122</f>
        <v>54</v>
      </c>
      <c r="L14" s="478">
        <f>'JKP-3.1c - Data'!I122</f>
        <v>53</v>
      </c>
      <c r="M14" s="478">
        <f>'JKP-3.1c - Data'!J122</f>
        <v>53</v>
      </c>
      <c r="N14" s="478">
        <f>'JKP-3.1c - Data'!K122</f>
        <v>53</v>
      </c>
      <c r="O14" s="478">
        <f>'JKP-3.1c - Data'!L122</f>
        <v>53</v>
      </c>
      <c r="P14" s="478">
        <f>'JKP-3.1c - Data'!M122</f>
        <v>53</v>
      </c>
      <c r="Q14" s="478">
        <f>'JKP-3.1c - Data'!N122</f>
        <v>53</v>
      </c>
      <c r="R14" s="476">
        <f>SUM(F14:Q14)</f>
        <v>642</v>
      </c>
    </row>
    <row r="15" spans="1:19" x14ac:dyDescent="0.2">
      <c r="B15" s="415" t="s">
        <v>1052</v>
      </c>
      <c r="E15" s="416">
        <v>19</v>
      </c>
      <c r="F15" s="380"/>
      <c r="G15" s="380"/>
      <c r="H15" s="380"/>
      <c r="I15" s="380"/>
      <c r="J15" s="380"/>
      <c r="K15" s="380"/>
      <c r="L15" s="380"/>
      <c r="M15" s="380"/>
      <c r="N15" s="380"/>
      <c r="O15" s="380"/>
      <c r="P15" s="380"/>
      <c r="Q15" s="380"/>
      <c r="R15" s="378"/>
    </row>
    <row r="16" spans="1:19" x14ac:dyDescent="0.2">
      <c r="B16" s="415" t="s">
        <v>1053</v>
      </c>
      <c r="E16" s="416"/>
      <c r="F16" s="378">
        <f t="shared" ref="F16:N16" si="0">F14*$E$15</f>
        <v>1026</v>
      </c>
      <c r="G16" s="378">
        <f t="shared" si="0"/>
        <v>1026</v>
      </c>
      <c r="H16" s="378">
        <f t="shared" si="0"/>
        <v>1026</v>
      </c>
      <c r="I16" s="378">
        <f t="shared" si="0"/>
        <v>1026</v>
      </c>
      <c r="J16" s="378">
        <f t="shared" si="0"/>
        <v>1025.9999999999998</v>
      </c>
      <c r="K16" s="378">
        <f t="shared" si="0"/>
        <v>1026</v>
      </c>
      <c r="L16" s="378">
        <f t="shared" si="0"/>
        <v>1007</v>
      </c>
      <c r="M16" s="378">
        <f t="shared" si="0"/>
        <v>1007</v>
      </c>
      <c r="N16" s="378">
        <f t="shared" si="0"/>
        <v>1007</v>
      </c>
      <c r="O16" s="378">
        <f>O14*$E$15</f>
        <v>1007</v>
      </c>
      <c r="P16" s="378">
        <f>P14*$E$15</f>
        <v>1007</v>
      </c>
      <c r="Q16" s="378">
        <f>Q14*$E$15</f>
        <v>1007</v>
      </c>
      <c r="R16" s="378">
        <f>SUM(F16:Q16)</f>
        <v>12198</v>
      </c>
    </row>
    <row r="17" spans="1:22" x14ac:dyDescent="0.2">
      <c r="R17" s="179"/>
    </row>
    <row r="18" spans="1:22" x14ac:dyDescent="0.2">
      <c r="B18" s="182" t="s">
        <v>985</v>
      </c>
      <c r="F18" s="415"/>
      <c r="G18" s="415"/>
      <c r="H18" s="415"/>
      <c r="I18" s="415"/>
      <c r="J18" s="415"/>
      <c r="K18" s="415"/>
      <c r="L18" s="415"/>
      <c r="M18" s="415"/>
      <c r="N18" s="415"/>
      <c r="O18" s="415"/>
      <c r="P18" s="415"/>
      <c r="Q18" s="415"/>
      <c r="R18" s="195"/>
    </row>
    <row r="19" spans="1:22" x14ac:dyDescent="0.2">
      <c r="A19" s="336" t="s">
        <v>1054</v>
      </c>
      <c r="B19" s="415" t="s">
        <v>1202</v>
      </c>
      <c r="D19" s="415"/>
      <c r="F19" s="340">
        <f t="shared" ref="F19:Q19" si="1">F9*F14</f>
        <v>535.67999999999995</v>
      </c>
      <c r="G19" s="340">
        <f t="shared" si="1"/>
        <v>535.67999999999995</v>
      </c>
      <c r="H19" s="340">
        <f t="shared" si="1"/>
        <v>535.67999999999995</v>
      </c>
      <c r="I19" s="340">
        <f t="shared" si="1"/>
        <v>535.67999999999995</v>
      </c>
      <c r="J19" s="340">
        <f t="shared" si="1"/>
        <v>535.67999999999995</v>
      </c>
      <c r="K19" s="340">
        <f t="shared" si="1"/>
        <v>535.67999999999995</v>
      </c>
      <c r="L19" s="340">
        <f t="shared" si="1"/>
        <v>525.76</v>
      </c>
      <c r="M19" s="340">
        <f t="shared" si="1"/>
        <v>525.76</v>
      </c>
      <c r="N19" s="340">
        <f t="shared" si="1"/>
        <v>525.76</v>
      </c>
      <c r="O19" s="340">
        <f t="shared" si="1"/>
        <v>525.76</v>
      </c>
      <c r="P19" s="340">
        <f t="shared" si="1"/>
        <v>525.76</v>
      </c>
      <c r="Q19" s="340">
        <f t="shared" si="1"/>
        <v>525.76</v>
      </c>
      <c r="R19" s="340">
        <f>SUM(F19:Q19)</f>
        <v>6368.64</v>
      </c>
    </row>
    <row r="20" spans="1:22" x14ac:dyDescent="0.2">
      <c r="A20" s="336" t="s">
        <v>1056</v>
      </c>
      <c r="B20" s="415" t="s">
        <v>1057</v>
      </c>
      <c r="D20" s="336">
        <v>101</v>
      </c>
      <c r="F20" s="340">
        <f t="shared" ref="F20:Q20" si="2">F10*F14</f>
        <v>738.18</v>
      </c>
      <c r="G20" s="340">
        <f t="shared" si="2"/>
        <v>738.18</v>
      </c>
      <c r="H20" s="340">
        <f t="shared" si="2"/>
        <v>738.18</v>
      </c>
      <c r="I20" s="340">
        <f t="shared" si="2"/>
        <v>738.18</v>
      </c>
      <c r="J20" s="340">
        <f t="shared" si="2"/>
        <v>738.18</v>
      </c>
      <c r="K20" s="340">
        <f t="shared" si="2"/>
        <v>738.18</v>
      </c>
      <c r="L20" s="340">
        <f t="shared" si="2"/>
        <v>724.51</v>
      </c>
      <c r="M20" s="340">
        <f t="shared" si="2"/>
        <v>724.51</v>
      </c>
      <c r="N20" s="340">
        <f t="shared" si="2"/>
        <v>724.51</v>
      </c>
      <c r="O20" s="340">
        <f t="shared" si="2"/>
        <v>724.51</v>
      </c>
      <c r="P20" s="340">
        <f t="shared" si="2"/>
        <v>724.51</v>
      </c>
      <c r="Q20" s="340">
        <f t="shared" si="2"/>
        <v>724.51</v>
      </c>
      <c r="R20" s="437">
        <f>SUM(F20:Q20)</f>
        <v>8776.1400000000012</v>
      </c>
      <c r="U20" s="415"/>
      <c r="V20" s="415"/>
    </row>
    <row r="21" spans="1:22" x14ac:dyDescent="0.2">
      <c r="B21" s="336" t="s">
        <v>986</v>
      </c>
      <c r="F21" s="339">
        <f t="shared" ref="F21:N21" si="3">F19+F20</f>
        <v>1273.8599999999999</v>
      </c>
      <c r="G21" s="339">
        <f t="shared" si="3"/>
        <v>1273.8599999999999</v>
      </c>
      <c r="H21" s="339">
        <f t="shared" si="3"/>
        <v>1273.8599999999999</v>
      </c>
      <c r="I21" s="339">
        <f t="shared" si="3"/>
        <v>1273.8599999999999</v>
      </c>
      <c r="J21" s="339">
        <f t="shared" si="3"/>
        <v>1273.8599999999999</v>
      </c>
      <c r="K21" s="339">
        <f t="shared" si="3"/>
        <v>1273.8599999999999</v>
      </c>
      <c r="L21" s="339">
        <f t="shared" si="3"/>
        <v>1250.27</v>
      </c>
      <c r="M21" s="339">
        <f t="shared" si="3"/>
        <v>1250.27</v>
      </c>
      <c r="N21" s="339">
        <f t="shared" si="3"/>
        <v>1250.27</v>
      </c>
      <c r="O21" s="339">
        <f>O19+O20</f>
        <v>1250.27</v>
      </c>
      <c r="P21" s="339">
        <f>P19+P20</f>
        <v>1250.27</v>
      </c>
      <c r="Q21" s="339">
        <f>Q19+Q20</f>
        <v>1250.27</v>
      </c>
      <c r="R21" s="339">
        <f>R19+R20</f>
        <v>15144.780000000002</v>
      </c>
      <c r="S21" s="340"/>
    </row>
    <row r="22" spans="1:22" x14ac:dyDescent="0.2">
      <c r="D22" s="335"/>
      <c r="E22" s="335"/>
      <c r="F22" s="334"/>
      <c r="G22" s="334"/>
      <c r="H22" s="334"/>
      <c r="I22" s="334"/>
      <c r="J22" s="334"/>
      <c r="K22" s="334"/>
      <c r="L22" s="334"/>
      <c r="M22" s="334"/>
      <c r="N22" s="334"/>
      <c r="O22" s="334"/>
      <c r="P22" s="334"/>
      <c r="Q22" s="334"/>
      <c r="R22" s="335"/>
    </row>
    <row r="23" spans="1:22" x14ac:dyDescent="0.2">
      <c r="A23" s="336" t="s">
        <v>1058</v>
      </c>
      <c r="B23" s="336" t="s">
        <v>1050</v>
      </c>
      <c r="D23" s="335"/>
      <c r="E23" s="335"/>
      <c r="F23" s="340">
        <f>F11*F14</f>
        <v>706.32</v>
      </c>
      <c r="G23" s="340">
        <f t="shared" ref="G23:Q23" si="4">G11*G14</f>
        <v>706.32</v>
      </c>
      <c r="H23" s="340">
        <f t="shared" si="4"/>
        <v>706.32</v>
      </c>
      <c r="I23" s="340">
        <f t="shared" si="4"/>
        <v>706.32</v>
      </c>
      <c r="J23" s="340">
        <f t="shared" si="4"/>
        <v>706.31999999999994</v>
      </c>
      <c r="K23" s="340">
        <f t="shared" si="4"/>
        <v>706.32</v>
      </c>
      <c r="L23" s="340">
        <f t="shared" si="4"/>
        <v>693.24</v>
      </c>
      <c r="M23" s="340">
        <f t="shared" si="4"/>
        <v>693.24</v>
      </c>
      <c r="N23" s="340">
        <f t="shared" si="4"/>
        <v>693.24</v>
      </c>
      <c r="O23" s="340">
        <f t="shared" si="4"/>
        <v>693.24</v>
      </c>
      <c r="P23" s="340">
        <f t="shared" si="4"/>
        <v>693.24</v>
      </c>
      <c r="Q23" s="340">
        <f t="shared" si="4"/>
        <v>693.24</v>
      </c>
      <c r="R23" s="665">
        <f>SUM(F23:Q23)</f>
        <v>8397.3599999999988</v>
      </c>
    </row>
    <row r="24" spans="1:22" x14ac:dyDescent="0.2">
      <c r="D24" s="335"/>
      <c r="E24" s="335"/>
      <c r="F24" s="334"/>
      <c r="G24" s="334"/>
      <c r="H24" s="334"/>
      <c r="I24" s="334"/>
      <c r="J24" s="334"/>
      <c r="K24" s="334"/>
      <c r="L24" s="334"/>
      <c r="M24" s="334"/>
      <c r="N24" s="334"/>
      <c r="O24" s="334"/>
      <c r="P24" s="334"/>
      <c r="Q24" s="334"/>
      <c r="R24" s="335"/>
    </row>
    <row r="25" spans="1:22" x14ac:dyDescent="0.2">
      <c r="B25" s="182" t="s">
        <v>953</v>
      </c>
      <c r="C25" s="182"/>
    </row>
    <row r="26" spans="1:22" x14ac:dyDescent="0.2">
      <c r="B26" s="182" t="s">
        <v>5</v>
      </c>
      <c r="C26" s="182"/>
    </row>
    <row r="27" spans="1:22" x14ac:dyDescent="0.2">
      <c r="B27" s="336" t="s">
        <v>1059</v>
      </c>
      <c r="D27" s="336">
        <v>23</v>
      </c>
      <c r="E27" s="336" t="s">
        <v>976</v>
      </c>
      <c r="F27" s="501">
        <f>'JKP-3.1c - Rev Rates GTI10'!F27</f>
        <v>10</v>
      </c>
      <c r="G27" s="501">
        <f>'JKP-3.1c - Rev Rates GTI10'!G27</f>
        <v>10</v>
      </c>
      <c r="H27" s="501">
        <f>'JKP-3.1c - Rev Rates GTI10'!H27</f>
        <v>10</v>
      </c>
      <c r="I27" s="501">
        <f>'JKP-3.1c - Rev Rates GTI10'!I27</f>
        <v>10</v>
      </c>
      <c r="J27" s="501">
        <f>'JKP-3.1c - Rev Rates GTI10'!J27</f>
        <v>10</v>
      </c>
      <c r="K27" s="501">
        <f>'JKP-3.1c - Rev Rates GTI10'!K27</f>
        <v>10</v>
      </c>
      <c r="L27" s="501">
        <f>'JKP-3.1c - Rev Rates GTI10'!L27</f>
        <v>10</v>
      </c>
      <c r="M27" s="501">
        <f>'JKP-3.1c - Rev Rates GTI10'!M27</f>
        <v>10</v>
      </c>
      <c r="N27" s="501">
        <f>'JKP-3.1c - Rev Rates GTI10'!N27</f>
        <v>10</v>
      </c>
      <c r="O27" s="501">
        <f>'JKP-3.1c - Rev Rates GTI10'!O27</f>
        <v>10</v>
      </c>
      <c r="P27" s="501">
        <f>'JKP-3.1c - Rev Rates GTI10'!P27</f>
        <v>10</v>
      </c>
      <c r="Q27" s="501">
        <f>'JKP-3.1c - Rev Rates GTI10'!Q27</f>
        <v>10</v>
      </c>
      <c r="R27" s="435"/>
    </row>
    <row r="28" spans="1:22" x14ac:dyDescent="0.2">
      <c r="B28" s="336" t="s">
        <v>1047</v>
      </c>
      <c r="D28" s="336">
        <v>23</v>
      </c>
      <c r="E28" s="336" t="s">
        <v>957</v>
      </c>
      <c r="F28" s="496">
        <f>'JKP-3.1c - Rev Rates GTI10'!F28</f>
        <v>0.37372</v>
      </c>
      <c r="G28" s="496">
        <f>'JKP-3.1c - Rev Rates GTI10'!G28</f>
        <v>0.37372</v>
      </c>
      <c r="H28" s="496">
        <f>'JKP-3.1c - Rev Rates GTI10'!H28</f>
        <v>0.37372</v>
      </c>
      <c r="I28" s="496">
        <f>'JKP-3.1c - Rev Rates GTI10'!I28</f>
        <v>0.37372</v>
      </c>
      <c r="J28" s="496">
        <f>'JKP-3.1c - Rev Rates GTI10'!J28</f>
        <v>0.37372</v>
      </c>
      <c r="K28" s="496">
        <f>'JKP-3.1c - Rev Rates GTI10'!K28</f>
        <v>0.37372</v>
      </c>
      <c r="L28" s="496">
        <f>'JKP-3.1c - Rev Rates GTI10'!L28</f>
        <v>0.37372</v>
      </c>
      <c r="M28" s="496">
        <f>'JKP-3.1c - Rev Rates GTI10'!M28</f>
        <v>0.37372</v>
      </c>
      <c r="N28" s="496">
        <f>'JKP-3.1c - Rev Rates GTI10'!N28</f>
        <v>0.37372</v>
      </c>
      <c r="O28" s="496">
        <f>'JKP-3.1c - Rev Rates GTI10'!O28</f>
        <v>0.37372</v>
      </c>
      <c r="P28" s="496">
        <f>'JKP-3.1c - Rev Rates GTI10'!P28</f>
        <v>0.37372</v>
      </c>
      <c r="Q28" s="496">
        <f>'JKP-3.1c - Rev Rates GTI10'!Q28</f>
        <v>0.37372</v>
      </c>
      <c r="R28" s="441"/>
    </row>
    <row r="29" spans="1:22" x14ac:dyDescent="0.2">
      <c r="B29" s="415" t="s">
        <v>1067</v>
      </c>
      <c r="D29" s="336">
        <v>101</v>
      </c>
      <c r="E29" s="336" t="s">
        <v>957</v>
      </c>
      <c r="F29" s="496">
        <f>'JKP-3.1c - Rev Rates GTI10'!F29</f>
        <v>0.71972999999999998</v>
      </c>
      <c r="G29" s="496">
        <f>'JKP-3.1c - Rev Rates GTI10'!G29</f>
        <v>0.71972999999999998</v>
      </c>
      <c r="H29" s="496">
        <f>'JKP-3.1c - Rev Rates GTI10'!H29</f>
        <v>0.71972999999999998</v>
      </c>
      <c r="I29" s="496">
        <f>'JKP-3.1c - Rev Rates GTI10'!I29</f>
        <v>0.71972999999999998</v>
      </c>
      <c r="J29" s="496">
        <f>'JKP-3.1c - Rev Rates GTI10'!J29</f>
        <v>0.71972999999999998</v>
      </c>
      <c r="K29" s="496">
        <f>'JKP-3.1c - Rev Rates GTI10'!K29</f>
        <v>0.71972999999999998</v>
      </c>
      <c r="L29" s="496">
        <f>'JKP-3.1c - Rev Rates GTI10'!L29</f>
        <v>0.71972999999999998</v>
      </c>
      <c r="M29" s="496">
        <f>'JKP-3.1c - Rev Rates GTI10'!M29</f>
        <v>0.71972999999999998</v>
      </c>
      <c r="N29" s="496">
        <f>'JKP-3.1c - Rev Rates GTI10'!N29</f>
        <v>0.71972999999999998</v>
      </c>
      <c r="O29" s="496">
        <f>'JKP-3.1c - Rev Rates GTI10'!O29</f>
        <v>0.71972999999999998</v>
      </c>
      <c r="P29" s="496">
        <f>'JKP-3.1c - Rev Rates GTI10'!P29</f>
        <v>0.71972999999999998</v>
      </c>
      <c r="Q29" s="496">
        <f>'JKP-3.1c - Rev Rates GTI10'!Q29</f>
        <v>0.71972999999999998</v>
      </c>
      <c r="R29" s="441"/>
    </row>
    <row r="30" spans="1:22" x14ac:dyDescent="0.2">
      <c r="B30" s="415" t="s">
        <v>1197</v>
      </c>
      <c r="F30" s="496">
        <f>'JKP-3.1c - Rev Rates GTI10'!F30</f>
        <v>0.68861000000000006</v>
      </c>
      <c r="G30" s="496">
        <f>'JKP-3.1c - Rev Rates GTI10'!G30</f>
        <v>0.68861000000000006</v>
      </c>
      <c r="H30" s="496">
        <f>'JKP-3.1c - Rev Rates GTI10'!H30</f>
        <v>0.68861000000000006</v>
      </c>
      <c r="I30" s="496">
        <f>'JKP-3.1c - Rev Rates GTI10'!I30</f>
        <v>0.68861000000000006</v>
      </c>
      <c r="J30" s="496">
        <f>'JKP-3.1c - Rev Rates GTI10'!J30</f>
        <v>0.68861000000000006</v>
      </c>
      <c r="K30" s="496">
        <f>'JKP-3.1c - Rev Rates GTI10'!K30</f>
        <v>0.68861000000000006</v>
      </c>
      <c r="L30" s="496">
        <f>'JKP-3.1c - Rev Rates GTI10'!L30</f>
        <v>0.68861000000000006</v>
      </c>
      <c r="M30" s="496">
        <f>'JKP-3.1c - Rev Rates GTI10'!M30</f>
        <v>0.68861000000000006</v>
      </c>
      <c r="N30" s="496">
        <f>'JKP-3.1c - Rev Rates GTI10'!N30</f>
        <v>0.68861000000000006</v>
      </c>
      <c r="O30" s="496">
        <f>'JKP-3.1c - Rev Rates GTI10'!O30</f>
        <v>0.68861000000000006</v>
      </c>
      <c r="P30" s="496">
        <f>'JKP-3.1c - Rev Rates GTI10'!P30</f>
        <v>0.68861000000000006</v>
      </c>
      <c r="Q30" s="496">
        <f>'JKP-3.1c - Rev Rates GTI10'!Q30</f>
        <v>0.68861000000000006</v>
      </c>
      <c r="R30" s="441"/>
    </row>
    <row r="32" spans="1:22" x14ac:dyDescent="0.2">
      <c r="B32" s="182" t="s">
        <v>982</v>
      </c>
    </row>
    <row r="33" spans="1:18" x14ac:dyDescent="0.2">
      <c r="B33" s="336" t="s">
        <v>67</v>
      </c>
      <c r="E33" s="336" t="s">
        <v>67</v>
      </c>
      <c r="F33" s="421">
        <f>'JKP-3.1c - Data'!C138</f>
        <v>699965</v>
      </c>
      <c r="G33" s="421">
        <f>'JKP-3.1c - Data'!D138</f>
        <v>701215</v>
      </c>
      <c r="H33" s="421">
        <f>'JKP-3.1c - Data'!E138</f>
        <v>702257</v>
      </c>
      <c r="I33" s="421">
        <f>'JKP-3.1c - Data'!F138</f>
        <v>702573</v>
      </c>
      <c r="J33" s="421">
        <f>'JKP-3.1c - Data'!G138</f>
        <v>703246</v>
      </c>
      <c r="K33" s="421">
        <f>'JKP-3.1c - Data'!H138</f>
        <v>704366</v>
      </c>
      <c r="L33" s="421">
        <f>'JKP-3.1c - Data'!I138</f>
        <v>704758</v>
      </c>
      <c r="M33" s="421">
        <f>'JKP-3.1c - Data'!J138</f>
        <v>703964</v>
      </c>
      <c r="N33" s="421">
        <f>'JKP-3.1c - Data'!K138</f>
        <v>705153</v>
      </c>
      <c r="O33" s="421">
        <f>'JKP-3.1c - Data'!L138</f>
        <v>704137</v>
      </c>
      <c r="P33" s="421">
        <f>'JKP-3.1c - Data'!M138</f>
        <v>704666</v>
      </c>
      <c r="Q33" s="421">
        <f>'JKP-3.1c - Data'!N138</f>
        <v>705036</v>
      </c>
      <c r="R33" s="378">
        <f>SUM(F33:Q33)</f>
        <v>8441336</v>
      </c>
    </row>
    <row r="34" spans="1:18" x14ac:dyDescent="0.2">
      <c r="B34" s="336" t="s">
        <v>76</v>
      </c>
      <c r="E34" s="336" t="s">
        <v>10</v>
      </c>
      <c r="F34" s="421">
        <f>'JKP-3.1c - Weather Adj'!D151</f>
        <v>86695171</v>
      </c>
      <c r="G34" s="421">
        <f>'JKP-3.1c - Weather Adj'!E151</f>
        <v>68940933</v>
      </c>
      <c r="H34" s="421">
        <f>'JKP-3.1c - Weather Adj'!F151</f>
        <v>61849675</v>
      </c>
      <c r="I34" s="421">
        <f>'JKP-3.1c - Weather Adj'!G151</f>
        <v>44615309</v>
      </c>
      <c r="J34" s="421">
        <f>'JKP-3.1c - Weather Adj'!H151</f>
        <v>28758422</v>
      </c>
      <c r="K34" s="421">
        <f>'JKP-3.1c - Weather Adj'!I151</f>
        <v>19470630</v>
      </c>
      <c r="L34" s="421">
        <f>'JKP-3.1c - Weather Adj'!J151</f>
        <v>13949021</v>
      </c>
      <c r="M34" s="421">
        <f>'JKP-3.1c - Weather Adj'!K151</f>
        <v>13135550</v>
      </c>
      <c r="N34" s="421">
        <f>'JKP-3.1c - Weather Adj'!L151</f>
        <v>18065576</v>
      </c>
      <c r="O34" s="421">
        <f>'JKP-3.1c - Weather Adj'!M151</f>
        <v>38477158</v>
      </c>
      <c r="P34" s="421">
        <f>'JKP-3.1c - Weather Adj'!N151</f>
        <v>60610432</v>
      </c>
      <c r="Q34" s="421">
        <f>'JKP-3.1c - Weather Adj'!O151</f>
        <v>93457074</v>
      </c>
      <c r="R34" s="378">
        <f>SUM(F34:Q34)</f>
        <v>548024951</v>
      </c>
    </row>
    <row r="35" spans="1:18" x14ac:dyDescent="0.2">
      <c r="R35" s="179"/>
    </row>
    <row r="36" spans="1:18" x14ac:dyDescent="0.2">
      <c r="B36" s="182" t="s">
        <v>985</v>
      </c>
      <c r="R36" s="179"/>
    </row>
    <row r="37" spans="1:18" x14ac:dyDescent="0.2">
      <c r="A37" s="336" t="s">
        <v>1054</v>
      </c>
      <c r="B37" s="336" t="s">
        <v>1059</v>
      </c>
      <c r="D37" s="336">
        <v>23</v>
      </c>
      <c r="F37" s="418">
        <f t="shared" ref="F37:Q38" si="5">F27*F33</f>
        <v>6999650</v>
      </c>
      <c r="G37" s="418">
        <f t="shared" si="5"/>
        <v>7012150</v>
      </c>
      <c r="H37" s="418">
        <f t="shared" si="5"/>
        <v>7022570</v>
      </c>
      <c r="I37" s="418">
        <f t="shared" si="5"/>
        <v>7025730</v>
      </c>
      <c r="J37" s="418">
        <f t="shared" si="5"/>
        <v>7032460</v>
      </c>
      <c r="K37" s="418">
        <f t="shared" si="5"/>
        <v>7043660</v>
      </c>
      <c r="L37" s="418">
        <f t="shared" si="5"/>
        <v>7047580</v>
      </c>
      <c r="M37" s="418">
        <f t="shared" si="5"/>
        <v>7039640</v>
      </c>
      <c r="N37" s="418">
        <f t="shared" si="5"/>
        <v>7051530</v>
      </c>
      <c r="O37" s="418">
        <f t="shared" si="5"/>
        <v>7041370</v>
      </c>
      <c r="P37" s="418">
        <f t="shared" si="5"/>
        <v>7046660</v>
      </c>
      <c r="Q37" s="418">
        <f t="shared" si="5"/>
        <v>7050360</v>
      </c>
      <c r="R37" s="437">
        <f>SUM(F37:Q37)</f>
        <v>84413360</v>
      </c>
    </row>
    <row r="38" spans="1:18" x14ac:dyDescent="0.2">
      <c r="A38" s="336" t="s">
        <v>1054</v>
      </c>
      <c r="B38" s="336" t="s">
        <v>1047</v>
      </c>
      <c r="D38" s="336">
        <v>23</v>
      </c>
      <c r="F38" s="418">
        <f t="shared" si="5"/>
        <v>32399719.306120001</v>
      </c>
      <c r="G38" s="418">
        <f t="shared" si="5"/>
        <v>25764605.480760001</v>
      </c>
      <c r="H38" s="418">
        <f t="shared" si="5"/>
        <v>23114460.541000001</v>
      </c>
      <c r="I38" s="418">
        <f t="shared" si="5"/>
        <v>16673633.279479999</v>
      </c>
      <c r="J38" s="418">
        <f t="shared" si="5"/>
        <v>10747597.469839999</v>
      </c>
      <c r="K38" s="418">
        <f t="shared" si="5"/>
        <v>7276563.8436000003</v>
      </c>
      <c r="L38" s="418">
        <f t="shared" si="5"/>
        <v>5213028.1281199995</v>
      </c>
      <c r="M38" s="418">
        <f t="shared" si="5"/>
        <v>4909017.7460000003</v>
      </c>
      <c r="N38" s="418">
        <f t="shared" si="5"/>
        <v>6751467.0627199998</v>
      </c>
      <c r="O38" s="418">
        <f t="shared" si="5"/>
        <v>14379683.48776</v>
      </c>
      <c r="P38" s="418">
        <f t="shared" si="5"/>
        <v>22651330.647039998</v>
      </c>
      <c r="Q38" s="418">
        <f t="shared" si="5"/>
        <v>34926777.695280001</v>
      </c>
      <c r="R38" s="437">
        <f>SUM(F38:Q38)</f>
        <v>204807884.68772</v>
      </c>
    </row>
    <row r="39" spans="1:18" x14ac:dyDescent="0.2">
      <c r="A39" s="336" t="s">
        <v>1056</v>
      </c>
      <c r="B39" s="415" t="s">
        <v>1057</v>
      </c>
      <c r="D39" s="336">
        <v>101</v>
      </c>
      <c r="F39" s="418">
        <f t="shared" ref="F39:N39" si="6">F29*F34</f>
        <v>62397115.423829995</v>
      </c>
      <c r="G39" s="418">
        <f t="shared" si="6"/>
        <v>49618857.70809</v>
      </c>
      <c r="H39" s="418">
        <f t="shared" si="6"/>
        <v>44515066.587749995</v>
      </c>
      <c r="I39" s="418">
        <f t="shared" si="6"/>
        <v>32110976.34657</v>
      </c>
      <c r="J39" s="418">
        <f t="shared" si="6"/>
        <v>20698299.066059999</v>
      </c>
      <c r="K39" s="418">
        <f t="shared" si="6"/>
        <v>14013596.529899999</v>
      </c>
      <c r="L39" s="418">
        <f t="shared" si="6"/>
        <v>10039528.884329999</v>
      </c>
      <c r="M39" s="418">
        <f t="shared" si="6"/>
        <v>9454049.4014999997</v>
      </c>
      <c r="N39" s="418">
        <f t="shared" si="6"/>
        <v>13002337.01448</v>
      </c>
      <c r="O39" s="418">
        <f>O29*O34</f>
        <v>27693164.927340001</v>
      </c>
      <c r="P39" s="418">
        <f>P29*P34</f>
        <v>43623146.223360002</v>
      </c>
      <c r="Q39" s="418">
        <f>Q29*Q34</f>
        <v>67263859.870020002</v>
      </c>
      <c r="R39" s="437">
        <f>SUM(F39:Q39)</f>
        <v>394429997.98322999</v>
      </c>
    </row>
    <row r="40" spans="1:18" x14ac:dyDescent="0.2">
      <c r="B40" s="336" t="s">
        <v>986</v>
      </c>
      <c r="F40" s="339">
        <f t="shared" ref="F40:N40" si="7">F37+F38+F39</f>
        <v>101796484.72995</v>
      </c>
      <c r="G40" s="339">
        <f t="shared" si="7"/>
        <v>82395613.188850001</v>
      </c>
      <c r="H40" s="339">
        <f t="shared" si="7"/>
        <v>74652097.128749996</v>
      </c>
      <c r="I40" s="339">
        <f t="shared" si="7"/>
        <v>55810339.626049995</v>
      </c>
      <c r="J40" s="339">
        <f t="shared" si="7"/>
        <v>38478356.535899997</v>
      </c>
      <c r="K40" s="339">
        <f t="shared" si="7"/>
        <v>28333820.373500001</v>
      </c>
      <c r="L40" s="339">
        <f t="shared" si="7"/>
        <v>22300137.012449998</v>
      </c>
      <c r="M40" s="339">
        <f t="shared" si="7"/>
        <v>21402707.147500001</v>
      </c>
      <c r="N40" s="339">
        <f t="shared" si="7"/>
        <v>26805334.077200003</v>
      </c>
      <c r="O40" s="339">
        <f>O37+O38+O39</f>
        <v>49114218.415100001</v>
      </c>
      <c r="P40" s="339">
        <f>P37+P38+P39</f>
        <v>73321136.870399997</v>
      </c>
      <c r="Q40" s="339">
        <f>Q37+Q38+Q39</f>
        <v>109240997.5653</v>
      </c>
      <c r="R40" s="339">
        <f>R37+R38+R39</f>
        <v>683651242.67094994</v>
      </c>
    </row>
    <row r="42" spans="1:18" x14ac:dyDescent="0.2">
      <c r="A42" s="336" t="s">
        <v>1058</v>
      </c>
      <c r="B42" s="336" t="s">
        <v>1050</v>
      </c>
      <c r="F42" s="418">
        <f>F30*F34</f>
        <v>59699161.702310003</v>
      </c>
      <c r="G42" s="418">
        <f t="shared" ref="G42:Q42" si="8">G30*G34</f>
        <v>47473415.873130001</v>
      </c>
      <c r="H42" s="418">
        <f t="shared" si="8"/>
        <v>42590304.701750003</v>
      </c>
      <c r="I42" s="418">
        <f t="shared" si="8"/>
        <v>30722547.930490002</v>
      </c>
      <c r="J42" s="418">
        <f t="shared" si="8"/>
        <v>19803336.973420002</v>
      </c>
      <c r="K42" s="418">
        <f t="shared" si="8"/>
        <v>13407670.524300002</v>
      </c>
      <c r="L42" s="418">
        <f t="shared" si="8"/>
        <v>9605435.3508100007</v>
      </c>
      <c r="M42" s="418">
        <f t="shared" si="8"/>
        <v>9045271.0855</v>
      </c>
      <c r="N42" s="418">
        <f t="shared" si="8"/>
        <v>12440136.289360002</v>
      </c>
      <c r="O42" s="418">
        <f t="shared" si="8"/>
        <v>26495755.770380002</v>
      </c>
      <c r="P42" s="418">
        <f t="shared" si="8"/>
        <v>41736949.579520002</v>
      </c>
      <c r="Q42" s="418">
        <f t="shared" si="8"/>
        <v>64355475.727140002</v>
      </c>
      <c r="R42" s="418">
        <f>SUM(F42:Q42)</f>
        <v>377375461.50810999</v>
      </c>
    </row>
    <row r="44" spans="1:18" x14ac:dyDescent="0.2">
      <c r="B44" s="182" t="s">
        <v>1060</v>
      </c>
      <c r="C44" s="182"/>
    </row>
    <row r="45" spans="1:18" x14ac:dyDescent="0.2">
      <c r="B45" s="182" t="s">
        <v>5</v>
      </c>
      <c r="C45" s="182"/>
    </row>
    <row r="46" spans="1:18" x14ac:dyDescent="0.2">
      <c r="B46" s="336" t="s">
        <v>1059</v>
      </c>
      <c r="D46" s="336">
        <v>53</v>
      </c>
      <c r="E46" s="336" t="s">
        <v>976</v>
      </c>
      <c r="F46" s="501">
        <f>'JKP-3.1c - Rev Rates GTI10'!F46</f>
        <v>10</v>
      </c>
      <c r="G46" s="501">
        <f>'JKP-3.1c - Rev Rates GTI10'!G46</f>
        <v>10</v>
      </c>
      <c r="H46" s="501">
        <f>'JKP-3.1c - Rev Rates GTI10'!H46</f>
        <v>10</v>
      </c>
      <c r="I46" s="501">
        <f>'JKP-3.1c - Rev Rates GTI10'!I46</f>
        <v>10</v>
      </c>
      <c r="J46" s="501">
        <f>'JKP-3.1c - Rev Rates GTI10'!J46</f>
        <v>10</v>
      </c>
      <c r="K46" s="501">
        <f>'JKP-3.1c - Rev Rates GTI10'!K46</f>
        <v>10</v>
      </c>
      <c r="L46" s="501">
        <f>'JKP-3.1c - Rev Rates GTI10'!L46</f>
        <v>10</v>
      </c>
      <c r="M46" s="501">
        <f>'JKP-3.1c - Rev Rates GTI10'!M46</f>
        <v>10</v>
      </c>
      <c r="N46" s="501">
        <f>'JKP-3.1c - Rev Rates GTI10'!N46</f>
        <v>10</v>
      </c>
      <c r="O46" s="501">
        <f>'JKP-3.1c - Rev Rates GTI10'!O46</f>
        <v>10</v>
      </c>
      <c r="P46" s="501">
        <f>'JKP-3.1c - Rev Rates GTI10'!P46</f>
        <v>10</v>
      </c>
      <c r="Q46" s="501">
        <f>'JKP-3.1c - Rev Rates GTI10'!Q46</f>
        <v>10</v>
      </c>
      <c r="R46" s="435"/>
    </row>
    <row r="47" spans="1:18" x14ac:dyDescent="0.2">
      <c r="B47" s="336" t="s">
        <v>1047</v>
      </c>
      <c r="D47" s="336">
        <v>53</v>
      </c>
      <c r="E47" s="336" t="s">
        <v>957</v>
      </c>
      <c r="F47" s="496">
        <f>'JKP-3.1c - Rev Rates GTI10'!F47</f>
        <v>0.37372</v>
      </c>
      <c r="G47" s="496">
        <f>'JKP-3.1c - Rev Rates GTI10'!G47</f>
        <v>0.37372</v>
      </c>
      <c r="H47" s="496">
        <f>'JKP-3.1c - Rev Rates GTI10'!H47</f>
        <v>0.37372</v>
      </c>
      <c r="I47" s="496">
        <f>'JKP-3.1c - Rev Rates GTI10'!I47</f>
        <v>0.37372</v>
      </c>
      <c r="J47" s="496">
        <f>'JKP-3.1c - Rev Rates GTI10'!J47</f>
        <v>0.37372</v>
      </c>
      <c r="K47" s="496">
        <f>'JKP-3.1c - Rev Rates GTI10'!K47</f>
        <v>0.37372</v>
      </c>
      <c r="L47" s="496">
        <f>'JKP-3.1c - Rev Rates GTI10'!L47</f>
        <v>0.37372</v>
      </c>
      <c r="M47" s="496">
        <f>'JKP-3.1c - Rev Rates GTI10'!M47</f>
        <v>0.37372</v>
      </c>
      <c r="N47" s="496">
        <f>'JKP-3.1c - Rev Rates GTI10'!N47</f>
        <v>0.37372</v>
      </c>
      <c r="O47" s="496">
        <f>'JKP-3.1c - Rev Rates GTI10'!O47</f>
        <v>0.37372</v>
      </c>
      <c r="P47" s="496">
        <f>'JKP-3.1c - Rev Rates GTI10'!P47</f>
        <v>0.37372</v>
      </c>
      <c r="Q47" s="496">
        <f>'JKP-3.1c - Rev Rates GTI10'!Q47</f>
        <v>0.37372</v>
      </c>
      <c r="R47" s="441"/>
    </row>
    <row r="48" spans="1:18" x14ac:dyDescent="0.2">
      <c r="B48" s="415" t="s">
        <v>1198</v>
      </c>
      <c r="D48" s="336">
        <v>101</v>
      </c>
      <c r="E48" s="336" t="s">
        <v>957</v>
      </c>
      <c r="F48" s="496">
        <f>'JKP-3.1c - Rev Rates GTI10'!F48</f>
        <v>4.0064099999999998</v>
      </c>
      <c r="G48" s="496">
        <f>'JKP-3.1c - Rev Rates GTI10'!G48</f>
        <v>4.0064099999999998</v>
      </c>
      <c r="H48" s="496">
        <f>'JKP-3.1c - Rev Rates GTI10'!H48</f>
        <v>4.0064099999999998</v>
      </c>
      <c r="I48" s="496">
        <f>'JKP-3.1c - Rev Rates GTI10'!I48</f>
        <v>4.0064099999999998</v>
      </c>
      <c r="J48" s="496">
        <f>'JKP-3.1c - Rev Rates GTI10'!J48</f>
        <v>4.0064099999999998</v>
      </c>
      <c r="K48" s="496">
        <f>'JKP-3.1c - Rev Rates GTI10'!K48</f>
        <v>4.0064099999999998</v>
      </c>
      <c r="L48" s="496">
        <f>'JKP-3.1c - Rev Rates GTI10'!L48</f>
        <v>4.0064099999999998</v>
      </c>
      <c r="M48" s="496">
        <f>'JKP-3.1c - Rev Rates GTI10'!M48</f>
        <v>4.0064099999999998</v>
      </c>
      <c r="N48" s="496">
        <f>'JKP-3.1c - Rev Rates GTI10'!N48</f>
        <v>4.0064099999999998</v>
      </c>
      <c r="O48" s="496">
        <f>'JKP-3.1c - Rev Rates GTI10'!O48</f>
        <v>4.0064099999999998</v>
      </c>
      <c r="P48" s="496">
        <f>'JKP-3.1c - Rev Rates GTI10'!P48</f>
        <v>4.0064099999999998</v>
      </c>
      <c r="Q48" s="496">
        <f>'JKP-3.1c - Rev Rates GTI10'!Q48</f>
        <v>4.0064099999999998</v>
      </c>
      <c r="R48" s="441"/>
    </row>
    <row r="49" spans="1:19" x14ac:dyDescent="0.2">
      <c r="B49" s="415"/>
    </row>
    <row r="50" spans="1:19" x14ac:dyDescent="0.2">
      <c r="B50" s="182" t="s">
        <v>982</v>
      </c>
    </row>
    <row r="51" spans="1:19" x14ac:dyDescent="0.2">
      <c r="B51" s="336" t="s">
        <v>67</v>
      </c>
      <c r="E51" s="336" t="s">
        <v>67</v>
      </c>
      <c r="F51" s="421">
        <f>'JKP-3.1c - Data'!C145</f>
        <v>5</v>
      </c>
      <c r="G51" s="421">
        <f>'JKP-3.1c - Data'!D145</f>
        <v>5</v>
      </c>
      <c r="H51" s="421">
        <f>'JKP-3.1c - Data'!E145</f>
        <v>5</v>
      </c>
      <c r="I51" s="421">
        <f>'JKP-3.1c - Data'!F145</f>
        <v>5</v>
      </c>
      <c r="J51" s="421">
        <f>'JKP-3.1c - Data'!G145</f>
        <v>5</v>
      </c>
      <c r="K51" s="421">
        <f>'JKP-3.1c - Data'!H145</f>
        <v>5</v>
      </c>
      <c r="L51" s="421">
        <f>'JKP-3.1c - Data'!I145</f>
        <v>6</v>
      </c>
      <c r="M51" s="421">
        <f>'JKP-3.1c - Data'!J145</f>
        <v>6</v>
      </c>
      <c r="N51" s="421">
        <f>'JKP-3.1c - Data'!K145</f>
        <v>5</v>
      </c>
      <c r="O51" s="421">
        <f>'JKP-3.1c - Data'!L145</f>
        <v>5</v>
      </c>
      <c r="P51" s="421">
        <f>'JKP-3.1c - Data'!M145</f>
        <v>5</v>
      </c>
      <c r="Q51" s="421">
        <f>'JKP-3.1c - Data'!N145</f>
        <v>4</v>
      </c>
      <c r="R51" s="378">
        <f>SUM(F51:Q51)</f>
        <v>61</v>
      </c>
    </row>
    <row r="52" spans="1:19" x14ac:dyDescent="0.2">
      <c r="B52" s="336" t="s">
        <v>76</v>
      </c>
      <c r="E52" s="336" t="s">
        <v>10</v>
      </c>
      <c r="F52" s="421">
        <f>'JKP-3.1c - Weather Adj'!D164</f>
        <v>205</v>
      </c>
      <c r="G52" s="421">
        <f>'JKP-3.1c - Weather Adj'!E164</f>
        <v>216</v>
      </c>
      <c r="H52" s="421">
        <f>'JKP-3.1c - Weather Adj'!F164</f>
        <v>301</v>
      </c>
      <c r="I52" s="421">
        <f>'JKP-3.1c - Weather Adj'!G164</f>
        <v>219</v>
      </c>
      <c r="J52" s="421">
        <f>'JKP-3.1c - Weather Adj'!H164</f>
        <v>145</v>
      </c>
      <c r="K52" s="421">
        <f>'JKP-3.1c - Weather Adj'!I164</f>
        <v>107</v>
      </c>
      <c r="L52" s="421">
        <f>'JKP-3.1c - Weather Adj'!J164</f>
        <v>89</v>
      </c>
      <c r="M52" s="421">
        <f>'JKP-3.1c - Weather Adj'!K164</f>
        <v>86</v>
      </c>
      <c r="N52" s="421">
        <f>'JKP-3.1c - Weather Adj'!L164</f>
        <v>84</v>
      </c>
      <c r="O52" s="421">
        <f>'JKP-3.1c - Weather Adj'!M164</f>
        <v>160</v>
      </c>
      <c r="P52" s="421">
        <f>'JKP-3.1c - Weather Adj'!N164</f>
        <v>222</v>
      </c>
      <c r="Q52" s="421">
        <f>'JKP-3.1c - Weather Adj'!O164</f>
        <v>280</v>
      </c>
      <c r="R52" s="378">
        <f>SUM(F52:Q52)</f>
        <v>2114</v>
      </c>
    </row>
    <row r="53" spans="1:19" x14ac:dyDescent="0.2">
      <c r="R53" s="179"/>
    </row>
    <row r="54" spans="1:19" x14ac:dyDescent="0.2">
      <c r="B54" s="182" t="s">
        <v>985</v>
      </c>
      <c r="R54" s="179"/>
    </row>
    <row r="55" spans="1:19" x14ac:dyDescent="0.2">
      <c r="A55" s="336" t="s">
        <v>1054</v>
      </c>
      <c r="B55" s="336" t="s">
        <v>1059</v>
      </c>
      <c r="D55" s="336">
        <v>53</v>
      </c>
      <c r="F55" s="418">
        <f t="shared" ref="F55:Q56" si="9">F46*F51</f>
        <v>50</v>
      </c>
      <c r="G55" s="418">
        <f t="shared" si="9"/>
        <v>50</v>
      </c>
      <c r="H55" s="418">
        <f t="shared" si="9"/>
        <v>50</v>
      </c>
      <c r="I55" s="418">
        <f t="shared" si="9"/>
        <v>50</v>
      </c>
      <c r="J55" s="418">
        <f t="shared" si="9"/>
        <v>50</v>
      </c>
      <c r="K55" s="418">
        <f t="shared" si="9"/>
        <v>50</v>
      </c>
      <c r="L55" s="418">
        <f t="shared" si="9"/>
        <v>60</v>
      </c>
      <c r="M55" s="418">
        <f t="shared" si="9"/>
        <v>60</v>
      </c>
      <c r="N55" s="418">
        <f t="shared" si="9"/>
        <v>50</v>
      </c>
      <c r="O55" s="418">
        <f t="shared" si="9"/>
        <v>50</v>
      </c>
      <c r="P55" s="418">
        <f t="shared" si="9"/>
        <v>50</v>
      </c>
      <c r="Q55" s="418">
        <f t="shared" si="9"/>
        <v>40</v>
      </c>
      <c r="R55" s="437">
        <f>SUM(F55:Q55)</f>
        <v>610</v>
      </c>
    </row>
    <row r="56" spans="1:19" x14ac:dyDescent="0.2">
      <c r="A56" s="336" t="s">
        <v>1054</v>
      </c>
      <c r="B56" s="336" t="s">
        <v>1047</v>
      </c>
      <c r="D56" s="336">
        <v>53</v>
      </c>
      <c r="F56" s="418">
        <f t="shared" si="9"/>
        <v>76.6126</v>
      </c>
      <c r="G56" s="418">
        <f t="shared" si="9"/>
        <v>80.723519999999994</v>
      </c>
      <c r="H56" s="418">
        <f t="shared" si="9"/>
        <v>112.48972000000001</v>
      </c>
      <c r="I56" s="418">
        <f t="shared" si="9"/>
        <v>81.844679999999997</v>
      </c>
      <c r="J56" s="418">
        <f t="shared" si="9"/>
        <v>54.189399999999999</v>
      </c>
      <c r="K56" s="418">
        <f t="shared" si="9"/>
        <v>39.988039999999998</v>
      </c>
      <c r="L56" s="418">
        <f t="shared" si="9"/>
        <v>33.26108</v>
      </c>
      <c r="M56" s="418">
        <f t="shared" si="9"/>
        <v>32.139919999999996</v>
      </c>
      <c r="N56" s="418">
        <f t="shared" si="9"/>
        <v>31.392479999999999</v>
      </c>
      <c r="O56" s="418">
        <f t="shared" si="9"/>
        <v>59.795200000000001</v>
      </c>
      <c r="P56" s="418">
        <f t="shared" si="9"/>
        <v>82.96584</v>
      </c>
      <c r="Q56" s="418">
        <f t="shared" si="9"/>
        <v>104.6416</v>
      </c>
      <c r="R56" s="437">
        <f>SUM(F56:Q56)</f>
        <v>790.04408000000001</v>
      </c>
    </row>
    <row r="57" spans="1:19" x14ac:dyDescent="0.2">
      <c r="A57" s="336" t="s">
        <v>1056</v>
      </c>
      <c r="B57" s="336" t="s">
        <v>1061</v>
      </c>
      <c r="D57" s="336">
        <v>101</v>
      </c>
      <c r="F57" s="418">
        <f t="shared" ref="F57:N57" si="10">F48*F52</f>
        <v>821.31404999999995</v>
      </c>
      <c r="G57" s="418">
        <f t="shared" si="10"/>
        <v>865.38455999999996</v>
      </c>
      <c r="H57" s="418">
        <f t="shared" si="10"/>
        <v>1205.92941</v>
      </c>
      <c r="I57" s="418">
        <f t="shared" si="10"/>
        <v>877.40378999999996</v>
      </c>
      <c r="J57" s="418">
        <f t="shared" si="10"/>
        <v>580.92944999999997</v>
      </c>
      <c r="K57" s="418">
        <f t="shared" si="10"/>
        <v>428.68586999999997</v>
      </c>
      <c r="L57" s="418">
        <f t="shared" si="10"/>
        <v>356.57049000000001</v>
      </c>
      <c r="M57" s="418">
        <f t="shared" si="10"/>
        <v>344.55125999999996</v>
      </c>
      <c r="N57" s="418">
        <f t="shared" si="10"/>
        <v>336.53843999999998</v>
      </c>
      <c r="O57" s="418">
        <f>O48*O52</f>
        <v>641.02559999999994</v>
      </c>
      <c r="P57" s="418">
        <f>P48*P52</f>
        <v>889.42301999999995</v>
      </c>
      <c r="Q57" s="418">
        <f>Q48*Q52</f>
        <v>1121.7947999999999</v>
      </c>
      <c r="R57" s="437">
        <f>SUM(F57:Q57)</f>
        <v>8469.5507400000006</v>
      </c>
    </row>
    <row r="58" spans="1:19" x14ac:dyDescent="0.2">
      <c r="B58" s="336" t="s">
        <v>986</v>
      </c>
      <c r="F58" s="339">
        <f t="shared" ref="F58:N58" si="11">F56+F57+F55</f>
        <v>947.92665</v>
      </c>
      <c r="G58" s="339">
        <f t="shared" si="11"/>
        <v>996.10807999999997</v>
      </c>
      <c r="H58" s="339">
        <f t="shared" si="11"/>
        <v>1368.41913</v>
      </c>
      <c r="I58" s="339">
        <f t="shared" si="11"/>
        <v>1009.24847</v>
      </c>
      <c r="J58" s="339">
        <f t="shared" si="11"/>
        <v>685.11884999999995</v>
      </c>
      <c r="K58" s="339">
        <f t="shared" si="11"/>
        <v>518.67390999999998</v>
      </c>
      <c r="L58" s="339">
        <f t="shared" si="11"/>
        <v>449.83157</v>
      </c>
      <c r="M58" s="339">
        <f t="shared" si="11"/>
        <v>436.69117999999997</v>
      </c>
      <c r="N58" s="339">
        <f t="shared" si="11"/>
        <v>417.93091999999996</v>
      </c>
      <c r="O58" s="339">
        <f>O56+O57+O55</f>
        <v>750.82079999999996</v>
      </c>
      <c r="P58" s="339">
        <f>P56+P57+P55</f>
        <v>1022.3888599999999</v>
      </c>
      <c r="Q58" s="339">
        <f>Q56+Q57+Q55</f>
        <v>1266.4363999999998</v>
      </c>
      <c r="R58" s="339">
        <f>R56+R57+R55</f>
        <v>9869.5948200000003</v>
      </c>
      <c r="S58" s="340"/>
    </row>
    <row r="59" spans="1:19" x14ac:dyDescent="0.2">
      <c r="F59" s="418"/>
      <c r="G59" s="418"/>
      <c r="H59" s="418"/>
      <c r="I59" s="418"/>
      <c r="J59" s="418"/>
      <c r="K59" s="418"/>
      <c r="L59" s="418"/>
      <c r="M59" s="418"/>
      <c r="N59" s="418"/>
      <c r="O59" s="418"/>
      <c r="P59" s="418"/>
      <c r="Q59" s="418"/>
      <c r="R59" s="437"/>
    </row>
    <row r="60" spans="1:19" x14ac:dyDescent="0.2">
      <c r="A60" s="336" t="s">
        <v>1058</v>
      </c>
      <c r="B60" s="336" t="s">
        <v>1050</v>
      </c>
      <c r="F60" s="418">
        <f>F48*F52</f>
        <v>821.31404999999995</v>
      </c>
      <c r="G60" s="418">
        <f t="shared" ref="G60:Q60" si="12">G48*G52</f>
        <v>865.38455999999996</v>
      </c>
      <c r="H60" s="418">
        <f t="shared" si="12"/>
        <v>1205.92941</v>
      </c>
      <c r="I60" s="418">
        <f t="shared" si="12"/>
        <v>877.40378999999996</v>
      </c>
      <c r="J60" s="418">
        <f t="shared" si="12"/>
        <v>580.92944999999997</v>
      </c>
      <c r="K60" s="418">
        <f t="shared" si="12"/>
        <v>428.68586999999997</v>
      </c>
      <c r="L60" s="418">
        <f t="shared" si="12"/>
        <v>356.57049000000001</v>
      </c>
      <c r="M60" s="418">
        <f t="shared" si="12"/>
        <v>344.55125999999996</v>
      </c>
      <c r="N60" s="418">
        <f t="shared" si="12"/>
        <v>336.53843999999998</v>
      </c>
      <c r="O60" s="418">
        <f t="shared" si="12"/>
        <v>641.02559999999994</v>
      </c>
      <c r="P60" s="418">
        <f t="shared" si="12"/>
        <v>889.42301999999995</v>
      </c>
      <c r="Q60" s="418">
        <f t="shared" si="12"/>
        <v>1121.7947999999999</v>
      </c>
      <c r="R60" s="437">
        <f>SUM(F60:Q60)</f>
        <v>8469.5507400000006</v>
      </c>
    </row>
    <row r="61" spans="1:19" x14ac:dyDescent="0.2">
      <c r="F61" s="418"/>
      <c r="G61" s="418"/>
      <c r="H61" s="418"/>
      <c r="I61" s="418"/>
      <c r="J61" s="418"/>
      <c r="K61" s="418"/>
      <c r="L61" s="418"/>
      <c r="M61" s="418"/>
      <c r="N61" s="418"/>
      <c r="O61" s="418"/>
      <c r="P61" s="418"/>
      <c r="Q61" s="418"/>
      <c r="R61" s="437"/>
    </row>
    <row r="62" spans="1:19" x14ac:dyDescent="0.2">
      <c r="B62" s="182" t="s">
        <v>1062</v>
      </c>
    </row>
    <row r="63" spans="1:19" x14ac:dyDescent="0.2">
      <c r="B63" s="182" t="s">
        <v>5</v>
      </c>
    </row>
    <row r="64" spans="1:19" x14ac:dyDescent="0.2">
      <c r="B64" s="336" t="s">
        <v>1063</v>
      </c>
      <c r="D64" s="336">
        <v>61</v>
      </c>
      <c r="E64" s="336" t="s">
        <v>1064</v>
      </c>
      <c r="F64" s="501">
        <f>'JKP-3.1c - Rev Rates PGA Nov10'!F64</f>
        <v>0.1</v>
      </c>
      <c r="G64" s="501">
        <f>'JKP-3.1c - Rev Rates PGA Nov10'!G64</f>
        <v>0.1</v>
      </c>
      <c r="H64" s="501">
        <f>'JKP-3.1c - Rev Rates PGA Nov10'!H64</f>
        <v>0.1</v>
      </c>
      <c r="I64" s="501">
        <f>'JKP-3.1c - Rev Rates PGA Nov10'!I64</f>
        <v>0.1</v>
      </c>
      <c r="J64" s="501">
        <f>'JKP-3.1c - Rev Rates PGA Nov10'!J64</f>
        <v>0.1</v>
      </c>
      <c r="K64" s="501">
        <f>'JKP-3.1c - Rev Rates PGA Nov10'!K64</f>
        <v>0.1</v>
      </c>
      <c r="L64" s="501">
        <f>'JKP-3.1c - Rev Rates PGA Nov10'!L64</f>
        <v>0.1</v>
      </c>
      <c r="M64" s="501">
        <f>'JKP-3.1c - Rev Rates PGA Nov10'!M64</f>
        <v>0.1</v>
      </c>
      <c r="N64" s="501">
        <f>'JKP-3.1c - Rev Rates PGA Nov10'!N64</f>
        <v>0.1</v>
      </c>
      <c r="O64" s="501">
        <f>'JKP-3.1c - Rev Rates PGA Nov10'!O64</f>
        <v>0.1</v>
      </c>
      <c r="P64" s="501">
        <f>'JKP-3.1c - Rev Rates PGA Nov10'!P64</f>
        <v>0.1</v>
      </c>
      <c r="Q64" s="501">
        <f>'JKP-3.1c - Rev Rates PGA Nov10'!Q64</f>
        <v>0.1</v>
      </c>
    </row>
    <row r="66" spans="1:19" x14ac:dyDescent="0.2">
      <c r="B66" s="182" t="s">
        <v>982</v>
      </c>
    </row>
    <row r="67" spans="1:19" x14ac:dyDescent="0.2">
      <c r="B67" s="336" t="s">
        <v>74</v>
      </c>
      <c r="F67" s="421">
        <f>'JKP-3.1c - Data'!C131</f>
        <v>4027</v>
      </c>
      <c r="G67" s="421">
        <f>'JKP-3.1c - Data'!D131</f>
        <v>4027</v>
      </c>
      <c r="H67" s="421">
        <f>'JKP-3.1c - Data'!E131</f>
        <v>4027</v>
      </c>
      <c r="I67" s="421">
        <f>'JKP-3.1c - Data'!F131</f>
        <v>4027</v>
      </c>
      <c r="J67" s="421">
        <f>'JKP-3.1c - Data'!G131</f>
        <v>4027</v>
      </c>
      <c r="K67" s="421">
        <f>'JKP-3.1c - Data'!H131</f>
        <v>4027</v>
      </c>
      <c r="L67" s="421">
        <f>'JKP-3.1c - Data'!I131</f>
        <v>4027</v>
      </c>
      <c r="M67" s="421">
        <f>'JKP-3.1c - Data'!J131</f>
        <v>4027</v>
      </c>
      <c r="N67" s="421">
        <f>'JKP-3.1c - Data'!K131</f>
        <v>4027</v>
      </c>
      <c r="O67" s="421">
        <f>'JKP-3.1c - Data'!L131</f>
        <v>4027</v>
      </c>
      <c r="P67" s="421">
        <f>'JKP-3.1c - Data'!M131</f>
        <v>4027</v>
      </c>
      <c r="Q67" s="421">
        <f>'JKP-3.1c - Data'!N131</f>
        <v>4027</v>
      </c>
      <c r="R67" s="362">
        <f>SUM(F67:Q67)</f>
        <v>48324</v>
      </c>
    </row>
    <row r="69" spans="1:19" x14ac:dyDescent="0.2">
      <c r="B69" s="182" t="s">
        <v>985</v>
      </c>
    </row>
    <row r="70" spans="1:19" x14ac:dyDescent="0.2">
      <c r="A70" s="336" t="s">
        <v>1054</v>
      </c>
      <c r="B70" s="336" t="s">
        <v>1063</v>
      </c>
      <c r="F70" s="418">
        <f t="shared" ref="F70:N70" si="13">F64*F67</f>
        <v>402.70000000000005</v>
      </c>
      <c r="G70" s="418">
        <f t="shared" si="13"/>
        <v>402.70000000000005</v>
      </c>
      <c r="H70" s="418">
        <f t="shared" si="13"/>
        <v>402.70000000000005</v>
      </c>
      <c r="I70" s="418">
        <f t="shared" si="13"/>
        <v>402.70000000000005</v>
      </c>
      <c r="J70" s="418">
        <f t="shared" si="13"/>
        <v>402.70000000000005</v>
      </c>
      <c r="K70" s="418">
        <f t="shared" si="13"/>
        <v>402.70000000000005</v>
      </c>
      <c r="L70" s="418">
        <f t="shared" si="13"/>
        <v>402.70000000000005</v>
      </c>
      <c r="M70" s="418">
        <f t="shared" si="13"/>
        <v>402.70000000000005</v>
      </c>
      <c r="N70" s="418">
        <f t="shared" si="13"/>
        <v>402.70000000000005</v>
      </c>
      <c r="O70" s="418">
        <f>O64*O67</f>
        <v>402.70000000000005</v>
      </c>
      <c r="P70" s="418">
        <f>P64*P67</f>
        <v>402.70000000000005</v>
      </c>
      <c r="Q70" s="418">
        <f>Q64*Q67</f>
        <v>402.70000000000005</v>
      </c>
      <c r="R70" s="418">
        <f>SUM(F70:Q70)</f>
        <v>4832.3999999999996</v>
      </c>
    </row>
    <row r="71" spans="1:19" x14ac:dyDescent="0.2">
      <c r="F71" s="340"/>
      <c r="G71" s="340"/>
      <c r="H71" s="340"/>
      <c r="I71" s="340"/>
      <c r="J71" s="340"/>
      <c r="K71" s="340"/>
      <c r="L71" s="340"/>
      <c r="M71" s="340"/>
      <c r="N71" s="340"/>
      <c r="O71" s="340"/>
      <c r="P71" s="340"/>
      <c r="Q71" s="340"/>
      <c r="R71" s="340"/>
    </row>
    <row r="72" spans="1:19" x14ac:dyDescent="0.2">
      <c r="B72" s="182" t="s">
        <v>967</v>
      </c>
      <c r="C72" s="182"/>
    </row>
    <row r="73" spans="1:19" x14ac:dyDescent="0.2">
      <c r="B73" s="182" t="s">
        <v>5</v>
      </c>
      <c r="C73" s="182"/>
    </row>
    <row r="74" spans="1:19" x14ac:dyDescent="0.2">
      <c r="B74" s="336" t="s">
        <v>1059</v>
      </c>
      <c r="D74" s="336">
        <v>31</v>
      </c>
      <c r="E74" s="336" t="s">
        <v>976</v>
      </c>
      <c r="F74" s="501">
        <f>'JKP-3.1c - Rev Rates GTI10'!F74</f>
        <v>32.32</v>
      </c>
      <c r="G74" s="501">
        <f>'JKP-3.1c - Rev Rates GTI10'!G74</f>
        <v>32.32</v>
      </c>
      <c r="H74" s="501">
        <f>'JKP-3.1c - Rev Rates GTI10'!H74</f>
        <v>32.32</v>
      </c>
      <c r="I74" s="501">
        <f>'JKP-3.1c - Rev Rates GTI10'!I74</f>
        <v>32.32</v>
      </c>
      <c r="J74" s="501">
        <f>'JKP-3.1c - Rev Rates GTI10'!J74</f>
        <v>32.32</v>
      </c>
      <c r="K74" s="501">
        <f>'JKP-3.1c - Rev Rates GTI10'!K74</f>
        <v>32.32</v>
      </c>
      <c r="L74" s="501">
        <f>'JKP-3.1c - Rev Rates GTI10'!L74</f>
        <v>32.32</v>
      </c>
      <c r="M74" s="501">
        <f>'JKP-3.1c - Rev Rates GTI10'!M74</f>
        <v>32.32</v>
      </c>
      <c r="N74" s="501">
        <f>'JKP-3.1c - Rev Rates GTI10'!N74</f>
        <v>32.32</v>
      </c>
      <c r="O74" s="501">
        <f>'JKP-3.1c - Rev Rates GTI10'!O74</f>
        <v>32.32</v>
      </c>
      <c r="P74" s="501">
        <f>'JKP-3.1c - Rev Rates GTI10'!P74</f>
        <v>32.32</v>
      </c>
      <c r="Q74" s="501">
        <f>'JKP-3.1c - Rev Rates GTI10'!Q74</f>
        <v>32.32</v>
      </c>
      <c r="R74" s="435"/>
    </row>
    <row r="75" spans="1:19" x14ac:dyDescent="0.2">
      <c r="B75" s="336" t="s">
        <v>1047</v>
      </c>
      <c r="D75" s="336">
        <v>31</v>
      </c>
      <c r="E75" s="336" t="s">
        <v>957</v>
      </c>
      <c r="F75" s="496">
        <f>'JKP-3.1c - Rev Rates GTI10'!F75</f>
        <v>0.31526999999999999</v>
      </c>
      <c r="G75" s="496">
        <f>'JKP-3.1c - Rev Rates GTI10'!G75</f>
        <v>0.31526999999999999</v>
      </c>
      <c r="H75" s="496">
        <f>'JKP-3.1c - Rev Rates GTI10'!H75</f>
        <v>0.31526999999999999</v>
      </c>
      <c r="I75" s="496">
        <f>'JKP-3.1c - Rev Rates GTI10'!I75</f>
        <v>0.31526999999999999</v>
      </c>
      <c r="J75" s="496">
        <f>'JKP-3.1c - Rev Rates GTI10'!J75</f>
        <v>0.31526999999999999</v>
      </c>
      <c r="K75" s="496">
        <f>'JKP-3.1c - Rev Rates GTI10'!K75</f>
        <v>0.31526999999999999</v>
      </c>
      <c r="L75" s="496">
        <f>'JKP-3.1c - Rev Rates GTI10'!L75</f>
        <v>0.31526999999999999</v>
      </c>
      <c r="M75" s="496">
        <f>'JKP-3.1c - Rev Rates GTI10'!M75</f>
        <v>0.31526999999999999</v>
      </c>
      <c r="N75" s="496">
        <f>'JKP-3.1c - Rev Rates GTI10'!N75</f>
        <v>0.31526999999999999</v>
      </c>
      <c r="O75" s="496">
        <f>'JKP-3.1c - Rev Rates GTI10'!O75</f>
        <v>0.31526999999999999</v>
      </c>
      <c r="P75" s="496">
        <f>'JKP-3.1c - Rev Rates GTI10'!P75</f>
        <v>0.31526999999999999</v>
      </c>
      <c r="Q75" s="496">
        <f>'JKP-3.1c - Rev Rates GTI10'!Q75</f>
        <v>0.31526999999999999</v>
      </c>
      <c r="R75" s="441"/>
    </row>
    <row r="76" spans="1:19" x14ac:dyDescent="0.2">
      <c r="B76" s="415" t="s">
        <v>1067</v>
      </c>
      <c r="D76" s="336">
        <v>101</v>
      </c>
      <c r="E76" s="336" t="s">
        <v>957</v>
      </c>
      <c r="F76" s="496">
        <f>'JKP-3.1c - Rev Rates GTI10'!F76</f>
        <v>0.71392999999999995</v>
      </c>
      <c r="G76" s="496">
        <f>'JKP-3.1c - Rev Rates GTI10'!G76</f>
        <v>0.71392999999999995</v>
      </c>
      <c r="H76" s="496">
        <f>'JKP-3.1c - Rev Rates GTI10'!H76</f>
        <v>0.71392999999999995</v>
      </c>
      <c r="I76" s="496">
        <f>'JKP-3.1c - Rev Rates GTI10'!I76</f>
        <v>0.71392999999999995</v>
      </c>
      <c r="J76" s="496">
        <f>'JKP-3.1c - Rev Rates GTI10'!J76</f>
        <v>0.71392999999999995</v>
      </c>
      <c r="K76" s="496">
        <f>'JKP-3.1c - Rev Rates GTI10'!K76</f>
        <v>0.71392999999999995</v>
      </c>
      <c r="L76" s="496">
        <f>'JKP-3.1c - Rev Rates GTI10'!L76</f>
        <v>0.71392999999999995</v>
      </c>
      <c r="M76" s="496">
        <f>'JKP-3.1c - Rev Rates GTI10'!M76</f>
        <v>0.71392999999999995</v>
      </c>
      <c r="N76" s="496">
        <f>'JKP-3.1c - Rev Rates GTI10'!N76</f>
        <v>0.71392999999999995</v>
      </c>
      <c r="O76" s="496">
        <f>'JKP-3.1c - Rev Rates GTI10'!O76</f>
        <v>0.71392999999999995</v>
      </c>
      <c r="P76" s="496">
        <f>'JKP-3.1c - Rev Rates GTI10'!P76</f>
        <v>0.71392999999999995</v>
      </c>
      <c r="Q76" s="496">
        <f>'JKP-3.1c - Rev Rates GTI10'!Q76</f>
        <v>0.71392999999999995</v>
      </c>
      <c r="R76" s="441"/>
    </row>
    <row r="77" spans="1:19" x14ac:dyDescent="0.2">
      <c r="B77" s="415" t="s">
        <v>1197</v>
      </c>
      <c r="F77" s="496">
        <f>'JKP-3.1c - Rev Rates GTI10'!F77</f>
        <v>0.68306</v>
      </c>
      <c r="G77" s="496">
        <f>'JKP-3.1c - Rev Rates GTI10'!G77</f>
        <v>0.68306</v>
      </c>
      <c r="H77" s="496">
        <f>'JKP-3.1c - Rev Rates GTI10'!H77</f>
        <v>0.68306</v>
      </c>
      <c r="I77" s="496">
        <f>'JKP-3.1c - Rev Rates GTI10'!I77</f>
        <v>0.68306</v>
      </c>
      <c r="J77" s="496">
        <f>'JKP-3.1c - Rev Rates GTI10'!J77</f>
        <v>0.68306</v>
      </c>
      <c r="K77" s="496">
        <f>'JKP-3.1c - Rev Rates GTI10'!K77</f>
        <v>0.68306</v>
      </c>
      <c r="L77" s="496">
        <f>'JKP-3.1c - Rev Rates GTI10'!L77</f>
        <v>0.68306</v>
      </c>
      <c r="M77" s="496">
        <f>'JKP-3.1c - Rev Rates GTI10'!M77</f>
        <v>0.68306</v>
      </c>
      <c r="N77" s="496">
        <f>'JKP-3.1c - Rev Rates GTI10'!N77</f>
        <v>0.68306</v>
      </c>
      <c r="O77" s="496">
        <f>'JKP-3.1c - Rev Rates GTI10'!O77</f>
        <v>0.68306</v>
      </c>
      <c r="P77" s="496">
        <f>'JKP-3.1c - Rev Rates GTI10'!P77</f>
        <v>0.68306</v>
      </c>
      <c r="Q77" s="496">
        <f>'JKP-3.1c - Rev Rates GTI10'!Q77</f>
        <v>0.68306</v>
      </c>
      <c r="R77" s="441"/>
    </row>
    <row r="79" spans="1:19" x14ac:dyDescent="0.2">
      <c r="B79" s="182" t="s">
        <v>982</v>
      </c>
    </row>
    <row r="80" spans="1:19" x14ac:dyDescent="0.2">
      <c r="B80" s="336" t="s">
        <v>67</v>
      </c>
      <c r="E80" s="336" t="s">
        <v>67</v>
      </c>
      <c r="F80" s="421">
        <f>'JKP-3.1c - Data'!C139+'JKP-3.1c - 41T 86T Migrat Adj'!B50+'JKP-3.1c - 41 Min Migration Adj'!B36</f>
        <v>53130</v>
      </c>
      <c r="G80" s="421">
        <f>'JKP-3.1c - Data'!D139+'JKP-3.1c - 41T 86T Migrat Adj'!C50+'JKP-3.1c - 41 Min Migration Adj'!C36</f>
        <v>53082</v>
      </c>
      <c r="H80" s="421">
        <f>'JKP-3.1c - Data'!E139+'JKP-3.1c - 41T 86T Migrat Adj'!D50+'JKP-3.1c - 41 Min Migration Adj'!D36</f>
        <v>53046</v>
      </c>
      <c r="I80" s="421">
        <f>'JKP-3.1c - Data'!F139+'JKP-3.1c - 41T 86T Migrat Adj'!E50+'JKP-3.1c - 41 Min Migration Adj'!E36</f>
        <v>52997</v>
      </c>
      <c r="J80" s="421">
        <f>'JKP-3.1c - Data'!G139+'JKP-3.1c - 41T 86T Migrat Adj'!F50+'JKP-3.1c - 41 Min Migration Adj'!F36</f>
        <v>52868</v>
      </c>
      <c r="K80" s="421">
        <f>'JKP-3.1c - Data'!H139+'JKP-3.1c - 41T 86T Migrat Adj'!G50+'JKP-3.1c - 41 Min Migration Adj'!G36</f>
        <v>52779</v>
      </c>
      <c r="L80" s="421">
        <f>'JKP-3.1c - Data'!I139+'JKP-3.1c - 41T 86T Migrat Adj'!H50+'JKP-3.1c - 41 Min Migration Adj'!H36</f>
        <v>52744</v>
      </c>
      <c r="M80" s="421">
        <f>'JKP-3.1c - Data'!J139+'JKP-3.1c - 41T 86T Migrat Adj'!I50+'JKP-3.1c - 41 Min Migration Adj'!I36</f>
        <v>52706</v>
      </c>
      <c r="N80" s="421">
        <f>'JKP-3.1c - Data'!K139+'JKP-3.1c - 41T 86T Migrat Adj'!J50+'JKP-3.1c - 41 Min Migration Adj'!J36</f>
        <v>52693</v>
      </c>
      <c r="O80" s="421">
        <f>'JKP-3.1c - Data'!L139+'JKP-3.1c - 41T 86T Migrat Adj'!K50+'JKP-3.1c - 41 Min Migration Adj'!K36</f>
        <v>52800</v>
      </c>
      <c r="P80" s="421">
        <f>'JKP-3.1c - Data'!M139+'JKP-3.1c - 41T 86T Migrat Adj'!L50+'JKP-3.1c - 41 Min Migration Adj'!L36</f>
        <v>52773</v>
      </c>
      <c r="Q80" s="421">
        <f>'JKP-3.1c - Data'!N139+'JKP-3.1c - 41T 86T Migrat Adj'!M50+'JKP-3.1c - 41 Min Migration Adj'!M36</f>
        <v>52888</v>
      </c>
      <c r="R80" s="378">
        <f>SUM(F80:Q80)</f>
        <v>634506</v>
      </c>
      <c r="S80" s="506"/>
    </row>
    <row r="81" spans="1:249" x14ac:dyDescent="0.2">
      <c r="B81" s="336" t="s">
        <v>76</v>
      </c>
      <c r="E81" s="336" t="s">
        <v>10</v>
      </c>
      <c r="F81" s="421">
        <f>'JKP-3.1c - Weather Adj'!D152</f>
        <v>27566601</v>
      </c>
      <c r="G81" s="421">
        <f>'JKP-3.1c - Weather Adj'!E152</f>
        <v>21916584</v>
      </c>
      <c r="H81" s="421">
        <f>'JKP-3.1c - Weather Adj'!F152</f>
        <v>19922735</v>
      </c>
      <c r="I81" s="421">
        <f>'JKP-3.1c - Weather Adj'!G152</f>
        <v>14970230</v>
      </c>
      <c r="J81" s="421">
        <f>'JKP-3.1c - Weather Adj'!H152</f>
        <v>10962543</v>
      </c>
      <c r="K81" s="421">
        <f>'JKP-3.1c - Weather Adj'!I152</f>
        <v>8558003</v>
      </c>
      <c r="L81" s="421">
        <f>'JKP-3.1c - Weather Adj'!J152</f>
        <v>7221778</v>
      </c>
      <c r="M81" s="421">
        <f>'JKP-3.1c - Weather Adj'!K152</f>
        <v>7068070</v>
      </c>
      <c r="N81" s="421">
        <f>'JKP-3.1c - Weather Adj'!L152</f>
        <v>7936342</v>
      </c>
      <c r="O81" s="421">
        <f>'JKP-3.1c - Weather Adj'!M152</f>
        <v>13131242</v>
      </c>
      <c r="P81" s="421">
        <f>'JKP-3.1c - Weather Adj'!N152</f>
        <v>19525584</v>
      </c>
      <c r="Q81" s="421">
        <f>'JKP-3.1c - Weather Adj'!O152</f>
        <v>29784482</v>
      </c>
      <c r="R81" s="378">
        <f>SUM(F81:Q81)</f>
        <v>188564194</v>
      </c>
    </row>
    <row r="82" spans="1:249" x14ac:dyDescent="0.2">
      <c r="R82" s="179"/>
    </row>
    <row r="83" spans="1:249" x14ac:dyDescent="0.2">
      <c r="B83" s="182" t="s">
        <v>985</v>
      </c>
      <c r="R83" s="179"/>
    </row>
    <row r="84" spans="1:249" x14ac:dyDescent="0.2">
      <c r="A84" s="336" t="s">
        <v>1054</v>
      </c>
      <c r="B84" s="336" t="s">
        <v>1059</v>
      </c>
      <c r="D84" s="336">
        <v>31</v>
      </c>
      <c r="F84" s="418">
        <f t="shared" ref="F84:Q85" si="14">F74*F80</f>
        <v>1717161.6</v>
      </c>
      <c r="G84" s="418">
        <f t="shared" si="14"/>
        <v>1715610.24</v>
      </c>
      <c r="H84" s="418">
        <f t="shared" si="14"/>
        <v>1714446.72</v>
      </c>
      <c r="I84" s="418">
        <f t="shared" si="14"/>
        <v>1712863.04</v>
      </c>
      <c r="J84" s="418">
        <f t="shared" si="14"/>
        <v>1708693.76</v>
      </c>
      <c r="K84" s="418">
        <f t="shared" si="14"/>
        <v>1705817.28</v>
      </c>
      <c r="L84" s="418">
        <f t="shared" si="14"/>
        <v>1704686.08</v>
      </c>
      <c r="M84" s="418">
        <f t="shared" si="14"/>
        <v>1703457.92</v>
      </c>
      <c r="N84" s="418">
        <f t="shared" si="14"/>
        <v>1703037.76</v>
      </c>
      <c r="O84" s="418">
        <f t="shared" si="14"/>
        <v>1706496</v>
      </c>
      <c r="P84" s="418">
        <f t="shared" si="14"/>
        <v>1705623.36</v>
      </c>
      <c r="Q84" s="418">
        <f t="shared" si="14"/>
        <v>1709340.16</v>
      </c>
      <c r="R84" s="437">
        <f>SUM(F84:Q84)</f>
        <v>20507233.919999998</v>
      </c>
    </row>
    <row r="85" spans="1:249" x14ac:dyDescent="0.2">
      <c r="A85" s="336" t="s">
        <v>1054</v>
      </c>
      <c r="B85" s="336" t="s">
        <v>1047</v>
      </c>
      <c r="D85" s="336">
        <v>31</v>
      </c>
      <c r="F85" s="418">
        <f t="shared" si="14"/>
        <v>8690922.29727</v>
      </c>
      <c r="G85" s="418">
        <f t="shared" si="14"/>
        <v>6909641.4376799995</v>
      </c>
      <c r="H85" s="418">
        <f t="shared" si="14"/>
        <v>6281040.6634499999</v>
      </c>
      <c r="I85" s="418">
        <f t="shared" si="14"/>
        <v>4719664.4121000003</v>
      </c>
      <c r="J85" s="418">
        <f t="shared" si="14"/>
        <v>3456160.9316099999</v>
      </c>
      <c r="K85" s="418">
        <f t="shared" si="14"/>
        <v>2698081.6058100001</v>
      </c>
      <c r="L85" s="418">
        <f t="shared" si="14"/>
        <v>2276809.9500600002</v>
      </c>
      <c r="M85" s="418">
        <f t="shared" si="14"/>
        <v>2228350.4289000002</v>
      </c>
      <c r="N85" s="418">
        <f t="shared" si="14"/>
        <v>2502090.5423400002</v>
      </c>
      <c r="O85" s="418">
        <f t="shared" si="14"/>
        <v>4139886.6653399998</v>
      </c>
      <c r="P85" s="418">
        <f t="shared" si="14"/>
        <v>6155830.8676800001</v>
      </c>
      <c r="Q85" s="418">
        <f t="shared" si="14"/>
        <v>9390153.6401400007</v>
      </c>
      <c r="R85" s="437">
        <f>SUM(F85:Q85)</f>
        <v>59448633.442379996</v>
      </c>
    </row>
    <row r="86" spans="1:249" x14ac:dyDescent="0.2">
      <c r="A86" s="336" t="s">
        <v>1056</v>
      </c>
      <c r="B86" s="415" t="s">
        <v>1057</v>
      </c>
      <c r="D86" s="336">
        <v>101</v>
      </c>
      <c r="F86" s="418">
        <f t="shared" ref="F86:N86" si="15">F76*F81</f>
        <v>19680623.451929998</v>
      </c>
      <c r="G86" s="418">
        <f t="shared" si="15"/>
        <v>15646906.815119999</v>
      </c>
      <c r="H86" s="418">
        <f t="shared" si="15"/>
        <v>14223438.198549999</v>
      </c>
      <c r="I86" s="418">
        <f t="shared" si="15"/>
        <v>10687696.3039</v>
      </c>
      <c r="J86" s="418">
        <f t="shared" si="15"/>
        <v>7826488.3239899995</v>
      </c>
      <c r="K86" s="418">
        <f t="shared" si="15"/>
        <v>6109815.0817899993</v>
      </c>
      <c r="L86" s="418">
        <f t="shared" si="15"/>
        <v>5155843.9675399996</v>
      </c>
      <c r="M86" s="418">
        <f t="shared" si="15"/>
        <v>5046107.2150999997</v>
      </c>
      <c r="N86" s="418">
        <f t="shared" si="15"/>
        <v>5665992.6440599998</v>
      </c>
      <c r="O86" s="418">
        <f>O76*O81</f>
        <v>9374787.6010599993</v>
      </c>
      <c r="P86" s="418">
        <f>P76*P81</f>
        <v>13939900.18512</v>
      </c>
      <c r="Q86" s="418">
        <f>Q76*Q81</f>
        <v>21264035.23426</v>
      </c>
      <c r="R86" s="418">
        <f>SUM(F86:Q86)</f>
        <v>134621635.02242002</v>
      </c>
    </row>
    <row r="87" spans="1:249" x14ac:dyDescent="0.2">
      <c r="B87" s="336" t="s">
        <v>986</v>
      </c>
      <c r="F87" s="340">
        <f t="shared" ref="F87:N87" si="16">F84+F85+F86</f>
        <v>30088707.349199995</v>
      </c>
      <c r="G87" s="340">
        <f t="shared" si="16"/>
        <v>24272158.492799997</v>
      </c>
      <c r="H87" s="340">
        <f t="shared" si="16"/>
        <v>22218925.581999999</v>
      </c>
      <c r="I87" s="340">
        <f t="shared" si="16"/>
        <v>17120223.756000001</v>
      </c>
      <c r="J87" s="340">
        <f t="shared" si="16"/>
        <v>12991343.0156</v>
      </c>
      <c r="K87" s="340">
        <f t="shared" si="16"/>
        <v>10513713.967599999</v>
      </c>
      <c r="L87" s="340">
        <f t="shared" si="16"/>
        <v>9137339.9976000004</v>
      </c>
      <c r="M87" s="340">
        <f t="shared" si="16"/>
        <v>8977915.5639999993</v>
      </c>
      <c r="N87" s="340">
        <f t="shared" si="16"/>
        <v>9871120.9463999998</v>
      </c>
      <c r="O87" s="340">
        <f>O84+O85+O86</f>
        <v>15221170.266399998</v>
      </c>
      <c r="P87" s="340">
        <f>P84+P85+P86</f>
        <v>21801354.412799999</v>
      </c>
      <c r="Q87" s="340">
        <f>Q84+Q85+Q86</f>
        <v>32363529.034400001</v>
      </c>
      <c r="R87" s="340">
        <f>R84+R85+R86</f>
        <v>214577502.38480002</v>
      </c>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0"/>
      <c r="DI87" s="340"/>
      <c r="DJ87" s="340"/>
      <c r="DK87" s="340"/>
      <c r="DL87" s="340"/>
      <c r="DM87" s="340"/>
      <c r="DN87" s="340"/>
      <c r="DO87" s="340"/>
      <c r="DP87" s="340"/>
      <c r="DQ87" s="340"/>
      <c r="DR87" s="340"/>
      <c r="DS87" s="340"/>
      <c r="DT87" s="340"/>
      <c r="DU87" s="340"/>
      <c r="DV87" s="340"/>
      <c r="DW87" s="340"/>
      <c r="DX87" s="340"/>
      <c r="DY87" s="340"/>
      <c r="DZ87" s="340"/>
      <c r="EA87" s="340"/>
      <c r="EB87" s="340"/>
      <c r="EC87" s="340"/>
      <c r="ED87" s="340"/>
      <c r="EE87" s="340"/>
      <c r="EF87" s="340"/>
      <c r="EG87" s="340"/>
      <c r="EH87" s="340"/>
      <c r="EI87" s="340"/>
      <c r="EJ87" s="340"/>
      <c r="EK87" s="340"/>
      <c r="EL87" s="340"/>
      <c r="EM87" s="340"/>
      <c r="EN87" s="340"/>
      <c r="EO87" s="340"/>
      <c r="EP87" s="340"/>
      <c r="EQ87" s="340"/>
      <c r="ER87" s="340"/>
      <c r="ES87" s="340"/>
      <c r="ET87" s="340"/>
      <c r="EU87" s="340"/>
      <c r="EV87" s="340"/>
      <c r="EW87" s="340"/>
      <c r="EX87" s="340"/>
      <c r="EY87" s="340"/>
      <c r="EZ87" s="340"/>
      <c r="FA87" s="340"/>
      <c r="FB87" s="340"/>
      <c r="FC87" s="340"/>
      <c r="FD87" s="340"/>
      <c r="FE87" s="340"/>
      <c r="FF87" s="340"/>
      <c r="FG87" s="340"/>
      <c r="FH87" s="340"/>
      <c r="FI87" s="340"/>
      <c r="FJ87" s="340"/>
      <c r="FK87" s="340"/>
      <c r="FL87" s="340"/>
      <c r="FM87" s="340"/>
      <c r="FN87" s="340"/>
      <c r="FO87" s="340"/>
      <c r="FP87" s="340"/>
      <c r="FQ87" s="340"/>
      <c r="FR87" s="340"/>
      <c r="FS87" s="340"/>
      <c r="FT87" s="340"/>
      <c r="FU87" s="340"/>
      <c r="FV87" s="340"/>
      <c r="FW87" s="340"/>
      <c r="FX87" s="340"/>
      <c r="FY87" s="340"/>
      <c r="FZ87" s="340"/>
      <c r="GA87" s="340"/>
      <c r="GB87" s="340"/>
      <c r="GC87" s="340"/>
      <c r="GD87" s="340"/>
      <c r="GE87" s="340"/>
      <c r="GF87" s="340"/>
      <c r="GG87" s="340"/>
      <c r="GH87" s="340"/>
      <c r="GI87" s="340"/>
      <c r="GJ87" s="340"/>
      <c r="GK87" s="340"/>
      <c r="GL87" s="340"/>
      <c r="GM87" s="340"/>
      <c r="GN87" s="340"/>
      <c r="GO87" s="340"/>
      <c r="GP87" s="340"/>
      <c r="GQ87" s="340"/>
      <c r="GR87" s="340"/>
      <c r="GS87" s="340"/>
      <c r="GT87" s="340"/>
      <c r="GU87" s="340"/>
      <c r="GV87" s="340"/>
      <c r="GW87" s="340"/>
      <c r="GX87" s="340"/>
      <c r="GY87" s="340"/>
      <c r="GZ87" s="340"/>
      <c r="HA87" s="340"/>
      <c r="HB87" s="340"/>
      <c r="HC87" s="340"/>
      <c r="HD87" s="340"/>
      <c r="HE87" s="340"/>
      <c r="HF87" s="340"/>
      <c r="HG87" s="340"/>
      <c r="HH87" s="340"/>
      <c r="HI87" s="340"/>
      <c r="HJ87" s="340"/>
      <c r="HK87" s="340"/>
      <c r="HL87" s="340"/>
      <c r="HM87" s="340"/>
      <c r="HN87" s="340"/>
      <c r="HO87" s="340"/>
      <c r="HP87" s="340"/>
      <c r="HQ87" s="340"/>
      <c r="HR87" s="340"/>
      <c r="HS87" s="340"/>
      <c r="HT87" s="340"/>
      <c r="HU87" s="340"/>
      <c r="HV87" s="340"/>
      <c r="HW87" s="340"/>
      <c r="HX87" s="340"/>
      <c r="HY87" s="340"/>
      <c r="HZ87" s="340"/>
      <c r="IA87" s="340"/>
      <c r="IB87" s="340"/>
      <c r="IC87" s="340"/>
      <c r="ID87" s="340"/>
      <c r="IE87" s="340"/>
      <c r="IF87" s="340"/>
      <c r="IG87" s="340"/>
      <c r="IH87" s="340"/>
      <c r="II87" s="340"/>
      <c r="IJ87" s="340"/>
      <c r="IK87" s="340"/>
      <c r="IL87" s="340"/>
      <c r="IM87" s="340"/>
      <c r="IN87" s="340"/>
      <c r="IO87" s="340"/>
    </row>
    <row r="88" spans="1:249" x14ac:dyDescent="0.2">
      <c r="F88" s="418"/>
      <c r="G88" s="418"/>
      <c r="H88" s="418"/>
      <c r="I88" s="418"/>
      <c r="J88" s="418"/>
      <c r="K88" s="418"/>
      <c r="L88" s="418"/>
      <c r="M88" s="418"/>
      <c r="N88" s="418"/>
      <c r="O88" s="418"/>
      <c r="P88" s="418"/>
      <c r="Q88" s="418"/>
      <c r="R88" s="437"/>
    </row>
    <row r="89" spans="1:249" x14ac:dyDescent="0.2">
      <c r="A89" s="336" t="s">
        <v>1058</v>
      </c>
      <c r="B89" s="336" t="s">
        <v>1050</v>
      </c>
      <c r="F89" s="418">
        <f>F77*F81</f>
        <v>18829642.479060002</v>
      </c>
      <c r="G89" s="418">
        <f t="shared" ref="G89:Q89" si="17">G77*G81</f>
        <v>14970341.867040001</v>
      </c>
      <c r="H89" s="418">
        <f t="shared" si="17"/>
        <v>13608423.369100001</v>
      </c>
      <c r="I89" s="418">
        <f t="shared" si="17"/>
        <v>10225565.3038</v>
      </c>
      <c r="J89" s="418">
        <f t="shared" si="17"/>
        <v>7488074.62158</v>
      </c>
      <c r="K89" s="418">
        <f t="shared" si="17"/>
        <v>5845629.5291799996</v>
      </c>
      <c r="L89" s="418">
        <f t="shared" si="17"/>
        <v>4932907.6806800002</v>
      </c>
      <c r="M89" s="418">
        <f t="shared" si="17"/>
        <v>4827915.8942</v>
      </c>
      <c r="N89" s="418">
        <f t="shared" si="17"/>
        <v>5420997.7665200001</v>
      </c>
      <c r="O89" s="418">
        <f t="shared" si="17"/>
        <v>8969426.1605200004</v>
      </c>
      <c r="P89" s="418">
        <f t="shared" si="17"/>
        <v>13337145.40704</v>
      </c>
      <c r="Q89" s="418">
        <f t="shared" si="17"/>
        <v>20344588.274920002</v>
      </c>
      <c r="R89" s="437">
        <f>SUM(F89:Q89)</f>
        <v>128800658.35364</v>
      </c>
    </row>
    <row r="90" spans="1:249" x14ac:dyDescent="0.2">
      <c r="F90" s="418"/>
      <c r="G90" s="418"/>
      <c r="H90" s="418"/>
      <c r="I90" s="418"/>
      <c r="J90" s="418"/>
      <c r="K90" s="418"/>
      <c r="L90" s="418"/>
      <c r="M90" s="418"/>
      <c r="N90" s="418"/>
      <c r="O90" s="418"/>
      <c r="P90" s="418"/>
      <c r="Q90" s="418"/>
      <c r="R90" s="437"/>
    </row>
    <row r="91" spans="1:249" x14ac:dyDescent="0.2">
      <c r="B91" s="182" t="s">
        <v>968</v>
      </c>
      <c r="C91" s="182"/>
    </row>
    <row r="92" spans="1:249" x14ac:dyDescent="0.2">
      <c r="B92" s="182" t="s">
        <v>5</v>
      </c>
      <c r="C92" s="182"/>
    </row>
    <row r="93" spans="1:249" x14ac:dyDescent="0.2">
      <c r="B93" s="336" t="s">
        <v>1059</v>
      </c>
      <c r="D93" s="336">
        <v>41</v>
      </c>
      <c r="E93" s="336" t="s">
        <v>976</v>
      </c>
      <c r="F93" s="501">
        <f>'JKP-3.1c - Rev Rates GTI10'!F93</f>
        <v>111.92</v>
      </c>
      <c r="G93" s="501">
        <f>'JKP-3.1c - Rev Rates GTI10'!G93</f>
        <v>111.92</v>
      </c>
      <c r="H93" s="501">
        <f>'JKP-3.1c - Rev Rates GTI10'!H93</f>
        <v>111.92</v>
      </c>
      <c r="I93" s="501">
        <f>'JKP-3.1c - Rev Rates GTI10'!I93</f>
        <v>111.92</v>
      </c>
      <c r="J93" s="501">
        <f>'JKP-3.1c - Rev Rates GTI10'!J93</f>
        <v>111.92</v>
      </c>
      <c r="K93" s="501">
        <f>'JKP-3.1c - Rev Rates GTI10'!K93</f>
        <v>111.92</v>
      </c>
      <c r="L93" s="501">
        <f>'JKP-3.1c - Rev Rates GTI10'!L93</f>
        <v>111.92</v>
      </c>
      <c r="M93" s="501">
        <f>'JKP-3.1c - Rev Rates GTI10'!M93</f>
        <v>111.92</v>
      </c>
      <c r="N93" s="501">
        <f>'JKP-3.1c - Rev Rates GTI10'!N93</f>
        <v>111.92</v>
      </c>
      <c r="O93" s="501">
        <f>'JKP-3.1c - Rev Rates GTI10'!O93</f>
        <v>111.92</v>
      </c>
      <c r="P93" s="501">
        <f>'JKP-3.1c - Rev Rates GTI10'!P93</f>
        <v>111.92</v>
      </c>
      <c r="Q93" s="501">
        <f>'JKP-3.1c - Rev Rates GTI10'!Q93</f>
        <v>111.92</v>
      </c>
      <c r="R93" s="435"/>
    </row>
    <row r="94" spans="1:249" x14ac:dyDescent="0.2">
      <c r="B94" s="336" t="s">
        <v>1047</v>
      </c>
      <c r="F94" s="448"/>
      <c r="G94" s="448"/>
      <c r="H94" s="448"/>
      <c r="I94" s="448"/>
      <c r="J94" s="448"/>
      <c r="K94" s="448"/>
      <c r="L94" s="448"/>
      <c r="M94" s="448"/>
      <c r="N94" s="448"/>
      <c r="O94" s="448"/>
      <c r="P94" s="448"/>
      <c r="Q94" s="448"/>
      <c r="R94" s="441"/>
    </row>
    <row r="95" spans="1:249" x14ac:dyDescent="0.2">
      <c r="C95" s="336" t="s">
        <v>1065</v>
      </c>
      <c r="D95" s="336">
        <v>41</v>
      </c>
      <c r="E95" s="336" t="s">
        <v>957</v>
      </c>
      <c r="F95" s="496">
        <f>'JKP-3.1c - Rev Rates GTI10'!F95</f>
        <v>0.14354</v>
      </c>
      <c r="G95" s="496">
        <f>'JKP-3.1c - Rev Rates GTI10'!G95</f>
        <v>0.14354</v>
      </c>
      <c r="H95" s="496">
        <f>'JKP-3.1c - Rev Rates GTI10'!H95</f>
        <v>0.14354</v>
      </c>
      <c r="I95" s="496">
        <f>'JKP-3.1c - Rev Rates GTI10'!I95</f>
        <v>0.14354</v>
      </c>
      <c r="J95" s="496">
        <f>'JKP-3.1c - Rev Rates GTI10'!J95</f>
        <v>0.14354</v>
      </c>
      <c r="K95" s="496">
        <f>'JKP-3.1c - Rev Rates GTI10'!K95</f>
        <v>0.14354</v>
      </c>
      <c r="L95" s="496">
        <f>'JKP-3.1c - Rev Rates GTI10'!L95</f>
        <v>0.14354</v>
      </c>
      <c r="M95" s="496">
        <f>'JKP-3.1c - Rev Rates GTI10'!M95</f>
        <v>0.14354</v>
      </c>
      <c r="N95" s="496">
        <f>'JKP-3.1c - Rev Rates GTI10'!N95</f>
        <v>0.14354</v>
      </c>
      <c r="O95" s="496">
        <f>'JKP-3.1c - Rev Rates GTI10'!O95</f>
        <v>0.14354</v>
      </c>
      <c r="P95" s="496">
        <f>'JKP-3.1c - Rev Rates GTI10'!P95</f>
        <v>0.14354</v>
      </c>
      <c r="Q95" s="496">
        <f>'JKP-3.1c - Rev Rates GTI10'!Q95</f>
        <v>0.14354</v>
      </c>
      <c r="R95" s="441"/>
    </row>
    <row r="96" spans="1:249" x14ac:dyDescent="0.2">
      <c r="C96" s="336" t="s">
        <v>1066</v>
      </c>
      <c r="D96" s="336">
        <v>41</v>
      </c>
      <c r="E96" s="336" t="s">
        <v>957</v>
      </c>
      <c r="F96" s="496">
        <f>'JKP-3.1c - Rev Rates GTI10'!F96</f>
        <v>0.11713999999999999</v>
      </c>
      <c r="G96" s="496">
        <f>'JKP-3.1c - Rev Rates GTI10'!G96</f>
        <v>0.11713999999999999</v>
      </c>
      <c r="H96" s="496">
        <f>'JKP-3.1c - Rev Rates GTI10'!H96</f>
        <v>0.11713999999999999</v>
      </c>
      <c r="I96" s="496">
        <f>'JKP-3.1c - Rev Rates GTI10'!I96</f>
        <v>0.11713999999999999</v>
      </c>
      <c r="J96" s="496">
        <f>'JKP-3.1c - Rev Rates GTI10'!J96</f>
        <v>0.11713999999999999</v>
      </c>
      <c r="K96" s="496">
        <f>'JKP-3.1c - Rev Rates GTI10'!K96</f>
        <v>0.11713999999999999</v>
      </c>
      <c r="L96" s="496">
        <f>'JKP-3.1c - Rev Rates GTI10'!L96</f>
        <v>0.11713999999999999</v>
      </c>
      <c r="M96" s="496">
        <f>'JKP-3.1c - Rev Rates GTI10'!M96</f>
        <v>0.11713999999999999</v>
      </c>
      <c r="N96" s="496">
        <f>'JKP-3.1c - Rev Rates GTI10'!N96</f>
        <v>0.11713999999999999</v>
      </c>
      <c r="O96" s="496">
        <f>'JKP-3.1c - Rev Rates GTI10'!O96</f>
        <v>0.11713999999999999</v>
      </c>
      <c r="P96" s="496">
        <f>'JKP-3.1c - Rev Rates GTI10'!P96</f>
        <v>0.11713999999999999</v>
      </c>
      <c r="Q96" s="496">
        <f>'JKP-3.1c - Rev Rates GTI10'!Q96</f>
        <v>0.11713999999999999</v>
      </c>
      <c r="R96" s="441"/>
    </row>
    <row r="97" spans="2:18" x14ac:dyDescent="0.2">
      <c r="B97" s="415" t="s">
        <v>1067</v>
      </c>
      <c r="D97" s="336">
        <v>101</v>
      </c>
      <c r="E97" s="336" t="s">
        <v>957</v>
      </c>
      <c r="F97" s="496">
        <f>'JKP-3.1c - Rev Rates GTI10'!F97</f>
        <v>0.62878000000000001</v>
      </c>
      <c r="G97" s="496">
        <f>'JKP-3.1c - Rev Rates GTI10'!G97</f>
        <v>0.62878000000000001</v>
      </c>
      <c r="H97" s="496">
        <f>'JKP-3.1c - Rev Rates GTI10'!H97</f>
        <v>0.62878000000000001</v>
      </c>
      <c r="I97" s="496">
        <f>'JKP-3.1c - Rev Rates GTI10'!I97</f>
        <v>0.62878000000000001</v>
      </c>
      <c r="J97" s="496">
        <f>'JKP-3.1c - Rev Rates GTI10'!J97</f>
        <v>0.62878000000000001</v>
      </c>
      <c r="K97" s="496">
        <f>'JKP-3.1c - Rev Rates GTI10'!K97</f>
        <v>0.62878000000000001</v>
      </c>
      <c r="L97" s="496">
        <f>'JKP-3.1c - Rev Rates GTI10'!L97</f>
        <v>0.62878000000000001</v>
      </c>
      <c r="M97" s="496">
        <f>'JKP-3.1c - Rev Rates GTI10'!M97</f>
        <v>0.62878000000000001</v>
      </c>
      <c r="N97" s="496">
        <f>'JKP-3.1c - Rev Rates GTI10'!N97</f>
        <v>0.62878000000000001</v>
      </c>
      <c r="O97" s="496">
        <f>'JKP-3.1c - Rev Rates GTI10'!O97</f>
        <v>0.62878000000000001</v>
      </c>
      <c r="P97" s="496">
        <f>'JKP-3.1c - Rev Rates GTI10'!P97</f>
        <v>0.62878000000000001</v>
      </c>
      <c r="Q97" s="496">
        <f>'JKP-3.1c - Rev Rates GTI10'!Q97</f>
        <v>0.62878000000000001</v>
      </c>
      <c r="R97" s="441"/>
    </row>
    <row r="98" spans="2:18" x14ac:dyDescent="0.2">
      <c r="B98" s="336" t="s">
        <v>1068</v>
      </c>
      <c r="F98" s="441"/>
      <c r="G98" s="441"/>
      <c r="H98" s="441"/>
      <c r="I98" s="441"/>
      <c r="J98" s="441"/>
      <c r="K98" s="441"/>
      <c r="L98" s="441"/>
      <c r="M98" s="441"/>
      <c r="N98" s="441"/>
      <c r="O98" s="441"/>
      <c r="P98" s="441"/>
      <c r="Q98" s="441"/>
      <c r="R98" s="441"/>
    </row>
    <row r="99" spans="2:18" x14ac:dyDescent="0.2">
      <c r="C99" s="336" t="s">
        <v>1069</v>
      </c>
      <c r="D99" s="336">
        <v>41</v>
      </c>
      <c r="E99" s="336" t="s">
        <v>957</v>
      </c>
      <c r="F99" s="501">
        <f>'JKP-3.1c - Rev Rates GTI10'!F99</f>
        <v>1.1399999999999999</v>
      </c>
      <c r="G99" s="501">
        <f>'JKP-3.1c - Rev Rates GTI10'!G99</f>
        <v>1.1399999999999999</v>
      </c>
      <c r="H99" s="501">
        <f>'JKP-3.1c - Rev Rates GTI10'!H99</f>
        <v>1.1399999999999999</v>
      </c>
      <c r="I99" s="501">
        <f>'JKP-3.1c - Rev Rates GTI10'!I99</f>
        <v>1.1399999999999999</v>
      </c>
      <c r="J99" s="501">
        <f>'JKP-3.1c - Rev Rates GTI10'!J99</f>
        <v>1.1399999999999999</v>
      </c>
      <c r="K99" s="501">
        <f>'JKP-3.1c - Rev Rates GTI10'!K99</f>
        <v>1.1399999999999999</v>
      </c>
      <c r="L99" s="501">
        <f>'JKP-3.1c - Rev Rates GTI10'!L99</f>
        <v>1.1399999999999999</v>
      </c>
      <c r="M99" s="501">
        <f>'JKP-3.1c - Rev Rates GTI10'!M99</f>
        <v>1.1399999999999999</v>
      </c>
      <c r="N99" s="501">
        <f>'JKP-3.1c - Rev Rates GTI10'!N99</f>
        <v>1.1399999999999999</v>
      </c>
      <c r="O99" s="501">
        <f>'JKP-3.1c - Rev Rates GTI10'!O99</f>
        <v>1.1399999999999999</v>
      </c>
      <c r="P99" s="501">
        <f>'JKP-3.1c - Rev Rates GTI10'!P99</f>
        <v>1.1399999999999999</v>
      </c>
      <c r="Q99" s="501">
        <f>'JKP-3.1c - Rev Rates GTI10'!Q99</f>
        <v>1.1399999999999999</v>
      </c>
      <c r="R99" s="441"/>
    </row>
    <row r="100" spans="2:18" x14ac:dyDescent="0.2">
      <c r="C100" s="336" t="s">
        <v>1070</v>
      </c>
      <c r="D100" s="336">
        <v>101</v>
      </c>
      <c r="E100" s="336" t="s">
        <v>957</v>
      </c>
      <c r="F100" s="501">
        <f>'JKP-3.1c - Rev Rates GTI10'!F100</f>
        <v>1.05</v>
      </c>
      <c r="G100" s="501">
        <f>'JKP-3.1c - Rev Rates GTI10'!G100</f>
        <v>1.05</v>
      </c>
      <c r="H100" s="501">
        <f>'JKP-3.1c - Rev Rates GTI10'!H100</f>
        <v>1.05</v>
      </c>
      <c r="I100" s="501">
        <f>'JKP-3.1c - Rev Rates GTI10'!I100</f>
        <v>1.05</v>
      </c>
      <c r="J100" s="501">
        <f>'JKP-3.1c - Rev Rates GTI10'!J100</f>
        <v>1.05</v>
      </c>
      <c r="K100" s="501">
        <f>'JKP-3.1c - Rev Rates GTI10'!K100</f>
        <v>1.05</v>
      </c>
      <c r="L100" s="501">
        <f>'JKP-3.1c - Rev Rates GTI10'!L100</f>
        <v>1.05</v>
      </c>
      <c r="M100" s="501">
        <f>'JKP-3.1c - Rev Rates GTI10'!M100</f>
        <v>1.05</v>
      </c>
      <c r="N100" s="501">
        <f>'JKP-3.1c - Rev Rates GTI10'!N100</f>
        <v>1.05</v>
      </c>
      <c r="O100" s="501">
        <f>'JKP-3.1c - Rev Rates GTI10'!O100</f>
        <v>1.05</v>
      </c>
      <c r="P100" s="501">
        <f>'JKP-3.1c - Rev Rates GTI10'!P100</f>
        <v>1.05</v>
      </c>
      <c r="Q100" s="501">
        <f>'JKP-3.1c - Rev Rates GTI10'!Q100</f>
        <v>1.05</v>
      </c>
      <c r="R100" s="441"/>
    </row>
    <row r="101" spans="2:18" x14ac:dyDescent="0.2">
      <c r="B101" s="336" t="s">
        <v>1071</v>
      </c>
      <c r="D101" s="336">
        <v>41</v>
      </c>
      <c r="E101" s="336" t="s">
        <v>67</v>
      </c>
      <c r="F101" s="501">
        <f>'JKP-3.1c - Rev Rates GTI10'!F101</f>
        <v>129.19</v>
      </c>
      <c r="G101" s="501">
        <f>'JKP-3.1c - Rev Rates GTI10'!G101</f>
        <v>129.19</v>
      </c>
      <c r="H101" s="501">
        <f>'JKP-3.1c - Rev Rates GTI10'!H101</f>
        <v>129.19</v>
      </c>
      <c r="I101" s="501">
        <f>'JKP-3.1c - Rev Rates GTI10'!I101</f>
        <v>129.19</v>
      </c>
      <c r="J101" s="501">
        <f>'JKP-3.1c - Rev Rates GTI10'!J101</f>
        <v>129.19</v>
      </c>
      <c r="K101" s="501">
        <f>'JKP-3.1c - Rev Rates GTI10'!K101</f>
        <v>129.19</v>
      </c>
      <c r="L101" s="501">
        <f>'JKP-3.1c - Rev Rates GTI10'!L101</f>
        <v>129.19</v>
      </c>
      <c r="M101" s="501">
        <f>'JKP-3.1c - Rev Rates GTI10'!M101</f>
        <v>129.19</v>
      </c>
      <c r="N101" s="501">
        <f>'JKP-3.1c - Rev Rates GTI10'!N101</f>
        <v>129.19</v>
      </c>
      <c r="O101" s="501">
        <f>'JKP-3.1c - Rev Rates GTI10'!O101</f>
        <v>129.19</v>
      </c>
      <c r="P101" s="501">
        <f>'JKP-3.1c - Rev Rates GTI10'!P101</f>
        <v>129.19</v>
      </c>
      <c r="Q101" s="501">
        <f>'JKP-3.1c - Rev Rates GTI10'!Q101</f>
        <v>129.19</v>
      </c>
      <c r="R101" s="441"/>
    </row>
    <row r="102" spans="2:18" x14ac:dyDescent="0.2">
      <c r="B102" s="415" t="s">
        <v>1197</v>
      </c>
      <c r="F102" s="496">
        <f>'JKP-3.1c - Rev Rates GTI10'!F102</f>
        <v>0.60158999999999996</v>
      </c>
      <c r="G102" s="496">
        <f>'JKP-3.1c - Rev Rates GTI10'!G102</f>
        <v>0.60158999999999996</v>
      </c>
      <c r="H102" s="496">
        <f>'JKP-3.1c - Rev Rates GTI10'!H102</f>
        <v>0.60158999999999996</v>
      </c>
      <c r="I102" s="496">
        <f>'JKP-3.1c - Rev Rates GTI10'!I102</f>
        <v>0.60158999999999996</v>
      </c>
      <c r="J102" s="496">
        <f>'JKP-3.1c - Rev Rates GTI10'!J102</f>
        <v>0.60158999999999996</v>
      </c>
      <c r="K102" s="496">
        <f>'JKP-3.1c - Rev Rates GTI10'!K102</f>
        <v>0.60158999999999996</v>
      </c>
      <c r="L102" s="496">
        <f>'JKP-3.1c - Rev Rates GTI10'!L102</f>
        <v>0.60158999999999996</v>
      </c>
      <c r="M102" s="496">
        <f>'JKP-3.1c - Rev Rates GTI10'!M102</f>
        <v>0.60158999999999996</v>
      </c>
      <c r="N102" s="496">
        <f>'JKP-3.1c - Rev Rates GTI10'!N102</f>
        <v>0.60158999999999996</v>
      </c>
      <c r="O102" s="496">
        <f>'JKP-3.1c - Rev Rates GTI10'!O102</f>
        <v>0.60158999999999996</v>
      </c>
      <c r="P102" s="496">
        <f>'JKP-3.1c - Rev Rates GTI10'!P102</f>
        <v>0.60158999999999996</v>
      </c>
      <c r="Q102" s="496">
        <f>'JKP-3.1c - Rev Rates GTI10'!Q102</f>
        <v>0.60158999999999996</v>
      </c>
      <c r="R102" s="441"/>
    </row>
    <row r="103" spans="2:18" x14ac:dyDescent="0.2">
      <c r="B103" s="415" t="s">
        <v>1072</v>
      </c>
      <c r="F103" s="501">
        <v>1</v>
      </c>
      <c r="G103" s="501">
        <v>1</v>
      </c>
      <c r="H103" s="501">
        <v>1</v>
      </c>
      <c r="I103" s="501">
        <v>1</v>
      </c>
      <c r="J103" s="501">
        <v>1</v>
      </c>
      <c r="K103" s="501">
        <v>1</v>
      </c>
      <c r="L103" s="501">
        <v>1</v>
      </c>
      <c r="M103" s="501">
        <v>1</v>
      </c>
      <c r="N103" s="501">
        <v>1</v>
      </c>
      <c r="O103" s="501">
        <v>1</v>
      </c>
      <c r="P103" s="501">
        <v>1</v>
      </c>
      <c r="Q103" s="501">
        <v>1</v>
      </c>
      <c r="R103" s="441"/>
    </row>
    <row r="105" spans="2:18" x14ac:dyDescent="0.2">
      <c r="B105" s="182" t="s">
        <v>982</v>
      </c>
    </row>
    <row r="106" spans="2:18" x14ac:dyDescent="0.2">
      <c r="B106" s="336" t="s">
        <v>67</v>
      </c>
      <c r="E106" s="336" t="s">
        <v>67</v>
      </c>
      <c r="F106" s="421">
        <f>'JKP-3.1c - Data'!C141+'JKP-3.1c - 41T 86T Migrat Adj'!B51+'JKP-3.1c - 41 Min Migration Adj'!B37</f>
        <v>1462</v>
      </c>
      <c r="G106" s="421">
        <f>'JKP-3.1c - Data'!D141+'JKP-3.1c - 41T 86T Migrat Adj'!C51+'JKP-3.1c - 41 Min Migration Adj'!C37</f>
        <v>1458</v>
      </c>
      <c r="H106" s="421">
        <f>'JKP-3.1c - Data'!E141+'JKP-3.1c - 41T 86T Migrat Adj'!D51+'JKP-3.1c - 41 Min Migration Adj'!D37</f>
        <v>1458</v>
      </c>
      <c r="I106" s="421">
        <f>'JKP-3.1c - Data'!F141+'JKP-3.1c - 41T 86T Migrat Adj'!E51+'JKP-3.1c - 41 Min Migration Adj'!E37</f>
        <v>1460</v>
      </c>
      <c r="J106" s="421">
        <f>'JKP-3.1c - Data'!G141+'JKP-3.1c - 41T 86T Migrat Adj'!F51+'JKP-3.1c - 41 Min Migration Adj'!F37</f>
        <v>1455</v>
      </c>
      <c r="K106" s="421">
        <f>'JKP-3.1c - Data'!H141+'JKP-3.1c - 41T 86T Migrat Adj'!G51+'JKP-3.1c - 41 Min Migration Adj'!G37</f>
        <v>1461</v>
      </c>
      <c r="L106" s="421">
        <f>'JKP-3.1c - Data'!I141+'JKP-3.1c - 41T 86T Migrat Adj'!H51+'JKP-3.1c - 41 Min Migration Adj'!H37</f>
        <v>1460</v>
      </c>
      <c r="M106" s="421">
        <f>'JKP-3.1c - Data'!J141+'JKP-3.1c - 41T 86T Migrat Adj'!I51+'JKP-3.1c - 41 Min Migration Adj'!I37</f>
        <v>1445</v>
      </c>
      <c r="N106" s="421">
        <f>'JKP-3.1c - Data'!K141+'JKP-3.1c - 41T 86T Migrat Adj'!J51+'JKP-3.1c - 41 Min Migration Adj'!J37</f>
        <v>1433</v>
      </c>
      <c r="O106" s="421">
        <f>'JKP-3.1c - Data'!L141+'JKP-3.1c - 41T 86T Migrat Adj'!K51+'JKP-3.1c - 41 Min Migration Adj'!K37</f>
        <v>1412</v>
      </c>
      <c r="P106" s="421">
        <f>'JKP-3.1c - Data'!M141+'JKP-3.1c - 41T 86T Migrat Adj'!L51+'JKP-3.1c - 41 Min Migration Adj'!L37</f>
        <v>1401</v>
      </c>
      <c r="Q106" s="421">
        <f>'JKP-3.1c - Data'!N141+'JKP-3.1c - 41T 86T Migrat Adj'!M51+'JKP-3.1c - 41 Min Migration Adj'!M37</f>
        <v>1409</v>
      </c>
      <c r="R106" s="378">
        <f>SUM(F106:Q106)</f>
        <v>17314</v>
      </c>
    </row>
    <row r="107" spans="2:18" x14ac:dyDescent="0.2">
      <c r="B107" s="336" t="s">
        <v>76</v>
      </c>
      <c r="F107" s="380"/>
      <c r="G107" s="380"/>
      <c r="H107" s="380"/>
      <c r="I107" s="380"/>
      <c r="J107" s="380"/>
      <c r="K107" s="380"/>
      <c r="L107" s="380"/>
      <c r="M107" s="380"/>
      <c r="N107" s="380"/>
      <c r="O107" s="380"/>
      <c r="P107" s="380"/>
      <c r="Q107" s="380"/>
      <c r="R107" s="378"/>
    </row>
    <row r="108" spans="2:18" x14ac:dyDescent="0.2">
      <c r="C108" s="336" t="s">
        <v>1073</v>
      </c>
      <c r="E108" s="336" t="s">
        <v>10</v>
      </c>
      <c r="F108" s="421">
        <f>'JKP-3.1c - Rev Rates GTI10'!F108+'JKP-3.1c - 41T 86T Migrat Adj'!B24+'JKP-3.1c - 41 Min Migration Adj'!B24</f>
        <v>1301780</v>
      </c>
      <c r="G108" s="421">
        <f>'JKP-3.1c - Rev Rates GTI10'!G108+'JKP-3.1c - 41T 86T Migrat Adj'!C24+'JKP-3.1c - 41 Min Migration Adj'!C24</f>
        <v>1298209</v>
      </c>
      <c r="H108" s="421">
        <f>'JKP-3.1c - Rev Rates GTI10'!H108+'JKP-3.1c - 41T 86T Migrat Adj'!D24+'JKP-3.1c - 41 Min Migration Adj'!D24</f>
        <v>1302028</v>
      </c>
      <c r="I108" s="421">
        <f>'JKP-3.1c - Rev Rates GTI10'!I108+'JKP-3.1c - 41T 86T Migrat Adj'!E24+'JKP-3.1c - 41 Min Migration Adj'!E24</f>
        <v>1303781</v>
      </c>
      <c r="J108" s="421">
        <f>'JKP-3.1c - Rev Rates GTI10'!J108+'JKP-3.1c - 41T 86T Migrat Adj'!F24+'JKP-3.1c - 41 Min Migration Adj'!F24</f>
        <v>1291330</v>
      </c>
      <c r="K108" s="421">
        <f>'JKP-3.1c - Rev Rates GTI10'!K108+'JKP-3.1c - 41T 86T Migrat Adj'!G24+'JKP-3.1c - 41 Min Migration Adj'!G24</f>
        <v>1176110</v>
      </c>
      <c r="L108" s="421">
        <f>'JKP-3.1c - Rev Rates GTI10'!L108+'JKP-3.1c - 41T 86T Migrat Adj'!H24+'JKP-3.1c - 41 Min Migration Adj'!H24</f>
        <v>994386</v>
      </c>
      <c r="M108" s="421">
        <f>'JKP-3.1c - Rev Rates GTI10'!M108+'JKP-3.1c - 41T 86T Migrat Adj'!I24+'JKP-3.1c - 41 Min Migration Adj'!I24</f>
        <v>972649</v>
      </c>
      <c r="N108" s="421">
        <f>'JKP-3.1c - Rev Rates GTI10'!N108+'JKP-3.1c - 41T 86T Migrat Adj'!J24+'JKP-3.1c - 41 Min Migration Adj'!J24</f>
        <v>1084839</v>
      </c>
      <c r="O108" s="421">
        <f>'JKP-3.1c - Rev Rates GTI10'!O108+'JKP-3.1c - 41T 86T Migrat Adj'!K24+'JKP-3.1c - 41 Min Migration Adj'!K24</f>
        <v>1230592</v>
      </c>
      <c r="P108" s="421">
        <f>'JKP-3.1c - Rev Rates GTI10'!P108+'JKP-3.1c - 41T 86T Migrat Adj'!L24+'JKP-3.1c - 41 Min Migration Adj'!L24</f>
        <v>1244798</v>
      </c>
      <c r="Q108" s="421">
        <f>'JKP-3.1c - Rev Rates GTI10'!Q108+'JKP-3.1c - 41T 86T Migrat Adj'!M24+'JKP-3.1c - 41 Min Migration Adj'!M24</f>
        <v>1251306</v>
      </c>
      <c r="R108" s="378">
        <f>SUM(F108:Q108)</f>
        <v>14451808</v>
      </c>
    </row>
    <row r="109" spans="2:18" x14ac:dyDescent="0.2">
      <c r="C109" s="336" t="s">
        <v>1074</v>
      </c>
      <c r="E109" s="336" t="s">
        <v>10</v>
      </c>
      <c r="F109" s="421">
        <f>'JKP-3.1c - Rev Rates GTI10'!F109+'JKP-3.1c - 41T 86T Migrat Adj'!B25+'JKP-3.1c - 41 Min Migration Adj'!B25</f>
        <v>3006715</v>
      </c>
      <c r="G109" s="421">
        <f>'JKP-3.1c - Rev Rates GTI10'!G109+'JKP-3.1c - 41T 86T Migrat Adj'!C25+'JKP-3.1c - 41 Min Migration Adj'!C25</f>
        <v>2602280</v>
      </c>
      <c r="H109" s="421">
        <f>'JKP-3.1c - Rev Rates GTI10'!H109+'JKP-3.1c - 41T 86T Migrat Adj'!D25+'JKP-3.1c - 41 Min Migration Adj'!D25</f>
        <v>2755400</v>
      </c>
      <c r="I109" s="421">
        <f>'JKP-3.1c - Rev Rates GTI10'!I109+'JKP-3.1c - 41T 86T Migrat Adj'!E25+'JKP-3.1c - 41 Min Migration Adj'!E25</f>
        <v>2352692</v>
      </c>
      <c r="J109" s="421">
        <f>'JKP-3.1c - Rev Rates GTI10'!J109+'JKP-3.1c - 41T 86T Migrat Adj'!F25+'JKP-3.1c - 41 Min Migration Adj'!F25</f>
        <v>1978579</v>
      </c>
      <c r="K109" s="421">
        <f>'JKP-3.1c - Rev Rates GTI10'!K109+'JKP-3.1c - 41T 86T Migrat Adj'!G25+'JKP-3.1c - 41 Min Migration Adj'!G25</f>
        <v>1490349</v>
      </c>
      <c r="L109" s="421">
        <f>'JKP-3.1c - Rev Rates GTI10'!L109+'JKP-3.1c - 41T 86T Migrat Adj'!H25+'JKP-3.1c - 41 Min Migration Adj'!H25</f>
        <v>1170402</v>
      </c>
      <c r="M109" s="421">
        <f>'JKP-3.1c - Rev Rates GTI10'!M109+'JKP-3.1c - 41T 86T Migrat Adj'!I25+'JKP-3.1c - 41 Min Migration Adj'!I25</f>
        <v>1117889</v>
      </c>
      <c r="N109" s="421">
        <f>'JKP-3.1c - Rev Rates GTI10'!N109+'JKP-3.1c - 41T 86T Migrat Adj'!J25+'JKP-3.1c - 41 Min Migration Adj'!J25</f>
        <v>1257258</v>
      </c>
      <c r="O109" s="421">
        <f>'JKP-3.1c - Rev Rates GTI10'!O109+'JKP-3.1c - 41T 86T Migrat Adj'!K25+'JKP-3.1c - 41 Min Migration Adj'!K25</f>
        <v>1877338</v>
      </c>
      <c r="P109" s="421">
        <f>'JKP-3.1c - Rev Rates GTI10'!P109+'JKP-3.1c - 41T 86T Migrat Adj'!L25+'JKP-3.1c - 41 Min Migration Adj'!L25</f>
        <v>2764411</v>
      </c>
      <c r="Q109" s="421">
        <f>'JKP-3.1c - Rev Rates GTI10'!Q109+'JKP-3.1c - 41T 86T Migrat Adj'!M25+'JKP-3.1c - 41 Min Migration Adj'!M25</f>
        <v>3155434</v>
      </c>
      <c r="R109" s="378">
        <f>SUM(F109:Q109)</f>
        <v>25528747</v>
      </c>
    </row>
    <row r="110" spans="2:18" x14ac:dyDescent="0.2">
      <c r="C110" s="336" t="s">
        <v>1066</v>
      </c>
      <c r="E110" s="336" t="s">
        <v>10</v>
      </c>
      <c r="F110" s="378">
        <f t="shared" ref="F110:N110" si="18">F111-F109-F108</f>
        <v>2378320</v>
      </c>
      <c r="G110" s="378">
        <f t="shared" si="18"/>
        <v>1748705</v>
      </c>
      <c r="H110" s="378">
        <f t="shared" si="18"/>
        <v>1580358</v>
      </c>
      <c r="I110" s="378">
        <f t="shared" si="18"/>
        <v>1027789</v>
      </c>
      <c r="J110" s="378">
        <f t="shared" si="18"/>
        <v>699292</v>
      </c>
      <c r="K110" s="378">
        <f t="shared" si="18"/>
        <v>445443</v>
      </c>
      <c r="L110" s="378">
        <f t="shared" si="18"/>
        <v>475065</v>
      </c>
      <c r="M110" s="378">
        <f t="shared" si="18"/>
        <v>487983</v>
      </c>
      <c r="N110" s="378">
        <f t="shared" si="18"/>
        <v>523981</v>
      </c>
      <c r="O110" s="378">
        <f>O111-O109-O108</f>
        <v>975667</v>
      </c>
      <c r="P110" s="378">
        <f>P111-P109-P108</f>
        <v>1289177</v>
      </c>
      <c r="Q110" s="378">
        <f>Q111-Q109-Q108</f>
        <v>2418538</v>
      </c>
      <c r="R110" s="378">
        <f>SUM(F110:Q110)</f>
        <v>14050318</v>
      </c>
    </row>
    <row r="111" spans="2:18" x14ac:dyDescent="0.2">
      <c r="C111" s="336" t="s">
        <v>1075</v>
      </c>
      <c r="E111" s="336" t="s">
        <v>10</v>
      </c>
      <c r="F111" s="445">
        <f>'JKP-3.1c - Weather Adj'!D153</f>
        <v>6686815</v>
      </c>
      <c r="G111" s="445">
        <f>'JKP-3.1c - Weather Adj'!E153</f>
        <v>5649194</v>
      </c>
      <c r="H111" s="445">
        <f>'JKP-3.1c - Weather Adj'!F153</f>
        <v>5637786</v>
      </c>
      <c r="I111" s="445">
        <f>'JKP-3.1c - Weather Adj'!G153</f>
        <v>4684262</v>
      </c>
      <c r="J111" s="445">
        <f>'JKP-3.1c - Weather Adj'!H153</f>
        <v>3969201</v>
      </c>
      <c r="K111" s="445">
        <f>'JKP-3.1c - Weather Adj'!I153</f>
        <v>3111902</v>
      </c>
      <c r="L111" s="445">
        <f>'JKP-3.1c - Weather Adj'!J153</f>
        <v>2639853</v>
      </c>
      <c r="M111" s="445">
        <f>'JKP-3.1c - Weather Adj'!K153</f>
        <v>2578521</v>
      </c>
      <c r="N111" s="445">
        <f>'JKP-3.1c - Weather Adj'!L153</f>
        <v>2866078</v>
      </c>
      <c r="O111" s="445">
        <f>'JKP-3.1c - Weather Adj'!M153</f>
        <v>4083597</v>
      </c>
      <c r="P111" s="445">
        <f>'JKP-3.1c - Weather Adj'!N153</f>
        <v>5298386</v>
      </c>
      <c r="Q111" s="445">
        <f>'JKP-3.1c - Weather Adj'!O153</f>
        <v>6825278</v>
      </c>
      <c r="R111" s="436">
        <f>SUM(R108:R110)</f>
        <v>54030873</v>
      </c>
    </row>
    <row r="112" spans="2:18" x14ac:dyDescent="0.2">
      <c r="B112" s="336" t="s">
        <v>74</v>
      </c>
      <c r="E112" s="336" t="s">
        <v>1076</v>
      </c>
      <c r="F112" s="421">
        <f>'JKP-3.1c - Data'!C162+'JKP-3.1c - 41T 86T Migrat Adj'!B63+'JKP-3.1c - 41 Min Migration Adj'!B45</f>
        <v>305458.82</v>
      </c>
      <c r="G112" s="421">
        <f>'JKP-3.1c - Data'!D162+'JKP-3.1c - 41T 86T Migrat Adj'!C63+'JKP-3.1c - 41 Min Migration Adj'!C45</f>
        <v>305918.82</v>
      </c>
      <c r="H112" s="421">
        <f>'JKP-3.1c - Data'!E162+'JKP-3.1c - 41T 86T Migrat Adj'!D63+'JKP-3.1c - 41 Min Migration Adj'!D45</f>
        <v>303836.82</v>
      </c>
      <c r="I112" s="421">
        <f>'JKP-3.1c - Data'!F162+'JKP-3.1c - 41T 86T Migrat Adj'!E63+'JKP-3.1c - 41 Min Migration Adj'!E45</f>
        <v>304856.82999999996</v>
      </c>
      <c r="J112" s="421">
        <f>'JKP-3.1c - Data'!G162+'JKP-3.1c - 41T 86T Migrat Adj'!F63+'JKP-3.1c - 41 Min Migration Adj'!F45</f>
        <v>303947.81999999995</v>
      </c>
      <c r="K112" s="421">
        <f>'JKP-3.1c - Data'!H162+'JKP-3.1c - 41T 86T Migrat Adj'!G63+'JKP-3.1c - 41 Min Migration Adj'!G45</f>
        <v>308036.82000000007</v>
      </c>
      <c r="L112" s="421">
        <f>'JKP-3.1c - Data'!I162+'JKP-3.1c - 41T 86T Migrat Adj'!H63+'JKP-3.1c - 41 Min Migration Adj'!H45</f>
        <v>311798.64</v>
      </c>
      <c r="M112" s="421">
        <f>'JKP-3.1c - Data'!J162+'JKP-3.1c - 41T 86T Migrat Adj'!I63+'JKP-3.1c - 41 Min Migration Adj'!I45</f>
        <v>308527</v>
      </c>
      <c r="N112" s="421">
        <f>'JKP-3.1c - Data'!K162+'JKP-3.1c - 41T 86T Migrat Adj'!J63+'JKP-3.1c - 41 Min Migration Adj'!J45</f>
        <v>309021</v>
      </c>
      <c r="O112" s="421">
        <f>'JKP-3.1c - Data'!L162+'JKP-3.1c - 41T 86T Migrat Adj'!K63+'JKP-3.1c - 41 Min Migration Adj'!K45</f>
        <v>302030</v>
      </c>
      <c r="P112" s="421">
        <f>'JKP-3.1c - Data'!M162+'JKP-3.1c - 41T 86T Migrat Adj'!L63+'JKP-3.1c - 41 Min Migration Adj'!L45</f>
        <v>304232</v>
      </c>
      <c r="Q112" s="421">
        <f>'JKP-3.1c - Data'!N162+'JKP-3.1c - 41T 86T Migrat Adj'!M63+'JKP-3.1c - 41 Min Migration Adj'!M45</f>
        <v>305525</v>
      </c>
      <c r="R112" s="378">
        <f>SUM(F112:Q112)</f>
        <v>3673189.57</v>
      </c>
    </row>
    <row r="113" spans="1:18" x14ac:dyDescent="0.2">
      <c r="B113" s="336" t="s">
        <v>1071</v>
      </c>
      <c r="E113" s="336" t="s">
        <v>67</v>
      </c>
      <c r="F113" s="378">
        <f t="shared" ref="F113:N113" si="19">F106</f>
        <v>1462</v>
      </c>
      <c r="G113" s="378">
        <f t="shared" si="19"/>
        <v>1458</v>
      </c>
      <c r="H113" s="378">
        <f t="shared" si="19"/>
        <v>1458</v>
      </c>
      <c r="I113" s="378">
        <f t="shared" si="19"/>
        <v>1460</v>
      </c>
      <c r="J113" s="378">
        <f t="shared" si="19"/>
        <v>1455</v>
      </c>
      <c r="K113" s="378">
        <f t="shared" si="19"/>
        <v>1461</v>
      </c>
      <c r="L113" s="378">
        <f t="shared" si="19"/>
        <v>1460</v>
      </c>
      <c r="M113" s="378">
        <f t="shared" si="19"/>
        <v>1445</v>
      </c>
      <c r="N113" s="378">
        <f t="shared" si="19"/>
        <v>1433</v>
      </c>
      <c r="O113" s="378">
        <f>O106</f>
        <v>1412</v>
      </c>
      <c r="P113" s="378">
        <f>P106</f>
        <v>1401</v>
      </c>
      <c r="Q113" s="378">
        <f>Q106</f>
        <v>1409</v>
      </c>
      <c r="R113" s="378">
        <f>R106</f>
        <v>17314</v>
      </c>
    </row>
    <row r="114" spans="1:18" x14ac:dyDescent="0.2">
      <c r="F114" s="362"/>
      <c r="G114" s="362"/>
      <c r="H114" s="362"/>
      <c r="I114" s="362"/>
      <c r="J114" s="362"/>
      <c r="K114" s="362"/>
      <c r="L114" s="362"/>
      <c r="M114" s="362"/>
      <c r="N114" s="362"/>
      <c r="O114" s="362"/>
      <c r="P114" s="362"/>
      <c r="Q114" s="362"/>
      <c r="R114" s="362"/>
    </row>
    <row r="115" spans="1:18" x14ac:dyDescent="0.2">
      <c r="B115" s="182" t="s">
        <v>985</v>
      </c>
      <c r="R115" s="179"/>
    </row>
    <row r="116" spans="1:18" x14ac:dyDescent="0.2">
      <c r="A116" s="336" t="s">
        <v>1054</v>
      </c>
      <c r="B116" s="336" t="s">
        <v>1059</v>
      </c>
      <c r="D116" s="336">
        <v>41</v>
      </c>
      <c r="F116" s="418">
        <f t="shared" ref="F116:N116" si="20">F93*F106</f>
        <v>163627.04</v>
      </c>
      <c r="G116" s="418">
        <f t="shared" si="20"/>
        <v>163179.36000000002</v>
      </c>
      <c r="H116" s="418">
        <f t="shared" si="20"/>
        <v>163179.36000000002</v>
      </c>
      <c r="I116" s="418">
        <f t="shared" si="20"/>
        <v>163403.20000000001</v>
      </c>
      <c r="J116" s="418">
        <f t="shared" si="20"/>
        <v>162843.6</v>
      </c>
      <c r="K116" s="418">
        <f t="shared" si="20"/>
        <v>163515.12</v>
      </c>
      <c r="L116" s="418">
        <f t="shared" si="20"/>
        <v>163403.20000000001</v>
      </c>
      <c r="M116" s="418">
        <f t="shared" si="20"/>
        <v>161724.4</v>
      </c>
      <c r="N116" s="418">
        <f t="shared" si="20"/>
        <v>160381.36000000002</v>
      </c>
      <c r="O116" s="418">
        <f>O93*O106</f>
        <v>158031.04000000001</v>
      </c>
      <c r="P116" s="418">
        <f>P93*P106</f>
        <v>156799.92000000001</v>
      </c>
      <c r="Q116" s="418">
        <f>Q93*Q106</f>
        <v>157695.28</v>
      </c>
      <c r="R116" s="437">
        <f>SUM(F116:Q116)</f>
        <v>1937782.88</v>
      </c>
    </row>
    <row r="117" spans="1:18" x14ac:dyDescent="0.2">
      <c r="B117" s="336" t="s">
        <v>1047</v>
      </c>
      <c r="F117" s="418"/>
      <c r="G117" s="418"/>
      <c r="H117" s="418"/>
      <c r="I117" s="418"/>
      <c r="J117" s="418"/>
      <c r="K117" s="418"/>
      <c r="L117" s="418"/>
      <c r="M117" s="418"/>
      <c r="N117" s="418"/>
      <c r="O117" s="418"/>
      <c r="P117" s="418"/>
      <c r="Q117" s="418"/>
      <c r="R117" s="437"/>
    </row>
    <row r="118" spans="1:18" x14ac:dyDescent="0.2">
      <c r="C118" s="336" t="s">
        <v>1073</v>
      </c>
      <c r="F118" s="337">
        <v>0</v>
      </c>
      <c r="G118" s="418">
        <f t="shared" ref="G118:N118" si="21">F118</f>
        <v>0</v>
      </c>
      <c r="H118" s="418">
        <f t="shared" si="21"/>
        <v>0</v>
      </c>
      <c r="I118" s="418">
        <f t="shared" si="21"/>
        <v>0</v>
      </c>
      <c r="J118" s="418">
        <f t="shared" si="21"/>
        <v>0</v>
      </c>
      <c r="K118" s="418">
        <f t="shared" si="21"/>
        <v>0</v>
      </c>
      <c r="L118" s="418">
        <f t="shared" si="21"/>
        <v>0</v>
      </c>
      <c r="M118" s="418">
        <f t="shared" si="21"/>
        <v>0</v>
      </c>
      <c r="N118" s="418">
        <f t="shared" si="21"/>
        <v>0</v>
      </c>
      <c r="O118" s="418">
        <f>N118</f>
        <v>0</v>
      </c>
      <c r="P118" s="418">
        <f>O118</f>
        <v>0</v>
      </c>
      <c r="Q118" s="418">
        <f>P118</f>
        <v>0</v>
      </c>
      <c r="R118" s="437"/>
    </row>
    <row r="119" spans="1:18" x14ac:dyDescent="0.2">
      <c r="C119" s="336" t="s">
        <v>1074</v>
      </c>
      <c r="D119" s="336">
        <v>41</v>
      </c>
      <c r="F119" s="418">
        <f t="shared" ref="F119:Q120" si="22">F95*F109</f>
        <v>431583.87109999999</v>
      </c>
      <c r="G119" s="418">
        <f t="shared" si="22"/>
        <v>373531.27120000002</v>
      </c>
      <c r="H119" s="418">
        <f t="shared" si="22"/>
        <v>395510.11599999998</v>
      </c>
      <c r="I119" s="418">
        <f t="shared" si="22"/>
        <v>337705.40967999998</v>
      </c>
      <c r="J119" s="418">
        <f t="shared" si="22"/>
        <v>284005.22966000001</v>
      </c>
      <c r="K119" s="418">
        <f t="shared" si="22"/>
        <v>213924.69545999999</v>
      </c>
      <c r="L119" s="418">
        <f t="shared" si="22"/>
        <v>167999.50307999999</v>
      </c>
      <c r="M119" s="418">
        <f t="shared" si="22"/>
        <v>160461.78706</v>
      </c>
      <c r="N119" s="418">
        <f t="shared" si="22"/>
        <v>180466.81332000002</v>
      </c>
      <c r="O119" s="418">
        <f t="shared" si="22"/>
        <v>269473.09652000002</v>
      </c>
      <c r="P119" s="418">
        <f t="shared" si="22"/>
        <v>396803.55494</v>
      </c>
      <c r="Q119" s="418">
        <f t="shared" si="22"/>
        <v>452930.99635999999</v>
      </c>
      <c r="R119" s="437">
        <f>SUM(F119:Q119)</f>
        <v>3664396.3443800006</v>
      </c>
    </row>
    <row r="120" spans="1:18" x14ac:dyDescent="0.2">
      <c r="C120" s="336" t="s">
        <v>1066</v>
      </c>
      <c r="D120" s="336">
        <v>41</v>
      </c>
      <c r="F120" s="418">
        <f t="shared" si="22"/>
        <v>278596.40479999996</v>
      </c>
      <c r="G120" s="418">
        <f t="shared" si="22"/>
        <v>204843.30369999999</v>
      </c>
      <c r="H120" s="418">
        <f t="shared" si="22"/>
        <v>185123.13611999998</v>
      </c>
      <c r="I120" s="418">
        <f t="shared" si="22"/>
        <v>120395.20345999999</v>
      </c>
      <c r="J120" s="418">
        <f t="shared" si="22"/>
        <v>81915.064879999991</v>
      </c>
      <c r="K120" s="418">
        <f t="shared" si="22"/>
        <v>52179.193019999999</v>
      </c>
      <c r="L120" s="418">
        <f t="shared" si="22"/>
        <v>55649.114099999999</v>
      </c>
      <c r="M120" s="418">
        <f t="shared" si="22"/>
        <v>57162.32862</v>
      </c>
      <c r="N120" s="418">
        <f t="shared" si="22"/>
        <v>61379.134339999997</v>
      </c>
      <c r="O120" s="418">
        <f t="shared" si="22"/>
        <v>114289.63238</v>
      </c>
      <c r="P120" s="418">
        <f t="shared" si="22"/>
        <v>151014.19378</v>
      </c>
      <c r="Q120" s="418">
        <f t="shared" si="22"/>
        <v>283307.54131999996</v>
      </c>
      <c r="R120" s="437">
        <f>SUM(F120:Q120)</f>
        <v>1645854.2505200002</v>
      </c>
    </row>
    <row r="121" spans="1:18" x14ac:dyDescent="0.2">
      <c r="A121" s="336" t="s">
        <v>1054</v>
      </c>
      <c r="C121" s="336" t="s">
        <v>1077</v>
      </c>
      <c r="F121" s="339">
        <f t="shared" ref="F121:N121" si="23">SUM(F118:F120)</f>
        <v>710180.27590000001</v>
      </c>
      <c r="G121" s="339">
        <f t="shared" si="23"/>
        <v>578374.57490000001</v>
      </c>
      <c r="H121" s="339">
        <f t="shared" si="23"/>
        <v>580633.25211999996</v>
      </c>
      <c r="I121" s="339">
        <f t="shared" si="23"/>
        <v>458100.61313999997</v>
      </c>
      <c r="J121" s="339">
        <f t="shared" si="23"/>
        <v>365920.29454000003</v>
      </c>
      <c r="K121" s="339">
        <f t="shared" si="23"/>
        <v>266103.88847999997</v>
      </c>
      <c r="L121" s="339">
        <f t="shared" si="23"/>
        <v>223648.61718</v>
      </c>
      <c r="M121" s="339">
        <f t="shared" si="23"/>
        <v>217624.11567999999</v>
      </c>
      <c r="N121" s="339">
        <f t="shared" si="23"/>
        <v>241845.94766000001</v>
      </c>
      <c r="O121" s="339">
        <f>SUM(O118:O120)</f>
        <v>383762.72889999999</v>
      </c>
      <c r="P121" s="339">
        <f>SUM(P118:P120)</f>
        <v>547817.74872000003</v>
      </c>
      <c r="Q121" s="339">
        <f>SUM(Q118:Q120)</f>
        <v>736238.53767999995</v>
      </c>
      <c r="R121" s="339">
        <f>SUM(R118:R120)</f>
        <v>5310250.5949000008</v>
      </c>
    </row>
    <row r="122" spans="1:18" x14ac:dyDescent="0.2">
      <c r="A122" s="336" t="s">
        <v>1056</v>
      </c>
      <c r="B122" s="415" t="s">
        <v>1057</v>
      </c>
      <c r="D122" s="336">
        <v>101</v>
      </c>
      <c r="F122" s="418">
        <f t="shared" ref="F122:N122" si="24">F97*F111</f>
        <v>4204535.5356999999</v>
      </c>
      <c r="G122" s="418">
        <f t="shared" si="24"/>
        <v>3552100.2033199999</v>
      </c>
      <c r="H122" s="418">
        <f t="shared" si="24"/>
        <v>3544927.0810799999</v>
      </c>
      <c r="I122" s="418">
        <f t="shared" si="24"/>
        <v>2945370.2603600002</v>
      </c>
      <c r="J122" s="418">
        <f t="shared" si="24"/>
        <v>2495754.2047799998</v>
      </c>
      <c r="K122" s="418">
        <f t="shared" si="24"/>
        <v>1956701.7395600001</v>
      </c>
      <c r="L122" s="418">
        <f t="shared" si="24"/>
        <v>1659886.7693400001</v>
      </c>
      <c r="M122" s="418">
        <f t="shared" si="24"/>
        <v>1621322.43438</v>
      </c>
      <c r="N122" s="418">
        <f t="shared" si="24"/>
        <v>1802132.5248400001</v>
      </c>
      <c r="O122" s="418">
        <f>O97*O111</f>
        <v>2567684.1216600002</v>
      </c>
      <c r="P122" s="418">
        <f>P97*P111</f>
        <v>3331519.1490799999</v>
      </c>
      <c r="Q122" s="418">
        <f>Q97*Q111</f>
        <v>4291598.3008399997</v>
      </c>
      <c r="R122" s="437">
        <f>SUM(F122:Q122)</f>
        <v>33973532.324940003</v>
      </c>
    </row>
    <row r="123" spans="1:18" x14ac:dyDescent="0.2">
      <c r="B123" s="336" t="s">
        <v>1068</v>
      </c>
      <c r="F123" s="418"/>
      <c r="G123" s="418"/>
      <c r="H123" s="418"/>
      <c r="I123" s="418"/>
      <c r="J123" s="418"/>
      <c r="K123" s="418"/>
      <c r="L123" s="418"/>
      <c r="M123" s="418"/>
      <c r="N123" s="418"/>
      <c r="O123" s="418"/>
      <c r="P123" s="418"/>
      <c r="Q123" s="418"/>
      <c r="R123" s="437"/>
    </row>
    <row r="124" spans="1:18" x14ac:dyDescent="0.2">
      <c r="A124" s="336" t="s">
        <v>1054</v>
      </c>
      <c r="C124" s="336" t="s">
        <v>1069</v>
      </c>
      <c r="D124" s="336">
        <v>41</v>
      </c>
      <c r="F124" s="418">
        <f t="shared" ref="F124:N124" si="25">F99*F112</f>
        <v>348223.05479999998</v>
      </c>
      <c r="G124" s="418">
        <f t="shared" si="25"/>
        <v>348747.45480000001</v>
      </c>
      <c r="H124" s="418">
        <f t="shared" si="25"/>
        <v>346373.97479999997</v>
      </c>
      <c r="I124" s="418">
        <f t="shared" si="25"/>
        <v>347536.78619999991</v>
      </c>
      <c r="J124" s="418">
        <f t="shared" si="25"/>
        <v>346500.51479999989</v>
      </c>
      <c r="K124" s="418">
        <f t="shared" si="25"/>
        <v>351161.97480000003</v>
      </c>
      <c r="L124" s="418">
        <f t="shared" si="25"/>
        <v>355450.44959999999</v>
      </c>
      <c r="M124" s="418">
        <f t="shared" si="25"/>
        <v>351720.77999999997</v>
      </c>
      <c r="N124" s="418">
        <f t="shared" si="25"/>
        <v>352283.93999999994</v>
      </c>
      <c r="O124" s="418">
        <f>O99*O112</f>
        <v>344314.19999999995</v>
      </c>
      <c r="P124" s="418">
        <f>P99*P112</f>
        <v>346824.48</v>
      </c>
      <c r="Q124" s="418">
        <f>Q99*Q112</f>
        <v>348298.49999999994</v>
      </c>
      <c r="R124" s="437">
        <f>SUM(F124:Q124)</f>
        <v>4187436.1097999993</v>
      </c>
    </row>
    <row r="125" spans="1:18" x14ac:dyDescent="0.2">
      <c r="A125" s="336" t="s">
        <v>1056</v>
      </c>
      <c r="C125" s="336" t="s">
        <v>1070</v>
      </c>
      <c r="D125" s="336">
        <v>101</v>
      </c>
      <c r="F125" s="418">
        <f t="shared" ref="F125:N125" si="26">F100*F112</f>
        <v>320731.761</v>
      </c>
      <c r="G125" s="418">
        <f t="shared" si="26"/>
        <v>321214.761</v>
      </c>
      <c r="H125" s="418">
        <f t="shared" si="26"/>
        <v>319028.66100000002</v>
      </c>
      <c r="I125" s="418">
        <f t="shared" si="26"/>
        <v>320099.6715</v>
      </c>
      <c r="J125" s="418">
        <f t="shared" si="26"/>
        <v>319145.21099999995</v>
      </c>
      <c r="K125" s="418">
        <f t="shared" si="26"/>
        <v>323438.66100000008</v>
      </c>
      <c r="L125" s="418">
        <f t="shared" si="26"/>
        <v>327388.57200000004</v>
      </c>
      <c r="M125" s="418">
        <f t="shared" si="26"/>
        <v>323953.35000000003</v>
      </c>
      <c r="N125" s="418">
        <f t="shared" si="26"/>
        <v>324472.05</v>
      </c>
      <c r="O125" s="418">
        <f>O100*O112</f>
        <v>317131.5</v>
      </c>
      <c r="P125" s="418">
        <f>P100*P112</f>
        <v>319443.60000000003</v>
      </c>
      <c r="Q125" s="418">
        <f>Q100*Q112</f>
        <v>320801.25</v>
      </c>
      <c r="R125" s="437">
        <f>SUM(F125:Q125)</f>
        <v>3856849.0485</v>
      </c>
    </row>
    <row r="126" spans="1:18" x14ac:dyDescent="0.2">
      <c r="C126" s="336" t="s">
        <v>1078</v>
      </c>
      <c r="F126" s="339">
        <f t="shared" ref="F126:N126" si="27">SUM(F124:F125)</f>
        <v>668954.81579999998</v>
      </c>
      <c r="G126" s="339">
        <f t="shared" si="27"/>
        <v>669962.21580000001</v>
      </c>
      <c r="H126" s="339">
        <f t="shared" si="27"/>
        <v>665402.63580000005</v>
      </c>
      <c r="I126" s="339">
        <f t="shared" si="27"/>
        <v>667636.45769999991</v>
      </c>
      <c r="J126" s="339">
        <f t="shared" si="27"/>
        <v>665645.7257999999</v>
      </c>
      <c r="K126" s="339">
        <f t="shared" si="27"/>
        <v>674600.63580000005</v>
      </c>
      <c r="L126" s="339">
        <f t="shared" si="27"/>
        <v>682839.02160000009</v>
      </c>
      <c r="M126" s="339">
        <f t="shared" si="27"/>
        <v>675674.13</v>
      </c>
      <c r="N126" s="339">
        <f t="shared" si="27"/>
        <v>676755.99</v>
      </c>
      <c r="O126" s="339">
        <f>SUM(O124:O125)</f>
        <v>661445.69999999995</v>
      </c>
      <c r="P126" s="339">
        <f>SUM(P124:P125)</f>
        <v>666268.08000000007</v>
      </c>
      <c r="Q126" s="339">
        <f>SUM(Q124:Q125)</f>
        <v>669099.75</v>
      </c>
      <c r="R126" s="339">
        <f>SUM(R124:R125)</f>
        <v>8044285.1582999993</v>
      </c>
    </row>
    <row r="127" spans="1:18" x14ac:dyDescent="0.2">
      <c r="A127" s="336" t="s">
        <v>1054</v>
      </c>
      <c r="B127" s="336" t="s">
        <v>1071</v>
      </c>
      <c r="D127" s="336">
        <v>41</v>
      </c>
      <c r="F127" s="418">
        <f t="shared" ref="F127:N127" si="28">F113*F101</f>
        <v>188875.78</v>
      </c>
      <c r="G127" s="418">
        <f t="shared" si="28"/>
        <v>188359.02</v>
      </c>
      <c r="H127" s="418">
        <f t="shared" si="28"/>
        <v>188359.02</v>
      </c>
      <c r="I127" s="418">
        <f t="shared" si="28"/>
        <v>188617.4</v>
      </c>
      <c r="J127" s="418">
        <f t="shared" si="28"/>
        <v>187971.44999999998</v>
      </c>
      <c r="K127" s="418">
        <f t="shared" si="28"/>
        <v>188746.59</v>
      </c>
      <c r="L127" s="418">
        <f t="shared" si="28"/>
        <v>188617.4</v>
      </c>
      <c r="M127" s="418">
        <f t="shared" si="28"/>
        <v>186679.55</v>
      </c>
      <c r="N127" s="418">
        <f t="shared" si="28"/>
        <v>185129.27</v>
      </c>
      <c r="O127" s="418">
        <f>O113*O101</f>
        <v>182416.28</v>
      </c>
      <c r="P127" s="418">
        <f>P113*P101</f>
        <v>180995.19</v>
      </c>
      <c r="Q127" s="418">
        <f>Q113*Q101</f>
        <v>182028.71</v>
      </c>
      <c r="R127" s="437">
        <f>SUM(F127:Q127)</f>
        <v>2236795.66</v>
      </c>
    </row>
    <row r="128" spans="1:18" x14ac:dyDescent="0.2">
      <c r="B128" s="336" t="s">
        <v>1079</v>
      </c>
      <c r="F128" s="339">
        <f t="shared" ref="F128:N128" si="29">F122+F125</f>
        <v>4525267.2966999998</v>
      </c>
      <c r="G128" s="339">
        <f t="shared" si="29"/>
        <v>3873314.9643199998</v>
      </c>
      <c r="H128" s="339">
        <f t="shared" si="29"/>
        <v>3863955.7420799998</v>
      </c>
      <c r="I128" s="339">
        <f t="shared" si="29"/>
        <v>3265469.9318600004</v>
      </c>
      <c r="J128" s="339">
        <f t="shared" si="29"/>
        <v>2814899.4157799999</v>
      </c>
      <c r="K128" s="339">
        <f t="shared" si="29"/>
        <v>2280140.40056</v>
      </c>
      <c r="L128" s="339">
        <f t="shared" si="29"/>
        <v>1987275.3413400003</v>
      </c>
      <c r="M128" s="339">
        <f t="shared" si="29"/>
        <v>1945275.7843800001</v>
      </c>
      <c r="N128" s="339">
        <f t="shared" si="29"/>
        <v>2126604.5748399999</v>
      </c>
      <c r="O128" s="339">
        <f>O122+O125</f>
        <v>2884815.6216600002</v>
      </c>
      <c r="P128" s="339">
        <f>P122+P125</f>
        <v>3650962.74908</v>
      </c>
      <c r="Q128" s="339">
        <f>Q122+Q125</f>
        <v>4612399.5508399997</v>
      </c>
      <c r="R128" s="339">
        <f>R122+R125</f>
        <v>37830381.373440005</v>
      </c>
    </row>
    <row r="129" spans="1:20" x14ac:dyDescent="0.2">
      <c r="B129" s="336" t="s">
        <v>986</v>
      </c>
      <c r="F129" s="339">
        <f t="shared" ref="F129:N129" si="30">F116+F121+F122+F126+F127</f>
        <v>5936173.4473999999</v>
      </c>
      <c r="G129" s="339">
        <f t="shared" si="30"/>
        <v>5151975.37402</v>
      </c>
      <c r="H129" s="339">
        <f t="shared" si="30"/>
        <v>5142501.3489999995</v>
      </c>
      <c r="I129" s="339">
        <f t="shared" si="30"/>
        <v>4423127.9312000005</v>
      </c>
      <c r="J129" s="339">
        <f t="shared" si="30"/>
        <v>3878135.2751200004</v>
      </c>
      <c r="K129" s="339">
        <f t="shared" si="30"/>
        <v>3249667.9738400001</v>
      </c>
      <c r="L129" s="339">
        <f t="shared" si="30"/>
        <v>2918395.0081199999</v>
      </c>
      <c r="M129" s="339">
        <f t="shared" si="30"/>
        <v>2863024.6300599999</v>
      </c>
      <c r="N129" s="339">
        <f t="shared" si="30"/>
        <v>3066245.0924999998</v>
      </c>
      <c r="O129" s="339">
        <f>O116+O121+O122+O126+O127</f>
        <v>3953339.8705600002</v>
      </c>
      <c r="P129" s="339">
        <f>P116+P121+P122+P126+P127</f>
        <v>4883400.0878000008</v>
      </c>
      <c r="Q129" s="339">
        <f>Q116+Q121+Q122+Q126+Q127</f>
        <v>6036660.57852</v>
      </c>
      <c r="R129" s="339">
        <f>R116+R121+R122+R126+R127</f>
        <v>51502646.618139997</v>
      </c>
      <c r="S129" s="340"/>
    </row>
    <row r="130" spans="1:20" x14ac:dyDescent="0.2">
      <c r="F130" s="418"/>
      <c r="G130" s="418"/>
      <c r="H130" s="418"/>
      <c r="I130" s="418"/>
      <c r="J130" s="418"/>
      <c r="K130" s="418"/>
      <c r="L130" s="418"/>
      <c r="M130" s="418"/>
      <c r="N130" s="418"/>
      <c r="O130" s="418"/>
      <c r="P130" s="418"/>
      <c r="Q130" s="418"/>
      <c r="R130" s="437"/>
    </row>
    <row r="131" spans="1:20" x14ac:dyDescent="0.2">
      <c r="A131" s="336" t="s">
        <v>1058</v>
      </c>
      <c r="B131" s="336" t="s">
        <v>1050</v>
      </c>
      <c r="F131" s="418">
        <f>F111*F102+F112*F103</f>
        <v>4328179.8558499999</v>
      </c>
      <c r="G131" s="418">
        <f t="shared" ref="G131:Q131" si="31">G111*G102+G112*G103</f>
        <v>3704417.4384599994</v>
      </c>
      <c r="H131" s="418">
        <f t="shared" si="31"/>
        <v>3695472.4997399994</v>
      </c>
      <c r="I131" s="418">
        <f t="shared" si="31"/>
        <v>3122862.0065799998</v>
      </c>
      <c r="J131" s="418">
        <f t="shared" si="31"/>
        <v>2691779.4495899999</v>
      </c>
      <c r="K131" s="418">
        <f t="shared" si="31"/>
        <v>2180125.9441799996</v>
      </c>
      <c r="L131" s="418">
        <f t="shared" si="31"/>
        <v>1899907.8062700001</v>
      </c>
      <c r="M131" s="418">
        <f t="shared" si="31"/>
        <v>1859739.4483899998</v>
      </c>
      <c r="N131" s="418">
        <f t="shared" si="31"/>
        <v>2033224.86402</v>
      </c>
      <c r="O131" s="418">
        <f t="shared" si="31"/>
        <v>2758681.1192299998</v>
      </c>
      <c r="P131" s="418">
        <f t="shared" si="31"/>
        <v>3491688.0337399999</v>
      </c>
      <c r="Q131" s="418">
        <f t="shared" si="31"/>
        <v>4411543.9920199998</v>
      </c>
      <c r="R131" s="437">
        <f>SUM(F131:Q131)</f>
        <v>36177622.458069995</v>
      </c>
    </row>
    <row r="132" spans="1:20" x14ac:dyDescent="0.2">
      <c r="F132" s="418"/>
      <c r="G132" s="418"/>
      <c r="H132" s="418"/>
      <c r="I132" s="418"/>
      <c r="J132" s="418"/>
      <c r="K132" s="418"/>
      <c r="L132" s="418"/>
      <c r="M132" s="418"/>
      <c r="N132" s="418"/>
      <c r="O132" s="418"/>
      <c r="P132" s="418"/>
      <c r="Q132" s="418"/>
      <c r="R132" s="437"/>
    </row>
    <row r="133" spans="1:20" x14ac:dyDescent="0.2">
      <c r="B133" s="182" t="s">
        <v>1080</v>
      </c>
      <c r="C133" s="182"/>
      <c r="F133" s="415"/>
      <c r="G133" s="415"/>
      <c r="H133" s="415"/>
      <c r="I133" s="415"/>
      <c r="J133" s="415"/>
      <c r="S133" s="336"/>
      <c r="T133" s="336"/>
    </row>
    <row r="134" spans="1:20" x14ac:dyDescent="0.2">
      <c r="B134" s="182" t="s">
        <v>5</v>
      </c>
      <c r="C134" s="182"/>
      <c r="F134" s="415"/>
      <c r="G134" s="415"/>
      <c r="H134" s="415"/>
      <c r="I134" s="415"/>
      <c r="J134" s="415"/>
      <c r="S134" s="336"/>
      <c r="T134" s="336"/>
    </row>
    <row r="135" spans="1:20" x14ac:dyDescent="0.2">
      <c r="B135" s="336" t="s">
        <v>1059</v>
      </c>
      <c r="D135" s="382" t="s">
        <v>808</v>
      </c>
      <c r="E135" s="336" t="s">
        <v>976</v>
      </c>
      <c r="F135" s="666">
        <f>'JKP-3.1c - Rev Rates GTI10'!F135</f>
        <v>431.69</v>
      </c>
      <c r="G135" s="666">
        <f>'JKP-3.1c - Rev Rates GTI10'!G135</f>
        <v>431.69</v>
      </c>
      <c r="H135" s="666">
        <f>'JKP-3.1c - Rev Rates GTI10'!H135</f>
        <v>431.69</v>
      </c>
      <c r="I135" s="666">
        <f>'JKP-3.1c - Rev Rates GTI10'!I135</f>
        <v>431.69</v>
      </c>
      <c r="J135" s="666">
        <f>'JKP-3.1c - Rev Rates GTI10'!J135</f>
        <v>431.69</v>
      </c>
      <c r="K135" s="666">
        <f>'JKP-3.1c - Rev Rates GTI10'!K135</f>
        <v>431.69</v>
      </c>
      <c r="L135" s="666">
        <f>'JKP-3.1c - Rev Rates GTI10'!L135</f>
        <v>431.69</v>
      </c>
      <c r="M135" s="666">
        <f>'JKP-3.1c - Rev Rates GTI10'!M135</f>
        <v>431.69</v>
      </c>
      <c r="N135" s="666">
        <f>'JKP-3.1c - Rev Rates GTI10'!N135</f>
        <v>431.69</v>
      </c>
      <c r="O135" s="666">
        <f>'JKP-3.1c - Rev Rates GTI10'!O135</f>
        <v>431.69</v>
      </c>
      <c r="P135" s="666">
        <f>'JKP-3.1c - Rev Rates GTI10'!P135</f>
        <v>431.69</v>
      </c>
      <c r="Q135" s="666">
        <f>'JKP-3.1c - Rev Rates GTI10'!Q135</f>
        <v>431.69</v>
      </c>
      <c r="S135" s="336"/>
      <c r="T135" s="336"/>
    </row>
    <row r="136" spans="1:20" x14ac:dyDescent="0.2">
      <c r="B136" s="336" t="s">
        <v>1047</v>
      </c>
      <c r="D136" s="382"/>
      <c r="F136" s="496"/>
      <c r="G136" s="496"/>
      <c r="H136" s="496"/>
      <c r="I136" s="496"/>
      <c r="J136" s="496"/>
      <c r="K136" s="496"/>
      <c r="L136" s="496"/>
      <c r="M136" s="496"/>
      <c r="N136" s="496"/>
      <c r="O136" s="496"/>
      <c r="P136" s="496"/>
      <c r="Q136" s="496"/>
      <c r="S136" s="336"/>
      <c r="T136" s="336"/>
    </row>
    <row r="137" spans="1:20" x14ac:dyDescent="0.2">
      <c r="C137" s="336" t="s">
        <v>1065</v>
      </c>
      <c r="D137" s="382" t="s">
        <v>808</v>
      </c>
      <c r="E137" s="336" t="s">
        <v>957</v>
      </c>
      <c r="F137" s="496">
        <f>'JKP-3.1c - Rev Rates GTI10'!F137</f>
        <v>0.14354</v>
      </c>
      <c r="G137" s="496">
        <f>'JKP-3.1c - Rev Rates GTI10'!G137</f>
        <v>0.14354</v>
      </c>
      <c r="H137" s="496">
        <f>'JKP-3.1c - Rev Rates GTI10'!H137</f>
        <v>0.14354</v>
      </c>
      <c r="I137" s="496">
        <f>'JKP-3.1c - Rev Rates GTI10'!I137</f>
        <v>0.14354</v>
      </c>
      <c r="J137" s="496">
        <f>'JKP-3.1c - Rev Rates GTI10'!J137</f>
        <v>0.14354</v>
      </c>
      <c r="K137" s="496">
        <f>'JKP-3.1c - Rev Rates GTI10'!K137</f>
        <v>0.14354</v>
      </c>
      <c r="L137" s="496">
        <f>'JKP-3.1c - Rev Rates GTI10'!L137</f>
        <v>0.14354</v>
      </c>
      <c r="M137" s="496">
        <f>'JKP-3.1c - Rev Rates GTI10'!M137</f>
        <v>0.14354</v>
      </c>
      <c r="N137" s="496">
        <f>'JKP-3.1c - Rev Rates GTI10'!N137</f>
        <v>0.14354</v>
      </c>
      <c r="O137" s="496">
        <f>'JKP-3.1c - Rev Rates GTI10'!O137</f>
        <v>0.14354</v>
      </c>
      <c r="P137" s="496">
        <f>'JKP-3.1c - Rev Rates GTI10'!P137</f>
        <v>0.14354</v>
      </c>
      <c r="Q137" s="496">
        <f>'JKP-3.1c - Rev Rates GTI10'!Q137</f>
        <v>0.14354</v>
      </c>
      <c r="S137" s="336"/>
      <c r="T137" s="336"/>
    </row>
    <row r="138" spans="1:20" x14ac:dyDescent="0.2">
      <c r="C138" s="336" t="s">
        <v>1066</v>
      </c>
      <c r="D138" s="382" t="s">
        <v>808</v>
      </c>
      <c r="E138" s="336" t="s">
        <v>957</v>
      </c>
      <c r="F138" s="496">
        <f>'JKP-3.1c - Rev Rates GTI10'!F138</f>
        <v>0.11713999999999999</v>
      </c>
      <c r="G138" s="496">
        <f>'JKP-3.1c - Rev Rates GTI10'!G138</f>
        <v>0.11713999999999999</v>
      </c>
      <c r="H138" s="496">
        <f>'JKP-3.1c - Rev Rates GTI10'!H138</f>
        <v>0.11713999999999999</v>
      </c>
      <c r="I138" s="496">
        <f>'JKP-3.1c - Rev Rates GTI10'!I138</f>
        <v>0.11713999999999999</v>
      </c>
      <c r="J138" s="496">
        <f>'JKP-3.1c - Rev Rates GTI10'!J138</f>
        <v>0.11713999999999999</v>
      </c>
      <c r="K138" s="496">
        <f>'JKP-3.1c - Rev Rates GTI10'!K138</f>
        <v>0.11713999999999999</v>
      </c>
      <c r="L138" s="496">
        <f>'JKP-3.1c - Rev Rates GTI10'!L138</f>
        <v>0.11713999999999999</v>
      </c>
      <c r="M138" s="496">
        <f>'JKP-3.1c - Rev Rates GTI10'!M138</f>
        <v>0.11713999999999999</v>
      </c>
      <c r="N138" s="496">
        <f>'JKP-3.1c - Rev Rates GTI10'!N138</f>
        <v>0.11713999999999999</v>
      </c>
      <c r="O138" s="496">
        <f>'JKP-3.1c - Rev Rates GTI10'!O138</f>
        <v>0.11713999999999999</v>
      </c>
      <c r="P138" s="496">
        <f>'JKP-3.1c - Rev Rates GTI10'!P138</f>
        <v>0.11713999999999999</v>
      </c>
      <c r="Q138" s="496">
        <f>'JKP-3.1c - Rev Rates GTI10'!Q138</f>
        <v>0.11713999999999999</v>
      </c>
      <c r="S138" s="336"/>
      <c r="T138" s="336"/>
    </row>
    <row r="139" spans="1:20" x14ac:dyDescent="0.2">
      <c r="B139" s="336" t="s">
        <v>1081</v>
      </c>
      <c r="D139" s="382" t="s">
        <v>808</v>
      </c>
      <c r="E139" s="336" t="s">
        <v>957</v>
      </c>
      <c r="F139" s="496">
        <f>'JKP-3.1c - Rev Rates GTI10'!F139</f>
        <v>6.9999999999999999E-4</v>
      </c>
      <c r="G139" s="496">
        <f>'JKP-3.1c - Rev Rates GTI10'!G139</f>
        <v>6.9999999999999999E-4</v>
      </c>
      <c r="H139" s="496">
        <f>'JKP-3.1c - Rev Rates GTI10'!H139</f>
        <v>6.9999999999999999E-4</v>
      </c>
      <c r="I139" s="496">
        <f>'JKP-3.1c - Rev Rates GTI10'!I139</f>
        <v>6.9999999999999999E-4</v>
      </c>
      <c r="J139" s="496">
        <f>'JKP-3.1c - Rev Rates GTI10'!J139</f>
        <v>6.9999999999999999E-4</v>
      </c>
      <c r="K139" s="496">
        <f>'JKP-3.1c - Rev Rates GTI10'!K139</f>
        <v>6.9999999999999999E-4</v>
      </c>
      <c r="L139" s="496">
        <f>'JKP-3.1c - Rev Rates GTI10'!L139</f>
        <v>6.9999999999999999E-4</v>
      </c>
      <c r="M139" s="496">
        <f>'JKP-3.1c - Rev Rates GTI10'!M139</f>
        <v>6.9999999999999999E-4</v>
      </c>
      <c r="N139" s="496">
        <f>'JKP-3.1c - Rev Rates GTI10'!N139</f>
        <v>6.9999999999999999E-4</v>
      </c>
      <c r="O139" s="496">
        <f>'JKP-3.1c - Rev Rates GTI10'!O139</f>
        <v>6.9999999999999999E-4</v>
      </c>
      <c r="P139" s="496">
        <f>'JKP-3.1c - Rev Rates GTI10'!P139</f>
        <v>6.9999999999999999E-4</v>
      </c>
      <c r="Q139" s="496">
        <f>'JKP-3.1c - Rev Rates GTI10'!Q139</f>
        <v>6.9999999999999999E-4</v>
      </c>
      <c r="S139" s="336"/>
      <c r="T139" s="336"/>
    </row>
    <row r="140" spans="1:20" x14ac:dyDescent="0.2">
      <c r="B140" s="336" t="s">
        <v>1082</v>
      </c>
      <c r="F140" s="496">
        <f>'JKP-3.1c - Rev Rates GTI10'!F140</f>
        <v>-5.1999999999999998E-3</v>
      </c>
      <c r="G140" s="496">
        <f>'JKP-3.1c - Rev Rates GTI10'!G140</f>
        <v>-5.1999999999999998E-3</v>
      </c>
      <c r="H140" s="496">
        <f>'JKP-3.1c - Rev Rates GTI10'!H140</f>
        <v>-5.1999999999999998E-3</v>
      </c>
      <c r="I140" s="496">
        <f>'JKP-3.1c - Rev Rates GTI10'!I140</f>
        <v>-5.1999999999999998E-3</v>
      </c>
      <c r="J140" s="496">
        <f>'JKP-3.1c - Rev Rates GTI10'!J140</f>
        <v>-5.1999999999999998E-3</v>
      </c>
      <c r="K140" s="496">
        <f>'JKP-3.1c - Rev Rates GTI10'!K140</f>
        <v>-5.1999999999999998E-3</v>
      </c>
      <c r="L140" s="496">
        <f>'JKP-3.1c - Rev Rates GTI10'!L140</f>
        <v>-5.1999999999999998E-3</v>
      </c>
      <c r="M140" s="496">
        <f>'JKP-3.1c - Rev Rates GTI10'!M140</f>
        <v>-5.1999999999999998E-3</v>
      </c>
      <c r="N140" s="496">
        <f>'JKP-3.1c - Rev Rates GTI10'!N140</f>
        <v>-5.1999999999999998E-3</v>
      </c>
      <c r="O140" s="496">
        <f>'JKP-3.1c - Rev Rates GTI10'!O140</f>
        <v>-5.1999999999999998E-3</v>
      </c>
      <c r="P140" s="496">
        <f>'JKP-3.1c - Rev Rates GTI10'!P140</f>
        <v>-5.1999999999999998E-3</v>
      </c>
      <c r="Q140" s="496">
        <f>'JKP-3.1c - Rev Rates GTI10'!Q140</f>
        <v>-5.1999999999999998E-3</v>
      </c>
      <c r="S140" s="336"/>
      <c r="T140" s="336"/>
    </row>
    <row r="141" spans="1:20" x14ac:dyDescent="0.2">
      <c r="B141" s="336" t="s">
        <v>1069</v>
      </c>
      <c r="D141" s="382" t="s">
        <v>808</v>
      </c>
      <c r="E141" s="336" t="s">
        <v>957</v>
      </c>
      <c r="F141" s="667">
        <f>'JKP-3.1c - Rev Rates GTI10'!F141</f>
        <v>1.1399999999999999</v>
      </c>
      <c r="G141" s="667">
        <f>'JKP-3.1c - Rev Rates GTI10'!G141</f>
        <v>1.1399999999999999</v>
      </c>
      <c r="H141" s="667">
        <f>'JKP-3.1c - Rev Rates GTI10'!H141</f>
        <v>1.1399999999999999</v>
      </c>
      <c r="I141" s="667">
        <f>'JKP-3.1c - Rev Rates GTI10'!I141</f>
        <v>1.1399999999999999</v>
      </c>
      <c r="J141" s="667">
        <f>'JKP-3.1c - Rev Rates GTI10'!J141</f>
        <v>1.1399999999999999</v>
      </c>
      <c r="K141" s="667">
        <f>'JKP-3.1c - Rev Rates GTI10'!K141</f>
        <v>1.1399999999999999</v>
      </c>
      <c r="L141" s="667">
        <f>'JKP-3.1c - Rev Rates GTI10'!L141</f>
        <v>1.1399999999999999</v>
      </c>
      <c r="M141" s="667">
        <f>'JKP-3.1c - Rev Rates GTI10'!M141</f>
        <v>1.1399999999999999</v>
      </c>
      <c r="N141" s="667">
        <f>'JKP-3.1c - Rev Rates GTI10'!N141</f>
        <v>1.1399999999999999</v>
      </c>
      <c r="O141" s="667">
        <f>'JKP-3.1c - Rev Rates GTI10'!O141</f>
        <v>1.1399999999999999</v>
      </c>
      <c r="P141" s="667">
        <f>'JKP-3.1c - Rev Rates GTI10'!P141</f>
        <v>1.1399999999999999</v>
      </c>
      <c r="Q141" s="667">
        <f>'JKP-3.1c - Rev Rates GTI10'!Q141</f>
        <v>1.1399999999999999</v>
      </c>
      <c r="S141" s="448"/>
      <c r="T141" s="336"/>
    </row>
    <row r="142" spans="1:20" x14ac:dyDescent="0.2">
      <c r="B142" s="336" t="s">
        <v>1071</v>
      </c>
      <c r="D142" s="382" t="s">
        <v>808</v>
      </c>
      <c r="E142" s="336" t="s">
        <v>67</v>
      </c>
      <c r="F142" s="667">
        <f>'JKP-3.1c - Rev Rates GTI10'!F142</f>
        <v>129.19</v>
      </c>
      <c r="G142" s="667">
        <f>'JKP-3.1c - Rev Rates GTI10'!G142</f>
        <v>129.19</v>
      </c>
      <c r="H142" s="667">
        <f>'JKP-3.1c - Rev Rates GTI10'!H142</f>
        <v>129.19</v>
      </c>
      <c r="I142" s="667">
        <f>'JKP-3.1c - Rev Rates GTI10'!I142</f>
        <v>129.19</v>
      </c>
      <c r="J142" s="667">
        <f>'JKP-3.1c - Rev Rates GTI10'!J142</f>
        <v>129.19</v>
      </c>
      <c r="K142" s="667">
        <f>'JKP-3.1c - Rev Rates GTI10'!K142</f>
        <v>129.19</v>
      </c>
      <c r="L142" s="667">
        <f>'JKP-3.1c - Rev Rates GTI10'!L142</f>
        <v>129.19</v>
      </c>
      <c r="M142" s="667">
        <f>'JKP-3.1c - Rev Rates GTI10'!M142</f>
        <v>129.19</v>
      </c>
      <c r="N142" s="667">
        <f>'JKP-3.1c - Rev Rates GTI10'!N142</f>
        <v>129.19</v>
      </c>
      <c r="O142" s="667">
        <f>'JKP-3.1c - Rev Rates GTI10'!O142</f>
        <v>129.19</v>
      </c>
      <c r="P142" s="667">
        <f>'JKP-3.1c - Rev Rates GTI10'!P142</f>
        <v>129.19</v>
      </c>
      <c r="Q142" s="667">
        <f>'JKP-3.1c - Rev Rates GTI10'!Q142</f>
        <v>129.19</v>
      </c>
      <c r="S142" s="336"/>
      <c r="T142" s="336"/>
    </row>
    <row r="143" spans="1:20" x14ac:dyDescent="0.2">
      <c r="S143" s="336"/>
      <c r="T143" s="336"/>
    </row>
    <row r="144" spans="1:20" x14ac:dyDescent="0.2">
      <c r="B144" s="182" t="s">
        <v>982</v>
      </c>
      <c r="S144" s="336"/>
      <c r="T144" s="336"/>
    </row>
    <row r="145" spans="1:20" x14ac:dyDescent="0.2">
      <c r="B145" s="336" t="s">
        <v>67</v>
      </c>
      <c r="D145" s="382" t="s">
        <v>808</v>
      </c>
      <c r="E145" s="336" t="s">
        <v>67</v>
      </c>
      <c r="F145" s="421">
        <f>'JKP-3.1c - Data'!C143+'JKP-3.1c - 41T 86T Migrat Adj'!B55</f>
        <v>30</v>
      </c>
      <c r="G145" s="421">
        <f>'JKP-3.1c - Data'!D143+'JKP-3.1c - 41T 86T Migrat Adj'!C55</f>
        <v>30</v>
      </c>
      <c r="H145" s="421">
        <f>'JKP-3.1c - Data'!E143+'JKP-3.1c - 41T 86T Migrat Adj'!D55</f>
        <v>30</v>
      </c>
      <c r="I145" s="421">
        <f>'JKP-3.1c - Data'!F143+'JKP-3.1c - 41T 86T Migrat Adj'!E55</f>
        <v>30</v>
      </c>
      <c r="J145" s="421">
        <f>'JKP-3.1c - Data'!G143+'JKP-3.1c - 41T 86T Migrat Adj'!F55</f>
        <v>30</v>
      </c>
      <c r="K145" s="421">
        <f>'JKP-3.1c - Data'!H143+'JKP-3.1c - 41T 86T Migrat Adj'!G55</f>
        <v>30</v>
      </c>
      <c r="L145" s="421">
        <f>'JKP-3.1c - Data'!I143+'JKP-3.1c - 41T 86T Migrat Adj'!H55</f>
        <v>30</v>
      </c>
      <c r="M145" s="421">
        <f>'JKP-3.1c - Data'!J143+'JKP-3.1c - 41T 86T Migrat Adj'!I55</f>
        <v>30</v>
      </c>
      <c r="N145" s="421">
        <f>'JKP-3.1c - Data'!K143+'JKP-3.1c - 41T 86T Migrat Adj'!J55</f>
        <v>29</v>
      </c>
      <c r="O145" s="421">
        <f>'JKP-3.1c - Data'!L143+'JKP-3.1c - 41T 86T Migrat Adj'!K55</f>
        <v>30</v>
      </c>
      <c r="P145" s="421">
        <f>'JKP-3.1c - Data'!M143+'JKP-3.1c - 41T 86T Migrat Adj'!L55</f>
        <v>30</v>
      </c>
      <c r="Q145" s="421">
        <f>'JKP-3.1c - Data'!N143+'JKP-3.1c - 41T 86T Migrat Adj'!M55</f>
        <v>30</v>
      </c>
      <c r="R145" s="378">
        <f>SUM(F145:Q145)</f>
        <v>359</v>
      </c>
      <c r="S145" s="336"/>
      <c r="T145" s="336"/>
    </row>
    <row r="146" spans="1:20" x14ac:dyDescent="0.2">
      <c r="B146" s="336" t="s">
        <v>76</v>
      </c>
      <c r="F146" s="380"/>
      <c r="G146" s="380"/>
      <c r="H146" s="380"/>
      <c r="I146" s="380"/>
      <c r="J146" s="380"/>
      <c r="K146" s="380"/>
      <c r="L146" s="380"/>
      <c r="M146" s="380"/>
      <c r="N146" s="380"/>
      <c r="O146" s="380"/>
      <c r="P146" s="380"/>
      <c r="Q146" s="380"/>
      <c r="R146" s="378"/>
      <c r="S146" s="336"/>
      <c r="T146" s="336"/>
    </row>
    <row r="147" spans="1:20" x14ac:dyDescent="0.2">
      <c r="C147" s="336" t="s">
        <v>1073</v>
      </c>
      <c r="D147" s="382" t="s">
        <v>808</v>
      </c>
      <c r="E147" s="336" t="s">
        <v>10</v>
      </c>
      <c r="F147" s="421">
        <f>'JKP-3.1c - Rev Rates GTI10'!F147+'JKP-3.1c - 41T 86T Migrat Adj'!B37</f>
        <v>27000</v>
      </c>
      <c r="G147" s="421">
        <f>'JKP-3.1c - Rev Rates GTI10'!G147+'JKP-3.1c - 41T 86T Migrat Adj'!C37</f>
        <v>27000</v>
      </c>
      <c r="H147" s="421">
        <f>'JKP-3.1c - Rev Rates GTI10'!H147+'JKP-3.1c - 41T 86T Migrat Adj'!D37</f>
        <v>27000</v>
      </c>
      <c r="I147" s="421">
        <f>'JKP-3.1c - Rev Rates GTI10'!I147+'JKP-3.1c - 41T 86T Migrat Adj'!E37</f>
        <v>27000</v>
      </c>
      <c r="J147" s="421">
        <f>'JKP-3.1c - Rev Rates GTI10'!J147+'JKP-3.1c - 41T 86T Migrat Adj'!F37</f>
        <v>27000</v>
      </c>
      <c r="K147" s="421">
        <f>'JKP-3.1c - Rev Rates GTI10'!K147+'JKP-3.1c - 41T 86T Migrat Adj'!G37</f>
        <v>27000</v>
      </c>
      <c r="L147" s="421">
        <f>'JKP-3.1c - Rev Rates GTI10'!L147+'JKP-3.1c - 41T 86T Migrat Adj'!H37</f>
        <v>27000</v>
      </c>
      <c r="M147" s="421">
        <f>'JKP-3.1c - Rev Rates GTI10'!M147+'JKP-3.1c - 41T 86T Migrat Adj'!I37</f>
        <v>26730</v>
      </c>
      <c r="N147" s="421">
        <f>'JKP-3.1c - Rev Rates GTI10'!N147+'JKP-3.1c - 41T 86T Migrat Adj'!J37</f>
        <v>26483</v>
      </c>
      <c r="O147" s="421">
        <f>'JKP-3.1c - Rev Rates GTI10'!O147+'JKP-3.1c - 41T 86T Migrat Adj'!K37</f>
        <v>27000</v>
      </c>
      <c r="P147" s="421">
        <f>'JKP-3.1c - Rev Rates GTI10'!P147+'JKP-3.1c - 41T 86T Migrat Adj'!L37</f>
        <v>27000</v>
      </c>
      <c r="Q147" s="421">
        <f>'JKP-3.1c - Rev Rates GTI10'!Q147+'JKP-3.1c - 41T 86T Migrat Adj'!M37</f>
        <v>27000</v>
      </c>
      <c r="R147" s="378">
        <f t="shared" ref="R147:R152" si="32">SUM(F147:Q147)</f>
        <v>323213</v>
      </c>
      <c r="S147" s="336"/>
      <c r="T147" s="336"/>
    </row>
    <row r="148" spans="1:20" x14ac:dyDescent="0.2">
      <c r="C148" s="336" t="s">
        <v>1074</v>
      </c>
      <c r="D148" s="382" t="s">
        <v>808</v>
      </c>
      <c r="E148" s="336" t="s">
        <v>10</v>
      </c>
      <c r="F148" s="421">
        <f>'JKP-3.1c - Rev Rates GTI10'!F148+'JKP-3.1c - 41T 86T Migrat Adj'!B38</f>
        <v>114025</v>
      </c>
      <c r="G148" s="421">
        <f>'JKP-3.1c - Rev Rates GTI10'!G148+'JKP-3.1c - 41T 86T Migrat Adj'!C38</f>
        <v>111006</v>
      </c>
      <c r="H148" s="421">
        <f>'JKP-3.1c - Rev Rates GTI10'!H148+'JKP-3.1c - 41T 86T Migrat Adj'!D38</f>
        <v>113297</v>
      </c>
      <c r="I148" s="421">
        <f>'JKP-3.1c - Rev Rates GTI10'!I148+'JKP-3.1c - 41T 86T Migrat Adj'!E38</f>
        <v>109142</v>
      </c>
      <c r="J148" s="421">
        <f>'JKP-3.1c - Rev Rates GTI10'!J148+'JKP-3.1c - 41T 86T Migrat Adj'!F38</f>
        <v>100537</v>
      </c>
      <c r="K148" s="421">
        <f>'JKP-3.1c - Rev Rates GTI10'!K148+'JKP-3.1c - 41T 86T Migrat Adj'!G38</f>
        <v>82216</v>
      </c>
      <c r="L148" s="421">
        <f>'JKP-3.1c - Rev Rates GTI10'!L148+'JKP-3.1c - 41T 86T Migrat Adj'!H38</f>
        <v>78996</v>
      </c>
      <c r="M148" s="421">
        <f>'JKP-3.1c - Rev Rates GTI10'!M148+'JKP-3.1c - 41T 86T Migrat Adj'!I38</f>
        <v>76058</v>
      </c>
      <c r="N148" s="421">
        <f>'JKP-3.1c - Rev Rates GTI10'!N148+'JKP-3.1c - 41T 86T Migrat Adj'!J38</f>
        <v>77725</v>
      </c>
      <c r="O148" s="421">
        <f>'JKP-3.1c - Rev Rates GTI10'!O148+'JKP-3.1c - 41T 86T Migrat Adj'!K38</f>
        <v>98727</v>
      </c>
      <c r="P148" s="421">
        <f>'JKP-3.1c - Rev Rates GTI10'!P148+'JKP-3.1c - 41T 86T Migrat Adj'!L38</f>
        <v>107172</v>
      </c>
      <c r="Q148" s="421">
        <f>'JKP-3.1c - Rev Rates GTI10'!Q148+'JKP-3.1c - 41T 86T Migrat Adj'!M38</f>
        <v>112844</v>
      </c>
      <c r="R148" s="378">
        <f t="shared" si="32"/>
        <v>1181745</v>
      </c>
      <c r="S148" s="336"/>
      <c r="T148" s="336"/>
    </row>
    <row r="149" spans="1:20" x14ac:dyDescent="0.2">
      <c r="C149" s="336" t="s">
        <v>1066</v>
      </c>
      <c r="D149" s="382" t="s">
        <v>808</v>
      </c>
      <c r="E149" s="336" t="s">
        <v>10</v>
      </c>
      <c r="F149" s="378">
        <f t="shared" ref="F149:N149" si="33">F150-SUM(F147:F148)</f>
        <v>138429</v>
      </c>
      <c r="G149" s="378">
        <f t="shared" si="33"/>
        <v>119555</v>
      </c>
      <c r="H149" s="378">
        <f t="shared" si="33"/>
        <v>145697</v>
      </c>
      <c r="I149" s="378">
        <f t="shared" si="33"/>
        <v>123800</v>
      </c>
      <c r="J149" s="378">
        <f t="shared" si="33"/>
        <v>101068</v>
      </c>
      <c r="K149" s="378">
        <f t="shared" si="33"/>
        <v>89044</v>
      </c>
      <c r="L149" s="378">
        <f t="shared" si="33"/>
        <v>94041</v>
      </c>
      <c r="M149" s="378">
        <f t="shared" si="33"/>
        <v>93707</v>
      </c>
      <c r="N149" s="378">
        <f t="shared" si="33"/>
        <v>88944</v>
      </c>
      <c r="O149" s="378">
        <f>O150-SUM(O147:O148)</f>
        <v>97892</v>
      </c>
      <c r="P149" s="378">
        <f>P150-SUM(P147:P148)</f>
        <v>150831</v>
      </c>
      <c r="Q149" s="378">
        <f>Q150-SUM(Q147:Q148)</f>
        <v>178640</v>
      </c>
      <c r="R149" s="378">
        <f t="shared" si="32"/>
        <v>1421648</v>
      </c>
      <c r="S149" s="336"/>
      <c r="T149" s="336"/>
    </row>
    <row r="150" spans="1:20" x14ac:dyDescent="0.2">
      <c r="C150" s="336" t="s">
        <v>1075</v>
      </c>
      <c r="D150" s="382" t="s">
        <v>808</v>
      </c>
      <c r="E150" s="336" t="s">
        <v>10</v>
      </c>
      <c r="F150" s="445">
        <f>'JKP-3.1c - Weather Adj'!D165</f>
        <v>279454</v>
      </c>
      <c r="G150" s="445">
        <f>'JKP-3.1c - Weather Adj'!E165</f>
        <v>257561</v>
      </c>
      <c r="H150" s="445">
        <f>'JKP-3.1c - Weather Adj'!F165</f>
        <v>285994</v>
      </c>
      <c r="I150" s="445">
        <f>'JKP-3.1c - Weather Adj'!G165</f>
        <v>259942</v>
      </c>
      <c r="J150" s="445">
        <f>'JKP-3.1c - Weather Adj'!H165</f>
        <v>228605</v>
      </c>
      <c r="K150" s="445">
        <f>'JKP-3.1c - Weather Adj'!I165</f>
        <v>198260</v>
      </c>
      <c r="L150" s="445">
        <f>'JKP-3.1c - Weather Adj'!J165</f>
        <v>200037</v>
      </c>
      <c r="M150" s="445">
        <f>'JKP-3.1c - Weather Adj'!K165</f>
        <v>196495</v>
      </c>
      <c r="N150" s="445">
        <f>'JKP-3.1c - Weather Adj'!L165</f>
        <v>193152</v>
      </c>
      <c r="O150" s="445">
        <f>'JKP-3.1c - Weather Adj'!M165</f>
        <v>223619</v>
      </c>
      <c r="P150" s="445">
        <f>'JKP-3.1c - Weather Adj'!N165</f>
        <v>285003</v>
      </c>
      <c r="Q150" s="445">
        <f>'JKP-3.1c - Weather Adj'!O165</f>
        <v>318484</v>
      </c>
      <c r="R150" s="436">
        <f t="shared" si="32"/>
        <v>2926606</v>
      </c>
      <c r="S150" s="336"/>
      <c r="T150" s="336"/>
    </row>
    <row r="151" spans="1:20" x14ac:dyDescent="0.2">
      <c r="B151" s="336" t="s">
        <v>74</v>
      </c>
      <c r="D151" s="382" t="s">
        <v>808</v>
      </c>
      <c r="E151" s="336" t="s">
        <v>1076</v>
      </c>
      <c r="F151" s="421">
        <f>'JKP-3.1c - Data'!C164+'JKP-3.1c - 41T 86T Migrat Adj'!B67</f>
        <v>15238</v>
      </c>
      <c r="G151" s="421">
        <f>'JKP-3.1c - Data'!D164+'JKP-3.1c - 41T 86T Migrat Adj'!C67</f>
        <v>15238</v>
      </c>
      <c r="H151" s="421">
        <f>'JKP-3.1c - Data'!E164+'JKP-3.1c - 41T 86T Migrat Adj'!D67</f>
        <v>15238</v>
      </c>
      <c r="I151" s="421">
        <f>'JKP-3.1c - Data'!F164+'JKP-3.1c - 41T 86T Migrat Adj'!E67</f>
        <v>15238</v>
      </c>
      <c r="J151" s="421">
        <f>'JKP-3.1c - Data'!G164+'JKP-3.1c - 41T 86T Migrat Adj'!F67</f>
        <v>15238</v>
      </c>
      <c r="K151" s="421">
        <f>'JKP-3.1c - Data'!H164+'JKP-3.1c - 41T 86T Migrat Adj'!G67</f>
        <v>15238</v>
      </c>
      <c r="L151" s="421">
        <f>'JKP-3.1c - Data'!I164+'JKP-3.1c - 41T 86T Migrat Adj'!H67</f>
        <v>15392</v>
      </c>
      <c r="M151" s="421">
        <f>'JKP-3.1c - Data'!J164+'JKP-3.1c - 41T 86T Migrat Adj'!I67</f>
        <v>15392</v>
      </c>
      <c r="N151" s="421">
        <f>'JKP-3.1c - Data'!K164+'JKP-3.1c - 41T 86T Migrat Adj'!J67</f>
        <v>13362</v>
      </c>
      <c r="O151" s="421">
        <f>'JKP-3.1c - Data'!L164+'JKP-3.1c - 41T 86T Migrat Adj'!K67</f>
        <v>15392</v>
      </c>
      <c r="P151" s="421">
        <f>'JKP-3.1c - Data'!M164+'JKP-3.1c - 41T 86T Migrat Adj'!L67</f>
        <v>11315</v>
      </c>
      <c r="Q151" s="421">
        <f>'JKP-3.1c - Data'!N164+'JKP-3.1c - 41T 86T Migrat Adj'!M67</f>
        <v>12103</v>
      </c>
      <c r="R151" s="378">
        <f t="shared" si="32"/>
        <v>174384</v>
      </c>
      <c r="S151" s="336"/>
      <c r="T151" s="336"/>
    </row>
    <row r="152" spans="1:20" x14ac:dyDescent="0.2">
      <c r="B152" s="336" t="s">
        <v>1071</v>
      </c>
      <c r="D152" s="382" t="s">
        <v>808</v>
      </c>
      <c r="E152" s="336" t="s">
        <v>67</v>
      </c>
      <c r="F152" s="378">
        <f t="shared" ref="F152:N152" si="34">F145</f>
        <v>30</v>
      </c>
      <c r="G152" s="378">
        <f t="shared" si="34"/>
        <v>30</v>
      </c>
      <c r="H152" s="378">
        <f t="shared" si="34"/>
        <v>30</v>
      </c>
      <c r="I152" s="378">
        <f t="shared" si="34"/>
        <v>30</v>
      </c>
      <c r="J152" s="378">
        <f t="shared" si="34"/>
        <v>30</v>
      </c>
      <c r="K152" s="378">
        <f t="shared" si="34"/>
        <v>30</v>
      </c>
      <c r="L152" s="378">
        <f t="shared" si="34"/>
        <v>30</v>
      </c>
      <c r="M152" s="378">
        <f t="shared" si="34"/>
        <v>30</v>
      </c>
      <c r="N152" s="378">
        <f t="shared" si="34"/>
        <v>29</v>
      </c>
      <c r="O152" s="378">
        <f>O145</f>
        <v>30</v>
      </c>
      <c r="P152" s="378">
        <f>P145</f>
        <v>30</v>
      </c>
      <c r="Q152" s="378">
        <f>Q145</f>
        <v>30</v>
      </c>
      <c r="R152" s="378">
        <f t="shared" si="32"/>
        <v>359</v>
      </c>
      <c r="S152" s="336"/>
      <c r="T152" s="336"/>
    </row>
    <row r="153" spans="1:20" x14ac:dyDescent="0.2">
      <c r="F153" s="362"/>
      <c r="G153" s="362"/>
      <c r="H153" s="362"/>
      <c r="I153" s="362"/>
      <c r="J153" s="362"/>
      <c r="K153" s="362"/>
      <c r="L153" s="362"/>
      <c r="M153" s="362"/>
      <c r="N153" s="362"/>
      <c r="O153" s="362"/>
      <c r="P153" s="362"/>
      <c r="Q153" s="362"/>
      <c r="R153" s="362"/>
      <c r="S153" s="336"/>
      <c r="T153" s="336"/>
    </row>
    <row r="154" spans="1:20" x14ac:dyDescent="0.2">
      <c r="B154" s="182" t="s">
        <v>985</v>
      </c>
      <c r="S154" s="336"/>
      <c r="T154" s="336"/>
    </row>
    <row r="155" spans="1:20" x14ac:dyDescent="0.2">
      <c r="A155" s="336" t="s">
        <v>1054</v>
      </c>
      <c r="B155" s="336" t="s">
        <v>1059</v>
      </c>
      <c r="D155" s="382" t="s">
        <v>808</v>
      </c>
      <c r="F155" s="418">
        <f t="shared" ref="F155:Q155" si="35">F135*F145</f>
        <v>12950.7</v>
      </c>
      <c r="G155" s="418">
        <f t="shared" si="35"/>
        <v>12950.7</v>
      </c>
      <c r="H155" s="418">
        <f t="shared" si="35"/>
        <v>12950.7</v>
      </c>
      <c r="I155" s="418">
        <f t="shared" si="35"/>
        <v>12950.7</v>
      </c>
      <c r="J155" s="418">
        <f t="shared" si="35"/>
        <v>12950.7</v>
      </c>
      <c r="K155" s="418">
        <f t="shared" si="35"/>
        <v>12950.7</v>
      </c>
      <c r="L155" s="418">
        <f t="shared" si="35"/>
        <v>12950.7</v>
      </c>
      <c r="M155" s="418">
        <f t="shared" si="35"/>
        <v>12950.7</v>
      </c>
      <c r="N155" s="418">
        <f t="shared" si="35"/>
        <v>12519.01</v>
      </c>
      <c r="O155" s="418">
        <f t="shared" si="35"/>
        <v>12950.7</v>
      </c>
      <c r="P155" s="418">
        <f t="shared" si="35"/>
        <v>12950.7</v>
      </c>
      <c r="Q155" s="418">
        <f t="shared" si="35"/>
        <v>12950.7</v>
      </c>
      <c r="R155" s="418">
        <f>SUM(F155:Q155)</f>
        <v>154976.71</v>
      </c>
      <c r="S155" s="336"/>
      <c r="T155" s="336"/>
    </row>
    <row r="156" spans="1:20" x14ac:dyDescent="0.2">
      <c r="B156" s="336" t="s">
        <v>1047</v>
      </c>
      <c r="F156" s="418"/>
      <c r="G156" s="418"/>
      <c r="H156" s="418"/>
      <c r="I156" s="418"/>
      <c r="J156" s="418"/>
      <c r="K156" s="418"/>
      <c r="L156" s="418"/>
      <c r="M156" s="418"/>
      <c r="N156" s="418"/>
      <c r="O156" s="418"/>
      <c r="P156" s="418"/>
      <c r="Q156" s="418"/>
      <c r="R156" s="418"/>
      <c r="S156" s="336"/>
      <c r="T156" s="336"/>
    </row>
    <row r="157" spans="1:20" x14ac:dyDescent="0.2">
      <c r="C157" s="336" t="s">
        <v>1073</v>
      </c>
      <c r="F157" s="337">
        <v>0</v>
      </c>
      <c r="G157" s="337">
        <v>0</v>
      </c>
      <c r="H157" s="337">
        <v>0</v>
      </c>
      <c r="I157" s="337">
        <v>0</v>
      </c>
      <c r="J157" s="337">
        <v>0</v>
      </c>
      <c r="K157" s="337">
        <v>0</v>
      </c>
      <c r="L157" s="337">
        <v>0</v>
      </c>
      <c r="M157" s="337">
        <v>0</v>
      </c>
      <c r="N157" s="337">
        <v>0</v>
      </c>
      <c r="O157" s="337">
        <v>0</v>
      </c>
      <c r="P157" s="337">
        <v>0</v>
      </c>
      <c r="Q157" s="337">
        <v>0</v>
      </c>
      <c r="R157" s="337">
        <f t="shared" ref="R157:R164" si="36">SUM(F157:Q157)</f>
        <v>0</v>
      </c>
      <c r="S157" s="336"/>
      <c r="T157" s="336"/>
    </row>
    <row r="158" spans="1:20" x14ac:dyDescent="0.2">
      <c r="C158" s="336" t="s">
        <v>1074</v>
      </c>
      <c r="D158" s="382" t="s">
        <v>808</v>
      </c>
      <c r="F158" s="418">
        <f t="shared" ref="F158:Q159" si="37">F137*F148</f>
        <v>16367.148499999999</v>
      </c>
      <c r="G158" s="418">
        <f t="shared" si="37"/>
        <v>15933.801240000001</v>
      </c>
      <c r="H158" s="418">
        <f t="shared" si="37"/>
        <v>16262.651379999999</v>
      </c>
      <c r="I158" s="418">
        <f t="shared" si="37"/>
        <v>15666.242679999999</v>
      </c>
      <c r="J158" s="418">
        <f t="shared" si="37"/>
        <v>14431.080980000001</v>
      </c>
      <c r="K158" s="418">
        <f t="shared" si="37"/>
        <v>11801.28464</v>
      </c>
      <c r="L158" s="418">
        <f t="shared" si="37"/>
        <v>11339.08584</v>
      </c>
      <c r="M158" s="418">
        <f t="shared" si="37"/>
        <v>10917.365320000001</v>
      </c>
      <c r="N158" s="418">
        <f t="shared" si="37"/>
        <v>11156.646500000001</v>
      </c>
      <c r="O158" s="418">
        <f t="shared" si="37"/>
        <v>14171.273580000001</v>
      </c>
      <c r="P158" s="418">
        <f t="shared" si="37"/>
        <v>15383.46888</v>
      </c>
      <c r="Q158" s="418">
        <f t="shared" si="37"/>
        <v>16197.627759999999</v>
      </c>
      <c r="R158" s="418">
        <f t="shared" si="36"/>
        <v>169627.67730000001</v>
      </c>
      <c r="S158" s="336"/>
      <c r="T158" s="336"/>
    </row>
    <row r="159" spans="1:20" x14ac:dyDescent="0.2">
      <c r="C159" s="336" t="s">
        <v>1066</v>
      </c>
      <c r="D159" s="382" t="s">
        <v>808</v>
      </c>
      <c r="F159" s="418">
        <f t="shared" si="37"/>
        <v>16215.573059999999</v>
      </c>
      <c r="G159" s="418">
        <f t="shared" si="37"/>
        <v>14004.672699999999</v>
      </c>
      <c r="H159" s="418">
        <f t="shared" si="37"/>
        <v>17066.94658</v>
      </c>
      <c r="I159" s="418">
        <f t="shared" si="37"/>
        <v>14501.931999999999</v>
      </c>
      <c r="J159" s="418">
        <f t="shared" si="37"/>
        <v>11839.105519999999</v>
      </c>
      <c r="K159" s="418">
        <f t="shared" si="37"/>
        <v>10430.614159999999</v>
      </c>
      <c r="L159" s="418">
        <f t="shared" si="37"/>
        <v>11015.962739999999</v>
      </c>
      <c r="M159" s="418">
        <f t="shared" si="37"/>
        <v>10976.83798</v>
      </c>
      <c r="N159" s="418">
        <f t="shared" si="37"/>
        <v>10418.900159999999</v>
      </c>
      <c r="O159" s="418">
        <f t="shared" si="37"/>
        <v>11467.068879999999</v>
      </c>
      <c r="P159" s="418">
        <f t="shared" si="37"/>
        <v>17668.343339999999</v>
      </c>
      <c r="Q159" s="418">
        <f t="shared" si="37"/>
        <v>20925.889599999999</v>
      </c>
      <c r="R159" s="418">
        <f t="shared" si="36"/>
        <v>166531.84671999997</v>
      </c>
      <c r="S159" s="336"/>
      <c r="T159" s="336"/>
    </row>
    <row r="160" spans="1:20" x14ac:dyDescent="0.2">
      <c r="A160" s="336" t="s">
        <v>1054</v>
      </c>
      <c r="C160" s="336" t="s">
        <v>1077</v>
      </c>
      <c r="F160" s="339">
        <f t="shared" ref="F160:L160" si="38">SUM(F157:F159)</f>
        <v>32582.721559999998</v>
      </c>
      <c r="G160" s="339">
        <f t="shared" si="38"/>
        <v>29938.47394</v>
      </c>
      <c r="H160" s="339">
        <f t="shared" si="38"/>
        <v>33329.597959999999</v>
      </c>
      <c r="I160" s="339">
        <f t="shared" si="38"/>
        <v>30168.174679999996</v>
      </c>
      <c r="J160" s="339">
        <f t="shared" si="38"/>
        <v>26270.1865</v>
      </c>
      <c r="K160" s="339">
        <f t="shared" si="38"/>
        <v>22231.898799999999</v>
      </c>
      <c r="L160" s="339">
        <f t="shared" si="38"/>
        <v>22355.048579999999</v>
      </c>
      <c r="M160" s="339">
        <f>SUM(M157:M159)</f>
        <v>21894.203300000001</v>
      </c>
      <c r="N160" s="339">
        <f>SUM(N157:N159)</f>
        <v>21575.54666</v>
      </c>
      <c r="O160" s="339">
        <f>SUM(O157:O159)</f>
        <v>25638.34246</v>
      </c>
      <c r="P160" s="339">
        <f>SUM(P157:P159)</f>
        <v>33051.81222</v>
      </c>
      <c r="Q160" s="339">
        <f>SUM(Q157:Q159)</f>
        <v>37123.517359999998</v>
      </c>
      <c r="R160" s="339">
        <f t="shared" si="36"/>
        <v>336159.52402000001</v>
      </c>
      <c r="S160" s="336"/>
      <c r="T160" s="336"/>
    </row>
    <row r="161" spans="1:20" x14ac:dyDescent="0.2">
      <c r="A161" s="336" t="s">
        <v>1056</v>
      </c>
      <c r="B161" s="336" t="s">
        <v>1081</v>
      </c>
      <c r="D161" s="382" t="s">
        <v>808</v>
      </c>
      <c r="F161" s="418">
        <f t="shared" ref="F161:Q161" si="39">F139*F150</f>
        <v>195.61779999999999</v>
      </c>
      <c r="G161" s="418">
        <f t="shared" si="39"/>
        <v>180.2927</v>
      </c>
      <c r="H161" s="418">
        <f t="shared" si="39"/>
        <v>200.19579999999999</v>
      </c>
      <c r="I161" s="418">
        <f t="shared" si="39"/>
        <v>181.95939999999999</v>
      </c>
      <c r="J161" s="418">
        <f t="shared" si="39"/>
        <v>160.02349999999998</v>
      </c>
      <c r="K161" s="418">
        <f t="shared" si="39"/>
        <v>138.78200000000001</v>
      </c>
      <c r="L161" s="418">
        <f t="shared" si="39"/>
        <v>140.02590000000001</v>
      </c>
      <c r="M161" s="418">
        <f t="shared" si="39"/>
        <v>137.54650000000001</v>
      </c>
      <c r="N161" s="418">
        <f t="shared" si="39"/>
        <v>135.2064</v>
      </c>
      <c r="O161" s="418">
        <f t="shared" si="39"/>
        <v>156.5333</v>
      </c>
      <c r="P161" s="418">
        <f t="shared" si="39"/>
        <v>199.50209999999998</v>
      </c>
      <c r="Q161" s="418">
        <f t="shared" si="39"/>
        <v>222.93879999999999</v>
      </c>
      <c r="R161" s="418">
        <f t="shared" si="36"/>
        <v>2048.6241999999997</v>
      </c>
      <c r="S161" s="336"/>
      <c r="T161" s="336"/>
    </row>
    <row r="162" spans="1:20" x14ac:dyDescent="0.2">
      <c r="A162" s="336" t="s">
        <v>1054</v>
      </c>
      <c r="B162" s="336" t="s">
        <v>1082</v>
      </c>
      <c r="F162" s="418">
        <f t="shared" ref="F162:Q164" si="40">F140*F150</f>
        <v>-1453.1607999999999</v>
      </c>
      <c r="G162" s="418">
        <f t="shared" si="40"/>
        <v>-1339.3172</v>
      </c>
      <c r="H162" s="418">
        <f t="shared" si="40"/>
        <v>-1487.1687999999999</v>
      </c>
      <c r="I162" s="418">
        <f t="shared" si="40"/>
        <v>-1351.6984</v>
      </c>
      <c r="J162" s="418">
        <f t="shared" si="40"/>
        <v>-1188.7459999999999</v>
      </c>
      <c r="K162" s="418">
        <f t="shared" si="40"/>
        <v>-1030.952</v>
      </c>
      <c r="L162" s="418">
        <f t="shared" si="40"/>
        <v>-1040.1923999999999</v>
      </c>
      <c r="M162" s="418">
        <f t="shared" si="40"/>
        <v>-1021.774</v>
      </c>
      <c r="N162" s="418">
        <f t="shared" si="40"/>
        <v>-1004.3904</v>
      </c>
      <c r="O162" s="418">
        <f t="shared" si="40"/>
        <v>-1162.8188</v>
      </c>
      <c r="P162" s="418">
        <f t="shared" si="40"/>
        <v>-1482.0155999999999</v>
      </c>
      <c r="Q162" s="418">
        <f t="shared" si="40"/>
        <v>-1656.1168</v>
      </c>
      <c r="R162" s="418">
        <f t="shared" si="36"/>
        <v>-15218.351199999999</v>
      </c>
      <c r="S162" s="336"/>
      <c r="T162" s="336"/>
    </row>
    <row r="163" spans="1:20" x14ac:dyDescent="0.2">
      <c r="A163" s="336" t="s">
        <v>1054</v>
      </c>
      <c r="B163" s="336" t="s">
        <v>1069</v>
      </c>
      <c r="D163" s="382" t="s">
        <v>808</v>
      </c>
      <c r="F163" s="418">
        <f t="shared" si="40"/>
        <v>17371.32</v>
      </c>
      <c r="G163" s="418">
        <f t="shared" si="40"/>
        <v>17371.32</v>
      </c>
      <c r="H163" s="418">
        <f t="shared" si="40"/>
        <v>17371.32</v>
      </c>
      <c r="I163" s="418">
        <f t="shared" si="40"/>
        <v>17371.32</v>
      </c>
      <c r="J163" s="418">
        <f t="shared" si="40"/>
        <v>17371.32</v>
      </c>
      <c r="K163" s="418">
        <f t="shared" si="40"/>
        <v>17371.32</v>
      </c>
      <c r="L163" s="418">
        <f t="shared" si="40"/>
        <v>17546.879999999997</v>
      </c>
      <c r="M163" s="418">
        <f t="shared" si="40"/>
        <v>17546.879999999997</v>
      </c>
      <c r="N163" s="418">
        <f t="shared" si="40"/>
        <v>15232.679999999998</v>
      </c>
      <c r="O163" s="418">
        <f t="shared" si="40"/>
        <v>17546.879999999997</v>
      </c>
      <c r="P163" s="418">
        <f t="shared" si="40"/>
        <v>12899.099999999999</v>
      </c>
      <c r="Q163" s="418">
        <f t="shared" si="40"/>
        <v>13797.419999999998</v>
      </c>
      <c r="R163" s="418">
        <f t="shared" si="36"/>
        <v>198797.76</v>
      </c>
      <c r="S163" s="336"/>
      <c r="T163" s="336"/>
    </row>
    <row r="164" spans="1:20" x14ac:dyDescent="0.2">
      <c r="A164" s="336" t="s">
        <v>1054</v>
      </c>
      <c r="B164" s="336" t="s">
        <v>1071</v>
      </c>
      <c r="D164" s="382" t="s">
        <v>808</v>
      </c>
      <c r="F164" s="418">
        <f t="shared" si="40"/>
        <v>3875.7</v>
      </c>
      <c r="G164" s="418">
        <f t="shared" si="40"/>
        <v>3875.7</v>
      </c>
      <c r="H164" s="418">
        <f t="shared" si="40"/>
        <v>3875.7</v>
      </c>
      <c r="I164" s="418">
        <f t="shared" si="40"/>
        <v>3875.7</v>
      </c>
      <c r="J164" s="418">
        <f t="shared" si="40"/>
        <v>3875.7</v>
      </c>
      <c r="K164" s="418">
        <f t="shared" si="40"/>
        <v>3875.7</v>
      </c>
      <c r="L164" s="418">
        <f t="shared" si="40"/>
        <v>3875.7</v>
      </c>
      <c r="M164" s="418">
        <f t="shared" si="40"/>
        <v>3875.7</v>
      </c>
      <c r="N164" s="418">
        <f t="shared" si="40"/>
        <v>3746.5099999999998</v>
      </c>
      <c r="O164" s="418">
        <f>O142*O152</f>
        <v>3875.7</v>
      </c>
      <c r="P164" s="418">
        <f>P142*P152</f>
        <v>3875.7</v>
      </c>
      <c r="Q164" s="418">
        <f>Q142*Q152</f>
        <v>3875.7</v>
      </c>
      <c r="R164" s="418">
        <f t="shared" si="36"/>
        <v>46379.209999999992</v>
      </c>
      <c r="S164" s="336"/>
      <c r="T164" s="336"/>
    </row>
    <row r="165" spans="1:20" x14ac:dyDescent="0.2">
      <c r="B165" s="336" t="s">
        <v>986</v>
      </c>
      <c r="F165" s="339">
        <f t="shared" ref="F165:R165" si="41">F155+F160+F163+F164+F161+F162</f>
        <v>65522.898560000016</v>
      </c>
      <c r="G165" s="339">
        <f t="shared" si="41"/>
        <v>62977.169439999998</v>
      </c>
      <c r="H165" s="339">
        <f t="shared" si="41"/>
        <v>66240.344960000002</v>
      </c>
      <c r="I165" s="339">
        <f t="shared" si="41"/>
        <v>63196.155679999989</v>
      </c>
      <c r="J165" s="339">
        <f t="shared" si="41"/>
        <v>59439.184000000001</v>
      </c>
      <c r="K165" s="339">
        <f t="shared" si="41"/>
        <v>55537.448799999998</v>
      </c>
      <c r="L165" s="339">
        <f t="shared" si="41"/>
        <v>55828.162079999995</v>
      </c>
      <c r="M165" s="339">
        <f t="shared" si="41"/>
        <v>55383.255799999999</v>
      </c>
      <c r="N165" s="339">
        <f t="shared" si="41"/>
        <v>52204.562660000011</v>
      </c>
      <c r="O165" s="339">
        <f t="shared" si="41"/>
        <v>59005.336959999993</v>
      </c>
      <c r="P165" s="339">
        <f t="shared" si="41"/>
        <v>61494.798719999999</v>
      </c>
      <c r="Q165" s="339">
        <f t="shared" si="41"/>
        <v>66314.159359999991</v>
      </c>
      <c r="R165" s="339">
        <f t="shared" si="41"/>
        <v>723143.47701999987</v>
      </c>
      <c r="S165" s="336"/>
      <c r="T165" s="336"/>
    </row>
    <row r="166" spans="1:20" x14ac:dyDescent="0.2">
      <c r="F166" s="418"/>
      <c r="G166" s="418"/>
      <c r="H166" s="418"/>
      <c r="I166" s="418"/>
      <c r="J166" s="418"/>
      <c r="K166" s="418"/>
      <c r="L166" s="418"/>
      <c r="M166" s="418"/>
      <c r="N166" s="418"/>
      <c r="O166" s="418"/>
      <c r="P166" s="418"/>
      <c r="Q166" s="418"/>
      <c r="S166" s="336"/>
      <c r="T166" s="336"/>
    </row>
    <row r="167" spans="1:20" x14ac:dyDescent="0.2">
      <c r="A167" s="336" t="s">
        <v>1058</v>
      </c>
      <c r="B167" s="336" t="s">
        <v>1050</v>
      </c>
      <c r="F167" s="418">
        <f>F161</f>
        <v>195.61779999999999</v>
      </c>
      <c r="G167" s="418">
        <f t="shared" ref="G167:Q167" si="42">G161</f>
        <v>180.2927</v>
      </c>
      <c r="H167" s="418">
        <f t="shared" si="42"/>
        <v>200.19579999999999</v>
      </c>
      <c r="I167" s="418">
        <f t="shared" si="42"/>
        <v>181.95939999999999</v>
      </c>
      <c r="J167" s="418">
        <f t="shared" si="42"/>
        <v>160.02349999999998</v>
      </c>
      <c r="K167" s="418">
        <f t="shared" si="42"/>
        <v>138.78200000000001</v>
      </c>
      <c r="L167" s="418">
        <f t="shared" si="42"/>
        <v>140.02590000000001</v>
      </c>
      <c r="M167" s="418">
        <f t="shared" si="42"/>
        <v>137.54650000000001</v>
      </c>
      <c r="N167" s="418">
        <f t="shared" si="42"/>
        <v>135.2064</v>
      </c>
      <c r="O167" s="418">
        <f t="shared" si="42"/>
        <v>156.5333</v>
      </c>
      <c r="P167" s="418">
        <f t="shared" si="42"/>
        <v>199.50209999999998</v>
      </c>
      <c r="Q167" s="418">
        <f t="shared" si="42"/>
        <v>222.93879999999999</v>
      </c>
      <c r="R167" s="418">
        <f>SUM(F167:Q167)</f>
        <v>2048.6241999999997</v>
      </c>
      <c r="S167" s="336"/>
      <c r="T167" s="336"/>
    </row>
    <row r="168" spans="1:20" x14ac:dyDescent="0.2">
      <c r="F168" s="418"/>
      <c r="G168" s="418"/>
      <c r="H168" s="418"/>
      <c r="I168" s="418"/>
      <c r="J168" s="418"/>
      <c r="K168" s="418"/>
      <c r="L168" s="418"/>
      <c r="M168" s="418"/>
      <c r="N168" s="418"/>
      <c r="O168" s="418"/>
      <c r="P168" s="418"/>
      <c r="Q168" s="418"/>
      <c r="S168" s="336"/>
      <c r="T168" s="336"/>
    </row>
    <row r="169" spans="1:20" x14ac:dyDescent="0.2">
      <c r="B169" s="182" t="s">
        <v>1085</v>
      </c>
      <c r="C169" s="182"/>
      <c r="S169" s="336"/>
      <c r="T169" s="336"/>
    </row>
    <row r="170" spans="1:20" x14ac:dyDescent="0.2">
      <c r="B170" s="182" t="s">
        <v>5</v>
      </c>
      <c r="C170" s="182"/>
      <c r="D170" s="382"/>
      <c r="S170" s="336"/>
      <c r="T170" s="336"/>
    </row>
    <row r="171" spans="1:20" x14ac:dyDescent="0.2">
      <c r="B171" s="336" t="s">
        <v>1059</v>
      </c>
      <c r="D171" s="382" t="s">
        <v>809</v>
      </c>
      <c r="E171" s="336" t="s">
        <v>976</v>
      </c>
      <c r="F171" s="501">
        <f>'JKP-3.1c - Rev Rates GTI10'!F171</f>
        <v>893.87</v>
      </c>
      <c r="G171" s="501">
        <f>'JKP-3.1c - Rev Rates GTI10'!G171</f>
        <v>893.87</v>
      </c>
      <c r="H171" s="501">
        <f>'JKP-3.1c - Rev Rates GTI10'!H171</f>
        <v>893.87</v>
      </c>
      <c r="I171" s="501">
        <f>'JKP-3.1c - Rev Rates GTI10'!I171</f>
        <v>893.87</v>
      </c>
      <c r="J171" s="501">
        <f>'JKP-3.1c - Rev Rates GTI10'!J171</f>
        <v>893.87</v>
      </c>
      <c r="K171" s="501">
        <f>'JKP-3.1c - Rev Rates GTI10'!K171</f>
        <v>893.87</v>
      </c>
      <c r="L171" s="501">
        <f>'JKP-3.1c - Rev Rates GTI10'!L171</f>
        <v>893.87</v>
      </c>
      <c r="M171" s="501">
        <f>'JKP-3.1c - Rev Rates GTI10'!M171</f>
        <v>893.87</v>
      </c>
      <c r="N171" s="501">
        <f>'JKP-3.1c - Rev Rates GTI10'!N171</f>
        <v>893.87</v>
      </c>
      <c r="O171" s="501">
        <f>'JKP-3.1c - Rev Rates GTI10'!O171</f>
        <v>893.87</v>
      </c>
      <c r="P171" s="501">
        <f>'JKP-3.1c - Rev Rates GTI10'!P171</f>
        <v>893.87</v>
      </c>
      <c r="Q171" s="501">
        <f>'JKP-3.1c - Rev Rates GTI10'!Q171</f>
        <v>893.87</v>
      </c>
      <c r="S171" s="336"/>
      <c r="T171" s="336"/>
    </row>
    <row r="172" spans="1:20" x14ac:dyDescent="0.2">
      <c r="B172" s="336" t="s">
        <v>1047</v>
      </c>
      <c r="D172" s="382"/>
      <c r="F172" s="496"/>
      <c r="G172" s="496"/>
      <c r="H172" s="496"/>
      <c r="I172" s="496"/>
      <c r="J172" s="496"/>
      <c r="K172" s="496"/>
      <c r="L172" s="496"/>
      <c r="M172" s="496"/>
      <c r="N172" s="496"/>
      <c r="O172" s="496"/>
      <c r="P172" s="496"/>
      <c r="Q172" s="496"/>
      <c r="S172" s="336"/>
      <c r="T172" s="336"/>
    </row>
    <row r="173" spans="1:20" x14ac:dyDescent="0.2">
      <c r="C173" s="336" t="s">
        <v>1086</v>
      </c>
      <c r="D173" s="382" t="s">
        <v>809</v>
      </c>
      <c r="E173" s="336" t="s">
        <v>957</v>
      </c>
      <c r="F173" s="496">
        <f>'JKP-3.1c - Rev Rates GTI10'!F173</f>
        <v>0.10491</v>
      </c>
      <c r="G173" s="496">
        <f>'JKP-3.1c - Rev Rates GTI10'!G173</f>
        <v>0.10491</v>
      </c>
      <c r="H173" s="496">
        <f>'JKP-3.1c - Rev Rates GTI10'!H173</f>
        <v>0.10491</v>
      </c>
      <c r="I173" s="496">
        <f>'JKP-3.1c - Rev Rates GTI10'!I173</f>
        <v>0.10491</v>
      </c>
      <c r="J173" s="496">
        <f>'JKP-3.1c - Rev Rates GTI10'!J173</f>
        <v>0.10491</v>
      </c>
      <c r="K173" s="496">
        <f>'JKP-3.1c - Rev Rates GTI10'!K173</f>
        <v>0.10491</v>
      </c>
      <c r="L173" s="496">
        <f>'JKP-3.1c - Rev Rates GTI10'!L173</f>
        <v>0.10491</v>
      </c>
      <c r="M173" s="496">
        <f>'JKP-3.1c - Rev Rates GTI10'!M173</f>
        <v>0.10491</v>
      </c>
      <c r="N173" s="496">
        <f>'JKP-3.1c - Rev Rates GTI10'!N173</f>
        <v>0.10491</v>
      </c>
      <c r="O173" s="496">
        <f>'JKP-3.1c - Rev Rates GTI10'!O173</f>
        <v>0.10491</v>
      </c>
      <c r="P173" s="496">
        <f>'JKP-3.1c - Rev Rates GTI10'!P173</f>
        <v>0.10491</v>
      </c>
      <c r="Q173" s="496">
        <f>'JKP-3.1c - Rev Rates GTI10'!Q173</f>
        <v>0.10491</v>
      </c>
      <c r="S173" s="336"/>
      <c r="T173" s="336"/>
    </row>
    <row r="174" spans="1:20" x14ac:dyDescent="0.2">
      <c r="C174" s="336" t="s">
        <v>1087</v>
      </c>
      <c r="D174" s="382" t="s">
        <v>809</v>
      </c>
      <c r="E174" s="336" t="s">
        <v>957</v>
      </c>
      <c r="F174" s="496">
        <f>'JKP-3.1c - Rev Rates GTI10'!F174</f>
        <v>5.3780000000000001E-2</v>
      </c>
      <c r="G174" s="496">
        <f>'JKP-3.1c - Rev Rates GTI10'!G174</f>
        <v>5.3780000000000001E-2</v>
      </c>
      <c r="H174" s="496">
        <f>'JKP-3.1c - Rev Rates GTI10'!H174</f>
        <v>5.3780000000000001E-2</v>
      </c>
      <c r="I174" s="496">
        <f>'JKP-3.1c - Rev Rates GTI10'!I174</f>
        <v>5.3780000000000001E-2</v>
      </c>
      <c r="J174" s="496">
        <f>'JKP-3.1c - Rev Rates GTI10'!J174</f>
        <v>5.3780000000000001E-2</v>
      </c>
      <c r="K174" s="496">
        <f>'JKP-3.1c - Rev Rates GTI10'!K174</f>
        <v>5.3780000000000001E-2</v>
      </c>
      <c r="L174" s="496">
        <f>'JKP-3.1c - Rev Rates GTI10'!L174</f>
        <v>5.3780000000000001E-2</v>
      </c>
      <c r="M174" s="496">
        <f>'JKP-3.1c - Rev Rates GTI10'!M174</f>
        <v>5.3780000000000001E-2</v>
      </c>
      <c r="N174" s="496">
        <f>'JKP-3.1c - Rev Rates GTI10'!N174</f>
        <v>5.3780000000000001E-2</v>
      </c>
      <c r="O174" s="496">
        <f>'JKP-3.1c - Rev Rates GTI10'!O174</f>
        <v>5.3780000000000001E-2</v>
      </c>
      <c r="P174" s="496">
        <f>'JKP-3.1c - Rev Rates GTI10'!P174</f>
        <v>5.3780000000000001E-2</v>
      </c>
      <c r="Q174" s="496">
        <f>'JKP-3.1c - Rev Rates GTI10'!Q174</f>
        <v>5.3780000000000001E-2</v>
      </c>
      <c r="S174" s="336"/>
      <c r="T174" s="336"/>
    </row>
    <row r="175" spans="1:20" x14ac:dyDescent="0.2">
      <c r="C175" s="336" t="s">
        <v>1088</v>
      </c>
      <c r="D175" s="382" t="s">
        <v>809</v>
      </c>
      <c r="E175" s="336" t="s">
        <v>957</v>
      </c>
      <c r="F175" s="496">
        <f>'JKP-3.1c - Rev Rates GTI10'!F175</f>
        <v>5.1619999999999999E-2</v>
      </c>
      <c r="G175" s="496">
        <f>'JKP-3.1c - Rev Rates GTI10'!G175</f>
        <v>5.1619999999999999E-2</v>
      </c>
      <c r="H175" s="496">
        <f>'JKP-3.1c - Rev Rates GTI10'!H175</f>
        <v>5.1619999999999999E-2</v>
      </c>
      <c r="I175" s="496">
        <f>'JKP-3.1c - Rev Rates GTI10'!I175</f>
        <v>5.1619999999999999E-2</v>
      </c>
      <c r="J175" s="496">
        <f>'JKP-3.1c - Rev Rates GTI10'!J175</f>
        <v>5.1619999999999999E-2</v>
      </c>
      <c r="K175" s="496">
        <f>'JKP-3.1c - Rev Rates GTI10'!K175</f>
        <v>5.1619999999999999E-2</v>
      </c>
      <c r="L175" s="496">
        <f>'JKP-3.1c - Rev Rates GTI10'!L175</f>
        <v>5.1619999999999999E-2</v>
      </c>
      <c r="M175" s="496">
        <f>'JKP-3.1c - Rev Rates GTI10'!M175</f>
        <v>5.1619999999999999E-2</v>
      </c>
      <c r="N175" s="496">
        <f>'JKP-3.1c - Rev Rates GTI10'!N175</f>
        <v>5.1619999999999999E-2</v>
      </c>
      <c r="O175" s="496">
        <f>'JKP-3.1c - Rev Rates GTI10'!O175</f>
        <v>5.1619999999999999E-2</v>
      </c>
      <c r="P175" s="496">
        <f>'JKP-3.1c - Rev Rates GTI10'!P175</f>
        <v>5.1619999999999999E-2</v>
      </c>
      <c r="Q175" s="496">
        <f>'JKP-3.1c - Rev Rates GTI10'!Q175</f>
        <v>5.1619999999999999E-2</v>
      </c>
      <c r="S175" s="336"/>
      <c r="T175" s="336"/>
    </row>
    <row r="176" spans="1:20" x14ac:dyDescent="0.2">
      <c r="B176" s="336" t="s">
        <v>1081</v>
      </c>
      <c r="D176" s="382" t="s">
        <v>809</v>
      </c>
      <c r="E176" s="336" t="s">
        <v>957</v>
      </c>
      <c r="F176" s="496">
        <f>'JKP-3.1c - Rev Rates GTI10'!F176</f>
        <v>6.9999999999999999E-4</v>
      </c>
      <c r="G176" s="496">
        <f>'JKP-3.1c - Rev Rates GTI10'!G176</f>
        <v>6.9999999999999999E-4</v>
      </c>
      <c r="H176" s="496">
        <f>'JKP-3.1c - Rev Rates GTI10'!H176</f>
        <v>6.9999999999999999E-4</v>
      </c>
      <c r="I176" s="496">
        <f>'JKP-3.1c - Rev Rates GTI10'!I176</f>
        <v>6.9999999999999999E-4</v>
      </c>
      <c r="J176" s="496">
        <f>'JKP-3.1c - Rev Rates GTI10'!J176</f>
        <v>6.9999999999999999E-4</v>
      </c>
      <c r="K176" s="496">
        <f>'JKP-3.1c - Rev Rates GTI10'!K176</f>
        <v>6.9999999999999999E-4</v>
      </c>
      <c r="L176" s="496">
        <f>'JKP-3.1c - Rev Rates GTI10'!L176</f>
        <v>6.9999999999999999E-4</v>
      </c>
      <c r="M176" s="496">
        <f>'JKP-3.1c - Rev Rates GTI10'!M176</f>
        <v>6.9999999999999999E-4</v>
      </c>
      <c r="N176" s="496">
        <f>'JKP-3.1c - Rev Rates GTI10'!N176</f>
        <v>6.9999999999999999E-4</v>
      </c>
      <c r="O176" s="496">
        <f>'JKP-3.1c - Rev Rates GTI10'!O176</f>
        <v>6.9999999999999999E-4</v>
      </c>
      <c r="P176" s="496">
        <f>'JKP-3.1c - Rev Rates GTI10'!P176</f>
        <v>6.9999999999999999E-4</v>
      </c>
      <c r="Q176" s="496">
        <f>'JKP-3.1c - Rev Rates GTI10'!Q176</f>
        <v>6.9999999999999999E-4</v>
      </c>
      <c r="S176" s="336"/>
      <c r="T176" s="336"/>
    </row>
    <row r="177" spans="1:20" x14ac:dyDescent="0.2">
      <c r="B177" s="336" t="s">
        <v>1069</v>
      </c>
      <c r="D177" s="382" t="s">
        <v>809</v>
      </c>
      <c r="E177" s="336" t="s">
        <v>957</v>
      </c>
      <c r="F177" s="501">
        <f>'JKP-3.1c - Rev Rates GTI10'!F177</f>
        <v>1.1399999999999999</v>
      </c>
      <c r="G177" s="501">
        <f>'JKP-3.1c - Rev Rates GTI10'!G177</f>
        <v>1.1399999999999999</v>
      </c>
      <c r="H177" s="501">
        <f>'JKP-3.1c - Rev Rates GTI10'!H177</f>
        <v>1.1399999999999999</v>
      </c>
      <c r="I177" s="501">
        <f>'JKP-3.1c - Rev Rates GTI10'!I177</f>
        <v>1.1399999999999999</v>
      </c>
      <c r="J177" s="501">
        <f>'JKP-3.1c - Rev Rates GTI10'!J177</f>
        <v>1.1399999999999999</v>
      </c>
      <c r="K177" s="501">
        <f>'JKP-3.1c - Rev Rates GTI10'!K177</f>
        <v>1.1399999999999999</v>
      </c>
      <c r="L177" s="501">
        <f>'JKP-3.1c - Rev Rates GTI10'!L177</f>
        <v>1.1399999999999999</v>
      </c>
      <c r="M177" s="501">
        <f>'JKP-3.1c - Rev Rates GTI10'!M177</f>
        <v>1.1399999999999999</v>
      </c>
      <c r="N177" s="501">
        <f>'JKP-3.1c - Rev Rates GTI10'!N177</f>
        <v>1.1399999999999999</v>
      </c>
      <c r="O177" s="501">
        <f>'JKP-3.1c - Rev Rates GTI10'!O177</f>
        <v>1.1399999999999999</v>
      </c>
      <c r="P177" s="501">
        <f>'JKP-3.1c - Rev Rates GTI10'!P177</f>
        <v>1.1399999999999999</v>
      </c>
      <c r="Q177" s="501">
        <f>'JKP-3.1c - Rev Rates GTI10'!Q177</f>
        <v>1.1399999999999999</v>
      </c>
      <c r="S177" s="336"/>
      <c r="T177" s="336"/>
    </row>
    <row r="178" spans="1:20" x14ac:dyDescent="0.2">
      <c r="B178" s="336" t="s">
        <v>1071</v>
      </c>
      <c r="D178" s="382" t="s">
        <v>809</v>
      </c>
      <c r="E178" s="336" t="s">
        <v>67</v>
      </c>
      <c r="F178" s="442"/>
      <c r="G178" s="442"/>
      <c r="H178" s="442"/>
      <c r="I178" s="442"/>
      <c r="J178" s="442"/>
      <c r="K178" s="442"/>
      <c r="L178" s="442"/>
      <c r="M178" s="442"/>
      <c r="N178" s="442"/>
      <c r="O178" s="442"/>
      <c r="P178" s="442"/>
      <c r="Q178" s="442"/>
      <c r="S178" s="336"/>
      <c r="T178" s="336"/>
    </row>
    <row r="179" spans="1:20" x14ac:dyDescent="0.2">
      <c r="S179" s="336"/>
      <c r="T179" s="336"/>
    </row>
    <row r="180" spans="1:20" x14ac:dyDescent="0.2">
      <c r="B180" s="182" t="s">
        <v>1083</v>
      </c>
      <c r="S180" s="336"/>
      <c r="T180" s="336"/>
    </row>
    <row r="181" spans="1:20" x14ac:dyDescent="0.2">
      <c r="B181" s="336" t="s">
        <v>67</v>
      </c>
      <c r="D181" s="382" t="s">
        <v>809</v>
      </c>
      <c r="E181" s="336" t="s">
        <v>67</v>
      </c>
      <c r="F181" s="421">
        <f>'JKP-3.1c - Data'!C148+'JKP-3.1c - 41T 86T Migrat Adj'!B52</f>
        <v>34</v>
      </c>
      <c r="G181" s="421">
        <f>'JKP-3.1c - Data'!D148+'JKP-3.1c - 41T 86T Migrat Adj'!C52</f>
        <v>36</v>
      </c>
      <c r="H181" s="421">
        <f>'JKP-3.1c - Data'!E148+'JKP-3.1c - 41T 86T Migrat Adj'!D52</f>
        <v>35</v>
      </c>
      <c r="I181" s="421">
        <f>'JKP-3.1c - Data'!F148+'JKP-3.1c - 41T 86T Migrat Adj'!E52</f>
        <v>35</v>
      </c>
      <c r="J181" s="421">
        <f>'JKP-3.1c - Data'!G148+'JKP-3.1c - 41T 86T Migrat Adj'!F52</f>
        <v>36</v>
      </c>
      <c r="K181" s="421">
        <f>'JKP-3.1c - Data'!H148+'JKP-3.1c - 41T 86T Migrat Adj'!G52</f>
        <v>36</v>
      </c>
      <c r="L181" s="421">
        <f>'JKP-3.1c - Data'!I148+'JKP-3.1c - 41T 86T Migrat Adj'!H52</f>
        <v>36</v>
      </c>
      <c r="M181" s="421">
        <f>'JKP-3.1c - Data'!J148+'JKP-3.1c - 41T 86T Migrat Adj'!I52</f>
        <v>36</v>
      </c>
      <c r="N181" s="421">
        <f>'JKP-3.1c - Data'!K148+'JKP-3.1c - 41T 86T Migrat Adj'!J52</f>
        <v>37</v>
      </c>
      <c r="O181" s="421">
        <f>'JKP-3.1c - Data'!L148+'JKP-3.1c - 41T 86T Migrat Adj'!K52</f>
        <v>36</v>
      </c>
      <c r="P181" s="421">
        <f>'JKP-3.1c - Data'!M148+'JKP-3.1c - 41T 86T Migrat Adj'!L52</f>
        <v>35</v>
      </c>
      <c r="Q181" s="421">
        <f>'JKP-3.1c - Data'!N148+'JKP-3.1c - 41T 86T Migrat Adj'!M52</f>
        <v>35</v>
      </c>
      <c r="R181" s="362">
        <f>SUM(F181:Q181)</f>
        <v>427</v>
      </c>
      <c r="S181" s="336"/>
      <c r="T181" s="336"/>
    </row>
    <row r="182" spans="1:20" x14ac:dyDescent="0.2">
      <c r="B182" s="336" t="s">
        <v>76</v>
      </c>
      <c r="F182" s="380"/>
      <c r="G182" s="380"/>
      <c r="H182" s="380"/>
      <c r="I182" s="380"/>
      <c r="J182" s="380"/>
      <c r="K182" s="380"/>
      <c r="L182" s="380"/>
      <c r="M182" s="380"/>
      <c r="N182" s="380"/>
      <c r="O182" s="380"/>
      <c r="P182" s="380"/>
      <c r="Q182" s="380"/>
      <c r="S182" s="336"/>
      <c r="T182" s="336"/>
    </row>
    <row r="183" spans="1:20" x14ac:dyDescent="0.2">
      <c r="C183" s="336" t="s">
        <v>1086</v>
      </c>
      <c r="D183" s="382" t="s">
        <v>809</v>
      </c>
      <c r="E183" s="336" t="s">
        <v>10</v>
      </c>
      <c r="F183" s="421">
        <f>'JKP-3.1c - Rev Rates GTI10'!F183+'JKP-3.1c - 41T 86T Migrat Adj'!B28</f>
        <v>813321</v>
      </c>
      <c r="G183" s="421">
        <f>'JKP-3.1c - Rev Rates GTI10'!G183+'JKP-3.1c - 41T 86T Migrat Adj'!C28</f>
        <v>806260</v>
      </c>
      <c r="H183" s="421">
        <f>'JKP-3.1c - Rev Rates GTI10'!H183+'JKP-3.1c - 41T 86T Migrat Adj'!D28</f>
        <v>831671</v>
      </c>
      <c r="I183" s="421">
        <f>'JKP-3.1c - Rev Rates GTI10'!I183+'JKP-3.1c - 41T 86T Migrat Adj'!E28</f>
        <v>829188</v>
      </c>
      <c r="J183" s="421">
        <f>'JKP-3.1c - Rev Rates GTI10'!J183+'JKP-3.1c - 41T 86T Migrat Adj'!F28</f>
        <v>818973</v>
      </c>
      <c r="K183" s="421">
        <f>'JKP-3.1c - Rev Rates GTI10'!K183+'JKP-3.1c - 41T 86T Migrat Adj'!G28</f>
        <v>814353</v>
      </c>
      <c r="L183" s="421">
        <f>'JKP-3.1c - Rev Rates GTI10'!L183+'JKP-3.1c - 41T 86T Migrat Adj'!H28</f>
        <v>808625</v>
      </c>
      <c r="M183" s="421">
        <f>'JKP-3.1c - Rev Rates GTI10'!M183+'JKP-3.1c - 41T 86T Migrat Adj'!I28</f>
        <v>817517</v>
      </c>
      <c r="N183" s="421">
        <f>'JKP-3.1c - Rev Rates GTI10'!N183+'JKP-3.1c - 41T 86T Migrat Adj'!J28</f>
        <v>825435</v>
      </c>
      <c r="O183" s="421">
        <f>'JKP-3.1c - Rev Rates GTI10'!O183+'JKP-3.1c - 41T 86T Migrat Adj'!K28</f>
        <v>826176</v>
      </c>
      <c r="P183" s="421">
        <f>'JKP-3.1c - Rev Rates GTI10'!P183+'JKP-3.1c - 41T 86T Migrat Adj'!L28</f>
        <v>832441</v>
      </c>
      <c r="Q183" s="421">
        <f>'JKP-3.1c - Rev Rates GTI10'!Q183+'JKP-3.1c - 41T 86T Migrat Adj'!M28</f>
        <v>797486</v>
      </c>
      <c r="R183" s="362">
        <f>SUM(F183:Q183)</f>
        <v>9821446</v>
      </c>
      <c r="S183" s="336"/>
      <c r="T183" s="336"/>
    </row>
    <row r="184" spans="1:20" x14ac:dyDescent="0.2">
      <c r="C184" s="336" t="s">
        <v>1087</v>
      </c>
      <c r="D184" s="382" t="s">
        <v>809</v>
      </c>
      <c r="E184" s="336" t="s">
        <v>10</v>
      </c>
      <c r="F184" s="421">
        <f>'JKP-3.1c - Rev Rates GTI10'!F184+'JKP-3.1c - 41T 86T Migrat Adj'!B29</f>
        <v>562708</v>
      </c>
      <c r="G184" s="421">
        <f>'JKP-3.1c - Rev Rates GTI10'!G184+'JKP-3.1c - 41T 86T Migrat Adj'!C29</f>
        <v>542564</v>
      </c>
      <c r="H184" s="421">
        <f>'JKP-3.1c - Rev Rates GTI10'!H184+'JKP-3.1c - 41T 86T Migrat Adj'!D29</f>
        <v>570861</v>
      </c>
      <c r="I184" s="421">
        <f>'JKP-3.1c - Rev Rates GTI10'!I184+'JKP-3.1c - 41T 86T Migrat Adj'!E29</f>
        <v>560626</v>
      </c>
      <c r="J184" s="421">
        <f>'JKP-3.1c - Rev Rates GTI10'!J184+'JKP-3.1c - 41T 86T Migrat Adj'!F29</f>
        <v>542145</v>
      </c>
      <c r="K184" s="421">
        <f>'JKP-3.1c - Rev Rates GTI10'!K184+'JKP-3.1c - 41T 86T Migrat Adj'!G29</f>
        <v>532414</v>
      </c>
      <c r="L184" s="421">
        <f>'JKP-3.1c - Rev Rates GTI10'!L184+'JKP-3.1c - 41T 86T Migrat Adj'!H29</f>
        <v>501530</v>
      </c>
      <c r="M184" s="421">
        <f>'JKP-3.1c - Rev Rates GTI10'!M184+'JKP-3.1c - 41T 86T Migrat Adj'!I29</f>
        <v>522712</v>
      </c>
      <c r="N184" s="421">
        <f>'JKP-3.1c - Rev Rates GTI10'!N184+'JKP-3.1c - 41T 86T Migrat Adj'!J29</f>
        <v>504320</v>
      </c>
      <c r="O184" s="421">
        <f>'JKP-3.1c - Rev Rates GTI10'!O184+'JKP-3.1c - 41T 86T Migrat Adj'!K29</f>
        <v>546949</v>
      </c>
      <c r="P184" s="421">
        <f>'JKP-3.1c - Rev Rates GTI10'!P184+'JKP-3.1c - 41T 86T Migrat Adj'!L29</f>
        <v>561163</v>
      </c>
      <c r="Q184" s="421">
        <f>'JKP-3.1c - Rev Rates GTI10'!Q184+'JKP-3.1c - 41T 86T Migrat Adj'!M29</f>
        <v>573133</v>
      </c>
      <c r="R184" s="362">
        <f>SUM(F184:Q184)</f>
        <v>6521125</v>
      </c>
      <c r="S184" s="336"/>
      <c r="T184" s="336"/>
    </row>
    <row r="185" spans="1:20" x14ac:dyDescent="0.2">
      <c r="C185" s="336" t="s">
        <v>1088</v>
      </c>
      <c r="D185" s="382" t="s">
        <v>809</v>
      </c>
      <c r="E185" s="336" t="s">
        <v>10</v>
      </c>
      <c r="F185" s="378">
        <f t="shared" ref="F185:N185" si="43">F186-SUM(F183:F184)</f>
        <v>724575</v>
      </c>
      <c r="G185" s="378">
        <f t="shared" si="43"/>
        <v>540280</v>
      </c>
      <c r="H185" s="378">
        <f t="shared" si="43"/>
        <v>722420</v>
      </c>
      <c r="I185" s="378">
        <f t="shared" si="43"/>
        <v>566337</v>
      </c>
      <c r="J185" s="378">
        <f t="shared" si="43"/>
        <v>501703</v>
      </c>
      <c r="K185" s="378">
        <f t="shared" si="43"/>
        <v>398410</v>
      </c>
      <c r="L185" s="378">
        <f t="shared" si="43"/>
        <v>331802</v>
      </c>
      <c r="M185" s="378">
        <f t="shared" si="43"/>
        <v>358067</v>
      </c>
      <c r="N185" s="378">
        <f t="shared" si="43"/>
        <v>372450</v>
      </c>
      <c r="O185" s="378">
        <f>O186-SUM(O183:O184)</f>
        <v>567828</v>
      </c>
      <c r="P185" s="378">
        <f>P186-SUM(P183:P184)</f>
        <v>696923</v>
      </c>
      <c r="Q185" s="378">
        <f>Q186-SUM(Q183:Q184)</f>
        <v>826761</v>
      </c>
      <c r="R185" s="362">
        <f>SUM(F185:Q185)</f>
        <v>6607556</v>
      </c>
      <c r="S185" s="336"/>
      <c r="T185" s="336"/>
    </row>
    <row r="186" spans="1:20" x14ac:dyDescent="0.2">
      <c r="C186" s="336" t="s">
        <v>1075</v>
      </c>
      <c r="D186" s="382" t="s">
        <v>809</v>
      </c>
      <c r="E186" s="336" t="s">
        <v>10</v>
      </c>
      <c r="F186" s="445">
        <f>'JKP-3.1c - Weather Adj'!D166</f>
        <v>2100604</v>
      </c>
      <c r="G186" s="445">
        <f>'JKP-3.1c - Weather Adj'!E166</f>
        <v>1889104</v>
      </c>
      <c r="H186" s="445">
        <f>'JKP-3.1c - Weather Adj'!F166</f>
        <v>2124952</v>
      </c>
      <c r="I186" s="445">
        <f>'JKP-3.1c - Weather Adj'!G166</f>
        <v>1956151</v>
      </c>
      <c r="J186" s="445">
        <f>'JKP-3.1c - Weather Adj'!H166</f>
        <v>1862821</v>
      </c>
      <c r="K186" s="445">
        <f>'JKP-3.1c - Weather Adj'!I166</f>
        <v>1745177</v>
      </c>
      <c r="L186" s="445">
        <f>'JKP-3.1c - Weather Adj'!J166</f>
        <v>1641957</v>
      </c>
      <c r="M186" s="445">
        <f>'JKP-3.1c - Weather Adj'!K166</f>
        <v>1698296</v>
      </c>
      <c r="N186" s="445">
        <f>'JKP-3.1c - Weather Adj'!L166</f>
        <v>1702205</v>
      </c>
      <c r="O186" s="445">
        <f>'JKP-3.1c - Weather Adj'!M166</f>
        <v>1940953</v>
      </c>
      <c r="P186" s="445">
        <f>'JKP-3.1c - Weather Adj'!N166</f>
        <v>2090527</v>
      </c>
      <c r="Q186" s="445">
        <f>'JKP-3.1c - Weather Adj'!O166</f>
        <v>2197380</v>
      </c>
      <c r="R186" s="436">
        <f>SUM(F186:Q186)</f>
        <v>22950127</v>
      </c>
      <c r="S186" s="336"/>
      <c r="T186" s="336"/>
    </row>
    <row r="187" spans="1:20" x14ac:dyDescent="0.2">
      <c r="B187" s="336" t="s">
        <v>74</v>
      </c>
      <c r="D187" s="382" t="s">
        <v>809</v>
      </c>
      <c r="E187" s="336" t="s">
        <v>1076</v>
      </c>
      <c r="F187" s="421">
        <f>'JKP-3.1c - Data'!C168+'JKP-3.1c - 41T 86T Migrat Adj'!B64</f>
        <v>19956</v>
      </c>
      <c r="G187" s="421">
        <f>'JKP-3.1c - Data'!D168+'JKP-3.1c - 41T 86T Migrat Adj'!C64</f>
        <v>22356</v>
      </c>
      <c r="H187" s="421">
        <f>'JKP-3.1c - Data'!E168+'JKP-3.1c - 41T 86T Migrat Adj'!D64</f>
        <v>21156</v>
      </c>
      <c r="I187" s="421">
        <f>'JKP-3.1c - Data'!F168+'JKP-3.1c - 41T 86T Migrat Adj'!E64</f>
        <v>21156</v>
      </c>
      <c r="J187" s="421">
        <f>'JKP-3.1c - Data'!G168+'JKP-3.1c - 41T 86T Migrat Adj'!F64</f>
        <v>21156</v>
      </c>
      <c r="K187" s="421">
        <f>'JKP-3.1c - Data'!H168+'JKP-3.1c - 41T 86T Migrat Adj'!G64</f>
        <v>21156</v>
      </c>
      <c r="L187" s="421">
        <f>'JKP-3.1c - Data'!I168+'JKP-3.1c - 41T 86T Migrat Adj'!H64</f>
        <v>21156</v>
      </c>
      <c r="M187" s="421">
        <f>'JKP-3.1c - Data'!J168+'JKP-3.1c - 41T 86T Migrat Adj'!I64</f>
        <v>21156</v>
      </c>
      <c r="N187" s="421">
        <f>'JKP-3.1c - Data'!K168+'JKP-3.1c - 41T 86T Migrat Adj'!J64</f>
        <v>23656</v>
      </c>
      <c r="O187" s="421">
        <f>'JKP-3.1c - Data'!L168+'JKP-3.1c - 41T 86T Migrat Adj'!K64</f>
        <v>21156</v>
      </c>
      <c r="P187" s="421">
        <f>'JKP-3.1c - Data'!M168+'JKP-3.1c - 41T 86T Migrat Adj'!L64</f>
        <v>19656</v>
      </c>
      <c r="Q187" s="421">
        <f>'JKP-3.1c - Data'!N168+'JKP-3.1c - 41T 86T Migrat Adj'!M64</f>
        <v>19356</v>
      </c>
      <c r="R187" s="362">
        <f>SUM(F187:Q187)</f>
        <v>253072</v>
      </c>
      <c r="S187" s="336"/>
      <c r="T187" s="336"/>
    </row>
    <row r="188" spans="1:20" x14ac:dyDescent="0.2">
      <c r="B188" s="336" t="s">
        <v>1071</v>
      </c>
      <c r="F188" s="380"/>
      <c r="G188" s="380"/>
      <c r="H188" s="380"/>
      <c r="I188" s="380"/>
      <c r="J188" s="380"/>
      <c r="K188" s="380"/>
      <c r="L188" s="380"/>
      <c r="M188" s="380"/>
      <c r="N188" s="380"/>
      <c r="O188" s="380"/>
      <c r="P188" s="380"/>
      <c r="Q188" s="380"/>
      <c r="S188" s="336"/>
      <c r="T188" s="336"/>
    </row>
    <row r="189" spans="1:20" x14ac:dyDescent="0.2">
      <c r="S189" s="336"/>
      <c r="T189" s="336"/>
    </row>
    <row r="190" spans="1:20" x14ac:dyDescent="0.2">
      <c r="B190" s="182" t="s">
        <v>1084</v>
      </c>
      <c r="S190" s="336"/>
      <c r="T190" s="336"/>
    </row>
    <row r="191" spans="1:20" x14ac:dyDescent="0.2">
      <c r="A191" s="336" t="s">
        <v>1054</v>
      </c>
      <c r="B191" s="336" t="s">
        <v>1059</v>
      </c>
      <c r="D191" s="382" t="s">
        <v>809</v>
      </c>
      <c r="F191" s="418">
        <f t="shared" ref="F191:Q191" si="44">F171*F181</f>
        <v>30391.58</v>
      </c>
      <c r="G191" s="418">
        <f t="shared" si="44"/>
        <v>32179.32</v>
      </c>
      <c r="H191" s="418">
        <f t="shared" si="44"/>
        <v>31285.45</v>
      </c>
      <c r="I191" s="418">
        <f t="shared" si="44"/>
        <v>31285.45</v>
      </c>
      <c r="J191" s="418">
        <f t="shared" si="44"/>
        <v>32179.32</v>
      </c>
      <c r="K191" s="418">
        <f t="shared" si="44"/>
        <v>32179.32</v>
      </c>
      <c r="L191" s="418">
        <f t="shared" si="44"/>
        <v>32179.32</v>
      </c>
      <c r="M191" s="418">
        <f t="shared" si="44"/>
        <v>32179.32</v>
      </c>
      <c r="N191" s="418">
        <f t="shared" si="44"/>
        <v>33073.19</v>
      </c>
      <c r="O191" s="418">
        <f t="shared" si="44"/>
        <v>32179.32</v>
      </c>
      <c r="P191" s="418">
        <f t="shared" si="44"/>
        <v>31285.45</v>
      </c>
      <c r="Q191" s="418">
        <f t="shared" si="44"/>
        <v>31285.45</v>
      </c>
      <c r="R191" s="418">
        <f>SUM(F191:Q191)</f>
        <v>381682.49000000005</v>
      </c>
      <c r="S191" s="340"/>
      <c r="T191" s="336"/>
    </row>
    <row r="192" spans="1:20" x14ac:dyDescent="0.2">
      <c r="B192" s="336" t="s">
        <v>1047</v>
      </c>
      <c r="F192" s="418"/>
      <c r="G192" s="418"/>
      <c r="H192" s="418"/>
      <c r="I192" s="418"/>
      <c r="J192" s="418"/>
      <c r="K192" s="418"/>
      <c r="L192" s="418"/>
      <c r="M192" s="418"/>
      <c r="N192" s="418"/>
      <c r="O192" s="418"/>
      <c r="P192" s="418"/>
      <c r="Q192" s="418"/>
      <c r="R192" s="418"/>
      <c r="S192" s="340"/>
      <c r="T192" s="336"/>
    </row>
    <row r="193" spans="1:20" x14ac:dyDescent="0.2">
      <c r="C193" s="336" t="s">
        <v>1086</v>
      </c>
      <c r="D193" s="382" t="s">
        <v>809</v>
      </c>
      <c r="F193" s="418">
        <f t="shared" ref="F193:Q195" si="45">F173*F183</f>
        <v>85325.506110000002</v>
      </c>
      <c r="G193" s="418">
        <f t="shared" si="45"/>
        <v>84584.736600000004</v>
      </c>
      <c r="H193" s="418">
        <f t="shared" si="45"/>
        <v>87250.604610000009</v>
      </c>
      <c r="I193" s="418">
        <f t="shared" si="45"/>
        <v>86990.113079999996</v>
      </c>
      <c r="J193" s="418">
        <f t="shared" si="45"/>
        <v>85918.457430000009</v>
      </c>
      <c r="K193" s="418">
        <f t="shared" si="45"/>
        <v>85433.773230000006</v>
      </c>
      <c r="L193" s="418">
        <f t="shared" si="45"/>
        <v>84832.848750000005</v>
      </c>
      <c r="M193" s="418">
        <f t="shared" si="45"/>
        <v>85765.708469999998</v>
      </c>
      <c r="N193" s="418">
        <f t="shared" si="45"/>
        <v>86596.385850000006</v>
      </c>
      <c r="O193" s="418">
        <f t="shared" si="45"/>
        <v>86674.124160000007</v>
      </c>
      <c r="P193" s="418">
        <f t="shared" si="45"/>
        <v>87331.385309999998</v>
      </c>
      <c r="Q193" s="418">
        <f t="shared" si="45"/>
        <v>83664.256260000009</v>
      </c>
      <c r="R193" s="418">
        <f t="shared" ref="R193:R199" si="46">SUM(F193:Q193)</f>
        <v>1030367.89986</v>
      </c>
      <c r="S193" s="340"/>
      <c r="T193" s="336"/>
    </row>
    <row r="194" spans="1:20" x14ac:dyDescent="0.2">
      <c r="C194" s="336" t="s">
        <v>1087</v>
      </c>
      <c r="D194" s="382" t="s">
        <v>809</v>
      </c>
      <c r="F194" s="418">
        <f t="shared" si="45"/>
        <v>30262.436239999999</v>
      </c>
      <c r="G194" s="418">
        <f t="shared" si="45"/>
        <v>29179.091920000003</v>
      </c>
      <c r="H194" s="418">
        <f t="shared" si="45"/>
        <v>30700.904580000002</v>
      </c>
      <c r="I194" s="418">
        <f t="shared" si="45"/>
        <v>30150.466280000001</v>
      </c>
      <c r="J194" s="418">
        <f t="shared" si="45"/>
        <v>29156.558100000002</v>
      </c>
      <c r="K194" s="418">
        <f t="shared" si="45"/>
        <v>28633.224920000001</v>
      </c>
      <c r="L194" s="418">
        <f t="shared" si="45"/>
        <v>26972.2834</v>
      </c>
      <c r="M194" s="418">
        <f t="shared" si="45"/>
        <v>28111.451359999999</v>
      </c>
      <c r="N194" s="418">
        <f t="shared" si="45"/>
        <v>27122.329600000001</v>
      </c>
      <c r="O194" s="418">
        <f t="shared" si="45"/>
        <v>29414.917219999999</v>
      </c>
      <c r="P194" s="418">
        <f t="shared" si="45"/>
        <v>30179.346140000001</v>
      </c>
      <c r="Q194" s="418">
        <f t="shared" si="45"/>
        <v>30823.09274</v>
      </c>
      <c r="R194" s="418">
        <f t="shared" si="46"/>
        <v>350706.10249999998</v>
      </c>
      <c r="S194" s="340"/>
      <c r="T194" s="336"/>
    </row>
    <row r="195" spans="1:20" x14ac:dyDescent="0.2">
      <c r="C195" s="336" t="s">
        <v>1088</v>
      </c>
      <c r="D195" s="382" t="s">
        <v>809</v>
      </c>
      <c r="F195" s="418">
        <f t="shared" si="45"/>
        <v>37402.561499999996</v>
      </c>
      <c r="G195" s="418">
        <f t="shared" si="45"/>
        <v>27889.2536</v>
      </c>
      <c r="H195" s="418">
        <f t="shared" si="45"/>
        <v>37291.320399999997</v>
      </c>
      <c r="I195" s="418">
        <f t="shared" si="45"/>
        <v>29234.31594</v>
      </c>
      <c r="J195" s="418">
        <f t="shared" si="45"/>
        <v>25897.90886</v>
      </c>
      <c r="K195" s="418">
        <f t="shared" si="45"/>
        <v>20565.924200000001</v>
      </c>
      <c r="L195" s="418">
        <f t="shared" si="45"/>
        <v>17127.61924</v>
      </c>
      <c r="M195" s="418">
        <f t="shared" si="45"/>
        <v>18483.418539999999</v>
      </c>
      <c r="N195" s="418">
        <f t="shared" si="45"/>
        <v>19225.868999999999</v>
      </c>
      <c r="O195" s="418">
        <f t="shared" si="45"/>
        <v>29311.281360000001</v>
      </c>
      <c r="P195" s="418">
        <f t="shared" si="45"/>
        <v>35975.165260000002</v>
      </c>
      <c r="Q195" s="418">
        <f t="shared" si="45"/>
        <v>42677.402820000003</v>
      </c>
      <c r="R195" s="418">
        <f t="shared" si="46"/>
        <v>341082.04071999999</v>
      </c>
      <c r="S195" s="340"/>
      <c r="T195" s="336"/>
    </row>
    <row r="196" spans="1:20" x14ac:dyDescent="0.2">
      <c r="A196" s="336" t="s">
        <v>1054</v>
      </c>
      <c r="C196" s="336" t="s">
        <v>1077</v>
      </c>
      <c r="F196" s="339">
        <f t="shared" ref="F196:L196" si="47">SUM(F193:F195)</f>
        <v>152990.50384999998</v>
      </c>
      <c r="G196" s="339">
        <f t="shared" si="47"/>
        <v>141653.08212000001</v>
      </c>
      <c r="H196" s="339">
        <f t="shared" si="47"/>
        <v>155242.82959000001</v>
      </c>
      <c r="I196" s="339">
        <f t="shared" si="47"/>
        <v>146374.8953</v>
      </c>
      <c r="J196" s="339">
        <f t="shared" si="47"/>
        <v>140972.92439</v>
      </c>
      <c r="K196" s="339">
        <f t="shared" si="47"/>
        <v>134632.92235000001</v>
      </c>
      <c r="L196" s="339">
        <f t="shared" si="47"/>
        <v>128932.75139</v>
      </c>
      <c r="M196" s="339">
        <f>SUM(M193:M195)</f>
        <v>132360.57837</v>
      </c>
      <c r="N196" s="339">
        <f>SUM(N193:N195)</f>
        <v>132944.58444999999</v>
      </c>
      <c r="O196" s="339">
        <f>SUM(O193:O195)</f>
        <v>145400.32274</v>
      </c>
      <c r="P196" s="339">
        <f>SUM(P193:P195)</f>
        <v>153485.89671</v>
      </c>
      <c r="Q196" s="339">
        <f>SUM(Q193:Q195)</f>
        <v>157164.75182</v>
      </c>
      <c r="R196" s="339">
        <f t="shared" si="46"/>
        <v>1722156.0430799997</v>
      </c>
      <c r="S196" s="340"/>
      <c r="T196" s="336"/>
    </row>
    <row r="197" spans="1:20" x14ac:dyDescent="0.2">
      <c r="A197" s="336" t="s">
        <v>1056</v>
      </c>
      <c r="B197" s="336" t="s">
        <v>1081</v>
      </c>
      <c r="D197" s="382" t="s">
        <v>809</v>
      </c>
      <c r="F197" s="668">
        <f t="shared" ref="F197:Q198" si="48">F176*F186</f>
        <v>1470.4228000000001</v>
      </c>
      <c r="G197" s="668">
        <f t="shared" si="48"/>
        <v>1322.3728000000001</v>
      </c>
      <c r="H197" s="668">
        <f t="shared" si="48"/>
        <v>1487.4664</v>
      </c>
      <c r="I197" s="668">
        <f t="shared" si="48"/>
        <v>1369.3056999999999</v>
      </c>
      <c r="J197" s="668">
        <f t="shared" si="48"/>
        <v>1303.9747</v>
      </c>
      <c r="K197" s="668">
        <f t="shared" si="48"/>
        <v>1221.6239</v>
      </c>
      <c r="L197" s="668">
        <f t="shared" si="48"/>
        <v>1149.3698999999999</v>
      </c>
      <c r="M197" s="668">
        <f t="shared" si="48"/>
        <v>1188.8072</v>
      </c>
      <c r="N197" s="668">
        <f t="shared" si="48"/>
        <v>1191.5435</v>
      </c>
      <c r="O197" s="668">
        <f t="shared" si="48"/>
        <v>1358.6670999999999</v>
      </c>
      <c r="P197" s="668">
        <f t="shared" si="48"/>
        <v>1463.3688999999999</v>
      </c>
      <c r="Q197" s="668">
        <f t="shared" si="48"/>
        <v>1538.1659999999999</v>
      </c>
      <c r="R197" s="668">
        <f t="shared" si="46"/>
        <v>16065.088899999999</v>
      </c>
      <c r="S197" s="340"/>
      <c r="T197" s="336"/>
    </row>
    <row r="198" spans="1:20" x14ac:dyDescent="0.2">
      <c r="A198" s="336" t="s">
        <v>1054</v>
      </c>
      <c r="B198" s="336" t="s">
        <v>1069</v>
      </c>
      <c r="D198" s="382" t="s">
        <v>809</v>
      </c>
      <c r="F198" s="418">
        <f t="shared" si="48"/>
        <v>22749.839999999997</v>
      </c>
      <c r="G198" s="418">
        <f t="shared" si="48"/>
        <v>25485.839999999997</v>
      </c>
      <c r="H198" s="418">
        <f t="shared" si="48"/>
        <v>24117.839999999997</v>
      </c>
      <c r="I198" s="418">
        <f t="shared" si="48"/>
        <v>24117.839999999997</v>
      </c>
      <c r="J198" s="418">
        <f t="shared" si="48"/>
        <v>24117.839999999997</v>
      </c>
      <c r="K198" s="418">
        <f t="shared" si="48"/>
        <v>24117.839999999997</v>
      </c>
      <c r="L198" s="418">
        <f t="shared" si="48"/>
        <v>24117.839999999997</v>
      </c>
      <c r="M198" s="418">
        <f t="shared" si="48"/>
        <v>24117.839999999997</v>
      </c>
      <c r="N198" s="418">
        <f t="shared" si="48"/>
        <v>26967.839999999997</v>
      </c>
      <c r="O198" s="418">
        <f t="shared" si="48"/>
        <v>24117.839999999997</v>
      </c>
      <c r="P198" s="418">
        <f t="shared" si="48"/>
        <v>22407.839999999997</v>
      </c>
      <c r="Q198" s="418">
        <f t="shared" si="48"/>
        <v>22065.839999999997</v>
      </c>
      <c r="R198" s="418">
        <f t="shared" si="46"/>
        <v>288502.07999999996</v>
      </c>
      <c r="S198" s="340"/>
      <c r="T198" s="336"/>
    </row>
    <row r="199" spans="1:20" x14ac:dyDescent="0.2">
      <c r="A199" s="336" t="s">
        <v>1054</v>
      </c>
      <c r="B199" s="336" t="s">
        <v>1071</v>
      </c>
      <c r="D199" s="382" t="s">
        <v>809</v>
      </c>
      <c r="F199" s="447">
        <f>'JKP-3.1c - Data'!C185+'JKP-3.1c - 85&amp;T Min Charge Adj '!B43</f>
        <v>0</v>
      </c>
      <c r="G199" s="447">
        <f>'JKP-3.1c - Data'!D185+'JKP-3.1c - 85&amp;T Min Charge Adj '!C43</f>
        <v>0</v>
      </c>
      <c r="H199" s="447">
        <f>'JKP-3.1c - Data'!E185+'JKP-3.1c - 85&amp;T Min Charge Adj '!D43</f>
        <v>9926.75</v>
      </c>
      <c r="I199" s="447">
        <f>'JKP-3.1c - Data'!F185+'JKP-3.1c - 85&amp;T Min Charge Adj '!E43</f>
        <v>0</v>
      </c>
      <c r="J199" s="447">
        <f>'JKP-3.1c - Data'!G185+'JKP-3.1c - 85&amp;T Min Charge Adj '!F43</f>
        <v>0</v>
      </c>
      <c r="K199" s="447">
        <f>'JKP-3.1c - Data'!H185+'JKP-3.1c - 85&amp;T Min Charge Adj '!G43</f>
        <v>0</v>
      </c>
      <c r="L199" s="447">
        <f>'JKP-3.1c - Data'!I185+'JKP-3.1c - 85&amp;T Min Charge Adj '!H43</f>
        <v>0</v>
      </c>
      <c r="M199" s="447">
        <f>'JKP-3.1c - Data'!J185+'JKP-3.1c - 85&amp;T Min Charge Adj '!I43</f>
        <v>0</v>
      </c>
      <c r="N199" s="447">
        <f>'JKP-3.1c - Data'!K185+'JKP-3.1c - 85&amp;T Min Charge Adj '!J43</f>
        <v>0</v>
      </c>
      <c r="O199" s="447">
        <f>'JKP-3.1c - Data'!L185+'JKP-3.1c - 85&amp;T Min Charge Adj '!K43</f>
        <v>0</v>
      </c>
      <c r="P199" s="447">
        <f>'JKP-3.1c - Data'!M185+'JKP-3.1c - 85&amp;T Min Charge Adj '!L43</f>
        <v>442.69</v>
      </c>
      <c r="Q199" s="447">
        <f>'JKP-3.1c - Data'!N185+'JKP-3.1c - 85&amp;T Min Charge Adj '!M43</f>
        <v>0</v>
      </c>
      <c r="R199" s="437">
        <f t="shared" si="46"/>
        <v>10369.44</v>
      </c>
      <c r="S199" s="340"/>
      <c r="T199" s="336"/>
    </row>
    <row r="200" spans="1:20" x14ac:dyDescent="0.2">
      <c r="B200" s="336" t="s">
        <v>986</v>
      </c>
      <c r="F200" s="339">
        <f>F191+F196+F197+F198+F199</f>
        <v>207602.34664999999</v>
      </c>
      <c r="G200" s="339">
        <f t="shared" ref="G200:R200" si="49">G191+G196+G197+G198+G199</f>
        <v>200640.61492000002</v>
      </c>
      <c r="H200" s="339">
        <f t="shared" si="49"/>
        <v>222060.33599000002</v>
      </c>
      <c r="I200" s="339">
        <f t="shared" si="49"/>
        <v>203147.49100000001</v>
      </c>
      <c r="J200" s="339">
        <f t="shared" si="49"/>
        <v>198574.05909</v>
      </c>
      <c r="K200" s="339">
        <f t="shared" si="49"/>
        <v>192151.70625000002</v>
      </c>
      <c r="L200" s="339">
        <f t="shared" si="49"/>
        <v>186379.28128999998</v>
      </c>
      <c r="M200" s="339">
        <f t="shared" si="49"/>
        <v>189846.54557000002</v>
      </c>
      <c r="N200" s="339">
        <f t="shared" si="49"/>
        <v>194177.15794999999</v>
      </c>
      <c r="O200" s="339">
        <f t="shared" si="49"/>
        <v>203056.14984</v>
      </c>
      <c r="P200" s="339">
        <f t="shared" si="49"/>
        <v>209085.24561000001</v>
      </c>
      <c r="Q200" s="339">
        <f t="shared" si="49"/>
        <v>212054.20782000001</v>
      </c>
      <c r="R200" s="339">
        <f t="shared" si="49"/>
        <v>2418775.1419799998</v>
      </c>
      <c r="S200" s="340"/>
      <c r="T200" s="336"/>
    </row>
    <row r="201" spans="1:20" x14ac:dyDescent="0.2">
      <c r="F201" s="418"/>
      <c r="G201" s="418"/>
      <c r="H201" s="418"/>
      <c r="I201" s="418"/>
      <c r="J201" s="418"/>
      <c r="K201" s="418"/>
      <c r="L201" s="418"/>
      <c r="M201" s="418"/>
      <c r="N201" s="418"/>
      <c r="O201" s="418"/>
      <c r="P201" s="418"/>
      <c r="Q201" s="418"/>
      <c r="R201" s="418">
        <f>SUM(F201:Q201)</f>
        <v>0</v>
      </c>
      <c r="S201" s="336"/>
      <c r="T201" s="336"/>
    </row>
    <row r="202" spans="1:20" x14ac:dyDescent="0.2">
      <c r="A202" s="336" t="s">
        <v>1058</v>
      </c>
      <c r="B202" s="336" t="s">
        <v>1050</v>
      </c>
      <c r="F202" s="418">
        <f>F197</f>
        <v>1470.4228000000001</v>
      </c>
      <c r="G202" s="418">
        <f t="shared" ref="G202:Q202" si="50">G197</f>
        <v>1322.3728000000001</v>
      </c>
      <c r="H202" s="418">
        <f t="shared" si="50"/>
        <v>1487.4664</v>
      </c>
      <c r="I202" s="418">
        <f t="shared" si="50"/>
        <v>1369.3056999999999</v>
      </c>
      <c r="J202" s="418">
        <f t="shared" si="50"/>
        <v>1303.9747</v>
      </c>
      <c r="K202" s="418">
        <f t="shared" si="50"/>
        <v>1221.6239</v>
      </c>
      <c r="L202" s="418">
        <f t="shared" si="50"/>
        <v>1149.3698999999999</v>
      </c>
      <c r="M202" s="418">
        <f t="shared" si="50"/>
        <v>1188.8072</v>
      </c>
      <c r="N202" s="418">
        <f t="shared" si="50"/>
        <v>1191.5435</v>
      </c>
      <c r="O202" s="418">
        <f t="shared" si="50"/>
        <v>1358.6670999999999</v>
      </c>
      <c r="P202" s="418">
        <f t="shared" si="50"/>
        <v>1463.3688999999999</v>
      </c>
      <c r="Q202" s="418">
        <f t="shared" si="50"/>
        <v>1538.1659999999999</v>
      </c>
      <c r="R202" s="418">
        <f>SUM(F202:Q202)</f>
        <v>16065.088899999999</v>
      </c>
      <c r="S202" s="336"/>
      <c r="T202" s="336"/>
    </row>
    <row r="203" spans="1:20" x14ac:dyDescent="0.2">
      <c r="F203" s="418"/>
      <c r="G203" s="418"/>
      <c r="H203" s="418"/>
      <c r="I203" s="418"/>
      <c r="J203" s="418"/>
      <c r="K203" s="418"/>
      <c r="L203" s="418"/>
      <c r="M203" s="418"/>
      <c r="N203" s="418"/>
      <c r="O203" s="418"/>
      <c r="P203" s="418"/>
      <c r="Q203" s="418"/>
      <c r="R203" s="418"/>
      <c r="S203" s="336"/>
      <c r="T203" s="336"/>
    </row>
    <row r="204" spans="1:20" x14ac:dyDescent="0.2">
      <c r="B204" s="182" t="s">
        <v>1089</v>
      </c>
      <c r="C204" s="182"/>
      <c r="S204" s="336"/>
      <c r="T204" s="336"/>
    </row>
    <row r="205" spans="1:20" x14ac:dyDescent="0.2">
      <c r="B205" s="182" t="s">
        <v>5</v>
      </c>
      <c r="C205" s="182"/>
      <c r="S205" s="336"/>
      <c r="T205" s="336"/>
    </row>
    <row r="206" spans="1:20" x14ac:dyDescent="0.2">
      <c r="B206" s="336" t="s">
        <v>1059</v>
      </c>
      <c r="D206" s="382" t="s">
        <v>811</v>
      </c>
      <c r="E206" s="336" t="s">
        <v>976</v>
      </c>
      <c r="F206" s="501">
        <f>'JKP-3.1c - Rev Rates GTI10'!F206</f>
        <v>893.47</v>
      </c>
      <c r="G206" s="501">
        <f>'JKP-3.1c - Rev Rates GTI10'!G206</f>
        <v>893.47</v>
      </c>
      <c r="H206" s="501">
        <f>'JKP-3.1c - Rev Rates GTI10'!H206</f>
        <v>893.47</v>
      </c>
      <c r="I206" s="501">
        <f>'JKP-3.1c - Rev Rates GTI10'!I206</f>
        <v>893.47</v>
      </c>
      <c r="J206" s="501">
        <f>'JKP-3.1c - Rev Rates GTI10'!J206</f>
        <v>893.47</v>
      </c>
      <c r="K206" s="501">
        <f>'JKP-3.1c - Rev Rates GTI10'!K206</f>
        <v>893.47</v>
      </c>
      <c r="L206" s="501">
        <f>'JKP-3.1c - Rev Rates GTI10'!L206</f>
        <v>893.47</v>
      </c>
      <c r="M206" s="501">
        <f>'JKP-3.1c - Rev Rates GTI10'!M206</f>
        <v>893.47</v>
      </c>
      <c r="N206" s="501">
        <f>'JKP-3.1c - Rev Rates GTI10'!N206</f>
        <v>893.47</v>
      </c>
      <c r="O206" s="501">
        <f>'JKP-3.1c - Rev Rates GTI10'!O206</f>
        <v>893.47</v>
      </c>
      <c r="P206" s="501">
        <f>'JKP-3.1c - Rev Rates GTI10'!P206</f>
        <v>893.47</v>
      </c>
      <c r="Q206" s="501">
        <f>'JKP-3.1c - Rev Rates GTI10'!Q206</f>
        <v>893.47</v>
      </c>
      <c r="R206" s="501"/>
      <c r="S206" s="336"/>
      <c r="T206" s="336"/>
    </row>
    <row r="207" spans="1:20" x14ac:dyDescent="0.2">
      <c r="B207" s="336" t="s">
        <v>1047</v>
      </c>
      <c r="F207" s="496"/>
      <c r="G207" s="496"/>
      <c r="H207" s="496"/>
      <c r="I207" s="496"/>
      <c r="J207" s="496"/>
      <c r="K207" s="496"/>
      <c r="L207" s="496"/>
      <c r="M207" s="496"/>
      <c r="N207" s="496"/>
      <c r="O207" s="496"/>
      <c r="P207" s="496"/>
      <c r="Q207" s="496"/>
      <c r="R207" s="496"/>
      <c r="S207" s="336"/>
      <c r="T207" s="336"/>
    </row>
    <row r="208" spans="1:20" x14ac:dyDescent="0.2">
      <c r="C208" s="336" t="s">
        <v>1086</v>
      </c>
      <c r="D208" s="382" t="s">
        <v>811</v>
      </c>
      <c r="E208" s="336" t="s">
        <v>957</v>
      </c>
      <c r="F208" s="496">
        <f>'JKP-3.1c - Rev Rates GTI10'!F208</f>
        <v>0.14158000000000001</v>
      </c>
      <c r="G208" s="496">
        <f>'JKP-3.1c - Rev Rates GTI10'!G208</f>
        <v>0.14158000000000001</v>
      </c>
      <c r="H208" s="496">
        <f>'JKP-3.1c - Rev Rates GTI10'!H208</f>
        <v>0.14158000000000001</v>
      </c>
      <c r="I208" s="496">
        <f>'JKP-3.1c - Rev Rates GTI10'!I208</f>
        <v>0.14158000000000001</v>
      </c>
      <c r="J208" s="496">
        <f>'JKP-3.1c - Rev Rates GTI10'!J208</f>
        <v>0.14158000000000001</v>
      </c>
      <c r="K208" s="496">
        <f>'JKP-3.1c - Rev Rates GTI10'!K208</f>
        <v>0.14158000000000001</v>
      </c>
      <c r="L208" s="496">
        <f>'JKP-3.1c - Rev Rates GTI10'!L208</f>
        <v>0.14158000000000001</v>
      </c>
      <c r="M208" s="496">
        <f>'JKP-3.1c - Rev Rates GTI10'!M208</f>
        <v>0.14158000000000001</v>
      </c>
      <c r="N208" s="496">
        <f>'JKP-3.1c - Rev Rates GTI10'!N208</f>
        <v>0.14158000000000001</v>
      </c>
      <c r="O208" s="496">
        <f>'JKP-3.1c - Rev Rates GTI10'!O208</f>
        <v>0.14158000000000001</v>
      </c>
      <c r="P208" s="496">
        <f>'JKP-3.1c - Rev Rates GTI10'!P208</f>
        <v>0.14158000000000001</v>
      </c>
      <c r="Q208" s="496">
        <f>'JKP-3.1c - Rev Rates GTI10'!Q208</f>
        <v>0.14158000000000001</v>
      </c>
      <c r="R208" s="496"/>
      <c r="S208" s="336"/>
      <c r="T208" s="336"/>
    </row>
    <row r="209" spans="2:20" x14ac:dyDescent="0.2">
      <c r="C209" s="336" t="s">
        <v>1087</v>
      </c>
      <c r="D209" s="382" t="s">
        <v>811</v>
      </c>
      <c r="E209" s="336" t="s">
        <v>957</v>
      </c>
      <c r="F209" s="496">
        <f>'JKP-3.1c - Rev Rates GTI10'!F209</f>
        <v>8.6440000000000003E-2</v>
      </c>
      <c r="G209" s="496">
        <f>'JKP-3.1c - Rev Rates GTI10'!G209</f>
        <v>8.6440000000000003E-2</v>
      </c>
      <c r="H209" s="496">
        <f>'JKP-3.1c - Rev Rates GTI10'!H209</f>
        <v>8.6440000000000003E-2</v>
      </c>
      <c r="I209" s="496">
        <f>'JKP-3.1c - Rev Rates GTI10'!I209</f>
        <v>8.6440000000000003E-2</v>
      </c>
      <c r="J209" s="496">
        <f>'JKP-3.1c - Rev Rates GTI10'!J209</f>
        <v>8.6440000000000003E-2</v>
      </c>
      <c r="K209" s="496">
        <f>'JKP-3.1c - Rev Rates GTI10'!K209</f>
        <v>8.6440000000000003E-2</v>
      </c>
      <c r="L209" s="496">
        <f>'JKP-3.1c - Rev Rates GTI10'!L209</f>
        <v>8.6440000000000003E-2</v>
      </c>
      <c r="M209" s="496">
        <f>'JKP-3.1c - Rev Rates GTI10'!M209</f>
        <v>8.6440000000000003E-2</v>
      </c>
      <c r="N209" s="496">
        <f>'JKP-3.1c - Rev Rates GTI10'!N209</f>
        <v>8.6440000000000003E-2</v>
      </c>
      <c r="O209" s="496">
        <f>'JKP-3.1c - Rev Rates GTI10'!O209</f>
        <v>8.6440000000000003E-2</v>
      </c>
      <c r="P209" s="496">
        <f>'JKP-3.1c - Rev Rates GTI10'!P209</f>
        <v>8.6440000000000003E-2</v>
      </c>
      <c r="Q209" s="496">
        <f>'JKP-3.1c - Rev Rates GTI10'!Q209</f>
        <v>8.6440000000000003E-2</v>
      </c>
      <c r="R209" s="496"/>
      <c r="S209" s="336"/>
      <c r="T209" s="336"/>
    </row>
    <row r="210" spans="2:20" x14ac:dyDescent="0.2">
      <c r="C210" s="336" t="s">
        <v>1090</v>
      </c>
      <c r="D210" s="382" t="s">
        <v>811</v>
      </c>
      <c r="E210" s="336" t="s">
        <v>957</v>
      </c>
      <c r="F210" s="496">
        <f>'JKP-3.1c - Rev Rates GTI10'!F210</f>
        <v>5.5809999999999998E-2</v>
      </c>
      <c r="G210" s="496">
        <f>'JKP-3.1c - Rev Rates GTI10'!G210</f>
        <v>5.5809999999999998E-2</v>
      </c>
      <c r="H210" s="496">
        <f>'JKP-3.1c - Rev Rates GTI10'!H210</f>
        <v>5.5809999999999998E-2</v>
      </c>
      <c r="I210" s="496">
        <f>'JKP-3.1c - Rev Rates GTI10'!I210</f>
        <v>5.5809999999999998E-2</v>
      </c>
      <c r="J210" s="496">
        <f>'JKP-3.1c - Rev Rates GTI10'!J210</f>
        <v>5.5809999999999998E-2</v>
      </c>
      <c r="K210" s="496">
        <f>'JKP-3.1c - Rev Rates GTI10'!K210</f>
        <v>5.5809999999999998E-2</v>
      </c>
      <c r="L210" s="496">
        <f>'JKP-3.1c - Rev Rates GTI10'!L210</f>
        <v>5.5809999999999998E-2</v>
      </c>
      <c r="M210" s="496">
        <f>'JKP-3.1c - Rev Rates GTI10'!M210</f>
        <v>5.5809999999999998E-2</v>
      </c>
      <c r="N210" s="496">
        <f>'JKP-3.1c - Rev Rates GTI10'!N210</f>
        <v>5.5809999999999998E-2</v>
      </c>
      <c r="O210" s="496">
        <f>'JKP-3.1c - Rev Rates GTI10'!O210</f>
        <v>5.5809999999999998E-2</v>
      </c>
      <c r="P210" s="496">
        <f>'JKP-3.1c - Rev Rates GTI10'!P210</f>
        <v>5.5809999999999998E-2</v>
      </c>
      <c r="Q210" s="496">
        <f>'JKP-3.1c - Rev Rates GTI10'!Q210</f>
        <v>5.5809999999999998E-2</v>
      </c>
      <c r="R210" s="496"/>
      <c r="S210" s="336"/>
      <c r="T210" s="336"/>
    </row>
    <row r="211" spans="2:20" x14ac:dyDescent="0.2">
      <c r="C211" s="336" t="s">
        <v>1091</v>
      </c>
      <c r="D211" s="382" t="s">
        <v>811</v>
      </c>
      <c r="E211" s="336" t="s">
        <v>957</v>
      </c>
      <c r="F211" s="496">
        <f>'JKP-3.1c - Rev Rates GTI10'!F211</f>
        <v>3.6589999999999998E-2</v>
      </c>
      <c r="G211" s="496">
        <f>'JKP-3.1c - Rev Rates GTI10'!G211</f>
        <v>3.6589999999999998E-2</v>
      </c>
      <c r="H211" s="496">
        <f>'JKP-3.1c - Rev Rates GTI10'!H211</f>
        <v>3.6589999999999998E-2</v>
      </c>
      <c r="I211" s="496">
        <f>'JKP-3.1c - Rev Rates GTI10'!I211</f>
        <v>3.6589999999999998E-2</v>
      </c>
      <c r="J211" s="496">
        <f>'JKP-3.1c - Rev Rates GTI10'!J211</f>
        <v>3.6589999999999998E-2</v>
      </c>
      <c r="K211" s="496">
        <f>'JKP-3.1c - Rev Rates GTI10'!K211</f>
        <v>3.6589999999999998E-2</v>
      </c>
      <c r="L211" s="496">
        <f>'JKP-3.1c - Rev Rates GTI10'!L211</f>
        <v>3.6589999999999998E-2</v>
      </c>
      <c r="M211" s="496">
        <f>'JKP-3.1c - Rev Rates GTI10'!M211</f>
        <v>3.6589999999999998E-2</v>
      </c>
      <c r="N211" s="496">
        <f>'JKP-3.1c - Rev Rates GTI10'!N211</f>
        <v>3.6589999999999998E-2</v>
      </c>
      <c r="O211" s="496">
        <f>'JKP-3.1c - Rev Rates GTI10'!O211</f>
        <v>3.6589999999999998E-2</v>
      </c>
      <c r="P211" s="496">
        <f>'JKP-3.1c - Rev Rates GTI10'!P211</f>
        <v>3.6589999999999998E-2</v>
      </c>
      <c r="Q211" s="496">
        <f>'JKP-3.1c - Rev Rates GTI10'!Q211</f>
        <v>3.6589999999999998E-2</v>
      </c>
      <c r="R211" s="496"/>
      <c r="S211" s="336"/>
      <c r="T211" s="336"/>
    </row>
    <row r="212" spans="2:20" x14ac:dyDescent="0.2">
      <c r="C212" s="336" t="s">
        <v>1092</v>
      </c>
      <c r="D212" s="382" t="s">
        <v>811</v>
      </c>
      <c r="E212" s="336" t="s">
        <v>957</v>
      </c>
      <c r="F212" s="496">
        <f>'JKP-3.1c - Rev Rates GTI10'!F212</f>
        <v>2.6950000000000002E-2</v>
      </c>
      <c r="G212" s="496">
        <f>'JKP-3.1c - Rev Rates GTI10'!G212</f>
        <v>2.6950000000000002E-2</v>
      </c>
      <c r="H212" s="496">
        <f>'JKP-3.1c - Rev Rates GTI10'!H212</f>
        <v>2.6950000000000002E-2</v>
      </c>
      <c r="I212" s="496">
        <f>'JKP-3.1c - Rev Rates GTI10'!I212</f>
        <v>2.6950000000000002E-2</v>
      </c>
      <c r="J212" s="496">
        <f>'JKP-3.1c - Rev Rates GTI10'!J212</f>
        <v>2.6950000000000002E-2</v>
      </c>
      <c r="K212" s="496">
        <f>'JKP-3.1c - Rev Rates GTI10'!K212</f>
        <v>2.6950000000000002E-2</v>
      </c>
      <c r="L212" s="496">
        <f>'JKP-3.1c - Rev Rates GTI10'!L212</f>
        <v>2.6950000000000002E-2</v>
      </c>
      <c r="M212" s="496">
        <f>'JKP-3.1c - Rev Rates GTI10'!M212</f>
        <v>2.6950000000000002E-2</v>
      </c>
      <c r="N212" s="496">
        <f>'JKP-3.1c - Rev Rates GTI10'!N212</f>
        <v>2.6950000000000002E-2</v>
      </c>
      <c r="O212" s="496">
        <f>'JKP-3.1c - Rev Rates GTI10'!O212</f>
        <v>2.6950000000000002E-2</v>
      </c>
      <c r="P212" s="496">
        <f>'JKP-3.1c - Rev Rates GTI10'!P212</f>
        <v>2.6950000000000002E-2</v>
      </c>
      <c r="Q212" s="496">
        <f>'JKP-3.1c - Rev Rates GTI10'!Q212</f>
        <v>2.6950000000000002E-2</v>
      </c>
      <c r="R212" s="496"/>
      <c r="S212" s="336"/>
      <c r="T212" s="336"/>
    </row>
    <row r="213" spans="2:20" x14ac:dyDescent="0.2">
      <c r="C213" s="336" t="s">
        <v>1093</v>
      </c>
      <c r="D213" s="382" t="s">
        <v>811</v>
      </c>
      <c r="E213" s="336" t="s">
        <v>957</v>
      </c>
      <c r="F213" s="496">
        <f>'JKP-3.1c - Rev Rates GTI10'!F213</f>
        <v>2.129E-2</v>
      </c>
      <c r="G213" s="496">
        <f>'JKP-3.1c - Rev Rates GTI10'!G213</f>
        <v>2.129E-2</v>
      </c>
      <c r="H213" s="496">
        <f>'JKP-3.1c - Rev Rates GTI10'!H213</f>
        <v>2.129E-2</v>
      </c>
      <c r="I213" s="496">
        <f>'JKP-3.1c - Rev Rates GTI10'!I213</f>
        <v>2.129E-2</v>
      </c>
      <c r="J213" s="496">
        <f>'JKP-3.1c - Rev Rates GTI10'!J213</f>
        <v>2.129E-2</v>
      </c>
      <c r="K213" s="496">
        <f>'JKP-3.1c - Rev Rates GTI10'!K213</f>
        <v>2.129E-2</v>
      </c>
      <c r="L213" s="496">
        <f>'JKP-3.1c - Rev Rates GTI10'!L213</f>
        <v>2.129E-2</v>
      </c>
      <c r="M213" s="496">
        <f>'JKP-3.1c - Rev Rates GTI10'!M213</f>
        <v>2.129E-2</v>
      </c>
      <c r="N213" s="496">
        <f>'JKP-3.1c - Rev Rates GTI10'!N213</f>
        <v>2.129E-2</v>
      </c>
      <c r="O213" s="496">
        <f>'JKP-3.1c - Rev Rates GTI10'!O213</f>
        <v>2.129E-2</v>
      </c>
      <c r="P213" s="496">
        <f>'JKP-3.1c - Rev Rates GTI10'!P213</f>
        <v>2.129E-2</v>
      </c>
      <c r="Q213" s="496">
        <f>'JKP-3.1c - Rev Rates GTI10'!Q213</f>
        <v>2.129E-2</v>
      </c>
      <c r="R213" s="496"/>
      <c r="S213" s="336"/>
      <c r="T213" s="336"/>
    </row>
    <row r="214" spans="2:20" x14ac:dyDescent="0.2">
      <c r="B214" s="336" t="s">
        <v>1300</v>
      </c>
      <c r="D214" s="382" t="s">
        <v>811</v>
      </c>
      <c r="E214" s="336" t="s">
        <v>957</v>
      </c>
      <c r="F214" s="496">
        <f>'JKP-3.1c - Rev Rates GTI10'!F214</f>
        <v>6.9999999999999999E-4</v>
      </c>
      <c r="G214" s="496">
        <f>'JKP-3.1c - Rev Rates GTI10'!G214</f>
        <v>6.9999999999999999E-4</v>
      </c>
      <c r="H214" s="496">
        <f>'JKP-3.1c - Rev Rates GTI10'!H214</f>
        <v>6.9999999999999999E-4</v>
      </c>
      <c r="I214" s="496">
        <f>'JKP-3.1c - Rev Rates GTI10'!I214</f>
        <v>6.9999999999999999E-4</v>
      </c>
      <c r="J214" s="496">
        <f>'JKP-3.1c - Rev Rates GTI10'!J214</f>
        <v>6.9999999999999999E-4</v>
      </c>
      <c r="K214" s="496">
        <f>'JKP-3.1c - Rev Rates GTI10'!K214</f>
        <v>6.9999999999999999E-4</v>
      </c>
      <c r="L214" s="496">
        <f>'JKP-3.1c - Rev Rates GTI10'!L214</f>
        <v>6.9999999999999999E-4</v>
      </c>
      <c r="M214" s="496">
        <f>'JKP-3.1c - Rev Rates GTI10'!M214</f>
        <v>6.9999999999999999E-4</v>
      </c>
      <c r="N214" s="496">
        <f>'JKP-3.1c - Rev Rates GTI10'!N214</f>
        <v>6.9999999999999999E-4</v>
      </c>
      <c r="O214" s="496">
        <f>'JKP-3.1c - Rev Rates GTI10'!O214</f>
        <v>6.9999999999999999E-4</v>
      </c>
      <c r="P214" s="496">
        <f>'JKP-3.1c - Rev Rates GTI10'!P214</f>
        <v>6.9999999999999999E-4</v>
      </c>
      <c r="Q214" s="496">
        <f>'JKP-3.1c - Rev Rates GTI10'!Q214</f>
        <v>6.9999999999999999E-4</v>
      </c>
      <c r="R214" s="496"/>
      <c r="S214" s="336"/>
      <c r="T214" s="336"/>
    </row>
    <row r="215" spans="2:20" x14ac:dyDescent="0.2">
      <c r="B215" s="336" t="s">
        <v>1069</v>
      </c>
      <c r="D215" s="336">
        <v>101</v>
      </c>
      <c r="E215" s="336" t="s">
        <v>957</v>
      </c>
      <c r="F215" s="501">
        <f>'JKP-3.1c - Rev Rates GTI10'!F215</f>
        <v>1.1399999999999999</v>
      </c>
      <c r="G215" s="501">
        <f>'JKP-3.1c - Rev Rates GTI10'!G215</f>
        <v>1.1399999999999999</v>
      </c>
      <c r="H215" s="501">
        <f>'JKP-3.1c - Rev Rates GTI10'!H215</f>
        <v>1.1399999999999999</v>
      </c>
      <c r="I215" s="501">
        <f>'JKP-3.1c - Rev Rates GTI10'!I215</f>
        <v>1.1399999999999999</v>
      </c>
      <c r="J215" s="501">
        <f>'JKP-3.1c - Rev Rates GTI10'!J215</f>
        <v>1.1399999999999999</v>
      </c>
      <c r="K215" s="501">
        <f>'JKP-3.1c - Rev Rates GTI10'!K215</f>
        <v>1.1399999999999999</v>
      </c>
      <c r="L215" s="501">
        <f>'JKP-3.1c - Rev Rates GTI10'!L215</f>
        <v>1.1399999999999999</v>
      </c>
      <c r="M215" s="501">
        <f>'JKP-3.1c - Rev Rates GTI10'!M215</f>
        <v>1.1399999999999999</v>
      </c>
      <c r="N215" s="501">
        <f>'JKP-3.1c - Rev Rates GTI10'!N215</f>
        <v>1.1399999999999999</v>
      </c>
      <c r="O215" s="501">
        <f>'JKP-3.1c - Rev Rates GTI10'!O215</f>
        <v>1.1399999999999999</v>
      </c>
      <c r="P215" s="501">
        <f>'JKP-3.1c - Rev Rates GTI10'!P215</f>
        <v>1.1399999999999999</v>
      </c>
      <c r="Q215" s="501">
        <f>'JKP-3.1c - Rev Rates GTI10'!Q215</f>
        <v>1.1399999999999999</v>
      </c>
      <c r="R215" s="501"/>
      <c r="S215" s="336"/>
      <c r="T215" s="336"/>
    </row>
    <row r="216" spans="2:20" x14ac:dyDescent="0.2">
      <c r="B216" s="336" t="s">
        <v>1071</v>
      </c>
      <c r="D216" s="382" t="s">
        <v>811</v>
      </c>
      <c r="E216" s="336" t="s">
        <v>67</v>
      </c>
      <c r="F216" s="442"/>
      <c r="G216" s="442"/>
      <c r="H216" s="442"/>
      <c r="I216" s="442"/>
      <c r="J216" s="442"/>
      <c r="K216" s="442"/>
      <c r="L216" s="442"/>
      <c r="M216" s="442"/>
      <c r="N216" s="442"/>
      <c r="O216" s="442"/>
      <c r="P216" s="442"/>
      <c r="Q216" s="442"/>
      <c r="S216" s="336"/>
      <c r="T216" s="336"/>
    </row>
    <row r="217" spans="2:20" x14ac:dyDescent="0.2">
      <c r="S217" s="336"/>
      <c r="T217" s="336"/>
    </row>
    <row r="218" spans="2:20" x14ac:dyDescent="0.2">
      <c r="B218" s="182" t="s">
        <v>1083</v>
      </c>
      <c r="S218" s="336"/>
      <c r="T218" s="336"/>
    </row>
    <row r="219" spans="2:20" x14ac:dyDescent="0.2">
      <c r="B219" s="336" t="s">
        <v>67</v>
      </c>
      <c r="D219" s="382" t="s">
        <v>811</v>
      </c>
      <c r="E219" s="336" t="s">
        <v>67</v>
      </c>
      <c r="F219" s="421">
        <f>'JKP-3.1c - Data'!C155</f>
        <v>2</v>
      </c>
      <c r="G219" s="421">
        <f>'JKP-3.1c - Data'!D155</f>
        <v>2</v>
      </c>
      <c r="H219" s="421">
        <f>'JKP-3.1c - Data'!E155</f>
        <v>2</v>
      </c>
      <c r="I219" s="421">
        <f>'JKP-3.1c - Data'!F155</f>
        <v>2</v>
      </c>
      <c r="J219" s="421">
        <f>'JKP-3.1c - Data'!G155</f>
        <v>2</v>
      </c>
      <c r="K219" s="421">
        <f>'JKP-3.1c - Data'!H155</f>
        <v>2</v>
      </c>
      <c r="L219" s="421">
        <f>'JKP-3.1c - Data'!I155</f>
        <v>2</v>
      </c>
      <c r="M219" s="421">
        <f>'JKP-3.1c - Data'!J155</f>
        <v>2</v>
      </c>
      <c r="N219" s="421">
        <f>'JKP-3.1c - Data'!K155</f>
        <v>2</v>
      </c>
      <c r="O219" s="421">
        <f>'JKP-3.1c - Data'!L155</f>
        <v>2</v>
      </c>
      <c r="P219" s="421">
        <f>'JKP-3.1c - Data'!M155</f>
        <v>2</v>
      </c>
      <c r="Q219" s="421">
        <f>'JKP-3.1c - Data'!N155</f>
        <v>2</v>
      </c>
      <c r="R219" s="362">
        <f>SUM(F219:Q219)</f>
        <v>24</v>
      </c>
      <c r="S219" s="336"/>
      <c r="T219" s="336"/>
    </row>
    <row r="220" spans="2:20" x14ac:dyDescent="0.2">
      <c r="B220" s="336" t="s">
        <v>76</v>
      </c>
      <c r="F220" s="380"/>
      <c r="G220" s="380"/>
      <c r="H220" s="380"/>
      <c r="I220" s="380"/>
      <c r="J220" s="380"/>
      <c r="K220" s="380"/>
      <c r="L220" s="380"/>
      <c r="M220" s="380"/>
      <c r="N220" s="380"/>
      <c r="O220" s="380"/>
      <c r="P220" s="380"/>
      <c r="Q220" s="380"/>
      <c r="R220" s="362"/>
      <c r="S220" s="336"/>
      <c r="T220" s="336"/>
    </row>
    <row r="221" spans="2:20" x14ac:dyDescent="0.2">
      <c r="C221" s="336" t="s">
        <v>1086</v>
      </c>
      <c r="D221" s="382" t="s">
        <v>811</v>
      </c>
      <c r="E221" s="336" t="s">
        <v>10</v>
      </c>
      <c r="F221" s="421">
        <f>'JKP-3.1c - Rev Rates GTI10'!F221</f>
        <v>50000</v>
      </c>
      <c r="G221" s="421">
        <f>'JKP-3.1c - Rev Rates GTI10'!G221</f>
        <v>50000</v>
      </c>
      <c r="H221" s="421">
        <f>'JKP-3.1c - Rev Rates GTI10'!H221</f>
        <v>50000</v>
      </c>
      <c r="I221" s="421">
        <f>'JKP-3.1c - Rev Rates GTI10'!I221</f>
        <v>50000</v>
      </c>
      <c r="J221" s="421">
        <f>'JKP-3.1c - Rev Rates GTI10'!J221</f>
        <v>50000</v>
      </c>
      <c r="K221" s="421">
        <f>'JKP-3.1c - Rev Rates GTI10'!K221</f>
        <v>50000</v>
      </c>
      <c r="L221" s="421">
        <f>'JKP-3.1c - Rev Rates GTI10'!L221</f>
        <v>50000</v>
      </c>
      <c r="M221" s="421">
        <f>'JKP-3.1c - Rev Rates GTI10'!M221</f>
        <v>50000</v>
      </c>
      <c r="N221" s="421">
        <f>'JKP-3.1c - Rev Rates GTI10'!N221</f>
        <v>50000</v>
      </c>
      <c r="O221" s="421">
        <f>'JKP-3.1c - Rev Rates GTI10'!O221</f>
        <v>50000</v>
      </c>
      <c r="P221" s="421">
        <f>'JKP-3.1c - Rev Rates GTI10'!P221</f>
        <v>50000</v>
      </c>
      <c r="Q221" s="421">
        <f>'JKP-3.1c - Rev Rates GTI10'!Q221</f>
        <v>50000</v>
      </c>
      <c r="R221" s="362">
        <f t="shared" ref="R221:R228" si="51">SUM(F221:Q221)</f>
        <v>600000</v>
      </c>
      <c r="S221" s="336"/>
      <c r="T221" s="336"/>
    </row>
    <row r="222" spans="2:20" x14ac:dyDescent="0.2">
      <c r="C222" s="336" t="s">
        <v>1087</v>
      </c>
      <c r="D222" s="382" t="s">
        <v>811</v>
      </c>
      <c r="E222" s="336" t="s">
        <v>10</v>
      </c>
      <c r="F222" s="421">
        <f>'JKP-3.1c - Rev Rates GTI10'!F222</f>
        <v>50000</v>
      </c>
      <c r="G222" s="421">
        <f>'JKP-3.1c - Rev Rates GTI10'!G222</f>
        <v>50000</v>
      </c>
      <c r="H222" s="421">
        <f>'JKP-3.1c - Rev Rates GTI10'!H222</f>
        <v>50000</v>
      </c>
      <c r="I222" s="421">
        <f>'JKP-3.1c - Rev Rates GTI10'!I222</f>
        <v>50000</v>
      </c>
      <c r="J222" s="421">
        <f>'JKP-3.1c - Rev Rates GTI10'!J222</f>
        <v>50000</v>
      </c>
      <c r="K222" s="421">
        <f>'JKP-3.1c - Rev Rates GTI10'!K222</f>
        <v>50000</v>
      </c>
      <c r="L222" s="421">
        <f>'JKP-3.1c - Rev Rates GTI10'!L222</f>
        <v>50000</v>
      </c>
      <c r="M222" s="421">
        <f>'JKP-3.1c - Rev Rates GTI10'!M222</f>
        <v>50000</v>
      </c>
      <c r="N222" s="421">
        <f>'JKP-3.1c - Rev Rates GTI10'!N222</f>
        <v>50000</v>
      </c>
      <c r="O222" s="421">
        <f>'JKP-3.1c - Rev Rates GTI10'!O222</f>
        <v>50000</v>
      </c>
      <c r="P222" s="421">
        <f>'JKP-3.1c - Rev Rates GTI10'!P222</f>
        <v>50000</v>
      </c>
      <c r="Q222" s="421">
        <f>'JKP-3.1c - Rev Rates GTI10'!Q222</f>
        <v>50000</v>
      </c>
      <c r="R222" s="362">
        <f t="shared" si="51"/>
        <v>600000</v>
      </c>
      <c r="S222" s="336"/>
      <c r="T222" s="336"/>
    </row>
    <row r="223" spans="2:20" x14ac:dyDescent="0.2">
      <c r="C223" s="336" t="s">
        <v>1090</v>
      </c>
      <c r="D223" s="382" t="s">
        <v>811</v>
      </c>
      <c r="E223" s="336" t="s">
        <v>10</v>
      </c>
      <c r="F223" s="421">
        <f>'JKP-3.1c - Rev Rates GTI10'!F223</f>
        <v>100000</v>
      </c>
      <c r="G223" s="421">
        <f>'JKP-3.1c - Rev Rates GTI10'!G223</f>
        <v>100000</v>
      </c>
      <c r="H223" s="421">
        <f>'JKP-3.1c - Rev Rates GTI10'!H223</f>
        <v>100000</v>
      </c>
      <c r="I223" s="421">
        <f>'JKP-3.1c - Rev Rates GTI10'!I223</f>
        <v>100000</v>
      </c>
      <c r="J223" s="421">
        <f>'JKP-3.1c - Rev Rates GTI10'!J223</f>
        <v>100000</v>
      </c>
      <c r="K223" s="421">
        <f>'JKP-3.1c - Rev Rates GTI10'!K223</f>
        <v>100000</v>
      </c>
      <c r="L223" s="421">
        <f>'JKP-3.1c - Rev Rates GTI10'!L223</f>
        <v>100000</v>
      </c>
      <c r="M223" s="421">
        <f>'JKP-3.1c - Rev Rates GTI10'!M223</f>
        <v>100000</v>
      </c>
      <c r="N223" s="421">
        <f>'JKP-3.1c - Rev Rates GTI10'!N223</f>
        <v>100000</v>
      </c>
      <c r="O223" s="421">
        <f>'JKP-3.1c - Rev Rates GTI10'!O223</f>
        <v>100000</v>
      </c>
      <c r="P223" s="421">
        <f>'JKP-3.1c - Rev Rates GTI10'!P223</f>
        <v>100000</v>
      </c>
      <c r="Q223" s="421">
        <f>'JKP-3.1c - Rev Rates GTI10'!Q223</f>
        <v>100000</v>
      </c>
      <c r="R223" s="362">
        <f t="shared" si="51"/>
        <v>1200000</v>
      </c>
      <c r="S223" s="336"/>
      <c r="T223" s="336"/>
    </row>
    <row r="224" spans="2:20" x14ac:dyDescent="0.2">
      <c r="C224" s="336" t="s">
        <v>1091</v>
      </c>
      <c r="D224" s="382" t="s">
        <v>811</v>
      </c>
      <c r="E224" s="336" t="s">
        <v>10</v>
      </c>
      <c r="F224" s="421">
        <f>'JKP-3.1c - Rev Rates GTI10'!F224</f>
        <v>200000</v>
      </c>
      <c r="G224" s="421">
        <f>'JKP-3.1c - Rev Rates GTI10'!G224</f>
        <v>200000</v>
      </c>
      <c r="H224" s="421">
        <f>'JKP-3.1c - Rev Rates GTI10'!H224</f>
        <v>200000</v>
      </c>
      <c r="I224" s="421">
        <f>'JKP-3.1c - Rev Rates GTI10'!I224</f>
        <v>200000</v>
      </c>
      <c r="J224" s="421">
        <f>'JKP-3.1c - Rev Rates GTI10'!J224</f>
        <v>200000</v>
      </c>
      <c r="K224" s="421">
        <f>'JKP-3.1c - Rev Rates GTI10'!K224</f>
        <v>200000</v>
      </c>
      <c r="L224" s="421">
        <f>'JKP-3.1c - Rev Rates GTI10'!L224</f>
        <v>200000</v>
      </c>
      <c r="M224" s="421">
        <f>'JKP-3.1c - Rev Rates GTI10'!M224</f>
        <v>200000</v>
      </c>
      <c r="N224" s="421">
        <f>'JKP-3.1c - Rev Rates GTI10'!N224</f>
        <v>200000</v>
      </c>
      <c r="O224" s="421">
        <f>'JKP-3.1c - Rev Rates GTI10'!O224</f>
        <v>200000</v>
      </c>
      <c r="P224" s="421">
        <f>'JKP-3.1c - Rev Rates GTI10'!P224</f>
        <v>200000</v>
      </c>
      <c r="Q224" s="421">
        <f>'JKP-3.1c - Rev Rates GTI10'!Q224</f>
        <v>200000</v>
      </c>
      <c r="R224" s="362">
        <f t="shared" si="51"/>
        <v>2400000</v>
      </c>
      <c r="S224" s="336"/>
      <c r="T224" s="336"/>
    </row>
    <row r="225" spans="1:20" x14ac:dyDescent="0.2">
      <c r="C225" s="336" t="s">
        <v>1092</v>
      </c>
      <c r="D225" s="382" t="s">
        <v>811</v>
      </c>
      <c r="E225" s="336" t="s">
        <v>10</v>
      </c>
      <c r="F225" s="421">
        <f>'JKP-3.1c - Rev Rates GTI10'!F225</f>
        <v>382651</v>
      </c>
      <c r="G225" s="421">
        <f>'JKP-3.1c - Rev Rates GTI10'!G225</f>
        <v>364894</v>
      </c>
      <c r="H225" s="421">
        <f>'JKP-3.1c - Rev Rates GTI10'!H225</f>
        <v>402729</v>
      </c>
      <c r="I225" s="421">
        <f>'JKP-3.1c - Rev Rates GTI10'!I225</f>
        <v>390552</v>
      </c>
      <c r="J225" s="421">
        <f>'JKP-3.1c - Rev Rates GTI10'!J225</f>
        <v>385110</v>
      </c>
      <c r="K225" s="421">
        <f>'JKP-3.1c - Rev Rates GTI10'!K225</f>
        <v>396126</v>
      </c>
      <c r="L225" s="421">
        <f>'JKP-3.1c - Rev Rates GTI10'!L225</f>
        <v>396365</v>
      </c>
      <c r="M225" s="421">
        <f>'JKP-3.1c - Rev Rates GTI10'!M225</f>
        <v>399724</v>
      </c>
      <c r="N225" s="421">
        <f>'JKP-3.1c - Rev Rates GTI10'!N225</f>
        <v>400295</v>
      </c>
      <c r="O225" s="421">
        <f>'JKP-3.1c - Rev Rates GTI10'!O225</f>
        <v>393470</v>
      </c>
      <c r="P225" s="421">
        <f>'JKP-3.1c - Rev Rates GTI10'!P225</f>
        <v>381020</v>
      </c>
      <c r="Q225" s="421">
        <f>'JKP-3.1c - Rev Rates GTI10'!Q225</f>
        <v>394288</v>
      </c>
      <c r="R225" s="362">
        <f t="shared" si="51"/>
        <v>4687224</v>
      </c>
      <c r="S225" s="336"/>
      <c r="T225" s="336"/>
    </row>
    <row r="226" spans="1:20" x14ac:dyDescent="0.2">
      <c r="C226" s="336" t="s">
        <v>1093</v>
      </c>
      <c r="D226" s="382" t="s">
        <v>811</v>
      </c>
      <c r="E226" s="336" t="s">
        <v>10</v>
      </c>
      <c r="F226" s="378">
        <f t="shared" ref="F226:N226" si="52">F227-SUM(F221:F225)</f>
        <v>1544845</v>
      </c>
      <c r="G226" s="378">
        <f t="shared" si="52"/>
        <v>1162564</v>
      </c>
      <c r="H226" s="378">
        <f t="shared" si="52"/>
        <v>1084157</v>
      </c>
      <c r="I226" s="378">
        <f t="shared" si="52"/>
        <v>833216</v>
      </c>
      <c r="J226" s="378">
        <f t="shared" si="52"/>
        <v>633828</v>
      </c>
      <c r="K226" s="378">
        <f t="shared" si="52"/>
        <v>498303</v>
      </c>
      <c r="L226" s="378">
        <f t="shared" si="52"/>
        <v>400327</v>
      </c>
      <c r="M226" s="378">
        <f t="shared" si="52"/>
        <v>365087</v>
      </c>
      <c r="N226" s="378">
        <f t="shared" si="52"/>
        <v>436285</v>
      </c>
      <c r="O226" s="378">
        <f>O227-SUM(O221:O225)</f>
        <v>718533</v>
      </c>
      <c r="P226" s="378">
        <f>P227-SUM(P221:P225)</f>
        <v>1099549</v>
      </c>
      <c r="Q226" s="378">
        <f>Q227-SUM(Q221:Q225)</f>
        <v>1333427</v>
      </c>
      <c r="R226" s="362">
        <f t="shared" si="51"/>
        <v>10110121</v>
      </c>
      <c r="S226" s="336"/>
      <c r="T226" s="336"/>
    </row>
    <row r="227" spans="1:20" x14ac:dyDescent="0.2">
      <c r="C227" s="336" t="s">
        <v>1075</v>
      </c>
      <c r="D227" s="382" t="s">
        <v>811</v>
      </c>
      <c r="E227" s="336" t="s">
        <v>10</v>
      </c>
      <c r="F227" s="445">
        <f>'JKP-3.1c - Weather Adj'!D154</f>
        <v>2327496</v>
      </c>
      <c r="G227" s="445">
        <f>'JKP-3.1c - Weather Adj'!E154</f>
        <v>1927458</v>
      </c>
      <c r="H227" s="445">
        <f>'JKP-3.1c - Weather Adj'!F154</f>
        <v>1886886</v>
      </c>
      <c r="I227" s="445">
        <f>'JKP-3.1c - Weather Adj'!G154</f>
        <v>1623768</v>
      </c>
      <c r="J227" s="445">
        <f>'JKP-3.1c - Weather Adj'!H154</f>
        <v>1418938</v>
      </c>
      <c r="K227" s="445">
        <f>'JKP-3.1c - Weather Adj'!I154</f>
        <v>1294429</v>
      </c>
      <c r="L227" s="445">
        <f>'JKP-3.1c - Weather Adj'!J154</f>
        <v>1196692</v>
      </c>
      <c r="M227" s="445">
        <f>'JKP-3.1c - Weather Adj'!K154</f>
        <v>1164811</v>
      </c>
      <c r="N227" s="445">
        <f>'JKP-3.1c - Weather Adj'!L154</f>
        <v>1236580</v>
      </c>
      <c r="O227" s="445">
        <f>'JKP-3.1c - Weather Adj'!M154</f>
        <v>1512003</v>
      </c>
      <c r="P227" s="445">
        <f>'JKP-3.1c - Weather Adj'!N154</f>
        <v>1880569</v>
      </c>
      <c r="Q227" s="445">
        <f>'JKP-3.1c - Weather Adj'!O154</f>
        <v>2127715</v>
      </c>
      <c r="R227" s="436">
        <f t="shared" si="51"/>
        <v>19597345</v>
      </c>
      <c r="S227" s="336"/>
      <c r="T227" s="336"/>
    </row>
    <row r="228" spans="1:20" x14ac:dyDescent="0.2">
      <c r="B228" s="336" t="s">
        <v>74</v>
      </c>
      <c r="D228" s="382" t="s">
        <v>811</v>
      </c>
      <c r="E228" s="336" t="s">
        <v>1076</v>
      </c>
      <c r="F228" s="421">
        <f>'JKP-3.1c - Data'!C175</f>
        <v>2</v>
      </c>
      <c r="G228" s="421">
        <f>'JKP-3.1c - Data'!D175</f>
        <v>2</v>
      </c>
      <c r="H228" s="421">
        <f>'JKP-3.1c - Data'!E175</f>
        <v>2</v>
      </c>
      <c r="I228" s="421">
        <f>'JKP-3.1c - Data'!F175</f>
        <v>2</v>
      </c>
      <c r="J228" s="421">
        <f>'JKP-3.1c - Data'!G175</f>
        <v>2</v>
      </c>
      <c r="K228" s="421">
        <f>'JKP-3.1c - Data'!H175</f>
        <v>2</v>
      </c>
      <c r="L228" s="421">
        <f>'JKP-3.1c - Data'!I175</f>
        <v>2</v>
      </c>
      <c r="M228" s="421">
        <f>'JKP-3.1c - Data'!J175</f>
        <v>2</v>
      </c>
      <c r="N228" s="421">
        <f>'JKP-3.1c - Data'!K175</f>
        <v>2</v>
      </c>
      <c r="O228" s="421">
        <f>'JKP-3.1c - Data'!L175</f>
        <v>2</v>
      </c>
      <c r="P228" s="421">
        <f>'JKP-3.1c - Data'!M175</f>
        <v>2</v>
      </c>
      <c r="Q228" s="421">
        <f>'JKP-3.1c - Data'!N175</f>
        <v>2</v>
      </c>
      <c r="R228" s="362">
        <f t="shared" si="51"/>
        <v>24</v>
      </c>
      <c r="S228" s="336"/>
      <c r="T228" s="336"/>
    </row>
    <row r="229" spans="1:20" x14ac:dyDescent="0.2">
      <c r="B229" s="336" t="s">
        <v>1071</v>
      </c>
      <c r="F229" s="380"/>
      <c r="G229" s="380"/>
      <c r="H229" s="380"/>
      <c r="I229" s="380"/>
      <c r="J229" s="380"/>
      <c r="K229" s="380"/>
      <c r="L229" s="380"/>
      <c r="M229" s="380"/>
      <c r="N229" s="380"/>
      <c r="O229" s="380"/>
      <c r="P229" s="380"/>
      <c r="Q229" s="380"/>
      <c r="S229" s="336"/>
      <c r="T229" s="336"/>
    </row>
    <row r="230" spans="1:20" x14ac:dyDescent="0.2">
      <c r="S230" s="336"/>
      <c r="T230" s="336"/>
    </row>
    <row r="231" spans="1:20" x14ac:dyDescent="0.2">
      <c r="B231" s="182" t="s">
        <v>1084</v>
      </c>
      <c r="S231" s="336"/>
      <c r="T231" s="336"/>
    </row>
    <row r="232" spans="1:20" x14ac:dyDescent="0.2">
      <c r="A232" s="336" t="s">
        <v>1054</v>
      </c>
      <c r="B232" s="336" t="s">
        <v>1059</v>
      </c>
      <c r="D232" s="382" t="s">
        <v>811</v>
      </c>
      <c r="F232" s="418">
        <f t="shared" ref="F232:Q232" si="53">F206*F219</f>
        <v>1786.94</v>
      </c>
      <c r="G232" s="418">
        <f t="shared" si="53"/>
        <v>1786.94</v>
      </c>
      <c r="H232" s="418">
        <f t="shared" si="53"/>
        <v>1786.94</v>
      </c>
      <c r="I232" s="418">
        <f t="shared" si="53"/>
        <v>1786.94</v>
      </c>
      <c r="J232" s="418">
        <f t="shared" si="53"/>
        <v>1786.94</v>
      </c>
      <c r="K232" s="418">
        <f t="shared" si="53"/>
        <v>1786.94</v>
      </c>
      <c r="L232" s="418">
        <f t="shared" si="53"/>
        <v>1786.94</v>
      </c>
      <c r="M232" s="418">
        <f t="shared" si="53"/>
        <v>1786.94</v>
      </c>
      <c r="N232" s="418">
        <f t="shared" si="53"/>
        <v>1786.94</v>
      </c>
      <c r="O232" s="418">
        <f t="shared" si="53"/>
        <v>1786.94</v>
      </c>
      <c r="P232" s="418">
        <f t="shared" si="53"/>
        <v>1786.94</v>
      </c>
      <c r="Q232" s="418">
        <f t="shared" si="53"/>
        <v>1786.94</v>
      </c>
      <c r="R232" s="418">
        <f t="shared" ref="R232:R242" si="54">SUM(F232:Q232)</f>
        <v>21443.279999999999</v>
      </c>
      <c r="S232" s="336"/>
      <c r="T232" s="336"/>
    </row>
    <row r="233" spans="1:20" x14ac:dyDescent="0.2">
      <c r="B233" s="336" t="s">
        <v>1047</v>
      </c>
      <c r="F233" s="418"/>
      <c r="G233" s="418"/>
      <c r="H233" s="418"/>
      <c r="I233" s="418"/>
      <c r="J233" s="418"/>
      <c r="K233" s="418"/>
      <c r="L233" s="418"/>
      <c r="M233" s="418"/>
      <c r="N233" s="418"/>
      <c r="O233" s="418"/>
      <c r="P233" s="418"/>
      <c r="Q233" s="418"/>
      <c r="R233" s="418">
        <f t="shared" si="54"/>
        <v>0</v>
      </c>
      <c r="S233" s="336"/>
      <c r="T233" s="336"/>
    </row>
    <row r="234" spans="1:20" x14ac:dyDescent="0.2">
      <c r="C234" s="336" t="s">
        <v>1086</v>
      </c>
      <c r="D234" s="382" t="s">
        <v>811</v>
      </c>
      <c r="F234" s="418">
        <f t="shared" ref="F234:Q239" si="55">F208*F221</f>
        <v>7079.0000000000009</v>
      </c>
      <c r="G234" s="418">
        <f t="shared" si="55"/>
        <v>7079.0000000000009</v>
      </c>
      <c r="H234" s="418">
        <f t="shared" si="55"/>
        <v>7079.0000000000009</v>
      </c>
      <c r="I234" s="418">
        <f t="shared" si="55"/>
        <v>7079.0000000000009</v>
      </c>
      <c r="J234" s="418">
        <f t="shared" si="55"/>
        <v>7079.0000000000009</v>
      </c>
      <c r="K234" s="418">
        <f t="shared" si="55"/>
        <v>7079.0000000000009</v>
      </c>
      <c r="L234" s="418">
        <f t="shared" si="55"/>
        <v>7079.0000000000009</v>
      </c>
      <c r="M234" s="418">
        <f t="shared" si="55"/>
        <v>7079.0000000000009</v>
      </c>
      <c r="N234" s="418">
        <f t="shared" si="55"/>
        <v>7079.0000000000009</v>
      </c>
      <c r="O234" s="418">
        <f t="shared" si="55"/>
        <v>7079.0000000000009</v>
      </c>
      <c r="P234" s="418">
        <f t="shared" si="55"/>
        <v>7079.0000000000009</v>
      </c>
      <c r="Q234" s="418">
        <f t="shared" si="55"/>
        <v>7079.0000000000009</v>
      </c>
      <c r="R234" s="418">
        <f t="shared" si="54"/>
        <v>84948.000000000015</v>
      </c>
      <c r="S234" s="336"/>
      <c r="T234" s="336"/>
    </row>
    <row r="235" spans="1:20" x14ac:dyDescent="0.2">
      <c r="C235" s="336" t="s">
        <v>1087</v>
      </c>
      <c r="D235" s="382" t="s">
        <v>811</v>
      </c>
      <c r="F235" s="418">
        <f t="shared" si="55"/>
        <v>4322</v>
      </c>
      <c r="G235" s="418">
        <f t="shared" si="55"/>
        <v>4322</v>
      </c>
      <c r="H235" s="418">
        <f t="shared" si="55"/>
        <v>4322</v>
      </c>
      <c r="I235" s="418">
        <f t="shared" si="55"/>
        <v>4322</v>
      </c>
      <c r="J235" s="418">
        <f t="shared" si="55"/>
        <v>4322</v>
      </c>
      <c r="K235" s="418">
        <f t="shared" si="55"/>
        <v>4322</v>
      </c>
      <c r="L235" s="418">
        <f t="shared" si="55"/>
        <v>4322</v>
      </c>
      <c r="M235" s="418">
        <f t="shared" si="55"/>
        <v>4322</v>
      </c>
      <c r="N235" s="418">
        <f t="shared" si="55"/>
        <v>4322</v>
      </c>
      <c r="O235" s="418">
        <f t="shared" si="55"/>
        <v>4322</v>
      </c>
      <c r="P235" s="418">
        <f t="shared" si="55"/>
        <v>4322</v>
      </c>
      <c r="Q235" s="418">
        <f t="shared" si="55"/>
        <v>4322</v>
      </c>
      <c r="R235" s="418">
        <f t="shared" si="54"/>
        <v>51864</v>
      </c>
      <c r="S235" s="336"/>
      <c r="T235" s="336"/>
    </row>
    <row r="236" spans="1:20" x14ac:dyDescent="0.2">
      <c r="C236" s="336" t="s">
        <v>1090</v>
      </c>
      <c r="D236" s="382" t="s">
        <v>811</v>
      </c>
      <c r="F236" s="418">
        <f t="shared" si="55"/>
        <v>5581</v>
      </c>
      <c r="G236" s="418">
        <f t="shared" si="55"/>
        <v>5581</v>
      </c>
      <c r="H236" s="418">
        <f t="shared" si="55"/>
        <v>5581</v>
      </c>
      <c r="I236" s="418">
        <f t="shared" si="55"/>
        <v>5581</v>
      </c>
      <c r="J236" s="418">
        <f t="shared" si="55"/>
        <v>5581</v>
      </c>
      <c r="K236" s="418">
        <f t="shared" si="55"/>
        <v>5581</v>
      </c>
      <c r="L236" s="418">
        <f t="shared" si="55"/>
        <v>5581</v>
      </c>
      <c r="M236" s="418">
        <f t="shared" si="55"/>
        <v>5581</v>
      </c>
      <c r="N236" s="418">
        <f t="shared" si="55"/>
        <v>5581</v>
      </c>
      <c r="O236" s="418">
        <f t="shared" si="55"/>
        <v>5581</v>
      </c>
      <c r="P236" s="418">
        <f t="shared" si="55"/>
        <v>5581</v>
      </c>
      <c r="Q236" s="418">
        <f t="shared" si="55"/>
        <v>5581</v>
      </c>
      <c r="R236" s="418">
        <f t="shared" si="54"/>
        <v>66972</v>
      </c>
      <c r="S236" s="336"/>
      <c r="T236" s="336"/>
    </row>
    <row r="237" spans="1:20" x14ac:dyDescent="0.2">
      <c r="C237" s="336" t="s">
        <v>1091</v>
      </c>
      <c r="D237" s="382" t="s">
        <v>811</v>
      </c>
      <c r="F237" s="418">
        <f t="shared" si="55"/>
        <v>7317.9999999999991</v>
      </c>
      <c r="G237" s="418">
        <f t="shared" si="55"/>
        <v>7317.9999999999991</v>
      </c>
      <c r="H237" s="418">
        <f t="shared" si="55"/>
        <v>7317.9999999999991</v>
      </c>
      <c r="I237" s="418">
        <f t="shared" si="55"/>
        <v>7317.9999999999991</v>
      </c>
      <c r="J237" s="418">
        <f t="shared" si="55"/>
        <v>7317.9999999999991</v>
      </c>
      <c r="K237" s="418">
        <f t="shared" si="55"/>
        <v>7317.9999999999991</v>
      </c>
      <c r="L237" s="418">
        <f t="shared" si="55"/>
        <v>7317.9999999999991</v>
      </c>
      <c r="M237" s="418">
        <f t="shared" si="55"/>
        <v>7317.9999999999991</v>
      </c>
      <c r="N237" s="418">
        <f t="shared" si="55"/>
        <v>7317.9999999999991</v>
      </c>
      <c r="O237" s="418">
        <f t="shared" si="55"/>
        <v>7317.9999999999991</v>
      </c>
      <c r="P237" s="418">
        <f t="shared" si="55"/>
        <v>7317.9999999999991</v>
      </c>
      <c r="Q237" s="418">
        <f t="shared" si="55"/>
        <v>7317.9999999999991</v>
      </c>
      <c r="R237" s="418">
        <f t="shared" si="54"/>
        <v>87815.999999999985</v>
      </c>
      <c r="S237" s="336"/>
      <c r="T237" s="336"/>
    </row>
    <row r="238" spans="1:20" x14ac:dyDescent="0.2">
      <c r="C238" s="336" t="s">
        <v>1092</v>
      </c>
      <c r="D238" s="382" t="s">
        <v>811</v>
      </c>
      <c r="F238" s="418">
        <f t="shared" si="55"/>
        <v>10312.444450000001</v>
      </c>
      <c r="G238" s="418">
        <f t="shared" si="55"/>
        <v>9833.8932999999997</v>
      </c>
      <c r="H238" s="418">
        <f t="shared" si="55"/>
        <v>10853.546550000001</v>
      </c>
      <c r="I238" s="418">
        <f t="shared" si="55"/>
        <v>10525.376400000001</v>
      </c>
      <c r="J238" s="418">
        <f t="shared" si="55"/>
        <v>10378.7145</v>
      </c>
      <c r="K238" s="418">
        <f t="shared" si="55"/>
        <v>10675.5957</v>
      </c>
      <c r="L238" s="418">
        <f t="shared" si="55"/>
        <v>10682.036750000001</v>
      </c>
      <c r="M238" s="418">
        <f t="shared" si="55"/>
        <v>10772.561800000001</v>
      </c>
      <c r="N238" s="418">
        <f t="shared" si="55"/>
        <v>10787.95025</v>
      </c>
      <c r="O238" s="418">
        <f t="shared" si="55"/>
        <v>10604.016500000002</v>
      </c>
      <c r="P238" s="418">
        <f t="shared" si="55"/>
        <v>10268.489000000001</v>
      </c>
      <c r="Q238" s="418">
        <f t="shared" si="55"/>
        <v>10626.061600000001</v>
      </c>
      <c r="R238" s="418">
        <f t="shared" si="54"/>
        <v>126320.6868</v>
      </c>
      <c r="S238" s="336"/>
      <c r="T238" s="336"/>
    </row>
    <row r="239" spans="1:20" x14ac:dyDescent="0.2">
      <c r="C239" s="336" t="s">
        <v>1093</v>
      </c>
      <c r="D239" s="382" t="s">
        <v>811</v>
      </c>
      <c r="F239" s="418">
        <f t="shared" si="55"/>
        <v>32889.750050000002</v>
      </c>
      <c r="G239" s="418">
        <f t="shared" si="55"/>
        <v>24750.987560000001</v>
      </c>
      <c r="H239" s="418">
        <f t="shared" si="55"/>
        <v>23081.702529999999</v>
      </c>
      <c r="I239" s="418">
        <f t="shared" si="55"/>
        <v>17739.16864</v>
      </c>
      <c r="J239" s="418">
        <f t="shared" si="55"/>
        <v>13494.198119999999</v>
      </c>
      <c r="K239" s="418">
        <f t="shared" si="55"/>
        <v>10608.870870000001</v>
      </c>
      <c r="L239" s="418">
        <f t="shared" si="55"/>
        <v>8522.9618300000002</v>
      </c>
      <c r="M239" s="418">
        <f t="shared" si="55"/>
        <v>7772.7022299999999</v>
      </c>
      <c r="N239" s="418">
        <f t="shared" si="55"/>
        <v>9288.5076499999996</v>
      </c>
      <c r="O239" s="418">
        <f t="shared" si="55"/>
        <v>15297.567569999999</v>
      </c>
      <c r="P239" s="418">
        <f t="shared" si="55"/>
        <v>23409.398209999999</v>
      </c>
      <c r="Q239" s="418">
        <f t="shared" si="55"/>
        <v>28388.660830000001</v>
      </c>
      <c r="R239" s="418">
        <f t="shared" si="54"/>
        <v>215244.47609000001</v>
      </c>
      <c r="S239" s="336"/>
      <c r="T239" s="336"/>
    </row>
    <row r="240" spans="1:20" x14ac:dyDescent="0.2">
      <c r="A240" s="336" t="s">
        <v>1054</v>
      </c>
      <c r="C240" s="336" t="s">
        <v>1077</v>
      </c>
      <c r="F240" s="339">
        <f t="shared" ref="F240:L240" si="56">SUM(F234:F239)</f>
        <v>67502.194500000012</v>
      </c>
      <c r="G240" s="339">
        <f t="shared" si="56"/>
        <v>58884.880859999997</v>
      </c>
      <c r="H240" s="339">
        <f t="shared" si="56"/>
        <v>58235.249079999994</v>
      </c>
      <c r="I240" s="339">
        <f t="shared" si="56"/>
        <v>52564.545039999997</v>
      </c>
      <c r="J240" s="339">
        <f t="shared" si="56"/>
        <v>48172.912620000003</v>
      </c>
      <c r="K240" s="339">
        <f t="shared" si="56"/>
        <v>45584.466569999997</v>
      </c>
      <c r="L240" s="339">
        <f t="shared" si="56"/>
        <v>43504.998579999999</v>
      </c>
      <c r="M240" s="339">
        <f>SUM(M234:M239)</f>
        <v>42845.264030000006</v>
      </c>
      <c r="N240" s="339">
        <f>SUM(N234:N239)</f>
        <v>44376.457900000001</v>
      </c>
      <c r="O240" s="339">
        <f>SUM(O234:O239)</f>
        <v>50201.584069999997</v>
      </c>
      <c r="P240" s="339">
        <f>SUM(P234:P239)</f>
        <v>57977.887210000001</v>
      </c>
      <c r="Q240" s="339">
        <f>SUM(Q234:Q239)</f>
        <v>63314.722430000002</v>
      </c>
      <c r="R240" s="339">
        <f t="shared" si="54"/>
        <v>633165.16288999992</v>
      </c>
      <c r="S240" s="336"/>
      <c r="T240" s="336"/>
    </row>
    <row r="241" spans="1:20" x14ac:dyDescent="0.2">
      <c r="A241" s="336" t="s">
        <v>1056</v>
      </c>
      <c r="B241" s="336" t="s">
        <v>1081</v>
      </c>
      <c r="D241" s="382" t="s">
        <v>811</v>
      </c>
      <c r="F241" s="339">
        <f t="shared" ref="F241:Q242" si="57">F214*F227</f>
        <v>1629.2472</v>
      </c>
      <c r="G241" s="339">
        <f t="shared" si="57"/>
        <v>1349.2205999999999</v>
      </c>
      <c r="H241" s="339">
        <f t="shared" si="57"/>
        <v>1320.8201999999999</v>
      </c>
      <c r="I241" s="339">
        <f t="shared" si="57"/>
        <v>1136.6376</v>
      </c>
      <c r="J241" s="339">
        <f t="shared" si="57"/>
        <v>993.25659999999993</v>
      </c>
      <c r="K241" s="339">
        <f t="shared" si="57"/>
        <v>906.10029999999995</v>
      </c>
      <c r="L241" s="339">
        <f t="shared" si="57"/>
        <v>837.68439999999998</v>
      </c>
      <c r="M241" s="339">
        <f t="shared" si="57"/>
        <v>815.36770000000001</v>
      </c>
      <c r="N241" s="339">
        <f t="shared" si="57"/>
        <v>865.60599999999999</v>
      </c>
      <c r="O241" s="339">
        <f t="shared" si="57"/>
        <v>1058.4021</v>
      </c>
      <c r="P241" s="339">
        <f t="shared" si="57"/>
        <v>1316.3983000000001</v>
      </c>
      <c r="Q241" s="339">
        <f t="shared" si="57"/>
        <v>1489.4005</v>
      </c>
      <c r="R241" s="339">
        <f t="shared" si="54"/>
        <v>13718.1415</v>
      </c>
      <c r="S241" s="336"/>
      <c r="T241" s="336"/>
    </row>
    <row r="242" spans="1:20" x14ac:dyDescent="0.2">
      <c r="A242" s="336" t="s">
        <v>1054</v>
      </c>
      <c r="B242" s="336" t="s">
        <v>1069</v>
      </c>
      <c r="D242" s="382" t="s">
        <v>811</v>
      </c>
      <c r="F242" s="418">
        <f t="shared" si="57"/>
        <v>2.2799999999999998</v>
      </c>
      <c r="G242" s="418">
        <f t="shared" si="57"/>
        <v>2.2799999999999998</v>
      </c>
      <c r="H242" s="418">
        <f t="shared" si="57"/>
        <v>2.2799999999999998</v>
      </c>
      <c r="I242" s="418">
        <f t="shared" si="57"/>
        <v>2.2799999999999998</v>
      </c>
      <c r="J242" s="418">
        <f t="shared" si="57"/>
        <v>2.2799999999999998</v>
      </c>
      <c r="K242" s="418">
        <f t="shared" si="57"/>
        <v>2.2799999999999998</v>
      </c>
      <c r="L242" s="418">
        <f t="shared" si="57"/>
        <v>2.2799999999999998</v>
      </c>
      <c r="M242" s="418">
        <f t="shared" si="57"/>
        <v>2.2799999999999998</v>
      </c>
      <c r="N242" s="418">
        <f t="shared" si="57"/>
        <v>2.2799999999999998</v>
      </c>
      <c r="O242" s="418">
        <f t="shared" si="57"/>
        <v>2.2799999999999998</v>
      </c>
      <c r="P242" s="418">
        <f t="shared" si="57"/>
        <v>2.2799999999999998</v>
      </c>
      <c r="Q242" s="418">
        <f t="shared" si="57"/>
        <v>2.2799999999999998</v>
      </c>
      <c r="R242" s="418">
        <f t="shared" si="54"/>
        <v>27.360000000000003</v>
      </c>
      <c r="S242" s="336"/>
      <c r="T242" s="336"/>
    </row>
    <row r="243" spans="1:20" x14ac:dyDescent="0.2">
      <c r="A243" s="336" t="s">
        <v>1054</v>
      </c>
      <c r="B243" s="336" t="s">
        <v>1071</v>
      </c>
      <c r="D243" s="382" t="s">
        <v>811</v>
      </c>
      <c r="F243" s="437">
        <f>'JKP-3.1c - Data'!C192</f>
        <v>0</v>
      </c>
      <c r="G243" s="437">
        <f>'JKP-3.1c - Data'!D192</f>
        <v>0</v>
      </c>
      <c r="H243" s="437">
        <f>'JKP-3.1c - Data'!E192</f>
        <v>0</v>
      </c>
      <c r="I243" s="437">
        <f>'JKP-3.1c - Data'!F192</f>
        <v>0</v>
      </c>
      <c r="J243" s="437">
        <f>'JKP-3.1c - Data'!G192</f>
        <v>0</v>
      </c>
      <c r="K243" s="437">
        <f>'JKP-3.1c - Data'!H192</f>
        <v>0</v>
      </c>
      <c r="L243" s="437">
        <f>'JKP-3.1c - Data'!I192</f>
        <v>0</v>
      </c>
      <c r="M243" s="437">
        <f>'JKP-3.1c - Data'!J192</f>
        <v>0</v>
      </c>
      <c r="N243" s="437">
        <f>'JKP-3.1c - Data'!K192</f>
        <v>0</v>
      </c>
      <c r="O243" s="437">
        <f>'JKP-3.1c - Data'!L192</f>
        <v>0</v>
      </c>
      <c r="P243" s="437">
        <f>'JKP-3.1c - Data'!M192</f>
        <v>0</v>
      </c>
      <c r="Q243" s="437">
        <f>'JKP-3.1c - Data'!N192</f>
        <v>0</v>
      </c>
      <c r="R243" s="437">
        <f>SUM(F243:Q243)</f>
        <v>0</v>
      </c>
      <c r="S243" s="336"/>
      <c r="T243" s="336"/>
    </row>
    <row r="244" spans="1:20" x14ac:dyDescent="0.2">
      <c r="B244" s="336" t="s">
        <v>986</v>
      </c>
      <c r="F244" s="339">
        <f>F232+F240+F241+F242+F243</f>
        <v>70920.661700000011</v>
      </c>
      <c r="G244" s="339">
        <f t="shared" ref="G244:R244" si="58">G232+G240+G241+G242+G243</f>
        <v>62023.321459999999</v>
      </c>
      <c r="H244" s="339">
        <f t="shared" si="58"/>
        <v>61345.289279999997</v>
      </c>
      <c r="I244" s="339">
        <f t="shared" si="58"/>
        <v>55490.40264</v>
      </c>
      <c r="J244" s="339">
        <f t="shared" si="58"/>
        <v>50955.389220000005</v>
      </c>
      <c r="K244" s="339">
        <f t="shared" si="58"/>
        <v>48279.786869999996</v>
      </c>
      <c r="L244" s="339">
        <f t="shared" si="58"/>
        <v>46131.902979999999</v>
      </c>
      <c r="M244" s="339">
        <f t="shared" si="58"/>
        <v>45449.851730000009</v>
      </c>
      <c r="N244" s="339">
        <f t="shared" si="58"/>
        <v>47031.283900000002</v>
      </c>
      <c r="O244" s="339">
        <f t="shared" si="58"/>
        <v>53049.206169999998</v>
      </c>
      <c r="P244" s="339">
        <f t="shared" si="58"/>
        <v>61083.505510000003</v>
      </c>
      <c r="Q244" s="339">
        <f t="shared" si="58"/>
        <v>66593.342929999999</v>
      </c>
      <c r="R244" s="339">
        <f t="shared" si="58"/>
        <v>668353.94438999996</v>
      </c>
      <c r="S244" s="336"/>
      <c r="T244" s="336"/>
    </row>
    <row r="245" spans="1:20" x14ac:dyDescent="0.2">
      <c r="F245" s="415"/>
      <c r="G245" s="415"/>
      <c r="H245" s="415"/>
      <c r="I245" s="415"/>
      <c r="J245" s="415"/>
      <c r="S245" s="336"/>
      <c r="T245" s="336"/>
    </row>
    <row r="246" spans="1:20" x14ac:dyDescent="0.2">
      <c r="A246" s="336" t="s">
        <v>1058</v>
      </c>
      <c r="B246" s="336" t="s">
        <v>1050</v>
      </c>
      <c r="F246" s="340">
        <f>F241</f>
        <v>1629.2472</v>
      </c>
      <c r="G246" s="340">
        <f t="shared" ref="G246:Q246" si="59">G241</f>
        <v>1349.2205999999999</v>
      </c>
      <c r="H246" s="340">
        <f t="shared" si="59"/>
        <v>1320.8201999999999</v>
      </c>
      <c r="I246" s="340">
        <f t="shared" si="59"/>
        <v>1136.6376</v>
      </c>
      <c r="J246" s="340">
        <f t="shared" si="59"/>
        <v>993.25659999999993</v>
      </c>
      <c r="K246" s="340">
        <f t="shared" si="59"/>
        <v>906.10029999999995</v>
      </c>
      <c r="L246" s="340">
        <f t="shared" si="59"/>
        <v>837.68439999999998</v>
      </c>
      <c r="M246" s="340">
        <f t="shared" si="59"/>
        <v>815.36770000000001</v>
      </c>
      <c r="N246" s="340">
        <f t="shared" si="59"/>
        <v>865.60599999999999</v>
      </c>
      <c r="O246" s="340">
        <f t="shared" si="59"/>
        <v>1058.4021</v>
      </c>
      <c r="P246" s="340">
        <f t="shared" si="59"/>
        <v>1316.3983000000001</v>
      </c>
      <c r="Q246" s="340">
        <f t="shared" si="59"/>
        <v>1489.4005</v>
      </c>
      <c r="R246" s="418">
        <f>SUM(F246:Q246)</f>
        <v>13718.1415</v>
      </c>
      <c r="S246" s="336"/>
      <c r="T246" s="336"/>
    </row>
    <row r="247" spans="1:20" x14ac:dyDescent="0.2">
      <c r="F247" s="415"/>
      <c r="G247" s="415"/>
      <c r="H247" s="415"/>
      <c r="I247" s="415"/>
      <c r="J247" s="415"/>
      <c r="S247" s="336"/>
      <c r="T247" s="336"/>
    </row>
    <row r="248" spans="1:20" x14ac:dyDescent="0.2">
      <c r="B248" s="182" t="s">
        <v>1094</v>
      </c>
    </row>
    <row r="249" spans="1:20" x14ac:dyDescent="0.2">
      <c r="B249" s="182" t="s">
        <v>5</v>
      </c>
    </row>
    <row r="250" spans="1:20" x14ac:dyDescent="0.2">
      <c r="B250" s="336" t="s">
        <v>1063</v>
      </c>
      <c r="D250" s="336">
        <v>61</v>
      </c>
      <c r="E250" s="336" t="s">
        <v>1064</v>
      </c>
      <c r="F250" s="501">
        <f>'JKP-3.1c - Rev Rates PGA Nov10'!F250</f>
        <v>0.1</v>
      </c>
      <c r="G250" s="501">
        <f>'JKP-3.1c - Rev Rates PGA Nov10'!G250</f>
        <v>0.1</v>
      </c>
      <c r="H250" s="501">
        <f>'JKP-3.1c - Rev Rates PGA Nov10'!H250</f>
        <v>0.1</v>
      </c>
      <c r="I250" s="501">
        <f>'JKP-3.1c - Rev Rates PGA Nov10'!I250</f>
        <v>0.1</v>
      </c>
      <c r="J250" s="501">
        <f>'JKP-3.1c - Rev Rates PGA Nov10'!J250</f>
        <v>0.1</v>
      </c>
      <c r="K250" s="501">
        <f>'JKP-3.1c - Rev Rates PGA Nov10'!K250</f>
        <v>0.1</v>
      </c>
      <c r="L250" s="501">
        <f>'JKP-3.1c - Rev Rates PGA Nov10'!L250</f>
        <v>0.1</v>
      </c>
      <c r="M250" s="501">
        <f>'JKP-3.1c - Rev Rates PGA Nov10'!M250</f>
        <v>0.1</v>
      </c>
      <c r="N250" s="501">
        <f>'JKP-3.1c - Rev Rates PGA Nov10'!N250</f>
        <v>0.1</v>
      </c>
      <c r="O250" s="501">
        <f>'JKP-3.1c - Rev Rates PGA Nov10'!O250</f>
        <v>0.1</v>
      </c>
      <c r="P250" s="501">
        <f>'JKP-3.1c - Rev Rates PGA Nov10'!P250</f>
        <v>0.1</v>
      </c>
      <c r="Q250" s="501">
        <f>'JKP-3.1c - Rev Rates PGA Nov10'!Q250</f>
        <v>0.1</v>
      </c>
    </row>
    <row r="252" spans="1:20" x14ac:dyDescent="0.2">
      <c r="B252" s="182" t="s">
        <v>982</v>
      </c>
    </row>
    <row r="253" spans="1:20" x14ac:dyDescent="0.2">
      <c r="B253" s="336" t="s">
        <v>74</v>
      </c>
      <c r="F253" s="421">
        <f>'JKP-3.1c - Data'!C129</f>
        <v>88936</v>
      </c>
      <c r="G253" s="421">
        <f>'JKP-3.1c - Data'!D129</f>
        <v>88936</v>
      </c>
      <c r="H253" s="421">
        <f>'JKP-3.1c - Data'!E129</f>
        <v>89191</v>
      </c>
      <c r="I253" s="421">
        <f>'JKP-3.1c - Data'!F129</f>
        <v>88936</v>
      </c>
      <c r="J253" s="421">
        <f>'JKP-3.1c - Data'!G129</f>
        <v>91309</v>
      </c>
      <c r="K253" s="421">
        <f>'JKP-3.1c - Data'!H129</f>
        <v>90116</v>
      </c>
      <c r="L253" s="421">
        <f>'JKP-3.1c - Data'!I129</f>
        <v>92111</v>
      </c>
      <c r="M253" s="421">
        <f>'JKP-3.1c - Data'!J129</f>
        <v>93269</v>
      </c>
      <c r="N253" s="421">
        <f>'JKP-3.1c - Data'!K129</f>
        <v>92656</v>
      </c>
      <c r="O253" s="421">
        <f>'JKP-3.1c - Data'!L129</f>
        <v>92656</v>
      </c>
      <c r="P253" s="421">
        <f>'JKP-3.1c - Data'!M129</f>
        <v>92656</v>
      </c>
      <c r="Q253" s="421">
        <f>'JKP-3.1c - Data'!N129</f>
        <v>92656</v>
      </c>
      <c r="R253" s="378">
        <f>SUM(F253:Q253)</f>
        <v>1093428</v>
      </c>
    </row>
    <row r="255" spans="1:20" x14ac:dyDescent="0.2">
      <c r="B255" s="182" t="s">
        <v>985</v>
      </c>
    </row>
    <row r="256" spans="1:20" x14ac:dyDescent="0.2">
      <c r="A256" s="336" t="s">
        <v>1054</v>
      </c>
      <c r="B256" s="336" t="s">
        <v>1063</v>
      </c>
      <c r="F256" s="418">
        <f t="shared" ref="F256:N256" si="60">F250*F253</f>
        <v>8893.6</v>
      </c>
      <c r="G256" s="418">
        <f t="shared" si="60"/>
        <v>8893.6</v>
      </c>
      <c r="H256" s="418">
        <f t="shared" si="60"/>
        <v>8919.1</v>
      </c>
      <c r="I256" s="418">
        <f t="shared" si="60"/>
        <v>8893.6</v>
      </c>
      <c r="J256" s="418">
        <f t="shared" si="60"/>
        <v>9130.9</v>
      </c>
      <c r="K256" s="418">
        <f t="shared" si="60"/>
        <v>9011.6</v>
      </c>
      <c r="L256" s="418">
        <f t="shared" si="60"/>
        <v>9211.1</v>
      </c>
      <c r="M256" s="418">
        <f t="shared" si="60"/>
        <v>9326.9</v>
      </c>
      <c r="N256" s="418">
        <f t="shared" si="60"/>
        <v>9265.6</v>
      </c>
      <c r="O256" s="418">
        <f>O250*O253</f>
        <v>9265.6</v>
      </c>
      <c r="P256" s="418">
        <f>P250*P253</f>
        <v>9265.6</v>
      </c>
      <c r="Q256" s="418">
        <f>Q250*Q253</f>
        <v>9265.6</v>
      </c>
      <c r="R256" s="418">
        <f>SUM(F256:Q256)</f>
        <v>109342.80000000002</v>
      </c>
    </row>
    <row r="259" spans="2:20" x14ac:dyDescent="0.2">
      <c r="B259" s="182" t="s">
        <v>1095</v>
      </c>
      <c r="C259" s="182"/>
    </row>
    <row r="260" spans="2:20" x14ac:dyDescent="0.2">
      <c r="B260" s="182" t="s">
        <v>5</v>
      </c>
      <c r="C260" s="182"/>
    </row>
    <row r="261" spans="2:20" x14ac:dyDescent="0.2">
      <c r="B261" s="336" t="s">
        <v>1059</v>
      </c>
      <c r="D261" s="336">
        <v>85</v>
      </c>
      <c r="E261" s="336" t="s">
        <v>976</v>
      </c>
      <c r="F261" s="501">
        <f>'JKP-3.1c - Rev Rates GTI10'!F261</f>
        <v>558.67999999999995</v>
      </c>
      <c r="G261" s="501">
        <f>'JKP-3.1c - Rev Rates GTI10'!G261</f>
        <v>558.67999999999995</v>
      </c>
      <c r="H261" s="501">
        <f>'JKP-3.1c - Rev Rates GTI10'!H261</f>
        <v>558.67999999999995</v>
      </c>
      <c r="I261" s="501">
        <f>'JKP-3.1c - Rev Rates GTI10'!I261</f>
        <v>558.67999999999995</v>
      </c>
      <c r="J261" s="501">
        <f>'JKP-3.1c - Rev Rates GTI10'!J261</f>
        <v>558.67999999999995</v>
      </c>
      <c r="K261" s="501">
        <f>'JKP-3.1c - Rev Rates GTI10'!K261</f>
        <v>558.67999999999995</v>
      </c>
      <c r="L261" s="501">
        <f>'JKP-3.1c - Rev Rates GTI10'!L261</f>
        <v>558.67999999999995</v>
      </c>
      <c r="M261" s="501">
        <f>'JKP-3.1c - Rev Rates GTI10'!M261</f>
        <v>558.67999999999995</v>
      </c>
      <c r="N261" s="501">
        <f>'JKP-3.1c - Rev Rates GTI10'!N261</f>
        <v>558.67999999999995</v>
      </c>
      <c r="O261" s="501">
        <f>'JKP-3.1c - Rev Rates GTI10'!O261</f>
        <v>558.67999999999995</v>
      </c>
      <c r="P261" s="501">
        <f>'JKP-3.1c - Rev Rates GTI10'!P261</f>
        <v>558.67999999999995</v>
      </c>
      <c r="Q261" s="501">
        <f>'JKP-3.1c - Rev Rates GTI10'!Q261</f>
        <v>558.67999999999995</v>
      </c>
      <c r="R261" s="435"/>
    </row>
    <row r="262" spans="2:20" x14ac:dyDescent="0.2">
      <c r="B262" s="336" t="s">
        <v>1047</v>
      </c>
      <c r="F262" s="448"/>
      <c r="G262" s="448"/>
      <c r="H262" s="448"/>
      <c r="I262" s="448"/>
      <c r="J262" s="448"/>
      <c r="K262" s="448"/>
      <c r="L262" s="448"/>
      <c r="M262" s="448"/>
      <c r="N262" s="448"/>
      <c r="O262" s="448"/>
      <c r="P262" s="448"/>
      <c r="Q262" s="448"/>
      <c r="R262" s="441"/>
    </row>
    <row r="263" spans="2:20" x14ac:dyDescent="0.2">
      <c r="C263" s="336" t="s">
        <v>1086</v>
      </c>
      <c r="D263" s="336">
        <v>85</v>
      </c>
      <c r="E263" s="336" t="s">
        <v>957</v>
      </c>
      <c r="F263" s="496">
        <f>'JKP-3.1c - Rev Rates GTI10'!F263</f>
        <v>0.10491</v>
      </c>
      <c r="G263" s="496">
        <f>'JKP-3.1c - Rev Rates GTI10'!G263</f>
        <v>0.10491</v>
      </c>
      <c r="H263" s="496">
        <f>'JKP-3.1c - Rev Rates GTI10'!H263</f>
        <v>0.10491</v>
      </c>
      <c r="I263" s="496">
        <f>'JKP-3.1c - Rev Rates GTI10'!I263</f>
        <v>0.10491</v>
      </c>
      <c r="J263" s="496">
        <f>'JKP-3.1c - Rev Rates GTI10'!J263</f>
        <v>0.10491</v>
      </c>
      <c r="K263" s="496">
        <f>'JKP-3.1c - Rev Rates GTI10'!K263</f>
        <v>0.10491</v>
      </c>
      <c r="L263" s="496">
        <f>'JKP-3.1c - Rev Rates GTI10'!L263</f>
        <v>0.10491</v>
      </c>
      <c r="M263" s="496">
        <f>'JKP-3.1c - Rev Rates GTI10'!M263</f>
        <v>0.10491</v>
      </c>
      <c r="N263" s="496">
        <f>'JKP-3.1c - Rev Rates GTI10'!N263</f>
        <v>0.10491</v>
      </c>
      <c r="O263" s="496">
        <f>'JKP-3.1c - Rev Rates GTI10'!O263</f>
        <v>0.10491</v>
      </c>
      <c r="P263" s="496">
        <f>'JKP-3.1c - Rev Rates GTI10'!P263</f>
        <v>0.10491</v>
      </c>
      <c r="Q263" s="496">
        <f>'JKP-3.1c - Rev Rates GTI10'!Q263</f>
        <v>0.10491</v>
      </c>
      <c r="R263" s="441"/>
    </row>
    <row r="264" spans="2:20" x14ac:dyDescent="0.2">
      <c r="C264" s="336" t="s">
        <v>1087</v>
      </c>
      <c r="D264" s="336">
        <v>85</v>
      </c>
      <c r="E264" s="336" t="s">
        <v>957</v>
      </c>
      <c r="F264" s="496">
        <f>'JKP-3.1c - Rev Rates GTI10'!F264</f>
        <v>5.3780000000000001E-2</v>
      </c>
      <c r="G264" s="496">
        <f>'JKP-3.1c - Rev Rates GTI10'!G264</f>
        <v>5.3780000000000001E-2</v>
      </c>
      <c r="H264" s="496">
        <f>'JKP-3.1c - Rev Rates GTI10'!H264</f>
        <v>5.3780000000000001E-2</v>
      </c>
      <c r="I264" s="496">
        <f>'JKP-3.1c - Rev Rates GTI10'!I264</f>
        <v>5.3780000000000001E-2</v>
      </c>
      <c r="J264" s="496">
        <f>'JKP-3.1c - Rev Rates GTI10'!J264</f>
        <v>5.3780000000000001E-2</v>
      </c>
      <c r="K264" s="496">
        <f>'JKP-3.1c - Rev Rates GTI10'!K264</f>
        <v>5.3780000000000001E-2</v>
      </c>
      <c r="L264" s="496">
        <f>'JKP-3.1c - Rev Rates GTI10'!L264</f>
        <v>5.3780000000000001E-2</v>
      </c>
      <c r="M264" s="496">
        <f>'JKP-3.1c - Rev Rates GTI10'!M264</f>
        <v>5.3780000000000001E-2</v>
      </c>
      <c r="N264" s="496">
        <f>'JKP-3.1c - Rev Rates GTI10'!N264</f>
        <v>5.3780000000000001E-2</v>
      </c>
      <c r="O264" s="496">
        <f>'JKP-3.1c - Rev Rates GTI10'!O264</f>
        <v>5.3780000000000001E-2</v>
      </c>
      <c r="P264" s="496">
        <f>'JKP-3.1c - Rev Rates GTI10'!P264</f>
        <v>5.3780000000000001E-2</v>
      </c>
      <c r="Q264" s="496">
        <f>'JKP-3.1c - Rev Rates GTI10'!Q264</f>
        <v>5.3780000000000001E-2</v>
      </c>
      <c r="R264" s="441"/>
    </row>
    <row r="265" spans="2:20" x14ac:dyDescent="0.2">
      <c r="C265" s="336" t="s">
        <v>1088</v>
      </c>
      <c r="D265" s="336">
        <v>85</v>
      </c>
      <c r="E265" s="336" t="s">
        <v>957</v>
      </c>
      <c r="F265" s="496">
        <f>'JKP-3.1c - Rev Rates GTI10'!F265</f>
        <v>5.1619999999999999E-2</v>
      </c>
      <c r="G265" s="496">
        <f>'JKP-3.1c - Rev Rates GTI10'!G265</f>
        <v>5.1619999999999999E-2</v>
      </c>
      <c r="H265" s="496">
        <f>'JKP-3.1c - Rev Rates GTI10'!H265</f>
        <v>5.1619999999999999E-2</v>
      </c>
      <c r="I265" s="496">
        <f>'JKP-3.1c - Rev Rates GTI10'!I265</f>
        <v>5.1619999999999999E-2</v>
      </c>
      <c r="J265" s="496">
        <f>'JKP-3.1c - Rev Rates GTI10'!J265</f>
        <v>5.1619999999999999E-2</v>
      </c>
      <c r="K265" s="496">
        <f>'JKP-3.1c - Rev Rates GTI10'!K265</f>
        <v>5.1619999999999999E-2</v>
      </c>
      <c r="L265" s="496">
        <f>'JKP-3.1c - Rev Rates GTI10'!L265</f>
        <v>5.1619999999999999E-2</v>
      </c>
      <c r="M265" s="496">
        <f>'JKP-3.1c - Rev Rates GTI10'!M265</f>
        <v>5.1619999999999999E-2</v>
      </c>
      <c r="N265" s="496">
        <f>'JKP-3.1c - Rev Rates GTI10'!N265</f>
        <v>5.1619999999999999E-2</v>
      </c>
      <c r="O265" s="496">
        <f>'JKP-3.1c - Rev Rates GTI10'!O265</f>
        <v>5.1619999999999999E-2</v>
      </c>
      <c r="P265" s="496">
        <f>'JKP-3.1c - Rev Rates GTI10'!P265</f>
        <v>5.1619999999999999E-2</v>
      </c>
      <c r="Q265" s="496">
        <f>'JKP-3.1c - Rev Rates GTI10'!Q265</f>
        <v>5.1619999999999999E-2</v>
      </c>
      <c r="R265" s="441"/>
    </row>
    <row r="266" spans="2:20" x14ac:dyDescent="0.2">
      <c r="B266" s="415" t="s">
        <v>1067</v>
      </c>
      <c r="D266" s="336">
        <v>101</v>
      </c>
      <c r="E266" s="336" t="s">
        <v>957</v>
      </c>
      <c r="F266" s="496">
        <f>'JKP-3.1c - Rev Rates GTI10'!F266</f>
        <v>0.66125</v>
      </c>
      <c r="G266" s="496">
        <f>'JKP-3.1c - Rev Rates GTI10'!G266</f>
        <v>0.66125</v>
      </c>
      <c r="H266" s="496">
        <f>'JKP-3.1c - Rev Rates GTI10'!H266</f>
        <v>0.66125</v>
      </c>
      <c r="I266" s="496">
        <f>'JKP-3.1c - Rev Rates GTI10'!I266</f>
        <v>0.66125</v>
      </c>
      <c r="J266" s="496">
        <f>'JKP-3.1c - Rev Rates GTI10'!J266</f>
        <v>0.66125</v>
      </c>
      <c r="K266" s="496">
        <f>'JKP-3.1c - Rev Rates GTI10'!K266</f>
        <v>0.66125</v>
      </c>
      <c r="L266" s="496">
        <f>'JKP-3.1c - Rev Rates GTI10'!L266</f>
        <v>0.66125</v>
      </c>
      <c r="M266" s="496">
        <f>'JKP-3.1c - Rev Rates GTI10'!M266</f>
        <v>0.66125</v>
      </c>
      <c r="N266" s="496">
        <f>'JKP-3.1c - Rev Rates GTI10'!N266</f>
        <v>0.66125</v>
      </c>
      <c r="O266" s="496">
        <f>'JKP-3.1c - Rev Rates GTI10'!O266</f>
        <v>0.66125</v>
      </c>
      <c r="P266" s="496">
        <f>'JKP-3.1c - Rev Rates GTI10'!P266</f>
        <v>0.66125</v>
      </c>
      <c r="Q266" s="496">
        <f>'JKP-3.1c - Rev Rates GTI10'!Q266</f>
        <v>0.66125</v>
      </c>
      <c r="R266" s="441"/>
    </row>
    <row r="267" spans="2:20" x14ac:dyDescent="0.2">
      <c r="B267" s="336" t="s">
        <v>1096</v>
      </c>
      <c r="D267" s="382">
        <v>85</v>
      </c>
      <c r="E267" s="336" t="s">
        <v>957</v>
      </c>
      <c r="F267" s="496">
        <f>'JKP-3.1c - Rev Rates GTI10'!F267</f>
        <v>6.7600000000000004E-3</v>
      </c>
      <c r="G267" s="496">
        <f>'JKP-3.1c - Rev Rates GTI10'!G267</f>
        <v>6.7600000000000004E-3</v>
      </c>
      <c r="H267" s="496">
        <f>'JKP-3.1c - Rev Rates GTI10'!H267</f>
        <v>6.7600000000000004E-3</v>
      </c>
      <c r="I267" s="496">
        <f>'JKP-3.1c - Rev Rates GTI10'!I267</f>
        <v>6.7600000000000004E-3</v>
      </c>
      <c r="J267" s="496">
        <f>'JKP-3.1c - Rev Rates GTI10'!J267</f>
        <v>6.7600000000000004E-3</v>
      </c>
      <c r="K267" s="496">
        <f>'JKP-3.1c - Rev Rates GTI10'!K267</f>
        <v>6.7600000000000004E-3</v>
      </c>
      <c r="L267" s="496">
        <f>'JKP-3.1c - Rev Rates GTI10'!L267</f>
        <v>6.7600000000000004E-3</v>
      </c>
      <c r="M267" s="496">
        <f>'JKP-3.1c - Rev Rates GTI10'!M267</f>
        <v>6.7600000000000004E-3</v>
      </c>
      <c r="N267" s="496">
        <f>'JKP-3.1c - Rev Rates GTI10'!N267</f>
        <v>6.7600000000000004E-3</v>
      </c>
      <c r="O267" s="496">
        <f>'JKP-3.1c - Rev Rates GTI10'!O267</f>
        <v>6.7600000000000004E-3</v>
      </c>
      <c r="P267" s="496">
        <f>'JKP-3.1c - Rev Rates GTI10'!P267</f>
        <v>6.7600000000000004E-3</v>
      </c>
      <c r="Q267" s="496">
        <f>'JKP-3.1c - Rev Rates GTI10'!Q267</f>
        <v>6.7600000000000004E-3</v>
      </c>
      <c r="R267" s="441"/>
      <c r="T267" s="441"/>
    </row>
    <row r="268" spans="2:20" x14ac:dyDescent="0.2">
      <c r="B268" s="336" t="s">
        <v>1068</v>
      </c>
      <c r="F268" s="441"/>
      <c r="G268" s="441"/>
      <c r="H268" s="441"/>
      <c r="I268" s="441"/>
      <c r="J268" s="441"/>
      <c r="K268" s="441"/>
      <c r="L268" s="441"/>
      <c r="M268" s="441"/>
      <c r="N268" s="441"/>
      <c r="O268" s="441"/>
      <c r="P268" s="441"/>
      <c r="Q268" s="441"/>
      <c r="R268" s="441"/>
    </row>
    <row r="269" spans="2:20" x14ac:dyDescent="0.2">
      <c r="C269" s="336" t="s">
        <v>1069</v>
      </c>
      <c r="D269" s="336">
        <v>85</v>
      </c>
      <c r="E269" s="336" t="s">
        <v>957</v>
      </c>
      <c r="F269" s="501">
        <f>'JKP-3.1c - Rev Rates GTI10'!F269</f>
        <v>1.1399999999999999</v>
      </c>
      <c r="G269" s="501">
        <f>'JKP-3.1c - Rev Rates GTI10'!G269</f>
        <v>1.1399999999999999</v>
      </c>
      <c r="H269" s="501">
        <f>'JKP-3.1c - Rev Rates GTI10'!H269</f>
        <v>1.1399999999999999</v>
      </c>
      <c r="I269" s="501">
        <f>'JKP-3.1c - Rev Rates GTI10'!I269</f>
        <v>1.1399999999999999</v>
      </c>
      <c r="J269" s="501">
        <f>'JKP-3.1c - Rev Rates GTI10'!J269</f>
        <v>1.1399999999999999</v>
      </c>
      <c r="K269" s="501">
        <f>'JKP-3.1c - Rev Rates GTI10'!K269</f>
        <v>1.1399999999999999</v>
      </c>
      <c r="L269" s="501">
        <f>'JKP-3.1c - Rev Rates GTI10'!L269</f>
        <v>1.1399999999999999</v>
      </c>
      <c r="M269" s="501">
        <f>'JKP-3.1c - Rev Rates GTI10'!M269</f>
        <v>1.1399999999999999</v>
      </c>
      <c r="N269" s="501">
        <f>'JKP-3.1c - Rev Rates GTI10'!N269</f>
        <v>1.1399999999999999</v>
      </c>
      <c r="O269" s="501">
        <f>'JKP-3.1c - Rev Rates GTI10'!O269</f>
        <v>1.1399999999999999</v>
      </c>
      <c r="P269" s="501">
        <f>'JKP-3.1c - Rev Rates GTI10'!P269</f>
        <v>1.1399999999999999</v>
      </c>
      <c r="Q269" s="501">
        <f>'JKP-3.1c - Rev Rates GTI10'!Q269</f>
        <v>1.1399999999999999</v>
      </c>
      <c r="R269" s="441"/>
    </row>
    <row r="270" spans="2:20" x14ac:dyDescent="0.2">
      <c r="C270" s="336" t="s">
        <v>1070</v>
      </c>
      <c r="D270" s="336">
        <v>101</v>
      </c>
      <c r="E270" s="336" t="s">
        <v>957</v>
      </c>
      <c r="F270" s="501">
        <f>'JKP-3.1c - Rev Rates GTI10'!F270</f>
        <v>1.05</v>
      </c>
      <c r="G270" s="501">
        <f>'JKP-3.1c - Rev Rates GTI10'!G270</f>
        <v>1.05</v>
      </c>
      <c r="H270" s="501">
        <f>'JKP-3.1c - Rev Rates GTI10'!H270</f>
        <v>1.05</v>
      </c>
      <c r="I270" s="501">
        <f>'JKP-3.1c - Rev Rates GTI10'!I270</f>
        <v>1.05</v>
      </c>
      <c r="J270" s="501">
        <f>'JKP-3.1c - Rev Rates GTI10'!J270</f>
        <v>1.05</v>
      </c>
      <c r="K270" s="501">
        <f>'JKP-3.1c - Rev Rates GTI10'!K270</f>
        <v>1.05</v>
      </c>
      <c r="L270" s="501">
        <f>'JKP-3.1c - Rev Rates GTI10'!L270</f>
        <v>1.05</v>
      </c>
      <c r="M270" s="501">
        <f>'JKP-3.1c - Rev Rates GTI10'!M270</f>
        <v>1.05</v>
      </c>
      <c r="N270" s="501">
        <f>'JKP-3.1c - Rev Rates GTI10'!N270</f>
        <v>1.05</v>
      </c>
      <c r="O270" s="501">
        <f>'JKP-3.1c - Rev Rates GTI10'!O270</f>
        <v>1.05</v>
      </c>
      <c r="P270" s="501">
        <f>'JKP-3.1c - Rev Rates GTI10'!P270</f>
        <v>1.05</v>
      </c>
      <c r="Q270" s="501">
        <f>'JKP-3.1c - Rev Rates GTI10'!Q270</f>
        <v>1.05</v>
      </c>
      <c r="R270" s="441"/>
    </row>
    <row r="271" spans="2:20" x14ac:dyDescent="0.2">
      <c r="B271" s="336" t="s">
        <v>1071</v>
      </c>
      <c r="D271" s="336">
        <v>85</v>
      </c>
      <c r="E271" s="336" t="s">
        <v>67</v>
      </c>
      <c r="F271" s="450"/>
      <c r="G271" s="450"/>
      <c r="H271" s="442"/>
      <c r="I271" s="450"/>
      <c r="J271" s="450"/>
      <c r="K271" s="450"/>
      <c r="L271" s="450"/>
      <c r="M271" s="450"/>
      <c r="N271" s="450"/>
      <c r="O271" s="450"/>
      <c r="P271" s="450"/>
      <c r="Q271" s="450"/>
      <c r="R271" s="441"/>
    </row>
    <row r="272" spans="2:20" x14ac:dyDescent="0.2">
      <c r="B272" s="415" t="s">
        <v>1197</v>
      </c>
      <c r="F272" s="496">
        <f>'JKP-3.1c - Rev Rates GTI10'!F272</f>
        <v>0.63265000000000005</v>
      </c>
      <c r="G272" s="496">
        <f>'JKP-3.1c - Rev Rates GTI10'!G272</f>
        <v>0.63265000000000005</v>
      </c>
      <c r="H272" s="496">
        <f>'JKP-3.1c - Rev Rates GTI10'!H272</f>
        <v>0.63265000000000005</v>
      </c>
      <c r="I272" s="496">
        <f>'JKP-3.1c - Rev Rates GTI10'!I272</f>
        <v>0.63265000000000005</v>
      </c>
      <c r="J272" s="496">
        <f>'JKP-3.1c - Rev Rates GTI10'!J272</f>
        <v>0.63265000000000005</v>
      </c>
      <c r="K272" s="496">
        <f>'JKP-3.1c - Rev Rates GTI10'!K272</f>
        <v>0.63265000000000005</v>
      </c>
      <c r="L272" s="496">
        <f>'JKP-3.1c - Rev Rates GTI10'!L272</f>
        <v>0.63265000000000005</v>
      </c>
      <c r="M272" s="496">
        <f>'JKP-3.1c - Rev Rates GTI10'!M272</f>
        <v>0.63265000000000005</v>
      </c>
      <c r="N272" s="496">
        <f>'JKP-3.1c - Rev Rates GTI10'!N272</f>
        <v>0.63265000000000005</v>
      </c>
      <c r="O272" s="496">
        <f>'JKP-3.1c - Rev Rates GTI10'!O272</f>
        <v>0.63265000000000005</v>
      </c>
      <c r="P272" s="496">
        <f>'JKP-3.1c - Rev Rates GTI10'!P272</f>
        <v>0.63265000000000005</v>
      </c>
      <c r="Q272" s="496">
        <f>'JKP-3.1c - Rev Rates GTI10'!Q272</f>
        <v>0.63265000000000005</v>
      </c>
    </row>
    <row r="273" spans="1:20" x14ac:dyDescent="0.2">
      <c r="B273" s="415" t="s">
        <v>1072</v>
      </c>
      <c r="F273" s="501">
        <v>1</v>
      </c>
      <c r="G273" s="501">
        <v>1</v>
      </c>
      <c r="H273" s="501">
        <v>1</v>
      </c>
      <c r="I273" s="501">
        <v>1</v>
      </c>
      <c r="J273" s="501">
        <v>1</v>
      </c>
      <c r="K273" s="501">
        <v>1</v>
      </c>
      <c r="L273" s="501">
        <v>1</v>
      </c>
      <c r="M273" s="501">
        <v>1</v>
      </c>
      <c r="N273" s="501">
        <v>1</v>
      </c>
      <c r="O273" s="501">
        <v>1</v>
      </c>
      <c r="P273" s="501">
        <v>1</v>
      </c>
      <c r="Q273" s="501">
        <v>1</v>
      </c>
    </row>
    <row r="275" spans="1:20" x14ac:dyDescent="0.2">
      <c r="B275" s="182" t="s">
        <v>982</v>
      </c>
    </row>
    <row r="276" spans="1:20" x14ac:dyDescent="0.2">
      <c r="B276" s="336" t="s">
        <v>67</v>
      </c>
      <c r="E276" s="336" t="s">
        <v>67</v>
      </c>
      <c r="F276" s="421">
        <f>'JKP-3.1c - Data'!C146</f>
        <v>25</v>
      </c>
      <c r="G276" s="421">
        <f>'JKP-3.1c - Data'!D146</f>
        <v>25</v>
      </c>
      <c r="H276" s="421">
        <f>'JKP-3.1c - Data'!E146</f>
        <v>27</v>
      </c>
      <c r="I276" s="421">
        <f>'JKP-3.1c - Data'!F146</f>
        <v>27</v>
      </c>
      <c r="J276" s="421">
        <f>'JKP-3.1c - Data'!G146</f>
        <v>27</v>
      </c>
      <c r="K276" s="421">
        <f>'JKP-3.1c - Data'!H146</f>
        <v>27</v>
      </c>
      <c r="L276" s="421">
        <f>'JKP-3.1c - Data'!I146</f>
        <v>27</v>
      </c>
      <c r="M276" s="421">
        <f>'JKP-3.1c - Data'!J146</f>
        <v>28</v>
      </c>
      <c r="N276" s="421">
        <f>'JKP-3.1c - Data'!K146</f>
        <v>27</v>
      </c>
      <c r="O276" s="421">
        <f>'JKP-3.1c - Data'!L146</f>
        <v>27</v>
      </c>
      <c r="P276" s="421">
        <f>'JKP-3.1c - Data'!M146</f>
        <v>27</v>
      </c>
      <c r="Q276" s="421">
        <f>'JKP-3.1c - Data'!N146</f>
        <v>27</v>
      </c>
      <c r="R276" s="378">
        <f>SUM(F276:Q276)</f>
        <v>321</v>
      </c>
    </row>
    <row r="277" spans="1:20" x14ac:dyDescent="0.2">
      <c r="B277" s="336" t="s">
        <v>76</v>
      </c>
      <c r="F277" s="380"/>
      <c r="G277" s="380"/>
      <c r="H277" s="380"/>
      <c r="I277" s="380"/>
      <c r="J277" s="380"/>
      <c r="K277" s="380"/>
      <c r="L277" s="380"/>
      <c r="M277" s="380"/>
      <c r="N277" s="380"/>
      <c r="O277" s="380"/>
      <c r="P277" s="380"/>
      <c r="Q277" s="380"/>
      <c r="R277" s="378"/>
    </row>
    <row r="278" spans="1:20" x14ac:dyDescent="0.2">
      <c r="C278" s="336" t="s">
        <v>1086</v>
      </c>
      <c r="E278" s="336" t="s">
        <v>10</v>
      </c>
      <c r="F278" s="421">
        <f>'JKP-3.1c - Rev Rates GTI10'!F278</f>
        <v>579204</v>
      </c>
      <c r="G278" s="421">
        <f>'JKP-3.1c - Rev Rates GTI10'!G278</f>
        <v>571053</v>
      </c>
      <c r="H278" s="421">
        <f>'JKP-3.1c - Rev Rates GTI10'!H278</f>
        <v>627459</v>
      </c>
      <c r="I278" s="421">
        <f>'JKP-3.1c - Rev Rates GTI10'!I278</f>
        <v>616245</v>
      </c>
      <c r="J278" s="421">
        <f>'JKP-3.1c - Rev Rates GTI10'!J278</f>
        <v>589190</v>
      </c>
      <c r="K278" s="421">
        <f>'JKP-3.1c - Rev Rates GTI10'!K278</f>
        <v>532748</v>
      </c>
      <c r="L278" s="421">
        <f>'JKP-3.1c - Rev Rates GTI10'!L278</f>
        <v>489709</v>
      </c>
      <c r="M278" s="421">
        <f>'JKP-3.1c - Rev Rates GTI10'!M278</f>
        <v>482494</v>
      </c>
      <c r="N278" s="421">
        <f>'JKP-3.1c - Rev Rates GTI10'!N278</f>
        <v>496035</v>
      </c>
      <c r="O278" s="421">
        <f>'JKP-3.1c - Rev Rates GTI10'!O278</f>
        <v>576969</v>
      </c>
      <c r="P278" s="421">
        <f>'JKP-3.1c - Rev Rates GTI10'!P278</f>
        <v>621973</v>
      </c>
      <c r="Q278" s="421">
        <f>'JKP-3.1c - Rev Rates GTI10'!Q278</f>
        <v>643793</v>
      </c>
      <c r="R278" s="378">
        <f>SUM(F278:Q278)</f>
        <v>6826872</v>
      </c>
    </row>
    <row r="279" spans="1:20" x14ac:dyDescent="0.2">
      <c r="C279" s="336" t="s">
        <v>1087</v>
      </c>
      <c r="E279" s="336" t="s">
        <v>10</v>
      </c>
      <c r="F279" s="421">
        <f>'JKP-3.1c - Rev Rates GTI10'!F279</f>
        <v>316044</v>
      </c>
      <c r="G279" s="421">
        <f>'JKP-3.1c - Rev Rates GTI10'!G279</f>
        <v>266208</v>
      </c>
      <c r="H279" s="421">
        <f>'JKP-3.1c - Rev Rates GTI10'!H279</f>
        <v>328534</v>
      </c>
      <c r="I279" s="421">
        <f>'JKP-3.1c - Rev Rates GTI10'!I279</f>
        <v>286112</v>
      </c>
      <c r="J279" s="421">
        <f>'JKP-3.1c - Rev Rates GTI10'!J279</f>
        <v>232846</v>
      </c>
      <c r="K279" s="421">
        <f>'JKP-3.1c - Rev Rates GTI10'!K279</f>
        <v>196378</v>
      </c>
      <c r="L279" s="421">
        <f>'JKP-3.1c - Rev Rates GTI10'!L279</f>
        <v>177019</v>
      </c>
      <c r="M279" s="421">
        <f>'JKP-3.1c - Rev Rates GTI10'!M279</f>
        <v>177009</v>
      </c>
      <c r="N279" s="421">
        <f>'JKP-3.1c - Rev Rates GTI10'!N279</f>
        <v>183789</v>
      </c>
      <c r="O279" s="421">
        <f>'JKP-3.1c - Rev Rates GTI10'!O279</f>
        <v>253149</v>
      </c>
      <c r="P279" s="421">
        <f>'JKP-3.1c - Rev Rates GTI10'!P279</f>
        <v>336943</v>
      </c>
      <c r="Q279" s="421">
        <f>'JKP-3.1c - Rev Rates GTI10'!Q279</f>
        <v>381036</v>
      </c>
      <c r="R279" s="378">
        <f>SUM(F279:Q279)</f>
        <v>3135067</v>
      </c>
    </row>
    <row r="280" spans="1:20" x14ac:dyDescent="0.2">
      <c r="C280" s="336" t="s">
        <v>1088</v>
      </c>
      <c r="E280" s="336" t="s">
        <v>10</v>
      </c>
      <c r="F280" s="378">
        <f t="shared" ref="F280:N280" si="61">F281-F278-F279</f>
        <v>900058</v>
      </c>
      <c r="G280" s="378">
        <f t="shared" si="61"/>
        <v>696882</v>
      </c>
      <c r="H280" s="378">
        <f t="shared" si="61"/>
        <v>637632</v>
      </c>
      <c r="I280" s="378">
        <f t="shared" si="61"/>
        <v>407662</v>
      </c>
      <c r="J280" s="378">
        <f t="shared" si="61"/>
        <v>208708</v>
      </c>
      <c r="K280" s="378">
        <f t="shared" si="61"/>
        <v>83658</v>
      </c>
      <c r="L280" s="378">
        <f t="shared" si="61"/>
        <v>52731</v>
      </c>
      <c r="M280" s="378">
        <f t="shared" si="61"/>
        <v>22848</v>
      </c>
      <c r="N280" s="378">
        <f t="shared" si="61"/>
        <v>56892</v>
      </c>
      <c r="O280" s="378">
        <f>O281-O278-O279</f>
        <v>299010</v>
      </c>
      <c r="P280" s="378">
        <f>P281-P278-P279</f>
        <v>419809</v>
      </c>
      <c r="Q280" s="378">
        <f>Q281-Q278-Q279</f>
        <v>674887</v>
      </c>
      <c r="R280" s="378">
        <f>SUM(F280:Q280)</f>
        <v>4460777</v>
      </c>
    </row>
    <row r="281" spans="1:20" x14ac:dyDescent="0.2">
      <c r="C281" s="336" t="s">
        <v>1075</v>
      </c>
      <c r="E281" s="336" t="s">
        <v>10</v>
      </c>
      <c r="F281" s="445">
        <f>'JKP-3.1c - Weather Adj'!D155</f>
        <v>1795306</v>
      </c>
      <c r="G281" s="445">
        <f>'JKP-3.1c - Weather Adj'!E155</f>
        <v>1534143</v>
      </c>
      <c r="H281" s="445">
        <f>'JKP-3.1c - Weather Adj'!F155</f>
        <v>1593625</v>
      </c>
      <c r="I281" s="445">
        <f>'JKP-3.1c - Weather Adj'!G155</f>
        <v>1310019</v>
      </c>
      <c r="J281" s="445">
        <f>'JKP-3.1c - Weather Adj'!H155</f>
        <v>1030744</v>
      </c>
      <c r="K281" s="445">
        <f>'JKP-3.1c - Weather Adj'!I155</f>
        <v>812784</v>
      </c>
      <c r="L281" s="445">
        <f>'JKP-3.1c - Weather Adj'!J155</f>
        <v>719459</v>
      </c>
      <c r="M281" s="445">
        <f>'JKP-3.1c - Weather Adj'!K155</f>
        <v>682351</v>
      </c>
      <c r="N281" s="445">
        <f>'JKP-3.1c - Weather Adj'!L155</f>
        <v>736716</v>
      </c>
      <c r="O281" s="445">
        <f>'JKP-3.1c - Weather Adj'!M155</f>
        <v>1129128</v>
      </c>
      <c r="P281" s="445">
        <f>'JKP-3.1c - Weather Adj'!N155</f>
        <v>1378725</v>
      </c>
      <c r="Q281" s="445">
        <f>'JKP-3.1c - Weather Adj'!O155</f>
        <v>1699716</v>
      </c>
      <c r="R281" s="436">
        <f>SUM(R278:R280)</f>
        <v>14422716</v>
      </c>
      <c r="T281" s="435"/>
    </row>
    <row r="282" spans="1:20" x14ac:dyDescent="0.2">
      <c r="B282" s="336" t="s">
        <v>74</v>
      </c>
      <c r="E282" s="336" t="s">
        <v>1076</v>
      </c>
      <c r="F282" s="421">
        <f>'JKP-3.1c - Data'!C166</f>
        <v>7593</v>
      </c>
      <c r="G282" s="421">
        <f>'JKP-3.1c - Data'!D166</f>
        <v>7593</v>
      </c>
      <c r="H282" s="421">
        <f>'JKP-3.1c - Data'!E166</f>
        <v>7593</v>
      </c>
      <c r="I282" s="421">
        <f>'JKP-3.1c - Data'!F166</f>
        <v>7593</v>
      </c>
      <c r="J282" s="421">
        <f>'JKP-3.1c - Data'!G166</f>
        <v>7593</v>
      </c>
      <c r="K282" s="421">
        <f>'JKP-3.1c - Data'!H166</f>
        <v>7593</v>
      </c>
      <c r="L282" s="421">
        <f>'JKP-3.1c - Data'!I166</f>
        <v>7593</v>
      </c>
      <c r="M282" s="421">
        <f>'JKP-3.1c - Data'!J166</f>
        <v>7661</v>
      </c>
      <c r="N282" s="421">
        <f>'JKP-3.1c - Data'!K166</f>
        <v>7593</v>
      </c>
      <c r="O282" s="421">
        <f>'JKP-3.1c - Data'!L166</f>
        <v>7593</v>
      </c>
      <c r="P282" s="421">
        <f>'JKP-3.1c - Data'!M166</f>
        <v>7593</v>
      </c>
      <c r="Q282" s="421">
        <f>'JKP-3.1c - Data'!N166</f>
        <v>7593</v>
      </c>
      <c r="R282" s="378">
        <f>SUM(F282:Q282)</f>
        <v>91184</v>
      </c>
      <c r="T282" s="506"/>
    </row>
    <row r="283" spans="1:20" x14ac:dyDescent="0.2">
      <c r="B283" s="336" t="s">
        <v>1071</v>
      </c>
      <c r="F283" s="380"/>
      <c r="G283" s="380"/>
      <c r="H283" s="380"/>
      <c r="I283" s="380"/>
      <c r="J283" s="380"/>
      <c r="K283" s="380"/>
      <c r="L283" s="380"/>
      <c r="M283" s="380"/>
      <c r="N283" s="380"/>
      <c r="O283" s="380"/>
      <c r="P283" s="380"/>
      <c r="Q283" s="380"/>
      <c r="R283" s="378"/>
    </row>
    <row r="284" spans="1:20" x14ac:dyDescent="0.2">
      <c r="R284" s="179"/>
    </row>
    <row r="285" spans="1:20" x14ac:dyDescent="0.2">
      <c r="B285" s="182" t="s">
        <v>985</v>
      </c>
      <c r="R285" s="179"/>
    </row>
    <row r="286" spans="1:20" x14ac:dyDescent="0.2">
      <c r="A286" s="336" t="s">
        <v>1054</v>
      </c>
      <c r="B286" s="336" t="s">
        <v>1059</v>
      </c>
      <c r="D286" s="336">
        <v>85</v>
      </c>
      <c r="F286" s="418">
        <f t="shared" ref="F286:Q286" si="62">F261*F276</f>
        <v>13966.999999999998</v>
      </c>
      <c r="G286" s="418">
        <f t="shared" si="62"/>
        <v>13966.999999999998</v>
      </c>
      <c r="H286" s="418">
        <f t="shared" si="62"/>
        <v>15084.359999999999</v>
      </c>
      <c r="I286" s="418">
        <f t="shared" si="62"/>
        <v>15084.359999999999</v>
      </c>
      <c r="J286" s="418">
        <f t="shared" si="62"/>
        <v>15084.359999999999</v>
      </c>
      <c r="K286" s="418">
        <f t="shared" si="62"/>
        <v>15084.359999999999</v>
      </c>
      <c r="L286" s="418">
        <f t="shared" si="62"/>
        <v>15084.359999999999</v>
      </c>
      <c r="M286" s="418">
        <f t="shared" si="62"/>
        <v>15643.039999999999</v>
      </c>
      <c r="N286" s="418">
        <f t="shared" si="62"/>
        <v>15084.359999999999</v>
      </c>
      <c r="O286" s="418">
        <f t="shared" si="62"/>
        <v>15084.359999999999</v>
      </c>
      <c r="P286" s="418">
        <f t="shared" si="62"/>
        <v>15084.359999999999</v>
      </c>
      <c r="Q286" s="418">
        <f t="shared" si="62"/>
        <v>15084.359999999999</v>
      </c>
      <c r="R286" s="437">
        <f>SUM(F286:Q286)</f>
        <v>179336.27999999994</v>
      </c>
    </row>
    <row r="287" spans="1:20" x14ac:dyDescent="0.2">
      <c r="B287" s="336" t="s">
        <v>1047</v>
      </c>
      <c r="F287" s="418"/>
      <c r="G287" s="418"/>
      <c r="H287" s="418"/>
      <c r="I287" s="418"/>
      <c r="J287" s="418"/>
      <c r="K287" s="418"/>
      <c r="L287" s="418"/>
      <c r="M287" s="418"/>
      <c r="N287" s="418"/>
      <c r="O287" s="418"/>
      <c r="P287" s="418"/>
      <c r="Q287" s="418"/>
      <c r="R287" s="437"/>
    </row>
    <row r="288" spans="1:20" x14ac:dyDescent="0.2">
      <c r="C288" s="336" t="s">
        <v>1086</v>
      </c>
      <c r="D288" s="336">
        <v>85</v>
      </c>
      <c r="F288" s="418">
        <f t="shared" ref="F288:Q290" si="63">F263*F278</f>
        <v>60764.291640000003</v>
      </c>
      <c r="G288" s="418">
        <f t="shared" si="63"/>
        <v>59909.170230000003</v>
      </c>
      <c r="H288" s="418">
        <f t="shared" si="63"/>
        <v>65826.723689999999</v>
      </c>
      <c r="I288" s="418">
        <f t="shared" si="63"/>
        <v>64650.262950000004</v>
      </c>
      <c r="J288" s="418">
        <f t="shared" si="63"/>
        <v>61811.922900000005</v>
      </c>
      <c r="K288" s="418">
        <f t="shared" si="63"/>
        <v>55890.592680000002</v>
      </c>
      <c r="L288" s="418">
        <f t="shared" si="63"/>
        <v>51375.371189999998</v>
      </c>
      <c r="M288" s="418">
        <f t="shared" si="63"/>
        <v>50618.445540000001</v>
      </c>
      <c r="N288" s="418">
        <f t="shared" si="63"/>
        <v>52039.031849999999</v>
      </c>
      <c r="O288" s="418">
        <f t="shared" si="63"/>
        <v>60529.817790000001</v>
      </c>
      <c r="P288" s="418">
        <f t="shared" si="63"/>
        <v>65251.187430000005</v>
      </c>
      <c r="Q288" s="418">
        <f t="shared" si="63"/>
        <v>67540.323629999999</v>
      </c>
      <c r="R288" s="437">
        <f>SUM(F288:Q288)</f>
        <v>716207.14152000006</v>
      </c>
    </row>
    <row r="289" spans="1:19" x14ac:dyDescent="0.2">
      <c r="C289" s="336" t="s">
        <v>1087</v>
      </c>
      <c r="D289" s="336">
        <v>85</v>
      </c>
      <c r="F289" s="418">
        <f t="shared" si="63"/>
        <v>16996.846320000001</v>
      </c>
      <c r="G289" s="418">
        <f t="shared" si="63"/>
        <v>14316.66624</v>
      </c>
      <c r="H289" s="418">
        <f t="shared" si="63"/>
        <v>17668.558519999999</v>
      </c>
      <c r="I289" s="418">
        <f t="shared" si="63"/>
        <v>15387.103360000001</v>
      </c>
      <c r="J289" s="418">
        <f t="shared" si="63"/>
        <v>12522.45788</v>
      </c>
      <c r="K289" s="418">
        <f t="shared" si="63"/>
        <v>10561.208840000001</v>
      </c>
      <c r="L289" s="418">
        <f t="shared" si="63"/>
        <v>9520.0818199999994</v>
      </c>
      <c r="M289" s="418">
        <f t="shared" si="63"/>
        <v>9519.5440199999994</v>
      </c>
      <c r="N289" s="418">
        <f t="shared" si="63"/>
        <v>9884.1724200000008</v>
      </c>
      <c r="O289" s="418">
        <f t="shared" si="63"/>
        <v>13614.353220000001</v>
      </c>
      <c r="P289" s="418">
        <f t="shared" si="63"/>
        <v>18120.794539999999</v>
      </c>
      <c r="Q289" s="418">
        <f t="shared" si="63"/>
        <v>20492.11608</v>
      </c>
      <c r="R289" s="437">
        <f>SUM(F289:Q289)</f>
        <v>168603.90326000002</v>
      </c>
    </row>
    <row r="290" spans="1:19" x14ac:dyDescent="0.2">
      <c r="C290" s="336" t="s">
        <v>1088</v>
      </c>
      <c r="D290" s="336">
        <v>85</v>
      </c>
      <c r="F290" s="418">
        <f t="shared" si="63"/>
        <v>46460.99396</v>
      </c>
      <c r="G290" s="418">
        <f t="shared" si="63"/>
        <v>35973.048839999996</v>
      </c>
      <c r="H290" s="418">
        <f t="shared" si="63"/>
        <v>32914.563840000003</v>
      </c>
      <c r="I290" s="418">
        <f t="shared" si="63"/>
        <v>21043.512439999999</v>
      </c>
      <c r="J290" s="418">
        <f t="shared" si="63"/>
        <v>10773.506960000001</v>
      </c>
      <c r="K290" s="418">
        <f t="shared" si="63"/>
        <v>4318.4259599999996</v>
      </c>
      <c r="L290" s="418">
        <f t="shared" si="63"/>
        <v>2721.9742200000001</v>
      </c>
      <c r="M290" s="418">
        <f t="shared" si="63"/>
        <v>1179.4137599999999</v>
      </c>
      <c r="N290" s="418">
        <f t="shared" si="63"/>
        <v>2936.7650399999998</v>
      </c>
      <c r="O290" s="418">
        <f t="shared" si="63"/>
        <v>15434.896199999999</v>
      </c>
      <c r="P290" s="418">
        <f t="shared" si="63"/>
        <v>21670.540580000001</v>
      </c>
      <c r="Q290" s="418">
        <f t="shared" si="63"/>
        <v>34837.666940000003</v>
      </c>
      <c r="R290" s="437">
        <f>SUM(F290:Q290)</f>
        <v>230265.30873999998</v>
      </c>
    </row>
    <row r="291" spans="1:19" x14ac:dyDescent="0.2">
      <c r="A291" s="336" t="s">
        <v>1054</v>
      </c>
      <c r="C291" s="336" t="s">
        <v>1077</v>
      </c>
      <c r="F291" s="339">
        <f t="shared" ref="F291:N291" si="64">SUM(F288:F290)</f>
        <v>124222.13192000001</v>
      </c>
      <c r="G291" s="339">
        <f t="shared" si="64"/>
        <v>110198.88531000001</v>
      </c>
      <c r="H291" s="339">
        <f t="shared" si="64"/>
        <v>116409.84605000001</v>
      </c>
      <c r="I291" s="339">
        <f t="shared" si="64"/>
        <v>101080.87875</v>
      </c>
      <c r="J291" s="339">
        <f t="shared" si="64"/>
        <v>85107.887740000006</v>
      </c>
      <c r="K291" s="339">
        <f t="shared" si="64"/>
        <v>70770.227480000001</v>
      </c>
      <c r="L291" s="339">
        <f t="shared" si="64"/>
        <v>63617.427230000001</v>
      </c>
      <c r="M291" s="339">
        <f t="shared" si="64"/>
        <v>61317.403320000005</v>
      </c>
      <c r="N291" s="339">
        <f t="shared" si="64"/>
        <v>64859.96931</v>
      </c>
      <c r="O291" s="339">
        <f>SUM(O288:O290)</f>
        <v>89579.067210000008</v>
      </c>
      <c r="P291" s="339">
        <f>SUM(P288:P290)</f>
        <v>105042.52255000001</v>
      </c>
      <c r="Q291" s="339">
        <f>SUM(Q288:Q290)</f>
        <v>122870.10665</v>
      </c>
      <c r="R291" s="339">
        <f>SUM(R288:R290)</f>
        <v>1115076.3535200001</v>
      </c>
    </row>
    <row r="292" spans="1:19" x14ac:dyDescent="0.2">
      <c r="A292" s="336" t="s">
        <v>1056</v>
      </c>
      <c r="B292" s="415" t="s">
        <v>1057</v>
      </c>
      <c r="D292" s="336">
        <v>101</v>
      </c>
      <c r="F292" s="418">
        <f t="shared" ref="F292:Q292" si="65">F266*F281</f>
        <v>1187146.0925</v>
      </c>
      <c r="G292" s="418">
        <f t="shared" si="65"/>
        <v>1014452.05875</v>
      </c>
      <c r="H292" s="418">
        <f t="shared" si="65"/>
        <v>1053784.53125</v>
      </c>
      <c r="I292" s="418">
        <f t="shared" si="65"/>
        <v>866250.06374999997</v>
      </c>
      <c r="J292" s="418">
        <f t="shared" si="65"/>
        <v>681579.47</v>
      </c>
      <c r="K292" s="418">
        <f t="shared" si="65"/>
        <v>537453.42000000004</v>
      </c>
      <c r="L292" s="418">
        <f t="shared" si="65"/>
        <v>475742.26374999998</v>
      </c>
      <c r="M292" s="418">
        <f t="shared" si="65"/>
        <v>451204.59875</v>
      </c>
      <c r="N292" s="418">
        <f t="shared" si="65"/>
        <v>487153.45500000002</v>
      </c>
      <c r="O292" s="418">
        <f t="shared" si="65"/>
        <v>746635.89</v>
      </c>
      <c r="P292" s="418">
        <f t="shared" si="65"/>
        <v>911681.90625</v>
      </c>
      <c r="Q292" s="418">
        <f t="shared" si="65"/>
        <v>1123937.2050000001</v>
      </c>
      <c r="R292" s="437">
        <f>SUM(F292:Q292)</f>
        <v>9537020.9550000001</v>
      </c>
    </row>
    <row r="293" spans="1:19" x14ac:dyDescent="0.2">
      <c r="A293" s="336" t="s">
        <v>1054</v>
      </c>
      <c r="B293" s="336" t="s">
        <v>1096</v>
      </c>
      <c r="D293" s="382">
        <v>85</v>
      </c>
      <c r="F293" s="668">
        <f t="shared" ref="F293:Q293" si="66">F267*F281</f>
        <v>12136.26856</v>
      </c>
      <c r="G293" s="668">
        <f t="shared" si="66"/>
        <v>10370.80668</v>
      </c>
      <c r="H293" s="668">
        <f t="shared" si="66"/>
        <v>10772.905000000001</v>
      </c>
      <c r="I293" s="668">
        <f t="shared" si="66"/>
        <v>8855.7284400000008</v>
      </c>
      <c r="J293" s="668">
        <f t="shared" si="66"/>
        <v>6967.8294400000004</v>
      </c>
      <c r="K293" s="668">
        <f t="shared" si="66"/>
        <v>5494.4198400000005</v>
      </c>
      <c r="L293" s="668">
        <f t="shared" si="66"/>
        <v>4863.5428400000001</v>
      </c>
      <c r="M293" s="668">
        <f t="shared" si="66"/>
        <v>4612.6927599999999</v>
      </c>
      <c r="N293" s="668">
        <f t="shared" si="66"/>
        <v>4980.2001600000003</v>
      </c>
      <c r="O293" s="668">
        <f t="shared" si="66"/>
        <v>7632.9052800000009</v>
      </c>
      <c r="P293" s="668">
        <f t="shared" si="66"/>
        <v>9320.1810000000005</v>
      </c>
      <c r="Q293" s="668">
        <f t="shared" si="66"/>
        <v>11490.080160000001</v>
      </c>
      <c r="R293" s="669">
        <f>SUM(F293:Q293)</f>
        <v>97497.560159999994</v>
      </c>
    </row>
    <row r="294" spans="1:19" x14ac:dyDescent="0.2">
      <c r="B294" s="336" t="s">
        <v>1068</v>
      </c>
      <c r="F294" s="418"/>
      <c r="G294" s="418"/>
      <c r="H294" s="418"/>
      <c r="I294" s="418"/>
      <c r="J294" s="418"/>
      <c r="K294" s="418"/>
      <c r="L294" s="418"/>
      <c r="M294" s="418"/>
      <c r="N294" s="418"/>
      <c r="O294" s="418"/>
      <c r="P294" s="418"/>
      <c r="Q294" s="418"/>
      <c r="R294" s="437"/>
    </row>
    <row r="295" spans="1:19" x14ac:dyDescent="0.2">
      <c r="A295" s="336" t="s">
        <v>1054</v>
      </c>
      <c r="C295" s="336" t="s">
        <v>1069</v>
      </c>
      <c r="D295" s="336">
        <v>85</v>
      </c>
      <c r="F295" s="418">
        <f t="shared" ref="F295:Q295" si="67">F269*F282</f>
        <v>8656.0199999999986</v>
      </c>
      <c r="G295" s="418">
        <f t="shared" si="67"/>
        <v>8656.0199999999986</v>
      </c>
      <c r="H295" s="418">
        <f t="shared" si="67"/>
        <v>8656.0199999999986</v>
      </c>
      <c r="I295" s="418">
        <f t="shared" si="67"/>
        <v>8656.0199999999986</v>
      </c>
      <c r="J295" s="418">
        <f t="shared" si="67"/>
        <v>8656.0199999999986</v>
      </c>
      <c r="K295" s="418">
        <f t="shared" si="67"/>
        <v>8656.0199999999986</v>
      </c>
      <c r="L295" s="418">
        <f t="shared" si="67"/>
        <v>8656.0199999999986</v>
      </c>
      <c r="M295" s="418">
        <f t="shared" si="67"/>
        <v>8733.5399999999991</v>
      </c>
      <c r="N295" s="418">
        <f t="shared" si="67"/>
        <v>8656.0199999999986</v>
      </c>
      <c r="O295" s="418">
        <f t="shared" si="67"/>
        <v>8656.0199999999986</v>
      </c>
      <c r="P295" s="418">
        <f t="shared" si="67"/>
        <v>8656.0199999999986</v>
      </c>
      <c r="Q295" s="418">
        <f t="shared" si="67"/>
        <v>8656.0199999999986</v>
      </c>
      <c r="R295" s="437">
        <f>SUM(F295:Q295)</f>
        <v>103949.75999999999</v>
      </c>
    </row>
    <row r="296" spans="1:19" x14ac:dyDescent="0.2">
      <c r="A296" s="336" t="s">
        <v>1056</v>
      </c>
      <c r="C296" s="336" t="s">
        <v>1070</v>
      </c>
      <c r="D296" s="336">
        <v>101</v>
      </c>
      <c r="F296" s="418">
        <f t="shared" ref="F296:Q296" si="68">F270*F282</f>
        <v>7972.6500000000005</v>
      </c>
      <c r="G296" s="418">
        <f t="shared" si="68"/>
        <v>7972.6500000000005</v>
      </c>
      <c r="H296" s="418">
        <f t="shared" si="68"/>
        <v>7972.6500000000005</v>
      </c>
      <c r="I296" s="418">
        <f t="shared" si="68"/>
        <v>7972.6500000000005</v>
      </c>
      <c r="J296" s="418">
        <f t="shared" si="68"/>
        <v>7972.6500000000005</v>
      </c>
      <c r="K296" s="418">
        <f t="shared" si="68"/>
        <v>7972.6500000000005</v>
      </c>
      <c r="L296" s="418">
        <f t="shared" si="68"/>
        <v>7972.6500000000005</v>
      </c>
      <c r="M296" s="418">
        <f t="shared" si="68"/>
        <v>8044.05</v>
      </c>
      <c r="N296" s="418">
        <f t="shared" si="68"/>
        <v>7972.6500000000005</v>
      </c>
      <c r="O296" s="418">
        <f t="shared" si="68"/>
        <v>7972.6500000000005</v>
      </c>
      <c r="P296" s="418">
        <f t="shared" si="68"/>
        <v>7972.6500000000005</v>
      </c>
      <c r="Q296" s="418">
        <f t="shared" si="68"/>
        <v>7972.6500000000005</v>
      </c>
      <c r="R296" s="437">
        <f>SUM(F296:Q296)</f>
        <v>95743.199999999983</v>
      </c>
    </row>
    <row r="297" spans="1:19" x14ac:dyDescent="0.2">
      <c r="C297" s="336" t="s">
        <v>1078</v>
      </c>
      <c r="F297" s="339">
        <f t="shared" ref="F297:N297" si="69">SUM(F295:F296)</f>
        <v>16628.669999999998</v>
      </c>
      <c r="G297" s="339">
        <f t="shared" si="69"/>
        <v>16628.669999999998</v>
      </c>
      <c r="H297" s="339">
        <f t="shared" si="69"/>
        <v>16628.669999999998</v>
      </c>
      <c r="I297" s="339">
        <f t="shared" si="69"/>
        <v>16628.669999999998</v>
      </c>
      <c r="J297" s="339">
        <f t="shared" si="69"/>
        <v>16628.669999999998</v>
      </c>
      <c r="K297" s="339">
        <f t="shared" si="69"/>
        <v>16628.669999999998</v>
      </c>
      <c r="L297" s="339">
        <f t="shared" si="69"/>
        <v>16628.669999999998</v>
      </c>
      <c r="M297" s="339">
        <f t="shared" si="69"/>
        <v>16777.59</v>
      </c>
      <c r="N297" s="339">
        <f t="shared" si="69"/>
        <v>16628.669999999998</v>
      </c>
      <c r="O297" s="339">
        <f>SUM(O295:O296)</f>
        <v>16628.669999999998</v>
      </c>
      <c r="P297" s="339">
        <f>SUM(P295:P296)</f>
        <v>16628.669999999998</v>
      </c>
      <c r="Q297" s="339">
        <f>SUM(Q295:Q296)</f>
        <v>16628.669999999998</v>
      </c>
      <c r="R297" s="339">
        <f>SUM(R295:R296)</f>
        <v>199692.95999999996</v>
      </c>
    </row>
    <row r="298" spans="1:19" x14ac:dyDescent="0.2">
      <c r="A298" s="336" t="s">
        <v>1054</v>
      </c>
      <c r="B298" s="336" t="s">
        <v>1071</v>
      </c>
      <c r="D298" s="336">
        <v>85</v>
      </c>
      <c r="F298" s="447">
        <f>'JKP-3.1c - Data'!C183+'JKP-3.1c - 85&amp;T Min Charge Adj '!B41</f>
        <v>3.637978807091713E-12</v>
      </c>
      <c r="G298" s="447">
        <f>'JKP-3.1c - Data'!D183+'JKP-3.1c - 85&amp;T Min Charge Adj '!C41</f>
        <v>0</v>
      </c>
      <c r="H298" s="447">
        <f>'JKP-3.1c - Data'!E183+'JKP-3.1c - 85&amp;T Min Charge Adj '!D41</f>
        <v>0</v>
      </c>
      <c r="I298" s="447">
        <f>'JKP-3.1c - Data'!F183+'JKP-3.1c - 85&amp;T Min Charge Adj '!E41</f>
        <v>0</v>
      </c>
      <c r="J298" s="447">
        <f>'JKP-3.1c - Data'!G183+'JKP-3.1c - 85&amp;T Min Charge Adj '!F41</f>
        <v>0</v>
      </c>
      <c r="K298" s="447">
        <f>'JKP-3.1c - Data'!H183+'JKP-3.1c - 85&amp;T Min Charge Adj '!G41</f>
        <v>1102.1300000000001</v>
      </c>
      <c r="L298" s="447">
        <f>'JKP-3.1c - Data'!I183+'JKP-3.1c - 85&amp;T Min Charge Adj '!H41</f>
        <v>0</v>
      </c>
      <c r="M298" s="447">
        <f>'JKP-3.1c - Data'!J183+'JKP-3.1c - 85&amp;T Min Charge Adj '!I41</f>
        <v>2809.87</v>
      </c>
      <c r="N298" s="447">
        <f>'JKP-3.1c - Data'!K183+'JKP-3.1c - 85&amp;T Min Charge Adj '!J41</f>
        <v>2856.66</v>
      </c>
      <c r="O298" s="447">
        <f>'JKP-3.1c - Data'!L183+'JKP-3.1c - 85&amp;T Min Charge Adj '!K41</f>
        <v>0</v>
      </c>
      <c r="P298" s="447">
        <f>'JKP-3.1c - Data'!M183+'JKP-3.1c - 85&amp;T Min Charge Adj '!L41</f>
        <v>0</v>
      </c>
      <c r="Q298" s="447">
        <f>'JKP-3.1c - Data'!N183+'JKP-3.1c - 85&amp;T Min Charge Adj '!M41</f>
        <v>9865.4599999999991</v>
      </c>
      <c r="R298" s="437">
        <f>SUM(F298:Q298)</f>
        <v>16634.120000000003</v>
      </c>
    </row>
    <row r="299" spans="1:19" x14ac:dyDescent="0.2">
      <c r="B299" s="336" t="s">
        <v>1079</v>
      </c>
      <c r="F299" s="340">
        <f t="shared" ref="F299:N299" si="70">F292+F296</f>
        <v>1195118.7424999999</v>
      </c>
      <c r="G299" s="340">
        <f t="shared" si="70"/>
        <v>1022424.70875</v>
      </c>
      <c r="H299" s="340">
        <f t="shared" si="70"/>
        <v>1061757.1812499999</v>
      </c>
      <c r="I299" s="340">
        <f t="shared" si="70"/>
        <v>874222.71375</v>
      </c>
      <c r="J299" s="340">
        <f t="shared" si="70"/>
        <v>689552.12</v>
      </c>
      <c r="K299" s="340">
        <f t="shared" si="70"/>
        <v>545426.07000000007</v>
      </c>
      <c r="L299" s="340">
        <f t="shared" si="70"/>
        <v>483714.91375000001</v>
      </c>
      <c r="M299" s="340">
        <f t="shared" si="70"/>
        <v>459248.64874999999</v>
      </c>
      <c r="N299" s="340">
        <f t="shared" si="70"/>
        <v>495126.10500000004</v>
      </c>
      <c r="O299" s="340">
        <f>O292+O296</f>
        <v>754608.54</v>
      </c>
      <c r="P299" s="340">
        <f>P292+P296</f>
        <v>919654.55625000002</v>
      </c>
      <c r="Q299" s="340">
        <f>Q292+Q296</f>
        <v>1131909.855</v>
      </c>
      <c r="R299" s="340">
        <f>R292+R296</f>
        <v>9632764.1549999993</v>
      </c>
    </row>
    <row r="300" spans="1:19" x14ac:dyDescent="0.2">
      <c r="B300" s="336" t="s">
        <v>986</v>
      </c>
      <c r="F300" s="339">
        <f t="shared" ref="F300:N300" si="71">F286+F291+F292+F293+F297+F298</f>
        <v>1354100.16298</v>
      </c>
      <c r="G300" s="339">
        <f t="shared" si="71"/>
        <v>1165617.4207399997</v>
      </c>
      <c r="H300" s="339">
        <f t="shared" si="71"/>
        <v>1212680.3122999999</v>
      </c>
      <c r="I300" s="339">
        <f t="shared" si="71"/>
        <v>1007899.70094</v>
      </c>
      <c r="J300" s="339">
        <f t="shared" si="71"/>
        <v>805368.21718000004</v>
      </c>
      <c r="K300" s="339">
        <f t="shared" si="71"/>
        <v>646533.22732000006</v>
      </c>
      <c r="L300" s="339">
        <f t="shared" si="71"/>
        <v>575936.26381999999</v>
      </c>
      <c r="M300" s="339">
        <f t="shared" si="71"/>
        <v>552365.19482999993</v>
      </c>
      <c r="N300" s="339">
        <f t="shared" si="71"/>
        <v>591563.3144700001</v>
      </c>
      <c r="O300" s="339">
        <f>O286+O291+O292+O293+O297+O298</f>
        <v>875560.89249</v>
      </c>
      <c r="P300" s="339">
        <f>P286+P291+P292+P293+P297+P298</f>
        <v>1057757.6398</v>
      </c>
      <c r="Q300" s="339">
        <f>Q286+Q291+Q292+Q293+Q297+Q298</f>
        <v>1299875.8818099999</v>
      </c>
      <c r="R300" s="339">
        <f>R286+R291+R292+R293+R297+R298</f>
        <v>11145258.228679998</v>
      </c>
      <c r="S300" s="340"/>
    </row>
    <row r="301" spans="1:19" x14ac:dyDescent="0.2">
      <c r="F301" s="418"/>
      <c r="G301" s="418"/>
      <c r="H301" s="418"/>
      <c r="I301" s="418"/>
      <c r="J301" s="418"/>
      <c r="K301" s="418"/>
      <c r="L301" s="418"/>
      <c r="M301" s="418"/>
      <c r="N301" s="418"/>
      <c r="O301" s="418"/>
      <c r="P301" s="418"/>
      <c r="Q301" s="418"/>
      <c r="R301" s="437"/>
    </row>
    <row r="302" spans="1:19" x14ac:dyDescent="0.2">
      <c r="A302" s="336" t="s">
        <v>1058</v>
      </c>
      <c r="B302" s="336" t="s">
        <v>1050</v>
      </c>
      <c r="F302" s="418">
        <f>F272*F281+F282*F273</f>
        <v>1143393.3409000002</v>
      </c>
      <c r="G302" s="418">
        <f t="shared" ref="G302:Q302" si="72">G272*G281+G282*G273</f>
        <v>978168.5689500001</v>
      </c>
      <c r="H302" s="418">
        <f t="shared" si="72"/>
        <v>1015799.8562500001</v>
      </c>
      <c r="I302" s="418">
        <f t="shared" si="72"/>
        <v>836376.52035000001</v>
      </c>
      <c r="J302" s="418">
        <f t="shared" si="72"/>
        <v>659693.19160000002</v>
      </c>
      <c r="K302" s="418">
        <f t="shared" si="72"/>
        <v>521800.79760000005</v>
      </c>
      <c r="L302" s="418">
        <f t="shared" si="72"/>
        <v>462758.73635000002</v>
      </c>
      <c r="M302" s="418">
        <f t="shared" si="72"/>
        <v>439350.36015000002</v>
      </c>
      <c r="N302" s="418">
        <f t="shared" si="72"/>
        <v>473676.37740000006</v>
      </c>
      <c r="O302" s="418">
        <f t="shared" si="72"/>
        <v>721935.82920000004</v>
      </c>
      <c r="P302" s="418">
        <f t="shared" si="72"/>
        <v>879843.37125000008</v>
      </c>
      <c r="Q302" s="418">
        <f t="shared" si="72"/>
        <v>1082918.3274000001</v>
      </c>
      <c r="R302" s="437">
        <f>SUM(F302:Q302)</f>
        <v>9215715.2774000019</v>
      </c>
    </row>
    <row r="303" spans="1:19" x14ac:dyDescent="0.2">
      <c r="F303" s="418"/>
      <c r="G303" s="418"/>
      <c r="H303" s="418"/>
      <c r="I303" s="418"/>
      <c r="J303" s="418"/>
      <c r="K303" s="418"/>
      <c r="L303" s="418"/>
      <c r="M303" s="418"/>
      <c r="N303" s="418"/>
      <c r="O303" s="418"/>
      <c r="P303" s="418"/>
      <c r="Q303" s="418"/>
      <c r="R303" s="437"/>
    </row>
    <row r="304" spans="1:19" x14ac:dyDescent="0.2">
      <c r="B304" s="182" t="s">
        <v>1097</v>
      </c>
      <c r="C304" s="182"/>
    </row>
    <row r="305" spans="2:18" x14ac:dyDescent="0.2">
      <c r="B305" s="182" t="s">
        <v>5</v>
      </c>
      <c r="C305" s="182"/>
    </row>
    <row r="306" spans="2:18" x14ac:dyDescent="0.2">
      <c r="B306" s="336" t="s">
        <v>1059</v>
      </c>
      <c r="D306" s="382">
        <v>86</v>
      </c>
      <c r="E306" s="336" t="s">
        <v>976</v>
      </c>
      <c r="F306" s="501">
        <f>'JKP-3.1c - Rev Rates GTI10'!F306</f>
        <v>142.79</v>
      </c>
      <c r="G306" s="501">
        <f>'JKP-3.1c - Rev Rates GTI10'!G306</f>
        <v>142.79</v>
      </c>
      <c r="H306" s="501">
        <f>'JKP-3.1c - Rev Rates GTI10'!H306</f>
        <v>142.79</v>
      </c>
      <c r="I306" s="501">
        <f>'JKP-3.1c - Rev Rates GTI10'!I306</f>
        <v>142.79</v>
      </c>
      <c r="J306" s="501">
        <f>'JKP-3.1c - Rev Rates GTI10'!J306</f>
        <v>142.79</v>
      </c>
      <c r="K306" s="501">
        <f>'JKP-3.1c - Rev Rates GTI10'!K306</f>
        <v>142.79</v>
      </c>
      <c r="L306" s="501">
        <f>'JKP-3.1c - Rev Rates GTI10'!L306</f>
        <v>142.79</v>
      </c>
      <c r="M306" s="501">
        <f>'JKP-3.1c - Rev Rates GTI10'!M306</f>
        <v>142.79</v>
      </c>
      <c r="N306" s="501">
        <f>'JKP-3.1c - Rev Rates GTI10'!N306</f>
        <v>142.79</v>
      </c>
      <c r="O306" s="501">
        <f>'JKP-3.1c - Rev Rates GTI10'!O306</f>
        <v>142.79</v>
      </c>
      <c r="P306" s="501">
        <f>'JKP-3.1c - Rev Rates GTI10'!P306</f>
        <v>142.79</v>
      </c>
      <c r="Q306" s="501">
        <f>'JKP-3.1c - Rev Rates GTI10'!Q306</f>
        <v>142.79</v>
      </c>
      <c r="R306" s="435"/>
    </row>
    <row r="307" spans="2:18" x14ac:dyDescent="0.2">
      <c r="B307" s="336" t="s">
        <v>1047</v>
      </c>
      <c r="F307" s="448"/>
      <c r="G307" s="448"/>
      <c r="H307" s="448"/>
      <c r="I307" s="448"/>
      <c r="J307" s="448"/>
      <c r="K307" s="448"/>
      <c r="L307" s="448"/>
      <c r="M307" s="448"/>
      <c r="N307" s="448"/>
      <c r="O307" s="448"/>
      <c r="P307" s="448"/>
      <c r="Q307" s="448"/>
      <c r="R307" s="441"/>
    </row>
    <row r="308" spans="2:18" x14ac:dyDescent="0.2">
      <c r="C308" s="336" t="s">
        <v>1098</v>
      </c>
      <c r="D308" s="382">
        <v>86</v>
      </c>
      <c r="E308" s="336" t="s">
        <v>957</v>
      </c>
      <c r="F308" s="496">
        <f>'JKP-3.1c - Rev Rates GTI10'!F308</f>
        <v>0.20305999999999999</v>
      </c>
      <c r="G308" s="496">
        <f>'JKP-3.1c - Rev Rates GTI10'!G308</f>
        <v>0.20305999999999999</v>
      </c>
      <c r="H308" s="496">
        <f>'JKP-3.1c - Rev Rates GTI10'!H308</f>
        <v>0.20305999999999999</v>
      </c>
      <c r="I308" s="496">
        <f>'JKP-3.1c - Rev Rates GTI10'!I308</f>
        <v>0.20305999999999999</v>
      </c>
      <c r="J308" s="496">
        <f>'JKP-3.1c - Rev Rates GTI10'!J308</f>
        <v>0.20305999999999999</v>
      </c>
      <c r="K308" s="496">
        <f>'JKP-3.1c - Rev Rates GTI10'!K308</f>
        <v>0.20305999999999999</v>
      </c>
      <c r="L308" s="496">
        <f>'JKP-3.1c - Rev Rates GTI10'!L308</f>
        <v>0.20305999999999999</v>
      </c>
      <c r="M308" s="496">
        <f>'JKP-3.1c - Rev Rates GTI10'!M308</f>
        <v>0.20305999999999999</v>
      </c>
      <c r="N308" s="496">
        <f>'JKP-3.1c - Rev Rates GTI10'!N308</f>
        <v>0.20305999999999999</v>
      </c>
      <c r="O308" s="496">
        <f>'JKP-3.1c - Rev Rates GTI10'!O308</f>
        <v>0.20305999999999999</v>
      </c>
      <c r="P308" s="496">
        <f>'JKP-3.1c - Rev Rates GTI10'!P308</f>
        <v>0.20305999999999999</v>
      </c>
      <c r="Q308" s="496">
        <f>'JKP-3.1c - Rev Rates GTI10'!Q308</f>
        <v>0.20305999999999999</v>
      </c>
      <c r="R308" s="441"/>
    </row>
    <row r="309" spans="2:18" x14ac:dyDescent="0.2">
      <c r="C309" s="336" t="s">
        <v>1099</v>
      </c>
      <c r="D309" s="382">
        <v>86</v>
      </c>
      <c r="E309" s="336" t="s">
        <v>957</v>
      </c>
      <c r="F309" s="496">
        <f>'JKP-3.1c - Rev Rates GTI10'!F309</f>
        <v>0.14559</v>
      </c>
      <c r="G309" s="496">
        <f>'JKP-3.1c - Rev Rates GTI10'!G309</f>
        <v>0.14559</v>
      </c>
      <c r="H309" s="496">
        <f>'JKP-3.1c - Rev Rates GTI10'!H309</f>
        <v>0.14559</v>
      </c>
      <c r="I309" s="496">
        <f>'JKP-3.1c - Rev Rates GTI10'!I309</f>
        <v>0.14559</v>
      </c>
      <c r="J309" s="496">
        <f>'JKP-3.1c - Rev Rates GTI10'!J309</f>
        <v>0.14559</v>
      </c>
      <c r="K309" s="496">
        <f>'JKP-3.1c - Rev Rates GTI10'!K309</f>
        <v>0.14559</v>
      </c>
      <c r="L309" s="496">
        <f>'JKP-3.1c - Rev Rates GTI10'!L309</f>
        <v>0.14559</v>
      </c>
      <c r="M309" s="496">
        <f>'JKP-3.1c - Rev Rates GTI10'!M309</f>
        <v>0.14559</v>
      </c>
      <c r="N309" s="496">
        <f>'JKP-3.1c - Rev Rates GTI10'!N309</f>
        <v>0.14559</v>
      </c>
      <c r="O309" s="496">
        <f>'JKP-3.1c - Rev Rates GTI10'!O309</f>
        <v>0.14559</v>
      </c>
      <c r="P309" s="496">
        <f>'JKP-3.1c - Rev Rates GTI10'!P309</f>
        <v>0.14559</v>
      </c>
      <c r="Q309" s="496">
        <f>'JKP-3.1c - Rev Rates GTI10'!Q309</f>
        <v>0.14559</v>
      </c>
      <c r="R309" s="441"/>
    </row>
    <row r="310" spans="2:18" x14ac:dyDescent="0.2">
      <c r="B310" s="415" t="s">
        <v>1067</v>
      </c>
      <c r="D310" s="336">
        <v>101</v>
      </c>
      <c r="E310" s="336" t="s">
        <v>957</v>
      </c>
      <c r="F310" s="496">
        <f>'JKP-3.1c - Rev Rates GTI10'!F310</f>
        <v>0.66556999999999999</v>
      </c>
      <c r="G310" s="496">
        <f>'JKP-3.1c - Rev Rates GTI10'!G310</f>
        <v>0.66556999999999999</v>
      </c>
      <c r="H310" s="496">
        <f>'JKP-3.1c - Rev Rates GTI10'!H310</f>
        <v>0.66556999999999999</v>
      </c>
      <c r="I310" s="496">
        <f>'JKP-3.1c - Rev Rates GTI10'!I310</f>
        <v>0.66556999999999999</v>
      </c>
      <c r="J310" s="496">
        <f>'JKP-3.1c - Rev Rates GTI10'!J310</f>
        <v>0.66556999999999999</v>
      </c>
      <c r="K310" s="496">
        <f>'JKP-3.1c - Rev Rates GTI10'!K310</f>
        <v>0.66556999999999999</v>
      </c>
      <c r="L310" s="496">
        <f>'JKP-3.1c - Rev Rates GTI10'!L310</f>
        <v>0.66556999999999999</v>
      </c>
      <c r="M310" s="496">
        <f>'JKP-3.1c - Rev Rates GTI10'!M310</f>
        <v>0.66556999999999999</v>
      </c>
      <c r="N310" s="496">
        <f>'JKP-3.1c - Rev Rates GTI10'!N310</f>
        <v>0.66556999999999999</v>
      </c>
      <c r="O310" s="496">
        <f>'JKP-3.1c - Rev Rates GTI10'!O310</f>
        <v>0.66556999999999999</v>
      </c>
      <c r="P310" s="496">
        <f>'JKP-3.1c - Rev Rates GTI10'!P310</f>
        <v>0.66556999999999999</v>
      </c>
      <c r="Q310" s="496">
        <f>'JKP-3.1c - Rev Rates GTI10'!Q310</f>
        <v>0.66556999999999999</v>
      </c>
      <c r="R310" s="441"/>
    </row>
    <row r="311" spans="2:18" x14ac:dyDescent="0.2">
      <c r="B311" s="336" t="s">
        <v>1096</v>
      </c>
      <c r="D311" s="382">
        <v>86</v>
      </c>
      <c r="E311" s="336" t="s">
        <v>957</v>
      </c>
      <c r="F311" s="496">
        <f>'JKP-3.1c - Rev Rates GTI10'!F311</f>
        <v>6.7499999999999999E-3</v>
      </c>
      <c r="G311" s="496">
        <f>'JKP-3.1c - Rev Rates GTI10'!G311</f>
        <v>6.7499999999999999E-3</v>
      </c>
      <c r="H311" s="496">
        <f>'JKP-3.1c - Rev Rates GTI10'!H311</f>
        <v>6.7499999999999999E-3</v>
      </c>
      <c r="I311" s="496">
        <f>'JKP-3.1c - Rev Rates GTI10'!I311</f>
        <v>6.7499999999999999E-3</v>
      </c>
      <c r="J311" s="496">
        <f>'JKP-3.1c - Rev Rates GTI10'!J311</f>
        <v>6.7499999999999999E-3</v>
      </c>
      <c r="K311" s="496">
        <f>'JKP-3.1c - Rev Rates GTI10'!K311</f>
        <v>6.7499999999999999E-3</v>
      </c>
      <c r="L311" s="496">
        <f>'JKP-3.1c - Rev Rates GTI10'!L311</f>
        <v>6.7499999999999999E-3</v>
      </c>
      <c r="M311" s="496">
        <f>'JKP-3.1c - Rev Rates GTI10'!M311</f>
        <v>6.7499999999999999E-3</v>
      </c>
      <c r="N311" s="496">
        <f>'JKP-3.1c - Rev Rates GTI10'!N311</f>
        <v>6.7499999999999999E-3</v>
      </c>
      <c r="O311" s="496">
        <f>'JKP-3.1c - Rev Rates GTI10'!O311</f>
        <v>6.7499999999999999E-3</v>
      </c>
      <c r="P311" s="496">
        <f>'JKP-3.1c - Rev Rates GTI10'!P311</f>
        <v>6.7499999999999999E-3</v>
      </c>
      <c r="Q311" s="496">
        <f>'JKP-3.1c - Rev Rates GTI10'!Q311</f>
        <v>6.7499999999999999E-3</v>
      </c>
      <c r="R311" s="441"/>
    </row>
    <row r="312" spans="2:18" x14ac:dyDescent="0.2">
      <c r="B312" s="336" t="s">
        <v>1068</v>
      </c>
      <c r="F312" s="441"/>
      <c r="G312" s="441"/>
      <c r="H312" s="441"/>
      <c r="I312" s="441"/>
      <c r="J312" s="441"/>
      <c r="K312" s="441"/>
      <c r="L312" s="441"/>
      <c r="M312" s="441"/>
      <c r="N312" s="441"/>
      <c r="O312" s="441"/>
      <c r="P312" s="441"/>
      <c r="Q312" s="441"/>
      <c r="R312" s="441"/>
    </row>
    <row r="313" spans="2:18" x14ac:dyDescent="0.2">
      <c r="C313" s="336" t="s">
        <v>1069</v>
      </c>
      <c r="D313" s="336">
        <v>86</v>
      </c>
      <c r="E313" s="336" t="s">
        <v>957</v>
      </c>
      <c r="F313" s="501">
        <f>'JKP-3.1c - Rev Rates GTI10'!F313</f>
        <v>1.1399999999999999</v>
      </c>
      <c r="G313" s="501">
        <f>'JKP-3.1c - Rev Rates GTI10'!G313</f>
        <v>1.1399999999999999</v>
      </c>
      <c r="H313" s="501">
        <f>'JKP-3.1c - Rev Rates GTI10'!H313</f>
        <v>1.1399999999999999</v>
      </c>
      <c r="I313" s="501">
        <f>'JKP-3.1c - Rev Rates GTI10'!I313</f>
        <v>1.1399999999999999</v>
      </c>
      <c r="J313" s="501">
        <f>'JKP-3.1c - Rev Rates GTI10'!J313</f>
        <v>1.1399999999999999</v>
      </c>
      <c r="K313" s="501">
        <f>'JKP-3.1c - Rev Rates GTI10'!K313</f>
        <v>1.1399999999999999</v>
      </c>
      <c r="L313" s="501">
        <f>'JKP-3.1c - Rev Rates GTI10'!L313</f>
        <v>1.1399999999999999</v>
      </c>
      <c r="M313" s="501">
        <f>'JKP-3.1c - Rev Rates GTI10'!M313</f>
        <v>1.1399999999999999</v>
      </c>
      <c r="N313" s="501">
        <f>'JKP-3.1c - Rev Rates GTI10'!N313</f>
        <v>1.1399999999999999</v>
      </c>
      <c r="O313" s="501">
        <f>'JKP-3.1c - Rev Rates GTI10'!O313</f>
        <v>1.1399999999999999</v>
      </c>
      <c r="P313" s="501">
        <f>'JKP-3.1c - Rev Rates GTI10'!P313</f>
        <v>1.1399999999999999</v>
      </c>
      <c r="Q313" s="501">
        <f>'JKP-3.1c - Rev Rates GTI10'!Q313</f>
        <v>1.1399999999999999</v>
      </c>
      <c r="R313" s="441"/>
    </row>
    <row r="314" spans="2:18" x14ac:dyDescent="0.2">
      <c r="C314" s="336" t="s">
        <v>1070</v>
      </c>
      <c r="D314" s="336">
        <v>101</v>
      </c>
      <c r="E314" s="336" t="s">
        <v>957</v>
      </c>
      <c r="F314" s="501">
        <f>'JKP-3.1c - Rev Rates GTI10'!F314</f>
        <v>1.05</v>
      </c>
      <c r="G314" s="501">
        <f>'JKP-3.1c - Rev Rates GTI10'!G314</f>
        <v>1.05</v>
      </c>
      <c r="H314" s="501">
        <f>'JKP-3.1c - Rev Rates GTI10'!H314</f>
        <v>1.05</v>
      </c>
      <c r="I314" s="501">
        <f>'JKP-3.1c - Rev Rates GTI10'!I314</f>
        <v>1.05</v>
      </c>
      <c r="J314" s="501">
        <f>'JKP-3.1c - Rev Rates GTI10'!J314</f>
        <v>1.05</v>
      </c>
      <c r="K314" s="501">
        <f>'JKP-3.1c - Rev Rates GTI10'!K314</f>
        <v>1.05</v>
      </c>
      <c r="L314" s="501">
        <f>'JKP-3.1c - Rev Rates GTI10'!L314</f>
        <v>1.05</v>
      </c>
      <c r="M314" s="501">
        <f>'JKP-3.1c - Rev Rates GTI10'!M314</f>
        <v>1.05</v>
      </c>
      <c r="N314" s="501">
        <f>'JKP-3.1c - Rev Rates GTI10'!N314</f>
        <v>1.05</v>
      </c>
      <c r="O314" s="501">
        <f>'JKP-3.1c - Rev Rates GTI10'!O314</f>
        <v>1.05</v>
      </c>
      <c r="P314" s="501">
        <f>'JKP-3.1c - Rev Rates GTI10'!P314</f>
        <v>1.05</v>
      </c>
      <c r="Q314" s="501">
        <f>'JKP-3.1c - Rev Rates GTI10'!Q314</f>
        <v>1.05</v>
      </c>
      <c r="R314" s="441"/>
    </row>
    <row r="315" spans="2:18" x14ac:dyDescent="0.2">
      <c r="B315" s="336" t="s">
        <v>1071</v>
      </c>
      <c r="D315" s="382">
        <v>86</v>
      </c>
      <c r="E315" s="336" t="s">
        <v>67</v>
      </c>
      <c r="F315" s="450"/>
      <c r="G315" s="450"/>
      <c r="H315" s="442"/>
      <c r="I315" s="450"/>
      <c r="J315" s="450"/>
      <c r="K315" s="450"/>
      <c r="L315" s="450"/>
      <c r="M315" s="450"/>
      <c r="N315" s="450"/>
      <c r="O315" s="450"/>
      <c r="P315" s="450"/>
      <c r="Q315" s="450"/>
      <c r="R315" s="441"/>
    </row>
    <row r="316" spans="2:18" x14ac:dyDescent="0.2">
      <c r="B316" s="336" t="s">
        <v>1050</v>
      </c>
      <c r="D316" s="382"/>
      <c r="F316" s="496">
        <f>'JKP-3.1c - Rev Rates GTI10'!F316</f>
        <v>0.63678999999999997</v>
      </c>
      <c r="G316" s="496">
        <f>'JKP-3.1c - Rev Rates GTI10'!G316</f>
        <v>0.63678999999999997</v>
      </c>
      <c r="H316" s="496">
        <f>'JKP-3.1c - Rev Rates GTI10'!H316</f>
        <v>0.63678999999999997</v>
      </c>
      <c r="I316" s="496">
        <f>'JKP-3.1c - Rev Rates GTI10'!I316</f>
        <v>0.63678999999999997</v>
      </c>
      <c r="J316" s="496">
        <f>'JKP-3.1c - Rev Rates GTI10'!J316</f>
        <v>0.63678999999999997</v>
      </c>
      <c r="K316" s="496">
        <f>'JKP-3.1c - Rev Rates GTI10'!K316</f>
        <v>0.63678999999999997</v>
      </c>
      <c r="L316" s="496">
        <f>'JKP-3.1c - Rev Rates GTI10'!L316</f>
        <v>0.63678999999999997</v>
      </c>
      <c r="M316" s="496">
        <f>'JKP-3.1c - Rev Rates GTI10'!M316</f>
        <v>0.63678999999999997</v>
      </c>
      <c r="N316" s="496">
        <f>'JKP-3.1c - Rev Rates GTI10'!N316</f>
        <v>0.63678999999999997</v>
      </c>
      <c r="O316" s="496">
        <f>'JKP-3.1c - Rev Rates GTI10'!O316</f>
        <v>0.63678999999999997</v>
      </c>
      <c r="P316" s="496">
        <f>'JKP-3.1c - Rev Rates GTI10'!P316</f>
        <v>0.63678999999999997</v>
      </c>
      <c r="Q316" s="496">
        <f>'JKP-3.1c - Rev Rates GTI10'!Q316</f>
        <v>0.63678999999999997</v>
      </c>
      <c r="R316" s="441"/>
    </row>
    <row r="317" spans="2:18" x14ac:dyDescent="0.2">
      <c r="B317" s="336" t="s">
        <v>1072</v>
      </c>
      <c r="D317" s="382"/>
      <c r="F317" s="501">
        <v>1</v>
      </c>
      <c r="G317" s="501">
        <v>1</v>
      </c>
      <c r="H317" s="501">
        <v>1</v>
      </c>
      <c r="I317" s="501">
        <v>1</v>
      </c>
      <c r="J317" s="501">
        <v>1</v>
      </c>
      <c r="K317" s="501">
        <v>1</v>
      </c>
      <c r="L317" s="501">
        <v>1</v>
      </c>
      <c r="M317" s="501">
        <v>1</v>
      </c>
      <c r="N317" s="501">
        <v>1</v>
      </c>
      <c r="O317" s="501">
        <v>1</v>
      </c>
      <c r="P317" s="501">
        <v>1</v>
      </c>
      <c r="Q317" s="501">
        <v>1</v>
      </c>
      <c r="R317" s="441"/>
    </row>
    <row r="319" spans="2:18" x14ac:dyDescent="0.2">
      <c r="B319" s="182" t="s">
        <v>982</v>
      </c>
    </row>
    <row r="320" spans="2:18" x14ac:dyDescent="0.2">
      <c r="B320" s="336" t="s">
        <v>67</v>
      </c>
      <c r="E320" s="336" t="s">
        <v>67</v>
      </c>
      <c r="F320" s="421">
        <f>'JKP-3.1c - Data'!C150</f>
        <v>334</v>
      </c>
      <c r="G320" s="421">
        <f>'JKP-3.1c - Data'!D150</f>
        <v>334</v>
      </c>
      <c r="H320" s="421">
        <f>'JKP-3.1c - Data'!E150</f>
        <v>330</v>
      </c>
      <c r="I320" s="421">
        <f>'JKP-3.1c - Data'!F150</f>
        <v>327</v>
      </c>
      <c r="J320" s="421">
        <f>'JKP-3.1c - Data'!G150</f>
        <v>329</v>
      </c>
      <c r="K320" s="421">
        <f>'JKP-3.1c - Data'!H150</f>
        <v>329</v>
      </c>
      <c r="L320" s="421">
        <f>'JKP-3.1c - Data'!I150</f>
        <v>326</v>
      </c>
      <c r="M320" s="421">
        <f>'JKP-3.1c - Data'!J150</f>
        <v>324</v>
      </c>
      <c r="N320" s="421">
        <f>'JKP-3.1c - Data'!K150</f>
        <v>320</v>
      </c>
      <c r="O320" s="421">
        <f>'JKP-3.1c - Data'!L150</f>
        <v>317</v>
      </c>
      <c r="P320" s="421">
        <f>'JKP-3.1c - Data'!M150</f>
        <v>318</v>
      </c>
      <c r="Q320" s="421">
        <f>'JKP-3.1c - Data'!N150</f>
        <v>317</v>
      </c>
      <c r="R320" s="378">
        <f>SUM(F320:Q320)</f>
        <v>3905</v>
      </c>
    </row>
    <row r="321" spans="1:18" x14ac:dyDescent="0.2">
      <c r="B321" s="336" t="s">
        <v>76</v>
      </c>
      <c r="F321" s="380"/>
      <c r="G321" s="380"/>
      <c r="H321" s="380"/>
      <c r="I321" s="380"/>
      <c r="J321" s="380"/>
      <c r="K321" s="380"/>
      <c r="L321" s="380"/>
      <c r="M321" s="380"/>
      <c r="N321" s="380"/>
      <c r="O321" s="380"/>
      <c r="P321" s="380"/>
      <c r="Q321" s="380"/>
      <c r="R321" s="378"/>
    </row>
    <row r="322" spans="1:18" x14ac:dyDescent="0.2">
      <c r="C322" s="336" t="s">
        <v>1098</v>
      </c>
      <c r="E322" s="336" t="s">
        <v>10</v>
      </c>
      <c r="F322" s="421">
        <f>'JKP-3.1c - Rev Rates GTI10'!F322</f>
        <v>317200</v>
      </c>
      <c r="G322" s="421">
        <f>'JKP-3.1c - Rev Rates GTI10'!G322</f>
        <v>312703</v>
      </c>
      <c r="H322" s="421">
        <f>'JKP-3.1c - Rev Rates GTI10'!H322</f>
        <v>312470</v>
      </c>
      <c r="I322" s="421">
        <f>'JKP-3.1c - Rev Rates GTI10'!I322</f>
        <v>309585</v>
      </c>
      <c r="J322" s="421">
        <f>'JKP-3.1c - Rev Rates GTI10'!J322</f>
        <v>289084</v>
      </c>
      <c r="K322" s="421">
        <f>'JKP-3.1c - Rev Rates GTI10'!K322</f>
        <v>229972</v>
      </c>
      <c r="L322" s="421">
        <f>'JKP-3.1c - Rev Rates GTI10'!L322</f>
        <v>138603</v>
      </c>
      <c r="M322" s="421">
        <f>'JKP-3.1c - Rev Rates GTI10'!M322</f>
        <v>134877</v>
      </c>
      <c r="N322" s="421">
        <f>'JKP-3.1c - Rev Rates GTI10'!N322</f>
        <v>195782</v>
      </c>
      <c r="O322" s="421">
        <f>'JKP-3.1c - Rev Rates GTI10'!O322</f>
        <v>278396</v>
      </c>
      <c r="P322" s="421">
        <f>'JKP-3.1c - Rev Rates GTI10'!P322</f>
        <v>315100</v>
      </c>
      <c r="Q322" s="421">
        <f>'JKP-3.1c - Rev Rates GTI10'!Q322</f>
        <v>302539</v>
      </c>
      <c r="R322" s="378">
        <f>SUM(F322:Q322)</f>
        <v>3136311</v>
      </c>
    </row>
    <row r="323" spans="1:18" x14ac:dyDescent="0.2">
      <c r="C323" s="336" t="s">
        <v>1099</v>
      </c>
      <c r="E323" s="336" t="s">
        <v>10</v>
      </c>
      <c r="F323" s="378">
        <f t="shared" ref="F323:N323" si="73">F324-F322</f>
        <v>1650991</v>
      </c>
      <c r="G323" s="378">
        <f t="shared" si="73"/>
        <v>1297174</v>
      </c>
      <c r="H323" s="378">
        <f t="shared" si="73"/>
        <v>1209798</v>
      </c>
      <c r="I323" s="378">
        <f t="shared" si="73"/>
        <v>864731</v>
      </c>
      <c r="J323" s="378">
        <f t="shared" si="73"/>
        <v>567947</v>
      </c>
      <c r="K323" s="378">
        <f t="shared" si="73"/>
        <v>286924</v>
      </c>
      <c r="L323" s="378">
        <f t="shared" si="73"/>
        <v>224236</v>
      </c>
      <c r="M323" s="378">
        <f t="shared" si="73"/>
        <v>203654</v>
      </c>
      <c r="N323" s="378">
        <f t="shared" si="73"/>
        <v>295947</v>
      </c>
      <c r="O323" s="378">
        <f>O324-O322</f>
        <v>692052</v>
      </c>
      <c r="P323" s="378">
        <f>P324-P322</f>
        <v>1084010</v>
      </c>
      <c r="Q323" s="378">
        <f>Q324-Q322</f>
        <v>1543471</v>
      </c>
      <c r="R323" s="378">
        <f>SUM(F323:Q323)</f>
        <v>9920935</v>
      </c>
    </row>
    <row r="324" spans="1:18" x14ac:dyDescent="0.2">
      <c r="C324" s="336" t="s">
        <v>1075</v>
      </c>
      <c r="E324" s="336" t="s">
        <v>10</v>
      </c>
      <c r="F324" s="445">
        <f>'JKP-3.1c - Weather Adj'!D156</f>
        <v>1968191</v>
      </c>
      <c r="G324" s="445">
        <f>'JKP-3.1c - Weather Adj'!E156</f>
        <v>1609877</v>
      </c>
      <c r="H324" s="445">
        <f>'JKP-3.1c - Weather Adj'!F156</f>
        <v>1522268</v>
      </c>
      <c r="I324" s="445">
        <f>'JKP-3.1c - Weather Adj'!G156</f>
        <v>1174316</v>
      </c>
      <c r="J324" s="445">
        <f>'JKP-3.1c - Weather Adj'!H156</f>
        <v>857031</v>
      </c>
      <c r="K324" s="445">
        <f>'JKP-3.1c - Weather Adj'!I156</f>
        <v>516896</v>
      </c>
      <c r="L324" s="445">
        <f>'JKP-3.1c - Weather Adj'!J156</f>
        <v>362839</v>
      </c>
      <c r="M324" s="445">
        <f>'JKP-3.1c - Weather Adj'!K156</f>
        <v>338531</v>
      </c>
      <c r="N324" s="445">
        <f>'JKP-3.1c - Weather Adj'!L156</f>
        <v>491729</v>
      </c>
      <c r="O324" s="445">
        <f>'JKP-3.1c - Weather Adj'!M156</f>
        <v>970448</v>
      </c>
      <c r="P324" s="445">
        <f>'JKP-3.1c - Weather Adj'!N156</f>
        <v>1399110</v>
      </c>
      <c r="Q324" s="445">
        <f>'JKP-3.1c - Weather Adj'!O156</f>
        <v>1846010</v>
      </c>
      <c r="R324" s="436">
        <f>SUM(R322:R323)</f>
        <v>13057246</v>
      </c>
    </row>
    <row r="325" spans="1:18" x14ac:dyDescent="0.2">
      <c r="B325" s="336" t="s">
        <v>74</v>
      </c>
      <c r="E325" s="336" t="s">
        <v>1076</v>
      </c>
      <c r="F325" s="421">
        <f>'JKP-3.1c - Data'!C170</f>
        <v>9510</v>
      </c>
      <c r="G325" s="421">
        <f>'JKP-3.1c - Data'!D170</f>
        <v>9429</v>
      </c>
      <c r="H325" s="421">
        <f>'JKP-3.1c - Data'!E170</f>
        <v>9258</v>
      </c>
      <c r="I325" s="421">
        <f>'JKP-3.1c - Data'!F170</f>
        <v>9188</v>
      </c>
      <c r="J325" s="421">
        <f>'JKP-3.1c - Data'!G170</f>
        <v>9260</v>
      </c>
      <c r="K325" s="421">
        <f>'JKP-3.1c - Data'!H170</f>
        <v>9258</v>
      </c>
      <c r="L325" s="421">
        <f>'JKP-3.1c - Data'!I170</f>
        <v>9136</v>
      </c>
      <c r="M325" s="421">
        <f>'JKP-3.1c - Data'!J170</f>
        <v>8867</v>
      </c>
      <c r="N325" s="421">
        <f>'JKP-3.1c - Data'!K170</f>
        <v>8570</v>
      </c>
      <c r="O325" s="421">
        <f>'JKP-3.1c - Data'!L170</f>
        <v>8457</v>
      </c>
      <c r="P325" s="421">
        <f>'JKP-3.1c - Data'!M170</f>
        <v>8504</v>
      </c>
      <c r="Q325" s="421">
        <f>'JKP-3.1c - Data'!N170</f>
        <v>8244</v>
      </c>
      <c r="R325" s="378">
        <f>SUM(F325:Q325)</f>
        <v>107681</v>
      </c>
    </row>
    <row r="326" spans="1:18" x14ac:dyDescent="0.2">
      <c r="B326" s="336" t="s">
        <v>1071</v>
      </c>
      <c r="F326" s="380"/>
      <c r="G326" s="380"/>
      <c r="H326" s="380"/>
      <c r="I326" s="380"/>
      <c r="J326" s="380"/>
      <c r="K326" s="380"/>
      <c r="L326" s="380"/>
      <c r="M326" s="380"/>
      <c r="N326" s="380"/>
      <c r="O326" s="380"/>
      <c r="P326" s="380"/>
      <c r="Q326" s="380"/>
      <c r="R326" s="378"/>
    </row>
    <row r="327" spans="1:18" x14ac:dyDescent="0.2">
      <c r="R327" s="179"/>
    </row>
    <row r="328" spans="1:18" x14ac:dyDescent="0.2">
      <c r="B328" s="182" t="s">
        <v>985</v>
      </c>
      <c r="R328" s="179"/>
    </row>
    <row r="329" spans="1:18" x14ac:dyDescent="0.2">
      <c r="A329" s="336" t="s">
        <v>1054</v>
      </c>
      <c r="B329" s="336" t="s">
        <v>1059</v>
      </c>
      <c r="D329" s="336">
        <v>86</v>
      </c>
      <c r="F329" s="418">
        <f t="shared" ref="F329:N329" si="74">F306*F320</f>
        <v>47691.86</v>
      </c>
      <c r="G329" s="418">
        <f t="shared" si="74"/>
        <v>47691.86</v>
      </c>
      <c r="H329" s="418">
        <f t="shared" si="74"/>
        <v>47120.7</v>
      </c>
      <c r="I329" s="418">
        <f t="shared" si="74"/>
        <v>46692.329999999994</v>
      </c>
      <c r="J329" s="418">
        <f t="shared" si="74"/>
        <v>46977.909999999996</v>
      </c>
      <c r="K329" s="418">
        <f t="shared" si="74"/>
        <v>46977.909999999996</v>
      </c>
      <c r="L329" s="418">
        <f t="shared" si="74"/>
        <v>46549.54</v>
      </c>
      <c r="M329" s="418">
        <f t="shared" si="74"/>
        <v>46263.96</v>
      </c>
      <c r="N329" s="418">
        <f t="shared" si="74"/>
        <v>45692.799999999996</v>
      </c>
      <c r="O329" s="418">
        <f>O306*O320</f>
        <v>45264.43</v>
      </c>
      <c r="P329" s="418">
        <f>P306*P320</f>
        <v>45407.219999999994</v>
      </c>
      <c r="Q329" s="418">
        <f>Q306*Q320</f>
        <v>45264.43</v>
      </c>
      <c r="R329" s="437">
        <f>SUM(F329:Q329)</f>
        <v>557594.94999999995</v>
      </c>
    </row>
    <row r="330" spans="1:18" x14ac:dyDescent="0.2">
      <c r="B330" s="336" t="s">
        <v>1047</v>
      </c>
      <c r="F330" s="418"/>
      <c r="G330" s="418"/>
      <c r="H330" s="418"/>
      <c r="I330" s="418"/>
      <c r="J330" s="418"/>
      <c r="K330" s="418"/>
      <c r="L330" s="418"/>
      <c r="M330" s="418"/>
      <c r="N330" s="418"/>
      <c r="O330" s="418"/>
      <c r="P330" s="418"/>
      <c r="Q330" s="418"/>
      <c r="R330" s="437"/>
    </row>
    <row r="331" spans="1:18" x14ac:dyDescent="0.2">
      <c r="C331" s="336" t="s">
        <v>1098</v>
      </c>
      <c r="D331" s="336">
        <v>86</v>
      </c>
      <c r="F331" s="418">
        <f t="shared" ref="F331:Q332" si="75">F308*F322</f>
        <v>64410.631999999998</v>
      </c>
      <c r="G331" s="418">
        <f t="shared" si="75"/>
        <v>63497.47118</v>
      </c>
      <c r="H331" s="418">
        <f t="shared" si="75"/>
        <v>63450.158199999998</v>
      </c>
      <c r="I331" s="418">
        <f t="shared" si="75"/>
        <v>62864.330099999999</v>
      </c>
      <c r="J331" s="418">
        <f t="shared" si="75"/>
        <v>58701.397039999996</v>
      </c>
      <c r="K331" s="418">
        <f t="shared" si="75"/>
        <v>46698.114320000001</v>
      </c>
      <c r="L331" s="418">
        <f t="shared" si="75"/>
        <v>28144.725179999998</v>
      </c>
      <c r="M331" s="418">
        <f t="shared" si="75"/>
        <v>27388.123619999998</v>
      </c>
      <c r="N331" s="418">
        <f t="shared" si="75"/>
        <v>39755.492919999997</v>
      </c>
      <c r="O331" s="418">
        <f t="shared" si="75"/>
        <v>56531.091759999996</v>
      </c>
      <c r="P331" s="418">
        <f t="shared" si="75"/>
        <v>63984.205999999998</v>
      </c>
      <c r="Q331" s="418">
        <f t="shared" si="75"/>
        <v>61433.569339999995</v>
      </c>
      <c r="R331" s="437">
        <f>SUM(F331:Q331)</f>
        <v>636859.31166000001</v>
      </c>
    </row>
    <row r="332" spans="1:18" x14ac:dyDescent="0.2">
      <c r="C332" s="336" t="s">
        <v>1099</v>
      </c>
      <c r="D332" s="336">
        <v>86</v>
      </c>
      <c r="F332" s="418">
        <f t="shared" si="75"/>
        <v>240367.77969</v>
      </c>
      <c r="G332" s="418">
        <f t="shared" si="75"/>
        <v>188855.56266</v>
      </c>
      <c r="H332" s="418">
        <f t="shared" si="75"/>
        <v>176134.49082000001</v>
      </c>
      <c r="I332" s="418">
        <f t="shared" si="75"/>
        <v>125896.18629</v>
      </c>
      <c r="J332" s="418">
        <f t="shared" si="75"/>
        <v>82687.403730000005</v>
      </c>
      <c r="K332" s="418">
        <f t="shared" si="75"/>
        <v>41773.265160000003</v>
      </c>
      <c r="L332" s="418">
        <f t="shared" si="75"/>
        <v>32646.519239999998</v>
      </c>
      <c r="M332" s="418">
        <f t="shared" si="75"/>
        <v>29649.985860000001</v>
      </c>
      <c r="N332" s="418">
        <f t="shared" si="75"/>
        <v>43086.923730000002</v>
      </c>
      <c r="O332" s="418">
        <f t="shared" si="75"/>
        <v>100755.85068</v>
      </c>
      <c r="P332" s="418">
        <f t="shared" si="75"/>
        <v>157821.0159</v>
      </c>
      <c r="Q332" s="418">
        <f t="shared" si="75"/>
        <v>224713.94289000001</v>
      </c>
      <c r="R332" s="437">
        <f>SUM(F332:Q332)</f>
        <v>1444388.92665</v>
      </c>
    </row>
    <row r="333" spans="1:18" x14ac:dyDescent="0.2">
      <c r="A333" s="336" t="s">
        <v>1054</v>
      </c>
      <c r="C333" s="336" t="s">
        <v>1077</v>
      </c>
      <c r="F333" s="339">
        <f t="shared" ref="F333:N333" si="76">SUM(F331:F332)</f>
        <v>304778.41168999998</v>
      </c>
      <c r="G333" s="339">
        <f t="shared" si="76"/>
        <v>252353.03383999999</v>
      </c>
      <c r="H333" s="339">
        <f t="shared" si="76"/>
        <v>239584.64902000001</v>
      </c>
      <c r="I333" s="339">
        <f t="shared" si="76"/>
        <v>188760.51639</v>
      </c>
      <c r="J333" s="339">
        <f t="shared" si="76"/>
        <v>141388.80077</v>
      </c>
      <c r="K333" s="339">
        <f t="shared" si="76"/>
        <v>88471.379480000003</v>
      </c>
      <c r="L333" s="339">
        <f t="shared" si="76"/>
        <v>60791.244419999995</v>
      </c>
      <c r="M333" s="339">
        <f t="shared" si="76"/>
        <v>57038.109479999999</v>
      </c>
      <c r="N333" s="339">
        <f t="shared" si="76"/>
        <v>82842.416649999999</v>
      </c>
      <c r="O333" s="339">
        <f>SUM(O331:O332)</f>
        <v>157286.94244000001</v>
      </c>
      <c r="P333" s="339">
        <f>SUM(P331:P332)</f>
        <v>221805.2219</v>
      </c>
      <c r="Q333" s="339">
        <f>SUM(Q331:Q332)</f>
        <v>286147.51222999999</v>
      </c>
      <c r="R333" s="339">
        <f>SUM(R331:R332)</f>
        <v>2081248.2383099999</v>
      </c>
    </row>
    <row r="334" spans="1:18" x14ac:dyDescent="0.2">
      <c r="A334" s="336" t="s">
        <v>1056</v>
      </c>
      <c r="B334" s="415" t="s">
        <v>1057</v>
      </c>
      <c r="D334" s="336">
        <v>101</v>
      </c>
      <c r="F334" s="418">
        <f t="shared" ref="F334:N334" si="77">F310*F324</f>
        <v>1309968.88387</v>
      </c>
      <c r="G334" s="418">
        <f t="shared" si="77"/>
        <v>1071485.8348900001</v>
      </c>
      <c r="H334" s="418">
        <f t="shared" si="77"/>
        <v>1013175.91276</v>
      </c>
      <c r="I334" s="418">
        <f t="shared" si="77"/>
        <v>781589.50011999998</v>
      </c>
      <c r="J334" s="418">
        <f t="shared" si="77"/>
        <v>570414.12266999995</v>
      </c>
      <c r="K334" s="418">
        <f t="shared" si="77"/>
        <v>344030.47071999998</v>
      </c>
      <c r="L334" s="418">
        <f t="shared" si="77"/>
        <v>241494.75323</v>
      </c>
      <c r="M334" s="418">
        <f t="shared" si="77"/>
        <v>225316.07767</v>
      </c>
      <c r="N334" s="418">
        <f t="shared" si="77"/>
        <v>327280.07053000003</v>
      </c>
      <c r="O334" s="418">
        <f>O310*O324</f>
        <v>645901.07536000002</v>
      </c>
      <c r="P334" s="418">
        <f>P310*P324</f>
        <v>931205.64269999997</v>
      </c>
      <c r="Q334" s="418">
        <f>Q310*Q324</f>
        <v>1228648.8757</v>
      </c>
      <c r="R334" s="437">
        <f>SUM(F334:Q334)</f>
        <v>8690511.2202199996</v>
      </c>
    </row>
    <row r="335" spans="1:18" x14ac:dyDescent="0.2">
      <c r="A335" s="336" t="s">
        <v>1054</v>
      </c>
      <c r="B335" s="336" t="s">
        <v>1096</v>
      </c>
      <c r="D335" s="382"/>
      <c r="F335" s="339">
        <f t="shared" ref="F335:N335" si="78">F311*F324</f>
        <v>13285.28925</v>
      </c>
      <c r="G335" s="339">
        <f t="shared" si="78"/>
        <v>10866.669749999999</v>
      </c>
      <c r="H335" s="339">
        <f t="shared" si="78"/>
        <v>10275.308999999999</v>
      </c>
      <c r="I335" s="339">
        <f t="shared" si="78"/>
        <v>7926.6329999999998</v>
      </c>
      <c r="J335" s="339">
        <f t="shared" si="78"/>
        <v>5784.9592499999999</v>
      </c>
      <c r="K335" s="339">
        <f t="shared" si="78"/>
        <v>3489.0479999999998</v>
      </c>
      <c r="L335" s="339">
        <f t="shared" si="78"/>
        <v>2449.1632500000001</v>
      </c>
      <c r="M335" s="339">
        <f t="shared" si="78"/>
        <v>2285.0842499999999</v>
      </c>
      <c r="N335" s="339">
        <f t="shared" si="78"/>
        <v>3319.1707499999998</v>
      </c>
      <c r="O335" s="339">
        <f>O311*O324</f>
        <v>6550.5240000000003</v>
      </c>
      <c r="P335" s="339">
        <f>P311*P324</f>
        <v>9443.9925000000003</v>
      </c>
      <c r="Q335" s="339">
        <f>Q311*Q324</f>
        <v>12460.567499999999</v>
      </c>
      <c r="R335" s="339">
        <f>SUM(F335:Q335)</f>
        <v>88136.410499999998</v>
      </c>
    </row>
    <row r="336" spans="1:18" x14ac:dyDescent="0.2">
      <c r="B336" s="336" t="s">
        <v>1068</v>
      </c>
      <c r="F336" s="418"/>
      <c r="G336" s="418"/>
      <c r="H336" s="418"/>
      <c r="I336" s="418"/>
      <c r="J336" s="418"/>
      <c r="K336" s="418"/>
      <c r="L336" s="418"/>
      <c r="M336" s="418"/>
      <c r="N336" s="418"/>
      <c r="O336" s="418"/>
      <c r="P336" s="418"/>
      <c r="Q336" s="418"/>
      <c r="R336" s="437"/>
    </row>
    <row r="337" spans="1:19" x14ac:dyDescent="0.2">
      <c r="A337" s="336" t="s">
        <v>1054</v>
      </c>
      <c r="C337" s="336" t="s">
        <v>1069</v>
      </c>
      <c r="D337" s="336">
        <v>86</v>
      </c>
      <c r="F337" s="418">
        <f t="shared" ref="F337:N337" si="79">F313*F325</f>
        <v>10841.4</v>
      </c>
      <c r="G337" s="418">
        <f t="shared" si="79"/>
        <v>10749.06</v>
      </c>
      <c r="H337" s="418">
        <f t="shared" si="79"/>
        <v>10554.119999999999</v>
      </c>
      <c r="I337" s="418">
        <f t="shared" si="79"/>
        <v>10474.32</v>
      </c>
      <c r="J337" s="418">
        <f t="shared" si="79"/>
        <v>10556.4</v>
      </c>
      <c r="K337" s="418">
        <f t="shared" si="79"/>
        <v>10554.119999999999</v>
      </c>
      <c r="L337" s="418">
        <f t="shared" si="79"/>
        <v>10415.039999999999</v>
      </c>
      <c r="M337" s="418">
        <f t="shared" si="79"/>
        <v>10108.379999999999</v>
      </c>
      <c r="N337" s="418">
        <f t="shared" si="79"/>
        <v>9769.7999999999993</v>
      </c>
      <c r="O337" s="418">
        <f>O313*O325</f>
        <v>9640.98</v>
      </c>
      <c r="P337" s="418">
        <f>P313*P325</f>
        <v>9694.56</v>
      </c>
      <c r="Q337" s="418">
        <f>Q313*Q325</f>
        <v>9398.16</v>
      </c>
      <c r="R337" s="437">
        <f>SUM(F337:Q337)</f>
        <v>122756.34</v>
      </c>
    </row>
    <row r="338" spans="1:19" x14ac:dyDescent="0.2">
      <c r="A338" s="336" t="s">
        <v>1056</v>
      </c>
      <c r="C338" s="336" t="s">
        <v>1070</v>
      </c>
      <c r="D338" s="336">
        <v>101</v>
      </c>
      <c r="F338" s="418">
        <f t="shared" ref="F338:N338" si="80">F314*F325</f>
        <v>9985.5</v>
      </c>
      <c r="G338" s="418">
        <f t="shared" si="80"/>
        <v>9900.4500000000007</v>
      </c>
      <c r="H338" s="418">
        <f t="shared" si="80"/>
        <v>9720.9</v>
      </c>
      <c r="I338" s="418">
        <f t="shared" si="80"/>
        <v>9647.4</v>
      </c>
      <c r="J338" s="418">
        <f t="shared" si="80"/>
        <v>9723</v>
      </c>
      <c r="K338" s="418">
        <f t="shared" si="80"/>
        <v>9720.9</v>
      </c>
      <c r="L338" s="418">
        <f t="shared" si="80"/>
        <v>9592.8000000000011</v>
      </c>
      <c r="M338" s="418">
        <f t="shared" si="80"/>
        <v>9310.35</v>
      </c>
      <c r="N338" s="418">
        <f t="shared" si="80"/>
        <v>8998.5</v>
      </c>
      <c r="O338" s="418">
        <f>O314*O325</f>
        <v>8879.85</v>
      </c>
      <c r="P338" s="418">
        <f>P314*P325</f>
        <v>8929.2000000000007</v>
      </c>
      <c r="Q338" s="418">
        <f>Q314*Q325</f>
        <v>8656.2000000000007</v>
      </c>
      <c r="R338" s="437">
        <f>SUM(F338:Q338)</f>
        <v>113065.05</v>
      </c>
    </row>
    <row r="339" spans="1:19" x14ac:dyDescent="0.2">
      <c r="C339" s="336" t="s">
        <v>1078</v>
      </c>
      <c r="F339" s="339">
        <f t="shared" ref="F339:N339" si="81">SUM(F337:F338)</f>
        <v>20826.900000000001</v>
      </c>
      <c r="G339" s="339">
        <f t="shared" si="81"/>
        <v>20649.510000000002</v>
      </c>
      <c r="H339" s="339">
        <f t="shared" si="81"/>
        <v>20275.019999999997</v>
      </c>
      <c r="I339" s="339">
        <f t="shared" si="81"/>
        <v>20121.72</v>
      </c>
      <c r="J339" s="339">
        <f t="shared" si="81"/>
        <v>20279.400000000001</v>
      </c>
      <c r="K339" s="339">
        <f t="shared" si="81"/>
        <v>20275.019999999997</v>
      </c>
      <c r="L339" s="339">
        <f t="shared" si="81"/>
        <v>20007.84</v>
      </c>
      <c r="M339" s="339">
        <f t="shared" si="81"/>
        <v>19418.73</v>
      </c>
      <c r="N339" s="339">
        <f t="shared" si="81"/>
        <v>18768.3</v>
      </c>
      <c r="O339" s="339">
        <f>SUM(O337:O338)</f>
        <v>18520.830000000002</v>
      </c>
      <c r="P339" s="339">
        <f>SUM(P337:P338)</f>
        <v>18623.760000000002</v>
      </c>
      <c r="Q339" s="339">
        <f>SUM(Q337:Q338)</f>
        <v>18054.36</v>
      </c>
      <c r="R339" s="339">
        <f>SUM(R337:R338)</f>
        <v>235821.39</v>
      </c>
    </row>
    <row r="340" spans="1:19" x14ac:dyDescent="0.2">
      <c r="A340" s="336" t="s">
        <v>1054</v>
      </c>
      <c r="B340" s="336" t="s">
        <v>1071</v>
      </c>
      <c r="D340" s="336">
        <v>86</v>
      </c>
      <c r="F340" s="447">
        <f>'JKP-3.1c - Data'!C187</f>
        <v>0</v>
      </c>
      <c r="G340" s="447">
        <f>'JKP-3.1c - Data'!D187</f>
        <v>1587.1599999999999</v>
      </c>
      <c r="H340" s="447">
        <f>'JKP-3.1c - Data'!E187</f>
        <v>0</v>
      </c>
      <c r="I340" s="447">
        <f>'JKP-3.1c - Data'!F187</f>
        <v>0</v>
      </c>
      <c r="J340" s="447">
        <f>'JKP-3.1c - Data'!G187</f>
        <v>0</v>
      </c>
      <c r="K340" s="447">
        <f>'JKP-3.1c - Data'!H187</f>
        <v>0</v>
      </c>
      <c r="L340" s="447">
        <f>'JKP-3.1c - Data'!I187</f>
        <v>116.15</v>
      </c>
      <c r="M340" s="447">
        <f>'JKP-3.1c - Data'!J187</f>
        <v>1787.29</v>
      </c>
      <c r="N340" s="447">
        <f>'JKP-3.1c - Data'!K187</f>
        <v>23486.960000000003</v>
      </c>
      <c r="O340" s="447">
        <f>'JKP-3.1c - Data'!L187</f>
        <v>0</v>
      </c>
      <c r="P340" s="447">
        <f>'JKP-3.1c - Data'!M187</f>
        <v>0</v>
      </c>
      <c r="Q340" s="447">
        <f>'JKP-3.1c - Data'!N187</f>
        <v>0</v>
      </c>
      <c r="R340" s="437">
        <f>SUM(F340:Q340)</f>
        <v>26977.56</v>
      </c>
    </row>
    <row r="341" spans="1:19" x14ac:dyDescent="0.2">
      <c r="B341" s="336" t="s">
        <v>1079</v>
      </c>
      <c r="F341" s="339">
        <f t="shared" ref="F341:N341" si="82">F334+F338</f>
        <v>1319954.38387</v>
      </c>
      <c r="G341" s="339">
        <f t="shared" si="82"/>
        <v>1081386.28489</v>
      </c>
      <c r="H341" s="339">
        <f t="shared" si="82"/>
        <v>1022896.81276</v>
      </c>
      <c r="I341" s="339">
        <f t="shared" si="82"/>
        <v>791236.90012000001</v>
      </c>
      <c r="J341" s="339">
        <f t="shared" si="82"/>
        <v>580137.12266999995</v>
      </c>
      <c r="K341" s="339">
        <f t="shared" si="82"/>
        <v>353751.37072000001</v>
      </c>
      <c r="L341" s="339">
        <f t="shared" si="82"/>
        <v>251087.55322999999</v>
      </c>
      <c r="M341" s="339">
        <f t="shared" si="82"/>
        <v>234626.42767</v>
      </c>
      <c r="N341" s="339">
        <f t="shared" si="82"/>
        <v>336278.57053000003</v>
      </c>
      <c r="O341" s="339">
        <f>O334+O338</f>
        <v>654780.92535999999</v>
      </c>
      <c r="P341" s="339">
        <f>P334+P338</f>
        <v>940134.84269999992</v>
      </c>
      <c r="Q341" s="339">
        <f>Q334+Q338</f>
        <v>1237305.0756999999</v>
      </c>
      <c r="R341" s="339">
        <f>R334+R338</f>
        <v>8803576.2702200003</v>
      </c>
    </row>
    <row r="342" spans="1:19" x14ac:dyDescent="0.2">
      <c r="B342" s="336" t="s">
        <v>986</v>
      </c>
      <c r="F342" s="339">
        <f t="shared" ref="F342:N342" si="83">F329+F333+F334+F335+F339+F340</f>
        <v>1696551.3448099997</v>
      </c>
      <c r="G342" s="339">
        <f t="shared" si="83"/>
        <v>1404634.0684799999</v>
      </c>
      <c r="H342" s="339">
        <f t="shared" si="83"/>
        <v>1330431.59078</v>
      </c>
      <c r="I342" s="339">
        <f t="shared" si="83"/>
        <v>1045090.6995099999</v>
      </c>
      <c r="J342" s="339">
        <f t="shared" si="83"/>
        <v>784845.19268999994</v>
      </c>
      <c r="K342" s="339">
        <f t="shared" si="83"/>
        <v>503243.82820000005</v>
      </c>
      <c r="L342" s="339">
        <f t="shared" si="83"/>
        <v>371408.69090000005</v>
      </c>
      <c r="M342" s="339">
        <f t="shared" si="83"/>
        <v>352109.25139999995</v>
      </c>
      <c r="N342" s="339">
        <f t="shared" si="83"/>
        <v>501389.71792999998</v>
      </c>
      <c r="O342" s="339">
        <f>O329+O333+O334+O335+O339+O340</f>
        <v>873523.8017999999</v>
      </c>
      <c r="P342" s="339">
        <f>P329+P333+P334+P335+P339+P340</f>
        <v>1226485.8370999999</v>
      </c>
      <c r="Q342" s="339">
        <f>Q329+Q333+Q334+Q335+Q339+Q340</f>
        <v>1590575.7454299999</v>
      </c>
      <c r="R342" s="339">
        <f>R329+R333+R334+R335+R339+R340</f>
        <v>11680289.769030001</v>
      </c>
      <c r="S342" s="340"/>
    </row>
    <row r="343" spans="1:19" x14ac:dyDescent="0.2">
      <c r="F343" s="418"/>
      <c r="G343" s="418"/>
      <c r="H343" s="418"/>
      <c r="I343" s="418"/>
      <c r="J343" s="418"/>
      <c r="K343" s="418"/>
      <c r="L343" s="418"/>
      <c r="M343" s="418"/>
      <c r="N343" s="418"/>
      <c r="O343" s="418"/>
      <c r="P343" s="418"/>
      <c r="Q343" s="418"/>
      <c r="R343" s="437"/>
    </row>
    <row r="344" spans="1:19" x14ac:dyDescent="0.2">
      <c r="A344" s="336" t="s">
        <v>1058</v>
      </c>
      <c r="B344" s="336" t="s">
        <v>1050</v>
      </c>
      <c r="F344" s="418">
        <f>F316*F324+F325*F317</f>
        <v>1262834.3468899999</v>
      </c>
      <c r="G344" s="418">
        <f t="shared" ref="G344:Q344" si="84">G316*G324+G325*G317</f>
        <v>1034582.5748299999</v>
      </c>
      <c r="H344" s="418">
        <f t="shared" si="84"/>
        <v>978623.03972</v>
      </c>
      <c r="I344" s="418">
        <f t="shared" si="84"/>
        <v>756980.68563999992</v>
      </c>
      <c r="J344" s="418">
        <f t="shared" si="84"/>
        <v>555008.77049000002</v>
      </c>
      <c r="K344" s="418">
        <f t="shared" si="84"/>
        <v>338412.20383999997</v>
      </c>
      <c r="L344" s="418">
        <f t="shared" si="84"/>
        <v>240188.24680999998</v>
      </c>
      <c r="M344" s="418">
        <f t="shared" si="84"/>
        <v>224440.15548999998</v>
      </c>
      <c r="N344" s="418">
        <f t="shared" si="84"/>
        <v>321698.10991</v>
      </c>
      <c r="O344" s="418">
        <f t="shared" si="84"/>
        <v>626428.58192000003</v>
      </c>
      <c r="P344" s="418">
        <f t="shared" si="84"/>
        <v>899443.25689999992</v>
      </c>
      <c r="Q344" s="418">
        <f t="shared" si="84"/>
        <v>1183764.7079</v>
      </c>
      <c r="R344" s="437">
        <f>SUM(F344:Q344)</f>
        <v>8422404.6803399995</v>
      </c>
    </row>
    <row r="345" spans="1:19" x14ac:dyDescent="0.2">
      <c r="F345" s="418"/>
      <c r="G345" s="418"/>
      <c r="H345" s="418"/>
      <c r="I345" s="418"/>
      <c r="J345" s="418"/>
      <c r="K345" s="418"/>
      <c r="L345" s="418"/>
      <c r="M345" s="418"/>
      <c r="N345" s="418"/>
      <c r="O345" s="418"/>
      <c r="P345" s="418"/>
      <c r="Q345" s="418"/>
      <c r="R345" s="437"/>
    </row>
    <row r="346" spans="1:19" x14ac:dyDescent="0.2">
      <c r="B346" s="182" t="s">
        <v>1100</v>
      </c>
      <c r="C346" s="182"/>
    </row>
    <row r="347" spans="1:19" x14ac:dyDescent="0.2">
      <c r="B347" s="182" t="s">
        <v>5</v>
      </c>
      <c r="C347" s="182"/>
    </row>
    <row r="348" spans="1:19" x14ac:dyDescent="0.2">
      <c r="B348" s="336" t="s">
        <v>1059</v>
      </c>
      <c r="D348" s="336">
        <v>87</v>
      </c>
      <c r="E348" s="336" t="s">
        <v>976</v>
      </c>
      <c r="F348" s="501">
        <f>'JKP-3.1c - Rev Rates GTI10'!F348</f>
        <v>558.41999999999996</v>
      </c>
      <c r="G348" s="501">
        <f>'JKP-3.1c - Rev Rates GTI10'!G348</f>
        <v>558.41999999999996</v>
      </c>
      <c r="H348" s="501">
        <f>'JKP-3.1c - Rev Rates GTI10'!H348</f>
        <v>558.41999999999996</v>
      </c>
      <c r="I348" s="501">
        <f>'JKP-3.1c - Rev Rates GTI10'!I348</f>
        <v>558.41999999999996</v>
      </c>
      <c r="J348" s="501">
        <f>'JKP-3.1c - Rev Rates GTI10'!J348</f>
        <v>558.41999999999996</v>
      </c>
      <c r="K348" s="501">
        <f>'JKP-3.1c - Rev Rates GTI10'!K348</f>
        <v>558.41999999999996</v>
      </c>
      <c r="L348" s="501">
        <f>'JKP-3.1c - Rev Rates GTI10'!L348</f>
        <v>558.41999999999996</v>
      </c>
      <c r="M348" s="501">
        <f>'JKP-3.1c - Rev Rates GTI10'!M348</f>
        <v>558.41999999999996</v>
      </c>
      <c r="N348" s="501">
        <f>'JKP-3.1c - Rev Rates GTI10'!N348</f>
        <v>558.41999999999996</v>
      </c>
      <c r="O348" s="501">
        <f>'JKP-3.1c - Rev Rates GTI10'!O348</f>
        <v>558.41999999999996</v>
      </c>
      <c r="P348" s="501">
        <f>'JKP-3.1c - Rev Rates GTI10'!P348</f>
        <v>558.41999999999996</v>
      </c>
      <c r="Q348" s="501">
        <f>'JKP-3.1c - Rev Rates GTI10'!Q348</f>
        <v>558.41999999999996</v>
      </c>
      <c r="R348" s="435"/>
    </row>
    <row r="349" spans="1:19" x14ac:dyDescent="0.2">
      <c r="B349" s="336" t="s">
        <v>1047</v>
      </c>
      <c r="F349" s="448"/>
      <c r="G349" s="448"/>
      <c r="H349" s="448"/>
      <c r="I349" s="448"/>
      <c r="J349" s="448"/>
      <c r="K349" s="448"/>
      <c r="L349" s="448"/>
      <c r="M349" s="448"/>
      <c r="N349" s="448"/>
      <c r="O349" s="448"/>
      <c r="P349" s="448"/>
      <c r="Q349" s="448"/>
      <c r="R349" s="441"/>
    </row>
    <row r="350" spans="1:19" x14ac:dyDescent="0.2">
      <c r="C350" s="336" t="s">
        <v>1086</v>
      </c>
      <c r="D350" s="336">
        <v>87</v>
      </c>
      <c r="E350" s="336" t="s">
        <v>957</v>
      </c>
      <c r="F350" s="496">
        <f>'JKP-3.1c - Rev Rates GTI10'!F350</f>
        <v>0.14158000000000001</v>
      </c>
      <c r="G350" s="496">
        <f>'JKP-3.1c - Rev Rates GTI10'!G350</f>
        <v>0.14158000000000001</v>
      </c>
      <c r="H350" s="496">
        <f>'JKP-3.1c - Rev Rates GTI10'!H350</f>
        <v>0.14158000000000001</v>
      </c>
      <c r="I350" s="496">
        <f>'JKP-3.1c - Rev Rates GTI10'!I350</f>
        <v>0.14158000000000001</v>
      </c>
      <c r="J350" s="496">
        <f>'JKP-3.1c - Rev Rates GTI10'!J350</f>
        <v>0.14158000000000001</v>
      </c>
      <c r="K350" s="496">
        <f>'JKP-3.1c - Rev Rates GTI10'!K350</f>
        <v>0.14158000000000001</v>
      </c>
      <c r="L350" s="496">
        <f>'JKP-3.1c - Rev Rates GTI10'!L350</f>
        <v>0.14158000000000001</v>
      </c>
      <c r="M350" s="496">
        <f>'JKP-3.1c - Rev Rates GTI10'!M350</f>
        <v>0.14158000000000001</v>
      </c>
      <c r="N350" s="496">
        <f>'JKP-3.1c - Rev Rates GTI10'!N350</f>
        <v>0.14158000000000001</v>
      </c>
      <c r="O350" s="496">
        <f>'JKP-3.1c - Rev Rates GTI10'!O350</f>
        <v>0.14158000000000001</v>
      </c>
      <c r="P350" s="496">
        <f>'JKP-3.1c - Rev Rates GTI10'!P350</f>
        <v>0.14158000000000001</v>
      </c>
      <c r="Q350" s="496">
        <f>'JKP-3.1c - Rev Rates GTI10'!Q350</f>
        <v>0.14158000000000001</v>
      </c>
      <c r="R350" s="441"/>
    </row>
    <row r="351" spans="1:19" x14ac:dyDescent="0.2">
      <c r="C351" s="336" t="s">
        <v>1087</v>
      </c>
      <c r="D351" s="336">
        <v>87</v>
      </c>
      <c r="E351" s="336" t="s">
        <v>957</v>
      </c>
      <c r="F351" s="496">
        <f>'JKP-3.1c - Rev Rates GTI10'!F351</f>
        <v>8.6440000000000003E-2</v>
      </c>
      <c r="G351" s="496">
        <f>'JKP-3.1c - Rev Rates GTI10'!G351</f>
        <v>8.6440000000000003E-2</v>
      </c>
      <c r="H351" s="496">
        <f>'JKP-3.1c - Rev Rates GTI10'!H351</f>
        <v>8.6440000000000003E-2</v>
      </c>
      <c r="I351" s="496">
        <f>'JKP-3.1c - Rev Rates GTI10'!I351</f>
        <v>8.6440000000000003E-2</v>
      </c>
      <c r="J351" s="496">
        <f>'JKP-3.1c - Rev Rates GTI10'!J351</f>
        <v>8.6440000000000003E-2</v>
      </c>
      <c r="K351" s="496">
        <f>'JKP-3.1c - Rev Rates GTI10'!K351</f>
        <v>8.6440000000000003E-2</v>
      </c>
      <c r="L351" s="496">
        <f>'JKP-3.1c - Rev Rates GTI10'!L351</f>
        <v>8.6440000000000003E-2</v>
      </c>
      <c r="M351" s="496">
        <f>'JKP-3.1c - Rev Rates GTI10'!M351</f>
        <v>8.6440000000000003E-2</v>
      </c>
      <c r="N351" s="496">
        <f>'JKP-3.1c - Rev Rates GTI10'!N351</f>
        <v>8.6440000000000003E-2</v>
      </c>
      <c r="O351" s="496">
        <f>'JKP-3.1c - Rev Rates GTI10'!O351</f>
        <v>8.6440000000000003E-2</v>
      </c>
      <c r="P351" s="496">
        <f>'JKP-3.1c - Rev Rates GTI10'!P351</f>
        <v>8.6440000000000003E-2</v>
      </c>
      <c r="Q351" s="496">
        <f>'JKP-3.1c - Rev Rates GTI10'!Q351</f>
        <v>8.6440000000000003E-2</v>
      </c>
      <c r="R351" s="441"/>
    </row>
    <row r="352" spans="1:19" x14ac:dyDescent="0.2">
      <c r="C352" s="336" t="s">
        <v>1090</v>
      </c>
      <c r="D352" s="336">
        <v>87</v>
      </c>
      <c r="E352" s="336" t="s">
        <v>957</v>
      </c>
      <c r="F352" s="496">
        <f>'JKP-3.1c - Rev Rates GTI10'!F352</f>
        <v>5.5809999999999998E-2</v>
      </c>
      <c r="G352" s="496">
        <f>'JKP-3.1c - Rev Rates GTI10'!G352</f>
        <v>5.5809999999999998E-2</v>
      </c>
      <c r="H352" s="496">
        <f>'JKP-3.1c - Rev Rates GTI10'!H352</f>
        <v>5.5809999999999998E-2</v>
      </c>
      <c r="I352" s="496">
        <f>'JKP-3.1c - Rev Rates GTI10'!I352</f>
        <v>5.5809999999999998E-2</v>
      </c>
      <c r="J352" s="496">
        <f>'JKP-3.1c - Rev Rates GTI10'!J352</f>
        <v>5.5809999999999998E-2</v>
      </c>
      <c r="K352" s="496">
        <f>'JKP-3.1c - Rev Rates GTI10'!K352</f>
        <v>5.5809999999999998E-2</v>
      </c>
      <c r="L352" s="496">
        <f>'JKP-3.1c - Rev Rates GTI10'!L352</f>
        <v>5.5809999999999998E-2</v>
      </c>
      <c r="M352" s="496">
        <f>'JKP-3.1c - Rev Rates GTI10'!M352</f>
        <v>5.5809999999999998E-2</v>
      </c>
      <c r="N352" s="496">
        <f>'JKP-3.1c - Rev Rates GTI10'!N352</f>
        <v>5.5809999999999998E-2</v>
      </c>
      <c r="O352" s="496">
        <f>'JKP-3.1c - Rev Rates GTI10'!O352</f>
        <v>5.5809999999999998E-2</v>
      </c>
      <c r="P352" s="496">
        <f>'JKP-3.1c - Rev Rates GTI10'!P352</f>
        <v>5.5809999999999998E-2</v>
      </c>
      <c r="Q352" s="496">
        <f>'JKP-3.1c - Rev Rates GTI10'!Q352</f>
        <v>5.5809999999999998E-2</v>
      </c>
      <c r="R352" s="441"/>
    </row>
    <row r="353" spans="2:18" x14ac:dyDescent="0.2">
      <c r="C353" s="336" t="s">
        <v>1091</v>
      </c>
      <c r="D353" s="336">
        <v>87</v>
      </c>
      <c r="E353" s="336" t="s">
        <v>957</v>
      </c>
      <c r="F353" s="496">
        <f>'JKP-3.1c - Rev Rates GTI10'!F353</f>
        <v>3.6589999999999998E-2</v>
      </c>
      <c r="G353" s="496">
        <f>'JKP-3.1c - Rev Rates GTI10'!G353</f>
        <v>3.6589999999999998E-2</v>
      </c>
      <c r="H353" s="496">
        <f>'JKP-3.1c - Rev Rates GTI10'!H353</f>
        <v>3.6589999999999998E-2</v>
      </c>
      <c r="I353" s="496">
        <f>'JKP-3.1c - Rev Rates GTI10'!I353</f>
        <v>3.6589999999999998E-2</v>
      </c>
      <c r="J353" s="496">
        <f>'JKP-3.1c - Rev Rates GTI10'!J353</f>
        <v>3.6589999999999998E-2</v>
      </c>
      <c r="K353" s="496">
        <f>'JKP-3.1c - Rev Rates GTI10'!K353</f>
        <v>3.6589999999999998E-2</v>
      </c>
      <c r="L353" s="496">
        <f>'JKP-3.1c - Rev Rates GTI10'!L353</f>
        <v>3.6589999999999998E-2</v>
      </c>
      <c r="M353" s="496">
        <f>'JKP-3.1c - Rev Rates GTI10'!M353</f>
        <v>3.6589999999999998E-2</v>
      </c>
      <c r="N353" s="496">
        <f>'JKP-3.1c - Rev Rates GTI10'!N353</f>
        <v>3.6589999999999998E-2</v>
      </c>
      <c r="O353" s="496">
        <f>'JKP-3.1c - Rev Rates GTI10'!O353</f>
        <v>3.6589999999999998E-2</v>
      </c>
      <c r="P353" s="496">
        <f>'JKP-3.1c - Rev Rates GTI10'!P353</f>
        <v>3.6589999999999998E-2</v>
      </c>
      <c r="Q353" s="496">
        <f>'JKP-3.1c - Rev Rates GTI10'!Q353</f>
        <v>3.6589999999999998E-2</v>
      </c>
      <c r="R353" s="441"/>
    </row>
    <row r="354" spans="2:18" x14ac:dyDescent="0.2">
      <c r="C354" s="336" t="s">
        <v>1092</v>
      </c>
      <c r="D354" s="336">
        <v>87</v>
      </c>
      <c r="E354" s="336" t="s">
        <v>957</v>
      </c>
      <c r="F354" s="496">
        <f>'JKP-3.1c - Rev Rates GTI10'!F354</f>
        <v>2.6950000000000002E-2</v>
      </c>
      <c r="G354" s="496">
        <f>'JKP-3.1c - Rev Rates GTI10'!G354</f>
        <v>2.6950000000000002E-2</v>
      </c>
      <c r="H354" s="496">
        <f>'JKP-3.1c - Rev Rates GTI10'!H354</f>
        <v>2.6950000000000002E-2</v>
      </c>
      <c r="I354" s="496">
        <f>'JKP-3.1c - Rev Rates GTI10'!I354</f>
        <v>2.6950000000000002E-2</v>
      </c>
      <c r="J354" s="496">
        <f>'JKP-3.1c - Rev Rates GTI10'!J354</f>
        <v>2.6950000000000002E-2</v>
      </c>
      <c r="K354" s="496">
        <f>'JKP-3.1c - Rev Rates GTI10'!K354</f>
        <v>2.6950000000000002E-2</v>
      </c>
      <c r="L354" s="496">
        <f>'JKP-3.1c - Rev Rates GTI10'!L354</f>
        <v>2.6950000000000002E-2</v>
      </c>
      <c r="M354" s="496">
        <f>'JKP-3.1c - Rev Rates GTI10'!M354</f>
        <v>2.6950000000000002E-2</v>
      </c>
      <c r="N354" s="496">
        <f>'JKP-3.1c - Rev Rates GTI10'!N354</f>
        <v>2.6950000000000002E-2</v>
      </c>
      <c r="O354" s="496">
        <f>'JKP-3.1c - Rev Rates GTI10'!O354</f>
        <v>2.6950000000000002E-2</v>
      </c>
      <c r="P354" s="496">
        <f>'JKP-3.1c - Rev Rates GTI10'!P354</f>
        <v>2.6950000000000002E-2</v>
      </c>
      <c r="Q354" s="496">
        <f>'JKP-3.1c - Rev Rates GTI10'!Q354</f>
        <v>2.6950000000000002E-2</v>
      </c>
      <c r="R354" s="441"/>
    </row>
    <row r="355" spans="2:18" x14ac:dyDescent="0.2">
      <c r="C355" s="336" t="s">
        <v>1093</v>
      </c>
      <c r="D355" s="336">
        <v>87</v>
      </c>
      <c r="E355" s="336" t="s">
        <v>957</v>
      </c>
      <c r="F355" s="496">
        <f>'JKP-3.1c - Rev Rates GTI10'!F355</f>
        <v>2.129E-2</v>
      </c>
      <c r="G355" s="496">
        <f>'JKP-3.1c - Rev Rates GTI10'!G355</f>
        <v>2.129E-2</v>
      </c>
      <c r="H355" s="496">
        <f>'JKP-3.1c - Rev Rates GTI10'!H355</f>
        <v>2.129E-2</v>
      </c>
      <c r="I355" s="496">
        <f>'JKP-3.1c - Rev Rates GTI10'!I355</f>
        <v>2.129E-2</v>
      </c>
      <c r="J355" s="496">
        <f>'JKP-3.1c - Rev Rates GTI10'!J355</f>
        <v>2.129E-2</v>
      </c>
      <c r="K355" s="496">
        <f>'JKP-3.1c - Rev Rates GTI10'!K355</f>
        <v>2.129E-2</v>
      </c>
      <c r="L355" s="496">
        <f>'JKP-3.1c - Rev Rates GTI10'!L355</f>
        <v>2.129E-2</v>
      </c>
      <c r="M355" s="496">
        <f>'JKP-3.1c - Rev Rates GTI10'!M355</f>
        <v>2.129E-2</v>
      </c>
      <c r="N355" s="496">
        <f>'JKP-3.1c - Rev Rates GTI10'!N355</f>
        <v>2.129E-2</v>
      </c>
      <c r="O355" s="496">
        <f>'JKP-3.1c - Rev Rates GTI10'!O355</f>
        <v>2.129E-2</v>
      </c>
      <c r="P355" s="496">
        <f>'JKP-3.1c - Rev Rates GTI10'!P355</f>
        <v>2.129E-2</v>
      </c>
      <c r="Q355" s="496">
        <f>'JKP-3.1c - Rev Rates GTI10'!Q355</f>
        <v>2.129E-2</v>
      </c>
      <c r="R355" s="441"/>
    </row>
    <row r="356" spans="2:18" x14ac:dyDescent="0.2">
      <c r="B356" s="415" t="s">
        <v>1067</v>
      </c>
      <c r="D356" s="336">
        <v>101</v>
      </c>
      <c r="E356" s="336" t="s">
        <v>957</v>
      </c>
      <c r="F356" s="496">
        <f>'JKP-3.1c - Rev Rates GTI10'!F356</f>
        <v>0.65951000000000004</v>
      </c>
      <c r="G356" s="496">
        <f>'JKP-3.1c - Rev Rates GTI10'!G356</f>
        <v>0.65951000000000004</v>
      </c>
      <c r="H356" s="496">
        <f>'JKP-3.1c - Rev Rates GTI10'!H356</f>
        <v>0.65951000000000004</v>
      </c>
      <c r="I356" s="496">
        <f>'JKP-3.1c - Rev Rates GTI10'!I356</f>
        <v>0.65951000000000004</v>
      </c>
      <c r="J356" s="496">
        <f>'JKP-3.1c - Rev Rates GTI10'!J356</f>
        <v>0.65951000000000004</v>
      </c>
      <c r="K356" s="496">
        <f>'JKP-3.1c - Rev Rates GTI10'!K356</f>
        <v>0.65951000000000004</v>
      </c>
      <c r="L356" s="496">
        <f>'JKP-3.1c - Rev Rates GTI10'!L356</f>
        <v>0.65951000000000004</v>
      </c>
      <c r="M356" s="496">
        <f>'JKP-3.1c - Rev Rates GTI10'!M356</f>
        <v>0.65951000000000004</v>
      </c>
      <c r="N356" s="496">
        <f>'JKP-3.1c - Rev Rates GTI10'!N356</f>
        <v>0.65951000000000004</v>
      </c>
      <c r="O356" s="496">
        <f>'JKP-3.1c - Rev Rates GTI10'!O356</f>
        <v>0.65951000000000004</v>
      </c>
      <c r="P356" s="496">
        <f>'JKP-3.1c - Rev Rates GTI10'!P356</f>
        <v>0.65951000000000004</v>
      </c>
      <c r="Q356" s="496">
        <f>'JKP-3.1c - Rev Rates GTI10'!Q356</f>
        <v>0.65951000000000004</v>
      </c>
      <c r="R356" s="441"/>
    </row>
    <row r="357" spans="2:18" x14ac:dyDescent="0.2">
      <c r="B357" s="336" t="s">
        <v>1096</v>
      </c>
      <c r="D357" s="382">
        <v>87</v>
      </c>
      <c r="E357" s="336" t="s">
        <v>957</v>
      </c>
      <c r="F357" s="496">
        <f>'JKP-3.1c - Rev Rates GTI10'!F357</f>
        <v>5.1999999999999998E-3</v>
      </c>
      <c r="G357" s="496">
        <f>'JKP-3.1c - Rev Rates GTI10'!G357</f>
        <v>5.1999999999999998E-3</v>
      </c>
      <c r="H357" s="496">
        <f>'JKP-3.1c - Rev Rates GTI10'!H357</f>
        <v>5.1999999999999998E-3</v>
      </c>
      <c r="I357" s="496">
        <f>'JKP-3.1c - Rev Rates GTI10'!I357</f>
        <v>5.1999999999999998E-3</v>
      </c>
      <c r="J357" s="496">
        <f>'JKP-3.1c - Rev Rates GTI10'!J357</f>
        <v>5.1999999999999998E-3</v>
      </c>
      <c r="K357" s="496">
        <f>'JKP-3.1c - Rev Rates GTI10'!K357</f>
        <v>5.1999999999999998E-3</v>
      </c>
      <c r="L357" s="496">
        <f>'JKP-3.1c - Rev Rates GTI10'!L357</f>
        <v>5.1999999999999998E-3</v>
      </c>
      <c r="M357" s="496">
        <f>'JKP-3.1c - Rev Rates GTI10'!M357</f>
        <v>5.1999999999999998E-3</v>
      </c>
      <c r="N357" s="496">
        <f>'JKP-3.1c - Rev Rates GTI10'!N357</f>
        <v>5.1999999999999998E-3</v>
      </c>
      <c r="O357" s="496">
        <f>'JKP-3.1c - Rev Rates GTI10'!O357</f>
        <v>5.1999999999999998E-3</v>
      </c>
      <c r="P357" s="496">
        <f>'JKP-3.1c - Rev Rates GTI10'!P357</f>
        <v>5.1999999999999998E-3</v>
      </c>
      <c r="Q357" s="496">
        <f>'JKP-3.1c - Rev Rates GTI10'!Q357</f>
        <v>5.1999999999999998E-3</v>
      </c>
      <c r="R357" s="441"/>
    </row>
    <row r="358" spans="2:18" x14ac:dyDescent="0.2">
      <c r="B358" s="336" t="s">
        <v>1068</v>
      </c>
      <c r="F358" s="441"/>
      <c r="G358" s="441"/>
      <c r="H358" s="441"/>
      <c r="I358" s="441"/>
      <c r="J358" s="441"/>
      <c r="K358" s="441"/>
      <c r="L358" s="441"/>
      <c r="M358" s="441"/>
      <c r="N358" s="441"/>
      <c r="O358" s="441"/>
      <c r="P358" s="441"/>
      <c r="Q358" s="441"/>
      <c r="R358" s="441"/>
    </row>
    <row r="359" spans="2:18" x14ac:dyDescent="0.2">
      <c r="C359" s="336" t="s">
        <v>1069</v>
      </c>
      <c r="D359" s="336">
        <v>87</v>
      </c>
      <c r="E359" s="336" t="s">
        <v>957</v>
      </c>
      <c r="F359" s="501">
        <f>'JKP-3.1c - Rev Rates GTI10'!F359</f>
        <v>1.1399999999999999</v>
      </c>
      <c r="G359" s="501">
        <f>'JKP-3.1c - Rev Rates GTI10'!G359</f>
        <v>1.1399999999999999</v>
      </c>
      <c r="H359" s="501">
        <f>'JKP-3.1c - Rev Rates GTI10'!H359</f>
        <v>1.1399999999999999</v>
      </c>
      <c r="I359" s="501">
        <f>'JKP-3.1c - Rev Rates GTI10'!I359</f>
        <v>1.1399999999999999</v>
      </c>
      <c r="J359" s="501">
        <f>'JKP-3.1c - Rev Rates GTI10'!J359</f>
        <v>1.1399999999999999</v>
      </c>
      <c r="K359" s="501">
        <f>'JKP-3.1c - Rev Rates GTI10'!K359</f>
        <v>1.1399999999999999</v>
      </c>
      <c r="L359" s="501">
        <f>'JKP-3.1c - Rev Rates GTI10'!L359</f>
        <v>1.1399999999999999</v>
      </c>
      <c r="M359" s="501">
        <f>'JKP-3.1c - Rev Rates GTI10'!M359</f>
        <v>1.1399999999999999</v>
      </c>
      <c r="N359" s="501">
        <f>'JKP-3.1c - Rev Rates GTI10'!N359</f>
        <v>1.1399999999999999</v>
      </c>
      <c r="O359" s="501">
        <f>'JKP-3.1c - Rev Rates GTI10'!O359</f>
        <v>1.1399999999999999</v>
      </c>
      <c r="P359" s="501">
        <f>'JKP-3.1c - Rev Rates GTI10'!P359</f>
        <v>1.1399999999999999</v>
      </c>
      <c r="Q359" s="501">
        <f>'JKP-3.1c - Rev Rates GTI10'!Q359</f>
        <v>1.1399999999999999</v>
      </c>
      <c r="R359" s="441"/>
    </row>
    <row r="360" spans="2:18" x14ac:dyDescent="0.2">
      <c r="C360" s="336" t="s">
        <v>1070</v>
      </c>
      <c r="D360" s="336">
        <v>101</v>
      </c>
      <c r="E360" s="336" t="s">
        <v>957</v>
      </c>
      <c r="F360" s="501">
        <f>'JKP-3.1c - Rev Rates GTI10'!F360</f>
        <v>1.05</v>
      </c>
      <c r="G360" s="501">
        <f>'JKP-3.1c - Rev Rates GTI10'!G360</f>
        <v>1.05</v>
      </c>
      <c r="H360" s="501">
        <f>'JKP-3.1c - Rev Rates GTI10'!H360</f>
        <v>1.05</v>
      </c>
      <c r="I360" s="501">
        <f>'JKP-3.1c - Rev Rates GTI10'!I360</f>
        <v>1.05</v>
      </c>
      <c r="J360" s="501">
        <f>'JKP-3.1c - Rev Rates GTI10'!J360</f>
        <v>1.05</v>
      </c>
      <c r="K360" s="501">
        <f>'JKP-3.1c - Rev Rates GTI10'!K360</f>
        <v>1.05</v>
      </c>
      <c r="L360" s="501">
        <f>'JKP-3.1c - Rev Rates GTI10'!L360</f>
        <v>1.05</v>
      </c>
      <c r="M360" s="501">
        <f>'JKP-3.1c - Rev Rates GTI10'!M360</f>
        <v>1.05</v>
      </c>
      <c r="N360" s="501">
        <f>'JKP-3.1c - Rev Rates GTI10'!N360</f>
        <v>1.05</v>
      </c>
      <c r="O360" s="501">
        <f>'JKP-3.1c - Rev Rates GTI10'!O360</f>
        <v>1.05</v>
      </c>
      <c r="P360" s="501">
        <f>'JKP-3.1c - Rev Rates GTI10'!P360</f>
        <v>1.05</v>
      </c>
      <c r="Q360" s="501">
        <f>'JKP-3.1c - Rev Rates GTI10'!Q360</f>
        <v>1.05</v>
      </c>
      <c r="R360" s="441"/>
    </row>
    <row r="361" spans="2:18" x14ac:dyDescent="0.2">
      <c r="B361" s="336" t="s">
        <v>1071</v>
      </c>
      <c r="D361" s="336">
        <v>87</v>
      </c>
      <c r="E361" s="336" t="s">
        <v>67</v>
      </c>
      <c r="F361" s="450"/>
      <c r="G361" s="450"/>
      <c r="H361" s="442"/>
      <c r="I361" s="450"/>
      <c r="J361" s="450"/>
      <c r="K361" s="450"/>
      <c r="L361" s="450"/>
      <c r="M361" s="450"/>
      <c r="N361" s="450"/>
      <c r="O361" s="450"/>
      <c r="P361" s="450"/>
      <c r="Q361" s="450"/>
      <c r="R361" s="441"/>
    </row>
    <row r="362" spans="2:18" x14ac:dyDescent="0.2">
      <c r="B362" s="336" t="s">
        <v>1050</v>
      </c>
      <c r="F362" s="496">
        <f>'JKP-3.1c - Rev Rates GTI10'!F362</f>
        <v>0.63099000000000005</v>
      </c>
      <c r="G362" s="496">
        <f>'JKP-3.1c - Rev Rates GTI10'!G362</f>
        <v>0.63099000000000005</v>
      </c>
      <c r="H362" s="496">
        <f>'JKP-3.1c - Rev Rates GTI10'!H362</f>
        <v>0.63099000000000005</v>
      </c>
      <c r="I362" s="496">
        <f>'JKP-3.1c - Rev Rates GTI10'!I362</f>
        <v>0.63099000000000005</v>
      </c>
      <c r="J362" s="496">
        <f>'JKP-3.1c - Rev Rates GTI10'!J362</f>
        <v>0.63099000000000005</v>
      </c>
      <c r="K362" s="496">
        <f>'JKP-3.1c - Rev Rates GTI10'!K362</f>
        <v>0.63099000000000005</v>
      </c>
      <c r="L362" s="496">
        <f>'JKP-3.1c - Rev Rates GTI10'!L362</f>
        <v>0.63099000000000005</v>
      </c>
      <c r="M362" s="496">
        <f>'JKP-3.1c - Rev Rates GTI10'!M362</f>
        <v>0.63099000000000005</v>
      </c>
      <c r="N362" s="496">
        <f>'JKP-3.1c - Rev Rates GTI10'!N362</f>
        <v>0.63099000000000005</v>
      </c>
      <c r="O362" s="496">
        <f>'JKP-3.1c - Rev Rates GTI10'!O362</f>
        <v>0.63099000000000005</v>
      </c>
      <c r="P362" s="496">
        <f>'JKP-3.1c - Rev Rates GTI10'!P362</f>
        <v>0.63099000000000005</v>
      </c>
      <c r="Q362" s="496">
        <f>'JKP-3.1c - Rev Rates GTI10'!Q362</f>
        <v>0.63099000000000005</v>
      </c>
      <c r="R362" s="441"/>
    </row>
    <row r="363" spans="2:18" x14ac:dyDescent="0.2">
      <c r="B363" s="336" t="s">
        <v>1072</v>
      </c>
      <c r="F363" s="501">
        <v>1</v>
      </c>
      <c r="G363" s="501">
        <v>1</v>
      </c>
      <c r="H363" s="501">
        <v>1</v>
      </c>
      <c r="I363" s="501">
        <v>1</v>
      </c>
      <c r="J363" s="501">
        <v>1</v>
      </c>
      <c r="K363" s="501">
        <v>1</v>
      </c>
      <c r="L363" s="501">
        <v>1</v>
      </c>
      <c r="M363" s="501">
        <v>1</v>
      </c>
      <c r="N363" s="501">
        <v>1</v>
      </c>
      <c r="O363" s="501">
        <v>1</v>
      </c>
      <c r="P363" s="501">
        <v>1</v>
      </c>
      <c r="Q363" s="501">
        <v>1</v>
      </c>
      <c r="R363" s="441"/>
    </row>
    <row r="365" spans="2:18" x14ac:dyDescent="0.2">
      <c r="B365" s="182" t="s">
        <v>982</v>
      </c>
    </row>
    <row r="366" spans="2:18" x14ac:dyDescent="0.2">
      <c r="B366" s="336" t="s">
        <v>67</v>
      </c>
      <c r="E366" s="336" t="s">
        <v>67</v>
      </c>
      <c r="F366" s="421">
        <f>'JKP-3.1c - Data'!C153</f>
        <v>8</v>
      </c>
      <c r="G366" s="421">
        <f>'JKP-3.1c - Data'!D153</f>
        <v>8</v>
      </c>
      <c r="H366" s="421">
        <f>'JKP-3.1c - Data'!E153</f>
        <v>8</v>
      </c>
      <c r="I366" s="421">
        <f>'JKP-3.1c - Data'!F153</f>
        <v>8</v>
      </c>
      <c r="J366" s="421">
        <f>'JKP-3.1c - Data'!G153</f>
        <v>8</v>
      </c>
      <c r="K366" s="421">
        <f>'JKP-3.1c - Data'!H153</f>
        <v>8</v>
      </c>
      <c r="L366" s="421">
        <f>'JKP-3.1c - Data'!I153</f>
        <v>8</v>
      </c>
      <c r="M366" s="421">
        <f>'JKP-3.1c - Data'!J153</f>
        <v>8</v>
      </c>
      <c r="N366" s="421">
        <f>'JKP-3.1c - Data'!K153</f>
        <v>8</v>
      </c>
      <c r="O366" s="421">
        <f>'JKP-3.1c - Data'!L153</f>
        <v>8</v>
      </c>
      <c r="P366" s="421">
        <f>'JKP-3.1c - Data'!M153</f>
        <v>8</v>
      </c>
      <c r="Q366" s="421">
        <f>'JKP-3.1c - Data'!N153</f>
        <v>8</v>
      </c>
      <c r="R366" s="378">
        <f>SUM(F366:Q366)</f>
        <v>96</v>
      </c>
    </row>
    <row r="367" spans="2:18" x14ac:dyDescent="0.2">
      <c r="B367" s="336" t="s">
        <v>76</v>
      </c>
      <c r="F367" s="380"/>
      <c r="G367" s="380"/>
      <c r="H367" s="380"/>
      <c r="I367" s="380"/>
      <c r="J367" s="380"/>
      <c r="K367" s="380"/>
      <c r="L367" s="380"/>
      <c r="M367" s="380"/>
      <c r="N367" s="380"/>
      <c r="O367" s="380"/>
      <c r="P367" s="380"/>
      <c r="Q367" s="380"/>
      <c r="R367" s="378"/>
    </row>
    <row r="368" spans="2:18" x14ac:dyDescent="0.2">
      <c r="C368" s="336" t="s">
        <v>1086</v>
      </c>
      <c r="E368" s="336" t="s">
        <v>10</v>
      </c>
      <c r="F368" s="421">
        <f>'JKP-3.1c - Rev Rates GTI10'!F368</f>
        <v>200000</v>
      </c>
      <c r="G368" s="421">
        <f>'JKP-3.1c - Rev Rates GTI10'!G368</f>
        <v>200000</v>
      </c>
      <c r="H368" s="421">
        <f>'JKP-3.1c - Rev Rates GTI10'!H368</f>
        <v>200000</v>
      </c>
      <c r="I368" s="421">
        <f>'JKP-3.1c - Rev Rates GTI10'!I368</f>
        <v>200000</v>
      </c>
      <c r="J368" s="421">
        <f>'JKP-3.1c - Rev Rates GTI10'!J368</f>
        <v>200000</v>
      </c>
      <c r="K368" s="421">
        <f>'JKP-3.1c - Rev Rates GTI10'!K368</f>
        <v>200000</v>
      </c>
      <c r="L368" s="421">
        <f>'JKP-3.1c - Rev Rates GTI10'!L368</f>
        <v>200000</v>
      </c>
      <c r="M368" s="421">
        <f>'JKP-3.1c - Rev Rates GTI10'!M368</f>
        <v>200000</v>
      </c>
      <c r="N368" s="421">
        <f>'JKP-3.1c - Rev Rates GTI10'!N368</f>
        <v>200000</v>
      </c>
      <c r="O368" s="421">
        <f>'JKP-3.1c - Rev Rates GTI10'!O368</f>
        <v>200000</v>
      </c>
      <c r="P368" s="421">
        <f>'JKP-3.1c - Rev Rates GTI10'!P368</f>
        <v>200000</v>
      </c>
      <c r="Q368" s="421">
        <f>'JKP-3.1c - Rev Rates GTI10'!Q368</f>
        <v>200000</v>
      </c>
      <c r="R368" s="378">
        <f t="shared" ref="R368:R373" si="85">SUM(F368:Q368)</f>
        <v>2400000</v>
      </c>
    </row>
    <row r="369" spans="1:18" x14ac:dyDescent="0.2">
      <c r="C369" s="336" t="s">
        <v>1087</v>
      </c>
      <c r="E369" s="336" t="s">
        <v>10</v>
      </c>
      <c r="F369" s="421">
        <f>'JKP-3.1c - Rev Rates GTI10'!F369</f>
        <v>200000</v>
      </c>
      <c r="G369" s="421">
        <f>'JKP-3.1c - Rev Rates GTI10'!G369</f>
        <v>200000</v>
      </c>
      <c r="H369" s="421">
        <f>'JKP-3.1c - Rev Rates GTI10'!H369</f>
        <v>200000</v>
      </c>
      <c r="I369" s="421">
        <f>'JKP-3.1c - Rev Rates GTI10'!I369</f>
        <v>200000</v>
      </c>
      <c r="J369" s="421">
        <f>'JKP-3.1c - Rev Rates GTI10'!J369</f>
        <v>200000</v>
      </c>
      <c r="K369" s="421">
        <f>'JKP-3.1c - Rev Rates GTI10'!K369</f>
        <v>195699</v>
      </c>
      <c r="L369" s="421">
        <f>'JKP-3.1c - Rev Rates GTI10'!L369</f>
        <v>186566</v>
      </c>
      <c r="M369" s="421">
        <f>'JKP-3.1c - Rev Rates GTI10'!M369</f>
        <v>184560</v>
      </c>
      <c r="N369" s="421">
        <f>'JKP-3.1c - Rev Rates GTI10'!N369</f>
        <v>191740</v>
      </c>
      <c r="O369" s="421">
        <f>'JKP-3.1c - Rev Rates GTI10'!O369</f>
        <v>200000</v>
      </c>
      <c r="P369" s="421">
        <f>'JKP-3.1c - Rev Rates GTI10'!P369</f>
        <v>200000</v>
      </c>
      <c r="Q369" s="421">
        <f>'JKP-3.1c - Rev Rates GTI10'!Q369</f>
        <v>200000</v>
      </c>
      <c r="R369" s="378">
        <f t="shared" si="85"/>
        <v>2358565</v>
      </c>
    </row>
    <row r="370" spans="1:18" x14ac:dyDescent="0.2">
      <c r="C370" s="336" t="s">
        <v>1090</v>
      </c>
      <c r="E370" s="336" t="s">
        <v>10</v>
      </c>
      <c r="F370" s="421">
        <f>'JKP-3.1c - Rev Rates GTI10'!F370</f>
        <v>400000</v>
      </c>
      <c r="G370" s="421">
        <f>'JKP-3.1c - Rev Rates GTI10'!G370</f>
        <v>374635</v>
      </c>
      <c r="H370" s="421">
        <f>'JKP-3.1c - Rev Rates GTI10'!H370</f>
        <v>392434</v>
      </c>
      <c r="I370" s="421">
        <f>'JKP-3.1c - Rev Rates GTI10'!I370</f>
        <v>373808</v>
      </c>
      <c r="J370" s="421">
        <f>'JKP-3.1c - Rev Rates GTI10'!J370</f>
        <v>339785</v>
      </c>
      <c r="K370" s="421">
        <f>'JKP-3.1c - Rev Rates GTI10'!K370</f>
        <v>310346</v>
      </c>
      <c r="L370" s="421">
        <f>'JKP-3.1c - Rev Rates GTI10'!L370</f>
        <v>286477</v>
      </c>
      <c r="M370" s="421">
        <f>'JKP-3.1c - Rev Rates GTI10'!M370</f>
        <v>268194</v>
      </c>
      <c r="N370" s="421">
        <f>'JKP-3.1c - Rev Rates GTI10'!N370</f>
        <v>291399</v>
      </c>
      <c r="O370" s="421">
        <f>'JKP-3.1c - Rev Rates GTI10'!O370</f>
        <v>340058</v>
      </c>
      <c r="P370" s="421">
        <f>'JKP-3.1c - Rev Rates GTI10'!P370</f>
        <v>390038</v>
      </c>
      <c r="Q370" s="421">
        <f>'JKP-3.1c - Rev Rates GTI10'!Q370</f>
        <v>385191</v>
      </c>
      <c r="R370" s="378">
        <f t="shared" si="85"/>
        <v>4152365</v>
      </c>
    </row>
    <row r="371" spans="1:18" x14ac:dyDescent="0.2">
      <c r="C371" s="336" t="s">
        <v>1091</v>
      </c>
      <c r="E371" s="336" t="s">
        <v>10</v>
      </c>
      <c r="F371" s="421">
        <f>'JKP-3.1c - Rev Rates GTI10'!F371</f>
        <v>602411</v>
      </c>
      <c r="G371" s="421">
        <f>'JKP-3.1c - Rev Rates GTI10'!G371</f>
        <v>518545</v>
      </c>
      <c r="H371" s="421">
        <f>'JKP-3.1c - Rev Rates GTI10'!H371</f>
        <v>546752</v>
      </c>
      <c r="I371" s="421">
        <f>'JKP-3.1c - Rev Rates GTI10'!I371</f>
        <v>493433</v>
      </c>
      <c r="J371" s="421">
        <f>'JKP-3.1c - Rev Rates GTI10'!J371</f>
        <v>443750</v>
      </c>
      <c r="K371" s="421">
        <f>'JKP-3.1c - Rev Rates GTI10'!K371</f>
        <v>333966</v>
      </c>
      <c r="L371" s="421">
        <f>'JKP-3.1c - Rev Rates GTI10'!L371</f>
        <v>253590</v>
      </c>
      <c r="M371" s="421">
        <f>'JKP-3.1c - Rev Rates GTI10'!M371</f>
        <v>224223</v>
      </c>
      <c r="N371" s="421">
        <f>'JKP-3.1c - Rev Rates GTI10'!N371</f>
        <v>241817</v>
      </c>
      <c r="O371" s="421">
        <f>'JKP-3.1c - Rev Rates GTI10'!O371</f>
        <v>455596</v>
      </c>
      <c r="P371" s="421">
        <f>'JKP-3.1c - Rev Rates GTI10'!P371</f>
        <v>566933</v>
      </c>
      <c r="Q371" s="421">
        <f>'JKP-3.1c - Rev Rates GTI10'!Q371</f>
        <v>615230</v>
      </c>
      <c r="R371" s="378">
        <f t="shared" si="85"/>
        <v>5296246</v>
      </c>
    </row>
    <row r="372" spans="1:18" x14ac:dyDescent="0.2">
      <c r="C372" s="336" t="s">
        <v>1092</v>
      </c>
      <c r="E372" s="336" t="s">
        <v>10</v>
      </c>
      <c r="F372" s="421">
        <f>'JKP-3.1c - Rev Rates GTI10'!F372</f>
        <v>492049</v>
      </c>
      <c r="G372" s="421">
        <f>'JKP-3.1c - Rev Rates GTI10'!G372</f>
        <v>410145</v>
      </c>
      <c r="H372" s="421">
        <f>'JKP-3.1c - Rev Rates GTI10'!H372</f>
        <v>431231</v>
      </c>
      <c r="I372" s="421">
        <f>'JKP-3.1c - Rev Rates GTI10'!I372</f>
        <v>374849</v>
      </c>
      <c r="J372" s="421">
        <f>'JKP-3.1c - Rev Rates GTI10'!J372</f>
        <v>327086</v>
      </c>
      <c r="K372" s="421">
        <f>'JKP-3.1c - Rev Rates GTI10'!K372</f>
        <v>300000</v>
      </c>
      <c r="L372" s="421">
        <f>'JKP-3.1c - Rev Rates GTI10'!L372</f>
        <v>300000</v>
      </c>
      <c r="M372" s="421">
        <f>'JKP-3.1c - Rev Rates GTI10'!M372</f>
        <v>300000</v>
      </c>
      <c r="N372" s="421">
        <f>'JKP-3.1c - Rev Rates GTI10'!N372</f>
        <v>300000</v>
      </c>
      <c r="O372" s="421">
        <f>'JKP-3.1c - Rev Rates GTI10'!O372</f>
        <v>310252</v>
      </c>
      <c r="P372" s="421">
        <f>'JKP-3.1c - Rev Rates GTI10'!P372</f>
        <v>485655</v>
      </c>
      <c r="Q372" s="421">
        <f>'JKP-3.1c - Rev Rates GTI10'!Q372</f>
        <v>573924</v>
      </c>
      <c r="R372" s="378">
        <f t="shared" si="85"/>
        <v>4605191</v>
      </c>
    </row>
    <row r="373" spans="1:18" x14ac:dyDescent="0.2">
      <c r="C373" s="336" t="s">
        <v>1093</v>
      </c>
      <c r="E373" s="336" t="s">
        <v>10</v>
      </c>
      <c r="F373" s="378">
        <f t="shared" ref="F373:N373" si="86">F374-SUM(F368:F372)</f>
        <v>1505983</v>
      </c>
      <c r="G373" s="378">
        <f t="shared" si="86"/>
        <v>1202811</v>
      </c>
      <c r="H373" s="378">
        <f t="shared" si="86"/>
        <v>1080224</v>
      </c>
      <c r="I373" s="378">
        <f t="shared" si="86"/>
        <v>775375</v>
      </c>
      <c r="J373" s="378">
        <f t="shared" si="86"/>
        <v>579446</v>
      </c>
      <c r="K373" s="378">
        <f t="shared" si="86"/>
        <v>398814</v>
      </c>
      <c r="L373" s="378">
        <f t="shared" si="86"/>
        <v>338959</v>
      </c>
      <c r="M373" s="378">
        <f t="shared" si="86"/>
        <v>246873</v>
      </c>
      <c r="N373" s="378">
        <f t="shared" si="86"/>
        <v>301266</v>
      </c>
      <c r="O373" s="378">
        <f>O374-SUM(O368:O372)</f>
        <v>697110</v>
      </c>
      <c r="P373" s="378">
        <f>P374-SUM(P368:P372)</f>
        <v>829476</v>
      </c>
      <c r="Q373" s="378">
        <f>Q374-SUM(Q368:Q372)</f>
        <v>1477913</v>
      </c>
      <c r="R373" s="378">
        <f t="shared" si="85"/>
        <v>9434250</v>
      </c>
    </row>
    <row r="374" spans="1:18" x14ac:dyDescent="0.2">
      <c r="C374" s="336" t="s">
        <v>1075</v>
      </c>
      <c r="E374" s="336" t="s">
        <v>10</v>
      </c>
      <c r="F374" s="445">
        <f>'JKP-3.1c - Weather Adj'!D157</f>
        <v>3400443</v>
      </c>
      <c r="G374" s="445">
        <f>'JKP-3.1c - Weather Adj'!E157</f>
        <v>2906136</v>
      </c>
      <c r="H374" s="445">
        <f>'JKP-3.1c - Weather Adj'!F157</f>
        <v>2850641</v>
      </c>
      <c r="I374" s="445">
        <f>'JKP-3.1c - Weather Adj'!G157</f>
        <v>2417465</v>
      </c>
      <c r="J374" s="445">
        <f>'JKP-3.1c - Weather Adj'!H157</f>
        <v>2090067</v>
      </c>
      <c r="K374" s="445">
        <f>'JKP-3.1c - Weather Adj'!I157</f>
        <v>1738825</v>
      </c>
      <c r="L374" s="445">
        <f>'JKP-3.1c - Weather Adj'!J157</f>
        <v>1565592</v>
      </c>
      <c r="M374" s="445">
        <f>'JKP-3.1c - Weather Adj'!K157</f>
        <v>1423850</v>
      </c>
      <c r="N374" s="445">
        <f>'JKP-3.1c - Weather Adj'!L157</f>
        <v>1526222</v>
      </c>
      <c r="O374" s="445">
        <f>'JKP-3.1c - Weather Adj'!M157</f>
        <v>2203016</v>
      </c>
      <c r="P374" s="445">
        <f>'JKP-3.1c - Weather Adj'!N157</f>
        <v>2672102</v>
      </c>
      <c r="Q374" s="445">
        <f>'JKP-3.1c - Weather Adj'!O157</f>
        <v>3452258</v>
      </c>
      <c r="R374" s="436">
        <f>SUM(R368:R373)</f>
        <v>28246617</v>
      </c>
    </row>
    <row r="375" spans="1:18" x14ac:dyDescent="0.2">
      <c r="B375" s="336" t="s">
        <v>74</v>
      </c>
      <c r="E375" s="336" t="s">
        <v>1076</v>
      </c>
      <c r="F375" s="421">
        <f>'JKP-3.1c - Data'!C173</f>
        <v>532</v>
      </c>
      <c r="G375" s="421">
        <f>'JKP-3.1c - Data'!D173</f>
        <v>532</v>
      </c>
      <c r="H375" s="421">
        <f>'JKP-3.1c - Data'!E173</f>
        <v>532</v>
      </c>
      <c r="I375" s="421">
        <f>'JKP-3.1c - Data'!F173</f>
        <v>532</v>
      </c>
      <c r="J375" s="421">
        <f>'JKP-3.1c - Data'!G173</f>
        <v>532</v>
      </c>
      <c r="K375" s="421">
        <f>'JKP-3.1c - Data'!H173</f>
        <v>532</v>
      </c>
      <c r="L375" s="421">
        <f>'JKP-3.1c - Data'!I173</f>
        <v>532</v>
      </c>
      <c r="M375" s="421">
        <f>'JKP-3.1c - Data'!J173</f>
        <v>532</v>
      </c>
      <c r="N375" s="421">
        <f>'JKP-3.1c - Data'!K173</f>
        <v>532</v>
      </c>
      <c r="O375" s="421">
        <f>'JKP-3.1c - Data'!L173</f>
        <v>532</v>
      </c>
      <c r="P375" s="421">
        <f>'JKP-3.1c - Data'!M173</f>
        <v>532</v>
      </c>
      <c r="Q375" s="421">
        <f>'JKP-3.1c - Data'!N173</f>
        <v>532</v>
      </c>
      <c r="R375" s="378">
        <f>SUM(F375:Q375)</f>
        <v>6384</v>
      </c>
    </row>
    <row r="376" spans="1:18" x14ac:dyDescent="0.2">
      <c r="B376" s="336" t="s">
        <v>1071</v>
      </c>
      <c r="F376" s="380"/>
      <c r="G376" s="380"/>
      <c r="H376" s="380"/>
      <c r="I376" s="380"/>
      <c r="J376" s="380"/>
      <c r="K376" s="380"/>
      <c r="L376" s="380"/>
      <c r="M376" s="380"/>
      <c r="N376" s="380"/>
      <c r="O376" s="380"/>
      <c r="P376" s="380"/>
      <c r="Q376" s="380"/>
      <c r="R376" s="378"/>
    </row>
    <row r="377" spans="1:18" x14ac:dyDescent="0.2">
      <c r="R377" s="179"/>
    </row>
    <row r="378" spans="1:18" x14ac:dyDescent="0.2">
      <c r="B378" s="182" t="s">
        <v>985</v>
      </c>
      <c r="R378" s="179"/>
    </row>
    <row r="379" spans="1:18" x14ac:dyDescent="0.2">
      <c r="A379" s="336" t="s">
        <v>1054</v>
      </c>
      <c r="B379" s="336" t="s">
        <v>1059</v>
      </c>
      <c r="D379" s="336">
        <v>87</v>
      </c>
      <c r="F379" s="418">
        <f t="shared" ref="F379:N379" si="87">F348*F366</f>
        <v>4467.3599999999997</v>
      </c>
      <c r="G379" s="418">
        <f t="shared" si="87"/>
        <v>4467.3599999999997</v>
      </c>
      <c r="H379" s="418">
        <f t="shared" si="87"/>
        <v>4467.3599999999997</v>
      </c>
      <c r="I379" s="418">
        <f t="shared" si="87"/>
        <v>4467.3599999999997</v>
      </c>
      <c r="J379" s="418">
        <f t="shared" si="87"/>
        <v>4467.3599999999997</v>
      </c>
      <c r="K379" s="418">
        <f t="shared" si="87"/>
        <v>4467.3599999999997</v>
      </c>
      <c r="L379" s="418">
        <f t="shared" si="87"/>
        <v>4467.3599999999997</v>
      </c>
      <c r="M379" s="418">
        <f t="shared" si="87"/>
        <v>4467.3599999999997</v>
      </c>
      <c r="N379" s="418">
        <f t="shared" si="87"/>
        <v>4467.3599999999997</v>
      </c>
      <c r="O379" s="418">
        <f>O348*O366</f>
        <v>4467.3599999999997</v>
      </c>
      <c r="P379" s="418">
        <f>P348*P366</f>
        <v>4467.3599999999997</v>
      </c>
      <c r="Q379" s="418">
        <f>Q348*Q366</f>
        <v>4467.3599999999997</v>
      </c>
      <c r="R379" s="437">
        <f>SUM(F379:Q379)</f>
        <v>53608.32</v>
      </c>
    </row>
    <row r="380" spans="1:18" x14ac:dyDescent="0.2">
      <c r="B380" s="336" t="s">
        <v>1047</v>
      </c>
      <c r="F380" s="418"/>
      <c r="G380" s="418"/>
      <c r="H380" s="418"/>
      <c r="I380" s="418"/>
      <c r="J380" s="418"/>
      <c r="K380" s="418"/>
      <c r="L380" s="418"/>
      <c r="M380" s="418"/>
      <c r="N380" s="418"/>
      <c r="O380" s="418"/>
      <c r="P380" s="418"/>
      <c r="Q380" s="418"/>
      <c r="R380" s="437"/>
    </row>
    <row r="381" spans="1:18" x14ac:dyDescent="0.2">
      <c r="C381" s="336" t="s">
        <v>1086</v>
      </c>
      <c r="D381" s="336">
        <v>87</v>
      </c>
      <c r="F381" s="418">
        <f t="shared" ref="F381:Q386" si="88">F350*F368</f>
        <v>28316.000000000004</v>
      </c>
      <c r="G381" s="418">
        <f t="shared" si="88"/>
        <v>28316.000000000004</v>
      </c>
      <c r="H381" s="418">
        <f t="shared" si="88"/>
        <v>28316.000000000004</v>
      </c>
      <c r="I381" s="418">
        <f t="shared" si="88"/>
        <v>28316.000000000004</v>
      </c>
      <c r="J381" s="418">
        <f t="shared" si="88"/>
        <v>28316.000000000004</v>
      </c>
      <c r="K381" s="418">
        <f t="shared" si="88"/>
        <v>28316.000000000004</v>
      </c>
      <c r="L381" s="418">
        <f t="shared" si="88"/>
        <v>28316.000000000004</v>
      </c>
      <c r="M381" s="418">
        <f t="shared" si="88"/>
        <v>28316.000000000004</v>
      </c>
      <c r="N381" s="418">
        <f t="shared" si="88"/>
        <v>28316.000000000004</v>
      </c>
      <c r="O381" s="418">
        <f t="shared" si="88"/>
        <v>28316.000000000004</v>
      </c>
      <c r="P381" s="418">
        <f t="shared" si="88"/>
        <v>28316.000000000004</v>
      </c>
      <c r="Q381" s="418">
        <f t="shared" si="88"/>
        <v>28316.000000000004</v>
      </c>
      <c r="R381" s="437">
        <f t="shared" ref="R381:R386" si="89">SUM(F381:Q381)</f>
        <v>339792.00000000006</v>
      </c>
    </row>
    <row r="382" spans="1:18" x14ac:dyDescent="0.2">
      <c r="C382" s="336" t="s">
        <v>1087</v>
      </c>
      <c r="D382" s="336">
        <v>87</v>
      </c>
      <c r="F382" s="418">
        <f t="shared" si="88"/>
        <v>17288</v>
      </c>
      <c r="G382" s="418">
        <f t="shared" si="88"/>
        <v>17288</v>
      </c>
      <c r="H382" s="418">
        <f t="shared" si="88"/>
        <v>17288</v>
      </c>
      <c r="I382" s="418">
        <f t="shared" si="88"/>
        <v>17288</v>
      </c>
      <c r="J382" s="418">
        <f t="shared" si="88"/>
        <v>17288</v>
      </c>
      <c r="K382" s="418">
        <f t="shared" si="88"/>
        <v>16916.221560000002</v>
      </c>
      <c r="L382" s="418">
        <f t="shared" si="88"/>
        <v>16126.76504</v>
      </c>
      <c r="M382" s="418">
        <f t="shared" si="88"/>
        <v>15953.366400000001</v>
      </c>
      <c r="N382" s="418">
        <f t="shared" si="88"/>
        <v>16574.0056</v>
      </c>
      <c r="O382" s="418">
        <f t="shared" si="88"/>
        <v>17288</v>
      </c>
      <c r="P382" s="418">
        <f t="shared" si="88"/>
        <v>17288</v>
      </c>
      <c r="Q382" s="418">
        <f t="shared" si="88"/>
        <v>17288</v>
      </c>
      <c r="R382" s="437">
        <f t="shared" si="89"/>
        <v>203874.35860000001</v>
      </c>
    </row>
    <row r="383" spans="1:18" x14ac:dyDescent="0.2">
      <c r="C383" s="336" t="s">
        <v>1090</v>
      </c>
      <c r="D383" s="336">
        <v>87</v>
      </c>
      <c r="F383" s="418">
        <f t="shared" si="88"/>
        <v>22324</v>
      </c>
      <c r="G383" s="418">
        <f t="shared" si="88"/>
        <v>20908.379349999999</v>
      </c>
      <c r="H383" s="418">
        <f t="shared" si="88"/>
        <v>21901.741539999999</v>
      </c>
      <c r="I383" s="418">
        <f t="shared" si="88"/>
        <v>20862.224480000001</v>
      </c>
      <c r="J383" s="418">
        <f t="shared" si="88"/>
        <v>18963.400849999998</v>
      </c>
      <c r="K383" s="418">
        <f t="shared" si="88"/>
        <v>17320.410260000001</v>
      </c>
      <c r="L383" s="418">
        <f t="shared" si="88"/>
        <v>15988.281369999999</v>
      </c>
      <c r="M383" s="418">
        <f t="shared" si="88"/>
        <v>14967.907139999999</v>
      </c>
      <c r="N383" s="418">
        <f t="shared" si="88"/>
        <v>16262.97819</v>
      </c>
      <c r="O383" s="418">
        <f t="shared" si="88"/>
        <v>18978.636979999999</v>
      </c>
      <c r="P383" s="418">
        <f t="shared" si="88"/>
        <v>21768.020779999999</v>
      </c>
      <c r="Q383" s="418">
        <f t="shared" si="88"/>
        <v>21497.509709999998</v>
      </c>
      <c r="R383" s="437">
        <f t="shared" si="89"/>
        <v>231743.49064999999</v>
      </c>
    </row>
    <row r="384" spans="1:18" x14ac:dyDescent="0.2">
      <c r="C384" s="336" t="s">
        <v>1091</v>
      </c>
      <c r="D384" s="336">
        <v>87</v>
      </c>
      <c r="F384" s="418">
        <f t="shared" si="88"/>
        <v>22042.218489999999</v>
      </c>
      <c r="G384" s="418">
        <f t="shared" si="88"/>
        <v>18973.561549999999</v>
      </c>
      <c r="H384" s="418">
        <f t="shared" si="88"/>
        <v>20005.65568</v>
      </c>
      <c r="I384" s="418">
        <f t="shared" si="88"/>
        <v>18054.713469999999</v>
      </c>
      <c r="J384" s="418">
        <f t="shared" si="88"/>
        <v>16236.812499999998</v>
      </c>
      <c r="K384" s="418">
        <f t="shared" si="88"/>
        <v>12219.815939999999</v>
      </c>
      <c r="L384" s="418">
        <f t="shared" si="88"/>
        <v>9278.8580999999995</v>
      </c>
      <c r="M384" s="418">
        <f t="shared" si="88"/>
        <v>8204.3195699999997</v>
      </c>
      <c r="N384" s="418">
        <f t="shared" si="88"/>
        <v>8848.08403</v>
      </c>
      <c r="O384" s="418">
        <f t="shared" si="88"/>
        <v>16670.25764</v>
      </c>
      <c r="P384" s="418">
        <f t="shared" si="88"/>
        <v>20744.07847</v>
      </c>
      <c r="Q384" s="418">
        <f t="shared" si="88"/>
        <v>22511.2657</v>
      </c>
      <c r="R384" s="437">
        <f t="shared" si="89"/>
        <v>193789.64113999999</v>
      </c>
    </row>
    <row r="385" spans="1:19" x14ac:dyDescent="0.2">
      <c r="C385" s="336" t="s">
        <v>1092</v>
      </c>
      <c r="D385" s="336">
        <v>87</v>
      </c>
      <c r="F385" s="418">
        <f t="shared" si="88"/>
        <v>13260.72055</v>
      </c>
      <c r="G385" s="418">
        <f t="shared" si="88"/>
        <v>11053.40775</v>
      </c>
      <c r="H385" s="418">
        <f t="shared" si="88"/>
        <v>11621.675450000001</v>
      </c>
      <c r="I385" s="418">
        <f t="shared" si="88"/>
        <v>10102.180550000001</v>
      </c>
      <c r="J385" s="418">
        <f t="shared" si="88"/>
        <v>8814.9677000000011</v>
      </c>
      <c r="K385" s="418">
        <f t="shared" si="88"/>
        <v>8085.0000000000009</v>
      </c>
      <c r="L385" s="418">
        <f t="shared" si="88"/>
        <v>8085.0000000000009</v>
      </c>
      <c r="M385" s="418">
        <f t="shared" si="88"/>
        <v>8085.0000000000009</v>
      </c>
      <c r="N385" s="418">
        <f t="shared" si="88"/>
        <v>8085.0000000000009</v>
      </c>
      <c r="O385" s="418">
        <f t="shared" si="88"/>
        <v>8361.2914000000001</v>
      </c>
      <c r="P385" s="418">
        <f t="shared" si="88"/>
        <v>13088.402250000001</v>
      </c>
      <c r="Q385" s="418">
        <f t="shared" si="88"/>
        <v>15467.251800000002</v>
      </c>
      <c r="R385" s="437">
        <f t="shared" si="89"/>
        <v>124109.89745</v>
      </c>
    </row>
    <row r="386" spans="1:19" x14ac:dyDescent="0.2">
      <c r="C386" s="336" t="s">
        <v>1093</v>
      </c>
      <c r="D386" s="336">
        <v>87</v>
      </c>
      <c r="F386" s="418">
        <f t="shared" si="88"/>
        <v>32062.378069999999</v>
      </c>
      <c r="G386" s="418">
        <f t="shared" si="88"/>
        <v>25607.84619</v>
      </c>
      <c r="H386" s="418">
        <f t="shared" si="88"/>
        <v>22997.968959999998</v>
      </c>
      <c r="I386" s="418">
        <f t="shared" si="88"/>
        <v>16507.733749999999</v>
      </c>
      <c r="J386" s="418">
        <f t="shared" si="88"/>
        <v>12336.405339999999</v>
      </c>
      <c r="K386" s="418">
        <f t="shared" si="88"/>
        <v>8490.7500600000003</v>
      </c>
      <c r="L386" s="418">
        <f t="shared" si="88"/>
        <v>7216.4371099999998</v>
      </c>
      <c r="M386" s="418">
        <f t="shared" si="88"/>
        <v>5255.9261699999997</v>
      </c>
      <c r="N386" s="418">
        <f t="shared" si="88"/>
        <v>6413.9531399999996</v>
      </c>
      <c r="O386" s="418">
        <f t="shared" si="88"/>
        <v>14841.4719</v>
      </c>
      <c r="P386" s="418">
        <f t="shared" si="88"/>
        <v>17659.544040000001</v>
      </c>
      <c r="Q386" s="418">
        <f t="shared" si="88"/>
        <v>31464.767769999999</v>
      </c>
      <c r="R386" s="437">
        <f t="shared" si="89"/>
        <v>200855.18250000002</v>
      </c>
    </row>
    <row r="387" spans="1:19" x14ac:dyDescent="0.2">
      <c r="A387" s="336" t="s">
        <v>1054</v>
      </c>
      <c r="C387" s="336" t="s">
        <v>1077</v>
      </c>
      <c r="F387" s="339">
        <f t="shared" ref="F387:N387" si="90">SUM(F381:F386)</f>
        <v>135293.31711</v>
      </c>
      <c r="G387" s="339">
        <f t="shared" si="90"/>
        <v>122147.19484</v>
      </c>
      <c r="H387" s="339">
        <f t="shared" si="90"/>
        <v>122131.04162999999</v>
      </c>
      <c r="I387" s="339">
        <f t="shared" si="90"/>
        <v>111130.85225000001</v>
      </c>
      <c r="J387" s="339">
        <f t="shared" si="90"/>
        <v>101955.58638999998</v>
      </c>
      <c r="K387" s="339">
        <f t="shared" si="90"/>
        <v>91348.197820000016</v>
      </c>
      <c r="L387" s="339">
        <f t="shared" si="90"/>
        <v>85011.341620000007</v>
      </c>
      <c r="M387" s="339">
        <f t="shared" si="90"/>
        <v>80782.519280000022</v>
      </c>
      <c r="N387" s="339">
        <f t="shared" si="90"/>
        <v>84500.020960000009</v>
      </c>
      <c r="O387" s="339">
        <f>SUM(O381:O386)</f>
        <v>104455.65792</v>
      </c>
      <c r="P387" s="339">
        <f>SUM(P381:P386)</f>
        <v>118864.04553999999</v>
      </c>
      <c r="Q387" s="339">
        <f>SUM(Q381:Q386)</f>
        <v>136544.79498000001</v>
      </c>
      <c r="R387" s="339">
        <f>SUM(R381:R386)</f>
        <v>1294164.5703400001</v>
      </c>
    </row>
    <row r="388" spans="1:19" x14ac:dyDescent="0.2">
      <c r="A388" s="336" t="s">
        <v>1056</v>
      </c>
      <c r="B388" s="415" t="s">
        <v>1057</v>
      </c>
      <c r="D388" s="336">
        <v>101</v>
      </c>
      <c r="F388" s="418">
        <f t="shared" ref="F388:N388" si="91">F356*F374</f>
        <v>2242626.1629300001</v>
      </c>
      <c r="G388" s="418">
        <f t="shared" si="91"/>
        <v>1916625.7533600002</v>
      </c>
      <c r="H388" s="418">
        <f t="shared" si="91"/>
        <v>1880026.2459100001</v>
      </c>
      <c r="I388" s="418">
        <f t="shared" si="91"/>
        <v>1594342.3421500002</v>
      </c>
      <c r="J388" s="418">
        <f t="shared" si="91"/>
        <v>1378420.0871700002</v>
      </c>
      <c r="K388" s="418">
        <f t="shared" si="91"/>
        <v>1146772.47575</v>
      </c>
      <c r="L388" s="418">
        <f t="shared" si="91"/>
        <v>1032523.57992</v>
      </c>
      <c r="M388" s="418">
        <f t="shared" si="91"/>
        <v>939043.31350000005</v>
      </c>
      <c r="N388" s="418">
        <f t="shared" si="91"/>
        <v>1006558.67122</v>
      </c>
      <c r="O388" s="418">
        <f>O356*O374</f>
        <v>1452911.08216</v>
      </c>
      <c r="P388" s="418">
        <f>P356*P374</f>
        <v>1762277.9900200001</v>
      </c>
      <c r="Q388" s="418">
        <f>Q356*Q374</f>
        <v>2276798.6735800002</v>
      </c>
      <c r="R388" s="437">
        <f>SUM(F388:Q388)</f>
        <v>18628926.377669998</v>
      </c>
    </row>
    <row r="389" spans="1:19" x14ac:dyDescent="0.2">
      <c r="A389" s="336" t="s">
        <v>1054</v>
      </c>
      <c r="B389" s="336" t="s">
        <v>1096</v>
      </c>
      <c r="D389" s="382">
        <v>87</v>
      </c>
      <c r="F389" s="339">
        <f t="shared" ref="F389:N389" si="92">F357*F374</f>
        <v>17682.303599999999</v>
      </c>
      <c r="G389" s="339">
        <f t="shared" si="92"/>
        <v>15111.9072</v>
      </c>
      <c r="H389" s="339">
        <f t="shared" si="92"/>
        <v>14823.333199999999</v>
      </c>
      <c r="I389" s="339">
        <f t="shared" si="92"/>
        <v>12570.817999999999</v>
      </c>
      <c r="J389" s="339">
        <f t="shared" si="92"/>
        <v>10868.348399999999</v>
      </c>
      <c r="K389" s="339">
        <f t="shared" si="92"/>
        <v>9041.89</v>
      </c>
      <c r="L389" s="339">
        <f t="shared" si="92"/>
        <v>8141.0783999999994</v>
      </c>
      <c r="M389" s="339">
        <f t="shared" si="92"/>
        <v>7404.0199999999995</v>
      </c>
      <c r="N389" s="339">
        <f t="shared" si="92"/>
        <v>7936.3543999999993</v>
      </c>
      <c r="O389" s="339">
        <f>O357*O374</f>
        <v>11455.683199999999</v>
      </c>
      <c r="P389" s="339">
        <f>P357*P374</f>
        <v>13894.930399999999</v>
      </c>
      <c r="Q389" s="339">
        <f>Q357*Q374</f>
        <v>17951.741599999998</v>
      </c>
      <c r="R389" s="344">
        <f>SUM(F389:Q389)</f>
        <v>146882.40839999999</v>
      </c>
    </row>
    <row r="390" spans="1:19" x14ac:dyDescent="0.2">
      <c r="B390" s="336" t="s">
        <v>1068</v>
      </c>
      <c r="F390" s="418"/>
      <c r="G390" s="418"/>
      <c r="H390" s="418"/>
      <c r="I390" s="418"/>
      <c r="J390" s="418"/>
      <c r="K390" s="418"/>
      <c r="L390" s="418"/>
      <c r="M390" s="418"/>
      <c r="N390" s="418"/>
      <c r="O390" s="418"/>
      <c r="P390" s="418"/>
      <c r="Q390" s="418"/>
      <c r="R390" s="437"/>
    </row>
    <row r="391" spans="1:19" x14ac:dyDescent="0.2">
      <c r="A391" s="336" t="s">
        <v>1054</v>
      </c>
      <c r="C391" s="336" t="s">
        <v>1069</v>
      </c>
      <c r="D391" s="382">
        <v>87</v>
      </c>
      <c r="F391" s="418">
        <f t="shared" ref="F391:N391" si="93">F359*F375</f>
        <v>606.4799999999999</v>
      </c>
      <c r="G391" s="418">
        <f t="shared" si="93"/>
        <v>606.4799999999999</v>
      </c>
      <c r="H391" s="418">
        <f t="shared" si="93"/>
        <v>606.4799999999999</v>
      </c>
      <c r="I391" s="418">
        <f t="shared" si="93"/>
        <v>606.4799999999999</v>
      </c>
      <c r="J391" s="418">
        <f t="shared" si="93"/>
        <v>606.4799999999999</v>
      </c>
      <c r="K391" s="418">
        <f t="shared" si="93"/>
        <v>606.4799999999999</v>
      </c>
      <c r="L391" s="418">
        <f t="shared" si="93"/>
        <v>606.4799999999999</v>
      </c>
      <c r="M391" s="418">
        <f t="shared" si="93"/>
        <v>606.4799999999999</v>
      </c>
      <c r="N391" s="418">
        <f t="shared" si="93"/>
        <v>606.4799999999999</v>
      </c>
      <c r="O391" s="418">
        <f>O359*O375</f>
        <v>606.4799999999999</v>
      </c>
      <c r="P391" s="418">
        <f>P359*P375</f>
        <v>606.4799999999999</v>
      </c>
      <c r="Q391" s="418">
        <f>Q359*Q375</f>
        <v>606.4799999999999</v>
      </c>
      <c r="R391" s="437">
        <f>SUM(F391:Q391)</f>
        <v>7277.7599999999975</v>
      </c>
    </row>
    <row r="392" spans="1:19" x14ac:dyDescent="0.2">
      <c r="A392" s="336" t="s">
        <v>1056</v>
      </c>
      <c r="C392" s="336" t="s">
        <v>1070</v>
      </c>
      <c r="D392" s="336">
        <v>101</v>
      </c>
      <c r="F392" s="418">
        <f t="shared" ref="F392:N392" si="94">F360*F375</f>
        <v>558.6</v>
      </c>
      <c r="G392" s="418">
        <f t="shared" si="94"/>
        <v>558.6</v>
      </c>
      <c r="H392" s="418">
        <f t="shared" si="94"/>
        <v>558.6</v>
      </c>
      <c r="I392" s="418">
        <f t="shared" si="94"/>
        <v>558.6</v>
      </c>
      <c r="J392" s="418">
        <f t="shared" si="94"/>
        <v>558.6</v>
      </c>
      <c r="K392" s="418">
        <f t="shared" si="94"/>
        <v>558.6</v>
      </c>
      <c r="L392" s="418">
        <f t="shared" si="94"/>
        <v>558.6</v>
      </c>
      <c r="M392" s="418">
        <f t="shared" si="94"/>
        <v>558.6</v>
      </c>
      <c r="N392" s="418">
        <f t="shared" si="94"/>
        <v>558.6</v>
      </c>
      <c r="O392" s="418">
        <f>O360*O375</f>
        <v>558.6</v>
      </c>
      <c r="P392" s="418">
        <f>P360*P375</f>
        <v>558.6</v>
      </c>
      <c r="Q392" s="418">
        <f>Q360*Q375</f>
        <v>558.6</v>
      </c>
      <c r="R392" s="437">
        <f>SUM(F392:Q392)</f>
        <v>6703.2000000000016</v>
      </c>
    </row>
    <row r="393" spans="1:19" x14ac:dyDescent="0.2">
      <c r="C393" s="336" t="s">
        <v>1078</v>
      </c>
      <c r="F393" s="339">
        <f t="shared" ref="F393:N393" si="95">SUM(F391:F392)</f>
        <v>1165.08</v>
      </c>
      <c r="G393" s="339">
        <f t="shared" si="95"/>
        <v>1165.08</v>
      </c>
      <c r="H393" s="339">
        <f t="shared" si="95"/>
        <v>1165.08</v>
      </c>
      <c r="I393" s="339">
        <f t="shared" si="95"/>
        <v>1165.08</v>
      </c>
      <c r="J393" s="339">
        <f t="shared" si="95"/>
        <v>1165.08</v>
      </c>
      <c r="K393" s="339">
        <f t="shared" si="95"/>
        <v>1165.08</v>
      </c>
      <c r="L393" s="339">
        <f t="shared" si="95"/>
        <v>1165.08</v>
      </c>
      <c r="M393" s="339">
        <f t="shared" si="95"/>
        <v>1165.08</v>
      </c>
      <c r="N393" s="339">
        <f t="shared" si="95"/>
        <v>1165.08</v>
      </c>
      <c r="O393" s="339">
        <f>SUM(O391:O392)</f>
        <v>1165.08</v>
      </c>
      <c r="P393" s="339">
        <f>SUM(P391:P392)</f>
        <v>1165.08</v>
      </c>
      <c r="Q393" s="339">
        <f>SUM(Q391:Q392)</f>
        <v>1165.08</v>
      </c>
      <c r="R393" s="339">
        <f>SUM(R391:R392)</f>
        <v>13980.96</v>
      </c>
    </row>
    <row r="394" spans="1:19" x14ac:dyDescent="0.2">
      <c r="A394" s="336" t="s">
        <v>1054</v>
      </c>
      <c r="B394" s="336" t="s">
        <v>1071</v>
      </c>
      <c r="D394" s="382">
        <v>87</v>
      </c>
      <c r="F394" s="447">
        <f>'JKP-3.1c - Data'!C190</f>
        <v>0</v>
      </c>
      <c r="G394" s="447">
        <f>'JKP-3.1c - Data'!D190</f>
        <v>0</v>
      </c>
      <c r="H394" s="447">
        <f>'JKP-3.1c - Data'!E190</f>
        <v>0</v>
      </c>
      <c r="I394" s="447">
        <f>'JKP-3.1c - Data'!F190</f>
        <v>0</v>
      </c>
      <c r="J394" s="447">
        <f>'JKP-3.1c - Data'!G190</f>
        <v>0</v>
      </c>
      <c r="K394" s="447">
        <f>'JKP-3.1c - Data'!H190</f>
        <v>0</v>
      </c>
      <c r="L394" s="447">
        <f>'JKP-3.1c - Data'!I190</f>
        <v>0</v>
      </c>
      <c r="M394" s="447">
        <f>'JKP-3.1c - Data'!J190</f>
        <v>0</v>
      </c>
      <c r="N394" s="447">
        <f>'JKP-3.1c - Data'!K190</f>
        <v>0</v>
      </c>
      <c r="O394" s="447">
        <f>'JKP-3.1c - Data'!L190</f>
        <v>12706.11</v>
      </c>
      <c r="P394" s="447">
        <f>'JKP-3.1c - Data'!M190</f>
        <v>0</v>
      </c>
      <c r="Q394" s="447">
        <f>'JKP-3.1c - Data'!N190</f>
        <v>0</v>
      </c>
      <c r="R394" s="437">
        <f>SUM(F394:Q394)</f>
        <v>12706.11</v>
      </c>
    </row>
    <row r="395" spans="1:19" x14ac:dyDescent="0.2">
      <c r="B395" s="336" t="s">
        <v>1079</v>
      </c>
      <c r="F395" s="339">
        <f t="shared" ref="F395:N395" si="96">F388+F392</f>
        <v>2243184.7629300002</v>
      </c>
      <c r="G395" s="339">
        <f t="shared" si="96"/>
        <v>1917184.3533600003</v>
      </c>
      <c r="H395" s="339">
        <f t="shared" si="96"/>
        <v>1880584.8459100001</v>
      </c>
      <c r="I395" s="339">
        <f t="shared" si="96"/>
        <v>1594900.9421500002</v>
      </c>
      <c r="J395" s="339">
        <f t="shared" si="96"/>
        <v>1378978.6871700003</v>
      </c>
      <c r="K395" s="339">
        <f t="shared" si="96"/>
        <v>1147331.0757500001</v>
      </c>
      <c r="L395" s="339">
        <f t="shared" si="96"/>
        <v>1033082.17992</v>
      </c>
      <c r="M395" s="339">
        <f t="shared" si="96"/>
        <v>939601.91350000002</v>
      </c>
      <c r="N395" s="339">
        <f t="shared" si="96"/>
        <v>1007117.27122</v>
      </c>
      <c r="O395" s="339">
        <f>O388+O392</f>
        <v>1453469.6821600001</v>
      </c>
      <c r="P395" s="339">
        <f>P388+P392</f>
        <v>1762836.5900200002</v>
      </c>
      <c r="Q395" s="339">
        <f>Q388+Q392</f>
        <v>2277357.2735800003</v>
      </c>
      <c r="R395" s="339">
        <f>R388+R392</f>
        <v>18635629.577669997</v>
      </c>
    </row>
    <row r="396" spans="1:19" x14ac:dyDescent="0.2">
      <c r="B396" s="336" t="s">
        <v>986</v>
      </c>
      <c r="F396" s="339">
        <f t="shared" ref="F396:N396" si="97">F379+F387+F388+F389+F393+F394</f>
        <v>2401234.2236400004</v>
      </c>
      <c r="G396" s="339">
        <f t="shared" si="97"/>
        <v>2059517.2954000004</v>
      </c>
      <c r="H396" s="339">
        <f t="shared" si="97"/>
        <v>2022613.0607400001</v>
      </c>
      <c r="I396" s="339">
        <f t="shared" si="97"/>
        <v>1723676.4524000003</v>
      </c>
      <c r="J396" s="339">
        <f t="shared" si="97"/>
        <v>1496876.4619600002</v>
      </c>
      <c r="K396" s="339">
        <f t="shared" si="97"/>
        <v>1252795.0035699999</v>
      </c>
      <c r="L396" s="339">
        <f t="shared" si="97"/>
        <v>1131308.4399400002</v>
      </c>
      <c r="M396" s="339">
        <f t="shared" si="97"/>
        <v>1032862.29278</v>
      </c>
      <c r="N396" s="339">
        <f t="shared" si="97"/>
        <v>1104627.4865800003</v>
      </c>
      <c r="O396" s="339">
        <f>O379+O387+O388+O389+O393+O394</f>
        <v>1587160.9732800003</v>
      </c>
      <c r="P396" s="339">
        <f>P379+P387+P388+P389+P393+P394</f>
        <v>1900669.4059600001</v>
      </c>
      <c r="Q396" s="339">
        <f>Q379+Q387+Q388+Q389+Q393+Q394</f>
        <v>2436927.6501600002</v>
      </c>
      <c r="R396" s="339">
        <f>R379+R387+R388+R389+R393+R394</f>
        <v>20150268.746409997</v>
      </c>
      <c r="S396" s="340"/>
    </row>
    <row r="397" spans="1:19" x14ac:dyDescent="0.2">
      <c r="F397" s="418"/>
      <c r="G397" s="418"/>
      <c r="H397" s="418"/>
      <c r="I397" s="418"/>
      <c r="J397" s="418"/>
      <c r="K397" s="418"/>
      <c r="L397" s="418"/>
      <c r="M397" s="418"/>
      <c r="N397" s="418"/>
      <c r="O397" s="418"/>
      <c r="P397" s="418"/>
      <c r="Q397" s="418"/>
      <c r="R397" s="418"/>
    </row>
    <row r="398" spans="1:19" x14ac:dyDescent="0.2">
      <c r="A398" s="336" t="s">
        <v>1058</v>
      </c>
      <c r="B398" s="336" t="s">
        <v>1050</v>
      </c>
      <c r="F398" s="418">
        <f>F362*F374+F375*F363</f>
        <v>2146177.5285700001</v>
      </c>
      <c r="G398" s="418">
        <f t="shared" ref="G398:Q398" si="98">G362*G374+G375*G363</f>
        <v>1834274.7546400002</v>
      </c>
      <c r="H398" s="418">
        <f t="shared" si="98"/>
        <v>1799257.9645900002</v>
      </c>
      <c r="I398" s="418">
        <f t="shared" si="98"/>
        <v>1525928.2403500001</v>
      </c>
      <c r="J398" s="418">
        <f t="shared" si="98"/>
        <v>1319343.3763300001</v>
      </c>
      <c r="K398" s="418">
        <f t="shared" si="98"/>
        <v>1097713.1867500001</v>
      </c>
      <c r="L398" s="418">
        <f t="shared" si="98"/>
        <v>988404.89608000009</v>
      </c>
      <c r="M398" s="418">
        <f t="shared" si="98"/>
        <v>898967.11150000012</v>
      </c>
      <c r="N398" s="418">
        <f t="shared" si="98"/>
        <v>963562.81978000002</v>
      </c>
      <c r="O398" s="418">
        <f t="shared" si="98"/>
        <v>1390613.0658400001</v>
      </c>
      <c r="P398" s="418">
        <f t="shared" si="98"/>
        <v>1686601.6409800001</v>
      </c>
      <c r="Q398" s="418">
        <f t="shared" si="98"/>
        <v>2178872.2754200003</v>
      </c>
      <c r="R398" s="418">
        <f>SUM(F398:Q398)</f>
        <v>17829716.860830002</v>
      </c>
    </row>
    <row r="399" spans="1:19" x14ac:dyDescent="0.2">
      <c r="F399" s="418"/>
      <c r="G399" s="418"/>
      <c r="H399" s="418"/>
      <c r="I399" s="418"/>
      <c r="J399" s="418"/>
      <c r="K399" s="418"/>
      <c r="L399" s="418"/>
      <c r="M399" s="418"/>
      <c r="N399" s="418"/>
      <c r="O399" s="418"/>
      <c r="P399" s="418"/>
      <c r="Q399" s="418"/>
      <c r="R399" s="418"/>
    </row>
    <row r="400" spans="1:19" x14ac:dyDescent="0.2">
      <c r="B400" s="182" t="s">
        <v>970</v>
      </c>
      <c r="C400" s="182"/>
    </row>
    <row r="401" spans="1:20" x14ac:dyDescent="0.2">
      <c r="B401" s="182" t="s">
        <v>5</v>
      </c>
      <c r="C401" s="182"/>
    </row>
    <row r="402" spans="1:20" x14ac:dyDescent="0.2">
      <c r="B402" s="336" t="s">
        <v>1059</v>
      </c>
      <c r="D402" s="336">
        <v>31</v>
      </c>
      <c r="E402" s="336" t="s">
        <v>976</v>
      </c>
      <c r="F402" s="450">
        <f t="shared" ref="F402:Q405" si="99">F74</f>
        <v>32.32</v>
      </c>
      <c r="G402" s="450">
        <f t="shared" si="99"/>
        <v>32.32</v>
      </c>
      <c r="H402" s="450">
        <f t="shared" si="99"/>
        <v>32.32</v>
      </c>
      <c r="I402" s="450">
        <f t="shared" si="99"/>
        <v>32.32</v>
      </c>
      <c r="J402" s="450">
        <f t="shared" si="99"/>
        <v>32.32</v>
      </c>
      <c r="K402" s="450">
        <f t="shared" si="99"/>
        <v>32.32</v>
      </c>
      <c r="L402" s="450">
        <f t="shared" si="99"/>
        <v>32.32</v>
      </c>
      <c r="M402" s="450">
        <f t="shared" si="99"/>
        <v>32.32</v>
      </c>
      <c r="N402" s="450">
        <f t="shared" si="99"/>
        <v>32.32</v>
      </c>
      <c r="O402" s="450">
        <f t="shared" si="99"/>
        <v>32.32</v>
      </c>
      <c r="P402" s="450">
        <f t="shared" si="99"/>
        <v>32.32</v>
      </c>
      <c r="Q402" s="450">
        <f t="shared" si="99"/>
        <v>32.32</v>
      </c>
      <c r="R402" s="435"/>
    </row>
    <row r="403" spans="1:20" x14ac:dyDescent="0.2">
      <c r="B403" s="336" t="s">
        <v>1047</v>
      </c>
      <c r="D403" s="336">
        <v>31</v>
      </c>
      <c r="E403" s="336" t="s">
        <v>957</v>
      </c>
      <c r="F403" s="448">
        <f t="shared" si="99"/>
        <v>0.31526999999999999</v>
      </c>
      <c r="G403" s="448">
        <f t="shared" si="99"/>
        <v>0.31526999999999999</v>
      </c>
      <c r="H403" s="448">
        <f t="shared" si="99"/>
        <v>0.31526999999999999</v>
      </c>
      <c r="I403" s="448">
        <f t="shared" si="99"/>
        <v>0.31526999999999999</v>
      </c>
      <c r="J403" s="448">
        <f t="shared" si="99"/>
        <v>0.31526999999999999</v>
      </c>
      <c r="K403" s="448">
        <f t="shared" si="99"/>
        <v>0.31526999999999999</v>
      </c>
      <c r="L403" s="448">
        <f t="shared" si="99"/>
        <v>0.31526999999999999</v>
      </c>
      <c r="M403" s="448">
        <f t="shared" si="99"/>
        <v>0.31526999999999999</v>
      </c>
      <c r="N403" s="448">
        <f t="shared" si="99"/>
        <v>0.31526999999999999</v>
      </c>
      <c r="O403" s="448">
        <f t="shared" si="99"/>
        <v>0.31526999999999999</v>
      </c>
      <c r="P403" s="448">
        <f t="shared" si="99"/>
        <v>0.31526999999999999</v>
      </c>
      <c r="Q403" s="448">
        <f t="shared" si="99"/>
        <v>0.31526999999999999</v>
      </c>
      <c r="R403" s="441"/>
    </row>
    <row r="404" spans="1:20" x14ac:dyDescent="0.2">
      <c r="B404" s="415" t="s">
        <v>1067</v>
      </c>
      <c r="D404" s="336">
        <v>101</v>
      </c>
      <c r="E404" s="336" t="s">
        <v>957</v>
      </c>
      <c r="F404" s="459">
        <f t="shared" si="99"/>
        <v>0.71392999999999995</v>
      </c>
      <c r="G404" s="459">
        <f t="shared" si="99"/>
        <v>0.71392999999999995</v>
      </c>
      <c r="H404" s="459">
        <f t="shared" si="99"/>
        <v>0.71392999999999995</v>
      </c>
      <c r="I404" s="459">
        <f t="shared" si="99"/>
        <v>0.71392999999999995</v>
      </c>
      <c r="J404" s="459">
        <f t="shared" si="99"/>
        <v>0.71392999999999995</v>
      </c>
      <c r="K404" s="459">
        <f t="shared" si="99"/>
        <v>0.71392999999999995</v>
      </c>
      <c r="L404" s="459">
        <f t="shared" si="99"/>
        <v>0.71392999999999995</v>
      </c>
      <c r="M404" s="459">
        <f t="shared" si="99"/>
        <v>0.71392999999999995</v>
      </c>
      <c r="N404" s="459">
        <f t="shared" si="99"/>
        <v>0.71392999999999995</v>
      </c>
      <c r="O404" s="459">
        <f t="shared" si="99"/>
        <v>0.71392999999999995</v>
      </c>
      <c r="P404" s="459">
        <f t="shared" si="99"/>
        <v>0.71392999999999995</v>
      </c>
      <c r="Q404" s="459">
        <f t="shared" si="99"/>
        <v>0.71392999999999995</v>
      </c>
      <c r="R404" s="441"/>
    </row>
    <row r="405" spans="1:20" x14ac:dyDescent="0.2">
      <c r="B405" s="415" t="s">
        <v>1050</v>
      </c>
      <c r="F405" s="459">
        <f>F77</f>
        <v>0.68306</v>
      </c>
      <c r="G405" s="459">
        <f t="shared" si="99"/>
        <v>0.68306</v>
      </c>
      <c r="H405" s="459">
        <f t="shared" si="99"/>
        <v>0.68306</v>
      </c>
      <c r="I405" s="459">
        <f t="shared" si="99"/>
        <v>0.68306</v>
      </c>
      <c r="J405" s="459">
        <f t="shared" si="99"/>
        <v>0.68306</v>
      </c>
      <c r="K405" s="459">
        <f t="shared" si="99"/>
        <v>0.68306</v>
      </c>
      <c r="L405" s="459">
        <f t="shared" si="99"/>
        <v>0.68306</v>
      </c>
      <c r="M405" s="459">
        <f t="shared" si="99"/>
        <v>0.68306</v>
      </c>
      <c r="N405" s="459">
        <f t="shared" si="99"/>
        <v>0.68306</v>
      </c>
      <c r="O405" s="459">
        <f t="shared" si="99"/>
        <v>0.68306</v>
      </c>
      <c r="P405" s="459">
        <f t="shared" si="99"/>
        <v>0.68306</v>
      </c>
      <c r="Q405" s="459">
        <f t="shared" si="99"/>
        <v>0.68306</v>
      </c>
      <c r="R405" s="441"/>
    </row>
    <row r="406" spans="1:20" x14ac:dyDescent="0.2">
      <c r="F406" s="448"/>
      <c r="G406" s="448"/>
      <c r="H406" s="448"/>
      <c r="I406" s="448"/>
      <c r="J406" s="448"/>
      <c r="K406" s="448"/>
      <c r="L406" s="448"/>
      <c r="M406" s="448"/>
      <c r="N406" s="448"/>
      <c r="O406" s="448"/>
      <c r="P406" s="448"/>
      <c r="Q406" s="448"/>
    </row>
    <row r="407" spans="1:20" x14ac:dyDescent="0.2">
      <c r="B407" s="182" t="s">
        <v>982</v>
      </c>
    </row>
    <row r="408" spans="1:20" x14ac:dyDescent="0.2">
      <c r="B408" s="336" t="s">
        <v>67</v>
      </c>
      <c r="E408" s="336" t="s">
        <v>67</v>
      </c>
      <c r="F408" s="421">
        <f>'JKP-3.1c - Data'!C140+'JKP-3.1c - 41T 86T Migrat Adj'!B53+'JKP-3.1c - 41 Min Migration Adj'!B38</f>
        <v>2463</v>
      </c>
      <c r="G408" s="421">
        <f>'JKP-3.1c - Data'!D140+'JKP-3.1c - 41T 86T Migrat Adj'!C53+'JKP-3.1c - 41 Min Migration Adj'!C38</f>
        <v>2459</v>
      </c>
      <c r="H408" s="421">
        <f>'JKP-3.1c - Data'!E140+'JKP-3.1c - 41T 86T Migrat Adj'!D53+'JKP-3.1c - 41 Min Migration Adj'!D38</f>
        <v>2445</v>
      </c>
      <c r="I408" s="421">
        <f>'JKP-3.1c - Data'!F140+'JKP-3.1c - 41T 86T Migrat Adj'!E53+'JKP-3.1c - 41 Min Migration Adj'!E38</f>
        <v>2433.02</v>
      </c>
      <c r="J408" s="421">
        <f>'JKP-3.1c - Data'!G140+'JKP-3.1c - 41T 86T Migrat Adj'!F53+'JKP-3.1c - 41 Min Migration Adj'!F38</f>
        <v>2435</v>
      </c>
      <c r="K408" s="421">
        <f>'JKP-3.1c - Data'!H140+'JKP-3.1c - 41T 86T Migrat Adj'!G53+'JKP-3.1c - 41 Min Migration Adj'!G38</f>
        <v>2451</v>
      </c>
      <c r="L408" s="421">
        <f>'JKP-3.1c - Data'!I140+'JKP-3.1c - 41T 86T Migrat Adj'!H53+'JKP-3.1c - 41 Min Migration Adj'!H38</f>
        <v>2430</v>
      </c>
      <c r="M408" s="421">
        <f>'JKP-3.1c - Data'!J140+'JKP-3.1c - 41T 86T Migrat Adj'!I53+'JKP-3.1c - 41 Min Migration Adj'!I38</f>
        <v>2420</v>
      </c>
      <c r="N408" s="421">
        <f>'JKP-3.1c - Data'!K140+'JKP-3.1c - 41T 86T Migrat Adj'!J53+'JKP-3.1c - 41 Min Migration Adj'!J38</f>
        <v>2419</v>
      </c>
      <c r="O408" s="421">
        <f>'JKP-3.1c - Data'!L140+'JKP-3.1c - 41T 86T Migrat Adj'!K53+'JKP-3.1c - 41 Min Migration Adj'!K38</f>
        <v>2429</v>
      </c>
      <c r="P408" s="421">
        <f>'JKP-3.1c - Data'!M140+'JKP-3.1c - 41T 86T Migrat Adj'!L53+'JKP-3.1c - 41 Min Migration Adj'!L38</f>
        <v>2427</v>
      </c>
      <c r="Q408" s="421">
        <f>'JKP-3.1c - Data'!N140+'JKP-3.1c - 41T 86T Migrat Adj'!M53+'JKP-3.1c - 41 Min Migration Adj'!M38</f>
        <v>2431</v>
      </c>
      <c r="R408" s="378">
        <f>SUM(F408:Q408)</f>
        <v>29242.02</v>
      </c>
      <c r="S408" s="506"/>
    </row>
    <row r="409" spans="1:20" x14ac:dyDescent="0.2">
      <c r="B409" s="336" t="s">
        <v>76</v>
      </c>
      <c r="E409" s="336" t="s">
        <v>10</v>
      </c>
      <c r="F409" s="421">
        <f>'JKP-3.1c - Weather Adj'!D158</f>
        <v>2249912</v>
      </c>
      <c r="G409" s="421">
        <f>'JKP-3.1c - Weather Adj'!E158</f>
        <v>1770209</v>
      </c>
      <c r="H409" s="421">
        <f>'JKP-3.1c - Weather Adj'!F158</f>
        <v>1520682</v>
      </c>
      <c r="I409" s="421">
        <f>'JKP-3.1c - Weather Adj'!G158</f>
        <v>1081321</v>
      </c>
      <c r="J409" s="421">
        <f>'JKP-3.1c - Weather Adj'!H158</f>
        <v>719006</v>
      </c>
      <c r="K409" s="421">
        <f>'JKP-3.1c - Weather Adj'!I158</f>
        <v>521740</v>
      </c>
      <c r="L409" s="421">
        <f>'JKP-3.1c - Weather Adj'!J158</f>
        <v>432613</v>
      </c>
      <c r="M409" s="421">
        <f>'JKP-3.1c - Weather Adj'!K158</f>
        <v>426650</v>
      </c>
      <c r="N409" s="421">
        <f>'JKP-3.1c - Weather Adj'!L158</f>
        <v>491402</v>
      </c>
      <c r="O409" s="421">
        <f>'JKP-3.1c - Weather Adj'!M158</f>
        <v>912661</v>
      </c>
      <c r="P409" s="421">
        <f>'JKP-3.1c - Weather Adj'!N158</f>
        <v>1389364</v>
      </c>
      <c r="Q409" s="421">
        <f>'JKP-3.1c - Weather Adj'!O158</f>
        <v>2307296</v>
      </c>
      <c r="R409" s="378">
        <f>SUM(F409:Q409)</f>
        <v>13822856</v>
      </c>
    </row>
    <row r="410" spans="1:20" x14ac:dyDescent="0.2">
      <c r="R410" s="179"/>
    </row>
    <row r="411" spans="1:20" x14ac:dyDescent="0.2">
      <c r="B411" s="182" t="s">
        <v>985</v>
      </c>
      <c r="R411" s="179"/>
    </row>
    <row r="412" spans="1:20" x14ac:dyDescent="0.2">
      <c r="A412" s="336" t="s">
        <v>1054</v>
      </c>
      <c r="B412" s="336" t="s">
        <v>1059</v>
      </c>
      <c r="D412" s="336">
        <v>31</v>
      </c>
      <c r="F412" s="418">
        <f t="shared" ref="F412:Q413" si="100">F402*F408</f>
        <v>79604.160000000003</v>
      </c>
      <c r="G412" s="418">
        <f t="shared" si="100"/>
        <v>79474.880000000005</v>
      </c>
      <c r="H412" s="418">
        <f t="shared" si="100"/>
        <v>79022.399999999994</v>
      </c>
      <c r="I412" s="418">
        <f t="shared" si="100"/>
        <v>78635.206399999995</v>
      </c>
      <c r="J412" s="418">
        <f t="shared" si="100"/>
        <v>78699.199999999997</v>
      </c>
      <c r="K412" s="418">
        <f t="shared" si="100"/>
        <v>79216.320000000007</v>
      </c>
      <c r="L412" s="418">
        <f t="shared" si="100"/>
        <v>78537.600000000006</v>
      </c>
      <c r="M412" s="418">
        <f t="shared" si="100"/>
        <v>78214.399999999994</v>
      </c>
      <c r="N412" s="418">
        <f t="shared" si="100"/>
        <v>78182.080000000002</v>
      </c>
      <c r="O412" s="418">
        <f t="shared" si="100"/>
        <v>78505.279999999999</v>
      </c>
      <c r="P412" s="418">
        <f t="shared" si="100"/>
        <v>78440.639999999999</v>
      </c>
      <c r="Q412" s="418">
        <f t="shared" si="100"/>
        <v>78569.919999999998</v>
      </c>
      <c r="R412" s="437">
        <f>SUM(F412:Q412)</f>
        <v>945102.08640000003</v>
      </c>
    </row>
    <row r="413" spans="1:20" x14ac:dyDescent="0.2">
      <c r="A413" s="336" t="s">
        <v>1054</v>
      </c>
      <c r="B413" s="336" t="s">
        <v>1047</v>
      </c>
      <c r="D413" s="336">
        <v>31</v>
      </c>
      <c r="F413" s="418">
        <f t="shared" si="100"/>
        <v>709329.75624000002</v>
      </c>
      <c r="G413" s="418">
        <f t="shared" si="100"/>
        <v>558093.79142999998</v>
      </c>
      <c r="H413" s="418">
        <f t="shared" si="100"/>
        <v>479425.41414000001</v>
      </c>
      <c r="I413" s="418">
        <f t="shared" si="100"/>
        <v>340908.07166999998</v>
      </c>
      <c r="J413" s="418">
        <f t="shared" si="100"/>
        <v>226681.02161999998</v>
      </c>
      <c r="K413" s="418">
        <f t="shared" si="100"/>
        <v>164488.96979999999</v>
      </c>
      <c r="L413" s="418">
        <f t="shared" si="100"/>
        <v>136389.90051000001</v>
      </c>
      <c r="M413" s="418">
        <f t="shared" si="100"/>
        <v>134509.9455</v>
      </c>
      <c r="N413" s="418">
        <f t="shared" si="100"/>
        <v>154924.30854</v>
      </c>
      <c r="O413" s="418">
        <f t="shared" si="100"/>
        <v>287734.63347</v>
      </c>
      <c r="P413" s="418">
        <f t="shared" si="100"/>
        <v>438024.78827999998</v>
      </c>
      <c r="Q413" s="418">
        <f t="shared" si="100"/>
        <v>727421.20991999994</v>
      </c>
      <c r="R413" s="437">
        <f>SUM(F413:Q413)</f>
        <v>4357931.8111200007</v>
      </c>
    </row>
    <row r="414" spans="1:20" x14ac:dyDescent="0.2">
      <c r="A414" s="336" t="s">
        <v>1056</v>
      </c>
      <c r="B414" s="415" t="s">
        <v>1057</v>
      </c>
      <c r="D414" s="336">
        <v>101</v>
      </c>
      <c r="F414" s="418">
        <f t="shared" ref="F414:N414" si="101">F404*F409</f>
        <v>1606279.6741599999</v>
      </c>
      <c r="G414" s="418">
        <f t="shared" si="101"/>
        <v>1263805.31137</v>
      </c>
      <c r="H414" s="418">
        <f t="shared" si="101"/>
        <v>1085660.5002599999</v>
      </c>
      <c r="I414" s="418">
        <f t="shared" si="101"/>
        <v>771987.50152999989</v>
      </c>
      <c r="J414" s="418">
        <f t="shared" si="101"/>
        <v>513319.95357999997</v>
      </c>
      <c r="K414" s="418">
        <f t="shared" si="101"/>
        <v>372485.8382</v>
      </c>
      <c r="L414" s="418">
        <f t="shared" si="101"/>
        <v>308855.39908999996</v>
      </c>
      <c r="M414" s="418">
        <f t="shared" si="101"/>
        <v>304598.23449999996</v>
      </c>
      <c r="N414" s="418">
        <f t="shared" si="101"/>
        <v>350826.62985999999</v>
      </c>
      <c r="O414" s="418">
        <f>O404*O409</f>
        <v>651576.06773000001</v>
      </c>
      <c r="P414" s="418">
        <f>P404*P409</f>
        <v>991908.6405199999</v>
      </c>
      <c r="Q414" s="418">
        <f>Q404*Q409</f>
        <v>1647247.8332799999</v>
      </c>
      <c r="R414" s="437">
        <f>SUM(F414:Q414)</f>
        <v>9868551.5840799995</v>
      </c>
    </row>
    <row r="415" spans="1:20" x14ac:dyDescent="0.2">
      <c r="B415" s="336" t="s">
        <v>986</v>
      </c>
      <c r="F415" s="339">
        <f t="shared" ref="F415:N415" si="102">F412+F413+F414</f>
        <v>2395213.5904000001</v>
      </c>
      <c r="G415" s="339">
        <f t="shared" si="102"/>
        <v>1901373.9827999999</v>
      </c>
      <c r="H415" s="339">
        <f t="shared" si="102"/>
        <v>1644108.3144</v>
      </c>
      <c r="I415" s="339">
        <f t="shared" si="102"/>
        <v>1191530.7796</v>
      </c>
      <c r="J415" s="339">
        <f t="shared" si="102"/>
        <v>818700.17519999994</v>
      </c>
      <c r="K415" s="339">
        <f t="shared" si="102"/>
        <v>616191.12800000003</v>
      </c>
      <c r="L415" s="339">
        <f t="shared" si="102"/>
        <v>523782.8996</v>
      </c>
      <c r="M415" s="339">
        <f t="shared" si="102"/>
        <v>517322.57999999996</v>
      </c>
      <c r="N415" s="339">
        <f t="shared" si="102"/>
        <v>583933.01839999994</v>
      </c>
      <c r="O415" s="339">
        <f>O412+O413+O414</f>
        <v>1017815.9812</v>
      </c>
      <c r="P415" s="339">
        <f>P412+P413+P414</f>
        <v>1508374.0688</v>
      </c>
      <c r="Q415" s="339">
        <f>Q412+Q413+Q414</f>
        <v>2453238.9632000001</v>
      </c>
      <c r="R415" s="339">
        <f>R412+R413+R414</f>
        <v>15171585.481600001</v>
      </c>
      <c r="S415" s="340"/>
    </row>
    <row r="416" spans="1:20" s="179" customFormat="1" x14ac:dyDescent="0.2">
      <c r="F416" s="437"/>
      <c r="G416" s="437"/>
      <c r="H416" s="437"/>
      <c r="I416" s="437"/>
      <c r="J416" s="437"/>
      <c r="K416" s="437"/>
      <c r="L416" s="437"/>
      <c r="M416" s="437"/>
      <c r="N416" s="437"/>
      <c r="O416" s="437"/>
      <c r="P416" s="437"/>
      <c r="Q416" s="437"/>
      <c r="R416" s="437"/>
      <c r="S416" s="195"/>
      <c r="T416" s="195"/>
    </row>
    <row r="417" spans="1:20" s="179" customFormat="1" x14ac:dyDescent="0.2">
      <c r="A417" s="336" t="s">
        <v>1058</v>
      </c>
      <c r="B417" s="336" t="s">
        <v>1050</v>
      </c>
      <c r="F417" s="437">
        <f>F405*F409</f>
        <v>1536824.89072</v>
      </c>
      <c r="G417" s="437">
        <f t="shared" ref="G417:Q417" si="103">G405*G409</f>
        <v>1209158.95954</v>
      </c>
      <c r="H417" s="437">
        <f t="shared" si="103"/>
        <v>1038717.04692</v>
      </c>
      <c r="I417" s="437">
        <f t="shared" si="103"/>
        <v>738607.12225999997</v>
      </c>
      <c r="J417" s="437">
        <f t="shared" si="103"/>
        <v>491124.23836000002</v>
      </c>
      <c r="K417" s="437">
        <f t="shared" si="103"/>
        <v>356379.72440000001</v>
      </c>
      <c r="L417" s="437">
        <f t="shared" si="103"/>
        <v>295500.63578000001</v>
      </c>
      <c r="M417" s="437">
        <f t="shared" si="103"/>
        <v>291427.549</v>
      </c>
      <c r="N417" s="437">
        <f t="shared" si="103"/>
        <v>335657.05012000003</v>
      </c>
      <c r="O417" s="437">
        <f t="shared" si="103"/>
        <v>623402.22265999997</v>
      </c>
      <c r="P417" s="437">
        <f t="shared" si="103"/>
        <v>949018.97383999999</v>
      </c>
      <c r="Q417" s="437">
        <f t="shared" si="103"/>
        <v>1576021.6057599999</v>
      </c>
      <c r="R417" s="437">
        <f>SUM(F417:Q417)</f>
        <v>9441840.0193600003</v>
      </c>
      <c r="S417" s="195"/>
      <c r="T417" s="195"/>
    </row>
    <row r="418" spans="1:20" s="179" customFormat="1" x14ac:dyDescent="0.2">
      <c r="F418" s="437"/>
      <c r="G418" s="437"/>
      <c r="H418" s="437"/>
      <c r="I418" s="437"/>
      <c r="J418" s="437"/>
      <c r="K418" s="437"/>
      <c r="L418" s="437"/>
      <c r="M418" s="437"/>
      <c r="N418" s="437"/>
      <c r="O418" s="437"/>
      <c r="P418" s="437"/>
      <c r="Q418" s="437"/>
      <c r="R418" s="437"/>
      <c r="S418" s="195"/>
      <c r="T418" s="195"/>
    </row>
    <row r="419" spans="1:20" x14ac:dyDescent="0.2">
      <c r="B419" s="182" t="s">
        <v>1101</v>
      </c>
      <c r="C419" s="182"/>
    </row>
    <row r="420" spans="1:20" x14ac:dyDescent="0.2">
      <c r="B420" s="182" t="s">
        <v>5</v>
      </c>
      <c r="C420" s="182"/>
    </row>
    <row r="421" spans="1:20" x14ac:dyDescent="0.2">
      <c r="B421" s="336" t="s">
        <v>1059</v>
      </c>
      <c r="D421" s="336">
        <v>41</v>
      </c>
      <c r="E421" s="336" t="s">
        <v>976</v>
      </c>
      <c r="F421" s="450">
        <f t="shared" ref="F421:N421" si="104">F93</f>
        <v>111.92</v>
      </c>
      <c r="G421" s="450">
        <f t="shared" si="104"/>
        <v>111.92</v>
      </c>
      <c r="H421" s="450">
        <f t="shared" si="104"/>
        <v>111.92</v>
      </c>
      <c r="I421" s="450">
        <f t="shared" si="104"/>
        <v>111.92</v>
      </c>
      <c r="J421" s="450">
        <f t="shared" si="104"/>
        <v>111.92</v>
      </c>
      <c r="K421" s="450">
        <f t="shared" si="104"/>
        <v>111.92</v>
      </c>
      <c r="L421" s="450">
        <f t="shared" si="104"/>
        <v>111.92</v>
      </c>
      <c r="M421" s="450">
        <f t="shared" si="104"/>
        <v>111.92</v>
      </c>
      <c r="N421" s="450">
        <f t="shared" si="104"/>
        <v>111.92</v>
      </c>
      <c r="O421" s="450">
        <f>O93</f>
        <v>111.92</v>
      </c>
      <c r="P421" s="450">
        <f>P93</f>
        <v>111.92</v>
      </c>
      <c r="Q421" s="450">
        <f>Q93</f>
        <v>111.92</v>
      </c>
      <c r="R421" s="435"/>
    </row>
    <row r="422" spans="1:20" x14ac:dyDescent="0.2">
      <c r="B422" s="336" t="s">
        <v>1047</v>
      </c>
      <c r="F422" s="448"/>
      <c r="G422" s="448"/>
      <c r="H422" s="448"/>
      <c r="I422" s="448"/>
      <c r="J422" s="448"/>
      <c r="K422" s="448"/>
      <c r="L422" s="448"/>
      <c r="M422" s="448"/>
      <c r="N422" s="448"/>
      <c r="O422" s="448"/>
      <c r="P422" s="448"/>
      <c r="Q422" s="448"/>
      <c r="R422" s="441"/>
    </row>
    <row r="423" spans="1:20" x14ac:dyDescent="0.2">
      <c r="C423" s="336" t="s">
        <v>1065</v>
      </c>
      <c r="D423" s="336">
        <v>41</v>
      </c>
      <c r="E423" s="336" t="s">
        <v>957</v>
      </c>
      <c r="F423" s="448">
        <f t="shared" ref="F423:Q425" si="105">F95</f>
        <v>0.14354</v>
      </c>
      <c r="G423" s="448">
        <f t="shared" si="105"/>
        <v>0.14354</v>
      </c>
      <c r="H423" s="448">
        <f t="shared" si="105"/>
        <v>0.14354</v>
      </c>
      <c r="I423" s="448">
        <f t="shared" si="105"/>
        <v>0.14354</v>
      </c>
      <c r="J423" s="448">
        <f t="shared" si="105"/>
        <v>0.14354</v>
      </c>
      <c r="K423" s="448">
        <f t="shared" si="105"/>
        <v>0.14354</v>
      </c>
      <c r="L423" s="448">
        <f t="shared" si="105"/>
        <v>0.14354</v>
      </c>
      <c r="M423" s="448">
        <f t="shared" si="105"/>
        <v>0.14354</v>
      </c>
      <c r="N423" s="448">
        <f t="shared" si="105"/>
        <v>0.14354</v>
      </c>
      <c r="O423" s="448">
        <f t="shared" si="105"/>
        <v>0.14354</v>
      </c>
      <c r="P423" s="448">
        <f t="shared" si="105"/>
        <v>0.14354</v>
      </c>
      <c r="Q423" s="448">
        <f t="shared" si="105"/>
        <v>0.14354</v>
      </c>
      <c r="R423" s="441"/>
    </row>
    <row r="424" spans="1:20" x14ac:dyDescent="0.2">
      <c r="C424" s="336" t="s">
        <v>1066</v>
      </c>
      <c r="D424" s="336">
        <v>41</v>
      </c>
      <c r="E424" s="336" t="s">
        <v>957</v>
      </c>
      <c r="F424" s="448">
        <f t="shared" si="105"/>
        <v>0.11713999999999999</v>
      </c>
      <c r="G424" s="448">
        <f t="shared" si="105"/>
        <v>0.11713999999999999</v>
      </c>
      <c r="H424" s="448">
        <f t="shared" si="105"/>
        <v>0.11713999999999999</v>
      </c>
      <c r="I424" s="448">
        <f t="shared" si="105"/>
        <v>0.11713999999999999</v>
      </c>
      <c r="J424" s="448">
        <f t="shared" si="105"/>
        <v>0.11713999999999999</v>
      </c>
      <c r="K424" s="448">
        <f t="shared" si="105"/>
        <v>0.11713999999999999</v>
      </c>
      <c r="L424" s="448">
        <f t="shared" si="105"/>
        <v>0.11713999999999999</v>
      </c>
      <c r="M424" s="448">
        <f t="shared" si="105"/>
        <v>0.11713999999999999</v>
      </c>
      <c r="N424" s="448">
        <f t="shared" si="105"/>
        <v>0.11713999999999999</v>
      </c>
      <c r="O424" s="448">
        <f t="shared" si="105"/>
        <v>0.11713999999999999</v>
      </c>
      <c r="P424" s="448">
        <f t="shared" si="105"/>
        <v>0.11713999999999999</v>
      </c>
      <c r="Q424" s="448">
        <f t="shared" si="105"/>
        <v>0.11713999999999999</v>
      </c>
      <c r="R424" s="441"/>
    </row>
    <row r="425" spans="1:20" x14ac:dyDescent="0.2">
      <c r="B425" s="415" t="s">
        <v>1067</v>
      </c>
      <c r="D425" s="336">
        <v>101</v>
      </c>
      <c r="E425" s="336" t="s">
        <v>957</v>
      </c>
      <c r="F425" s="459">
        <f t="shared" si="105"/>
        <v>0.62878000000000001</v>
      </c>
      <c r="G425" s="459">
        <f t="shared" si="105"/>
        <v>0.62878000000000001</v>
      </c>
      <c r="H425" s="459">
        <f t="shared" si="105"/>
        <v>0.62878000000000001</v>
      </c>
      <c r="I425" s="459">
        <f t="shared" si="105"/>
        <v>0.62878000000000001</v>
      </c>
      <c r="J425" s="459">
        <f t="shared" si="105"/>
        <v>0.62878000000000001</v>
      </c>
      <c r="K425" s="459">
        <f t="shared" si="105"/>
        <v>0.62878000000000001</v>
      </c>
      <c r="L425" s="459">
        <f t="shared" si="105"/>
        <v>0.62878000000000001</v>
      </c>
      <c r="M425" s="459">
        <f t="shared" si="105"/>
        <v>0.62878000000000001</v>
      </c>
      <c r="N425" s="459">
        <f t="shared" si="105"/>
        <v>0.62878000000000001</v>
      </c>
      <c r="O425" s="459">
        <f t="shared" si="105"/>
        <v>0.62878000000000001</v>
      </c>
      <c r="P425" s="459">
        <f t="shared" si="105"/>
        <v>0.62878000000000001</v>
      </c>
      <c r="Q425" s="459">
        <f t="shared" si="105"/>
        <v>0.62878000000000001</v>
      </c>
      <c r="R425" s="441"/>
    </row>
    <row r="426" spans="1:20" x14ac:dyDescent="0.2">
      <c r="B426" s="336" t="s">
        <v>1068</v>
      </c>
      <c r="F426" s="441"/>
      <c r="G426" s="441"/>
      <c r="H426" s="441"/>
      <c r="I426" s="441"/>
      <c r="J426" s="441"/>
      <c r="K426" s="441"/>
      <c r="L426" s="441"/>
      <c r="M426" s="441"/>
      <c r="N426" s="441"/>
      <c r="O426" s="441"/>
      <c r="P426" s="441"/>
      <c r="Q426" s="441"/>
      <c r="R426" s="441"/>
    </row>
    <row r="427" spans="1:20" x14ac:dyDescent="0.2">
      <c r="C427" s="336" t="s">
        <v>1069</v>
      </c>
      <c r="D427" s="336">
        <v>101</v>
      </c>
      <c r="E427" s="336" t="s">
        <v>957</v>
      </c>
      <c r="F427" s="460">
        <f t="shared" ref="F427:Q431" si="106">F99</f>
        <v>1.1399999999999999</v>
      </c>
      <c r="G427" s="460">
        <f t="shared" si="106"/>
        <v>1.1399999999999999</v>
      </c>
      <c r="H427" s="460">
        <f t="shared" si="106"/>
        <v>1.1399999999999999</v>
      </c>
      <c r="I427" s="460">
        <f t="shared" si="106"/>
        <v>1.1399999999999999</v>
      </c>
      <c r="J427" s="460">
        <f t="shared" si="106"/>
        <v>1.1399999999999999</v>
      </c>
      <c r="K427" s="460">
        <f t="shared" si="106"/>
        <v>1.1399999999999999</v>
      </c>
      <c r="L427" s="460">
        <f t="shared" si="106"/>
        <v>1.1399999999999999</v>
      </c>
      <c r="M427" s="460">
        <f t="shared" si="106"/>
        <v>1.1399999999999999</v>
      </c>
      <c r="N427" s="460">
        <f t="shared" si="106"/>
        <v>1.1399999999999999</v>
      </c>
      <c r="O427" s="460">
        <f t="shared" si="106"/>
        <v>1.1399999999999999</v>
      </c>
      <c r="P427" s="460">
        <f t="shared" si="106"/>
        <v>1.1399999999999999</v>
      </c>
      <c r="Q427" s="460">
        <f t="shared" si="106"/>
        <v>1.1399999999999999</v>
      </c>
      <c r="R427" s="441"/>
    </row>
    <row r="428" spans="1:20" x14ac:dyDescent="0.2">
      <c r="C428" s="336" t="s">
        <v>1070</v>
      </c>
      <c r="D428" s="336">
        <v>101</v>
      </c>
      <c r="E428" s="336" t="s">
        <v>957</v>
      </c>
      <c r="F428" s="460">
        <f t="shared" si="106"/>
        <v>1.05</v>
      </c>
      <c r="G428" s="460">
        <f t="shared" si="106"/>
        <v>1.05</v>
      </c>
      <c r="H428" s="460">
        <f t="shared" si="106"/>
        <v>1.05</v>
      </c>
      <c r="I428" s="460">
        <f t="shared" si="106"/>
        <v>1.05</v>
      </c>
      <c r="J428" s="460">
        <f t="shared" si="106"/>
        <v>1.05</v>
      </c>
      <c r="K428" s="460">
        <f t="shared" si="106"/>
        <v>1.05</v>
      </c>
      <c r="L428" s="460">
        <f t="shared" si="106"/>
        <v>1.05</v>
      </c>
      <c r="M428" s="460">
        <f t="shared" si="106"/>
        <v>1.05</v>
      </c>
      <c r="N428" s="460">
        <f t="shared" si="106"/>
        <v>1.05</v>
      </c>
      <c r="O428" s="460">
        <f t="shared" si="106"/>
        <v>1.05</v>
      </c>
      <c r="P428" s="460">
        <f t="shared" si="106"/>
        <v>1.05</v>
      </c>
      <c r="Q428" s="460">
        <f t="shared" si="106"/>
        <v>1.05</v>
      </c>
      <c r="R428" s="441"/>
    </row>
    <row r="429" spans="1:20" x14ac:dyDescent="0.2">
      <c r="B429" s="336" t="s">
        <v>1071</v>
      </c>
      <c r="D429" s="336">
        <v>41</v>
      </c>
      <c r="E429" s="336" t="s">
        <v>67</v>
      </c>
      <c r="F429" s="450">
        <f t="shared" si="106"/>
        <v>129.19</v>
      </c>
      <c r="G429" s="450">
        <f t="shared" si="106"/>
        <v>129.19</v>
      </c>
      <c r="H429" s="450">
        <f t="shared" si="106"/>
        <v>129.19</v>
      </c>
      <c r="I429" s="450">
        <f t="shared" si="106"/>
        <v>129.19</v>
      </c>
      <c r="J429" s="450">
        <f t="shared" si="106"/>
        <v>129.19</v>
      </c>
      <c r="K429" s="450">
        <f t="shared" si="106"/>
        <v>129.19</v>
      </c>
      <c r="L429" s="450">
        <f t="shared" si="106"/>
        <v>129.19</v>
      </c>
      <c r="M429" s="450">
        <f t="shared" si="106"/>
        <v>129.19</v>
      </c>
      <c r="N429" s="450">
        <f t="shared" si="106"/>
        <v>129.19</v>
      </c>
      <c r="O429" s="450">
        <f t="shared" si="106"/>
        <v>129.19</v>
      </c>
      <c r="P429" s="450">
        <f t="shared" si="106"/>
        <v>129.19</v>
      </c>
      <c r="Q429" s="450">
        <f t="shared" si="106"/>
        <v>129.19</v>
      </c>
      <c r="R429" s="441"/>
    </row>
    <row r="430" spans="1:20" x14ac:dyDescent="0.2">
      <c r="B430" s="336" t="s">
        <v>1050</v>
      </c>
      <c r="F430" s="450">
        <f>F102</f>
        <v>0.60158999999999996</v>
      </c>
      <c r="G430" s="450">
        <f t="shared" si="106"/>
        <v>0.60158999999999996</v>
      </c>
      <c r="H430" s="450">
        <f t="shared" si="106"/>
        <v>0.60158999999999996</v>
      </c>
      <c r="I430" s="450">
        <f t="shared" si="106"/>
        <v>0.60158999999999996</v>
      </c>
      <c r="J430" s="450">
        <f t="shared" si="106"/>
        <v>0.60158999999999996</v>
      </c>
      <c r="K430" s="450">
        <f t="shared" si="106"/>
        <v>0.60158999999999996</v>
      </c>
      <c r="L430" s="450">
        <f t="shared" si="106"/>
        <v>0.60158999999999996</v>
      </c>
      <c r="M430" s="450">
        <f t="shared" si="106"/>
        <v>0.60158999999999996</v>
      </c>
      <c r="N430" s="450">
        <f t="shared" si="106"/>
        <v>0.60158999999999996</v>
      </c>
      <c r="O430" s="450">
        <f t="shared" si="106"/>
        <v>0.60158999999999996</v>
      </c>
      <c r="P430" s="450">
        <f t="shared" si="106"/>
        <v>0.60158999999999996</v>
      </c>
      <c r="Q430" s="450">
        <f t="shared" si="106"/>
        <v>0.60158999999999996</v>
      </c>
      <c r="R430" s="441"/>
    </row>
    <row r="431" spans="1:20" x14ac:dyDescent="0.2">
      <c r="B431" s="336" t="s">
        <v>1072</v>
      </c>
      <c r="F431" s="670">
        <f>F103</f>
        <v>1</v>
      </c>
      <c r="G431" s="670">
        <f t="shared" si="106"/>
        <v>1</v>
      </c>
      <c r="H431" s="670">
        <f t="shared" si="106"/>
        <v>1</v>
      </c>
      <c r="I431" s="670">
        <f t="shared" si="106"/>
        <v>1</v>
      </c>
      <c r="J431" s="670">
        <f t="shared" si="106"/>
        <v>1</v>
      </c>
      <c r="K431" s="670">
        <f t="shared" si="106"/>
        <v>1</v>
      </c>
      <c r="L431" s="670">
        <f t="shared" si="106"/>
        <v>1</v>
      </c>
      <c r="M431" s="670">
        <f t="shared" si="106"/>
        <v>1</v>
      </c>
      <c r="N431" s="670">
        <f t="shared" si="106"/>
        <v>1</v>
      </c>
      <c r="O431" s="670">
        <f t="shared" si="106"/>
        <v>1</v>
      </c>
      <c r="P431" s="670">
        <f t="shared" si="106"/>
        <v>1</v>
      </c>
      <c r="Q431" s="670">
        <f t="shared" si="106"/>
        <v>1</v>
      </c>
      <c r="R431" s="441"/>
    </row>
    <row r="433" spans="1:18" x14ac:dyDescent="0.2">
      <c r="B433" s="182" t="s">
        <v>982</v>
      </c>
    </row>
    <row r="434" spans="1:18" x14ac:dyDescent="0.2">
      <c r="B434" s="336" t="s">
        <v>67</v>
      </c>
      <c r="E434" s="336" t="s">
        <v>67</v>
      </c>
      <c r="F434" s="421">
        <f>'JKP-3.1c - Data'!C142+'JKP-3.1c - 41 Min Migration Adj'!B39</f>
        <v>105</v>
      </c>
      <c r="G434" s="421">
        <f>'JKP-3.1c - Data'!D142+'JKP-3.1c - 41 Min Migration Adj'!C39</f>
        <v>106</v>
      </c>
      <c r="H434" s="421">
        <f>'JKP-3.1c - Data'!E142+'JKP-3.1c - 41 Min Migration Adj'!D39</f>
        <v>107</v>
      </c>
      <c r="I434" s="421">
        <f>'JKP-3.1c - Data'!F142+'JKP-3.1c - 41 Min Migration Adj'!E39</f>
        <v>107.00999999999999</v>
      </c>
      <c r="J434" s="421">
        <f>'JKP-3.1c - Data'!G142+'JKP-3.1c - 41 Min Migration Adj'!F39</f>
        <v>108</v>
      </c>
      <c r="K434" s="421">
        <f>'JKP-3.1c - Data'!H142+'JKP-3.1c - 41 Min Migration Adj'!G39</f>
        <v>109</v>
      </c>
      <c r="L434" s="421">
        <f>'JKP-3.1c - Data'!I142+'JKP-3.1c - 41 Min Migration Adj'!H39</f>
        <v>108</v>
      </c>
      <c r="M434" s="421">
        <f>'JKP-3.1c - Data'!J142+'JKP-3.1c - 41 Min Migration Adj'!I39</f>
        <v>106</v>
      </c>
      <c r="N434" s="421">
        <f>'JKP-3.1c - Data'!K142+'JKP-3.1c - 41 Min Migration Adj'!J39</f>
        <v>109</v>
      </c>
      <c r="O434" s="421">
        <f>'JKP-3.1c - Data'!L142+'JKP-3.1c - 41 Min Migration Adj'!K39</f>
        <v>107</v>
      </c>
      <c r="P434" s="421">
        <f>'JKP-3.1c - Data'!M142+'JKP-3.1c - 41 Min Migration Adj'!L39</f>
        <v>106</v>
      </c>
      <c r="Q434" s="421">
        <f>'JKP-3.1c - Data'!N142+'JKP-3.1c - 41 Min Migration Adj'!M39</f>
        <v>105</v>
      </c>
      <c r="R434" s="378">
        <f>SUM(F434:Q434)</f>
        <v>1283.01</v>
      </c>
    </row>
    <row r="435" spans="1:18" x14ac:dyDescent="0.2">
      <c r="B435" s="336" t="s">
        <v>76</v>
      </c>
      <c r="F435" s="380"/>
      <c r="G435" s="380"/>
      <c r="H435" s="380"/>
      <c r="I435" s="380"/>
      <c r="J435" s="380"/>
      <c r="K435" s="380"/>
      <c r="L435" s="380"/>
      <c r="M435" s="380"/>
      <c r="N435" s="380"/>
      <c r="O435" s="380"/>
      <c r="P435" s="380"/>
      <c r="Q435" s="380"/>
      <c r="R435" s="378"/>
    </row>
    <row r="436" spans="1:18" x14ac:dyDescent="0.2">
      <c r="C436" s="336" t="s">
        <v>1073</v>
      </c>
      <c r="E436" s="336" t="s">
        <v>10</v>
      </c>
      <c r="F436" s="421">
        <f>'JKP-3.1c - Rev Rates GTI10'!F436+'JKP-3.1c - 41 Min Migration Adj'!B30</f>
        <v>92334</v>
      </c>
      <c r="G436" s="421">
        <f>'JKP-3.1c - Rev Rates GTI10'!G436+'JKP-3.1c - 41 Min Migration Adj'!C30</f>
        <v>94615</v>
      </c>
      <c r="H436" s="421">
        <f>'JKP-3.1c - Rev Rates GTI10'!H436+'JKP-3.1c - 41 Min Migration Adj'!D30</f>
        <v>96190</v>
      </c>
      <c r="I436" s="421">
        <f>'JKP-3.1c - Rev Rates GTI10'!I436+'JKP-3.1c - 41 Min Migration Adj'!E30</f>
        <v>94206</v>
      </c>
      <c r="J436" s="421">
        <f>'JKP-3.1c - Rev Rates GTI10'!J436+'JKP-3.1c - 41 Min Migration Adj'!F30</f>
        <v>95266</v>
      </c>
      <c r="K436" s="421">
        <f>'JKP-3.1c - Rev Rates GTI10'!K436+'JKP-3.1c - 41 Min Migration Adj'!G30</f>
        <v>95860</v>
      </c>
      <c r="L436" s="421">
        <f>'JKP-3.1c - Rev Rates GTI10'!L436+'JKP-3.1c - 41 Min Migration Adj'!H30</f>
        <v>93739</v>
      </c>
      <c r="M436" s="421">
        <f>'JKP-3.1c - Rev Rates GTI10'!M436+'JKP-3.1c - 41 Min Migration Adj'!I30</f>
        <v>93581</v>
      </c>
      <c r="N436" s="421">
        <f>'JKP-3.1c - Rev Rates GTI10'!N436+'JKP-3.1c - 41 Min Migration Adj'!J30</f>
        <v>93527</v>
      </c>
      <c r="O436" s="421">
        <f>'JKP-3.1c - Rev Rates GTI10'!O436+'JKP-3.1c - 41 Min Migration Adj'!K30</f>
        <v>93443</v>
      </c>
      <c r="P436" s="421">
        <f>'JKP-3.1c - Rev Rates GTI10'!P436+'JKP-3.1c - 41 Min Migration Adj'!L30</f>
        <v>92658</v>
      </c>
      <c r="Q436" s="421">
        <f>'JKP-3.1c - Rev Rates GTI10'!Q436+'JKP-3.1c - 41 Min Migration Adj'!M30</f>
        <v>90420</v>
      </c>
      <c r="R436" s="378">
        <f>SUM(F436:Q436)</f>
        <v>1125839</v>
      </c>
    </row>
    <row r="437" spans="1:18" x14ac:dyDescent="0.2">
      <c r="C437" s="336" t="s">
        <v>1074</v>
      </c>
      <c r="E437" s="336" t="s">
        <v>10</v>
      </c>
      <c r="F437" s="421">
        <f>'JKP-3.1c - Rev Rates GTI10'!F437+'JKP-3.1c - 41 Min Migration Adj'!B31</f>
        <v>351616</v>
      </c>
      <c r="G437" s="421">
        <f>'JKP-3.1c - Rev Rates GTI10'!G437+'JKP-3.1c - 41 Min Migration Adj'!C31</f>
        <v>345413</v>
      </c>
      <c r="H437" s="421">
        <f>'JKP-3.1c - Rev Rates GTI10'!H437+'JKP-3.1c - 41 Min Migration Adj'!D31</f>
        <v>366872</v>
      </c>
      <c r="I437" s="421">
        <f>'JKP-3.1c - Rev Rates GTI10'!I437+'JKP-3.1c - 41 Min Migration Adj'!E31</f>
        <v>353055</v>
      </c>
      <c r="J437" s="421">
        <f>'JKP-3.1c - Rev Rates GTI10'!J437+'JKP-3.1c - 41 Min Migration Adj'!F31</f>
        <v>348746</v>
      </c>
      <c r="K437" s="421">
        <f>'JKP-3.1c - Rev Rates GTI10'!K437+'JKP-3.1c - 41 Min Migration Adj'!G31</f>
        <v>334634</v>
      </c>
      <c r="L437" s="421">
        <f>'JKP-3.1c - Rev Rates GTI10'!L437+'JKP-3.1c - 41 Min Migration Adj'!H31</f>
        <v>327120</v>
      </c>
      <c r="M437" s="421">
        <f>'JKP-3.1c - Rev Rates GTI10'!M437+'JKP-3.1c - 41 Min Migration Adj'!I31</f>
        <v>325670</v>
      </c>
      <c r="N437" s="421">
        <f>'JKP-3.1c - Rev Rates GTI10'!N437+'JKP-3.1c - 41 Min Migration Adj'!J31</f>
        <v>325112</v>
      </c>
      <c r="O437" s="421">
        <f>'JKP-3.1c - Rev Rates GTI10'!O437+'JKP-3.1c - 41 Min Migration Adj'!K31</f>
        <v>348924</v>
      </c>
      <c r="P437" s="421">
        <f>'JKP-3.1c - Rev Rates GTI10'!P437+'JKP-3.1c - 41 Min Migration Adj'!L31</f>
        <v>352592</v>
      </c>
      <c r="Q437" s="421">
        <f>'JKP-3.1c - Rev Rates GTI10'!Q437+'JKP-3.1c - 41 Min Migration Adj'!M31</f>
        <v>349234</v>
      </c>
      <c r="R437" s="378">
        <f>SUM(F437:Q437)</f>
        <v>4128988</v>
      </c>
    </row>
    <row r="438" spans="1:18" x14ac:dyDescent="0.2">
      <c r="C438" s="336" t="s">
        <v>1066</v>
      </c>
      <c r="E438" s="336" t="s">
        <v>10</v>
      </c>
      <c r="F438" s="378">
        <f t="shared" ref="F438:N438" si="107">F439-F437-F436</f>
        <v>928343</v>
      </c>
      <c r="G438" s="378">
        <f t="shared" si="107"/>
        <v>816428</v>
      </c>
      <c r="H438" s="378">
        <f t="shared" si="107"/>
        <v>941982</v>
      </c>
      <c r="I438" s="378">
        <f t="shared" si="107"/>
        <v>888659</v>
      </c>
      <c r="J438" s="378">
        <f t="shared" si="107"/>
        <v>858168</v>
      </c>
      <c r="K438" s="378">
        <f t="shared" si="107"/>
        <v>743658</v>
      </c>
      <c r="L438" s="378">
        <f t="shared" si="107"/>
        <v>743455</v>
      </c>
      <c r="M438" s="378">
        <f t="shared" si="107"/>
        <v>795102</v>
      </c>
      <c r="N438" s="378">
        <f t="shared" si="107"/>
        <v>775192</v>
      </c>
      <c r="O438" s="378">
        <f>O439-O437-O436</f>
        <v>908112</v>
      </c>
      <c r="P438" s="378">
        <f>P439-P437-P436</f>
        <v>913455</v>
      </c>
      <c r="Q438" s="378">
        <f>Q439-Q437-Q436</f>
        <v>970003</v>
      </c>
      <c r="R438" s="378">
        <f>SUM(F438:Q438)</f>
        <v>10282557</v>
      </c>
    </row>
    <row r="439" spans="1:18" x14ac:dyDescent="0.2">
      <c r="C439" s="336" t="s">
        <v>1075</v>
      </c>
      <c r="E439" s="336" t="s">
        <v>10</v>
      </c>
      <c r="F439" s="445">
        <f>'JKP-3.1c - Weather Adj'!D159</f>
        <v>1372293</v>
      </c>
      <c r="G439" s="445">
        <f>'JKP-3.1c - Weather Adj'!E159</f>
        <v>1256456</v>
      </c>
      <c r="H439" s="445">
        <f>'JKP-3.1c - Weather Adj'!F159</f>
        <v>1405044</v>
      </c>
      <c r="I439" s="445">
        <f>'JKP-3.1c - Weather Adj'!G159</f>
        <v>1335920</v>
      </c>
      <c r="J439" s="445">
        <f>'JKP-3.1c - Weather Adj'!H159</f>
        <v>1302180</v>
      </c>
      <c r="K439" s="445">
        <f>'JKP-3.1c - Weather Adj'!I159</f>
        <v>1174152</v>
      </c>
      <c r="L439" s="445">
        <f>'JKP-3.1c - Weather Adj'!J159</f>
        <v>1164314</v>
      </c>
      <c r="M439" s="445">
        <f>'JKP-3.1c - Weather Adj'!K159</f>
        <v>1214353</v>
      </c>
      <c r="N439" s="445">
        <f>'JKP-3.1c - Weather Adj'!L159</f>
        <v>1193831</v>
      </c>
      <c r="O439" s="445">
        <f>'JKP-3.1c - Weather Adj'!M159</f>
        <v>1350479</v>
      </c>
      <c r="P439" s="445">
        <f>'JKP-3.1c - Weather Adj'!N159</f>
        <v>1358705</v>
      </c>
      <c r="Q439" s="445">
        <f>'JKP-3.1c - Weather Adj'!O159</f>
        <v>1409657</v>
      </c>
      <c r="R439" s="436">
        <f>SUM(R436:R438)</f>
        <v>15537384</v>
      </c>
    </row>
    <row r="440" spans="1:18" x14ac:dyDescent="0.2">
      <c r="B440" s="336" t="s">
        <v>74</v>
      </c>
      <c r="E440" s="336" t="s">
        <v>1076</v>
      </c>
      <c r="F440" s="421">
        <f>'JKP-3.1c - Data'!C163+'JKP-3.1c - 41 Min Migration Adj'!B47</f>
        <v>56060.51</v>
      </c>
      <c r="G440" s="421">
        <f>'JKP-3.1c - Data'!D163+'JKP-3.1c - 41 Min Migration Adj'!C47</f>
        <v>56446.51</v>
      </c>
      <c r="H440" s="421">
        <f>'JKP-3.1c - Data'!E163+'JKP-3.1c - 41 Min Migration Adj'!D47</f>
        <v>57486.51</v>
      </c>
      <c r="I440" s="421">
        <f>'JKP-3.1c - Data'!F163+'JKP-3.1c - 41 Min Migration Adj'!E47</f>
        <v>57097.52</v>
      </c>
      <c r="J440" s="421">
        <f>'JKP-3.1c - Data'!G163+'JKP-3.1c - 41 Min Migration Adj'!F47</f>
        <v>57410.499999999993</v>
      </c>
      <c r="K440" s="421">
        <f>'JKP-3.1c - Data'!H163+'JKP-3.1c - 41 Min Migration Adj'!G47</f>
        <v>57858.51</v>
      </c>
      <c r="L440" s="421">
        <f>'JKP-3.1c - Data'!I163+'JKP-3.1c - 41 Min Migration Adj'!H47</f>
        <v>57487</v>
      </c>
      <c r="M440" s="421">
        <f>'JKP-3.1c - Data'!J163+'JKP-3.1c - 41 Min Migration Adj'!I47</f>
        <v>57055</v>
      </c>
      <c r="N440" s="421">
        <f>'JKP-3.1c - Data'!K163+'JKP-3.1c - 41 Min Migration Adj'!J47</f>
        <v>57545</v>
      </c>
      <c r="O440" s="421">
        <f>'JKP-3.1c - Data'!L163+'JKP-3.1c - 41 Min Migration Adj'!K47</f>
        <v>57391</v>
      </c>
      <c r="P440" s="421">
        <f>'JKP-3.1c - Data'!M163+'JKP-3.1c - 41 Min Migration Adj'!L47</f>
        <v>57337</v>
      </c>
      <c r="Q440" s="421">
        <f>'JKP-3.1c - Data'!N163+'JKP-3.1c - 41 Min Migration Adj'!M47</f>
        <v>57337</v>
      </c>
      <c r="R440" s="378">
        <f>SUM(F440:Q440)</f>
        <v>686512.06</v>
      </c>
    </row>
    <row r="441" spans="1:18" x14ac:dyDescent="0.2">
      <c r="B441" s="336" t="s">
        <v>1071</v>
      </c>
      <c r="E441" s="336" t="s">
        <v>67</v>
      </c>
      <c r="F441" s="378">
        <f t="shared" ref="F441:N441" si="108">F434</f>
        <v>105</v>
      </c>
      <c r="G441" s="378">
        <f t="shared" si="108"/>
        <v>106</v>
      </c>
      <c r="H441" s="378">
        <f t="shared" si="108"/>
        <v>107</v>
      </c>
      <c r="I441" s="378">
        <f t="shared" si="108"/>
        <v>107.00999999999999</v>
      </c>
      <c r="J441" s="378">
        <f t="shared" si="108"/>
        <v>108</v>
      </c>
      <c r="K441" s="378">
        <f t="shared" si="108"/>
        <v>109</v>
      </c>
      <c r="L441" s="378">
        <f t="shared" si="108"/>
        <v>108</v>
      </c>
      <c r="M441" s="378">
        <f t="shared" si="108"/>
        <v>106</v>
      </c>
      <c r="N441" s="378">
        <f t="shared" si="108"/>
        <v>109</v>
      </c>
      <c r="O441" s="378">
        <f>O434</f>
        <v>107</v>
      </c>
      <c r="P441" s="378">
        <f>P434</f>
        <v>106</v>
      </c>
      <c r="Q441" s="378">
        <f>Q434</f>
        <v>105</v>
      </c>
      <c r="R441" s="378">
        <f>R434</f>
        <v>1283.01</v>
      </c>
    </row>
    <row r="442" spans="1:18" x14ac:dyDescent="0.2">
      <c r="F442" s="362"/>
      <c r="G442" s="362"/>
      <c r="H442" s="362"/>
      <c r="I442" s="362"/>
      <c r="J442" s="362"/>
      <c r="K442" s="362"/>
      <c r="L442" s="362"/>
      <c r="M442" s="362"/>
      <c r="N442" s="362"/>
      <c r="O442" s="362"/>
      <c r="P442" s="362"/>
      <c r="Q442" s="362"/>
      <c r="R442" s="362"/>
    </row>
    <row r="443" spans="1:18" x14ac:dyDescent="0.2">
      <c r="B443" s="182" t="s">
        <v>985</v>
      </c>
      <c r="R443" s="179"/>
    </row>
    <row r="444" spans="1:18" x14ac:dyDescent="0.2">
      <c r="A444" s="336" t="s">
        <v>1054</v>
      </c>
      <c r="B444" s="336" t="s">
        <v>1059</v>
      </c>
      <c r="D444" s="336">
        <v>41</v>
      </c>
      <c r="F444" s="418">
        <f t="shared" ref="F444:N444" si="109">F421*F434</f>
        <v>11751.6</v>
      </c>
      <c r="G444" s="418">
        <f t="shared" si="109"/>
        <v>11863.52</v>
      </c>
      <c r="H444" s="418">
        <f t="shared" si="109"/>
        <v>11975.44</v>
      </c>
      <c r="I444" s="418">
        <f t="shared" si="109"/>
        <v>11976.5592</v>
      </c>
      <c r="J444" s="418">
        <f t="shared" si="109"/>
        <v>12087.36</v>
      </c>
      <c r="K444" s="418">
        <f t="shared" si="109"/>
        <v>12199.28</v>
      </c>
      <c r="L444" s="418">
        <f t="shared" si="109"/>
        <v>12087.36</v>
      </c>
      <c r="M444" s="418">
        <f t="shared" si="109"/>
        <v>11863.52</v>
      </c>
      <c r="N444" s="418">
        <f t="shared" si="109"/>
        <v>12199.28</v>
      </c>
      <c r="O444" s="418">
        <f>O421*O434</f>
        <v>11975.44</v>
      </c>
      <c r="P444" s="418">
        <f>P421*P434</f>
        <v>11863.52</v>
      </c>
      <c r="Q444" s="418">
        <f>Q421*Q434</f>
        <v>11751.6</v>
      </c>
      <c r="R444" s="437">
        <f>SUM(F444:Q444)</f>
        <v>143594.4792</v>
      </c>
    </row>
    <row r="445" spans="1:18" x14ac:dyDescent="0.2">
      <c r="B445" s="336" t="s">
        <v>1047</v>
      </c>
      <c r="F445" s="418"/>
      <c r="G445" s="418"/>
      <c r="H445" s="418"/>
      <c r="I445" s="418"/>
      <c r="J445" s="418"/>
      <c r="K445" s="418"/>
      <c r="L445" s="418"/>
      <c r="M445" s="418"/>
      <c r="N445" s="418"/>
      <c r="O445" s="418"/>
      <c r="P445" s="418"/>
      <c r="Q445" s="418"/>
      <c r="R445" s="437"/>
    </row>
    <row r="446" spans="1:18" x14ac:dyDescent="0.2">
      <c r="C446" s="336" t="s">
        <v>1073</v>
      </c>
      <c r="F446" s="337">
        <v>0</v>
      </c>
      <c r="G446" s="418">
        <f t="shared" ref="G446:N446" si="110">F446</f>
        <v>0</v>
      </c>
      <c r="H446" s="418">
        <f t="shared" si="110"/>
        <v>0</v>
      </c>
      <c r="I446" s="418">
        <f t="shared" si="110"/>
        <v>0</v>
      </c>
      <c r="J446" s="418">
        <f t="shared" si="110"/>
        <v>0</v>
      </c>
      <c r="K446" s="418">
        <f t="shared" si="110"/>
        <v>0</v>
      </c>
      <c r="L446" s="418">
        <f t="shared" si="110"/>
        <v>0</v>
      </c>
      <c r="M446" s="418">
        <f t="shared" si="110"/>
        <v>0</v>
      </c>
      <c r="N446" s="418">
        <f t="shared" si="110"/>
        <v>0</v>
      </c>
      <c r="O446" s="418">
        <f>N446</f>
        <v>0</v>
      </c>
      <c r="P446" s="418">
        <f>O446</f>
        <v>0</v>
      </c>
      <c r="Q446" s="418">
        <f>P446</f>
        <v>0</v>
      </c>
      <c r="R446" s="437"/>
    </row>
    <row r="447" spans="1:18" x14ac:dyDescent="0.2">
      <c r="C447" s="336" t="s">
        <v>1074</v>
      </c>
      <c r="D447" s="336">
        <v>41</v>
      </c>
      <c r="F447" s="418">
        <f t="shared" ref="F447:Q448" si="111">F423*F437</f>
        <v>50470.960639999998</v>
      </c>
      <c r="G447" s="418">
        <f t="shared" si="111"/>
        <v>49580.582020000002</v>
      </c>
      <c r="H447" s="418">
        <f t="shared" si="111"/>
        <v>52660.806880000004</v>
      </c>
      <c r="I447" s="418">
        <f t="shared" si="111"/>
        <v>50677.5147</v>
      </c>
      <c r="J447" s="418">
        <f t="shared" si="111"/>
        <v>50059.000840000001</v>
      </c>
      <c r="K447" s="418">
        <f t="shared" si="111"/>
        <v>48033.36436</v>
      </c>
      <c r="L447" s="418">
        <f t="shared" si="111"/>
        <v>46954.804799999998</v>
      </c>
      <c r="M447" s="418">
        <f t="shared" si="111"/>
        <v>46746.671800000004</v>
      </c>
      <c r="N447" s="418">
        <f t="shared" si="111"/>
        <v>46666.576480000003</v>
      </c>
      <c r="O447" s="418">
        <f t="shared" si="111"/>
        <v>50084.55096</v>
      </c>
      <c r="P447" s="418">
        <f t="shared" si="111"/>
        <v>50611.055679999998</v>
      </c>
      <c r="Q447" s="418">
        <f t="shared" si="111"/>
        <v>50129.048360000001</v>
      </c>
      <c r="R447" s="437">
        <f>SUM(F447:Q447)</f>
        <v>592674.93752000004</v>
      </c>
    </row>
    <row r="448" spans="1:18" x14ac:dyDescent="0.2">
      <c r="C448" s="336" t="s">
        <v>1066</v>
      </c>
      <c r="D448" s="336">
        <v>41</v>
      </c>
      <c r="F448" s="418">
        <f t="shared" si="111"/>
        <v>108746.09901999999</v>
      </c>
      <c r="G448" s="418">
        <f t="shared" si="111"/>
        <v>95636.375919999991</v>
      </c>
      <c r="H448" s="418">
        <f t="shared" si="111"/>
        <v>110343.77148</v>
      </c>
      <c r="I448" s="418">
        <f t="shared" si="111"/>
        <v>104097.51526</v>
      </c>
      <c r="J448" s="418">
        <f t="shared" si="111"/>
        <v>100525.79952</v>
      </c>
      <c r="K448" s="418">
        <f t="shared" si="111"/>
        <v>87112.098119999995</v>
      </c>
      <c r="L448" s="418">
        <f t="shared" si="111"/>
        <v>87088.318699999989</v>
      </c>
      <c r="M448" s="418">
        <f t="shared" si="111"/>
        <v>93138.24828</v>
      </c>
      <c r="N448" s="418">
        <f t="shared" si="111"/>
        <v>90805.990879999998</v>
      </c>
      <c r="O448" s="418">
        <f t="shared" si="111"/>
        <v>106376.23968</v>
      </c>
      <c r="P448" s="418">
        <f t="shared" si="111"/>
        <v>107002.11869999999</v>
      </c>
      <c r="Q448" s="418">
        <f t="shared" si="111"/>
        <v>113626.15141999999</v>
      </c>
      <c r="R448" s="437">
        <f>SUM(F448:Q448)</f>
        <v>1204498.7269799998</v>
      </c>
    </row>
    <row r="449" spans="1:20" x14ac:dyDescent="0.2">
      <c r="A449" s="336" t="s">
        <v>1054</v>
      </c>
      <c r="C449" s="336" t="s">
        <v>1077</v>
      </c>
      <c r="F449" s="339">
        <f t="shared" ref="F449:N449" si="112">SUM(F446:F448)</f>
        <v>159217.05966</v>
      </c>
      <c r="G449" s="339">
        <f t="shared" si="112"/>
        <v>145216.95793999999</v>
      </c>
      <c r="H449" s="339">
        <f t="shared" si="112"/>
        <v>163004.57835999998</v>
      </c>
      <c r="I449" s="339">
        <f t="shared" si="112"/>
        <v>154775.02996000001</v>
      </c>
      <c r="J449" s="339">
        <f t="shared" si="112"/>
        <v>150584.80035999999</v>
      </c>
      <c r="K449" s="339">
        <f t="shared" si="112"/>
        <v>135145.46247999999</v>
      </c>
      <c r="L449" s="339">
        <f t="shared" si="112"/>
        <v>134043.12349999999</v>
      </c>
      <c r="M449" s="339">
        <f t="shared" si="112"/>
        <v>139884.92008000001</v>
      </c>
      <c r="N449" s="339">
        <f t="shared" si="112"/>
        <v>137472.56735999999</v>
      </c>
      <c r="O449" s="339">
        <f>SUM(O446:O448)</f>
        <v>156460.79063999999</v>
      </c>
      <c r="P449" s="339">
        <f>SUM(P446:P448)</f>
        <v>157613.17437999998</v>
      </c>
      <c r="Q449" s="339">
        <f>SUM(Q446:Q448)</f>
        <v>163755.19978</v>
      </c>
      <c r="R449" s="339">
        <f>SUM(R446:R448)</f>
        <v>1797173.6645</v>
      </c>
    </row>
    <row r="450" spans="1:20" x14ac:dyDescent="0.2">
      <c r="A450" s="336" t="s">
        <v>1056</v>
      </c>
      <c r="B450" s="415" t="s">
        <v>1057</v>
      </c>
      <c r="D450" s="336">
        <v>101</v>
      </c>
      <c r="F450" s="418">
        <f t="shared" ref="F450:N450" si="113">F425*F439</f>
        <v>862870.39254000003</v>
      </c>
      <c r="G450" s="418">
        <f t="shared" si="113"/>
        <v>790034.40367999999</v>
      </c>
      <c r="H450" s="418">
        <f t="shared" si="113"/>
        <v>883463.56631999998</v>
      </c>
      <c r="I450" s="418">
        <f t="shared" si="113"/>
        <v>839999.77760000003</v>
      </c>
      <c r="J450" s="418">
        <f t="shared" si="113"/>
        <v>818784.74040000001</v>
      </c>
      <c r="K450" s="418">
        <f t="shared" si="113"/>
        <v>738283.29455999995</v>
      </c>
      <c r="L450" s="418">
        <f t="shared" si="113"/>
        <v>732097.35692000005</v>
      </c>
      <c r="M450" s="418">
        <f t="shared" si="113"/>
        <v>763560.87933999998</v>
      </c>
      <c r="N450" s="418">
        <f t="shared" si="113"/>
        <v>750657.05617999996</v>
      </c>
      <c r="O450" s="418">
        <f>O425*O439</f>
        <v>849154.18562</v>
      </c>
      <c r="P450" s="418">
        <f>P425*P439</f>
        <v>854326.52989999996</v>
      </c>
      <c r="Q450" s="418">
        <f>Q425*Q439</f>
        <v>886364.12846000004</v>
      </c>
      <c r="R450" s="437">
        <f>SUM(F450:Q450)</f>
        <v>9769596.3115200009</v>
      </c>
    </row>
    <row r="451" spans="1:20" x14ac:dyDescent="0.2">
      <c r="B451" s="336" t="s">
        <v>1068</v>
      </c>
      <c r="F451" s="418"/>
      <c r="G451" s="418"/>
      <c r="H451" s="418"/>
      <c r="I451" s="418"/>
      <c r="J451" s="418"/>
      <c r="K451" s="418"/>
      <c r="L451" s="418"/>
      <c r="M451" s="418"/>
      <c r="N451" s="418"/>
      <c r="O451" s="418"/>
      <c r="P451" s="418"/>
      <c r="Q451" s="418"/>
      <c r="R451" s="437"/>
    </row>
    <row r="452" spans="1:20" x14ac:dyDescent="0.2">
      <c r="A452" s="336" t="s">
        <v>1054</v>
      </c>
      <c r="C452" s="336" t="s">
        <v>1069</v>
      </c>
      <c r="D452" s="336">
        <v>41</v>
      </c>
      <c r="F452" s="418">
        <f t="shared" ref="F452:N452" si="114">F427*F440</f>
        <v>63908.981399999997</v>
      </c>
      <c r="G452" s="418">
        <f t="shared" si="114"/>
        <v>64349.021399999998</v>
      </c>
      <c r="H452" s="418">
        <f t="shared" si="114"/>
        <v>65534.621399999996</v>
      </c>
      <c r="I452" s="418">
        <f t="shared" si="114"/>
        <v>65091.172799999993</v>
      </c>
      <c r="J452" s="418">
        <f t="shared" si="114"/>
        <v>65447.969999999987</v>
      </c>
      <c r="K452" s="418">
        <f t="shared" si="114"/>
        <v>65958.701399999991</v>
      </c>
      <c r="L452" s="418">
        <f t="shared" si="114"/>
        <v>65535.179999999993</v>
      </c>
      <c r="M452" s="418">
        <f t="shared" si="114"/>
        <v>65042.7</v>
      </c>
      <c r="N452" s="418">
        <f t="shared" si="114"/>
        <v>65601.299999999988</v>
      </c>
      <c r="O452" s="418">
        <f>O427*O440</f>
        <v>65425.74</v>
      </c>
      <c r="P452" s="418">
        <f>P427*P440</f>
        <v>65364.179999999993</v>
      </c>
      <c r="Q452" s="418">
        <f>Q427*Q440</f>
        <v>65364.179999999993</v>
      </c>
      <c r="R452" s="437">
        <f>SUM(F452:Q452)</f>
        <v>782623.74839999992</v>
      </c>
    </row>
    <row r="453" spans="1:20" x14ac:dyDescent="0.2">
      <c r="A453" s="336" t="s">
        <v>1056</v>
      </c>
      <c r="C453" s="336" t="s">
        <v>1070</v>
      </c>
      <c r="D453" s="336">
        <v>101</v>
      </c>
      <c r="F453" s="418">
        <f t="shared" ref="F453:N453" si="115">F428*F440</f>
        <v>58863.535500000005</v>
      </c>
      <c r="G453" s="418">
        <f t="shared" si="115"/>
        <v>59268.835500000001</v>
      </c>
      <c r="H453" s="418">
        <f t="shared" si="115"/>
        <v>60360.835500000008</v>
      </c>
      <c r="I453" s="418">
        <f t="shared" si="115"/>
        <v>59952.396000000001</v>
      </c>
      <c r="J453" s="418">
        <f t="shared" si="115"/>
        <v>60281.024999999994</v>
      </c>
      <c r="K453" s="418">
        <f t="shared" si="115"/>
        <v>60751.435500000007</v>
      </c>
      <c r="L453" s="418">
        <f t="shared" si="115"/>
        <v>60361.350000000006</v>
      </c>
      <c r="M453" s="418">
        <f t="shared" si="115"/>
        <v>59907.75</v>
      </c>
      <c r="N453" s="418">
        <f t="shared" si="115"/>
        <v>60422.25</v>
      </c>
      <c r="O453" s="418">
        <f>O428*O440</f>
        <v>60260.55</v>
      </c>
      <c r="P453" s="418">
        <f>P428*P440</f>
        <v>60203.850000000006</v>
      </c>
      <c r="Q453" s="418">
        <f>Q428*Q440</f>
        <v>60203.850000000006</v>
      </c>
      <c r="R453" s="437">
        <f>SUM(F453:Q453)</f>
        <v>720837.66300000006</v>
      </c>
    </row>
    <row r="454" spans="1:20" x14ac:dyDescent="0.2">
      <c r="C454" s="336" t="s">
        <v>1078</v>
      </c>
      <c r="F454" s="339">
        <f t="shared" ref="F454:N454" si="116">SUM(F452:F453)</f>
        <v>122772.5169</v>
      </c>
      <c r="G454" s="339">
        <f t="shared" si="116"/>
        <v>123617.8569</v>
      </c>
      <c r="H454" s="339">
        <f t="shared" si="116"/>
        <v>125895.4569</v>
      </c>
      <c r="I454" s="339">
        <f t="shared" si="116"/>
        <v>125043.56879999999</v>
      </c>
      <c r="J454" s="339">
        <f t="shared" si="116"/>
        <v>125728.99499999998</v>
      </c>
      <c r="K454" s="339">
        <f t="shared" si="116"/>
        <v>126710.1369</v>
      </c>
      <c r="L454" s="339">
        <f t="shared" si="116"/>
        <v>125896.53</v>
      </c>
      <c r="M454" s="339">
        <f t="shared" si="116"/>
        <v>124950.45</v>
      </c>
      <c r="N454" s="339">
        <f t="shared" si="116"/>
        <v>126023.54999999999</v>
      </c>
      <c r="O454" s="339">
        <f>SUM(O452:O453)</f>
        <v>125686.29000000001</v>
      </c>
      <c r="P454" s="339">
        <f>SUM(P452:P453)</f>
        <v>125568.03</v>
      </c>
      <c r="Q454" s="339">
        <f>SUM(Q452:Q453)</f>
        <v>125568.03</v>
      </c>
      <c r="R454" s="339">
        <f>SUM(R452:R453)</f>
        <v>1503461.4114000001</v>
      </c>
    </row>
    <row r="455" spans="1:20" x14ac:dyDescent="0.2">
      <c r="A455" s="336" t="s">
        <v>1054</v>
      </c>
      <c r="B455" s="336" t="s">
        <v>1071</v>
      </c>
      <c r="D455" s="336">
        <v>41</v>
      </c>
      <c r="F455" s="418">
        <f t="shared" ref="F455:N455" si="117">F441*F429</f>
        <v>13564.949999999999</v>
      </c>
      <c r="G455" s="418">
        <f t="shared" si="117"/>
        <v>13694.14</v>
      </c>
      <c r="H455" s="418">
        <f t="shared" si="117"/>
        <v>13823.33</v>
      </c>
      <c r="I455" s="418">
        <f t="shared" si="117"/>
        <v>13824.621899999998</v>
      </c>
      <c r="J455" s="418">
        <f t="shared" si="117"/>
        <v>13952.52</v>
      </c>
      <c r="K455" s="418">
        <f t="shared" si="117"/>
        <v>14081.71</v>
      </c>
      <c r="L455" s="418">
        <f t="shared" si="117"/>
        <v>13952.52</v>
      </c>
      <c r="M455" s="418">
        <f t="shared" si="117"/>
        <v>13694.14</v>
      </c>
      <c r="N455" s="418">
        <f t="shared" si="117"/>
        <v>14081.71</v>
      </c>
      <c r="O455" s="418">
        <f>O441*O429</f>
        <v>13823.33</v>
      </c>
      <c r="P455" s="418">
        <f>P441*P429</f>
        <v>13694.14</v>
      </c>
      <c r="Q455" s="418">
        <f>Q441*Q429</f>
        <v>13564.949999999999</v>
      </c>
      <c r="R455" s="437">
        <f>SUM(F455:Q455)</f>
        <v>165752.06189999997</v>
      </c>
    </row>
    <row r="456" spans="1:20" x14ac:dyDescent="0.2">
      <c r="B456" s="336" t="s">
        <v>1079</v>
      </c>
      <c r="F456" s="339">
        <f t="shared" ref="F456:N456" si="118">F450+F453</f>
        <v>921733.92804000003</v>
      </c>
      <c r="G456" s="339">
        <f t="shared" si="118"/>
        <v>849303.23918000003</v>
      </c>
      <c r="H456" s="339">
        <f t="shared" si="118"/>
        <v>943824.40182000003</v>
      </c>
      <c r="I456" s="339">
        <f t="shared" si="118"/>
        <v>899952.17359999998</v>
      </c>
      <c r="J456" s="339">
        <f t="shared" si="118"/>
        <v>879065.76540000003</v>
      </c>
      <c r="K456" s="339">
        <f t="shared" si="118"/>
        <v>799034.73005999997</v>
      </c>
      <c r="L456" s="339">
        <f t="shared" si="118"/>
        <v>792458.70692000003</v>
      </c>
      <c r="M456" s="339">
        <f t="shared" si="118"/>
        <v>823468.62933999998</v>
      </c>
      <c r="N456" s="339">
        <f t="shared" si="118"/>
        <v>811079.30617999996</v>
      </c>
      <c r="O456" s="339">
        <f>O450+O453</f>
        <v>909414.73562000005</v>
      </c>
      <c r="P456" s="339">
        <f>P450+P453</f>
        <v>914530.37989999994</v>
      </c>
      <c r="Q456" s="339">
        <f>Q450+Q453</f>
        <v>946567.97846000001</v>
      </c>
      <c r="R456" s="339">
        <f>R450+R453</f>
        <v>10490433.974520002</v>
      </c>
    </row>
    <row r="457" spans="1:20" x14ac:dyDescent="0.2">
      <c r="B457" s="336" t="s">
        <v>986</v>
      </c>
      <c r="F457" s="339">
        <f t="shared" ref="F457:N457" si="119">F444+F449+F450+F454+F455</f>
        <v>1170176.5190999999</v>
      </c>
      <c r="G457" s="339">
        <f t="shared" si="119"/>
        <v>1084426.8785199998</v>
      </c>
      <c r="H457" s="339">
        <f t="shared" si="119"/>
        <v>1198162.37158</v>
      </c>
      <c r="I457" s="339">
        <f t="shared" si="119"/>
        <v>1145619.5574599998</v>
      </c>
      <c r="J457" s="339">
        <f t="shared" si="119"/>
        <v>1121138.41576</v>
      </c>
      <c r="K457" s="339">
        <f t="shared" si="119"/>
        <v>1026419.88394</v>
      </c>
      <c r="L457" s="339">
        <f t="shared" si="119"/>
        <v>1018076.8904200001</v>
      </c>
      <c r="M457" s="339">
        <f t="shared" si="119"/>
        <v>1053953.9094199999</v>
      </c>
      <c r="N457" s="339">
        <f t="shared" si="119"/>
        <v>1040434.1635399999</v>
      </c>
      <c r="O457" s="339">
        <f>O444+O449+O450+O454+O455</f>
        <v>1157100.03626</v>
      </c>
      <c r="P457" s="339">
        <f>P444+P449+P450+P454+P455</f>
        <v>1163065.3942799999</v>
      </c>
      <c r="Q457" s="339">
        <f>Q444+Q449+Q450+Q454+Q455</f>
        <v>1201003.90824</v>
      </c>
      <c r="R457" s="339">
        <f>R444+R449+R450+R454+R455</f>
        <v>13379577.92852</v>
      </c>
      <c r="S457" s="340"/>
    </row>
    <row r="458" spans="1:20" x14ac:dyDescent="0.2">
      <c r="F458" s="418"/>
      <c r="G458" s="418"/>
      <c r="H458" s="418"/>
      <c r="I458" s="418"/>
      <c r="J458" s="418"/>
      <c r="K458" s="418"/>
      <c r="L458" s="418"/>
      <c r="M458" s="418"/>
      <c r="N458" s="418"/>
      <c r="O458" s="418"/>
      <c r="P458" s="418"/>
      <c r="Q458" s="418"/>
      <c r="R458" s="437"/>
    </row>
    <row r="459" spans="1:20" x14ac:dyDescent="0.2">
      <c r="A459" s="336" t="s">
        <v>1058</v>
      </c>
      <c r="B459" s="336" t="s">
        <v>1050</v>
      </c>
      <c r="F459" s="418">
        <f>F430*F439+F440*F431</f>
        <v>881618.25586999999</v>
      </c>
      <c r="G459" s="418">
        <f t="shared" ref="G459:Q459" si="120">G430*G439+G440*G431</f>
        <v>812317.87503999996</v>
      </c>
      <c r="H459" s="418">
        <f t="shared" si="120"/>
        <v>902746.92995999998</v>
      </c>
      <c r="I459" s="418">
        <f t="shared" si="120"/>
        <v>860773.6327999999</v>
      </c>
      <c r="J459" s="418">
        <f t="shared" si="120"/>
        <v>840788.96619999991</v>
      </c>
      <c r="K459" s="418">
        <f t="shared" si="120"/>
        <v>764216.61167999997</v>
      </c>
      <c r="L459" s="418">
        <f t="shared" si="120"/>
        <v>757926.65925999999</v>
      </c>
      <c r="M459" s="418">
        <f t="shared" si="120"/>
        <v>787597.62127</v>
      </c>
      <c r="N459" s="418">
        <f t="shared" si="120"/>
        <v>775741.79128999996</v>
      </c>
      <c r="O459" s="418">
        <f t="shared" si="120"/>
        <v>869825.66160999995</v>
      </c>
      <c r="P459" s="418">
        <f t="shared" si="120"/>
        <v>874720.34094999998</v>
      </c>
      <c r="Q459" s="418">
        <f t="shared" si="120"/>
        <v>905372.55462999991</v>
      </c>
      <c r="R459" s="437">
        <f>SUM(F459:Q459)</f>
        <v>10033646.900559999</v>
      </c>
    </row>
    <row r="460" spans="1:20" x14ac:dyDescent="0.2">
      <c r="F460" s="418"/>
      <c r="G460" s="418"/>
      <c r="H460" s="418"/>
      <c r="I460" s="418"/>
      <c r="J460" s="418"/>
      <c r="K460" s="418"/>
      <c r="L460" s="418"/>
      <c r="M460" s="418"/>
      <c r="N460" s="418"/>
      <c r="O460" s="418"/>
      <c r="P460" s="418"/>
      <c r="Q460" s="418"/>
      <c r="R460" s="437"/>
    </row>
    <row r="461" spans="1:20" x14ac:dyDescent="0.2">
      <c r="B461" s="182" t="s">
        <v>1102</v>
      </c>
      <c r="C461" s="182"/>
      <c r="F461" s="415"/>
      <c r="G461" s="415"/>
      <c r="H461" s="415"/>
      <c r="I461" s="415"/>
      <c r="J461" s="415"/>
      <c r="S461" s="336"/>
      <c r="T461" s="336"/>
    </row>
    <row r="462" spans="1:20" x14ac:dyDescent="0.2">
      <c r="B462" s="182" t="s">
        <v>5</v>
      </c>
      <c r="C462" s="182"/>
      <c r="F462" s="415"/>
      <c r="G462" s="415"/>
      <c r="H462" s="415"/>
      <c r="I462" s="415"/>
      <c r="J462" s="415"/>
      <c r="S462" s="336"/>
      <c r="T462" s="336"/>
    </row>
    <row r="463" spans="1:20" x14ac:dyDescent="0.2">
      <c r="B463" s="336" t="s">
        <v>1059</v>
      </c>
      <c r="D463" s="382" t="s">
        <v>808</v>
      </c>
      <c r="E463" s="336" t="s">
        <v>976</v>
      </c>
      <c r="F463" s="455">
        <f t="shared" ref="F463:L463" si="121">F135</f>
        <v>431.69</v>
      </c>
      <c r="G463" s="455">
        <f t="shared" si="121"/>
        <v>431.69</v>
      </c>
      <c r="H463" s="455">
        <f t="shared" si="121"/>
        <v>431.69</v>
      </c>
      <c r="I463" s="455">
        <f t="shared" si="121"/>
        <v>431.69</v>
      </c>
      <c r="J463" s="455">
        <f t="shared" si="121"/>
        <v>431.69</v>
      </c>
      <c r="K463" s="455">
        <f t="shared" si="121"/>
        <v>431.69</v>
      </c>
      <c r="L463" s="455">
        <f t="shared" si="121"/>
        <v>431.69</v>
      </c>
      <c r="M463" s="455">
        <f>M135</f>
        <v>431.69</v>
      </c>
      <c r="N463" s="455">
        <f>N135</f>
        <v>431.69</v>
      </c>
      <c r="O463" s="455">
        <f>O135</f>
        <v>431.69</v>
      </c>
      <c r="P463" s="455">
        <f>P135</f>
        <v>431.69</v>
      </c>
      <c r="Q463" s="455">
        <f>Q135</f>
        <v>431.69</v>
      </c>
      <c r="S463" s="336"/>
      <c r="T463" s="336"/>
    </row>
    <row r="464" spans="1:20" x14ac:dyDescent="0.2">
      <c r="B464" s="336" t="s">
        <v>1047</v>
      </c>
      <c r="F464" s="456"/>
      <c r="G464" s="456"/>
      <c r="H464" s="456"/>
      <c r="I464" s="456"/>
      <c r="J464" s="456"/>
      <c r="K464" s="456"/>
      <c r="L464" s="456"/>
      <c r="M464" s="456"/>
      <c r="N464" s="456"/>
      <c r="O464" s="456"/>
      <c r="P464" s="456"/>
      <c r="Q464" s="456"/>
      <c r="S464" s="336"/>
      <c r="T464" s="336"/>
    </row>
    <row r="465" spans="2:20" x14ac:dyDescent="0.2">
      <c r="C465" s="336" t="s">
        <v>1065</v>
      </c>
      <c r="D465" s="382" t="s">
        <v>808</v>
      </c>
      <c r="E465" s="336" t="s">
        <v>957</v>
      </c>
      <c r="F465" s="456">
        <f t="shared" ref="F465:Q470" si="122">F137</f>
        <v>0.14354</v>
      </c>
      <c r="G465" s="456">
        <f t="shared" si="122"/>
        <v>0.14354</v>
      </c>
      <c r="H465" s="456">
        <f t="shared" si="122"/>
        <v>0.14354</v>
      </c>
      <c r="I465" s="456">
        <f t="shared" si="122"/>
        <v>0.14354</v>
      </c>
      <c r="J465" s="456">
        <f t="shared" si="122"/>
        <v>0.14354</v>
      </c>
      <c r="K465" s="456">
        <f t="shared" si="122"/>
        <v>0.14354</v>
      </c>
      <c r="L465" s="456">
        <f t="shared" si="122"/>
        <v>0.14354</v>
      </c>
      <c r="M465" s="456">
        <f t="shared" si="122"/>
        <v>0.14354</v>
      </c>
      <c r="N465" s="456">
        <f t="shared" si="122"/>
        <v>0.14354</v>
      </c>
      <c r="O465" s="456">
        <f t="shared" si="122"/>
        <v>0.14354</v>
      </c>
      <c r="P465" s="456">
        <f t="shared" si="122"/>
        <v>0.14354</v>
      </c>
      <c r="Q465" s="456">
        <f t="shared" si="122"/>
        <v>0.14354</v>
      </c>
      <c r="S465" s="336"/>
      <c r="T465" s="336"/>
    </row>
    <row r="466" spans="2:20" x14ac:dyDescent="0.2">
      <c r="C466" s="336" t="s">
        <v>1066</v>
      </c>
      <c r="D466" s="382" t="s">
        <v>808</v>
      </c>
      <c r="E466" s="336" t="s">
        <v>957</v>
      </c>
      <c r="F466" s="456">
        <f t="shared" si="122"/>
        <v>0.11713999999999999</v>
      </c>
      <c r="G466" s="456">
        <f t="shared" si="122"/>
        <v>0.11713999999999999</v>
      </c>
      <c r="H466" s="456">
        <f t="shared" si="122"/>
        <v>0.11713999999999999</v>
      </c>
      <c r="I466" s="456">
        <f t="shared" si="122"/>
        <v>0.11713999999999999</v>
      </c>
      <c r="J466" s="456">
        <f t="shared" si="122"/>
        <v>0.11713999999999999</v>
      </c>
      <c r="K466" s="456">
        <f t="shared" si="122"/>
        <v>0.11713999999999999</v>
      </c>
      <c r="L466" s="456">
        <f t="shared" si="122"/>
        <v>0.11713999999999999</v>
      </c>
      <c r="M466" s="456">
        <f t="shared" si="122"/>
        <v>0.11713999999999999</v>
      </c>
      <c r="N466" s="456">
        <f t="shared" si="122"/>
        <v>0.11713999999999999</v>
      </c>
      <c r="O466" s="456">
        <f t="shared" si="122"/>
        <v>0.11713999999999999</v>
      </c>
      <c r="P466" s="456">
        <f t="shared" si="122"/>
        <v>0.11713999999999999</v>
      </c>
      <c r="Q466" s="456">
        <f t="shared" si="122"/>
        <v>0.11713999999999999</v>
      </c>
      <c r="S466" s="336"/>
      <c r="T466" s="336"/>
    </row>
    <row r="467" spans="2:20" x14ac:dyDescent="0.2">
      <c r="B467" s="336" t="s">
        <v>1081</v>
      </c>
      <c r="D467" s="382" t="s">
        <v>808</v>
      </c>
      <c r="E467" s="336" t="s">
        <v>957</v>
      </c>
      <c r="F467" s="671">
        <f t="shared" si="122"/>
        <v>6.9999999999999999E-4</v>
      </c>
      <c r="G467" s="671">
        <f t="shared" si="122"/>
        <v>6.9999999999999999E-4</v>
      </c>
      <c r="H467" s="671">
        <f t="shared" si="122"/>
        <v>6.9999999999999999E-4</v>
      </c>
      <c r="I467" s="671">
        <f t="shared" si="122"/>
        <v>6.9999999999999999E-4</v>
      </c>
      <c r="J467" s="671">
        <f t="shared" si="122"/>
        <v>6.9999999999999999E-4</v>
      </c>
      <c r="K467" s="671">
        <f t="shared" si="122"/>
        <v>6.9999999999999999E-4</v>
      </c>
      <c r="L467" s="671">
        <f t="shared" si="122"/>
        <v>6.9999999999999999E-4</v>
      </c>
      <c r="M467" s="671">
        <f t="shared" si="122"/>
        <v>6.9999999999999999E-4</v>
      </c>
      <c r="N467" s="671">
        <f t="shared" si="122"/>
        <v>6.9999999999999999E-4</v>
      </c>
      <c r="O467" s="671">
        <f t="shared" si="122"/>
        <v>6.9999999999999999E-4</v>
      </c>
      <c r="P467" s="671">
        <f t="shared" si="122"/>
        <v>6.9999999999999999E-4</v>
      </c>
      <c r="Q467" s="671">
        <f t="shared" si="122"/>
        <v>6.9999999999999999E-4</v>
      </c>
      <c r="S467" s="336"/>
      <c r="T467" s="336"/>
    </row>
    <row r="468" spans="2:20" x14ac:dyDescent="0.2">
      <c r="B468" s="336" t="s">
        <v>1082</v>
      </c>
      <c r="F468" s="671">
        <f t="shared" si="122"/>
        <v>-5.1999999999999998E-3</v>
      </c>
      <c r="G468" s="671">
        <f t="shared" si="122"/>
        <v>-5.1999999999999998E-3</v>
      </c>
      <c r="H468" s="671">
        <f t="shared" si="122"/>
        <v>-5.1999999999999998E-3</v>
      </c>
      <c r="I468" s="671">
        <f t="shared" si="122"/>
        <v>-5.1999999999999998E-3</v>
      </c>
      <c r="J468" s="671">
        <f t="shared" si="122"/>
        <v>-5.1999999999999998E-3</v>
      </c>
      <c r="K468" s="671">
        <f t="shared" si="122"/>
        <v>-5.1999999999999998E-3</v>
      </c>
      <c r="L468" s="671">
        <f t="shared" si="122"/>
        <v>-5.1999999999999998E-3</v>
      </c>
      <c r="M468" s="671">
        <f t="shared" si="122"/>
        <v>-5.1999999999999998E-3</v>
      </c>
      <c r="N468" s="671">
        <f t="shared" si="122"/>
        <v>-5.1999999999999998E-3</v>
      </c>
      <c r="O468" s="671">
        <f t="shared" si="122"/>
        <v>-5.1999999999999998E-3</v>
      </c>
      <c r="P468" s="671">
        <f t="shared" si="122"/>
        <v>-5.1999999999999998E-3</v>
      </c>
      <c r="Q468" s="671">
        <f t="shared" si="122"/>
        <v>-5.1999999999999998E-3</v>
      </c>
      <c r="S468" s="336"/>
      <c r="T468" s="336"/>
    </row>
    <row r="469" spans="2:20" x14ac:dyDescent="0.2">
      <c r="B469" s="336" t="s">
        <v>1069</v>
      </c>
      <c r="D469" s="336">
        <v>101</v>
      </c>
      <c r="E469" s="336" t="s">
        <v>957</v>
      </c>
      <c r="F469" s="672">
        <f t="shared" si="122"/>
        <v>1.1399999999999999</v>
      </c>
      <c r="G469" s="672">
        <f t="shared" si="122"/>
        <v>1.1399999999999999</v>
      </c>
      <c r="H469" s="672">
        <f t="shared" si="122"/>
        <v>1.1399999999999999</v>
      </c>
      <c r="I469" s="672">
        <f t="shared" si="122"/>
        <v>1.1399999999999999</v>
      </c>
      <c r="J469" s="672">
        <f t="shared" si="122"/>
        <v>1.1399999999999999</v>
      </c>
      <c r="K469" s="672">
        <f t="shared" si="122"/>
        <v>1.1399999999999999</v>
      </c>
      <c r="L469" s="672">
        <f t="shared" si="122"/>
        <v>1.1399999999999999</v>
      </c>
      <c r="M469" s="672">
        <f t="shared" si="122"/>
        <v>1.1399999999999999</v>
      </c>
      <c r="N469" s="672">
        <f t="shared" si="122"/>
        <v>1.1399999999999999</v>
      </c>
      <c r="O469" s="672">
        <f t="shared" si="122"/>
        <v>1.1399999999999999</v>
      </c>
      <c r="P469" s="672">
        <f t="shared" si="122"/>
        <v>1.1399999999999999</v>
      </c>
      <c r="Q469" s="672">
        <f t="shared" si="122"/>
        <v>1.1399999999999999</v>
      </c>
      <c r="S469" s="336"/>
      <c r="T469" s="336"/>
    </row>
    <row r="470" spans="2:20" x14ac:dyDescent="0.2">
      <c r="B470" s="336" t="s">
        <v>1071</v>
      </c>
      <c r="D470" s="382" t="s">
        <v>808</v>
      </c>
      <c r="E470" s="336" t="s">
        <v>67</v>
      </c>
      <c r="F470" s="672">
        <f t="shared" si="122"/>
        <v>129.19</v>
      </c>
      <c r="G470" s="672">
        <f t="shared" si="122"/>
        <v>129.19</v>
      </c>
      <c r="H470" s="672">
        <f t="shared" si="122"/>
        <v>129.19</v>
      </c>
      <c r="I470" s="672">
        <f t="shared" si="122"/>
        <v>129.19</v>
      </c>
      <c r="J470" s="672">
        <f t="shared" si="122"/>
        <v>129.19</v>
      </c>
      <c r="K470" s="672">
        <f t="shared" si="122"/>
        <v>129.19</v>
      </c>
      <c r="L470" s="672">
        <f t="shared" si="122"/>
        <v>129.19</v>
      </c>
      <c r="M470" s="672">
        <f t="shared" si="122"/>
        <v>129.19</v>
      </c>
      <c r="N470" s="672">
        <f t="shared" si="122"/>
        <v>129.19</v>
      </c>
      <c r="O470" s="672">
        <f t="shared" si="122"/>
        <v>129.19</v>
      </c>
      <c r="P470" s="672">
        <f t="shared" si="122"/>
        <v>129.19</v>
      </c>
      <c r="Q470" s="672">
        <f t="shared" si="122"/>
        <v>129.19</v>
      </c>
      <c r="S470" s="336"/>
      <c r="T470" s="336"/>
    </row>
    <row r="471" spans="2:20" x14ac:dyDescent="0.2">
      <c r="S471" s="336"/>
      <c r="T471" s="336"/>
    </row>
    <row r="472" spans="2:20" x14ac:dyDescent="0.2">
      <c r="B472" s="182" t="s">
        <v>982</v>
      </c>
      <c r="S472" s="336"/>
      <c r="T472" s="336"/>
    </row>
    <row r="473" spans="2:20" x14ac:dyDescent="0.2">
      <c r="B473" s="336" t="s">
        <v>67</v>
      </c>
      <c r="D473" s="382" t="s">
        <v>808</v>
      </c>
      <c r="E473" s="336" t="s">
        <v>67</v>
      </c>
      <c r="F473" s="421">
        <f>'JKP-3.1c - Data'!C144+'JKP-3.1c - 41T 86T Migrat Adj'!B56</f>
        <v>17</v>
      </c>
      <c r="G473" s="421">
        <f>'JKP-3.1c - Data'!D144+'JKP-3.1c - 41T 86T Migrat Adj'!C56</f>
        <v>17</v>
      </c>
      <c r="H473" s="421">
        <f>'JKP-3.1c - Data'!E144+'JKP-3.1c - 41T 86T Migrat Adj'!D56</f>
        <v>16</v>
      </c>
      <c r="I473" s="421">
        <f>'JKP-3.1c - Data'!F144+'JKP-3.1c - 41T 86T Migrat Adj'!E56</f>
        <v>16</v>
      </c>
      <c r="J473" s="421">
        <f>'JKP-3.1c - Data'!G144+'JKP-3.1c - 41T 86T Migrat Adj'!F56</f>
        <v>16</v>
      </c>
      <c r="K473" s="421">
        <f>'JKP-3.1c - Data'!H144+'JKP-3.1c - 41T 86T Migrat Adj'!G56</f>
        <v>16</v>
      </c>
      <c r="L473" s="421">
        <f>'JKP-3.1c - Data'!I144+'JKP-3.1c - 41T 86T Migrat Adj'!H56</f>
        <v>15</v>
      </c>
      <c r="M473" s="421">
        <f>'JKP-3.1c - Data'!J144+'JKP-3.1c - 41T 86T Migrat Adj'!I56</f>
        <v>16</v>
      </c>
      <c r="N473" s="421">
        <f>'JKP-3.1c - Data'!K144+'JKP-3.1c - 41T 86T Migrat Adj'!J56</f>
        <v>16</v>
      </c>
      <c r="O473" s="421">
        <f>'JKP-3.1c - Data'!L144+'JKP-3.1c - 41T 86T Migrat Adj'!K56</f>
        <v>16</v>
      </c>
      <c r="P473" s="421">
        <f>'JKP-3.1c - Data'!M144+'JKP-3.1c - 41T 86T Migrat Adj'!L56</f>
        <v>16</v>
      </c>
      <c r="Q473" s="421">
        <f>'JKP-3.1c - Data'!N144+'JKP-3.1c - 41T 86T Migrat Adj'!M56</f>
        <v>16</v>
      </c>
      <c r="R473" s="362">
        <f>SUM(F473:Q473)</f>
        <v>193</v>
      </c>
      <c r="S473" s="336"/>
      <c r="T473" s="336"/>
    </row>
    <row r="474" spans="2:20" x14ac:dyDescent="0.2">
      <c r="B474" s="336" t="s">
        <v>76</v>
      </c>
      <c r="F474" s="380"/>
      <c r="G474" s="380"/>
      <c r="H474" s="380"/>
      <c r="I474" s="380"/>
      <c r="J474" s="380"/>
      <c r="K474" s="380"/>
      <c r="L474" s="380"/>
      <c r="M474" s="380"/>
      <c r="N474" s="380"/>
      <c r="O474" s="380"/>
      <c r="P474" s="380"/>
      <c r="Q474" s="380"/>
      <c r="S474" s="336"/>
      <c r="T474" s="336"/>
    </row>
    <row r="475" spans="2:20" x14ac:dyDescent="0.2">
      <c r="C475" s="336" t="s">
        <v>1073</v>
      </c>
      <c r="D475" s="382" t="s">
        <v>808</v>
      </c>
      <c r="E475" s="336" t="s">
        <v>10</v>
      </c>
      <c r="F475" s="421">
        <f>'JKP-3.1c - Rev Rates GTI10'!F475+'JKP-3.1c - 41T 86T Migrat Adj'!B41</f>
        <v>15300</v>
      </c>
      <c r="G475" s="421">
        <f>'JKP-3.1c - Rev Rates GTI10'!G475+'JKP-3.1c - 41T 86T Migrat Adj'!C41</f>
        <v>14653</v>
      </c>
      <c r="H475" s="421">
        <f>'JKP-3.1c - Rev Rates GTI10'!H475+'JKP-3.1c - 41T 86T Migrat Adj'!D41</f>
        <v>14400</v>
      </c>
      <c r="I475" s="421">
        <f>'JKP-3.1c - Rev Rates GTI10'!I475+'JKP-3.1c - 41T 86T Migrat Adj'!E41</f>
        <v>14400</v>
      </c>
      <c r="J475" s="421">
        <f>'JKP-3.1c - Rev Rates GTI10'!J475+'JKP-3.1c - 41T 86T Migrat Adj'!F41</f>
        <v>14400</v>
      </c>
      <c r="K475" s="421">
        <f>'JKP-3.1c - Rev Rates GTI10'!K475+'JKP-3.1c - 41T 86T Migrat Adj'!G41</f>
        <v>14400</v>
      </c>
      <c r="L475" s="421">
        <f>'JKP-3.1c - Rev Rates GTI10'!L475+'JKP-3.1c - 41T 86T Migrat Adj'!H41</f>
        <v>14400</v>
      </c>
      <c r="M475" s="421">
        <f>'JKP-3.1c - Rev Rates GTI10'!M475+'JKP-3.1c - 41T 86T Migrat Adj'!I41</f>
        <v>14400</v>
      </c>
      <c r="N475" s="421">
        <f>'JKP-3.1c - Rev Rates GTI10'!N475+'JKP-3.1c - 41T 86T Migrat Adj'!J41</f>
        <v>14400</v>
      </c>
      <c r="O475" s="421">
        <f>'JKP-3.1c - Rev Rates GTI10'!O475+'JKP-3.1c - 41T 86T Migrat Adj'!K41</f>
        <v>14400</v>
      </c>
      <c r="P475" s="421">
        <f>'JKP-3.1c - Rev Rates GTI10'!P475+'JKP-3.1c - 41T 86T Migrat Adj'!L41</f>
        <v>14400</v>
      </c>
      <c r="Q475" s="421">
        <f>'JKP-3.1c - Rev Rates GTI10'!Q475+'JKP-3.1c - 41T 86T Migrat Adj'!M41</f>
        <v>14400</v>
      </c>
      <c r="R475" s="362">
        <f t="shared" ref="R475:R480" si="123">SUM(F475:Q475)</f>
        <v>173953</v>
      </c>
      <c r="S475" s="336"/>
      <c r="T475" s="336"/>
    </row>
    <row r="476" spans="2:20" x14ac:dyDescent="0.2">
      <c r="C476" s="336" t="s">
        <v>1074</v>
      </c>
      <c r="D476" s="382" t="s">
        <v>808</v>
      </c>
      <c r="E476" s="336" t="s">
        <v>10</v>
      </c>
      <c r="F476" s="421">
        <f>'JKP-3.1c - Rev Rates GTI10'!F476+'JKP-3.1c - 41T 86T Migrat Adj'!B42</f>
        <v>67234</v>
      </c>
      <c r="G476" s="421">
        <f>'JKP-3.1c - Rev Rates GTI10'!G476+'JKP-3.1c - 41T 86T Migrat Adj'!C42</f>
        <v>62912</v>
      </c>
      <c r="H476" s="421">
        <f>'JKP-3.1c - Rev Rates GTI10'!H476+'JKP-3.1c - 41T 86T Migrat Adj'!D42</f>
        <v>62940</v>
      </c>
      <c r="I476" s="421">
        <f>'JKP-3.1c - Rev Rates GTI10'!I476+'JKP-3.1c - 41T 86T Migrat Adj'!E42</f>
        <v>62741</v>
      </c>
      <c r="J476" s="421">
        <f>'JKP-3.1c - Rev Rates GTI10'!J476+'JKP-3.1c - 41T 86T Migrat Adj'!F42</f>
        <v>62462</v>
      </c>
      <c r="K476" s="421">
        <f>'JKP-3.1c - Rev Rates GTI10'!K476+'JKP-3.1c - 41T 86T Migrat Adj'!G42</f>
        <v>65600</v>
      </c>
      <c r="L476" s="421">
        <f>'JKP-3.1c - Rev Rates GTI10'!L476+'JKP-3.1c - 41T 86T Migrat Adj'!H42</f>
        <v>65600</v>
      </c>
      <c r="M476" s="421">
        <f>'JKP-3.1c - Rev Rates GTI10'!M476+'JKP-3.1c - 41T 86T Migrat Adj'!I42</f>
        <v>65600</v>
      </c>
      <c r="N476" s="421">
        <f>'JKP-3.1c - Rev Rates GTI10'!N476+'JKP-3.1c - 41T 86T Migrat Adj'!J42</f>
        <v>65600</v>
      </c>
      <c r="O476" s="421">
        <f>'JKP-3.1c - Rev Rates GTI10'!O476+'JKP-3.1c - 41T 86T Migrat Adj'!K42</f>
        <v>65600</v>
      </c>
      <c r="P476" s="421">
        <f>'JKP-3.1c - Rev Rates GTI10'!P476+'JKP-3.1c - 41T 86T Migrat Adj'!L42</f>
        <v>65600</v>
      </c>
      <c r="Q476" s="421">
        <f>'JKP-3.1c - Rev Rates GTI10'!Q476+'JKP-3.1c - 41T 86T Migrat Adj'!M42</f>
        <v>65600</v>
      </c>
      <c r="R476" s="362">
        <f t="shared" si="123"/>
        <v>777489</v>
      </c>
      <c r="S476" s="336"/>
      <c r="T476" s="336"/>
    </row>
    <row r="477" spans="2:20" x14ac:dyDescent="0.2">
      <c r="C477" s="336" t="s">
        <v>1066</v>
      </c>
      <c r="D477" s="382" t="s">
        <v>808</v>
      </c>
      <c r="E477" s="336" t="s">
        <v>10</v>
      </c>
      <c r="F477" s="378">
        <f t="shared" ref="F477:N477" si="124">F478-SUM(F475:F476)</f>
        <v>277800</v>
      </c>
      <c r="G477" s="378">
        <f t="shared" si="124"/>
        <v>270593</v>
      </c>
      <c r="H477" s="378">
        <f t="shared" si="124"/>
        <v>298485</v>
      </c>
      <c r="I477" s="378">
        <f t="shared" si="124"/>
        <v>277069</v>
      </c>
      <c r="J477" s="378">
        <f t="shared" si="124"/>
        <v>250636</v>
      </c>
      <c r="K477" s="378">
        <f t="shared" si="124"/>
        <v>342900</v>
      </c>
      <c r="L477" s="378">
        <f t="shared" si="124"/>
        <v>353263</v>
      </c>
      <c r="M477" s="378">
        <f t="shared" si="124"/>
        <v>361783</v>
      </c>
      <c r="N477" s="378">
        <f t="shared" si="124"/>
        <v>340720</v>
      </c>
      <c r="O477" s="378">
        <f>O478-SUM(O475:O476)</f>
        <v>349271</v>
      </c>
      <c r="P477" s="378">
        <f>P478-SUM(P475:P476)</f>
        <v>399248</v>
      </c>
      <c r="Q477" s="378">
        <f>Q478-SUM(Q475:Q476)</f>
        <v>414758</v>
      </c>
      <c r="R477" s="362">
        <f t="shared" si="123"/>
        <v>3936526</v>
      </c>
      <c r="S477" s="336"/>
      <c r="T477" s="336"/>
    </row>
    <row r="478" spans="2:20" x14ac:dyDescent="0.2">
      <c r="C478" s="336" t="s">
        <v>1075</v>
      </c>
      <c r="D478" s="382" t="s">
        <v>808</v>
      </c>
      <c r="E478" s="336" t="s">
        <v>10</v>
      </c>
      <c r="F478" s="445">
        <f>'JKP-3.1c - Weather Adj'!D170</f>
        <v>360334</v>
      </c>
      <c r="G478" s="445">
        <f>'JKP-3.1c - Weather Adj'!E170</f>
        <v>348158</v>
      </c>
      <c r="H478" s="445">
        <f>'JKP-3.1c - Weather Adj'!F170</f>
        <v>375825</v>
      </c>
      <c r="I478" s="445">
        <f>'JKP-3.1c - Weather Adj'!G170</f>
        <v>354210</v>
      </c>
      <c r="J478" s="445">
        <f>'JKP-3.1c - Weather Adj'!H170</f>
        <v>327498</v>
      </c>
      <c r="K478" s="445">
        <f>'JKP-3.1c - Weather Adj'!I170</f>
        <v>422900</v>
      </c>
      <c r="L478" s="445">
        <f>'JKP-3.1c - Weather Adj'!J170</f>
        <v>433263</v>
      </c>
      <c r="M478" s="445">
        <f>'JKP-3.1c - Weather Adj'!K170</f>
        <v>441783</v>
      </c>
      <c r="N478" s="445">
        <f>'JKP-3.1c - Weather Adj'!L170</f>
        <v>420720</v>
      </c>
      <c r="O478" s="445">
        <f>'JKP-3.1c - Weather Adj'!M170</f>
        <v>429271</v>
      </c>
      <c r="P478" s="445">
        <f>'JKP-3.1c - Weather Adj'!N170</f>
        <v>479248</v>
      </c>
      <c r="Q478" s="445">
        <f>'JKP-3.1c - Weather Adj'!O170</f>
        <v>494758</v>
      </c>
      <c r="R478" s="436">
        <f t="shared" si="123"/>
        <v>4887968</v>
      </c>
      <c r="S478" s="336"/>
      <c r="T478" s="336"/>
    </row>
    <row r="479" spans="2:20" x14ac:dyDescent="0.2">
      <c r="B479" s="336" t="s">
        <v>74</v>
      </c>
      <c r="D479" s="382" t="s">
        <v>808</v>
      </c>
      <c r="E479" s="336" t="s">
        <v>1076</v>
      </c>
      <c r="F479" s="421">
        <f>'JKP-3.1c - Data'!C165+'JKP-3.1c - 41T 86T Migrat Adj'!B68</f>
        <v>18483</v>
      </c>
      <c r="G479" s="421">
        <f>'JKP-3.1c - Data'!D165+'JKP-3.1c - 41T 86T Migrat Adj'!C68</f>
        <v>18483</v>
      </c>
      <c r="H479" s="421">
        <f>'JKP-3.1c - Data'!E165+'JKP-3.1c - 41T 86T Migrat Adj'!D68</f>
        <v>16143</v>
      </c>
      <c r="I479" s="421">
        <f>'JKP-3.1c - Data'!F165+'JKP-3.1c - 41T 86T Migrat Adj'!E68</f>
        <v>16143</v>
      </c>
      <c r="J479" s="421">
        <f>'JKP-3.1c - Data'!G165+'JKP-3.1c - 41T 86T Migrat Adj'!F68</f>
        <v>16143.000000000002</v>
      </c>
      <c r="K479" s="421">
        <f>'JKP-3.1c - Data'!H165+'JKP-3.1c - 41T 86T Migrat Adj'!G68</f>
        <v>16143</v>
      </c>
      <c r="L479" s="421">
        <f>'JKP-3.1c - Data'!I165+'JKP-3.1c - 41T 86T Migrat Adj'!H68</f>
        <v>20125</v>
      </c>
      <c r="M479" s="421">
        <f>'JKP-3.1c - Data'!J165+'JKP-3.1c - 41T 86T Migrat Adj'!I68</f>
        <v>20237</v>
      </c>
      <c r="N479" s="421">
        <f>'JKP-3.1c - Data'!K165+'JKP-3.1c - 41T 86T Migrat Adj'!J68</f>
        <v>20237</v>
      </c>
      <c r="O479" s="421">
        <f>'JKP-3.1c - Data'!L165+'JKP-3.1c - 41T 86T Migrat Adj'!K68</f>
        <v>20237</v>
      </c>
      <c r="P479" s="421">
        <f>'JKP-3.1c - Data'!M165+'JKP-3.1c - 41T 86T Migrat Adj'!L68</f>
        <v>20237</v>
      </c>
      <c r="Q479" s="421">
        <f>'JKP-3.1c - Data'!N165+'JKP-3.1c - 41T 86T Migrat Adj'!M68</f>
        <v>20237</v>
      </c>
      <c r="R479" s="362">
        <f t="shared" si="123"/>
        <v>222848</v>
      </c>
      <c r="S479" s="336"/>
      <c r="T479" s="336"/>
    </row>
    <row r="480" spans="2:20" x14ac:dyDescent="0.2">
      <c r="B480" s="336" t="s">
        <v>1071</v>
      </c>
      <c r="D480" s="382" t="s">
        <v>808</v>
      </c>
      <c r="E480" s="336" t="s">
        <v>67</v>
      </c>
      <c r="F480" s="378">
        <f t="shared" ref="F480:N480" si="125">F473</f>
        <v>17</v>
      </c>
      <c r="G480" s="378">
        <f t="shared" si="125"/>
        <v>17</v>
      </c>
      <c r="H480" s="378">
        <f t="shared" si="125"/>
        <v>16</v>
      </c>
      <c r="I480" s="378">
        <f t="shared" si="125"/>
        <v>16</v>
      </c>
      <c r="J480" s="378">
        <f t="shared" si="125"/>
        <v>16</v>
      </c>
      <c r="K480" s="378">
        <f t="shared" si="125"/>
        <v>16</v>
      </c>
      <c r="L480" s="378">
        <f t="shared" si="125"/>
        <v>15</v>
      </c>
      <c r="M480" s="378">
        <f t="shared" si="125"/>
        <v>16</v>
      </c>
      <c r="N480" s="378">
        <f t="shared" si="125"/>
        <v>16</v>
      </c>
      <c r="O480" s="378">
        <f>O473</f>
        <v>16</v>
      </c>
      <c r="P480" s="378">
        <f>P473</f>
        <v>16</v>
      </c>
      <c r="Q480" s="378">
        <f>Q473</f>
        <v>16</v>
      </c>
      <c r="R480" s="362">
        <f t="shared" si="123"/>
        <v>193</v>
      </c>
      <c r="S480" s="336"/>
      <c r="T480" s="336"/>
    </row>
    <row r="481" spans="1:20" x14ac:dyDescent="0.2">
      <c r="F481" s="362"/>
      <c r="G481" s="362"/>
      <c r="H481" s="362"/>
      <c r="I481" s="362"/>
      <c r="J481" s="362"/>
      <c r="K481" s="362"/>
      <c r="L481" s="362"/>
      <c r="M481" s="362"/>
      <c r="N481" s="362"/>
      <c r="O481" s="362"/>
      <c r="P481" s="362"/>
      <c r="Q481" s="362"/>
      <c r="S481" s="336"/>
      <c r="T481" s="336"/>
    </row>
    <row r="482" spans="1:20" x14ac:dyDescent="0.2">
      <c r="B482" s="182" t="s">
        <v>985</v>
      </c>
      <c r="S482" s="336"/>
      <c r="T482" s="336"/>
    </row>
    <row r="483" spans="1:20" x14ac:dyDescent="0.2">
      <c r="A483" s="336" t="s">
        <v>1054</v>
      </c>
      <c r="B483" s="336" t="s">
        <v>1059</v>
      </c>
      <c r="D483" s="382" t="s">
        <v>808</v>
      </c>
      <c r="F483" s="418">
        <f t="shared" ref="F483:Q483" si="126">F463*F473</f>
        <v>7338.73</v>
      </c>
      <c r="G483" s="418">
        <f t="shared" si="126"/>
        <v>7338.73</v>
      </c>
      <c r="H483" s="418">
        <f t="shared" si="126"/>
        <v>6907.04</v>
      </c>
      <c r="I483" s="418">
        <f t="shared" si="126"/>
        <v>6907.04</v>
      </c>
      <c r="J483" s="418">
        <f t="shared" si="126"/>
        <v>6907.04</v>
      </c>
      <c r="K483" s="418">
        <f t="shared" si="126"/>
        <v>6907.04</v>
      </c>
      <c r="L483" s="418">
        <f t="shared" si="126"/>
        <v>6475.35</v>
      </c>
      <c r="M483" s="418">
        <f t="shared" si="126"/>
        <v>6907.04</v>
      </c>
      <c r="N483" s="418">
        <f t="shared" si="126"/>
        <v>6907.04</v>
      </c>
      <c r="O483" s="418">
        <f t="shared" si="126"/>
        <v>6907.04</v>
      </c>
      <c r="P483" s="418">
        <f t="shared" si="126"/>
        <v>6907.04</v>
      </c>
      <c r="Q483" s="418">
        <f t="shared" si="126"/>
        <v>6907.04</v>
      </c>
      <c r="R483" s="418">
        <f>SUM(F483:Q483)</f>
        <v>83316.169999999984</v>
      </c>
      <c r="S483" s="336"/>
      <c r="T483" s="336"/>
    </row>
    <row r="484" spans="1:20" x14ac:dyDescent="0.2">
      <c r="B484" s="336" t="s">
        <v>1047</v>
      </c>
      <c r="F484" s="418"/>
      <c r="G484" s="418"/>
      <c r="H484" s="418"/>
      <c r="I484" s="418"/>
      <c r="J484" s="418"/>
      <c r="K484" s="418"/>
      <c r="L484" s="418"/>
      <c r="M484" s="418"/>
      <c r="N484" s="418"/>
      <c r="O484" s="418"/>
      <c r="P484" s="418"/>
      <c r="Q484" s="418"/>
      <c r="R484" s="418"/>
      <c r="S484" s="336"/>
      <c r="T484" s="336"/>
    </row>
    <row r="485" spans="1:20" x14ac:dyDescent="0.2">
      <c r="C485" s="336" t="s">
        <v>1073</v>
      </c>
      <c r="F485" s="337">
        <v>0</v>
      </c>
      <c r="G485" s="337">
        <v>0</v>
      </c>
      <c r="H485" s="337">
        <v>0</v>
      </c>
      <c r="I485" s="337">
        <v>0</v>
      </c>
      <c r="J485" s="337">
        <v>0</v>
      </c>
      <c r="K485" s="337">
        <v>0</v>
      </c>
      <c r="L485" s="337">
        <v>0</v>
      </c>
      <c r="M485" s="337">
        <v>0</v>
      </c>
      <c r="N485" s="337">
        <v>0</v>
      </c>
      <c r="O485" s="337">
        <v>0</v>
      </c>
      <c r="P485" s="337">
        <v>0</v>
      </c>
      <c r="Q485" s="337">
        <v>0</v>
      </c>
      <c r="R485" s="337">
        <f t="shared" ref="R485:R490" si="127">SUM(F485:Q485)</f>
        <v>0</v>
      </c>
      <c r="S485" s="336"/>
      <c r="T485" s="336"/>
    </row>
    <row r="486" spans="1:20" x14ac:dyDescent="0.2">
      <c r="C486" s="336" t="s">
        <v>1074</v>
      </c>
      <c r="D486" s="382" t="s">
        <v>808</v>
      </c>
      <c r="F486" s="418">
        <f t="shared" ref="F486:Q487" si="128">F465*F476</f>
        <v>9650.76836</v>
      </c>
      <c r="G486" s="418">
        <f t="shared" si="128"/>
        <v>9030.3884799999996</v>
      </c>
      <c r="H486" s="418">
        <f t="shared" si="128"/>
        <v>9034.4076000000005</v>
      </c>
      <c r="I486" s="418">
        <f t="shared" si="128"/>
        <v>9005.8431400000009</v>
      </c>
      <c r="J486" s="418">
        <f t="shared" si="128"/>
        <v>8965.7954800000007</v>
      </c>
      <c r="K486" s="418">
        <f t="shared" si="128"/>
        <v>9416.2240000000002</v>
      </c>
      <c r="L486" s="418">
        <f t="shared" si="128"/>
        <v>9416.2240000000002</v>
      </c>
      <c r="M486" s="418">
        <f t="shared" si="128"/>
        <v>9416.2240000000002</v>
      </c>
      <c r="N486" s="418">
        <f t="shared" si="128"/>
        <v>9416.2240000000002</v>
      </c>
      <c r="O486" s="418">
        <f t="shared" si="128"/>
        <v>9416.2240000000002</v>
      </c>
      <c r="P486" s="418">
        <f t="shared" si="128"/>
        <v>9416.2240000000002</v>
      </c>
      <c r="Q486" s="418">
        <f t="shared" si="128"/>
        <v>9416.2240000000002</v>
      </c>
      <c r="R486" s="418">
        <f t="shared" si="127"/>
        <v>111600.77106000001</v>
      </c>
      <c r="S486" s="336"/>
      <c r="T486" s="336"/>
    </row>
    <row r="487" spans="1:20" x14ac:dyDescent="0.2">
      <c r="C487" s="336" t="s">
        <v>1066</v>
      </c>
      <c r="D487" s="382" t="s">
        <v>808</v>
      </c>
      <c r="F487" s="418">
        <f t="shared" si="128"/>
        <v>32541.491999999998</v>
      </c>
      <c r="G487" s="418">
        <f t="shared" si="128"/>
        <v>31697.264019999999</v>
      </c>
      <c r="H487" s="418">
        <f t="shared" si="128"/>
        <v>34964.532899999998</v>
      </c>
      <c r="I487" s="418">
        <f t="shared" si="128"/>
        <v>32455.862659999999</v>
      </c>
      <c r="J487" s="418">
        <f t="shared" si="128"/>
        <v>29359.501039999999</v>
      </c>
      <c r="K487" s="418">
        <f t="shared" si="128"/>
        <v>40167.305999999997</v>
      </c>
      <c r="L487" s="418">
        <f t="shared" si="128"/>
        <v>41381.22782</v>
      </c>
      <c r="M487" s="418">
        <f t="shared" si="128"/>
        <v>42379.260620000001</v>
      </c>
      <c r="N487" s="418">
        <f t="shared" si="128"/>
        <v>39911.940799999997</v>
      </c>
      <c r="O487" s="418">
        <f t="shared" si="128"/>
        <v>40913.604939999997</v>
      </c>
      <c r="P487" s="418">
        <f t="shared" si="128"/>
        <v>46767.91072</v>
      </c>
      <c r="Q487" s="418">
        <f t="shared" si="128"/>
        <v>48584.752119999997</v>
      </c>
      <c r="R487" s="418">
        <f t="shared" si="127"/>
        <v>461124.65563999995</v>
      </c>
      <c r="S487" s="336"/>
      <c r="T487" s="336"/>
    </row>
    <row r="488" spans="1:20" x14ac:dyDescent="0.2">
      <c r="A488" s="336" t="s">
        <v>1054</v>
      </c>
      <c r="C488" s="336" t="s">
        <v>1077</v>
      </c>
      <c r="F488" s="339">
        <f t="shared" ref="F488:L488" si="129">SUM(F485:F487)</f>
        <v>42192.26036</v>
      </c>
      <c r="G488" s="339">
        <f t="shared" si="129"/>
        <v>40727.652499999997</v>
      </c>
      <c r="H488" s="339">
        <f t="shared" si="129"/>
        <v>43998.940499999997</v>
      </c>
      <c r="I488" s="339">
        <f t="shared" si="129"/>
        <v>41461.705799999996</v>
      </c>
      <c r="J488" s="339">
        <f t="shared" si="129"/>
        <v>38325.296520000004</v>
      </c>
      <c r="K488" s="339">
        <f t="shared" si="129"/>
        <v>49583.53</v>
      </c>
      <c r="L488" s="339">
        <f t="shared" si="129"/>
        <v>50797.451820000002</v>
      </c>
      <c r="M488" s="339">
        <f>SUM(M485:M487)</f>
        <v>51795.484620000003</v>
      </c>
      <c r="N488" s="339">
        <f>SUM(N485:N487)</f>
        <v>49328.164799999999</v>
      </c>
      <c r="O488" s="339">
        <f>SUM(O485:O487)</f>
        <v>50329.828939999999</v>
      </c>
      <c r="P488" s="339">
        <f>SUM(P485:P487)</f>
        <v>56184.134720000002</v>
      </c>
      <c r="Q488" s="339">
        <f>SUM(Q485:Q487)</f>
        <v>58000.976119999999</v>
      </c>
      <c r="R488" s="339">
        <f t="shared" si="127"/>
        <v>572725.42670000007</v>
      </c>
      <c r="S488" s="336"/>
      <c r="T488" s="336"/>
    </row>
    <row r="489" spans="1:20" x14ac:dyDescent="0.2">
      <c r="A489" s="336" t="s">
        <v>1056</v>
      </c>
      <c r="B489" s="336" t="s">
        <v>1081</v>
      </c>
      <c r="D489" s="382" t="s">
        <v>808</v>
      </c>
      <c r="F489" s="418">
        <f t="shared" ref="F489:Q489" si="130">F467*F478</f>
        <v>252.2338</v>
      </c>
      <c r="G489" s="418">
        <f t="shared" si="130"/>
        <v>243.7106</v>
      </c>
      <c r="H489" s="418">
        <f t="shared" si="130"/>
        <v>263.07749999999999</v>
      </c>
      <c r="I489" s="418">
        <f t="shared" si="130"/>
        <v>247.947</v>
      </c>
      <c r="J489" s="418">
        <f t="shared" si="130"/>
        <v>229.24860000000001</v>
      </c>
      <c r="K489" s="418">
        <f t="shared" si="130"/>
        <v>296.02999999999997</v>
      </c>
      <c r="L489" s="418">
        <f t="shared" si="130"/>
        <v>303.28410000000002</v>
      </c>
      <c r="M489" s="418">
        <f t="shared" si="130"/>
        <v>309.24810000000002</v>
      </c>
      <c r="N489" s="418">
        <f t="shared" si="130"/>
        <v>294.50400000000002</v>
      </c>
      <c r="O489" s="418">
        <f t="shared" si="130"/>
        <v>300.48969999999997</v>
      </c>
      <c r="P489" s="418">
        <f t="shared" si="130"/>
        <v>335.47359999999998</v>
      </c>
      <c r="Q489" s="418">
        <f t="shared" si="130"/>
        <v>346.3306</v>
      </c>
      <c r="R489" s="418">
        <f t="shared" si="127"/>
        <v>3421.5775999999996</v>
      </c>
      <c r="S489" s="336"/>
      <c r="T489" s="336"/>
    </row>
    <row r="490" spans="1:20" x14ac:dyDescent="0.2">
      <c r="A490" s="336" t="s">
        <v>1054</v>
      </c>
      <c r="B490" s="336" t="s">
        <v>1082</v>
      </c>
      <c r="F490" s="418">
        <f t="shared" ref="F490:Q492" si="131">F468*F478</f>
        <v>-1873.7367999999999</v>
      </c>
      <c r="G490" s="418">
        <f t="shared" si="131"/>
        <v>-1810.4215999999999</v>
      </c>
      <c r="H490" s="418">
        <f t="shared" si="131"/>
        <v>-1954.29</v>
      </c>
      <c r="I490" s="418">
        <f t="shared" si="131"/>
        <v>-1841.8919999999998</v>
      </c>
      <c r="J490" s="418">
        <f t="shared" si="131"/>
        <v>-1702.9895999999999</v>
      </c>
      <c r="K490" s="418">
        <f t="shared" si="131"/>
        <v>-2199.08</v>
      </c>
      <c r="L490" s="418">
        <f t="shared" si="131"/>
        <v>-2252.9675999999999</v>
      </c>
      <c r="M490" s="418">
        <f t="shared" si="131"/>
        <v>-2297.2716</v>
      </c>
      <c r="N490" s="418">
        <f t="shared" si="131"/>
        <v>-2187.7439999999997</v>
      </c>
      <c r="O490" s="418">
        <f t="shared" si="131"/>
        <v>-2232.2091999999998</v>
      </c>
      <c r="P490" s="418">
        <f t="shared" si="131"/>
        <v>-2492.0895999999998</v>
      </c>
      <c r="Q490" s="418">
        <f t="shared" si="131"/>
        <v>-2572.7415999999998</v>
      </c>
      <c r="R490" s="418">
        <f t="shared" si="127"/>
        <v>-25417.4336</v>
      </c>
      <c r="S490" s="336"/>
      <c r="T490" s="336"/>
    </row>
    <row r="491" spans="1:20" x14ac:dyDescent="0.2">
      <c r="A491" s="336" t="s">
        <v>1054</v>
      </c>
      <c r="B491" s="336" t="s">
        <v>1069</v>
      </c>
      <c r="D491" s="382" t="s">
        <v>808</v>
      </c>
      <c r="F491" s="418">
        <f t="shared" si="131"/>
        <v>21070.62</v>
      </c>
      <c r="G491" s="418">
        <f t="shared" si="131"/>
        <v>21070.62</v>
      </c>
      <c r="H491" s="418">
        <f t="shared" si="131"/>
        <v>18403.019999999997</v>
      </c>
      <c r="I491" s="418">
        <f t="shared" si="131"/>
        <v>18403.019999999997</v>
      </c>
      <c r="J491" s="418">
        <f t="shared" si="131"/>
        <v>18403.02</v>
      </c>
      <c r="K491" s="418">
        <f t="shared" si="131"/>
        <v>18403.019999999997</v>
      </c>
      <c r="L491" s="418">
        <f t="shared" si="131"/>
        <v>22942.499999999996</v>
      </c>
      <c r="M491" s="418">
        <f t="shared" si="131"/>
        <v>23070.179999999997</v>
      </c>
      <c r="N491" s="418">
        <f t="shared" si="131"/>
        <v>23070.179999999997</v>
      </c>
      <c r="O491" s="418">
        <f t="shared" si="131"/>
        <v>23070.179999999997</v>
      </c>
      <c r="P491" s="418">
        <f t="shared" si="131"/>
        <v>23070.179999999997</v>
      </c>
      <c r="Q491" s="418">
        <f t="shared" si="131"/>
        <v>23070.179999999997</v>
      </c>
      <c r="R491" s="418">
        <f>SUM(F491:Q491)</f>
        <v>254046.71999999997</v>
      </c>
      <c r="S491" s="336"/>
      <c r="T491" s="336"/>
    </row>
    <row r="492" spans="1:20" x14ac:dyDescent="0.2">
      <c r="A492" s="336" t="s">
        <v>1054</v>
      </c>
      <c r="B492" s="336" t="s">
        <v>1071</v>
      </c>
      <c r="D492" s="382" t="s">
        <v>808</v>
      </c>
      <c r="F492" s="418">
        <f t="shared" si="131"/>
        <v>2196.23</v>
      </c>
      <c r="G492" s="418">
        <f t="shared" si="131"/>
        <v>2196.23</v>
      </c>
      <c r="H492" s="418">
        <f t="shared" si="131"/>
        <v>2067.04</v>
      </c>
      <c r="I492" s="418">
        <f t="shared" si="131"/>
        <v>2067.04</v>
      </c>
      <c r="J492" s="418">
        <f t="shared" si="131"/>
        <v>2067.04</v>
      </c>
      <c r="K492" s="418">
        <f t="shared" si="131"/>
        <v>2067.04</v>
      </c>
      <c r="L492" s="418">
        <f t="shared" si="131"/>
        <v>1937.85</v>
      </c>
      <c r="M492" s="418">
        <f t="shared" si="131"/>
        <v>2067.04</v>
      </c>
      <c r="N492" s="418">
        <f t="shared" si="131"/>
        <v>2067.04</v>
      </c>
      <c r="O492" s="418">
        <f>O470*O480</f>
        <v>2067.04</v>
      </c>
      <c r="P492" s="418">
        <f>P470*P480</f>
        <v>2067.04</v>
      </c>
      <c r="Q492" s="418">
        <f>Q470*Q480</f>
        <v>2067.04</v>
      </c>
      <c r="R492" s="418">
        <f>SUM(F492:Q492)</f>
        <v>24933.670000000006</v>
      </c>
      <c r="S492" s="336"/>
      <c r="T492" s="336"/>
    </row>
    <row r="493" spans="1:20" x14ac:dyDescent="0.2">
      <c r="B493" s="336" t="s">
        <v>986</v>
      </c>
      <c r="F493" s="339">
        <f>F483+F488+F491+F492+F489+F490</f>
        <v>71176.33735999999</v>
      </c>
      <c r="G493" s="339">
        <f t="shared" ref="G493:R493" si="132">G483+G488+G491+G492+G489+G490</f>
        <v>69766.521499999988</v>
      </c>
      <c r="H493" s="339">
        <f t="shared" si="132"/>
        <v>69684.827999999994</v>
      </c>
      <c r="I493" s="339">
        <f t="shared" si="132"/>
        <v>67244.860799999995</v>
      </c>
      <c r="J493" s="339">
        <f t="shared" si="132"/>
        <v>64228.65552</v>
      </c>
      <c r="K493" s="339">
        <f t="shared" si="132"/>
        <v>75057.579999999987</v>
      </c>
      <c r="L493" s="339">
        <f t="shared" si="132"/>
        <v>80203.46832</v>
      </c>
      <c r="M493" s="339">
        <f t="shared" si="132"/>
        <v>81851.721120000002</v>
      </c>
      <c r="N493" s="339">
        <f t="shared" si="132"/>
        <v>79479.184799999988</v>
      </c>
      <c r="O493" s="339">
        <f t="shared" si="132"/>
        <v>80442.369439999995</v>
      </c>
      <c r="P493" s="339">
        <f t="shared" si="132"/>
        <v>86071.778719999988</v>
      </c>
      <c r="Q493" s="339">
        <f t="shared" si="132"/>
        <v>87818.825119999994</v>
      </c>
      <c r="R493" s="339">
        <f t="shared" si="132"/>
        <v>913026.1307000001</v>
      </c>
      <c r="S493" s="336"/>
      <c r="T493" s="336"/>
    </row>
    <row r="494" spans="1:20" x14ac:dyDescent="0.2">
      <c r="F494" s="415"/>
      <c r="G494" s="415"/>
      <c r="H494" s="415"/>
      <c r="I494" s="415"/>
      <c r="J494" s="415"/>
      <c r="S494" s="336"/>
      <c r="T494" s="336"/>
    </row>
    <row r="495" spans="1:20" x14ac:dyDescent="0.2">
      <c r="A495" s="336" t="s">
        <v>1058</v>
      </c>
      <c r="B495" s="336" t="s">
        <v>1050</v>
      </c>
      <c r="F495" s="340">
        <f>F489</f>
        <v>252.2338</v>
      </c>
      <c r="G495" s="340">
        <f t="shared" ref="G495:Q495" si="133">G489</f>
        <v>243.7106</v>
      </c>
      <c r="H495" s="340">
        <f t="shared" si="133"/>
        <v>263.07749999999999</v>
      </c>
      <c r="I495" s="340">
        <f t="shared" si="133"/>
        <v>247.947</v>
      </c>
      <c r="J495" s="340">
        <f t="shared" si="133"/>
        <v>229.24860000000001</v>
      </c>
      <c r="K495" s="340">
        <f t="shared" si="133"/>
        <v>296.02999999999997</v>
      </c>
      <c r="L495" s="340">
        <f t="shared" si="133"/>
        <v>303.28410000000002</v>
      </c>
      <c r="M495" s="340">
        <f t="shared" si="133"/>
        <v>309.24810000000002</v>
      </c>
      <c r="N495" s="340">
        <f t="shared" si="133"/>
        <v>294.50400000000002</v>
      </c>
      <c r="O495" s="340">
        <f t="shared" si="133"/>
        <v>300.48969999999997</v>
      </c>
      <c r="P495" s="340">
        <f t="shared" si="133"/>
        <v>335.47359999999998</v>
      </c>
      <c r="Q495" s="340">
        <f t="shared" si="133"/>
        <v>346.3306</v>
      </c>
      <c r="R495" s="418">
        <f>SUM(F495:Q495)</f>
        <v>3421.5775999999996</v>
      </c>
      <c r="S495" s="336"/>
      <c r="T495" s="336"/>
    </row>
    <row r="496" spans="1:20" x14ac:dyDescent="0.2">
      <c r="F496" s="415"/>
      <c r="G496" s="415"/>
      <c r="H496" s="415"/>
      <c r="I496" s="415"/>
      <c r="J496" s="415"/>
      <c r="S496" s="336"/>
      <c r="T496" s="336"/>
    </row>
    <row r="497" spans="2:20" x14ac:dyDescent="0.2">
      <c r="B497" s="182" t="s">
        <v>1103</v>
      </c>
      <c r="C497" s="182"/>
      <c r="F497" s="415"/>
      <c r="G497" s="415"/>
      <c r="H497" s="415"/>
      <c r="I497" s="415"/>
      <c r="J497" s="415"/>
      <c r="S497" s="336"/>
      <c r="T497" s="336"/>
    </row>
    <row r="498" spans="2:20" x14ac:dyDescent="0.2">
      <c r="B498" s="182" t="s">
        <v>5</v>
      </c>
      <c r="C498" s="182"/>
      <c r="F498" s="415"/>
      <c r="G498" s="415"/>
      <c r="H498" s="415"/>
      <c r="I498" s="415"/>
      <c r="J498" s="415"/>
      <c r="S498" s="336"/>
      <c r="T498" s="336"/>
    </row>
    <row r="499" spans="2:20" x14ac:dyDescent="0.2">
      <c r="B499" s="336" t="s">
        <v>1059</v>
      </c>
      <c r="D499" s="382" t="s">
        <v>809</v>
      </c>
      <c r="E499" s="336" t="s">
        <v>976</v>
      </c>
      <c r="F499" s="460">
        <f t="shared" ref="F499:N499" si="134">F171</f>
        <v>893.87</v>
      </c>
      <c r="G499" s="460">
        <f t="shared" si="134"/>
        <v>893.87</v>
      </c>
      <c r="H499" s="460">
        <f t="shared" si="134"/>
        <v>893.87</v>
      </c>
      <c r="I499" s="460">
        <f t="shared" si="134"/>
        <v>893.87</v>
      </c>
      <c r="J499" s="460">
        <f t="shared" si="134"/>
        <v>893.87</v>
      </c>
      <c r="K499" s="460">
        <f t="shared" si="134"/>
        <v>893.87</v>
      </c>
      <c r="L499" s="460">
        <f t="shared" si="134"/>
        <v>893.87</v>
      </c>
      <c r="M499" s="460">
        <f t="shared" si="134"/>
        <v>893.87</v>
      </c>
      <c r="N499" s="460">
        <f t="shared" si="134"/>
        <v>893.87</v>
      </c>
      <c r="O499" s="460">
        <f>O171</f>
        <v>893.87</v>
      </c>
      <c r="P499" s="460">
        <f>P171</f>
        <v>893.87</v>
      </c>
      <c r="Q499" s="460">
        <f>Q171</f>
        <v>893.87</v>
      </c>
      <c r="S499" s="336"/>
      <c r="T499" s="336"/>
    </row>
    <row r="500" spans="2:20" x14ac:dyDescent="0.2">
      <c r="B500" s="336" t="s">
        <v>1047</v>
      </c>
      <c r="F500" s="459"/>
      <c r="G500" s="459"/>
      <c r="H500" s="459"/>
      <c r="I500" s="459"/>
      <c r="J500" s="459"/>
      <c r="K500" s="459"/>
      <c r="L500" s="459"/>
      <c r="M500" s="459"/>
      <c r="N500" s="459"/>
      <c r="O500" s="459"/>
      <c r="P500" s="459"/>
      <c r="Q500" s="459"/>
      <c r="S500" s="336"/>
      <c r="T500" s="336"/>
    </row>
    <row r="501" spans="2:20" x14ac:dyDescent="0.2">
      <c r="C501" s="336" t="s">
        <v>1086</v>
      </c>
      <c r="D501" s="382" t="s">
        <v>809</v>
      </c>
      <c r="E501" s="336" t="s">
        <v>957</v>
      </c>
      <c r="F501" s="459">
        <f t="shared" ref="F501:Q505" si="135">F173</f>
        <v>0.10491</v>
      </c>
      <c r="G501" s="459">
        <f t="shared" si="135"/>
        <v>0.10491</v>
      </c>
      <c r="H501" s="459">
        <f t="shared" si="135"/>
        <v>0.10491</v>
      </c>
      <c r="I501" s="459">
        <f t="shared" si="135"/>
        <v>0.10491</v>
      </c>
      <c r="J501" s="459">
        <f t="shared" si="135"/>
        <v>0.10491</v>
      </c>
      <c r="K501" s="459">
        <f t="shared" si="135"/>
        <v>0.10491</v>
      </c>
      <c r="L501" s="459">
        <f t="shared" si="135"/>
        <v>0.10491</v>
      </c>
      <c r="M501" s="459">
        <f t="shared" si="135"/>
        <v>0.10491</v>
      </c>
      <c r="N501" s="459">
        <f t="shared" si="135"/>
        <v>0.10491</v>
      </c>
      <c r="O501" s="459">
        <f t="shared" si="135"/>
        <v>0.10491</v>
      </c>
      <c r="P501" s="459">
        <f t="shared" si="135"/>
        <v>0.10491</v>
      </c>
      <c r="Q501" s="459">
        <f t="shared" si="135"/>
        <v>0.10491</v>
      </c>
      <c r="S501" s="336"/>
      <c r="T501" s="336"/>
    </row>
    <row r="502" spans="2:20" x14ac:dyDescent="0.2">
      <c r="C502" s="336" t="s">
        <v>1087</v>
      </c>
      <c r="D502" s="382" t="s">
        <v>809</v>
      </c>
      <c r="E502" s="336" t="s">
        <v>957</v>
      </c>
      <c r="F502" s="459">
        <f t="shared" si="135"/>
        <v>5.3780000000000001E-2</v>
      </c>
      <c r="G502" s="459">
        <f t="shared" si="135"/>
        <v>5.3780000000000001E-2</v>
      </c>
      <c r="H502" s="459">
        <f t="shared" si="135"/>
        <v>5.3780000000000001E-2</v>
      </c>
      <c r="I502" s="459">
        <f t="shared" si="135"/>
        <v>5.3780000000000001E-2</v>
      </c>
      <c r="J502" s="459">
        <f t="shared" si="135"/>
        <v>5.3780000000000001E-2</v>
      </c>
      <c r="K502" s="459">
        <f t="shared" si="135"/>
        <v>5.3780000000000001E-2</v>
      </c>
      <c r="L502" s="459">
        <f t="shared" si="135"/>
        <v>5.3780000000000001E-2</v>
      </c>
      <c r="M502" s="459">
        <f t="shared" si="135"/>
        <v>5.3780000000000001E-2</v>
      </c>
      <c r="N502" s="459">
        <f t="shared" si="135"/>
        <v>5.3780000000000001E-2</v>
      </c>
      <c r="O502" s="459">
        <f t="shared" si="135"/>
        <v>5.3780000000000001E-2</v>
      </c>
      <c r="P502" s="459">
        <f t="shared" si="135"/>
        <v>5.3780000000000001E-2</v>
      </c>
      <c r="Q502" s="459">
        <f t="shared" si="135"/>
        <v>5.3780000000000001E-2</v>
      </c>
      <c r="S502" s="336"/>
      <c r="T502" s="336"/>
    </row>
    <row r="503" spans="2:20" x14ac:dyDescent="0.2">
      <c r="C503" s="336" t="s">
        <v>1088</v>
      </c>
      <c r="D503" s="382" t="s">
        <v>809</v>
      </c>
      <c r="E503" s="336" t="s">
        <v>957</v>
      </c>
      <c r="F503" s="459">
        <f t="shared" si="135"/>
        <v>5.1619999999999999E-2</v>
      </c>
      <c r="G503" s="459">
        <f t="shared" si="135"/>
        <v>5.1619999999999999E-2</v>
      </c>
      <c r="H503" s="459">
        <f t="shared" si="135"/>
        <v>5.1619999999999999E-2</v>
      </c>
      <c r="I503" s="459">
        <f t="shared" si="135"/>
        <v>5.1619999999999999E-2</v>
      </c>
      <c r="J503" s="459">
        <f t="shared" si="135"/>
        <v>5.1619999999999999E-2</v>
      </c>
      <c r="K503" s="459">
        <f t="shared" si="135"/>
        <v>5.1619999999999999E-2</v>
      </c>
      <c r="L503" s="459">
        <f t="shared" si="135"/>
        <v>5.1619999999999999E-2</v>
      </c>
      <c r="M503" s="459">
        <f t="shared" si="135"/>
        <v>5.1619999999999999E-2</v>
      </c>
      <c r="N503" s="459">
        <f t="shared" si="135"/>
        <v>5.1619999999999999E-2</v>
      </c>
      <c r="O503" s="459">
        <f t="shared" si="135"/>
        <v>5.1619999999999999E-2</v>
      </c>
      <c r="P503" s="459">
        <f t="shared" si="135"/>
        <v>5.1619999999999999E-2</v>
      </c>
      <c r="Q503" s="459">
        <f t="shared" si="135"/>
        <v>5.1619999999999999E-2</v>
      </c>
      <c r="S503" s="336"/>
      <c r="T503" s="336"/>
    </row>
    <row r="504" spans="2:20" x14ac:dyDescent="0.2">
      <c r="B504" s="336" t="s">
        <v>1081</v>
      </c>
      <c r="D504" s="382" t="s">
        <v>809</v>
      </c>
      <c r="E504" s="336" t="s">
        <v>957</v>
      </c>
      <c r="F504" s="459">
        <f t="shared" si="135"/>
        <v>6.9999999999999999E-4</v>
      </c>
      <c r="G504" s="459">
        <f t="shared" si="135"/>
        <v>6.9999999999999999E-4</v>
      </c>
      <c r="H504" s="459">
        <f t="shared" si="135"/>
        <v>6.9999999999999999E-4</v>
      </c>
      <c r="I504" s="459">
        <f t="shared" si="135"/>
        <v>6.9999999999999999E-4</v>
      </c>
      <c r="J504" s="459">
        <f t="shared" si="135"/>
        <v>6.9999999999999999E-4</v>
      </c>
      <c r="K504" s="459">
        <f t="shared" si="135"/>
        <v>6.9999999999999999E-4</v>
      </c>
      <c r="L504" s="459">
        <f t="shared" si="135"/>
        <v>6.9999999999999999E-4</v>
      </c>
      <c r="M504" s="459">
        <f t="shared" si="135"/>
        <v>6.9999999999999999E-4</v>
      </c>
      <c r="N504" s="459">
        <f t="shared" si="135"/>
        <v>6.9999999999999999E-4</v>
      </c>
      <c r="O504" s="459">
        <f t="shared" si="135"/>
        <v>6.9999999999999999E-4</v>
      </c>
      <c r="P504" s="459">
        <f t="shared" si="135"/>
        <v>6.9999999999999999E-4</v>
      </c>
      <c r="Q504" s="459">
        <f t="shared" si="135"/>
        <v>6.9999999999999999E-4</v>
      </c>
      <c r="S504" s="336"/>
      <c r="T504" s="336"/>
    </row>
    <row r="505" spans="2:20" x14ac:dyDescent="0.2">
      <c r="B505" s="336" t="s">
        <v>1069</v>
      </c>
      <c r="D505" s="382" t="s">
        <v>809</v>
      </c>
      <c r="E505" s="336" t="s">
        <v>957</v>
      </c>
      <c r="F505" s="460">
        <f t="shared" si="135"/>
        <v>1.1399999999999999</v>
      </c>
      <c r="G505" s="460">
        <f t="shared" si="135"/>
        <v>1.1399999999999999</v>
      </c>
      <c r="H505" s="460">
        <f t="shared" si="135"/>
        <v>1.1399999999999999</v>
      </c>
      <c r="I505" s="460">
        <f t="shared" si="135"/>
        <v>1.1399999999999999</v>
      </c>
      <c r="J505" s="460">
        <f t="shared" si="135"/>
        <v>1.1399999999999999</v>
      </c>
      <c r="K505" s="460">
        <f t="shared" si="135"/>
        <v>1.1399999999999999</v>
      </c>
      <c r="L505" s="460">
        <f t="shared" si="135"/>
        <v>1.1399999999999999</v>
      </c>
      <c r="M505" s="460">
        <f t="shared" si="135"/>
        <v>1.1399999999999999</v>
      </c>
      <c r="N505" s="460">
        <f t="shared" si="135"/>
        <v>1.1399999999999999</v>
      </c>
      <c r="O505" s="460">
        <f t="shared" si="135"/>
        <v>1.1399999999999999</v>
      </c>
      <c r="P505" s="460">
        <f t="shared" si="135"/>
        <v>1.1399999999999999</v>
      </c>
      <c r="Q505" s="460">
        <f t="shared" si="135"/>
        <v>1.1399999999999999</v>
      </c>
      <c r="S505" s="336"/>
      <c r="T505" s="336"/>
    </row>
    <row r="506" spans="2:20" x14ac:dyDescent="0.2">
      <c r="B506" s="336" t="s">
        <v>1071</v>
      </c>
      <c r="D506" s="382" t="s">
        <v>809</v>
      </c>
      <c r="E506" s="336" t="s">
        <v>67</v>
      </c>
      <c r="F506" s="442"/>
      <c r="G506" s="442"/>
      <c r="H506" s="442"/>
      <c r="I506" s="442"/>
      <c r="J506" s="442"/>
      <c r="K506" s="442"/>
      <c r="L506" s="442"/>
      <c r="M506" s="442"/>
      <c r="N506" s="442"/>
      <c r="O506" s="442"/>
      <c r="P506" s="442"/>
      <c r="Q506" s="442"/>
      <c r="S506" s="336"/>
      <c r="T506" s="336"/>
    </row>
    <row r="507" spans="2:20" x14ac:dyDescent="0.2">
      <c r="F507" s="415"/>
      <c r="G507" s="415"/>
      <c r="H507" s="415"/>
      <c r="I507" s="415"/>
      <c r="J507" s="415"/>
      <c r="S507" s="336"/>
      <c r="T507" s="336"/>
    </row>
    <row r="508" spans="2:20" x14ac:dyDescent="0.2">
      <c r="B508" s="182" t="s">
        <v>1083</v>
      </c>
      <c r="F508" s="415"/>
      <c r="G508" s="415"/>
      <c r="H508" s="415"/>
      <c r="I508" s="415"/>
      <c r="J508" s="415"/>
      <c r="S508" s="336"/>
      <c r="T508" s="336"/>
    </row>
    <row r="509" spans="2:20" x14ac:dyDescent="0.2">
      <c r="B509" s="336" t="s">
        <v>67</v>
      </c>
      <c r="D509" s="382" t="s">
        <v>809</v>
      </c>
      <c r="E509" s="336" t="s">
        <v>67</v>
      </c>
      <c r="F509" s="421">
        <f>'JKP-3.1c - Data'!C149+'JKP-3.1c - 41T 86T Migrat Adj'!B54</f>
        <v>61</v>
      </c>
      <c r="G509" s="421">
        <f>'JKP-3.1c - Data'!D149+'JKP-3.1c - 41T 86T Migrat Adj'!C54</f>
        <v>63</v>
      </c>
      <c r="H509" s="421">
        <f>'JKP-3.1c - Data'!E149+'JKP-3.1c - 41T 86T Migrat Adj'!D54</f>
        <v>62</v>
      </c>
      <c r="I509" s="421">
        <f>'JKP-3.1c - Data'!F149+'JKP-3.1c - 41T 86T Migrat Adj'!E54</f>
        <v>62</v>
      </c>
      <c r="J509" s="421">
        <f>'JKP-3.1c - Data'!G149+'JKP-3.1c - 41T 86T Migrat Adj'!F54</f>
        <v>61.999999999999993</v>
      </c>
      <c r="K509" s="421">
        <f>'JKP-3.1c - Data'!H149+'JKP-3.1c - 41T 86T Migrat Adj'!G54</f>
        <v>62</v>
      </c>
      <c r="L509" s="421">
        <f>'JKP-3.1c - Data'!I149+'JKP-3.1c - 41T 86T Migrat Adj'!H54</f>
        <v>63</v>
      </c>
      <c r="M509" s="421">
        <f>'JKP-3.1c - Data'!J149+'JKP-3.1c - 41T 86T Migrat Adj'!I54</f>
        <v>62</v>
      </c>
      <c r="N509" s="421">
        <f>'JKP-3.1c - Data'!K149+'JKP-3.1c - 41T 86T Migrat Adj'!J54</f>
        <v>62</v>
      </c>
      <c r="O509" s="421">
        <f>'JKP-3.1c - Data'!L149+'JKP-3.1c - 41T 86T Migrat Adj'!K54</f>
        <v>62</v>
      </c>
      <c r="P509" s="421">
        <f>'JKP-3.1c - Data'!M149+'JKP-3.1c - 41T 86T Migrat Adj'!L54</f>
        <v>62</v>
      </c>
      <c r="Q509" s="421">
        <f>'JKP-3.1c - Data'!N149+'JKP-3.1c - 41T 86T Migrat Adj'!M54</f>
        <v>63</v>
      </c>
      <c r="R509" s="378">
        <f>SUM(F509:Q509)</f>
        <v>746</v>
      </c>
      <c r="S509" s="336"/>
      <c r="T509" s="336"/>
    </row>
    <row r="510" spans="2:20" x14ac:dyDescent="0.2">
      <c r="B510" s="336" t="s">
        <v>76</v>
      </c>
      <c r="F510" s="380"/>
      <c r="G510" s="380"/>
      <c r="H510" s="380"/>
      <c r="I510" s="380"/>
      <c r="J510" s="380"/>
      <c r="K510" s="380"/>
      <c r="L510" s="380"/>
      <c r="M510" s="380"/>
      <c r="N510" s="380"/>
      <c r="O510" s="380"/>
      <c r="P510" s="380"/>
      <c r="Q510" s="380"/>
      <c r="R510" s="378"/>
      <c r="S510" s="336"/>
      <c r="T510" s="336"/>
    </row>
    <row r="511" spans="2:20" x14ac:dyDescent="0.2">
      <c r="C511" s="336" t="s">
        <v>1086</v>
      </c>
      <c r="D511" s="382" t="s">
        <v>809</v>
      </c>
      <c r="E511" s="336" t="s">
        <v>10</v>
      </c>
      <c r="F511" s="421">
        <f>'JKP-3.1c - Rev Rates GTI10'!F511+'JKP-3.1c - 41T 86T Migrat Adj'!B33</f>
        <v>1297461</v>
      </c>
      <c r="G511" s="421">
        <f>'JKP-3.1c - Rev Rates GTI10'!G511+'JKP-3.1c - 41T 86T Migrat Adj'!C33</f>
        <v>1353890</v>
      </c>
      <c r="H511" s="421">
        <f>'JKP-3.1c - Rev Rates GTI10'!H511+'JKP-3.1c - 41T 86T Migrat Adj'!D33</f>
        <v>1433183</v>
      </c>
      <c r="I511" s="421">
        <f>'JKP-3.1c - Rev Rates GTI10'!I511+'JKP-3.1c - 41T 86T Migrat Adj'!E33</f>
        <v>1423887</v>
      </c>
      <c r="J511" s="421">
        <f>'JKP-3.1c - Rev Rates GTI10'!J511+'JKP-3.1c - 41T 86T Migrat Adj'!F33</f>
        <v>1463350</v>
      </c>
      <c r="K511" s="421">
        <f>'JKP-3.1c - Rev Rates GTI10'!K511+'JKP-3.1c - 41T 86T Migrat Adj'!G33</f>
        <v>1450803</v>
      </c>
      <c r="L511" s="421">
        <f>'JKP-3.1c - Rev Rates GTI10'!L511+'JKP-3.1c - 41T 86T Migrat Adj'!H33</f>
        <v>1391248</v>
      </c>
      <c r="M511" s="421">
        <f>'JKP-3.1c - Rev Rates GTI10'!M511+'JKP-3.1c - 41T 86T Migrat Adj'!I33</f>
        <v>1400299</v>
      </c>
      <c r="N511" s="421">
        <f>'JKP-3.1c - Rev Rates GTI10'!N511+'JKP-3.1c - 41T 86T Migrat Adj'!J33</f>
        <v>1390439</v>
      </c>
      <c r="O511" s="421">
        <f>'JKP-3.1c - Rev Rates GTI10'!O511+'JKP-3.1c - 41T 86T Migrat Adj'!K33</f>
        <v>1452877</v>
      </c>
      <c r="P511" s="421">
        <f>'JKP-3.1c - Rev Rates GTI10'!P511+'JKP-3.1c - 41T 86T Migrat Adj'!L33</f>
        <v>1410443</v>
      </c>
      <c r="Q511" s="421">
        <f>'JKP-3.1c - Rev Rates GTI10'!Q511+'JKP-3.1c - 41T 86T Migrat Adj'!M33</f>
        <v>1317754</v>
      </c>
      <c r="R511" s="378">
        <f>SUM(F511:Q511)</f>
        <v>16785634</v>
      </c>
      <c r="S511" s="336"/>
      <c r="T511" s="336"/>
    </row>
    <row r="512" spans="2:20" x14ac:dyDescent="0.2">
      <c r="C512" s="336" t="s">
        <v>1087</v>
      </c>
      <c r="D512" s="382" t="s">
        <v>809</v>
      </c>
      <c r="E512" s="336" t="s">
        <v>10</v>
      </c>
      <c r="F512" s="421">
        <f>'JKP-3.1c - Rev Rates GTI10'!F512+'JKP-3.1c - 41T 86T Migrat Adj'!B34</f>
        <v>764738</v>
      </c>
      <c r="G512" s="421">
        <f>'JKP-3.1c - Rev Rates GTI10'!G512+'JKP-3.1c - 41T 86T Migrat Adj'!C34</f>
        <v>756676</v>
      </c>
      <c r="H512" s="421">
        <f>'JKP-3.1c - Rev Rates GTI10'!H512+'JKP-3.1c - 41T 86T Migrat Adj'!D34</f>
        <v>896677</v>
      </c>
      <c r="I512" s="421">
        <f>'JKP-3.1c - Rev Rates GTI10'!I512+'JKP-3.1c - 41T 86T Migrat Adj'!E34</f>
        <v>849173</v>
      </c>
      <c r="J512" s="421">
        <f>'JKP-3.1c - Rev Rates GTI10'!J512+'JKP-3.1c - 41T 86T Migrat Adj'!F34</f>
        <v>812946</v>
      </c>
      <c r="K512" s="421">
        <f>'JKP-3.1c - Rev Rates GTI10'!K512+'JKP-3.1c - 41T 86T Migrat Adj'!G34</f>
        <v>919272</v>
      </c>
      <c r="L512" s="421">
        <f>'JKP-3.1c - Rev Rates GTI10'!L512+'JKP-3.1c - 41T 86T Migrat Adj'!H34</f>
        <v>836907</v>
      </c>
      <c r="M512" s="421">
        <f>'JKP-3.1c - Rev Rates GTI10'!M512+'JKP-3.1c - 41T 86T Migrat Adj'!I34</f>
        <v>863182</v>
      </c>
      <c r="N512" s="421">
        <f>'JKP-3.1c - Rev Rates GTI10'!N512+'JKP-3.1c - 41T 86T Migrat Adj'!J34</f>
        <v>882239</v>
      </c>
      <c r="O512" s="421">
        <f>'JKP-3.1c - Rev Rates GTI10'!O512+'JKP-3.1c - 41T 86T Migrat Adj'!K34</f>
        <v>913470</v>
      </c>
      <c r="P512" s="421">
        <f>'JKP-3.1c - Rev Rates GTI10'!P512+'JKP-3.1c - 41T 86T Migrat Adj'!L34</f>
        <v>811150</v>
      </c>
      <c r="Q512" s="421">
        <f>'JKP-3.1c - Rev Rates GTI10'!Q512+'JKP-3.1c - 41T 86T Migrat Adj'!M34</f>
        <v>735474</v>
      </c>
      <c r="R512" s="378">
        <f>SUM(F512:Q512)</f>
        <v>10041904</v>
      </c>
      <c r="S512" s="336"/>
      <c r="T512" s="336"/>
    </row>
    <row r="513" spans="1:20" x14ac:dyDescent="0.2">
      <c r="C513" s="336" t="s">
        <v>1088</v>
      </c>
      <c r="D513" s="382" t="s">
        <v>809</v>
      </c>
      <c r="E513" s="336" t="s">
        <v>10</v>
      </c>
      <c r="F513" s="378">
        <f t="shared" ref="F513:N513" si="136">F514-SUM(F511:F512)</f>
        <v>1132089</v>
      </c>
      <c r="G513" s="378">
        <f t="shared" si="136"/>
        <v>1035200</v>
      </c>
      <c r="H513" s="378">
        <f t="shared" si="136"/>
        <v>1281979</v>
      </c>
      <c r="I513" s="378">
        <f t="shared" si="136"/>
        <v>1215482</v>
      </c>
      <c r="J513" s="378">
        <f t="shared" si="136"/>
        <v>1282290</v>
      </c>
      <c r="K513" s="378">
        <f t="shared" si="136"/>
        <v>1531620</v>
      </c>
      <c r="L513" s="378">
        <f t="shared" si="136"/>
        <v>1336969</v>
      </c>
      <c r="M513" s="378">
        <f t="shared" si="136"/>
        <v>1411813</v>
      </c>
      <c r="N513" s="378">
        <f t="shared" si="136"/>
        <v>1154727</v>
      </c>
      <c r="O513" s="378">
        <f>O514-SUM(O511:O512)</f>
        <v>1275791</v>
      </c>
      <c r="P513" s="378">
        <f>P514-SUM(P511:P512)</f>
        <v>1281982</v>
      </c>
      <c r="Q513" s="378">
        <f>Q514-SUM(Q511:Q512)</f>
        <v>1188277</v>
      </c>
      <c r="R513" s="378">
        <f>SUM(F513:Q513)</f>
        <v>15128219</v>
      </c>
      <c r="S513" s="336"/>
      <c r="T513" s="336"/>
    </row>
    <row r="514" spans="1:20" x14ac:dyDescent="0.2">
      <c r="C514" s="336" t="s">
        <v>1075</v>
      </c>
      <c r="D514" s="382" t="s">
        <v>809</v>
      </c>
      <c r="E514" s="336" t="s">
        <v>10</v>
      </c>
      <c r="F514" s="445">
        <f>'JKP-3.1c - Weather Adj'!D171</f>
        <v>3194288</v>
      </c>
      <c r="G514" s="445">
        <f>'JKP-3.1c - Weather Adj'!E171</f>
        <v>3145766</v>
      </c>
      <c r="H514" s="445">
        <f>'JKP-3.1c - Weather Adj'!F171</f>
        <v>3611839</v>
      </c>
      <c r="I514" s="445">
        <f>'JKP-3.1c - Weather Adj'!G171</f>
        <v>3488542</v>
      </c>
      <c r="J514" s="445">
        <f>'JKP-3.1c - Weather Adj'!H171</f>
        <v>3558586</v>
      </c>
      <c r="K514" s="445">
        <f>'JKP-3.1c - Weather Adj'!I171</f>
        <v>3901695</v>
      </c>
      <c r="L514" s="445">
        <f>'JKP-3.1c - Weather Adj'!J171</f>
        <v>3565124</v>
      </c>
      <c r="M514" s="445">
        <f>'JKP-3.1c - Weather Adj'!K171</f>
        <v>3675294</v>
      </c>
      <c r="N514" s="445">
        <f>'JKP-3.1c - Weather Adj'!L171</f>
        <v>3427405</v>
      </c>
      <c r="O514" s="445">
        <f>'JKP-3.1c - Weather Adj'!M171</f>
        <v>3642138</v>
      </c>
      <c r="P514" s="445">
        <f>'JKP-3.1c - Weather Adj'!N171</f>
        <v>3503575</v>
      </c>
      <c r="Q514" s="445">
        <f>'JKP-3.1c - Weather Adj'!O171</f>
        <v>3241505</v>
      </c>
      <c r="R514" s="436">
        <f>SUM(F514:Q514)</f>
        <v>41955757</v>
      </c>
      <c r="S514" s="336"/>
      <c r="T514" s="336"/>
    </row>
    <row r="515" spans="1:20" x14ac:dyDescent="0.2">
      <c r="B515" s="336" t="s">
        <v>74</v>
      </c>
      <c r="D515" s="382" t="s">
        <v>809</v>
      </c>
      <c r="E515" s="336" t="s">
        <v>1076</v>
      </c>
      <c r="F515" s="421">
        <f>'JKP-3.1c - Data'!C169+'JKP-3.1c - 41T 86T Migrat Adj'!B66</f>
        <v>41134</v>
      </c>
      <c r="G515" s="421">
        <f>'JKP-3.1c - Data'!D169+'JKP-3.1c - 41T 86T Migrat Adj'!C66</f>
        <v>38084</v>
      </c>
      <c r="H515" s="421">
        <f>'JKP-3.1c - Data'!E169+'JKP-3.1c - 41T 86T Migrat Adj'!D66</f>
        <v>38084</v>
      </c>
      <c r="I515" s="421">
        <f>'JKP-3.1c - Data'!F169+'JKP-3.1c - 41T 86T Migrat Adj'!E66</f>
        <v>38084</v>
      </c>
      <c r="J515" s="421">
        <f>'JKP-3.1c - Data'!G169+'JKP-3.1c - 41T 86T Migrat Adj'!F66</f>
        <v>35584</v>
      </c>
      <c r="K515" s="421">
        <f>'JKP-3.1c - Data'!H169+'JKP-3.1c - 41T 86T Migrat Adj'!G66</f>
        <v>35584</v>
      </c>
      <c r="L515" s="421">
        <f>'JKP-3.1c - Data'!I169+'JKP-3.1c - 41T 86T Migrat Adj'!H66</f>
        <v>35704</v>
      </c>
      <c r="M515" s="421">
        <f>'JKP-3.1c - Data'!J169+'JKP-3.1c - 41T 86T Migrat Adj'!I66</f>
        <v>35584</v>
      </c>
      <c r="N515" s="421">
        <f>'JKP-3.1c - Data'!K169+'JKP-3.1c - 41T 86T Migrat Adj'!J66</f>
        <v>35584</v>
      </c>
      <c r="O515" s="421">
        <f>'JKP-3.1c - Data'!L169+'JKP-3.1c - 41T 86T Migrat Adj'!K66</f>
        <v>35584</v>
      </c>
      <c r="P515" s="421">
        <f>'JKP-3.1c - Data'!M169+'JKP-3.1c - 41T 86T Migrat Adj'!L66</f>
        <v>35584</v>
      </c>
      <c r="Q515" s="421">
        <f>'JKP-3.1c - Data'!N169+'JKP-3.1c - 41T 86T Migrat Adj'!M66</f>
        <v>35601</v>
      </c>
      <c r="R515" s="378">
        <f>SUM(F515:Q515)</f>
        <v>440195</v>
      </c>
      <c r="S515" s="336"/>
      <c r="T515" s="336"/>
    </row>
    <row r="516" spans="1:20" x14ac:dyDescent="0.2">
      <c r="B516" s="336" t="s">
        <v>1071</v>
      </c>
      <c r="D516" s="382"/>
      <c r="F516" s="380"/>
      <c r="G516" s="380"/>
      <c r="H516" s="380"/>
      <c r="I516" s="380"/>
      <c r="J516" s="380"/>
      <c r="K516" s="380"/>
      <c r="L516" s="380"/>
      <c r="M516" s="380"/>
      <c r="N516" s="380"/>
      <c r="O516" s="380"/>
      <c r="P516" s="380"/>
      <c r="Q516" s="380"/>
      <c r="R516" s="380"/>
      <c r="S516" s="336"/>
      <c r="T516" s="336"/>
    </row>
    <row r="517" spans="1:20" x14ac:dyDescent="0.2">
      <c r="S517" s="336"/>
      <c r="T517" s="336"/>
    </row>
    <row r="518" spans="1:20" x14ac:dyDescent="0.2">
      <c r="B518" s="182" t="s">
        <v>985</v>
      </c>
      <c r="S518" s="336"/>
      <c r="T518" s="336"/>
    </row>
    <row r="519" spans="1:20" x14ac:dyDescent="0.2">
      <c r="A519" s="336" t="s">
        <v>1054</v>
      </c>
      <c r="B519" s="336" t="s">
        <v>1059</v>
      </c>
      <c r="D519" s="382" t="s">
        <v>809</v>
      </c>
      <c r="F519" s="418">
        <f t="shared" ref="F519:Q519" si="137">F499*F509</f>
        <v>54526.07</v>
      </c>
      <c r="G519" s="418">
        <f t="shared" si="137"/>
        <v>56313.81</v>
      </c>
      <c r="H519" s="418">
        <f t="shared" si="137"/>
        <v>55419.94</v>
      </c>
      <c r="I519" s="418">
        <f t="shared" si="137"/>
        <v>55419.94</v>
      </c>
      <c r="J519" s="418">
        <f t="shared" si="137"/>
        <v>55419.939999999995</v>
      </c>
      <c r="K519" s="418">
        <f t="shared" si="137"/>
        <v>55419.94</v>
      </c>
      <c r="L519" s="418">
        <f t="shared" si="137"/>
        <v>56313.81</v>
      </c>
      <c r="M519" s="418">
        <f t="shared" si="137"/>
        <v>55419.94</v>
      </c>
      <c r="N519" s="418">
        <f t="shared" si="137"/>
        <v>55419.94</v>
      </c>
      <c r="O519" s="418">
        <f t="shared" si="137"/>
        <v>55419.94</v>
      </c>
      <c r="P519" s="418">
        <f t="shared" si="137"/>
        <v>55419.94</v>
      </c>
      <c r="Q519" s="418">
        <f t="shared" si="137"/>
        <v>56313.81</v>
      </c>
      <c r="R519" s="418">
        <f>SUM(F519:Q519)</f>
        <v>666827.02</v>
      </c>
      <c r="S519" s="340"/>
      <c r="T519" s="336"/>
    </row>
    <row r="520" spans="1:20" x14ac:dyDescent="0.2">
      <c r="C520" s="336" t="s">
        <v>1047</v>
      </c>
      <c r="D520" s="382"/>
      <c r="F520" s="418"/>
      <c r="G520" s="418"/>
      <c r="H520" s="418"/>
      <c r="I520" s="418"/>
      <c r="J520" s="418"/>
      <c r="K520" s="418"/>
      <c r="L520" s="418"/>
      <c r="M520" s="418"/>
      <c r="N520" s="418"/>
      <c r="O520" s="418"/>
      <c r="P520" s="418"/>
      <c r="Q520" s="418"/>
      <c r="R520" s="418"/>
      <c r="S520" s="340"/>
      <c r="T520" s="336"/>
    </row>
    <row r="521" spans="1:20" x14ac:dyDescent="0.2">
      <c r="C521" s="336" t="s">
        <v>1086</v>
      </c>
      <c r="D521" s="382" t="s">
        <v>809</v>
      </c>
      <c r="F521" s="418">
        <f t="shared" ref="F521:Q523" si="138">F501*F511</f>
        <v>136116.63351000001</v>
      </c>
      <c r="G521" s="418">
        <f t="shared" si="138"/>
        <v>142036.5999</v>
      </c>
      <c r="H521" s="418">
        <f t="shared" si="138"/>
        <v>150355.22852999999</v>
      </c>
      <c r="I521" s="418">
        <f t="shared" si="138"/>
        <v>149379.98517</v>
      </c>
      <c r="J521" s="418">
        <f t="shared" si="138"/>
        <v>153520.0485</v>
      </c>
      <c r="K521" s="418">
        <f t="shared" si="138"/>
        <v>152203.74273</v>
      </c>
      <c r="L521" s="418">
        <f t="shared" si="138"/>
        <v>145955.82768000002</v>
      </c>
      <c r="M521" s="418">
        <f t="shared" si="138"/>
        <v>146905.36809</v>
      </c>
      <c r="N521" s="418">
        <f t="shared" si="138"/>
        <v>145870.95548999999</v>
      </c>
      <c r="O521" s="418">
        <f t="shared" si="138"/>
        <v>152421.32607000001</v>
      </c>
      <c r="P521" s="418">
        <f t="shared" si="138"/>
        <v>147969.57513000001</v>
      </c>
      <c r="Q521" s="418">
        <f t="shared" si="138"/>
        <v>138245.57214</v>
      </c>
      <c r="R521" s="418">
        <f t="shared" ref="R521:R527" si="139">SUM(F521:Q521)</f>
        <v>1760980.8629399999</v>
      </c>
      <c r="S521" s="340"/>
      <c r="T521" s="336"/>
    </row>
    <row r="522" spans="1:20" x14ac:dyDescent="0.2">
      <c r="C522" s="336" t="s">
        <v>1087</v>
      </c>
      <c r="D522" s="382" t="s">
        <v>809</v>
      </c>
      <c r="F522" s="418">
        <f t="shared" si="138"/>
        <v>41127.609640000002</v>
      </c>
      <c r="G522" s="418">
        <f t="shared" si="138"/>
        <v>40694.035280000004</v>
      </c>
      <c r="H522" s="418">
        <f t="shared" si="138"/>
        <v>48223.289060000003</v>
      </c>
      <c r="I522" s="418">
        <f t="shared" si="138"/>
        <v>45668.523939999999</v>
      </c>
      <c r="J522" s="418">
        <f t="shared" si="138"/>
        <v>43720.23588</v>
      </c>
      <c r="K522" s="418">
        <f t="shared" si="138"/>
        <v>49438.44816</v>
      </c>
      <c r="L522" s="418">
        <f t="shared" si="138"/>
        <v>45008.858460000003</v>
      </c>
      <c r="M522" s="418">
        <f t="shared" si="138"/>
        <v>46421.927960000001</v>
      </c>
      <c r="N522" s="418">
        <f t="shared" si="138"/>
        <v>47446.813419999999</v>
      </c>
      <c r="O522" s="418">
        <f t="shared" si="138"/>
        <v>49126.416600000004</v>
      </c>
      <c r="P522" s="418">
        <f t="shared" si="138"/>
        <v>43623.647000000004</v>
      </c>
      <c r="Q522" s="418">
        <f t="shared" si="138"/>
        <v>39553.791720000001</v>
      </c>
      <c r="R522" s="418">
        <f t="shared" si="139"/>
        <v>540053.59712000005</v>
      </c>
      <c r="S522" s="340"/>
      <c r="T522" s="336"/>
    </row>
    <row r="523" spans="1:20" x14ac:dyDescent="0.2">
      <c r="C523" s="336" t="s">
        <v>1088</v>
      </c>
      <c r="D523" s="382" t="s">
        <v>809</v>
      </c>
      <c r="F523" s="418">
        <f t="shared" si="138"/>
        <v>58438.434179999997</v>
      </c>
      <c r="G523" s="418">
        <f t="shared" si="138"/>
        <v>53437.023999999998</v>
      </c>
      <c r="H523" s="418">
        <f t="shared" si="138"/>
        <v>66175.755980000002</v>
      </c>
      <c r="I523" s="418">
        <f t="shared" si="138"/>
        <v>62743.180840000001</v>
      </c>
      <c r="J523" s="418">
        <f t="shared" si="138"/>
        <v>66191.809800000003</v>
      </c>
      <c r="K523" s="418">
        <f t="shared" si="138"/>
        <v>79062.224399999992</v>
      </c>
      <c r="L523" s="418">
        <f t="shared" si="138"/>
        <v>69014.339779999995</v>
      </c>
      <c r="M523" s="418">
        <f t="shared" si="138"/>
        <v>72877.787060000002</v>
      </c>
      <c r="N523" s="418">
        <f t="shared" si="138"/>
        <v>59607.007740000001</v>
      </c>
      <c r="O523" s="418">
        <f t="shared" si="138"/>
        <v>65856.331420000002</v>
      </c>
      <c r="P523" s="418">
        <f t="shared" si="138"/>
        <v>66175.910839999997</v>
      </c>
      <c r="Q523" s="418">
        <f t="shared" si="138"/>
        <v>61338.858739999996</v>
      </c>
      <c r="R523" s="418">
        <f t="shared" si="139"/>
        <v>780918.66477999999</v>
      </c>
      <c r="S523" s="340"/>
      <c r="T523" s="336"/>
    </row>
    <row r="524" spans="1:20" x14ac:dyDescent="0.2">
      <c r="A524" s="336" t="s">
        <v>1054</v>
      </c>
      <c r="C524" s="336" t="s">
        <v>1077</v>
      </c>
      <c r="D524" s="382"/>
      <c r="F524" s="339">
        <f t="shared" ref="F524:L524" si="140">SUM(F521:F523)</f>
        <v>235682.67733000003</v>
      </c>
      <c r="G524" s="339">
        <f t="shared" si="140"/>
        <v>236167.65918000002</v>
      </c>
      <c r="H524" s="339">
        <f t="shared" si="140"/>
        <v>264754.27357000002</v>
      </c>
      <c r="I524" s="339">
        <f t="shared" si="140"/>
        <v>257791.68994999997</v>
      </c>
      <c r="J524" s="339">
        <f t="shared" si="140"/>
        <v>263432.09418000001</v>
      </c>
      <c r="K524" s="339">
        <f t="shared" si="140"/>
        <v>280704.41528999998</v>
      </c>
      <c r="L524" s="339">
        <f t="shared" si="140"/>
        <v>259979.02591999999</v>
      </c>
      <c r="M524" s="339">
        <f>SUM(M521:M523)</f>
        <v>266205.08311000001</v>
      </c>
      <c r="N524" s="339">
        <f>SUM(N521:N523)</f>
        <v>252924.77664999999</v>
      </c>
      <c r="O524" s="339">
        <f>SUM(O521:O523)</f>
        <v>267404.07409000001</v>
      </c>
      <c r="P524" s="339">
        <f>SUM(P521:P523)</f>
        <v>257769.13297000001</v>
      </c>
      <c r="Q524" s="339">
        <f>SUM(Q521:Q523)</f>
        <v>239138.22260000001</v>
      </c>
      <c r="R524" s="339">
        <f t="shared" si="139"/>
        <v>3081953.1248400002</v>
      </c>
      <c r="S524" s="340"/>
      <c r="T524" s="336"/>
    </row>
    <row r="525" spans="1:20" x14ac:dyDescent="0.2">
      <c r="A525" s="415" t="s">
        <v>1056</v>
      </c>
      <c r="B525" s="336" t="s">
        <v>1300</v>
      </c>
      <c r="D525" s="382" t="s">
        <v>809</v>
      </c>
      <c r="E525" s="415"/>
      <c r="F525" s="668">
        <f t="shared" ref="F525:Q526" si="141">F504*F514</f>
        <v>2236.0016000000001</v>
      </c>
      <c r="G525" s="668">
        <f t="shared" si="141"/>
        <v>2202.0362</v>
      </c>
      <c r="H525" s="668">
        <f t="shared" si="141"/>
        <v>2528.2873</v>
      </c>
      <c r="I525" s="668">
        <f t="shared" si="141"/>
        <v>2441.9794000000002</v>
      </c>
      <c r="J525" s="668">
        <f t="shared" si="141"/>
        <v>2491.0102000000002</v>
      </c>
      <c r="K525" s="668">
        <f t="shared" si="141"/>
        <v>2731.1864999999998</v>
      </c>
      <c r="L525" s="668">
        <f t="shared" si="141"/>
        <v>2495.5868</v>
      </c>
      <c r="M525" s="668">
        <f t="shared" si="141"/>
        <v>2572.7058000000002</v>
      </c>
      <c r="N525" s="668">
        <f t="shared" si="141"/>
        <v>2399.1835000000001</v>
      </c>
      <c r="O525" s="668">
        <f t="shared" si="141"/>
        <v>2549.4965999999999</v>
      </c>
      <c r="P525" s="668">
        <f t="shared" si="141"/>
        <v>2452.5025000000001</v>
      </c>
      <c r="Q525" s="668">
        <f t="shared" si="141"/>
        <v>2269.0535</v>
      </c>
      <c r="R525" s="668">
        <f t="shared" si="139"/>
        <v>29369.029899999994</v>
      </c>
      <c r="S525" s="340"/>
      <c r="T525" s="336"/>
    </row>
    <row r="526" spans="1:20" x14ac:dyDescent="0.2">
      <c r="A526" s="336" t="s">
        <v>1054</v>
      </c>
      <c r="B526" s="336" t="s">
        <v>1069</v>
      </c>
      <c r="D526" s="382" t="s">
        <v>809</v>
      </c>
      <c r="F526" s="418">
        <f t="shared" si="141"/>
        <v>46892.759999999995</v>
      </c>
      <c r="G526" s="418">
        <f t="shared" si="141"/>
        <v>43415.759999999995</v>
      </c>
      <c r="H526" s="418">
        <f t="shared" si="141"/>
        <v>43415.759999999995</v>
      </c>
      <c r="I526" s="418">
        <f t="shared" si="141"/>
        <v>43415.759999999995</v>
      </c>
      <c r="J526" s="418">
        <f t="shared" si="141"/>
        <v>40565.759999999995</v>
      </c>
      <c r="K526" s="418">
        <f t="shared" si="141"/>
        <v>40565.759999999995</v>
      </c>
      <c r="L526" s="418">
        <f t="shared" si="141"/>
        <v>40702.559999999998</v>
      </c>
      <c r="M526" s="418">
        <f t="shared" si="141"/>
        <v>40565.759999999995</v>
      </c>
      <c r="N526" s="418">
        <f t="shared" si="141"/>
        <v>40565.759999999995</v>
      </c>
      <c r="O526" s="418">
        <f t="shared" si="141"/>
        <v>40565.759999999995</v>
      </c>
      <c r="P526" s="418">
        <f t="shared" si="141"/>
        <v>40565.759999999995</v>
      </c>
      <c r="Q526" s="418">
        <f t="shared" si="141"/>
        <v>40585.14</v>
      </c>
      <c r="R526" s="418">
        <f t="shared" si="139"/>
        <v>501822.30000000005</v>
      </c>
      <c r="S526" s="340"/>
      <c r="T526" s="336"/>
    </row>
    <row r="527" spans="1:20" x14ac:dyDescent="0.2">
      <c r="A527" s="336" t="s">
        <v>1054</v>
      </c>
      <c r="B527" s="336" t="s">
        <v>1071</v>
      </c>
      <c r="D527" s="382" t="s">
        <v>809</v>
      </c>
      <c r="F527" s="447">
        <f>'JKP-3.1c - Data'!C186+'JKP-3.1c - 85&amp;T Min Charge Adj '!B44</f>
        <v>0</v>
      </c>
      <c r="G527" s="447">
        <f>'JKP-3.1c - Data'!D186+'JKP-3.1c - 85&amp;T Min Charge Adj '!C44</f>
        <v>0</v>
      </c>
      <c r="H527" s="447">
        <f>'JKP-3.1c - Data'!E186+'JKP-3.1c - 85&amp;T Min Charge Adj '!D44</f>
        <v>0</v>
      </c>
      <c r="I527" s="447">
        <f>'JKP-3.1c - Data'!F186+'JKP-3.1c - 85&amp;T Min Charge Adj '!E44</f>
        <v>0</v>
      </c>
      <c r="J527" s="447">
        <f>'JKP-3.1c - Data'!G186+'JKP-3.1c - 85&amp;T Min Charge Adj '!F44</f>
        <v>6683.6300000000047</v>
      </c>
      <c r="K527" s="447">
        <f>'JKP-3.1c - Data'!H186+'JKP-3.1c - 85&amp;T Min Charge Adj '!G44</f>
        <v>0</v>
      </c>
      <c r="L527" s="447">
        <f>'JKP-3.1c - Data'!I186+'JKP-3.1c - 85&amp;T Min Charge Adj '!H44</f>
        <v>0</v>
      </c>
      <c r="M527" s="447">
        <f>'JKP-3.1c - Data'!J186+'JKP-3.1c - 85&amp;T Min Charge Adj '!I44</f>
        <v>-19527.16</v>
      </c>
      <c r="N527" s="447">
        <f>'JKP-3.1c - Data'!K186+'JKP-3.1c - 85&amp;T Min Charge Adj '!J44</f>
        <v>19527.16</v>
      </c>
      <c r="O527" s="447">
        <f>'JKP-3.1c - Data'!L186+'JKP-3.1c - 85&amp;T Min Charge Adj '!K44</f>
        <v>0</v>
      </c>
      <c r="P527" s="447">
        <f>'JKP-3.1c - Data'!M186+'JKP-3.1c - 85&amp;T Min Charge Adj '!L44</f>
        <v>11374.9</v>
      </c>
      <c r="Q527" s="447">
        <f>'JKP-3.1c - Data'!N186+'JKP-3.1c - 85&amp;T Min Charge Adj '!M44</f>
        <v>0</v>
      </c>
      <c r="R527" s="437">
        <f t="shared" si="139"/>
        <v>18058.530000000006</v>
      </c>
      <c r="S527" s="340"/>
      <c r="T527" s="336"/>
    </row>
    <row r="528" spans="1:20" x14ac:dyDescent="0.2">
      <c r="B528" s="336" t="s">
        <v>986</v>
      </c>
      <c r="F528" s="339">
        <f>F519+F524+F525+F526+F527</f>
        <v>339337.50893000007</v>
      </c>
      <c r="G528" s="339">
        <f t="shared" ref="G528:R528" si="142">G519+G524+G525+G526+G527</f>
        <v>338099.26538</v>
      </c>
      <c r="H528" s="339">
        <f t="shared" si="142"/>
        <v>366118.26087000006</v>
      </c>
      <c r="I528" s="339">
        <f t="shared" si="142"/>
        <v>359069.36934999999</v>
      </c>
      <c r="J528" s="339">
        <f t="shared" si="142"/>
        <v>368592.43438000005</v>
      </c>
      <c r="K528" s="339">
        <f t="shared" si="142"/>
        <v>379421.30179</v>
      </c>
      <c r="L528" s="339">
        <f t="shared" si="142"/>
        <v>359490.98271999997</v>
      </c>
      <c r="M528" s="339">
        <f t="shared" si="142"/>
        <v>345236.32891000004</v>
      </c>
      <c r="N528" s="339">
        <f t="shared" si="142"/>
        <v>370836.82014999993</v>
      </c>
      <c r="O528" s="339">
        <f t="shared" si="142"/>
        <v>365939.27069000003</v>
      </c>
      <c r="P528" s="339">
        <f t="shared" si="142"/>
        <v>367582.23547000001</v>
      </c>
      <c r="Q528" s="339">
        <f t="shared" si="142"/>
        <v>338306.22610000003</v>
      </c>
      <c r="R528" s="339">
        <f t="shared" si="142"/>
        <v>4298030.0047400007</v>
      </c>
      <c r="S528" s="340"/>
      <c r="T528" s="336"/>
    </row>
    <row r="529" spans="1:20" x14ac:dyDescent="0.2">
      <c r="F529" s="415"/>
      <c r="G529" s="415"/>
      <c r="H529" s="415"/>
      <c r="I529" s="415"/>
      <c r="J529" s="415"/>
      <c r="S529" s="336"/>
      <c r="T529" s="336"/>
    </row>
    <row r="530" spans="1:20" x14ac:dyDescent="0.2">
      <c r="A530" s="336" t="s">
        <v>1058</v>
      </c>
      <c r="B530" s="336" t="s">
        <v>1050</v>
      </c>
      <c r="F530" s="340">
        <f>F525</f>
        <v>2236.0016000000001</v>
      </c>
      <c r="G530" s="340">
        <f t="shared" ref="G530:Q530" si="143">G525</f>
        <v>2202.0362</v>
      </c>
      <c r="H530" s="340">
        <f t="shared" si="143"/>
        <v>2528.2873</v>
      </c>
      <c r="I530" s="340">
        <f t="shared" si="143"/>
        <v>2441.9794000000002</v>
      </c>
      <c r="J530" s="340">
        <f t="shared" si="143"/>
        <v>2491.0102000000002</v>
      </c>
      <c r="K530" s="340">
        <f t="shared" si="143"/>
        <v>2731.1864999999998</v>
      </c>
      <c r="L530" s="340">
        <f t="shared" si="143"/>
        <v>2495.5868</v>
      </c>
      <c r="M530" s="340">
        <f t="shared" si="143"/>
        <v>2572.7058000000002</v>
      </c>
      <c r="N530" s="340">
        <f t="shared" si="143"/>
        <v>2399.1835000000001</v>
      </c>
      <c r="O530" s="340">
        <f t="shared" si="143"/>
        <v>2549.4965999999999</v>
      </c>
      <c r="P530" s="340">
        <f t="shared" si="143"/>
        <v>2452.5025000000001</v>
      </c>
      <c r="Q530" s="340">
        <f t="shared" si="143"/>
        <v>2269.0535</v>
      </c>
      <c r="R530" s="418">
        <f>SUM(F530:Q530)</f>
        <v>29369.029899999994</v>
      </c>
      <c r="S530" s="336"/>
      <c r="T530" s="336"/>
    </row>
    <row r="531" spans="1:20" x14ac:dyDescent="0.2">
      <c r="F531" s="415"/>
      <c r="G531" s="415"/>
      <c r="H531" s="415"/>
      <c r="I531" s="415"/>
      <c r="J531" s="415"/>
      <c r="S531" s="336"/>
      <c r="T531" s="336"/>
    </row>
    <row r="532" spans="1:20" x14ac:dyDescent="0.2">
      <c r="B532" s="182" t="s">
        <v>1104</v>
      </c>
      <c r="C532" s="182"/>
    </row>
    <row r="533" spans="1:20" x14ac:dyDescent="0.2">
      <c r="B533" s="182" t="s">
        <v>5</v>
      </c>
      <c r="C533" s="182"/>
    </row>
    <row r="534" spans="1:20" x14ac:dyDescent="0.2">
      <c r="B534" s="336" t="s">
        <v>1059</v>
      </c>
      <c r="D534" s="382" t="s">
        <v>810</v>
      </c>
      <c r="E534" s="336" t="s">
        <v>976</v>
      </c>
      <c r="F534" s="673">
        <f>'JKP-3.1c - Rev Rates GTI10'!F534</f>
        <v>454.33</v>
      </c>
      <c r="G534" s="673">
        <f>'JKP-3.1c - Rev Rates GTI10'!G534</f>
        <v>454.33</v>
      </c>
      <c r="H534" s="673">
        <f>'JKP-3.1c - Rev Rates GTI10'!H534</f>
        <v>454.33</v>
      </c>
      <c r="I534" s="673">
        <f>'JKP-3.1c - Rev Rates GTI10'!I534</f>
        <v>454.33</v>
      </c>
      <c r="J534" s="673">
        <f>'JKP-3.1c - Rev Rates GTI10'!J534</f>
        <v>454.33</v>
      </c>
      <c r="K534" s="673">
        <f>'JKP-3.1c - Rev Rates GTI10'!K534</f>
        <v>454.33</v>
      </c>
      <c r="L534" s="673">
        <f>'JKP-3.1c - Rev Rates GTI10'!L534</f>
        <v>454.33</v>
      </c>
      <c r="M534" s="673">
        <f>'JKP-3.1c - Rev Rates GTI10'!M534</f>
        <v>454.33</v>
      </c>
      <c r="N534" s="673">
        <f>'JKP-3.1c - Rev Rates GTI10'!N534</f>
        <v>454.33</v>
      </c>
      <c r="O534" s="673">
        <f>'JKP-3.1c - Rev Rates GTI10'!O534</f>
        <v>454.33</v>
      </c>
      <c r="P534" s="673">
        <f>'JKP-3.1c - Rev Rates GTI10'!P534</f>
        <v>454.33</v>
      </c>
      <c r="Q534" s="673">
        <f>'JKP-3.1c - Rev Rates GTI10'!Q534</f>
        <v>454.33</v>
      </c>
      <c r="R534" s="435"/>
    </row>
    <row r="535" spans="1:20" x14ac:dyDescent="0.2">
      <c r="B535" s="336" t="s">
        <v>1047</v>
      </c>
      <c r="F535" s="674"/>
      <c r="G535" s="674"/>
      <c r="H535" s="674"/>
      <c r="I535" s="674"/>
      <c r="J535" s="674"/>
      <c r="K535" s="674"/>
      <c r="L535" s="674"/>
      <c r="M535" s="674"/>
      <c r="N535" s="674"/>
      <c r="O535" s="674"/>
      <c r="P535" s="674"/>
      <c r="Q535" s="674"/>
      <c r="R535" s="441"/>
    </row>
    <row r="536" spans="1:20" x14ac:dyDescent="0.2">
      <c r="C536" s="336" t="s">
        <v>1098</v>
      </c>
      <c r="D536" s="382" t="s">
        <v>810</v>
      </c>
      <c r="E536" s="336" t="s">
        <v>957</v>
      </c>
      <c r="F536" s="674">
        <f>'JKP-3.1c - Rev Rates GTI10'!F536</f>
        <v>0.20305999999999999</v>
      </c>
      <c r="G536" s="674">
        <f>'JKP-3.1c - Rev Rates GTI10'!G536</f>
        <v>0.20305999999999999</v>
      </c>
      <c r="H536" s="674">
        <f>'JKP-3.1c - Rev Rates GTI10'!H536</f>
        <v>0.20305999999999999</v>
      </c>
      <c r="I536" s="674">
        <f>'JKP-3.1c - Rev Rates GTI10'!I536</f>
        <v>0.20305999999999999</v>
      </c>
      <c r="J536" s="674">
        <f>'JKP-3.1c - Rev Rates GTI10'!J536</f>
        <v>0.20305999999999999</v>
      </c>
      <c r="K536" s="674">
        <f>'JKP-3.1c - Rev Rates GTI10'!K536</f>
        <v>0.20305999999999999</v>
      </c>
      <c r="L536" s="674">
        <f>'JKP-3.1c - Rev Rates GTI10'!L536</f>
        <v>0.20305999999999999</v>
      </c>
      <c r="M536" s="674">
        <f>'JKP-3.1c - Rev Rates GTI10'!M536</f>
        <v>0.20305999999999999</v>
      </c>
      <c r="N536" s="674">
        <f>'JKP-3.1c - Rev Rates GTI10'!N536</f>
        <v>0.20305999999999999</v>
      </c>
      <c r="O536" s="674">
        <f>'JKP-3.1c - Rev Rates GTI10'!O536</f>
        <v>0.20305999999999999</v>
      </c>
      <c r="P536" s="674">
        <f>'JKP-3.1c - Rev Rates GTI10'!P536</f>
        <v>0.20305999999999999</v>
      </c>
      <c r="Q536" s="674">
        <f>'JKP-3.1c - Rev Rates GTI10'!Q536</f>
        <v>0.20305999999999999</v>
      </c>
      <c r="R536" s="441"/>
    </row>
    <row r="537" spans="1:20" x14ac:dyDescent="0.2">
      <c r="C537" s="336" t="s">
        <v>1099</v>
      </c>
      <c r="D537" s="382" t="s">
        <v>810</v>
      </c>
      <c r="E537" s="336" t="s">
        <v>957</v>
      </c>
      <c r="F537" s="674">
        <f>'JKP-3.1c - Rev Rates GTI10'!F537</f>
        <v>0.14559</v>
      </c>
      <c r="G537" s="674">
        <f>'JKP-3.1c - Rev Rates GTI10'!G537</f>
        <v>0.14559</v>
      </c>
      <c r="H537" s="674">
        <f>'JKP-3.1c - Rev Rates GTI10'!H537</f>
        <v>0.14559</v>
      </c>
      <c r="I537" s="674">
        <f>'JKP-3.1c - Rev Rates GTI10'!I537</f>
        <v>0.14559</v>
      </c>
      <c r="J537" s="674">
        <f>'JKP-3.1c - Rev Rates GTI10'!J537</f>
        <v>0.14559</v>
      </c>
      <c r="K537" s="674">
        <f>'JKP-3.1c - Rev Rates GTI10'!K537</f>
        <v>0.14559</v>
      </c>
      <c r="L537" s="674">
        <f>'JKP-3.1c - Rev Rates GTI10'!L537</f>
        <v>0.14559</v>
      </c>
      <c r="M537" s="674">
        <f>'JKP-3.1c - Rev Rates GTI10'!M537</f>
        <v>0.14559</v>
      </c>
      <c r="N537" s="674">
        <f>'JKP-3.1c - Rev Rates GTI10'!N537</f>
        <v>0.14559</v>
      </c>
      <c r="O537" s="674">
        <f>'JKP-3.1c - Rev Rates GTI10'!O537</f>
        <v>0.14559</v>
      </c>
      <c r="P537" s="674">
        <f>'JKP-3.1c - Rev Rates GTI10'!P537</f>
        <v>0.14559</v>
      </c>
      <c r="Q537" s="674">
        <f>'JKP-3.1c - Rev Rates GTI10'!Q537</f>
        <v>0.14559</v>
      </c>
      <c r="R537" s="441"/>
    </row>
    <row r="538" spans="1:20" x14ac:dyDescent="0.2">
      <c r="B538" s="336" t="s">
        <v>1081</v>
      </c>
      <c r="D538" s="382" t="s">
        <v>810</v>
      </c>
      <c r="E538" s="336" t="s">
        <v>957</v>
      </c>
      <c r="F538" s="675">
        <v>6.9999999999999999E-4</v>
      </c>
      <c r="G538" s="675">
        <v>6.9999999999999999E-4</v>
      </c>
      <c r="H538" s="675">
        <v>6.9999999999999999E-4</v>
      </c>
      <c r="I538" s="675">
        <v>6.9999999999999999E-4</v>
      </c>
      <c r="J538" s="675">
        <v>6.9999999999999999E-4</v>
      </c>
      <c r="K538" s="675">
        <v>6.9999999999999999E-4</v>
      </c>
      <c r="L538" s="675">
        <v>6.9999999999999999E-4</v>
      </c>
      <c r="M538" s="675">
        <v>6.9999999999999999E-4</v>
      </c>
      <c r="N538" s="675">
        <v>6.9999999999999999E-4</v>
      </c>
      <c r="O538" s="675">
        <v>6.9999999999999999E-4</v>
      </c>
      <c r="P538" s="675">
        <v>6.9999999999999999E-4</v>
      </c>
      <c r="Q538" s="675">
        <v>6.9999999999999999E-4</v>
      </c>
      <c r="R538" s="441"/>
    </row>
    <row r="539" spans="1:20" x14ac:dyDescent="0.2">
      <c r="B539" s="336" t="s">
        <v>1069</v>
      </c>
      <c r="D539" s="336">
        <v>86</v>
      </c>
      <c r="E539" s="336" t="s">
        <v>957</v>
      </c>
      <c r="F539" s="673">
        <v>1.1399999999999999</v>
      </c>
      <c r="G539" s="673">
        <v>1.1399999999999999</v>
      </c>
      <c r="H539" s="673">
        <v>1.1399999999999999</v>
      </c>
      <c r="I539" s="673">
        <v>1.1399999999999999</v>
      </c>
      <c r="J539" s="673">
        <v>1.1399999999999999</v>
      </c>
      <c r="K539" s="673">
        <v>1.1399999999999999</v>
      </c>
      <c r="L539" s="673">
        <v>1.1399999999999999</v>
      </c>
      <c r="M539" s="673">
        <v>1.1399999999999999</v>
      </c>
      <c r="N539" s="673">
        <v>1.1399999999999999</v>
      </c>
      <c r="O539" s="673">
        <v>1.1399999999999999</v>
      </c>
      <c r="P539" s="673">
        <v>1.1399999999999999</v>
      </c>
      <c r="Q539" s="673">
        <v>1.1399999999999999</v>
      </c>
      <c r="R539" s="441"/>
    </row>
    <row r="540" spans="1:20" x14ac:dyDescent="0.2">
      <c r="B540" s="336" t="s">
        <v>1071</v>
      </c>
      <c r="D540" s="382" t="s">
        <v>810</v>
      </c>
      <c r="E540" s="336" t="s">
        <v>67</v>
      </c>
      <c r="F540" s="450"/>
      <c r="G540" s="450"/>
      <c r="H540" s="442"/>
      <c r="I540" s="450"/>
      <c r="J540" s="450"/>
      <c r="K540" s="450"/>
      <c r="L540" s="450"/>
      <c r="M540" s="450"/>
      <c r="N540" s="450"/>
      <c r="O540" s="450"/>
      <c r="P540" s="450"/>
      <c r="Q540" s="450"/>
      <c r="R540" s="441"/>
    </row>
    <row r="542" spans="1:20" x14ac:dyDescent="0.2">
      <c r="B542" s="182" t="s">
        <v>982</v>
      </c>
    </row>
    <row r="543" spans="1:20" x14ac:dyDescent="0.2">
      <c r="B543" s="336" t="s">
        <v>67</v>
      </c>
      <c r="E543" s="336" t="s">
        <v>67</v>
      </c>
      <c r="F543" s="421">
        <f>'JKP-3.1c - Data'!C152+'JKP-3.1c - 41T 86T Migrat Adj'!B57</f>
        <v>1</v>
      </c>
      <c r="G543" s="421">
        <f>'JKP-3.1c - Data'!D152+'JKP-3.1c - 41T 86T Migrat Adj'!C57</f>
        <v>1</v>
      </c>
      <c r="H543" s="421">
        <f>'JKP-3.1c - Data'!E152+'JKP-3.1c - 41T 86T Migrat Adj'!D57</f>
        <v>1</v>
      </c>
      <c r="I543" s="421">
        <f>'JKP-3.1c - Data'!F152+'JKP-3.1c - 41T 86T Migrat Adj'!E57</f>
        <v>1</v>
      </c>
      <c r="J543" s="421">
        <f>'JKP-3.1c - Data'!G152+'JKP-3.1c - 41T 86T Migrat Adj'!F57</f>
        <v>1</v>
      </c>
      <c r="K543" s="421">
        <f>'JKP-3.1c - Data'!H152+'JKP-3.1c - 41T 86T Migrat Adj'!G57</f>
        <v>1</v>
      </c>
      <c r="L543" s="421">
        <f>'JKP-3.1c - Data'!I152+'JKP-3.1c - 41T 86T Migrat Adj'!H57</f>
        <v>1</v>
      </c>
      <c r="M543" s="421">
        <f>'JKP-3.1c - Data'!J152+'JKP-3.1c - 41T 86T Migrat Adj'!I57</f>
        <v>1</v>
      </c>
      <c r="N543" s="421">
        <f>'JKP-3.1c - Data'!K152+'JKP-3.1c - 41T 86T Migrat Adj'!J57</f>
        <v>1</v>
      </c>
      <c r="O543" s="421">
        <f>'JKP-3.1c - Data'!L152+'JKP-3.1c - 41T 86T Migrat Adj'!K57</f>
        <v>1</v>
      </c>
      <c r="P543" s="421">
        <f>'JKP-3.1c - Data'!M152+'JKP-3.1c - 41T 86T Migrat Adj'!L57</f>
        <v>1</v>
      </c>
      <c r="Q543" s="421">
        <f>'JKP-3.1c - Data'!N152+'JKP-3.1c - 41T 86T Migrat Adj'!M57</f>
        <v>1</v>
      </c>
      <c r="R543" s="378">
        <f>SUM(F543:Q543)</f>
        <v>12</v>
      </c>
      <c r="S543" s="378"/>
    </row>
    <row r="544" spans="1:20" x14ac:dyDescent="0.2">
      <c r="B544" s="336" t="s">
        <v>76</v>
      </c>
      <c r="F544" s="380"/>
      <c r="G544" s="380"/>
      <c r="H544" s="380"/>
      <c r="I544" s="380"/>
      <c r="J544" s="380"/>
      <c r="K544" s="380"/>
      <c r="L544" s="380"/>
      <c r="M544" s="380"/>
      <c r="N544" s="380"/>
      <c r="O544" s="380"/>
      <c r="P544" s="380"/>
      <c r="Q544" s="380"/>
      <c r="R544" s="378"/>
      <c r="S544" s="378"/>
    </row>
    <row r="545" spans="1:19" x14ac:dyDescent="0.2">
      <c r="C545" s="336" t="s">
        <v>1098</v>
      </c>
      <c r="E545" s="336" t="s">
        <v>10</v>
      </c>
      <c r="F545" s="421">
        <f>'JKP-3.1c - Rev Rates GTI10'!F545+'JKP-3.1c - 41T 86T Migrat Adj'!B45</f>
        <v>91</v>
      </c>
      <c r="G545" s="421">
        <f>'JKP-3.1c - Rev Rates GTI10'!G545+'JKP-3.1c - 41T 86T Migrat Adj'!C45</f>
        <v>1000</v>
      </c>
      <c r="H545" s="421">
        <f>'JKP-3.1c - Rev Rates GTI10'!H545+'JKP-3.1c - 41T 86T Migrat Adj'!D45</f>
        <v>1000</v>
      </c>
      <c r="I545" s="421">
        <f>'JKP-3.1c - Rev Rates GTI10'!I545+'JKP-3.1c - 41T 86T Migrat Adj'!E45</f>
        <v>1000</v>
      </c>
      <c r="J545" s="421">
        <f>'JKP-3.1c - Rev Rates GTI10'!J545+'JKP-3.1c - 41T 86T Migrat Adj'!F45</f>
        <v>1000</v>
      </c>
      <c r="K545" s="421">
        <f>'JKP-3.1c - Rev Rates GTI10'!K545+'JKP-3.1c - 41T 86T Migrat Adj'!G45</f>
        <v>0</v>
      </c>
      <c r="L545" s="421">
        <f>'JKP-3.1c - Rev Rates GTI10'!L545+'JKP-3.1c - 41T 86T Migrat Adj'!H45</f>
        <v>0</v>
      </c>
      <c r="M545" s="421">
        <f>'JKP-3.1c - Rev Rates GTI10'!M545+'JKP-3.1c - 41T 86T Migrat Adj'!I45</f>
        <v>1000</v>
      </c>
      <c r="N545" s="421">
        <f>'JKP-3.1c - Rev Rates GTI10'!N545+'JKP-3.1c - 41T 86T Migrat Adj'!J45</f>
        <v>1000</v>
      </c>
      <c r="O545" s="421">
        <f>'JKP-3.1c - Rev Rates GTI10'!O545+'JKP-3.1c - 41T 86T Migrat Adj'!K45</f>
        <v>1000</v>
      </c>
      <c r="P545" s="421">
        <f>'JKP-3.1c - Rev Rates GTI10'!P545+'JKP-3.1c - 41T 86T Migrat Adj'!L45</f>
        <v>963</v>
      </c>
      <c r="Q545" s="421">
        <f>'JKP-3.1c - Rev Rates GTI10'!Q545+'JKP-3.1c - 41T 86T Migrat Adj'!M45</f>
        <v>197</v>
      </c>
      <c r="R545" s="378">
        <f>SUM(F545:Q545)</f>
        <v>8251</v>
      </c>
      <c r="S545" s="378"/>
    </row>
    <row r="546" spans="1:19" x14ac:dyDescent="0.2">
      <c r="C546" s="336" t="s">
        <v>1099</v>
      </c>
      <c r="E546" s="336" t="s">
        <v>10</v>
      </c>
      <c r="F546" s="378">
        <f t="shared" ref="F546:N546" si="144">F547-F545</f>
        <v>0</v>
      </c>
      <c r="G546" s="378">
        <f t="shared" si="144"/>
        <v>1886</v>
      </c>
      <c r="H546" s="378">
        <f t="shared" si="144"/>
        <v>11304</v>
      </c>
      <c r="I546" s="378">
        <f t="shared" si="144"/>
        <v>21580</v>
      </c>
      <c r="J546" s="378">
        <f t="shared" si="144"/>
        <v>13443</v>
      </c>
      <c r="K546" s="378">
        <f t="shared" si="144"/>
        <v>0</v>
      </c>
      <c r="L546" s="378">
        <f t="shared" si="144"/>
        <v>0</v>
      </c>
      <c r="M546" s="378">
        <f t="shared" si="144"/>
        <v>1158</v>
      </c>
      <c r="N546" s="378">
        <f t="shared" si="144"/>
        <v>8063</v>
      </c>
      <c r="O546" s="378">
        <f>O547-O545</f>
        <v>7098</v>
      </c>
      <c r="P546" s="378">
        <f>P547-P545</f>
        <v>0</v>
      </c>
      <c r="Q546" s="378">
        <f>Q547-Q545</f>
        <v>0</v>
      </c>
      <c r="R546" s="378">
        <f>SUM(F546:Q546)</f>
        <v>64532</v>
      </c>
      <c r="S546" s="378"/>
    </row>
    <row r="547" spans="1:19" x14ac:dyDescent="0.2">
      <c r="C547" s="336" t="s">
        <v>1075</v>
      </c>
      <c r="E547" s="336" t="s">
        <v>10</v>
      </c>
      <c r="F547" s="445">
        <f>'JKP-3.1c - Weather Adj'!D27</f>
        <v>91</v>
      </c>
      <c r="G547" s="445">
        <f>'JKP-3.1c - Weather Adj'!E27</f>
        <v>2886</v>
      </c>
      <c r="H547" s="445">
        <f>'JKP-3.1c - Weather Adj'!F27</f>
        <v>12304</v>
      </c>
      <c r="I547" s="445">
        <f>'JKP-3.1c - Weather Adj'!G27</f>
        <v>22580</v>
      </c>
      <c r="J547" s="445">
        <f>'JKP-3.1c - Weather Adj'!H27</f>
        <v>14443</v>
      </c>
      <c r="K547" s="445">
        <f>'JKP-3.1c - Weather Adj'!I27</f>
        <v>0</v>
      </c>
      <c r="L547" s="445">
        <f>'JKP-3.1c - Weather Adj'!J27</f>
        <v>0</v>
      </c>
      <c r="M547" s="445">
        <f>'JKP-3.1c - Weather Adj'!K27</f>
        <v>2158</v>
      </c>
      <c r="N547" s="445">
        <f>'JKP-3.1c - Weather Adj'!L27</f>
        <v>9063</v>
      </c>
      <c r="O547" s="445">
        <f>'JKP-3.1c - Weather Adj'!M27</f>
        <v>8098</v>
      </c>
      <c r="P547" s="445">
        <f>'JKP-3.1c - Weather Adj'!N27</f>
        <v>963</v>
      </c>
      <c r="Q547" s="445">
        <f>'JKP-3.1c - Weather Adj'!O27</f>
        <v>197</v>
      </c>
      <c r="R547" s="436">
        <f>SUM(R545:R546)</f>
        <v>72783</v>
      </c>
      <c r="S547" s="436"/>
    </row>
    <row r="548" spans="1:19" x14ac:dyDescent="0.2">
      <c r="B548" s="336" t="s">
        <v>74</v>
      </c>
      <c r="E548" s="336" t="s">
        <v>1076</v>
      </c>
      <c r="F548" s="421">
        <f>'JKP-3.1c - Data'!C172+'JKP-3.1c - 41T 86T Migrat Adj'!B69</f>
        <v>0</v>
      </c>
      <c r="G548" s="421">
        <f>'JKP-3.1c - Data'!D172+'JKP-3.1c - 41T 86T Migrat Adj'!C69</f>
        <v>0</v>
      </c>
      <c r="H548" s="421">
        <f>'JKP-3.1c - Data'!E172+'JKP-3.1c - 41T 86T Migrat Adj'!D69</f>
        <v>0</v>
      </c>
      <c r="I548" s="421">
        <f>'JKP-3.1c - Data'!F172+'JKP-3.1c - 41T 86T Migrat Adj'!E69</f>
        <v>0</v>
      </c>
      <c r="J548" s="421">
        <f>'JKP-3.1c - Data'!G172+'JKP-3.1c - 41T 86T Migrat Adj'!F69</f>
        <v>0</v>
      </c>
      <c r="K548" s="421">
        <f>'JKP-3.1c - Data'!H172+'JKP-3.1c - 41T 86T Migrat Adj'!G69</f>
        <v>0</v>
      </c>
      <c r="L548" s="421">
        <f>'JKP-3.1c - Data'!I172+'JKP-3.1c - 41T 86T Migrat Adj'!H69</f>
        <v>0</v>
      </c>
      <c r="M548" s="421">
        <f>'JKP-3.1c - Data'!J172+'JKP-3.1c - 41T 86T Migrat Adj'!I69</f>
        <v>0</v>
      </c>
      <c r="N548" s="421">
        <f>'JKP-3.1c - Data'!K172+'JKP-3.1c - 41T 86T Migrat Adj'!J69</f>
        <v>0</v>
      </c>
      <c r="O548" s="421">
        <f>'JKP-3.1c - Data'!L172+'JKP-3.1c - 41T 86T Migrat Adj'!K69</f>
        <v>0</v>
      </c>
      <c r="P548" s="421">
        <f>'JKP-3.1c - Data'!M172+'JKP-3.1c - 41T 86T Migrat Adj'!L69</f>
        <v>0</v>
      </c>
      <c r="Q548" s="421">
        <f>'JKP-3.1c - Data'!N172+'JKP-3.1c - 41T 86T Migrat Adj'!M69</f>
        <v>0</v>
      </c>
      <c r="R548" s="378">
        <f>SUM(F548:Q548)</f>
        <v>0</v>
      </c>
      <c r="S548" s="340"/>
    </row>
    <row r="549" spans="1:19" x14ac:dyDescent="0.2">
      <c r="B549" s="336" t="s">
        <v>1071</v>
      </c>
      <c r="F549" s="380"/>
      <c r="G549" s="380"/>
      <c r="H549" s="380"/>
      <c r="I549" s="380"/>
      <c r="J549" s="380"/>
      <c r="K549" s="380"/>
      <c r="L549" s="380"/>
      <c r="M549" s="380"/>
      <c r="N549" s="380"/>
      <c r="O549" s="380"/>
      <c r="P549" s="380"/>
      <c r="Q549" s="380"/>
      <c r="R549" s="378"/>
      <c r="S549" s="340"/>
    </row>
    <row r="550" spans="1:19" x14ac:dyDescent="0.2">
      <c r="R550" s="179"/>
      <c r="S550" s="340"/>
    </row>
    <row r="551" spans="1:19" x14ac:dyDescent="0.2">
      <c r="B551" s="182" t="s">
        <v>985</v>
      </c>
      <c r="R551" s="179"/>
      <c r="S551" s="340"/>
    </row>
    <row r="552" spans="1:19" x14ac:dyDescent="0.2">
      <c r="A552" s="336" t="s">
        <v>1054</v>
      </c>
      <c r="B552" s="336" t="s">
        <v>1059</v>
      </c>
      <c r="D552" s="382" t="s">
        <v>810</v>
      </c>
      <c r="F552" s="418">
        <f>F534*F543</f>
        <v>454.33</v>
      </c>
      <c r="G552" s="418">
        <f t="shared" ref="G552:Q552" si="145">G534*G543</f>
        <v>454.33</v>
      </c>
      <c r="H552" s="418">
        <f t="shared" si="145"/>
        <v>454.33</v>
      </c>
      <c r="I552" s="418">
        <f t="shared" si="145"/>
        <v>454.33</v>
      </c>
      <c r="J552" s="418">
        <f t="shared" si="145"/>
        <v>454.33</v>
      </c>
      <c r="K552" s="418">
        <f t="shared" si="145"/>
        <v>454.33</v>
      </c>
      <c r="L552" s="418">
        <f t="shared" si="145"/>
        <v>454.33</v>
      </c>
      <c r="M552" s="418">
        <f t="shared" si="145"/>
        <v>454.33</v>
      </c>
      <c r="N552" s="418">
        <f t="shared" si="145"/>
        <v>454.33</v>
      </c>
      <c r="O552" s="418">
        <f t="shared" si="145"/>
        <v>454.33</v>
      </c>
      <c r="P552" s="418">
        <f t="shared" si="145"/>
        <v>454.33</v>
      </c>
      <c r="Q552" s="418">
        <f t="shared" si="145"/>
        <v>454.33</v>
      </c>
      <c r="R552" s="378">
        <f>SUM(F552:Q552)</f>
        <v>5451.96</v>
      </c>
      <c r="S552" s="340"/>
    </row>
    <row r="553" spans="1:19" x14ac:dyDescent="0.2">
      <c r="B553" s="336" t="s">
        <v>1047</v>
      </c>
      <c r="F553" s="418"/>
      <c r="G553" s="418"/>
      <c r="H553" s="418"/>
      <c r="I553" s="418"/>
      <c r="J553" s="418"/>
      <c r="K553" s="418"/>
      <c r="L553" s="418"/>
      <c r="M553" s="418"/>
      <c r="N553" s="418"/>
      <c r="O553" s="418"/>
      <c r="P553" s="418"/>
      <c r="Q553" s="418"/>
      <c r="R553" s="418"/>
      <c r="S553" s="340"/>
    </row>
    <row r="554" spans="1:19" x14ac:dyDescent="0.2">
      <c r="C554" s="336" t="s">
        <v>1098</v>
      </c>
      <c r="D554" s="382" t="s">
        <v>810</v>
      </c>
      <c r="F554" s="418">
        <f>F536*F545</f>
        <v>18.478459999999998</v>
      </c>
      <c r="G554" s="418">
        <f t="shared" ref="G554:Q555" si="146">G536*G545</f>
        <v>203.06</v>
      </c>
      <c r="H554" s="418">
        <f t="shared" si="146"/>
        <v>203.06</v>
      </c>
      <c r="I554" s="418">
        <f t="shared" si="146"/>
        <v>203.06</v>
      </c>
      <c r="J554" s="418">
        <f t="shared" si="146"/>
        <v>203.06</v>
      </c>
      <c r="K554" s="418">
        <f t="shared" si="146"/>
        <v>0</v>
      </c>
      <c r="L554" s="418">
        <f t="shared" si="146"/>
        <v>0</v>
      </c>
      <c r="M554" s="418">
        <f t="shared" si="146"/>
        <v>203.06</v>
      </c>
      <c r="N554" s="418">
        <f t="shared" si="146"/>
        <v>203.06</v>
      </c>
      <c r="O554" s="418">
        <f t="shared" si="146"/>
        <v>203.06</v>
      </c>
      <c r="P554" s="418">
        <f t="shared" si="146"/>
        <v>195.54677999999998</v>
      </c>
      <c r="Q554" s="418">
        <f t="shared" si="146"/>
        <v>40.00282</v>
      </c>
      <c r="R554" s="378">
        <f>SUM(F554:Q554)</f>
        <v>1675.4480599999997</v>
      </c>
      <c r="S554" s="340"/>
    </row>
    <row r="555" spans="1:19" x14ac:dyDescent="0.2">
      <c r="C555" s="336" t="s">
        <v>1099</v>
      </c>
      <c r="D555" s="382" t="s">
        <v>810</v>
      </c>
      <c r="F555" s="418">
        <f>F537*F546</f>
        <v>0</v>
      </c>
      <c r="G555" s="418">
        <f t="shared" si="146"/>
        <v>274.58274</v>
      </c>
      <c r="H555" s="418">
        <f t="shared" si="146"/>
        <v>1645.74936</v>
      </c>
      <c r="I555" s="418">
        <f t="shared" si="146"/>
        <v>3141.8321999999998</v>
      </c>
      <c r="J555" s="418">
        <f t="shared" si="146"/>
        <v>1957.1663699999999</v>
      </c>
      <c r="K555" s="418">
        <f t="shared" si="146"/>
        <v>0</v>
      </c>
      <c r="L555" s="418">
        <f t="shared" si="146"/>
        <v>0</v>
      </c>
      <c r="M555" s="418">
        <f t="shared" si="146"/>
        <v>168.59322</v>
      </c>
      <c r="N555" s="418">
        <f t="shared" si="146"/>
        <v>1173.8921700000001</v>
      </c>
      <c r="O555" s="418">
        <f t="shared" si="146"/>
        <v>1033.3978199999999</v>
      </c>
      <c r="P555" s="418">
        <f t="shared" si="146"/>
        <v>0</v>
      </c>
      <c r="Q555" s="418">
        <f t="shared" si="146"/>
        <v>0</v>
      </c>
      <c r="R555" s="378">
        <f>SUM(F555:Q555)</f>
        <v>9395.2138800000012</v>
      </c>
      <c r="S555" s="340"/>
    </row>
    <row r="556" spans="1:19" x14ac:dyDescent="0.2">
      <c r="A556" s="336" t="s">
        <v>1054</v>
      </c>
      <c r="C556" s="336" t="s">
        <v>1077</v>
      </c>
      <c r="F556" s="339">
        <f>SUM(F554:F555)</f>
        <v>18.478459999999998</v>
      </c>
      <c r="G556" s="339">
        <f t="shared" ref="G556:R556" si="147">SUM(G554:G555)</f>
        <v>477.64274</v>
      </c>
      <c r="H556" s="339">
        <f t="shared" si="147"/>
        <v>1848.80936</v>
      </c>
      <c r="I556" s="339">
        <f t="shared" si="147"/>
        <v>3344.8921999999998</v>
      </c>
      <c r="J556" s="339">
        <f t="shared" si="147"/>
        <v>2160.2263699999999</v>
      </c>
      <c r="K556" s="339">
        <f t="shared" si="147"/>
        <v>0</v>
      </c>
      <c r="L556" s="339">
        <f t="shared" si="147"/>
        <v>0</v>
      </c>
      <c r="M556" s="339">
        <f t="shared" si="147"/>
        <v>371.65322000000003</v>
      </c>
      <c r="N556" s="339">
        <f t="shared" si="147"/>
        <v>1376.95217</v>
      </c>
      <c r="O556" s="339">
        <f t="shared" si="147"/>
        <v>1236.4578199999999</v>
      </c>
      <c r="P556" s="339">
        <f t="shared" si="147"/>
        <v>195.54677999999998</v>
      </c>
      <c r="Q556" s="339">
        <f t="shared" si="147"/>
        <v>40.00282</v>
      </c>
      <c r="R556" s="339">
        <f t="shared" si="147"/>
        <v>11070.661940000002</v>
      </c>
      <c r="S556" s="340"/>
    </row>
    <row r="557" spans="1:19" x14ac:dyDescent="0.2">
      <c r="A557" s="336" t="s">
        <v>1056</v>
      </c>
      <c r="B557" s="336" t="s">
        <v>1105</v>
      </c>
      <c r="D557" s="382"/>
      <c r="F557" s="339">
        <f>F538*F547</f>
        <v>6.3699999999999993E-2</v>
      </c>
      <c r="G557" s="339">
        <f t="shared" ref="G557:Q558" si="148">G538*G547</f>
        <v>2.0202</v>
      </c>
      <c r="H557" s="339">
        <f t="shared" si="148"/>
        <v>8.6128</v>
      </c>
      <c r="I557" s="339">
        <f t="shared" si="148"/>
        <v>15.805999999999999</v>
      </c>
      <c r="J557" s="339">
        <f t="shared" si="148"/>
        <v>10.110099999999999</v>
      </c>
      <c r="K557" s="339">
        <f t="shared" si="148"/>
        <v>0</v>
      </c>
      <c r="L557" s="339">
        <f t="shared" si="148"/>
        <v>0</v>
      </c>
      <c r="M557" s="339">
        <f t="shared" si="148"/>
        <v>1.5105999999999999</v>
      </c>
      <c r="N557" s="339">
        <f t="shared" si="148"/>
        <v>6.3441000000000001</v>
      </c>
      <c r="O557" s="339">
        <f t="shared" si="148"/>
        <v>5.6685999999999996</v>
      </c>
      <c r="P557" s="339">
        <f t="shared" si="148"/>
        <v>0.67410000000000003</v>
      </c>
      <c r="Q557" s="339">
        <f t="shared" si="148"/>
        <v>0.13789999999999999</v>
      </c>
      <c r="R557" s="339">
        <f>SUM(F557:Q557)</f>
        <v>50.94809999999999</v>
      </c>
      <c r="S557" s="340"/>
    </row>
    <row r="558" spans="1:19" x14ac:dyDescent="0.2">
      <c r="A558" s="336" t="s">
        <v>1054</v>
      </c>
      <c r="B558" s="336" t="s">
        <v>1069</v>
      </c>
      <c r="D558" s="382" t="s">
        <v>810</v>
      </c>
      <c r="F558" s="418">
        <f>F539*F548</f>
        <v>0</v>
      </c>
      <c r="G558" s="418">
        <f t="shared" si="148"/>
        <v>0</v>
      </c>
      <c r="H558" s="418">
        <f t="shared" si="148"/>
        <v>0</v>
      </c>
      <c r="I558" s="418">
        <f t="shared" si="148"/>
        <v>0</v>
      </c>
      <c r="J558" s="418">
        <f t="shared" si="148"/>
        <v>0</v>
      </c>
      <c r="K558" s="418">
        <f t="shared" si="148"/>
        <v>0</v>
      </c>
      <c r="L558" s="418">
        <f t="shared" si="148"/>
        <v>0</v>
      </c>
      <c r="M558" s="418">
        <f t="shared" si="148"/>
        <v>0</v>
      </c>
      <c r="N558" s="418">
        <f t="shared" si="148"/>
        <v>0</v>
      </c>
      <c r="O558" s="418">
        <f t="shared" si="148"/>
        <v>0</v>
      </c>
      <c r="P558" s="418">
        <f t="shared" si="148"/>
        <v>0</v>
      </c>
      <c r="Q558" s="418">
        <f t="shared" si="148"/>
        <v>0</v>
      </c>
      <c r="R558" s="378">
        <f>SUM(F558:Q558)</f>
        <v>0</v>
      </c>
      <c r="S558" s="340"/>
    </row>
    <row r="559" spans="1:19" x14ac:dyDescent="0.2">
      <c r="A559" s="336" t="s">
        <v>1054</v>
      </c>
      <c r="B559" s="336" t="s">
        <v>1071</v>
      </c>
      <c r="D559" s="382" t="s">
        <v>810</v>
      </c>
      <c r="F559" s="447">
        <f>'JKP-3.1c - Data'!C189</f>
        <v>0</v>
      </c>
      <c r="G559" s="447">
        <f>'JKP-3.1c - Data'!D189</f>
        <v>0</v>
      </c>
      <c r="H559" s="447">
        <f>'JKP-3.1c - Data'!E189</f>
        <v>0</v>
      </c>
      <c r="I559" s="447">
        <f>'JKP-3.1c - Data'!F189</f>
        <v>0</v>
      </c>
      <c r="J559" s="447">
        <f>'JKP-3.1c - Data'!G189</f>
        <v>0</v>
      </c>
      <c r="K559" s="447">
        <f>'JKP-3.1c - Data'!H189</f>
        <v>0</v>
      </c>
      <c r="L559" s="447">
        <f>'JKP-3.1c - Data'!I189</f>
        <v>0</v>
      </c>
      <c r="M559" s="447">
        <f>'JKP-3.1c - Data'!J189</f>
        <v>0</v>
      </c>
      <c r="N559" s="447">
        <f>'JKP-3.1c - Data'!K189</f>
        <v>68.489999999999995</v>
      </c>
      <c r="O559" s="447">
        <f>'JKP-3.1c - Data'!L189</f>
        <v>0</v>
      </c>
      <c r="P559" s="447">
        <f>'JKP-3.1c - Data'!M189</f>
        <v>0</v>
      </c>
      <c r="Q559" s="447">
        <f>'JKP-3.1c - Data'!N189</f>
        <v>0</v>
      </c>
      <c r="R559" s="378">
        <f>SUM(F559:Q559)</f>
        <v>68.489999999999995</v>
      </c>
      <c r="S559" s="340"/>
    </row>
    <row r="560" spans="1:19" x14ac:dyDescent="0.2">
      <c r="B560" s="336" t="s">
        <v>986</v>
      </c>
      <c r="F560" s="339">
        <f>F552+F556+F557+F558+F559</f>
        <v>472.87215999999995</v>
      </c>
      <c r="G560" s="339">
        <f t="shared" ref="G560:R560" si="149">G552+G556+G557+G558+G559</f>
        <v>933.99293999999998</v>
      </c>
      <c r="H560" s="339">
        <f t="shared" si="149"/>
        <v>2311.75216</v>
      </c>
      <c r="I560" s="339">
        <f t="shared" si="149"/>
        <v>3815.0281999999997</v>
      </c>
      <c r="J560" s="339">
        <f t="shared" si="149"/>
        <v>2624.6664699999997</v>
      </c>
      <c r="K560" s="339">
        <f t="shared" si="149"/>
        <v>454.33</v>
      </c>
      <c r="L560" s="339">
        <f t="shared" si="149"/>
        <v>454.33</v>
      </c>
      <c r="M560" s="339">
        <f t="shared" si="149"/>
        <v>827.49382000000003</v>
      </c>
      <c r="N560" s="339">
        <f t="shared" si="149"/>
        <v>1906.11627</v>
      </c>
      <c r="O560" s="339">
        <f t="shared" si="149"/>
        <v>1696.4564199999998</v>
      </c>
      <c r="P560" s="339">
        <f t="shared" si="149"/>
        <v>650.55087999999989</v>
      </c>
      <c r="Q560" s="339">
        <f t="shared" si="149"/>
        <v>494.47071999999997</v>
      </c>
      <c r="R560" s="339">
        <f t="shared" si="149"/>
        <v>16642.060040000004</v>
      </c>
      <c r="S560" s="340"/>
    </row>
    <row r="561" spans="1:20" x14ac:dyDescent="0.2">
      <c r="F561" s="418"/>
      <c r="G561" s="418"/>
      <c r="H561" s="418"/>
      <c r="I561" s="418"/>
      <c r="J561" s="418"/>
      <c r="K561" s="418"/>
      <c r="L561" s="418"/>
      <c r="M561" s="418"/>
      <c r="N561" s="418"/>
      <c r="O561" s="418"/>
      <c r="P561" s="418"/>
      <c r="Q561" s="418"/>
      <c r="R561" s="418"/>
    </row>
    <row r="562" spans="1:20" x14ac:dyDescent="0.2">
      <c r="A562" s="336" t="s">
        <v>1058</v>
      </c>
      <c r="B562" s="336" t="s">
        <v>1050</v>
      </c>
      <c r="F562" s="418">
        <f>F557</f>
        <v>6.3699999999999993E-2</v>
      </c>
      <c r="G562" s="418">
        <f t="shared" ref="G562:Q562" si="150">G557</f>
        <v>2.0202</v>
      </c>
      <c r="H562" s="418">
        <f t="shared" si="150"/>
        <v>8.6128</v>
      </c>
      <c r="I562" s="418">
        <f t="shared" si="150"/>
        <v>15.805999999999999</v>
      </c>
      <c r="J562" s="418">
        <f t="shared" si="150"/>
        <v>10.110099999999999</v>
      </c>
      <c r="K562" s="418">
        <f t="shared" si="150"/>
        <v>0</v>
      </c>
      <c r="L562" s="418">
        <f t="shared" si="150"/>
        <v>0</v>
      </c>
      <c r="M562" s="418">
        <f t="shared" si="150"/>
        <v>1.5105999999999999</v>
      </c>
      <c r="N562" s="418">
        <f t="shared" si="150"/>
        <v>6.3441000000000001</v>
      </c>
      <c r="O562" s="418">
        <f t="shared" si="150"/>
        <v>5.6685999999999996</v>
      </c>
      <c r="P562" s="418">
        <f t="shared" si="150"/>
        <v>0.67410000000000003</v>
      </c>
      <c r="Q562" s="418">
        <f t="shared" si="150"/>
        <v>0.13789999999999999</v>
      </c>
      <c r="R562" s="378">
        <f>SUM(F562:Q562)</f>
        <v>50.94809999999999</v>
      </c>
    </row>
    <row r="563" spans="1:20" x14ac:dyDescent="0.2">
      <c r="F563" s="418"/>
      <c r="G563" s="418"/>
      <c r="H563" s="418"/>
      <c r="I563" s="418"/>
      <c r="J563" s="418"/>
      <c r="K563" s="418"/>
      <c r="L563" s="418"/>
      <c r="M563" s="418"/>
      <c r="N563" s="418"/>
      <c r="O563" s="418"/>
      <c r="P563" s="418"/>
      <c r="Q563" s="418"/>
      <c r="R563" s="437"/>
    </row>
    <row r="564" spans="1:20" x14ac:dyDescent="0.2">
      <c r="B564" s="182" t="s">
        <v>1106</v>
      </c>
      <c r="C564" s="182"/>
      <c r="F564" s="415"/>
      <c r="G564" s="415"/>
      <c r="H564" s="415"/>
      <c r="I564" s="415"/>
      <c r="J564" s="415"/>
      <c r="S564" s="336"/>
      <c r="T564" s="336"/>
    </row>
    <row r="565" spans="1:20" x14ac:dyDescent="0.2">
      <c r="B565" s="182" t="s">
        <v>5</v>
      </c>
      <c r="C565" s="182"/>
      <c r="F565" s="415"/>
      <c r="G565" s="415"/>
      <c r="H565" s="415"/>
      <c r="I565" s="415"/>
      <c r="J565" s="415"/>
      <c r="S565" s="336"/>
      <c r="T565" s="336"/>
    </row>
    <row r="566" spans="1:20" x14ac:dyDescent="0.2">
      <c r="B566" s="336" t="s">
        <v>1059</v>
      </c>
      <c r="D566" s="382" t="s">
        <v>811</v>
      </c>
      <c r="E566" s="336" t="s">
        <v>976</v>
      </c>
      <c r="F566" s="460">
        <f t="shared" ref="F566:L566" si="151">F206</f>
        <v>893.47</v>
      </c>
      <c r="G566" s="460">
        <f t="shared" si="151"/>
        <v>893.47</v>
      </c>
      <c r="H566" s="460">
        <f t="shared" si="151"/>
        <v>893.47</v>
      </c>
      <c r="I566" s="460">
        <f t="shared" si="151"/>
        <v>893.47</v>
      </c>
      <c r="J566" s="460">
        <f t="shared" si="151"/>
        <v>893.47</v>
      </c>
      <c r="K566" s="460">
        <f t="shared" si="151"/>
        <v>893.47</v>
      </c>
      <c r="L566" s="460">
        <f t="shared" si="151"/>
        <v>893.47</v>
      </c>
      <c r="M566" s="460">
        <f>M206</f>
        <v>893.47</v>
      </c>
      <c r="N566" s="460">
        <f>N206</f>
        <v>893.47</v>
      </c>
      <c r="O566" s="460">
        <f>O206</f>
        <v>893.47</v>
      </c>
      <c r="P566" s="460">
        <f>P206</f>
        <v>893.47</v>
      </c>
      <c r="Q566" s="460">
        <f>Q206</f>
        <v>893.47</v>
      </c>
      <c r="S566" s="336"/>
      <c r="T566" s="336"/>
    </row>
    <row r="567" spans="1:20" x14ac:dyDescent="0.2">
      <c r="B567" s="336" t="s">
        <v>1047</v>
      </c>
      <c r="F567" s="459"/>
      <c r="G567" s="459"/>
      <c r="H567" s="459"/>
      <c r="I567" s="459"/>
      <c r="J567" s="459"/>
      <c r="K567" s="459"/>
      <c r="L567" s="459"/>
      <c r="M567" s="459"/>
      <c r="N567" s="459"/>
      <c r="O567" s="459"/>
      <c r="P567" s="459"/>
      <c r="Q567" s="459"/>
      <c r="S567" s="336"/>
      <c r="T567" s="336"/>
    </row>
    <row r="568" spans="1:20" x14ac:dyDescent="0.2">
      <c r="C568" s="336" t="s">
        <v>1086</v>
      </c>
      <c r="D568" s="382" t="s">
        <v>811</v>
      </c>
      <c r="E568" s="336" t="s">
        <v>957</v>
      </c>
      <c r="F568" s="459">
        <f t="shared" ref="F568:Q575" si="152">F208</f>
        <v>0.14158000000000001</v>
      </c>
      <c r="G568" s="459">
        <f t="shared" si="152"/>
        <v>0.14158000000000001</v>
      </c>
      <c r="H568" s="459">
        <f t="shared" si="152"/>
        <v>0.14158000000000001</v>
      </c>
      <c r="I568" s="459">
        <f t="shared" si="152"/>
        <v>0.14158000000000001</v>
      </c>
      <c r="J568" s="459">
        <f t="shared" si="152"/>
        <v>0.14158000000000001</v>
      </c>
      <c r="K568" s="459">
        <f t="shared" si="152"/>
        <v>0.14158000000000001</v>
      </c>
      <c r="L568" s="459">
        <f t="shared" si="152"/>
        <v>0.14158000000000001</v>
      </c>
      <c r="M568" s="459">
        <f t="shared" si="152"/>
        <v>0.14158000000000001</v>
      </c>
      <c r="N568" s="459">
        <f t="shared" si="152"/>
        <v>0.14158000000000001</v>
      </c>
      <c r="O568" s="459">
        <f t="shared" si="152"/>
        <v>0.14158000000000001</v>
      </c>
      <c r="P568" s="459">
        <f t="shared" si="152"/>
        <v>0.14158000000000001</v>
      </c>
      <c r="Q568" s="459">
        <f t="shared" si="152"/>
        <v>0.14158000000000001</v>
      </c>
      <c r="S568" s="336"/>
      <c r="T568" s="336"/>
    </row>
    <row r="569" spans="1:20" x14ac:dyDescent="0.2">
      <c r="C569" s="336" t="s">
        <v>1087</v>
      </c>
      <c r="D569" s="382" t="s">
        <v>811</v>
      </c>
      <c r="E569" s="336" t="s">
        <v>957</v>
      </c>
      <c r="F569" s="459">
        <f t="shared" si="152"/>
        <v>8.6440000000000003E-2</v>
      </c>
      <c r="G569" s="459">
        <f t="shared" si="152"/>
        <v>8.6440000000000003E-2</v>
      </c>
      <c r="H569" s="459">
        <f t="shared" si="152"/>
        <v>8.6440000000000003E-2</v>
      </c>
      <c r="I569" s="459">
        <f t="shared" si="152"/>
        <v>8.6440000000000003E-2</v>
      </c>
      <c r="J569" s="459">
        <f t="shared" si="152"/>
        <v>8.6440000000000003E-2</v>
      </c>
      <c r="K569" s="459">
        <f t="shared" si="152"/>
        <v>8.6440000000000003E-2</v>
      </c>
      <c r="L569" s="459">
        <f t="shared" si="152"/>
        <v>8.6440000000000003E-2</v>
      </c>
      <c r="M569" s="459">
        <f t="shared" si="152"/>
        <v>8.6440000000000003E-2</v>
      </c>
      <c r="N569" s="459">
        <f t="shared" si="152"/>
        <v>8.6440000000000003E-2</v>
      </c>
      <c r="O569" s="459">
        <f t="shared" si="152"/>
        <v>8.6440000000000003E-2</v>
      </c>
      <c r="P569" s="459">
        <f t="shared" si="152"/>
        <v>8.6440000000000003E-2</v>
      </c>
      <c r="Q569" s="459">
        <f t="shared" si="152"/>
        <v>8.6440000000000003E-2</v>
      </c>
      <c r="S569" s="336"/>
      <c r="T569" s="336"/>
    </row>
    <row r="570" spans="1:20" x14ac:dyDescent="0.2">
      <c r="C570" s="336" t="s">
        <v>1090</v>
      </c>
      <c r="D570" s="382" t="s">
        <v>811</v>
      </c>
      <c r="E570" s="336" t="s">
        <v>957</v>
      </c>
      <c r="F570" s="459">
        <f t="shared" si="152"/>
        <v>5.5809999999999998E-2</v>
      </c>
      <c r="G570" s="459">
        <f t="shared" si="152"/>
        <v>5.5809999999999998E-2</v>
      </c>
      <c r="H570" s="459">
        <f t="shared" si="152"/>
        <v>5.5809999999999998E-2</v>
      </c>
      <c r="I570" s="459">
        <f t="shared" si="152"/>
        <v>5.5809999999999998E-2</v>
      </c>
      <c r="J570" s="459">
        <f t="shared" si="152"/>
        <v>5.5809999999999998E-2</v>
      </c>
      <c r="K570" s="459">
        <f t="shared" si="152"/>
        <v>5.5809999999999998E-2</v>
      </c>
      <c r="L570" s="459">
        <f t="shared" si="152"/>
        <v>5.5809999999999998E-2</v>
      </c>
      <c r="M570" s="459">
        <f t="shared" si="152"/>
        <v>5.5809999999999998E-2</v>
      </c>
      <c r="N570" s="459">
        <f t="shared" si="152"/>
        <v>5.5809999999999998E-2</v>
      </c>
      <c r="O570" s="459">
        <f t="shared" si="152"/>
        <v>5.5809999999999998E-2</v>
      </c>
      <c r="P570" s="459">
        <f t="shared" si="152"/>
        <v>5.5809999999999998E-2</v>
      </c>
      <c r="Q570" s="459">
        <f t="shared" si="152"/>
        <v>5.5809999999999998E-2</v>
      </c>
      <c r="S570" s="336"/>
      <c r="T570" s="336"/>
    </row>
    <row r="571" spans="1:20" x14ac:dyDescent="0.2">
      <c r="C571" s="336" t="s">
        <v>1091</v>
      </c>
      <c r="D571" s="382" t="s">
        <v>811</v>
      </c>
      <c r="E571" s="336" t="s">
        <v>957</v>
      </c>
      <c r="F571" s="459">
        <f t="shared" si="152"/>
        <v>3.6589999999999998E-2</v>
      </c>
      <c r="G571" s="459">
        <f t="shared" si="152"/>
        <v>3.6589999999999998E-2</v>
      </c>
      <c r="H571" s="459">
        <f t="shared" si="152"/>
        <v>3.6589999999999998E-2</v>
      </c>
      <c r="I571" s="459">
        <f t="shared" si="152"/>
        <v>3.6589999999999998E-2</v>
      </c>
      <c r="J571" s="459">
        <f t="shared" si="152"/>
        <v>3.6589999999999998E-2</v>
      </c>
      <c r="K571" s="459">
        <f t="shared" si="152"/>
        <v>3.6589999999999998E-2</v>
      </c>
      <c r="L571" s="459">
        <f t="shared" si="152"/>
        <v>3.6589999999999998E-2</v>
      </c>
      <c r="M571" s="459">
        <f t="shared" si="152"/>
        <v>3.6589999999999998E-2</v>
      </c>
      <c r="N571" s="459">
        <f t="shared" si="152"/>
        <v>3.6589999999999998E-2</v>
      </c>
      <c r="O571" s="459">
        <f t="shared" si="152"/>
        <v>3.6589999999999998E-2</v>
      </c>
      <c r="P571" s="459">
        <f t="shared" si="152"/>
        <v>3.6589999999999998E-2</v>
      </c>
      <c r="Q571" s="459">
        <f t="shared" si="152"/>
        <v>3.6589999999999998E-2</v>
      </c>
      <c r="S571" s="336"/>
      <c r="T571" s="336"/>
    </row>
    <row r="572" spans="1:20" x14ac:dyDescent="0.2">
      <c r="C572" s="336" t="s">
        <v>1092</v>
      </c>
      <c r="D572" s="382" t="s">
        <v>811</v>
      </c>
      <c r="E572" s="336" t="s">
        <v>957</v>
      </c>
      <c r="F572" s="459">
        <f t="shared" si="152"/>
        <v>2.6950000000000002E-2</v>
      </c>
      <c r="G572" s="459">
        <f t="shared" si="152"/>
        <v>2.6950000000000002E-2</v>
      </c>
      <c r="H572" s="459">
        <f t="shared" si="152"/>
        <v>2.6950000000000002E-2</v>
      </c>
      <c r="I572" s="459">
        <f t="shared" si="152"/>
        <v>2.6950000000000002E-2</v>
      </c>
      <c r="J572" s="459">
        <f t="shared" si="152"/>
        <v>2.6950000000000002E-2</v>
      </c>
      <c r="K572" s="459">
        <f t="shared" si="152"/>
        <v>2.6950000000000002E-2</v>
      </c>
      <c r="L572" s="459">
        <f t="shared" si="152"/>
        <v>2.6950000000000002E-2</v>
      </c>
      <c r="M572" s="459">
        <f t="shared" si="152"/>
        <v>2.6950000000000002E-2</v>
      </c>
      <c r="N572" s="459">
        <f t="shared" si="152"/>
        <v>2.6950000000000002E-2</v>
      </c>
      <c r="O572" s="459">
        <f t="shared" si="152"/>
        <v>2.6950000000000002E-2</v>
      </c>
      <c r="P572" s="459">
        <f t="shared" si="152"/>
        <v>2.6950000000000002E-2</v>
      </c>
      <c r="Q572" s="459">
        <f t="shared" si="152"/>
        <v>2.6950000000000002E-2</v>
      </c>
      <c r="S572" s="336"/>
      <c r="T572" s="336"/>
    </row>
    <row r="573" spans="1:20" x14ac:dyDescent="0.2">
      <c r="C573" s="336" t="s">
        <v>1093</v>
      </c>
      <c r="D573" s="382" t="s">
        <v>811</v>
      </c>
      <c r="E573" s="336" t="s">
        <v>957</v>
      </c>
      <c r="F573" s="459">
        <f t="shared" si="152"/>
        <v>2.129E-2</v>
      </c>
      <c r="G573" s="459">
        <f t="shared" si="152"/>
        <v>2.129E-2</v>
      </c>
      <c r="H573" s="459">
        <f t="shared" si="152"/>
        <v>2.129E-2</v>
      </c>
      <c r="I573" s="459">
        <f t="shared" si="152"/>
        <v>2.129E-2</v>
      </c>
      <c r="J573" s="459">
        <f t="shared" si="152"/>
        <v>2.129E-2</v>
      </c>
      <c r="K573" s="459">
        <f t="shared" si="152"/>
        <v>2.129E-2</v>
      </c>
      <c r="L573" s="459">
        <f t="shared" si="152"/>
        <v>2.129E-2</v>
      </c>
      <c r="M573" s="459">
        <f t="shared" si="152"/>
        <v>2.129E-2</v>
      </c>
      <c r="N573" s="459">
        <f t="shared" si="152"/>
        <v>2.129E-2</v>
      </c>
      <c r="O573" s="459">
        <f t="shared" si="152"/>
        <v>2.129E-2</v>
      </c>
      <c r="P573" s="459">
        <f t="shared" si="152"/>
        <v>2.129E-2</v>
      </c>
      <c r="Q573" s="459">
        <f t="shared" si="152"/>
        <v>2.129E-2</v>
      </c>
      <c r="S573" s="336"/>
      <c r="T573" s="336"/>
    </row>
    <row r="574" spans="1:20" x14ac:dyDescent="0.2">
      <c r="B574" s="336" t="s">
        <v>1081</v>
      </c>
      <c r="D574" s="382" t="s">
        <v>811</v>
      </c>
      <c r="E574" s="336" t="s">
        <v>957</v>
      </c>
      <c r="F574" s="459">
        <f t="shared" si="152"/>
        <v>6.9999999999999999E-4</v>
      </c>
      <c r="G574" s="459">
        <f t="shared" si="152"/>
        <v>6.9999999999999999E-4</v>
      </c>
      <c r="H574" s="459">
        <f t="shared" si="152"/>
        <v>6.9999999999999999E-4</v>
      </c>
      <c r="I574" s="459">
        <f t="shared" si="152"/>
        <v>6.9999999999999999E-4</v>
      </c>
      <c r="J574" s="459">
        <f t="shared" si="152"/>
        <v>6.9999999999999999E-4</v>
      </c>
      <c r="K574" s="459">
        <f t="shared" si="152"/>
        <v>6.9999999999999999E-4</v>
      </c>
      <c r="L574" s="459">
        <f t="shared" si="152"/>
        <v>6.9999999999999999E-4</v>
      </c>
      <c r="M574" s="459">
        <f t="shared" si="152"/>
        <v>6.9999999999999999E-4</v>
      </c>
      <c r="N574" s="459">
        <f t="shared" si="152"/>
        <v>6.9999999999999999E-4</v>
      </c>
      <c r="O574" s="459">
        <f t="shared" si="152"/>
        <v>6.9999999999999999E-4</v>
      </c>
      <c r="P574" s="459">
        <f t="shared" si="152"/>
        <v>6.9999999999999999E-4</v>
      </c>
      <c r="Q574" s="459">
        <f t="shared" si="152"/>
        <v>6.9999999999999999E-4</v>
      </c>
      <c r="S574" s="336"/>
      <c r="T574" s="336"/>
    </row>
    <row r="575" spans="1:20" x14ac:dyDescent="0.2">
      <c r="B575" s="336" t="s">
        <v>1069</v>
      </c>
      <c r="D575" s="382" t="s">
        <v>811</v>
      </c>
      <c r="E575" s="336" t="s">
        <v>957</v>
      </c>
      <c r="F575" s="460">
        <f t="shared" si="152"/>
        <v>1.1399999999999999</v>
      </c>
      <c r="G575" s="460">
        <f t="shared" si="152"/>
        <v>1.1399999999999999</v>
      </c>
      <c r="H575" s="460">
        <f t="shared" si="152"/>
        <v>1.1399999999999999</v>
      </c>
      <c r="I575" s="460">
        <f t="shared" si="152"/>
        <v>1.1399999999999999</v>
      </c>
      <c r="J575" s="460">
        <f t="shared" si="152"/>
        <v>1.1399999999999999</v>
      </c>
      <c r="K575" s="460">
        <f t="shared" si="152"/>
        <v>1.1399999999999999</v>
      </c>
      <c r="L575" s="460">
        <f t="shared" si="152"/>
        <v>1.1399999999999999</v>
      </c>
      <c r="M575" s="460">
        <f t="shared" si="152"/>
        <v>1.1399999999999999</v>
      </c>
      <c r="N575" s="460">
        <f t="shared" si="152"/>
        <v>1.1399999999999999</v>
      </c>
      <c r="O575" s="460">
        <f t="shared" si="152"/>
        <v>1.1399999999999999</v>
      </c>
      <c r="P575" s="460">
        <f t="shared" si="152"/>
        <v>1.1399999999999999</v>
      </c>
      <c r="Q575" s="460">
        <f t="shared" si="152"/>
        <v>1.1399999999999999</v>
      </c>
      <c r="S575" s="336"/>
      <c r="T575" s="336"/>
    </row>
    <row r="576" spans="1:20" x14ac:dyDescent="0.2">
      <c r="B576" s="336" t="s">
        <v>1071</v>
      </c>
      <c r="D576" s="382" t="s">
        <v>811</v>
      </c>
      <c r="E576" s="336" t="s">
        <v>67</v>
      </c>
      <c r="F576" s="442"/>
      <c r="G576" s="442"/>
      <c r="H576" s="442"/>
      <c r="I576" s="442"/>
      <c r="J576" s="442"/>
      <c r="K576" s="442"/>
      <c r="L576" s="442"/>
      <c r="S576" s="336"/>
      <c r="T576" s="336"/>
    </row>
    <row r="577" spans="1:20" x14ac:dyDescent="0.2">
      <c r="F577" s="415"/>
      <c r="G577" s="415"/>
      <c r="H577" s="415"/>
      <c r="I577" s="415"/>
      <c r="J577" s="415"/>
      <c r="S577" s="336"/>
      <c r="T577" s="336"/>
    </row>
    <row r="578" spans="1:20" x14ac:dyDescent="0.2">
      <c r="B578" s="182" t="s">
        <v>982</v>
      </c>
      <c r="F578" s="415"/>
      <c r="G578" s="415"/>
      <c r="H578" s="415"/>
      <c r="I578" s="415"/>
      <c r="J578" s="415"/>
      <c r="S578" s="336"/>
      <c r="T578" s="336"/>
    </row>
    <row r="579" spans="1:20" x14ac:dyDescent="0.2">
      <c r="B579" s="336" t="s">
        <v>67</v>
      </c>
      <c r="D579" s="382" t="s">
        <v>811</v>
      </c>
      <c r="E579" s="336" t="s">
        <v>67</v>
      </c>
      <c r="F579" s="421">
        <f>'JKP-3.1c - Data'!C156</f>
        <v>11</v>
      </c>
      <c r="G579" s="421">
        <f>'JKP-3.1c - Data'!D156</f>
        <v>11</v>
      </c>
      <c r="H579" s="421">
        <f>'JKP-3.1c - Data'!E156</f>
        <v>11</v>
      </c>
      <c r="I579" s="421">
        <f>'JKP-3.1c - Data'!F156</f>
        <v>11</v>
      </c>
      <c r="J579" s="421">
        <f>'JKP-3.1c - Data'!G156</f>
        <v>11</v>
      </c>
      <c r="K579" s="421">
        <f>'JKP-3.1c - Data'!H156</f>
        <v>11</v>
      </c>
      <c r="L579" s="421">
        <f>'JKP-3.1c - Data'!I156</f>
        <v>11</v>
      </c>
      <c r="M579" s="421">
        <f>'JKP-3.1c - Data'!J156</f>
        <v>11</v>
      </c>
      <c r="N579" s="421">
        <f>'JKP-3.1c - Data'!K156</f>
        <v>11</v>
      </c>
      <c r="O579" s="421">
        <f>'JKP-3.1c - Data'!L156</f>
        <v>11</v>
      </c>
      <c r="P579" s="421">
        <f>'JKP-3.1c - Data'!M156</f>
        <v>11</v>
      </c>
      <c r="Q579" s="421">
        <f>'JKP-3.1c - Data'!N156</f>
        <v>10</v>
      </c>
      <c r="R579" s="362">
        <f>SUM(F579:Q579)</f>
        <v>131</v>
      </c>
      <c r="S579" s="336"/>
      <c r="T579" s="336"/>
    </row>
    <row r="580" spans="1:20" x14ac:dyDescent="0.2">
      <c r="B580" s="336" t="s">
        <v>76</v>
      </c>
      <c r="F580" s="380"/>
      <c r="G580" s="380"/>
      <c r="H580" s="380"/>
      <c r="I580" s="380"/>
      <c r="J580" s="380"/>
      <c r="K580" s="380"/>
      <c r="L580" s="380"/>
      <c r="M580" s="380"/>
      <c r="N580" s="380"/>
      <c r="O580" s="380"/>
      <c r="P580" s="380"/>
      <c r="Q580" s="380"/>
      <c r="S580" s="336"/>
      <c r="T580" s="336"/>
    </row>
    <row r="581" spans="1:20" x14ac:dyDescent="0.2">
      <c r="C581" s="336" t="s">
        <v>1086</v>
      </c>
      <c r="D581" s="382" t="s">
        <v>811</v>
      </c>
      <c r="E581" s="336" t="s">
        <v>10</v>
      </c>
      <c r="F581" s="421">
        <f>'JKP-3.1c - Rev Rates GTI10'!F581</f>
        <v>233002</v>
      </c>
      <c r="G581" s="421">
        <f>'JKP-3.1c - Rev Rates GTI10'!G581</f>
        <v>237361</v>
      </c>
      <c r="H581" s="421">
        <f>'JKP-3.1c - Rev Rates GTI10'!H581</f>
        <v>250000</v>
      </c>
      <c r="I581" s="421">
        <f>'JKP-3.1c - Rev Rates GTI10'!I581</f>
        <v>250000</v>
      </c>
      <c r="J581" s="421">
        <f>'JKP-3.1c - Rev Rates GTI10'!J581</f>
        <v>250000</v>
      </c>
      <c r="K581" s="421">
        <f>'JKP-3.1c - Rev Rates GTI10'!K581</f>
        <v>250295</v>
      </c>
      <c r="L581" s="421">
        <f>'JKP-3.1c - Rev Rates GTI10'!L581</f>
        <v>275000</v>
      </c>
      <c r="M581" s="421">
        <f>'JKP-3.1c - Rev Rates GTI10'!M581</f>
        <v>275000</v>
      </c>
      <c r="N581" s="421">
        <f>'JKP-3.1c - Rev Rates GTI10'!N581</f>
        <v>275000</v>
      </c>
      <c r="O581" s="421">
        <f>'JKP-3.1c - Rev Rates GTI10'!O581</f>
        <v>275000</v>
      </c>
      <c r="P581" s="421">
        <f>'JKP-3.1c - Rev Rates GTI10'!P581</f>
        <v>239521</v>
      </c>
      <c r="Q581" s="421">
        <f>'JKP-3.1c - Rev Rates GTI10'!Q581</f>
        <v>244957</v>
      </c>
      <c r="R581" s="362">
        <f t="shared" ref="R581:R588" si="153">SUM(F581:Q581)</f>
        <v>3055136</v>
      </c>
      <c r="S581" s="336"/>
      <c r="T581" s="336"/>
    </row>
    <row r="582" spans="1:20" x14ac:dyDescent="0.2">
      <c r="C582" s="336" t="s">
        <v>1087</v>
      </c>
      <c r="D582" s="382" t="s">
        <v>811</v>
      </c>
      <c r="E582" s="336" t="s">
        <v>10</v>
      </c>
      <c r="F582" s="421">
        <f>'JKP-3.1c - Rev Rates GTI10'!F582</f>
        <v>225000</v>
      </c>
      <c r="G582" s="421">
        <f>'JKP-3.1c - Rev Rates GTI10'!G582</f>
        <v>225000</v>
      </c>
      <c r="H582" s="421">
        <f>'JKP-3.1c - Rev Rates GTI10'!H582</f>
        <v>243175</v>
      </c>
      <c r="I582" s="421">
        <f>'JKP-3.1c - Rev Rates GTI10'!I582</f>
        <v>250000</v>
      </c>
      <c r="J582" s="421">
        <f>'JKP-3.1c - Rev Rates GTI10'!J582</f>
        <v>239298</v>
      </c>
      <c r="K582" s="421">
        <f>'JKP-3.1c - Rev Rates GTI10'!K582</f>
        <v>241718</v>
      </c>
      <c r="L582" s="421">
        <f>'JKP-3.1c - Rev Rates GTI10'!L582</f>
        <v>241997</v>
      </c>
      <c r="M582" s="421">
        <f>'JKP-3.1c - Rev Rates GTI10'!M582</f>
        <v>275000</v>
      </c>
      <c r="N582" s="421">
        <f>'JKP-3.1c - Rev Rates GTI10'!N582</f>
        <v>275000</v>
      </c>
      <c r="O582" s="421">
        <f>'JKP-3.1c - Rev Rates GTI10'!O582</f>
        <v>275000</v>
      </c>
      <c r="P582" s="421">
        <f>'JKP-3.1c - Rev Rates GTI10'!P582</f>
        <v>225000</v>
      </c>
      <c r="Q582" s="421">
        <f>'JKP-3.1c - Rev Rates GTI10'!Q582</f>
        <v>225000</v>
      </c>
      <c r="R582" s="362">
        <f t="shared" si="153"/>
        <v>2941188</v>
      </c>
      <c r="S582" s="336"/>
      <c r="T582" s="336"/>
    </row>
    <row r="583" spans="1:20" x14ac:dyDescent="0.2">
      <c r="C583" s="336" t="s">
        <v>1090</v>
      </c>
      <c r="D583" s="382" t="s">
        <v>811</v>
      </c>
      <c r="E583" s="336" t="s">
        <v>10</v>
      </c>
      <c r="F583" s="421">
        <f>'JKP-3.1c - Rev Rates GTI10'!F583</f>
        <v>450000</v>
      </c>
      <c r="G583" s="421">
        <f>'JKP-3.1c - Rev Rates GTI10'!G583</f>
        <v>450000</v>
      </c>
      <c r="H583" s="421">
        <f>'JKP-3.1c - Rev Rates GTI10'!H583</f>
        <v>450000</v>
      </c>
      <c r="I583" s="421">
        <f>'JKP-3.1c - Rev Rates GTI10'!I583</f>
        <v>456951</v>
      </c>
      <c r="J583" s="421">
        <f>'JKP-3.1c - Rev Rates GTI10'!J583</f>
        <v>450000</v>
      </c>
      <c r="K583" s="421">
        <f>'JKP-3.1c - Rev Rates GTI10'!K583</f>
        <v>450000</v>
      </c>
      <c r="L583" s="421">
        <f>'JKP-3.1c - Rev Rates GTI10'!L583</f>
        <v>450000</v>
      </c>
      <c r="M583" s="421">
        <f>'JKP-3.1c - Rev Rates GTI10'!M583</f>
        <v>529945</v>
      </c>
      <c r="N583" s="421">
        <f>'JKP-3.1c - Rev Rates GTI10'!N583</f>
        <v>542077</v>
      </c>
      <c r="O583" s="421">
        <f>'JKP-3.1c - Rev Rates GTI10'!O583</f>
        <v>537115</v>
      </c>
      <c r="P583" s="421">
        <f>'JKP-3.1c - Rev Rates GTI10'!P583</f>
        <v>450000</v>
      </c>
      <c r="Q583" s="421">
        <f>'JKP-3.1c - Rev Rates GTI10'!Q583</f>
        <v>450000</v>
      </c>
      <c r="R583" s="362">
        <f t="shared" si="153"/>
        <v>5666088</v>
      </c>
      <c r="S583" s="336"/>
      <c r="T583" s="336"/>
    </row>
    <row r="584" spans="1:20" x14ac:dyDescent="0.2">
      <c r="C584" s="336" t="s">
        <v>1091</v>
      </c>
      <c r="D584" s="382" t="s">
        <v>811</v>
      </c>
      <c r="E584" s="336" t="s">
        <v>10</v>
      </c>
      <c r="F584" s="421">
        <f>'JKP-3.1c - Rev Rates GTI10'!F584</f>
        <v>900000</v>
      </c>
      <c r="G584" s="421">
        <f>'JKP-3.1c - Rev Rates GTI10'!G584</f>
        <v>890972</v>
      </c>
      <c r="H584" s="421">
        <f>'JKP-3.1c - Rev Rates GTI10'!H584</f>
        <v>819393</v>
      </c>
      <c r="I584" s="421">
        <f>'JKP-3.1c - Rev Rates GTI10'!I584</f>
        <v>871573</v>
      </c>
      <c r="J584" s="421">
        <f>'JKP-3.1c - Rev Rates GTI10'!J584</f>
        <v>900000</v>
      </c>
      <c r="K584" s="421">
        <f>'JKP-3.1c - Rev Rates GTI10'!K584</f>
        <v>900000</v>
      </c>
      <c r="L584" s="421">
        <f>'JKP-3.1c - Rev Rates GTI10'!L584</f>
        <v>900000</v>
      </c>
      <c r="M584" s="421">
        <f>'JKP-3.1c - Rev Rates GTI10'!M584</f>
        <v>955341</v>
      </c>
      <c r="N584" s="421">
        <f>'JKP-3.1c - Rev Rates GTI10'!N584</f>
        <v>924425</v>
      </c>
      <c r="O584" s="421">
        <f>'JKP-3.1c - Rev Rates GTI10'!O584</f>
        <v>900000</v>
      </c>
      <c r="P584" s="421">
        <f>'JKP-3.1c - Rev Rates GTI10'!P584</f>
        <v>900000</v>
      </c>
      <c r="Q584" s="421">
        <f>'JKP-3.1c - Rev Rates GTI10'!Q584</f>
        <v>875878</v>
      </c>
      <c r="R584" s="362">
        <f t="shared" si="153"/>
        <v>10737582</v>
      </c>
      <c r="S584" s="336"/>
      <c r="T584" s="336"/>
    </row>
    <row r="585" spans="1:20" x14ac:dyDescent="0.2">
      <c r="C585" s="336" t="s">
        <v>1092</v>
      </c>
      <c r="D585" s="382" t="s">
        <v>811</v>
      </c>
      <c r="E585" s="336" t="s">
        <v>10</v>
      </c>
      <c r="F585" s="421">
        <f>'JKP-3.1c - Rev Rates GTI10'!F585</f>
        <v>2239208</v>
      </c>
      <c r="G585" s="421">
        <f>'JKP-3.1c - Rev Rates GTI10'!G585</f>
        <v>2174048</v>
      </c>
      <c r="H585" s="421">
        <f>'JKP-3.1c - Rev Rates GTI10'!H585</f>
        <v>2151855</v>
      </c>
      <c r="I585" s="421">
        <f>'JKP-3.1c - Rev Rates GTI10'!I585</f>
        <v>2149221</v>
      </c>
      <c r="J585" s="421">
        <f>'JKP-3.1c - Rev Rates GTI10'!J585</f>
        <v>2222143</v>
      </c>
      <c r="K585" s="421">
        <f>'JKP-3.1c - Rev Rates GTI10'!K585</f>
        <v>2135368</v>
      </c>
      <c r="L585" s="421">
        <f>'JKP-3.1c - Rev Rates GTI10'!L585</f>
        <v>2097365</v>
      </c>
      <c r="M585" s="421">
        <f>'JKP-3.1c - Rev Rates GTI10'!M585</f>
        <v>2247151</v>
      </c>
      <c r="N585" s="421">
        <f>'JKP-3.1c - Rev Rates GTI10'!N585</f>
        <v>2086920</v>
      </c>
      <c r="O585" s="421">
        <f>'JKP-3.1c - Rev Rates GTI10'!O585</f>
        <v>2172513</v>
      </c>
      <c r="P585" s="421">
        <f>'JKP-3.1c - Rev Rates GTI10'!P585</f>
        <v>1981141</v>
      </c>
      <c r="Q585" s="421">
        <f>'JKP-3.1c - Rev Rates GTI10'!Q585</f>
        <v>1839709</v>
      </c>
      <c r="R585" s="362">
        <f t="shared" si="153"/>
        <v>25496642</v>
      </c>
      <c r="S585" s="336"/>
      <c r="T585" s="336"/>
    </row>
    <row r="586" spans="1:20" x14ac:dyDescent="0.2">
      <c r="C586" s="336" t="s">
        <v>1093</v>
      </c>
      <c r="D586" s="382" t="s">
        <v>811</v>
      </c>
      <c r="E586" s="336" t="s">
        <v>10</v>
      </c>
      <c r="F586" s="378">
        <f t="shared" ref="F586:N586" si="154">F587-SUM(F581:F585)</f>
        <v>3231478</v>
      </c>
      <c r="G586" s="378">
        <f t="shared" si="154"/>
        <v>1780829</v>
      </c>
      <c r="H586" s="378">
        <f t="shared" si="154"/>
        <v>3002301</v>
      </c>
      <c r="I586" s="378">
        <f t="shared" si="154"/>
        <v>2880556</v>
      </c>
      <c r="J586" s="378">
        <f t="shared" si="154"/>
        <v>3908149</v>
      </c>
      <c r="K586" s="378">
        <f t="shared" si="154"/>
        <v>2733660</v>
      </c>
      <c r="L586" s="378">
        <f t="shared" si="154"/>
        <v>3335718</v>
      </c>
      <c r="M586" s="378">
        <f t="shared" si="154"/>
        <v>3166091</v>
      </c>
      <c r="N586" s="378">
        <f t="shared" si="154"/>
        <v>2201045</v>
      </c>
      <c r="O586" s="378">
        <f>O587-SUM(O581:O585)</f>
        <v>2307132</v>
      </c>
      <c r="P586" s="378">
        <f>P587-SUM(P581:P585)</f>
        <v>1500048</v>
      </c>
      <c r="Q586" s="378">
        <f>Q587-SUM(Q581:Q585)</f>
        <v>2037587</v>
      </c>
      <c r="R586" s="362">
        <f t="shared" si="153"/>
        <v>32084594</v>
      </c>
      <c r="S586" s="336"/>
      <c r="T586" s="336"/>
    </row>
    <row r="587" spans="1:20" x14ac:dyDescent="0.2">
      <c r="C587" s="336" t="s">
        <v>1075</v>
      </c>
      <c r="D587" s="382" t="s">
        <v>811</v>
      </c>
      <c r="E587" s="336" t="s">
        <v>10</v>
      </c>
      <c r="F587" s="445">
        <f>'JKP-3.1c - Weather Adj'!D173</f>
        <v>7278688</v>
      </c>
      <c r="G587" s="445">
        <f>'JKP-3.1c - Weather Adj'!E173</f>
        <v>5758210</v>
      </c>
      <c r="H587" s="445">
        <f>'JKP-3.1c - Weather Adj'!F173</f>
        <v>6916724</v>
      </c>
      <c r="I587" s="445">
        <f>'JKP-3.1c - Weather Adj'!G173</f>
        <v>6858301</v>
      </c>
      <c r="J587" s="445">
        <f>'JKP-3.1c - Weather Adj'!H173</f>
        <v>7969590</v>
      </c>
      <c r="K587" s="445">
        <f>'JKP-3.1c - Weather Adj'!I173</f>
        <v>6711041</v>
      </c>
      <c r="L587" s="445">
        <f>'JKP-3.1c - Weather Adj'!J173</f>
        <v>7300080</v>
      </c>
      <c r="M587" s="445">
        <f>'JKP-3.1c - Weather Adj'!K173</f>
        <v>7448528</v>
      </c>
      <c r="N587" s="445">
        <f>'JKP-3.1c - Weather Adj'!L173</f>
        <v>6304467</v>
      </c>
      <c r="O587" s="445">
        <f>'JKP-3.1c - Weather Adj'!M173</f>
        <v>6466760</v>
      </c>
      <c r="P587" s="445">
        <f>'JKP-3.1c - Weather Adj'!N173</f>
        <v>5295710</v>
      </c>
      <c r="Q587" s="445">
        <f>'JKP-3.1c - Weather Adj'!O173</f>
        <v>5673131</v>
      </c>
      <c r="R587" s="436">
        <f t="shared" si="153"/>
        <v>79981230</v>
      </c>
      <c r="S587" s="336"/>
      <c r="T587" s="336"/>
    </row>
    <row r="588" spans="1:20" x14ac:dyDescent="0.2">
      <c r="B588" s="336" t="s">
        <v>74</v>
      </c>
      <c r="D588" s="382" t="s">
        <v>811</v>
      </c>
      <c r="E588" s="336" t="s">
        <v>1076</v>
      </c>
      <c r="F588" s="421">
        <f>'JKP-3.1c - Data'!C176</f>
        <v>37739</v>
      </c>
      <c r="G588" s="421">
        <f>'JKP-3.1c - Data'!D176</f>
        <v>37739</v>
      </c>
      <c r="H588" s="421">
        <f>'JKP-3.1c - Data'!E176</f>
        <v>37739</v>
      </c>
      <c r="I588" s="421">
        <f>'JKP-3.1c - Data'!F176</f>
        <v>37739</v>
      </c>
      <c r="J588" s="421">
        <f>'JKP-3.1c - Data'!G176</f>
        <v>37739</v>
      </c>
      <c r="K588" s="421">
        <f>'JKP-3.1c - Data'!H176</f>
        <v>37739</v>
      </c>
      <c r="L588" s="421">
        <f>'JKP-3.1c - Data'!I176</f>
        <v>37739</v>
      </c>
      <c r="M588" s="421">
        <f>'JKP-3.1c - Data'!J176</f>
        <v>37739</v>
      </c>
      <c r="N588" s="421">
        <f>'JKP-3.1c - Data'!K176</f>
        <v>37739</v>
      </c>
      <c r="O588" s="421">
        <f>'JKP-3.1c - Data'!L176</f>
        <v>37739</v>
      </c>
      <c r="P588" s="421">
        <f>'JKP-3.1c - Data'!M176</f>
        <v>37739</v>
      </c>
      <c r="Q588" s="421">
        <f>'JKP-3.1c - Data'!N176</f>
        <v>37722</v>
      </c>
      <c r="R588" s="362">
        <f t="shared" si="153"/>
        <v>452851</v>
      </c>
      <c r="S588" s="336"/>
      <c r="T588" s="336"/>
    </row>
    <row r="589" spans="1:20" x14ac:dyDescent="0.2">
      <c r="B589" s="336" t="s">
        <v>1071</v>
      </c>
      <c r="F589" s="415"/>
      <c r="G589" s="415"/>
      <c r="H589" s="415"/>
      <c r="I589" s="415"/>
      <c r="J589" s="415"/>
      <c r="S589" s="336"/>
      <c r="T589" s="336"/>
    </row>
    <row r="590" spans="1:20" x14ac:dyDescent="0.2">
      <c r="F590" s="415"/>
      <c r="G590" s="415"/>
      <c r="H590" s="415"/>
      <c r="I590" s="415"/>
      <c r="J590" s="415"/>
      <c r="S590" s="336"/>
      <c r="T590" s="336"/>
    </row>
    <row r="591" spans="1:20" x14ac:dyDescent="0.2">
      <c r="B591" s="182" t="s">
        <v>985</v>
      </c>
      <c r="F591" s="415"/>
      <c r="G591" s="415"/>
      <c r="H591" s="415"/>
      <c r="I591" s="415"/>
      <c r="J591" s="415"/>
      <c r="S591" s="336"/>
      <c r="T591" s="336"/>
    </row>
    <row r="592" spans="1:20" x14ac:dyDescent="0.2">
      <c r="A592" s="336" t="s">
        <v>1054</v>
      </c>
      <c r="B592" s="336" t="s">
        <v>1059</v>
      </c>
      <c r="D592" s="382" t="s">
        <v>811</v>
      </c>
      <c r="F592" s="418">
        <f t="shared" ref="F592:Q592" si="155">F566*F579</f>
        <v>9828.17</v>
      </c>
      <c r="G592" s="418">
        <f t="shared" si="155"/>
        <v>9828.17</v>
      </c>
      <c r="H592" s="418">
        <f t="shared" si="155"/>
        <v>9828.17</v>
      </c>
      <c r="I592" s="418">
        <f t="shared" si="155"/>
        <v>9828.17</v>
      </c>
      <c r="J592" s="418">
        <f t="shared" si="155"/>
        <v>9828.17</v>
      </c>
      <c r="K592" s="418">
        <f t="shared" si="155"/>
        <v>9828.17</v>
      </c>
      <c r="L592" s="418">
        <f t="shared" si="155"/>
        <v>9828.17</v>
      </c>
      <c r="M592" s="418">
        <f t="shared" si="155"/>
        <v>9828.17</v>
      </c>
      <c r="N592" s="418">
        <f t="shared" si="155"/>
        <v>9828.17</v>
      </c>
      <c r="O592" s="418">
        <f t="shared" si="155"/>
        <v>9828.17</v>
      </c>
      <c r="P592" s="418">
        <f t="shared" si="155"/>
        <v>9828.17</v>
      </c>
      <c r="Q592" s="418">
        <f t="shared" si="155"/>
        <v>8934.7000000000007</v>
      </c>
      <c r="R592" s="418">
        <f>SUM(F592:Q592)</f>
        <v>117044.56999999999</v>
      </c>
      <c r="S592" s="336"/>
      <c r="T592" s="336"/>
    </row>
    <row r="593" spans="1:20" x14ac:dyDescent="0.2">
      <c r="B593" s="336" t="s">
        <v>1047</v>
      </c>
      <c r="F593" s="418"/>
      <c r="G593" s="418"/>
      <c r="H593" s="418"/>
      <c r="I593" s="418"/>
      <c r="J593" s="418"/>
      <c r="K593" s="418"/>
      <c r="L593" s="418"/>
      <c r="M593" s="418"/>
      <c r="N593" s="418"/>
      <c r="O593" s="418"/>
      <c r="P593" s="418"/>
      <c r="Q593" s="418"/>
      <c r="R593" s="418"/>
      <c r="S593" s="336"/>
      <c r="T593" s="336"/>
    </row>
    <row r="594" spans="1:20" x14ac:dyDescent="0.2">
      <c r="C594" s="336" t="s">
        <v>1086</v>
      </c>
      <c r="D594" s="382" t="s">
        <v>811</v>
      </c>
      <c r="F594" s="418">
        <f t="shared" ref="F594:Q599" si="156">F568*F581</f>
        <v>32988.423160000006</v>
      </c>
      <c r="G594" s="418">
        <f t="shared" si="156"/>
        <v>33605.570380000005</v>
      </c>
      <c r="H594" s="418">
        <f t="shared" si="156"/>
        <v>35395</v>
      </c>
      <c r="I594" s="418">
        <f t="shared" si="156"/>
        <v>35395</v>
      </c>
      <c r="J594" s="418">
        <f t="shared" si="156"/>
        <v>35395</v>
      </c>
      <c r="K594" s="418">
        <f t="shared" si="156"/>
        <v>35436.766100000001</v>
      </c>
      <c r="L594" s="418">
        <f t="shared" si="156"/>
        <v>38934.5</v>
      </c>
      <c r="M594" s="418">
        <f t="shared" si="156"/>
        <v>38934.5</v>
      </c>
      <c r="N594" s="418">
        <f t="shared" si="156"/>
        <v>38934.5</v>
      </c>
      <c r="O594" s="418">
        <f t="shared" si="156"/>
        <v>38934.5</v>
      </c>
      <c r="P594" s="418">
        <f t="shared" si="156"/>
        <v>33911.383180000004</v>
      </c>
      <c r="Q594" s="418">
        <f t="shared" si="156"/>
        <v>34681.012060000001</v>
      </c>
      <c r="R594" s="418">
        <f t="shared" ref="R594:R601" si="157">SUM(F594:Q594)</f>
        <v>432546.15487999999</v>
      </c>
      <c r="S594" s="336"/>
      <c r="T594" s="336"/>
    </row>
    <row r="595" spans="1:20" x14ac:dyDescent="0.2">
      <c r="C595" s="336" t="s">
        <v>1087</v>
      </c>
      <c r="D595" s="382" t="s">
        <v>811</v>
      </c>
      <c r="F595" s="418">
        <f t="shared" si="156"/>
        <v>19449</v>
      </c>
      <c r="G595" s="418">
        <f t="shared" si="156"/>
        <v>19449</v>
      </c>
      <c r="H595" s="418">
        <f t="shared" si="156"/>
        <v>21020.047000000002</v>
      </c>
      <c r="I595" s="418">
        <f t="shared" si="156"/>
        <v>21610</v>
      </c>
      <c r="J595" s="418">
        <f t="shared" si="156"/>
        <v>20684.919120000002</v>
      </c>
      <c r="K595" s="418">
        <f t="shared" si="156"/>
        <v>20894.103920000001</v>
      </c>
      <c r="L595" s="418">
        <f t="shared" si="156"/>
        <v>20918.220680000002</v>
      </c>
      <c r="M595" s="418">
        <f t="shared" si="156"/>
        <v>23771</v>
      </c>
      <c r="N595" s="418">
        <f t="shared" si="156"/>
        <v>23771</v>
      </c>
      <c r="O595" s="418">
        <f t="shared" si="156"/>
        <v>23771</v>
      </c>
      <c r="P595" s="418">
        <f t="shared" si="156"/>
        <v>19449</v>
      </c>
      <c r="Q595" s="418">
        <f t="shared" si="156"/>
        <v>19449</v>
      </c>
      <c r="R595" s="418">
        <f t="shared" si="157"/>
        <v>254236.29072000002</v>
      </c>
      <c r="S595" s="336"/>
      <c r="T595" s="336"/>
    </row>
    <row r="596" spans="1:20" x14ac:dyDescent="0.2">
      <c r="C596" s="336" t="s">
        <v>1090</v>
      </c>
      <c r="D596" s="382" t="s">
        <v>811</v>
      </c>
      <c r="F596" s="418">
        <f t="shared" si="156"/>
        <v>25114.5</v>
      </c>
      <c r="G596" s="418">
        <f t="shared" si="156"/>
        <v>25114.5</v>
      </c>
      <c r="H596" s="418">
        <f t="shared" si="156"/>
        <v>25114.5</v>
      </c>
      <c r="I596" s="418">
        <f t="shared" si="156"/>
        <v>25502.435310000001</v>
      </c>
      <c r="J596" s="418">
        <f t="shared" si="156"/>
        <v>25114.5</v>
      </c>
      <c r="K596" s="418">
        <f t="shared" si="156"/>
        <v>25114.5</v>
      </c>
      <c r="L596" s="418">
        <f t="shared" si="156"/>
        <v>25114.5</v>
      </c>
      <c r="M596" s="418">
        <f t="shared" si="156"/>
        <v>29576.230449999999</v>
      </c>
      <c r="N596" s="418">
        <f t="shared" si="156"/>
        <v>30253.317370000001</v>
      </c>
      <c r="O596" s="418">
        <f t="shared" si="156"/>
        <v>29976.388149999999</v>
      </c>
      <c r="P596" s="418">
        <f t="shared" si="156"/>
        <v>25114.5</v>
      </c>
      <c r="Q596" s="418">
        <f t="shared" si="156"/>
        <v>25114.5</v>
      </c>
      <c r="R596" s="418">
        <f t="shared" si="157"/>
        <v>316224.37128000002</v>
      </c>
      <c r="S596" s="336"/>
      <c r="T596" s="336"/>
    </row>
    <row r="597" spans="1:20" x14ac:dyDescent="0.2">
      <c r="C597" s="336" t="s">
        <v>1091</v>
      </c>
      <c r="D597" s="382" t="s">
        <v>811</v>
      </c>
      <c r="F597" s="418">
        <f t="shared" si="156"/>
        <v>32931</v>
      </c>
      <c r="G597" s="418">
        <f t="shared" si="156"/>
        <v>32600.665479999996</v>
      </c>
      <c r="H597" s="418">
        <f t="shared" si="156"/>
        <v>29981.589869999996</v>
      </c>
      <c r="I597" s="418">
        <f t="shared" si="156"/>
        <v>31890.856069999998</v>
      </c>
      <c r="J597" s="418">
        <f t="shared" si="156"/>
        <v>32931</v>
      </c>
      <c r="K597" s="418">
        <f t="shared" si="156"/>
        <v>32931</v>
      </c>
      <c r="L597" s="418">
        <f t="shared" si="156"/>
        <v>32931</v>
      </c>
      <c r="M597" s="418">
        <f t="shared" si="156"/>
        <v>34955.927189999995</v>
      </c>
      <c r="N597" s="418">
        <f t="shared" si="156"/>
        <v>33824.710749999998</v>
      </c>
      <c r="O597" s="418">
        <f t="shared" si="156"/>
        <v>32931</v>
      </c>
      <c r="P597" s="418">
        <f t="shared" si="156"/>
        <v>32931</v>
      </c>
      <c r="Q597" s="418">
        <f t="shared" si="156"/>
        <v>32048.376019999996</v>
      </c>
      <c r="R597" s="418">
        <f t="shared" si="157"/>
        <v>392888.12537999998</v>
      </c>
      <c r="S597" s="336"/>
      <c r="T597" s="336"/>
    </row>
    <row r="598" spans="1:20" x14ac:dyDescent="0.2">
      <c r="C598" s="336" t="s">
        <v>1092</v>
      </c>
      <c r="D598" s="382" t="s">
        <v>811</v>
      </c>
      <c r="F598" s="418">
        <f t="shared" si="156"/>
        <v>60346.655600000006</v>
      </c>
      <c r="G598" s="418">
        <f t="shared" si="156"/>
        <v>58590.5936</v>
      </c>
      <c r="H598" s="418">
        <f t="shared" si="156"/>
        <v>57992.492250000003</v>
      </c>
      <c r="I598" s="418">
        <f t="shared" si="156"/>
        <v>57921.505950000006</v>
      </c>
      <c r="J598" s="418">
        <f t="shared" si="156"/>
        <v>59886.753850000001</v>
      </c>
      <c r="K598" s="418">
        <f t="shared" si="156"/>
        <v>57548.167600000001</v>
      </c>
      <c r="L598" s="418">
        <f t="shared" si="156"/>
        <v>56523.986750000004</v>
      </c>
      <c r="M598" s="418">
        <f t="shared" si="156"/>
        <v>60560.719450000004</v>
      </c>
      <c r="N598" s="418">
        <f t="shared" si="156"/>
        <v>56242.494000000006</v>
      </c>
      <c r="O598" s="418">
        <f t="shared" si="156"/>
        <v>58549.225350000001</v>
      </c>
      <c r="P598" s="418">
        <f t="shared" si="156"/>
        <v>53391.749950000005</v>
      </c>
      <c r="Q598" s="418">
        <f t="shared" si="156"/>
        <v>49580.157550000004</v>
      </c>
      <c r="R598" s="418">
        <f t="shared" si="157"/>
        <v>687134.5018999998</v>
      </c>
      <c r="S598" s="336"/>
      <c r="T598" s="336"/>
    </row>
    <row r="599" spans="1:20" x14ac:dyDescent="0.2">
      <c r="C599" s="336" t="s">
        <v>1093</v>
      </c>
      <c r="D599" s="382" t="s">
        <v>811</v>
      </c>
      <c r="F599" s="418">
        <f t="shared" si="156"/>
        <v>68798.166620000004</v>
      </c>
      <c r="G599" s="418">
        <f t="shared" si="156"/>
        <v>37913.849410000003</v>
      </c>
      <c r="H599" s="418">
        <f t="shared" si="156"/>
        <v>63918.988290000001</v>
      </c>
      <c r="I599" s="418">
        <f t="shared" si="156"/>
        <v>61327.037239999998</v>
      </c>
      <c r="J599" s="418">
        <f t="shared" si="156"/>
        <v>83204.492209999997</v>
      </c>
      <c r="K599" s="418">
        <f t="shared" si="156"/>
        <v>58199.621399999996</v>
      </c>
      <c r="L599" s="418">
        <f t="shared" si="156"/>
        <v>71017.436220000003</v>
      </c>
      <c r="M599" s="418">
        <f t="shared" si="156"/>
        <v>67406.077390000006</v>
      </c>
      <c r="N599" s="418">
        <f t="shared" si="156"/>
        <v>46860.248050000002</v>
      </c>
      <c r="O599" s="418">
        <f t="shared" si="156"/>
        <v>49118.840279999997</v>
      </c>
      <c r="P599" s="418">
        <f t="shared" si="156"/>
        <v>31936.021919999999</v>
      </c>
      <c r="Q599" s="418">
        <f t="shared" si="156"/>
        <v>43380.227229999997</v>
      </c>
      <c r="R599" s="418">
        <f t="shared" si="157"/>
        <v>683081.00625999994</v>
      </c>
      <c r="S599" s="336"/>
      <c r="T599" s="336"/>
    </row>
    <row r="600" spans="1:20" x14ac:dyDescent="0.2">
      <c r="A600" s="336" t="s">
        <v>1054</v>
      </c>
      <c r="C600" s="336" t="s">
        <v>1077</v>
      </c>
      <c r="F600" s="339">
        <f t="shared" ref="F600:L600" si="158">SUM(F594:F599)</f>
        <v>239627.74538000001</v>
      </c>
      <c r="G600" s="339">
        <f t="shared" si="158"/>
        <v>207274.17887</v>
      </c>
      <c r="H600" s="339">
        <f t="shared" si="158"/>
        <v>233422.61741000001</v>
      </c>
      <c r="I600" s="339">
        <f t="shared" si="158"/>
        <v>233646.83457000001</v>
      </c>
      <c r="J600" s="339">
        <f t="shared" si="158"/>
        <v>257216.66518000001</v>
      </c>
      <c r="K600" s="339">
        <f t="shared" si="158"/>
        <v>230124.15902000002</v>
      </c>
      <c r="L600" s="339">
        <f t="shared" si="158"/>
        <v>245439.64365000001</v>
      </c>
      <c r="M600" s="339">
        <f>SUM(M594:M599)</f>
        <v>255204.45448000001</v>
      </c>
      <c r="N600" s="339">
        <f>SUM(N594:N599)</f>
        <v>229886.27017</v>
      </c>
      <c r="O600" s="339">
        <f>SUM(O594:O599)</f>
        <v>233280.95378000001</v>
      </c>
      <c r="P600" s="339">
        <f>SUM(P594:P599)</f>
        <v>196733.65505</v>
      </c>
      <c r="Q600" s="339">
        <f>SUM(Q594:Q599)</f>
        <v>204253.27286</v>
      </c>
      <c r="R600" s="339">
        <f t="shared" si="157"/>
        <v>2766110.4504200006</v>
      </c>
      <c r="S600" s="336"/>
      <c r="T600" s="336"/>
    </row>
    <row r="601" spans="1:20" x14ac:dyDescent="0.2">
      <c r="A601" s="336" t="s">
        <v>1056</v>
      </c>
      <c r="B601" s="336" t="s">
        <v>1081</v>
      </c>
      <c r="D601" s="382" t="s">
        <v>811</v>
      </c>
      <c r="F601" s="339">
        <f t="shared" ref="F601:Q602" si="159">F574*F587</f>
        <v>5095.0815999999995</v>
      </c>
      <c r="G601" s="339">
        <f t="shared" si="159"/>
        <v>4030.7469999999998</v>
      </c>
      <c r="H601" s="339">
        <f t="shared" si="159"/>
        <v>4841.7067999999999</v>
      </c>
      <c r="I601" s="339">
        <f t="shared" si="159"/>
        <v>4800.8107</v>
      </c>
      <c r="J601" s="339">
        <f t="shared" si="159"/>
        <v>5578.7129999999997</v>
      </c>
      <c r="K601" s="339">
        <f t="shared" si="159"/>
        <v>4697.7286999999997</v>
      </c>
      <c r="L601" s="339">
        <f t="shared" si="159"/>
        <v>5110.0559999999996</v>
      </c>
      <c r="M601" s="339">
        <f t="shared" si="159"/>
        <v>5213.9696000000004</v>
      </c>
      <c r="N601" s="339">
        <f t="shared" si="159"/>
        <v>4413.1269000000002</v>
      </c>
      <c r="O601" s="339">
        <f t="shared" si="159"/>
        <v>4526.732</v>
      </c>
      <c r="P601" s="339">
        <f t="shared" si="159"/>
        <v>3706.9969999999998</v>
      </c>
      <c r="Q601" s="339">
        <f t="shared" si="159"/>
        <v>3971.1916999999999</v>
      </c>
      <c r="R601" s="339">
        <f t="shared" si="157"/>
        <v>55986.861000000012</v>
      </c>
      <c r="S601" s="336"/>
      <c r="T601" s="336"/>
    </row>
    <row r="602" spans="1:20" x14ac:dyDescent="0.2">
      <c r="A602" s="336" t="s">
        <v>1054</v>
      </c>
      <c r="B602" s="336" t="s">
        <v>1069</v>
      </c>
      <c r="D602" s="382" t="s">
        <v>811</v>
      </c>
      <c r="F602" s="418">
        <f t="shared" si="159"/>
        <v>43022.46</v>
      </c>
      <c r="G602" s="418">
        <f t="shared" si="159"/>
        <v>43022.46</v>
      </c>
      <c r="H602" s="418">
        <f t="shared" si="159"/>
        <v>43022.46</v>
      </c>
      <c r="I602" s="418">
        <f t="shared" si="159"/>
        <v>43022.46</v>
      </c>
      <c r="J602" s="418">
        <f t="shared" si="159"/>
        <v>43022.46</v>
      </c>
      <c r="K602" s="418">
        <f t="shared" si="159"/>
        <v>43022.46</v>
      </c>
      <c r="L602" s="418">
        <f t="shared" si="159"/>
        <v>43022.46</v>
      </c>
      <c r="M602" s="418">
        <f t="shared" si="159"/>
        <v>43022.46</v>
      </c>
      <c r="N602" s="418">
        <f t="shared" si="159"/>
        <v>43022.46</v>
      </c>
      <c r="O602" s="418">
        <f t="shared" si="159"/>
        <v>43022.46</v>
      </c>
      <c r="P602" s="418">
        <f t="shared" si="159"/>
        <v>43022.46</v>
      </c>
      <c r="Q602" s="418">
        <f t="shared" si="159"/>
        <v>43003.079999999994</v>
      </c>
      <c r="R602" s="418">
        <f>SUM(F602:Q602)</f>
        <v>516250.14000000007</v>
      </c>
      <c r="S602" s="336"/>
      <c r="T602" s="336"/>
    </row>
    <row r="603" spans="1:20" x14ac:dyDescent="0.2">
      <c r="A603" s="336" t="s">
        <v>1054</v>
      </c>
      <c r="B603" s="336" t="s">
        <v>1071</v>
      </c>
      <c r="D603" s="382" t="s">
        <v>811</v>
      </c>
      <c r="F603" s="447">
        <f>'JKP-3.1c - Data'!C193</f>
        <v>0</v>
      </c>
      <c r="G603" s="447">
        <f>'JKP-3.1c - Data'!D193</f>
        <v>0</v>
      </c>
      <c r="H603" s="447">
        <f>'JKP-3.1c - Data'!E193</f>
        <v>0</v>
      </c>
      <c r="I603" s="447">
        <f>'JKP-3.1c - Data'!F193</f>
        <v>0</v>
      </c>
      <c r="J603" s="447">
        <f>'JKP-3.1c - Data'!G193</f>
        <v>24448.23</v>
      </c>
      <c r="K603" s="447">
        <f>'JKP-3.1c - Data'!H193</f>
        <v>0</v>
      </c>
      <c r="L603" s="447">
        <f>'JKP-3.1c - Data'!I193</f>
        <v>30434.67</v>
      </c>
      <c r="M603" s="447">
        <f>'JKP-3.1c - Data'!J193</f>
        <v>0</v>
      </c>
      <c r="N603" s="447">
        <f>'JKP-3.1c - Data'!K193</f>
        <v>5142.2299999999996</v>
      </c>
      <c r="O603" s="447">
        <f>'JKP-3.1c - Data'!L193</f>
        <v>0</v>
      </c>
      <c r="P603" s="447">
        <f>'JKP-3.1c - Data'!M193</f>
        <v>6661.43</v>
      </c>
      <c r="Q603" s="447">
        <f>'JKP-3.1c - Data'!N193</f>
        <v>0</v>
      </c>
      <c r="R603" s="437">
        <f>SUM(F603:Q603)</f>
        <v>66686.559999999998</v>
      </c>
      <c r="S603" s="336"/>
      <c r="T603" s="336"/>
    </row>
    <row r="604" spans="1:20" x14ac:dyDescent="0.2">
      <c r="B604" s="336" t="s">
        <v>986</v>
      </c>
      <c r="F604" s="339">
        <f>F592+F600+F601+F602+F603</f>
        <v>297573.45698000002</v>
      </c>
      <c r="G604" s="339">
        <f t="shared" ref="G604:R604" si="160">G592+G600+G601+G602+G603</f>
        <v>264155.55587000004</v>
      </c>
      <c r="H604" s="339">
        <f t="shared" si="160"/>
        <v>291114.95421000005</v>
      </c>
      <c r="I604" s="339">
        <f t="shared" si="160"/>
        <v>291298.27527000004</v>
      </c>
      <c r="J604" s="339">
        <f t="shared" si="160"/>
        <v>340094.23817999999</v>
      </c>
      <c r="K604" s="339">
        <f t="shared" si="160"/>
        <v>287672.51772000006</v>
      </c>
      <c r="L604" s="339">
        <f t="shared" si="160"/>
        <v>333834.99965000001</v>
      </c>
      <c r="M604" s="339">
        <f t="shared" si="160"/>
        <v>313269.05408000003</v>
      </c>
      <c r="N604" s="339">
        <f t="shared" si="160"/>
        <v>292292.25706999999</v>
      </c>
      <c r="O604" s="339">
        <f t="shared" si="160"/>
        <v>290658.31578</v>
      </c>
      <c r="P604" s="339">
        <f t="shared" si="160"/>
        <v>259952.71205</v>
      </c>
      <c r="Q604" s="339">
        <f t="shared" si="160"/>
        <v>260162.24455999999</v>
      </c>
      <c r="R604" s="339">
        <f t="shared" si="160"/>
        <v>3522078.5814200006</v>
      </c>
      <c r="S604" s="336"/>
      <c r="T604" s="336"/>
    </row>
    <row r="605" spans="1:20" x14ac:dyDescent="0.2">
      <c r="C605" s="387"/>
      <c r="F605" s="415"/>
      <c r="G605" s="415"/>
      <c r="H605" s="415"/>
      <c r="I605" s="415"/>
      <c r="J605" s="415"/>
      <c r="S605" s="336"/>
      <c r="T605" s="336"/>
    </row>
    <row r="606" spans="1:20" x14ac:dyDescent="0.2">
      <c r="A606" s="336" t="s">
        <v>1058</v>
      </c>
      <c r="B606" s="336" t="s">
        <v>1050</v>
      </c>
      <c r="C606" s="387"/>
      <c r="F606" s="340">
        <f>F601</f>
        <v>5095.0815999999995</v>
      </c>
      <c r="G606" s="340">
        <f t="shared" ref="G606:Q606" si="161">G601</f>
        <v>4030.7469999999998</v>
      </c>
      <c r="H606" s="340">
        <f t="shared" si="161"/>
        <v>4841.7067999999999</v>
      </c>
      <c r="I606" s="340">
        <f t="shared" si="161"/>
        <v>4800.8107</v>
      </c>
      <c r="J606" s="340">
        <f t="shared" si="161"/>
        <v>5578.7129999999997</v>
      </c>
      <c r="K606" s="340">
        <f t="shared" si="161"/>
        <v>4697.7286999999997</v>
      </c>
      <c r="L606" s="340">
        <f t="shared" si="161"/>
        <v>5110.0559999999996</v>
      </c>
      <c r="M606" s="340">
        <f t="shared" si="161"/>
        <v>5213.9696000000004</v>
      </c>
      <c r="N606" s="340">
        <f t="shared" si="161"/>
        <v>4413.1269000000002</v>
      </c>
      <c r="O606" s="340">
        <f t="shared" si="161"/>
        <v>4526.732</v>
      </c>
      <c r="P606" s="340">
        <f t="shared" si="161"/>
        <v>3706.9969999999998</v>
      </c>
      <c r="Q606" s="340">
        <f t="shared" si="161"/>
        <v>3971.1916999999999</v>
      </c>
      <c r="R606" s="418">
        <f>SUM(F606:Q606)</f>
        <v>55986.861000000012</v>
      </c>
      <c r="S606" s="336"/>
      <c r="T606" s="336"/>
    </row>
    <row r="607" spans="1:20" x14ac:dyDescent="0.2">
      <c r="C607" s="387"/>
      <c r="F607" s="415"/>
      <c r="G607" s="415"/>
      <c r="H607" s="415"/>
      <c r="I607" s="415"/>
      <c r="J607" s="415"/>
      <c r="S607" s="336"/>
      <c r="T607" s="336"/>
    </row>
    <row r="608" spans="1:20" x14ac:dyDescent="0.2">
      <c r="B608" s="182" t="s">
        <v>1107</v>
      </c>
    </row>
    <row r="609" spans="1:18" x14ac:dyDescent="0.2">
      <c r="B609" s="182" t="s">
        <v>5</v>
      </c>
    </row>
    <row r="610" spans="1:18" x14ac:dyDescent="0.2">
      <c r="B610" s="336" t="s">
        <v>1063</v>
      </c>
      <c r="D610" s="336">
        <v>61</v>
      </c>
      <c r="E610" s="336" t="s">
        <v>1108</v>
      </c>
      <c r="F610" s="460">
        <f t="shared" ref="F610:N610" si="162">F64</f>
        <v>0.1</v>
      </c>
      <c r="G610" s="460">
        <f t="shared" si="162"/>
        <v>0.1</v>
      </c>
      <c r="H610" s="460">
        <f t="shared" si="162"/>
        <v>0.1</v>
      </c>
      <c r="I610" s="460">
        <f t="shared" si="162"/>
        <v>0.1</v>
      </c>
      <c r="J610" s="460">
        <f t="shared" si="162"/>
        <v>0.1</v>
      </c>
      <c r="K610" s="460">
        <f t="shared" si="162"/>
        <v>0.1</v>
      </c>
      <c r="L610" s="460">
        <f t="shared" si="162"/>
        <v>0.1</v>
      </c>
      <c r="M610" s="460">
        <f t="shared" si="162"/>
        <v>0.1</v>
      </c>
      <c r="N610" s="460">
        <f t="shared" si="162"/>
        <v>0.1</v>
      </c>
      <c r="O610" s="460">
        <f>O64</f>
        <v>0.1</v>
      </c>
      <c r="P610" s="460">
        <f>P64</f>
        <v>0.1</v>
      </c>
      <c r="Q610" s="460">
        <f>Q64</f>
        <v>0.1</v>
      </c>
    </row>
    <row r="612" spans="1:18" x14ac:dyDescent="0.2">
      <c r="B612" s="182" t="s">
        <v>982</v>
      </c>
    </row>
    <row r="613" spans="1:18" x14ac:dyDescent="0.2">
      <c r="B613" s="336" t="s">
        <v>74</v>
      </c>
      <c r="E613" s="336" t="s">
        <v>1064</v>
      </c>
      <c r="F613" s="421">
        <f>'JKP-3.1c - Data'!C130</f>
        <v>947</v>
      </c>
      <c r="G613" s="421">
        <f>'JKP-3.1c - Data'!D130</f>
        <v>947</v>
      </c>
      <c r="H613" s="421">
        <f>'JKP-3.1c - Data'!E130</f>
        <v>947</v>
      </c>
      <c r="I613" s="421">
        <f>'JKP-3.1c - Data'!F130</f>
        <v>947</v>
      </c>
      <c r="J613" s="421">
        <f>'JKP-3.1c - Data'!G130</f>
        <v>947</v>
      </c>
      <c r="K613" s="421">
        <f>'JKP-3.1c - Data'!H130</f>
        <v>947</v>
      </c>
      <c r="L613" s="421">
        <f>'JKP-3.1c - Data'!I130</f>
        <v>947</v>
      </c>
      <c r="M613" s="421">
        <f>'JKP-3.1c - Data'!J130</f>
        <v>947</v>
      </c>
      <c r="N613" s="421">
        <f>'JKP-3.1c - Data'!K130</f>
        <v>947</v>
      </c>
      <c r="O613" s="421">
        <f>'JKP-3.1c - Data'!L130</f>
        <v>947</v>
      </c>
      <c r="P613" s="421">
        <f>'JKP-3.1c - Data'!M130</f>
        <v>947</v>
      </c>
      <c r="Q613" s="421">
        <f>'JKP-3.1c - Data'!N130</f>
        <v>947</v>
      </c>
      <c r="R613" s="378">
        <f>SUM(F613:Q613)</f>
        <v>11364</v>
      </c>
    </row>
    <row r="615" spans="1:18" x14ac:dyDescent="0.2">
      <c r="B615" s="182" t="s">
        <v>985</v>
      </c>
    </row>
    <row r="616" spans="1:18" x14ac:dyDescent="0.2">
      <c r="A616" s="336" t="s">
        <v>1054</v>
      </c>
      <c r="B616" s="336" t="s">
        <v>1063</v>
      </c>
      <c r="F616" s="418">
        <f t="shared" ref="F616:N616" si="163">F610*F613</f>
        <v>94.7</v>
      </c>
      <c r="G616" s="418">
        <f t="shared" si="163"/>
        <v>94.7</v>
      </c>
      <c r="H616" s="418">
        <f t="shared" si="163"/>
        <v>94.7</v>
      </c>
      <c r="I616" s="418">
        <f t="shared" si="163"/>
        <v>94.7</v>
      </c>
      <c r="J616" s="418">
        <f t="shared" si="163"/>
        <v>94.7</v>
      </c>
      <c r="K616" s="418">
        <f t="shared" si="163"/>
        <v>94.7</v>
      </c>
      <c r="L616" s="418">
        <f t="shared" si="163"/>
        <v>94.7</v>
      </c>
      <c r="M616" s="418">
        <f t="shared" si="163"/>
        <v>94.7</v>
      </c>
      <c r="N616" s="418">
        <f t="shared" si="163"/>
        <v>94.7</v>
      </c>
      <c r="O616" s="418">
        <f>O610*O613</f>
        <v>94.7</v>
      </c>
      <c r="P616" s="418">
        <f>P610*P613</f>
        <v>94.7</v>
      </c>
      <c r="Q616" s="418">
        <f>Q610*Q613</f>
        <v>94.7</v>
      </c>
      <c r="R616" s="418">
        <f>SUM(F616:Q616)</f>
        <v>1136.4000000000003</v>
      </c>
    </row>
    <row r="618" spans="1:18" x14ac:dyDescent="0.2">
      <c r="B618" s="182" t="s">
        <v>1109</v>
      </c>
      <c r="C618" s="182"/>
    </row>
    <row r="619" spans="1:18" x14ac:dyDescent="0.2">
      <c r="B619" s="182" t="s">
        <v>5</v>
      </c>
      <c r="C619" s="182"/>
    </row>
    <row r="620" spans="1:18" x14ac:dyDescent="0.2">
      <c r="B620" s="336" t="s">
        <v>1059</v>
      </c>
      <c r="D620" s="336">
        <v>85</v>
      </c>
      <c r="E620" s="336" t="s">
        <v>976</v>
      </c>
      <c r="F620" s="450">
        <f t="shared" ref="F620:N620" si="164">F261</f>
        <v>558.67999999999995</v>
      </c>
      <c r="G620" s="450">
        <f t="shared" si="164"/>
        <v>558.67999999999995</v>
      </c>
      <c r="H620" s="450">
        <f t="shared" si="164"/>
        <v>558.67999999999995</v>
      </c>
      <c r="I620" s="450">
        <f t="shared" si="164"/>
        <v>558.67999999999995</v>
      </c>
      <c r="J620" s="450">
        <f t="shared" si="164"/>
        <v>558.67999999999995</v>
      </c>
      <c r="K620" s="450">
        <f t="shared" si="164"/>
        <v>558.67999999999995</v>
      </c>
      <c r="L620" s="450">
        <f t="shared" si="164"/>
        <v>558.67999999999995</v>
      </c>
      <c r="M620" s="450">
        <f t="shared" si="164"/>
        <v>558.67999999999995</v>
      </c>
      <c r="N620" s="450">
        <f t="shared" si="164"/>
        <v>558.67999999999995</v>
      </c>
      <c r="O620" s="450">
        <f>O261</f>
        <v>558.67999999999995</v>
      </c>
      <c r="P620" s="450">
        <f>P261</f>
        <v>558.67999999999995</v>
      </c>
      <c r="Q620" s="450">
        <f>Q261</f>
        <v>558.67999999999995</v>
      </c>
      <c r="R620" s="435"/>
    </row>
    <row r="621" spans="1:18" x14ac:dyDescent="0.2">
      <c r="B621" s="336" t="s">
        <v>1047</v>
      </c>
      <c r="F621" s="448"/>
      <c r="G621" s="448"/>
      <c r="H621" s="448"/>
      <c r="I621" s="448"/>
      <c r="J621" s="448"/>
      <c r="K621" s="448"/>
      <c r="L621" s="448"/>
      <c r="M621" s="448"/>
      <c r="N621" s="448"/>
      <c r="O621" s="448"/>
      <c r="P621" s="448"/>
      <c r="Q621" s="448"/>
      <c r="R621" s="441"/>
    </row>
    <row r="622" spans="1:18" x14ac:dyDescent="0.2">
      <c r="C622" s="336" t="s">
        <v>1086</v>
      </c>
      <c r="D622" s="336">
        <v>85</v>
      </c>
      <c r="E622" s="336" t="s">
        <v>957</v>
      </c>
      <c r="F622" s="448">
        <f t="shared" ref="F622:Q626" si="165">F263</f>
        <v>0.10491</v>
      </c>
      <c r="G622" s="448">
        <f t="shared" si="165"/>
        <v>0.10491</v>
      </c>
      <c r="H622" s="448">
        <f t="shared" si="165"/>
        <v>0.10491</v>
      </c>
      <c r="I622" s="448">
        <f t="shared" si="165"/>
        <v>0.10491</v>
      </c>
      <c r="J622" s="448">
        <f t="shared" si="165"/>
        <v>0.10491</v>
      </c>
      <c r="K622" s="448">
        <f t="shared" si="165"/>
        <v>0.10491</v>
      </c>
      <c r="L622" s="448">
        <f t="shared" si="165"/>
        <v>0.10491</v>
      </c>
      <c r="M622" s="448">
        <f t="shared" si="165"/>
        <v>0.10491</v>
      </c>
      <c r="N622" s="448">
        <f t="shared" si="165"/>
        <v>0.10491</v>
      </c>
      <c r="O622" s="448">
        <f t="shared" si="165"/>
        <v>0.10491</v>
      </c>
      <c r="P622" s="448">
        <f t="shared" si="165"/>
        <v>0.10491</v>
      </c>
      <c r="Q622" s="448">
        <f t="shared" si="165"/>
        <v>0.10491</v>
      </c>
      <c r="R622" s="441"/>
    </row>
    <row r="623" spans="1:18" x14ac:dyDescent="0.2">
      <c r="C623" s="336" t="s">
        <v>1087</v>
      </c>
      <c r="D623" s="336">
        <v>85</v>
      </c>
      <c r="E623" s="336" t="s">
        <v>957</v>
      </c>
      <c r="F623" s="448">
        <f t="shared" si="165"/>
        <v>5.3780000000000001E-2</v>
      </c>
      <c r="G623" s="448">
        <f t="shared" si="165"/>
        <v>5.3780000000000001E-2</v>
      </c>
      <c r="H623" s="448">
        <f t="shared" si="165"/>
        <v>5.3780000000000001E-2</v>
      </c>
      <c r="I623" s="448">
        <f t="shared" si="165"/>
        <v>5.3780000000000001E-2</v>
      </c>
      <c r="J623" s="448">
        <f t="shared" si="165"/>
        <v>5.3780000000000001E-2</v>
      </c>
      <c r="K623" s="448">
        <f t="shared" si="165"/>
        <v>5.3780000000000001E-2</v>
      </c>
      <c r="L623" s="448">
        <f t="shared" si="165"/>
        <v>5.3780000000000001E-2</v>
      </c>
      <c r="M623" s="448">
        <f t="shared" si="165"/>
        <v>5.3780000000000001E-2</v>
      </c>
      <c r="N623" s="448">
        <f t="shared" si="165"/>
        <v>5.3780000000000001E-2</v>
      </c>
      <c r="O623" s="448">
        <f t="shared" si="165"/>
        <v>5.3780000000000001E-2</v>
      </c>
      <c r="P623" s="448">
        <f t="shared" si="165"/>
        <v>5.3780000000000001E-2</v>
      </c>
      <c r="Q623" s="448">
        <f t="shared" si="165"/>
        <v>5.3780000000000001E-2</v>
      </c>
      <c r="R623" s="441"/>
    </row>
    <row r="624" spans="1:18" x14ac:dyDescent="0.2">
      <c r="C624" s="336" t="s">
        <v>1088</v>
      </c>
      <c r="D624" s="336">
        <v>85</v>
      </c>
      <c r="E624" s="336" t="s">
        <v>957</v>
      </c>
      <c r="F624" s="448">
        <f t="shared" si="165"/>
        <v>5.1619999999999999E-2</v>
      </c>
      <c r="G624" s="448">
        <f t="shared" si="165"/>
        <v>5.1619999999999999E-2</v>
      </c>
      <c r="H624" s="448">
        <f t="shared" si="165"/>
        <v>5.1619999999999999E-2</v>
      </c>
      <c r="I624" s="448">
        <f t="shared" si="165"/>
        <v>5.1619999999999999E-2</v>
      </c>
      <c r="J624" s="448">
        <f t="shared" si="165"/>
        <v>5.1619999999999999E-2</v>
      </c>
      <c r="K624" s="448">
        <f t="shared" si="165"/>
        <v>5.1619999999999999E-2</v>
      </c>
      <c r="L624" s="448">
        <f t="shared" si="165"/>
        <v>5.1619999999999999E-2</v>
      </c>
      <c r="M624" s="448">
        <f t="shared" si="165"/>
        <v>5.1619999999999999E-2</v>
      </c>
      <c r="N624" s="448">
        <f t="shared" si="165"/>
        <v>5.1619999999999999E-2</v>
      </c>
      <c r="O624" s="448">
        <f t="shared" si="165"/>
        <v>5.1619999999999999E-2</v>
      </c>
      <c r="P624" s="448">
        <f t="shared" si="165"/>
        <v>5.1619999999999999E-2</v>
      </c>
      <c r="Q624" s="448">
        <f t="shared" si="165"/>
        <v>5.1619999999999999E-2</v>
      </c>
      <c r="R624" s="441"/>
    </row>
    <row r="625" spans="2:18" x14ac:dyDescent="0.2">
      <c r="B625" s="336" t="s">
        <v>1067</v>
      </c>
      <c r="D625" s="336">
        <v>101</v>
      </c>
      <c r="E625" s="336" t="s">
        <v>957</v>
      </c>
      <c r="F625" s="448">
        <f t="shared" si="165"/>
        <v>0.66125</v>
      </c>
      <c r="G625" s="448">
        <f t="shared" si="165"/>
        <v>0.66125</v>
      </c>
      <c r="H625" s="448">
        <f t="shared" si="165"/>
        <v>0.66125</v>
      </c>
      <c r="I625" s="448">
        <f t="shared" si="165"/>
        <v>0.66125</v>
      </c>
      <c r="J625" s="448">
        <f t="shared" si="165"/>
        <v>0.66125</v>
      </c>
      <c r="K625" s="448">
        <f t="shared" si="165"/>
        <v>0.66125</v>
      </c>
      <c r="L625" s="448">
        <f t="shared" si="165"/>
        <v>0.66125</v>
      </c>
      <c r="M625" s="448">
        <f t="shared" si="165"/>
        <v>0.66125</v>
      </c>
      <c r="N625" s="448">
        <f t="shared" si="165"/>
        <v>0.66125</v>
      </c>
      <c r="O625" s="448">
        <f t="shared" si="165"/>
        <v>0.66125</v>
      </c>
      <c r="P625" s="448">
        <f t="shared" si="165"/>
        <v>0.66125</v>
      </c>
      <c r="Q625" s="448">
        <f t="shared" si="165"/>
        <v>0.66125</v>
      </c>
      <c r="R625" s="441"/>
    </row>
    <row r="626" spans="2:18" x14ac:dyDescent="0.2">
      <c r="B626" s="336" t="s">
        <v>1096</v>
      </c>
      <c r="D626" s="382">
        <v>85</v>
      </c>
      <c r="E626" s="336" t="s">
        <v>957</v>
      </c>
      <c r="F626" s="448">
        <f t="shared" si="165"/>
        <v>6.7600000000000004E-3</v>
      </c>
      <c r="G626" s="448">
        <f t="shared" si="165"/>
        <v>6.7600000000000004E-3</v>
      </c>
      <c r="H626" s="448">
        <f t="shared" si="165"/>
        <v>6.7600000000000004E-3</v>
      </c>
      <c r="I626" s="448">
        <f t="shared" si="165"/>
        <v>6.7600000000000004E-3</v>
      </c>
      <c r="J626" s="448">
        <f t="shared" si="165"/>
        <v>6.7600000000000004E-3</v>
      </c>
      <c r="K626" s="448">
        <f t="shared" si="165"/>
        <v>6.7600000000000004E-3</v>
      </c>
      <c r="L626" s="448">
        <f t="shared" si="165"/>
        <v>6.7600000000000004E-3</v>
      </c>
      <c r="M626" s="448">
        <f t="shared" si="165"/>
        <v>6.7600000000000004E-3</v>
      </c>
      <c r="N626" s="448">
        <f t="shared" si="165"/>
        <v>6.7600000000000004E-3</v>
      </c>
      <c r="O626" s="448">
        <f t="shared" si="165"/>
        <v>6.7600000000000004E-3</v>
      </c>
      <c r="P626" s="448">
        <f t="shared" si="165"/>
        <v>6.7600000000000004E-3</v>
      </c>
      <c r="Q626" s="448">
        <f t="shared" si="165"/>
        <v>6.7600000000000004E-3</v>
      </c>
      <c r="R626" s="441"/>
    </row>
    <row r="627" spans="2:18" x14ac:dyDescent="0.2">
      <c r="B627" s="336" t="s">
        <v>1068</v>
      </c>
      <c r="F627" s="441"/>
      <c r="G627" s="441"/>
      <c r="H627" s="441"/>
      <c r="I627" s="441"/>
      <c r="J627" s="441"/>
      <c r="K627" s="441"/>
      <c r="L627" s="441"/>
      <c r="M627" s="441"/>
      <c r="N627" s="441"/>
      <c r="O627" s="441"/>
      <c r="P627" s="441"/>
      <c r="Q627" s="441"/>
      <c r="R627" s="441"/>
    </row>
    <row r="628" spans="2:18" x14ac:dyDescent="0.2">
      <c r="C628" s="336" t="s">
        <v>1069</v>
      </c>
      <c r="D628" s="336">
        <v>101</v>
      </c>
      <c r="E628" s="336" t="s">
        <v>957</v>
      </c>
      <c r="F628" s="460">
        <f t="shared" ref="F628:Q629" si="166">F269</f>
        <v>1.1399999999999999</v>
      </c>
      <c r="G628" s="460">
        <f t="shared" si="166"/>
        <v>1.1399999999999999</v>
      </c>
      <c r="H628" s="460">
        <f t="shared" si="166"/>
        <v>1.1399999999999999</v>
      </c>
      <c r="I628" s="460">
        <f t="shared" si="166"/>
        <v>1.1399999999999999</v>
      </c>
      <c r="J628" s="460">
        <f t="shared" si="166"/>
        <v>1.1399999999999999</v>
      </c>
      <c r="K628" s="460">
        <f t="shared" si="166"/>
        <v>1.1399999999999999</v>
      </c>
      <c r="L628" s="460">
        <f t="shared" si="166"/>
        <v>1.1399999999999999</v>
      </c>
      <c r="M628" s="460">
        <f t="shared" si="166"/>
        <v>1.1399999999999999</v>
      </c>
      <c r="N628" s="460">
        <f t="shared" si="166"/>
        <v>1.1399999999999999</v>
      </c>
      <c r="O628" s="460">
        <f t="shared" si="166"/>
        <v>1.1399999999999999</v>
      </c>
      <c r="P628" s="460">
        <f t="shared" si="166"/>
        <v>1.1399999999999999</v>
      </c>
      <c r="Q628" s="460">
        <f t="shared" si="166"/>
        <v>1.1399999999999999</v>
      </c>
      <c r="R628" s="441"/>
    </row>
    <row r="629" spans="2:18" x14ac:dyDescent="0.2">
      <c r="C629" s="336" t="s">
        <v>1070</v>
      </c>
      <c r="D629" s="336">
        <v>101</v>
      </c>
      <c r="E629" s="336" t="s">
        <v>957</v>
      </c>
      <c r="F629" s="450">
        <f t="shared" si="166"/>
        <v>1.05</v>
      </c>
      <c r="G629" s="450">
        <f t="shared" si="166"/>
        <v>1.05</v>
      </c>
      <c r="H629" s="450">
        <f t="shared" si="166"/>
        <v>1.05</v>
      </c>
      <c r="I629" s="450">
        <f t="shared" si="166"/>
        <v>1.05</v>
      </c>
      <c r="J629" s="450">
        <f t="shared" si="166"/>
        <v>1.05</v>
      </c>
      <c r="K629" s="450">
        <f t="shared" si="166"/>
        <v>1.05</v>
      </c>
      <c r="L629" s="450">
        <f t="shared" si="166"/>
        <v>1.05</v>
      </c>
      <c r="M629" s="450">
        <f t="shared" si="166"/>
        <v>1.05</v>
      </c>
      <c r="N629" s="450">
        <f t="shared" si="166"/>
        <v>1.05</v>
      </c>
      <c r="O629" s="450">
        <f t="shared" si="166"/>
        <v>1.05</v>
      </c>
      <c r="P629" s="450">
        <f t="shared" si="166"/>
        <v>1.05</v>
      </c>
      <c r="Q629" s="450">
        <f t="shared" si="166"/>
        <v>1.05</v>
      </c>
      <c r="R629" s="441"/>
    </row>
    <row r="630" spans="2:18" x14ac:dyDescent="0.2">
      <c r="B630" s="336" t="s">
        <v>1071</v>
      </c>
      <c r="D630" s="336">
        <v>85</v>
      </c>
      <c r="E630" s="336" t="s">
        <v>67</v>
      </c>
      <c r="F630" s="450"/>
      <c r="G630" s="450"/>
      <c r="H630" s="442"/>
      <c r="I630" s="450"/>
      <c r="J630" s="450"/>
      <c r="K630" s="450"/>
      <c r="L630" s="450"/>
      <c r="M630" s="450"/>
      <c r="N630" s="450"/>
      <c r="O630" s="450"/>
      <c r="P630" s="450"/>
      <c r="Q630" s="450"/>
      <c r="R630" s="441"/>
    </row>
    <row r="631" spans="2:18" x14ac:dyDescent="0.2">
      <c r="B631" s="336" t="s">
        <v>1050</v>
      </c>
      <c r="F631" s="450">
        <f>F272</f>
        <v>0.63265000000000005</v>
      </c>
      <c r="G631" s="450">
        <f t="shared" ref="G631:Q632" si="167">G272</f>
        <v>0.63265000000000005</v>
      </c>
      <c r="H631" s="450">
        <f t="shared" si="167"/>
        <v>0.63265000000000005</v>
      </c>
      <c r="I631" s="450">
        <f t="shared" si="167"/>
        <v>0.63265000000000005</v>
      </c>
      <c r="J631" s="450">
        <f t="shared" si="167"/>
        <v>0.63265000000000005</v>
      </c>
      <c r="K631" s="450">
        <f t="shared" si="167"/>
        <v>0.63265000000000005</v>
      </c>
      <c r="L631" s="450">
        <f t="shared" si="167"/>
        <v>0.63265000000000005</v>
      </c>
      <c r="M631" s="450">
        <f t="shared" si="167"/>
        <v>0.63265000000000005</v>
      </c>
      <c r="N631" s="450">
        <f t="shared" si="167"/>
        <v>0.63265000000000005</v>
      </c>
      <c r="O631" s="450">
        <f t="shared" si="167"/>
        <v>0.63265000000000005</v>
      </c>
      <c r="P631" s="450">
        <f t="shared" si="167"/>
        <v>0.63265000000000005</v>
      </c>
      <c r="Q631" s="450">
        <f t="shared" si="167"/>
        <v>0.63265000000000005</v>
      </c>
      <c r="R631" s="441">
        <f>SUM(F631:Q631)</f>
        <v>7.5918000000000001</v>
      </c>
    </row>
    <row r="632" spans="2:18" x14ac:dyDescent="0.2">
      <c r="B632" s="336" t="s">
        <v>1072</v>
      </c>
      <c r="F632" s="670">
        <f>F273</f>
        <v>1</v>
      </c>
      <c r="G632" s="670">
        <f t="shared" si="167"/>
        <v>1</v>
      </c>
      <c r="H632" s="670">
        <f t="shared" si="167"/>
        <v>1</v>
      </c>
      <c r="I632" s="670">
        <f t="shared" si="167"/>
        <v>1</v>
      </c>
      <c r="J632" s="670">
        <f t="shared" si="167"/>
        <v>1</v>
      </c>
      <c r="K632" s="670">
        <f t="shared" si="167"/>
        <v>1</v>
      </c>
      <c r="L632" s="670">
        <f t="shared" si="167"/>
        <v>1</v>
      </c>
      <c r="M632" s="670">
        <f t="shared" si="167"/>
        <v>1</v>
      </c>
      <c r="N632" s="670">
        <f t="shared" si="167"/>
        <v>1</v>
      </c>
      <c r="O632" s="670">
        <f t="shared" si="167"/>
        <v>1</v>
      </c>
      <c r="P632" s="670">
        <f t="shared" si="167"/>
        <v>1</v>
      </c>
      <c r="Q632" s="670">
        <f t="shared" si="167"/>
        <v>1</v>
      </c>
      <c r="R632" s="441"/>
    </row>
    <row r="634" spans="2:18" x14ac:dyDescent="0.2">
      <c r="B634" s="182" t="s">
        <v>982</v>
      </c>
    </row>
    <row r="635" spans="2:18" x14ac:dyDescent="0.2">
      <c r="B635" s="336" t="s">
        <v>67</v>
      </c>
      <c r="E635" s="336" t="s">
        <v>67</v>
      </c>
      <c r="F635" s="421">
        <f>'JKP-3.1c - Data'!C147</f>
        <v>9</v>
      </c>
      <c r="G635" s="421">
        <f>'JKP-3.1c - Data'!D147</f>
        <v>9</v>
      </c>
      <c r="H635" s="421">
        <f>'JKP-3.1c - Data'!E147</f>
        <v>9</v>
      </c>
      <c r="I635" s="421">
        <f>'JKP-3.1c - Data'!F147</f>
        <v>9</v>
      </c>
      <c r="J635" s="421">
        <f>'JKP-3.1c - Data'!G147</f>
        <v>8</v>
      </c>
      <c r="K635" s="421">
        <f>'JKP-3.1c - Data'!H147</f>
        <v>8</v>
      </c>
      <c r="L635" s="421">
        <f>'JKP-3.1c - Data'!I147</f>
        <v>8</v>
      </c>
      <c r="M635" s="421">
        <f>'JKP-3.1c - Data'!J147</f>
        <v>8</v>
      </c>
      <c r="N635" s="421">
        <f>'JKP-3.1c - Data'!K147</f>
        <v>8</v>
      </c>
      <c r="O635" s="421">
        <f>'JKP-3.1c - Data'!L147</f>
        <v>8</v>
      </c>
      <c r="P635" s="421">
        <f>'JKP-3.1c - Data'!M147</f>
        <v>8</v>
      </c>
      <c r="Q635" s="421">
        <f>'JKP-3.1c - Data'!N147</f>
        <v>8</v>
      </c>
      <c r="R635" s="378">
        <f>SUM(F635:Q635)</f>
        <v>100</v>
      </c>
    </row>
    <row r="636" spans="2:18" x14ac:dyDescent="0.2">
      <c r="B636" s="336" t="s">
        <v>76</v>
      </c>
      <c r="F636" s="380"/>
      <c r="G636" s="380"/>
      <c r="H636" s="380"/>
      <c r="I636" s="380"/>
      <c r="J636" s="380"/>
      <c r="K636" s="380"/>
      <c r="L636" s="380"/>
      <c r="M636" s="380"/>
      <c r="N636" s="380"/>
      <c r="O636" s="380"/>
      <c r="P636" s="380"/>
      <c r="Q636" s="380"/>
      <c r="R636" s="378"/>
    </row>
    <row r="637" spans="2:18" x14ac:dyDescent="0.2">
      <c r="C637" s="336" t="s">
        <v>1086</v>
      </c>
      <c r="E637" s="336" t="s">
        <v>10</v>
      </c>
      <c r="F637" s="421">
        <f>'JKP-3.1c - Rev Rates GTI10'!F637</f>
        <v>159808</v>
      </c>
      <c r="G637" s="421">
        <f>'JKP-3.1c - Rev Rates GTI10'!G637</f>
        <v>159616</v>
      </c>
      <c r="H637" s="421">
        <f>'JKP-3.1c - Rev Rates GTI10'!H637</f>
        <v>164262</v>
      </c>
      <c r="I637" s="421">
        <f>'JKP-3.1c - Rev Rates GTI10'!I637</f>
        <v>164862</v>
      </c>
      <c r="J637" s="421">
        <f>'JKP-3.1c - Rev Rates GTI10'!J637</f>
        <v>154196</v>
      </c>
      <c r="K637" s="421">
        <f>'JKP-3.1c - Rev Rates GTI10'!K637</f>
        <v>159226</v>
      </c>
      <c r="L637" s="421">
        <f>'JKP-3.1c - Rev Rates GTI10'!L637</f>
        <v>151099</v>
      </c>
      <c r="M637" s="421">
        <f>'JKP-3.1c - Rev Rates GTI10'!M637</f>
        <v>178864</v>
      </c>
      <c r="N637" s="421">
        <f>'JKP-3.1c - Rev Rates GTI10'!N637</f>
        <v>181777</v>
      </c>
      <c r="O637" s="421">
        <f>'JKP-3.1c - Rev Rates GTI10'!O637</f>
        <v>161297</v>
      </c>
      <c r="P637" s="421">
        <f>'JKP-3.1c - Rev Rates GTI10'!P637</f>
        <v>160388</v>
      </c>
      <c r="Q637" s="421">
        <f>'JKP-3.1c - Rev Rates GTI10'!Q637</f>
        <v>157636</v>
      </c>
      <c r="R637" s="378">
        <f>SUM(F637:Q637)</f>
        <v>1953031</v>
      </c>
    </row>
    <row r="638" spans="2:18" x14ac:dyDescent="0.2">
      <c r="C638" s="336" t="s">
        <v>1087</v>
      </c>
      <c r="E638" s="336" t="s">
        <v>10</v>
      </c>
      <c r="F638" s="421">
        <f>'JKP-3.1c - Rev Rates GTI10'!F638</f>
        <v>60257</v>
      </c>
      <c r="G638" s="421">
        <f>'JKP-3.1c - Rev Rates GTI10'!G638</f>
        <v>48921</v>
      </c>
      <c r="H638" s="421">
        <f>'JKP-3.1c - Rev Rates GTI10'!H638</f>
        <v>59228</v>
      </c>
      <c r="I638" s="421">
        <f>'JKP-3.1c - Rev Rates GTI10'!I638</f>
        <v>53424</v>
      </c>
      <c r="J638" s="421">
        <f>'JKP-3.1c - Rev Rates GTI10'!J638</f>
        <v>56923</v>
      </c>
      <c r="K638" s="421">
        <f>'JKP-3.1c - Rev Rates GTI10'!K638</f>
        <v>46744</v>
      </c>
      <c r="L638" s="421">
        <f>'JKP-3.1c - Rev Rates GTI10'!L638</f>
        <v>41570</v>
      </c>
      <c r="M638" s="421">
        <f>'JKP-3.1c - Rev Rates GTI10'!M638</f>
        <v>57731</v>
      </c>
      <c r="N638" s="421">
        <f>'JKP-3.1c - Rev Rates GTI10'!N638</f>
        <v>56825</v>
      </c>
      <c r="O638" s="421">
        <f>'JKP-3.1c - Rev Rates GTI10'!O638</f>
        <v>55501</v>
      </c>
      <c r="P638" s="421">
        <f>'JKP-3.1c - Rev Rates GTI10'!P638</f>
        <v>54110</v>
      </c>
      <c r="Q638" s="421">
        <f>'JKP-3.1c - Rev Rates GTI10'!Q638</f>
        <v>62037</v>
      </c>
      <c r="R638" s="378">
        <f>SUM(F638:Q638)</f>
        <v>653271</v>
      </c>
    </row>
    <row r="639" spans="2:18" x14ac:dyDescent="0.2">
      <c r="C639" s="336" t="s">
        <v>1088</v>
      </c>
      <c r="E639" s="336" t="s">
        <v>10</v>
      </c>
      <c r="F639" s="378">
        <f t="shared" ref="F639:N639" si="168">F640-SUM(F637:F638)</f>
        <v>23960</v>
      </c>
      <c r="G639" s="378">
        <f t="shared" si="168"/>
        <v>21900</v>
      </c>
      <c r="H639" s="378">
        <f t="shared" si="168"/>
        <v>26820</v>
      </c>
      <c r="I639" s="378">
        <f t="shared" si="168"/>
        <v>20124</v>
      </c>
      <c r="J639" s="378">
        <f t="shared" si="168"/>
        <v>20670</v>
      </c>
      <c r="K639" s="378">
        <f t="shared" si="168"/>
        <v>17495</v>
      </c>
      <c r="L639" s="378">
        <f t="shared" si="168"/>
        <v>18186</v>
      </c>
      <c r="M639" s="378">
        <f t="shared" si="168"/>
        <v>18232</v>
      </c>
      <c r="N639" s="378">
        <f t="shared" si="168"/>
        <v>15187</v>
      </c>
      <c r="O639" s="378">
        <f>O640-SUM(O637:O638)</f>
        <v>19817</v>
      </c>
      <c r="P639" s="378">
        <f>P640-SUM(P637:P638)</f>
        <v>23562</v>
      </c>
      <c r="Q639" s="378">
        <f>Q640-SUM(Q637:Q638)</f>
        <v>29857</v>
      </c>
      <c r="R639" s="378">
        <f>SUM(F639:Q639)</f>
        <v>255810</v>
      </c>
    </row>
    <row r="640" spans="2:18" x14ac:dyDescent="0.2">
      <c r="C640" s="336" t="s">
        <v>1075</v>
      </c>
      <c r="E640" s="336" t="s">
        <v>10</v>
      </c>
      <c r="F640" s="445">
        <f>'JKP-3.1c - Weather Adj'!D167</f>
        <v>244025</v>
      </c>
      <c r="G640" s="445">
        <f>'JKP-3.1c - Weather Adj'!E167</f>
        <v>230437</v>
      </c>
      <c r="H640" s="445">
        <f>'JKP-3.1c - Weather Adj'!F167</f>
        <v>250310</v>
      </c>
      <c r="I640" s="445">
        <f>'JKP-3.1c - Weather Adj'!G167</f>
        <v>238410</v>
      </c>
      <c r="J640" s="445">
        <f>'JKP-3.1c - Weather Adj'!H167</f>
        <v>231789</v>
      </c>
      <c r="K640" s="445">
        <f>'JKP-3.1c - Weather Adj'!I167</f>
        <v>223465</v>
      </c>
      <c r="L640" s="445">
        <f>'JKP-3.1c - Weather Adj'!J167</f>
        <v>210855</v>
      </c>
      <c r="M640" s="445">
        <f>'JKP-3.1c - Weather Adj'!K167</f>
        <v>254827</v>
      </c>
      <c r="N640" s="445">
        <f>'JKP-3.1c - Weather Adj'!L167</f>
        <v>253789</v>
      </c>
      <c r="O640" s="445">
        <f>'JKP-3.1c - Weather Adj'!M167</f>
        <v>236615</v>
      </c>
      <c r="P640" s="445">
        <f>'JKP-3.1c - Weather Adj'!N167</f>
        <v>238060</v>
      </c>
      <c r="Q640" s="445">
        <f>'JKP-3.1c - Weather Adj'!O167</f>
        <v>249530</v>
      </c>
      <c r="R640" s="436">
        <f>SUM(R637:R639)</f>
        <v>2862112</v>
      </c>
    </row>
    <row r="641" spans="1:18" x14ac:dyDescent="0.2">
      <c r="B641" s="336" t="s">
        <v>74</v>
      </c>
      <c r="E641" s="336" t="s">
        <v>1076</v>
      </c>
      <c r="F641" s="421">
        <f>'JKP-3.1c - Data'!C167</f>
        <v>2443</v>
      </c>
      <c r="G641" s="421">
        <f>'JKP-3.1c - Data'!D167</f>
        <v>2443</v>
      </c>
      <c r="H641" s="421">
        <f>'JKP-3.1c - Data'!E167</f>
        <v>2443</v>
      </c>
      <c r="I641" s="421">
        <f>'JKP-3.1c - Data'!F167</f>
        <v>2443</v>
      </c>
      <c r="J641" s="421">
        <f>'JKP-3.1c - Data'!G167</f>
        <v>2443</v>
      </c>
      <c r="K641" s="421">
        <f>'JKP-3.1c - Data'!H167</f>
        <v>2443</v>
      </c>
      <c r="L641" s="421">
        <f>'JKP-3.1c - Data'!I167</f>
        <v>2443</v>
      </c>
      <c r="M641" s="421">
        <f>'JKP-3.1c - Data'!J167</f>
        <v>2443</v>
      </c>
      <c r="N641" s="421">
        <f>'JKP-3.1c - Data'!K167</f>
        <v>2443</v>
      </c>
      <c r="O641" s="421">
        <f>'JKP-3.1c - Data'!L167</f>
        <v>2443</v>
      </c>
      <c r="P641" s="421">
        <f>'JKP-3.1c - Data'!M167</f>
        <v>2443</v>
      </c>
      <c r="Q641" s="421">
        <f>'JKP-3.1c - Data'!N167</f>
        <v>2443</v>
      </c>
      <c r="R641" s="378">
        <f>SUM(F641:Q641)</f>
        <v>29316</v>
      </c>
    </row>
    <row r="642" spans="1:18" x14ac:dyDescent="0.2">
      <c r="B642" s="336" t="s">
        <v>1071</v>
      </c>
      <c r="F642" s="380"/>
      <c r="G642" s="380"/>
      <c r="H642" s="380"/>
      <c r="I642" s="380"/>
      <c r="J642" s="380"/>
      <c r="K642" s="380"/>
      <c r="L642" s="380"/>
      <c r="M642" s="380"/>
      <c r="N642" s="380"/>
      <c r="O642" s="380"/>
      <c r="P642" s="380"/>
      <c r="Q642" s="380"/>
      <c r="R642" s="378"/>
    </row>
    <row r="643" spans="1:18" x14ac:dyDescent="0.2">
      <c r="N643" s="362"/>
      <c r="O643" s="362"/>
      <c r="P643" s="362"/>
      <c r="Q643" s="362"/>
      <c r="R643" s="179"/>
    </row>
    <row r="644" spans="1:18" x14ac:dyDescent="0.2">
      <c r="B644" s="182" t="s">
        <v>985</v>
      </c>
      <c r="R644" s="179"/>
    </row>
    <row r="645" spans="1:18" x14ac:dyDescent="0.2">
      <c r="A645" s="336" t="s">
        <v>1054</v>
      </c>
      <c r="B645" s="336" t="s">
        <v>1059</v>
      </c>
      <c r="D645" s="336">
        <v>85</v>
      </c>
      <c r="F645" s="418">
        <f t="shared" ref="F645:N645" si="169">F620*F635</f>
        <v>5028.12</v>
      </c>
      <c r="G645" s="418">
        <f t="shared" si="169"/>
        <v>5028.12</v>
      </c>
      <c r="H645" s="418">
        <f t="shared" si="169"/>
        <v>5028.12</v>
      </c>
      <c r="I645" s="418">
        <f t="shared" si="169"/>
        <v>5028.12</v>
      </c>
      <c r="J645" s="418">
        <f t="shared" si="169"/>
        <v>4469.4399999999996</v>
      </c>
      <c r="K645" s="418">
        <f t="shared" si="169"/>
        <v>4469.4399999999996</v>
      </c>
      <c r="L645" s="418">
        <f t="shared" si="169"/>
        <v>4469.4399999999996</v>
      </c>
      <c r="M645" s="418">
        <f t="shared" si="169"/>
        <v>4469.4399999999996</v>
      </c>
      <c r="N645" s="418">
        <f t="shared" si="169"/>
        <v>4469.4399999999996</v>
      </c>
      <c r="O645" s="418">
        <f>O620*O635</f>
        <v>4469.4399999999996</v>
      </c>
      <c r="P645" s="418">
        <f>P620*P635</f>
        <v>4469.4399999999996</v>
      </c>
      <c r="Q645" s="418">
        <f>Q620*Q635</f>
        <v>4469.4399999999996</v>
      </c>
      <c r="R645" s="437">
        <f>SUM(F645:Q645)</f>
        <v>55868.000000000007</v>
      </c>
    </row>
    <row r="646" spans="1:18" x14ac:dyDescent="0.2">
      <c r="B646" s="336" t="s">
        <v>1047</v>
      </c>
      <c r="F646" s="418"/>
      <c r="G646" s="418"/>
      <c r="H646" s="418"/>
      <c r="I646" s="418"/>
      <c r="J646" s="418"/>
      <c r="K646" s="418"/>
      <c r="L646" s="418"/>
      <c r="M646" s="418"/>
      <c r="N646" s="418"/>
      <c r="O646" s="418"/>
      <c r="P646" s="418"/>
      <c r="Q646" s="418"/>
      <c r="R646" s="437"/>
    </row>
    <row r="647" spans="1:18" x14ac:dyDescent="0.2">
      <c r="C647" s="336" t="s">
        <v>1086</v>
      </c>
      <c r="D647" s="336">
        <v>85</v>
      </c>
      <c r="F647" s="418">
        <f t="shared" ref="F647:Q649" si="170">F622*F637</f>
        <v>16765.457279999999</v>
      </c>
      <c r="G647" s="418">
        <f t="shared" si="170"/>
        <v>16745.314559999999</v>
      </c>
      <c r="H647" s="418">
        <f t="shared" si="170"/>
        <v>17232.726419999999</v>
      </c>
      <c r="I647" s="418">
        <f t="shared" si="170"/>
        <v>17295.672419999999</v>
      </c>
      <c r="J647" s="418">
        <f t="shared" si="170"/>
        <v>16176.702360000001</v>
      </c>
      <c r="K647" s="418">
        <f t="shared" si="170"/>
        <v>16704.399659999999</v>
      </c>
      <c r="L647" s="418">
        <f t="shared" si="170"/>
        <v>15851.79609</v>
      </c>
      <c r="M647" s="418">
        <f t="shared" si="170"/>
        <v>18764.622240000001</v>
      </c>
      <c r="N647" s="418">
        <f t="shared" si="170"/>
        <v>19070.22507</v>
      </c>
      <c r="O647" s="418">
        <f t="shared" si="170"/>
        <v>16921.668270000002</v>
      </c>
      <c r="P647" s="418">
        <f t="shared" si="170"/>
        <v>16826.305080000002</v>
      </c>
      <c r="Q647" s="418">
        <f t="shared" si="170"/>
        <v>16537.59276</v>
      </c>
      <c r="R647" s="437">
        <f>SUM(F647:Q647)</f>
        <v>204892.48220999996</v>
      </c>
    </row>
    <row r="648" spans="1:18" x14ac:dyDescent="0.2">
      <c r="C648" s="336" t="s">
        <v>1087</v>
      </c>
      <c r="D648" s="336">
        <v>85</v>
      </c>
      <c r="F648" s="418">
        <f t="shared" si="170"/>
        <v>3240.6214600000003</v>
      </c>
      <c r="G648" s="418">
        <f t="shared" si="170"/>
        <v>2630.97138</v>
      </c>
      <c r="H648" s="418">
        <f t="shared" si="170"/>
        <v>3185.2818400000001</v>
      </c>
      <c r="I648" s="418">
        <f t="shared" si="170"/>
        <v>2873.1427200000003</v>
      </c>
      <c r="J648" s="418">
        <f t="shared" si="170"/>
        <v>3061.3189400000001</v>
      </c>
      <c r="K648" s="418">
        <f t="shared" si="170"/>
        <v>2513.8923199999999</v>
      </c>
      <c r="L648" s="418">
        <f t="shared" si="170"/>
        <v>2235.6345999999999</v>
      </c>
      <c r="M648" s="418">
        <f t="shared" si="170"/>
        <v>3104.7731800000001</v>
      </c>
      <c r="N648" s="418">
        <f t="shared" si="170"/>
        <v>3056.0484999999999</v>
      </c>
      <c r="O648" s="418">
        <f t="shared" si="170"/>
        <v>2984.8437800000002</v>
      </c>
      <c r="P648" s="418">
        <f t="shared" si="170"/>
        <v>2910.0358000000001</v>
      </c>
      <c r="Q648" s="418">
        <f t="shared" si="170"/>
        <v>3336.3498600000003</v>
      </c>
      <c r="R648" s="437">
        <f>SUM(F648:Q648)</f>
        <v>35132.914380000002</v>
      </c>
    </row>
    <row r="649" spans="1:18" x14ac:dyDescent="0.2">
      <c r="C649" s="336" t="s">
        <v>1088</v>
      </c>
      <c r="D649" s="336">
        <v>85</v>
      </c>
      <c r="F649" s="418">
        <f t="shared" si="170"/>
        <v>1236.8152</v>
      </c>
      <c r="G649" s="418">
        <f t="shared" si="170"/>
        <v>1130.4780000000001</v>
      </c>
      <c r="H649" s="418">
        <f t="shared" si="170"/>
        <v>1384.4484</v>
      </c>
      <c r="I649" s="418">
        <f t="shared" si="170"/>
        <v>1038.80088</v>
      </c>
      <c r="J649" s="418">
        <f t="shared" si="170"/>
        <v>1066.9854</v>
      </c>
      <c r="K649" s="418">
        <f t="shared" si="170"/>
        <v>903.09190000000001</v>
      </c>
      <c r="L649" s="418">
        <f t="shared" si="170"/>
        <v>938.76131999999996</v>
      </c>
      <c r="M649" s="418">
        <f t="shared" si="170"/>
        <v>941.13584000000003</v>
      </c>
      <c r="N649" s="418">
        <f t="shared" si="170"/>
        <v>783.95294000000001</v>
      </c>
      <c r="O649" s="418">
        <f t="shared" si="170"/>
        <v>1022.95354</v>
      </c>
      <c r="P649" s="418">
        <f t="shared" si="170"/>
        <v>1216.27044</v>
      </c>
      <c r="Q649" s="418">
        <f t="shared" si="170"/>
        <v>1541.2183399999999</v>
      </c>
      <c r="R649" s="437">
        <f>SUM(F649:Q649)</f>
        <v>13204.912199999999</v>
      </c>
    </row>
    <row r="650" spans="1:18" x14ac:dyDescent="0.2">
      <c r="A650" s="336" t="s">
        <v>1054</v>
      </c>
      <c r="C650" s="336" t="s">
        <v>1077</v>
      </c>
      <c r="F650" s="339">
        <f t="shared" ref="F650:N650" si="171">SUM(F647:F649)</f>
        <v>21242.893939999998</v>
      </c>
      <c r="G650" s="339">
        <f t="shared" si="171"/>
        <v>20506.763939999997</v>
      </c>
      <c r="H650" s="339">
        <f t="shared" si="171"/>
        <v>21802.45666</v>
      </c>
      <c r="I650" s="339">
        <f t="shared" si="171"/>
        <v>21207.616019999998</v>
      </c>
      <c r="J650" s="339">
        <f t="shared" si="171"/>
        <v>20305.006700000002</v>
      </c>
      <c r="K650" s="339">
        <f t="shared" si="171"/>
        <v>20121.383879999998</v>
      </c>
      <c r="L650" s="339">
        <f t="shared" si="171"/>
        <v>19026.192010000002</v>
      </c>
      <c r="M650" s="339">
        <f t="shared" si="171"/>
        <v>22810.53126</v>
      </c>
      <c r="N650" s="339">
        <f t="shared" si="171"/>
        <v>22910.22651</v>
      </c>
      <c r="O650" s="339">
        <f>SUM(O647:O649)</f>
        <v>20929.46559</v>
      </c>
      <c r="P650" s="339">
        <f>SUM(P647:P649)</f>
        <v>20952.611320000004</v>
      </c>
      <c r="Q650" s="339">
        <f>SUM(Q647:Q649)</f>
        <v>21415.160960000001</v>
      </c>
      <c r="R650" s="339">
        <f>SUM(R647:R649)</f>
        <v>253230.30878999995</v>
      </c>
    </row>
    <row r="651" spans="1:18" x14ac:dyDescent="0.2">
      <c r="A651" s="336" t="s">
        <v>1056</v>
      </c>
      <c r="B651" s="336" t="s">
        <v>1057</v>
      </c>
      <c r="D651" s="336">
        <v>101</v>
      </c>
      <c r="F651" s="418">
        <f t="shared" ref="F651:N651" si="172">F625*F640</f>
        <v>161361.53125</v>
      </c>
      <c r="G651" s="418">
        <f t="shared" si="172"/>
        <v>152376.46625</v>
      </c>
      <c r="H651" s="418">
        <f t="shared" si="172"/>
        <v>165517.48749999999</v>
      </c>
      <c r="I651" s="418">
        <f t="shared" si="172"/>
        <v>157648.61249999999</v>
      </c>
      <c r="J651" s="418">
        <f t="shared" si="172"/>
        <v>153270.47625000001</v>
      </c>
      <c r="K651" s="418">
        <f t="shared" si="172"/>
        <v>147766.23125000001</v>
      </c>
      <c r="L651" s="418">
        <f t="shared" si="172"/>
        <v>139427.86874999999</v>
      </c>
      <c r="M651" s="418">
        <f t="shared" si="172"/>
        <v>168504.35375000001</v>
      </c>
      <c r="N651" s="418">
        <f t="shared" si="172"/>
        <v>167817.97625000001</v>
      </c>
      <c r="O651" s="418">
        <f>O625*O640</f>
        <v>156461.66875000001</v>
      </c>
      <c r="P651" s="418">
        <f>P625*P640</f>
        <v>157417.17499999999</v>
      </c>
      <c r="Q651" s="418">
        <f>Q625*Q640</f>
        <v>165001.71249999999</v>
      </c>
      <c r="R651" s="437">
        <f>SUM(F651:Q651)</f>
        <v>1892571.5599999998</v>
      </c>
    </row>
    <row r="652" spans="1:18" x14ac:dyDescent="0.2">
      <c r="A652" s="415" t="s">
        <v>1054</v>
      </c>
      <c r="B652" s="415" t="s">
        <v>1096</v>
      </c>
      <c r="D652" s="449">
        <v>85</v>
      </c>
      <c r="E652" s="415"/>
      <c r="F652" s="340">
        <f t="shared" ref="F652:N652" si="173">F626*F640</f>
        <v>1649.6090000000002</v>
      </c>
      <c r="G652" s="340">
        <f t="shared" si="173"/>
        <v>1557.7541200000001</v>
      </c>
      <c r="H652" s="340">
        <f t="shared" si="173"/>
        <v>1692.0956000000001</v>
      </c>
      <c r="I652" s="340">
        <f t="shared" si="173"/>
        <v>1611.6516000000001</v>
      </c>
      <c r="J652" s="340">
        <f t="shared" si="173"/>
        <v>1566.89364</v>
      </c>
      <c r="K652" s="340">
        <f t="shared" si="173"/>
        <v>1510.6234000000002</v>
      </c>
      <c r="L652" s="340">
        <f t="shared" si="173"/>
        <v>1425.3798000000002</v>
      </c>
      <c r="M652" s="340">
        <f t="shared" si="173"/>
        <v>1722.6305200000002</v>
      </c>
      <c r="N652" s="340">
        <f t="shared" si="173"/>
        <v>1715.61364</v>
      </c>
      <c r="O652" s="340">
        <f>O626*O640</f>
        <v>1599.5174000000002</v>
      </c>
      <c r="P652" s="340">
        <f>P626*P640</f>
        <v>1609.2856000000002</v>
      </c>
      <c r="Q652" s="340">
        <f>Q626*Q640</f>
        <v>1686.8228000000001</v>
      </c>
      <c r="R652" s="676">
        <f>SUM(F652:Q652)</f>
        <v>19347.877120000005</v>
      </c>
    </row>
    <row r="653" spans="1:18" x14ac:dyDescent="0.2">
      <c r="B653" s="336" t="s">
        <v>1068</v>
      </c>
      <c r="F653" s="418"/>
      <c r="G653" s="418"/>
      <c r="H653" s="418"/>
      <c r="I653" s="418"/>
      <c r="J653" s="418"/>
      <c r="K653" s="418"/>
      <c r="L653" s="418"/>
      <c r="M653" s="418"/>
      <c r="N653" s="418"/>
      <c r="O653" s="418"/>
      <c r="P653" s="418"/>
      <c r="Q653" s="418"/>
      <c r="R653" s="437"/>
    </row>
    <row r="654" spans="1:18" x14ac:dyDescent="0.2">
      <c r="A654" s="336" t="s">
        <v>1054</v>
      </c>
      <c r="C654" s="336" t="s">
        <v>1069</v>
      </c>
      <c r="D654" s="336">
        <v>85</v>
      </c>
      <c r="F654" s="418">
        <f t="shared" ref="F654:N654" si="174">F628*F641</f>
        <v>2785.02</v>
      </c>
      <c r="G654" s="418">
        <f t="shared" si="174"/>
        <v>2785.02</v>
      </c>
      <c r="H654" s="418">
        <f t="shared" si="174"/>
        <v>2785.02</v>
      </c>
      <c r="I654" s="418">
        <f t="shared" si="174"/>
        <v>2785.02</v>
      </c>
      <c r="J654" s="418">
        <f t="shared" si="174"/>
        <v>2785.02</v>
      </c>
      <c r="K654" s="418">
        <f t="shared" si="174"/>
        <v>2785.02</v>
      </c>
      <c r="L654" s="418">
        <f t="shared" si="174"/>
        <v>2785.02</v>
      </c>
      <c r="M654" s="418">
        <f t="shared" si="174"/>
        <v>2785.02</v>
      </c>
      <c r="N654" s="418">
        <f t="shared" si="174"/>
        <v>2785.02</v>
      </c>
      <c r="O654" s="418">
        <f>O628*O641</f>
        <v>2785.02</v>
      </c>
      <c r="P654" s="418">
        <f>P628*P641</f>
        <v>2785.02</v>
      </c>
      <c r="Q654" s="418">
        <f>Q628*Q641</f>
        <v>2785.02</v>
      </c>
      <c r="R654" s="437">
        <f>SUM(F654:Q654)</f>
        <v>33420.239999999998</v>
      </c>
    </row>
    <row r="655" spans="1:18" x14ac:dyDescent="0.2">
      <c r="A655" s="336" t="s">
        <v>1056</v>
      </c>
      <c r="C655" s="336" t="s">
        <v>1070</v>
      </c>
      <c r="D655" s="336">
        <v>101</v>
      </c>
      <c r="F655" s="418">
        <f t="shared" ref="F655:N655" si="175">F629*F641</f>
        <v>2565.15</v>
      </c>
      <c r="G655" s="418">
        <f t="shared" si="175"/>
        <v>2565.15</v>
      </c>
      <c r="H655" s="418">
        <f t="shared" si="175"/>
        <v>2565.15</v>
      </c>
      <c r="I655" s="418">
        <f t="shared" si="175"/>
        <v>2565.15</v>
      </c>
      <c r="J655" s="418">
        <f t="shared" si="175"/>
        <v>2565.15</v>
      </c>
      <c r="K655" s="418">
        <f t="shared" si="175"/>
        <v>2565.15</v>
      </c>
      <c r="L655" s="418">
        <f t="shared" si="175"/>
        <v>2565.15</v>
      </c>
      <c r="M655" s="418">
        <f t="shared" si="175"/>
        <v>2565.15</v>
      </c>
      <c r="N655" s="418">
        <f t="shared" si="175"/>
        <v>2565.15</v>
      </c>
      <c r="O655" s="418">
        <f>O629*O641</f>
        <v>2565.15</v>
      </c>
      <c r="P655" s="418">
        <f>P629*P641</f>
        <v>2565.15</v>
      </c>
      <c r="Q655" s="418">
        <f>Q629*Q641</f>
        <v>2565.15</v>
      </c>
      <c r="R655" s="437">
        <f>SUM(F655:Q655)</f>
        <v>30781.800000000007</v>
      </c>
    </row>
    <row r="656" spans="1:18" x14ac:dyDescent="0.2">
      <c r="C656" s="336" t="s">
        <v>1078</v>
      </c>
      <c r="F656" s="339">
        <f t="shared" ref="F656:N656" si="176">SUM(F654:F655)</f>
        <v>5350.17</v>
      </c>
      <c r="G656" s="339">
        <f t="shared" si="176"/>
        <v>5350.17</v>
      </c>
      <c r="H656" s="339">
        <f t="shared" si="176"/>
        <v>5350.17</v>
      </c>
      <c r="I656" s="339">
        <f t="shared" si="176"/>
        <v>5350.17</v>
      </c>
      <c r="J656" s="339">
        <f t="shared" si="176"/>
        <v>5350.17</v>
      </c>
      <c r="K656" s="339">
        <f t="shared" si="176"/>
        <v>5350.17</v>
      </c>
      <c r="L656" s="339">
        <f t="shared" si="176"/>
        <v>5350.17</v>
      </c>
      <c r="M656" s="339">
        <f t="shared" si="176"/>
        <v>5350.17</v>
      </c>
      <c r="N656" s="339">
        <f t="shared" si="176"/>
        <v>5350.17</v>
      </c>
      <c r="O656" s="339">
        <f>SUM(O654:O655)</f>
        <v>5350.17</v>
      </c>
      <c r="P656" s="339">
        <f>SUM(P654:P655)</f>
        <v>5350.17</v>
      </c>
      <c r="Q656" s="339">
        <f>SUM(Q654:Q655)</f>
        <v>5350.17</v>
      </c>
      <c r="R656" s="339">
        <f>SUM(R654:R655)</f>
        <v>64202.040000000008</v>
      </c>
    </row>
    <row r="657" spans="1:19" x14ac:dyDescent="0.2">
      <c r="A657" s="336" t="s">
        <v>1054</v>
      </c>
      <c r="B657" s="336" t="s">
        <v>1071</v>
      </c>
      <c r="D657" s="336">
        <v>85</v>
      </c>
      <c r="F657" s="447">
        <f>'JKP-3.1c - Data'!C184</f>
        <v>0</v>
      </c>
      <c r="G657" s="447">
        <f>'JKP-3.1c - Data'!D184</f>
        <v>16339.8</v>
      </c>
      <c r="H657" s="447">
        <f>'JKP-3.1c - Data'!E184</f>
        <v>0</v>
      </c>
      <c r="I657" s="447">
        <f>'JKP-3.1c - Data'!F184</f>
        <v>0</v>
      </c>
      <c r="J657" s="447">
        <f>'JKP-3.1c - Data'!G184</f>
        <v>0</v>
      </c>
      <c r="K657" s="447">
        <f>'JKP-3.1c - Data'!H184</f>
        <v>0</v>
      </c>
      <c r="L657" s="447">
        <f>'JKP-3.1c - Data'!I184</f>
        <v>0</v>
      </c>
      <c r="M657" s="447">
        <f>'JKP-3.1c - Data'!J184</f>
        <v>0</v>
      </c>
      <c r="N657" s="447">
        <f>'JKP-3.1c - Data'!K184</f>
        <v>0</v>
      </c>
      <c r="O657" s="447">
        <f>'JKP-3.1c - Data'!L184</f>
        <v>0</v>
      </c>
      <c r="P657" s="447">
        <f>'JKP-3.1c - Data'!M184</f>
        <v>0</v>
      </c>
      <c r="Q657" s="447">
        <f>'JKP-3.1c - Data'!N184</f>
        <v>1052.69</v>
      </c>
      <c r="R657" s="437">
        <f>SUM(F657:Q657)</f>
        <v>17392.489999999998</v>
      </c>
    </row>
    <row r="658" spans="1:19" x14ac:dyDescent="0.2">
      <c r="B658" s="336" t="s">
        <v>1079</v>
      </c>
      <c r="F658" s="339">
        <f t="shared" ref="F658:N658" si="177">F651+F655</f>
        <v>163926.68124999999</v>
      </c>
      <c r="G658" s="339">
        <f t="shared" si="177"/>
        <v>154941.61624999999</v>
      </c>
      <c r="H658" s="339">
        <f t="shared" si="177"/>
        <v>168082.63749999998</v>
      </c>
      <c r="I658" s="339">
        <f t="shared" si="177"/>
        <v>160213.76249999998</v>
      </c>
      <c r="J658" s="339">
        <f t="shared" si="177"/>
        <v>155835.62625</v>
      </c>
      <c r="K658" s="339">
        <f t="shared" si="177"/>
        <v>150331.38125000001</v>
      </c>
      <c r="L658" s="339">
        <f t="shared" si="177"/>
        <v>141993.01874999999</v>
      </c>
      <c r="M658" s="339">
        <f t="shared" si="177"/>
        <v>171069.50375</v>
      </c>
      <c r="N658" s="339">
        <f t="shared" si="177"/>
        <v>170383.12625</v>
      </c>
      <c r="O658" s="339">
        <f>O651+O655</f>
        <v>159026.81875000001</v>
      </c>
      <c r="P658" s="339">
        <f>P651+P655</f>
        <v>159982.32499999998</v>
      </c>
      <c r="Q658" s="339">
        <f>Q651+Q655</f>
        <v>167566.86249999999</v>
      </c>
      <c r="R658" s="339">
        <f>R651+R655</f>
        <v>1923353.3599999999</v>
      </c>
    </row>
    <row r="659" spans="1:19" x14ac:dyDescent="0.2">
      <c r="B659" s="336" t="s">
        <v>986</v>
      </c>
      <c r="F659" s="339">
        <f t="shared" ref="F659:N659" si="178">F645+F650+F651+F652+F656+F657</f>
        <v>194632.32419000001</v>
      </c>
      <c r="G659" s="339">
        <f t="shared" si="178"/>
        <v>201159.07431</v>
      </c>
      <c r="H659" s="339">
        <f t="shared" si="178"/>
        <v>199390.32975999999</v>
      </c>
      <c r="I659" s="339">
        <f t="shared" si="178"/>
        <v>190846.17012000002</v>
      </c>
      <c r="J659" s="339">
        <f t="shared" si="178"/>
        <v>184961.98659000001</v>
      </c>
      <c r="K659" s="339">
        <f t="shared" si="178"/>
        <v>179217.84853000002</v>
      </c>
      <c r="L659" s="339">
        <f t="shared" si="178"/>
        <v>169699.05056</v>
      </c>
      <c r="M659" s="339">
        <f t="shared" si="178"/>
        <v>202857.12553000002</v>
      </c>
      <c r="N659" s="339">
        <f t="shared" si="178"/>
        <v>202263.42640000003</v>
      </c>
      <c r="O659" s="339">
        <f>O645+O650+O651+O652+O656+O657</f>
        <v>188810.26174000005</v>
      </c>
      <c r="P659" s="339">
        <f>P645+P650+P651+P652+P656+P657</f>
        <v>189798.68192</v>
      </c>
      <c r="Q659" s="339">
        <f>Q645+Q650+Q651+Q652+Q656+Q657</f>
        <v>198975.99626000001</v>
      </c>
      <c r="R659" s="339">
        <f>R645+R650+R651+R652+R656+R657</f>
        <v>2302612.2759099999</v>
      </c>
      <c r="S659" s="340"/>
    </row>
    <row r="660" spans="1:19" x14ac:dyDescent="0.2">
      <c r="F660" s="418"/>
      <c r="G660" s="418"/>
      <c r="H660" s="418"/>
      <c r="I660" s="418"/>
      <c r="J660" s="418"/>
      <c r="K660" s="418"/>
      <c r="L660" s="418"/>
      <c r="M660" s="418"/>
      <c r="N660" s="418"/>
      <c r="O660" s="418"/>
      <c r="P660" s="418"/>
      <c r="Q660" s="418"/>
      <c r="R660" s="437"/>
    </row>
    <row r="661" spans="1:19" x14ac:dyDescent="0.2">
      <c r="A661" s="336" t="s">
        <v>1058</v>
      </c>
      <c r="B661" s="336" t="s">
        <v>1050</v>
      </c>
      <c r="F661" s="418">
        <f>F640*F631+F641*F632</f>
        <v>156825.41625000001</v>
      </c>
      <c r="G661" s="418">
        <f t="shared" ref="G661:Q661" si="179">G640*G631+G641*G632</f>
        <v>148228.96805000002</v>
      </c>
      <c r="H661" s="418">
        <f t="shared" si="179"/>
        <v>160801.62150000001</v>
      </c>
      <c r="I661" s="418">
        <f t="shared" si="179"/>
        <v>153273.0865</v>
      </c>
      <c r="J661" s="418">
        <f t="shared" si="179"/>
        <v>149084.31085000001</v>
      </c>
      <c r="K661" s="418">
        <f t="shared" si="179"/>
        <v>143818.13225000002</v>
      </c>
      <c r="L661" s="418">
        <f t="shared" si="179"/>
        <v>135840.41575000001</v>
      </c>
      <c r="M661" s="418">
        <f t="shared" si="179"/>
        <v>163659.30155</v>
      </c>
      <c r="N661" s="418">
        <f t="shared" si="179"/>
        <v>163002.61085</v>
      </c>
      <c r="O661" s="418">
        <f t="shared" si="179"/>
        <v>152137.47975</v>
      </c>
      <c r="P661" s="418">
        <f t="shared" si="179"/>
        <v>153051.65900000001</v>
      </c>
      <c r="Q661" s="418">
        <f t="shared" si="179"/>
        <v>160308.1545</v>
      </c>
      <c r="R661" s="437">
        <f>SUM(F661:Q661)</f>
        <v>1840031.1568</v>
      </c>
    </row>
    <row r="662" spans="1:19" x14ac:dyDescent="0.2">
      <c r="F662" s="418"/>
      <c r="G662" s="418"/>
      <c r="H662" s="418"/>
      <c r="I662" s="418"/>
      <c r="J662" s="418"/>
      <c r="K662" s="418"/>
      <c r="L662" s="418"/>
      <c r="M662" s="418"/>
      <c r="N662" s="418"/>
      <c r="O662" s="418"/>
      <c r="P662" s="418"/>
      <c r="Q662" s="418"/>
      <c r="R662" s="437"/>
    </row>
    <row r="663" spans="1:19" x14ac:dyDescent="0.2">
      <c r="B663" s="182" t="s">
        <v>1111</v>
      </c>
      <c r="C663" s="182"/>
    </row>
    <row r="664" spans="1:19" x14ac:dyDescent="0.2">
      <c r="B664" s="182" t="s">
        <v>5</v>
      </c>
      <c r="C664" s="182"/>
    </row>
    <row r="665" spans="1:19" x14ac:dyDescent="0.2">
      <c r="B665" s="336" t="s">
        <v>1059</v>
      </c>
      <c r="D665" s="382">
        <v>86</v>
      </c>
      <c r="E665" s="336" t="s">
        <v>976</v>
      </c>
      <c r="F665" s="450">
        <f t="shared" ref="F665:N665" si="180">F306</f>
        <v>142.79</v>
      </c>
      <c r="G665" s="450">
        <f t="shared" si="180"/>
        <v>142.79</v>
      </c>
      <c r="H665" s="450">
        <f t="shared" si="180"/>
        <v>142.79</v>
      </c>
      <c r="I665" s="450">
        <f t="shared" si="180"/>
        <v>142.79</v>
      </c>
      <c r="J665" s="450">
        <f t="shared" si="180"/>
        <v>142.79</v>
      </c>
      <c r="K665" s="450">
        <f t="shared" si="180"/>
        <v>142.79</v>
      </c>
      <c r="L665" s="450">
        <f t="shared" si="180"/>
        <v>142.79</v>
      </c>
      <c r="M665" s="450">
        <f t="shared" si="180"/>
        <v>142.79</v>
      </c>
      <c r="N665" s="450">
        <f t="shared" si="180"/>
        <v>142.79</v>
      </c>
      <c r="O665" s="450">
        <f>O306</f>
        <v>142.79</v>
      </c>
      <c r="P665" s="450">
        <f>P306</f>
        <v>142.79</v>
      </c>
      <c r="Q665" s="450">
        <f>Q306</f>
        <v>142.79</v>
      </c>
      <c r="R665" s="435"/>
    </row>
    <row r="666" spans="1:19" x14ac:dyDescent="0.2">
      <c r="B666" s="336" t="s">
        <v>1047</v>
      </c>
      <c r="F666" s="448"/>
      <c r="G666" s="448"/>
      <c r="H666" s="448"/>
      <c r="I666" s="448"/>
      <c r="J666" s="448"/>
      <c r="K666" s="448"/>
      <c r="L666" s="448"/>
      <c r="M666" s="448"/>
      <c r="N666" s="448"/>
      <c r="O666" s="448"/>
      <c r="P666" s="448"/>
      <c r="Q666" s="448"/>
      <c r="R666" s="441"/>
    </row>
    <row r="667" spans="1:19" x14ac:dyDescent="0.2">
      <c r="C667" s="336" t="s">
        <v>1098</v>
      </c>
      <c r="D667" s="382">
        <v>86</v>
      </c>
      <c r="E667" s="336" t="s">
        <v>957</v>
      </c>
      <c r="F667" s="448">
        <f t="shared" ref="F667:Q670" si="181">F308</f>
        <v>0.20305999999999999</v>
      </c>
      <c r="G667" s="448">
        <f t="shared" si="181"/>
        <v>0.20305999999999999</v>
      </c>
      <c r="H667" s="448">
        <f t="shared" si="181"/>
        <v>0.20305999999999999</v>
      </c>
      <c r="I667" s="448">
        <f t="shared" si="181"/>
        <v>0.20305999999999999</v>
      </c>
      <c r="J667" s="448">
        <f t="shared" si="181"/>
        <v>0.20305999999999999</v>
      </c>
      <c r="K667" s="448">
        <f t="shared" si="181"/>
        <v>0.20305999999999999</v>
      </c>
      <c r="L667" s="448">
        <f t="shared" si="181"/>
        <v>0.20305999999999999</v>
      </c>
      <c r="M667" s="448">
        <f t="shared" si="181"/>
        <v>0.20305999999999999</v>
      </c>
      <c r="N667" s="448">
        <f t="shared" si="181"/>
        <v>0.20305999999999999</v>
      </c>
      <c r="O667" s="448">
        <f t="shared" si="181"/>
        <v>0.20305999999999999</v>
      </c>
      <c r="P667" s="448">
        <f t="shared" si="181"/>
        <v>0.20305999999999999</v>
      </c>
      <c r="Q667" s="448">
        <f t="shared" si="181"/>
        <v>0.20305999999999999</v>
      </c>
      <c r="R667" s="441"/>
    </row>
    <row r="668" spans="1:19" x14ac:dyDescent="0.2">
      <c r="C668" s="336" t="s">
        <v>1099</v>
      </c>
      <c r="D668" s="382">
        <v>86</v>
      </c>
      <c r="E668" s="336" t="s">
        <v>957</v>
      </c>
      <c r="F668" s="448">
        <f t="shared" si="181"/>
        <v>0.14559</v>
      </c>
      <c r="G668" s="448">
        <f t="shared" si="181"/>
        <v>0.14559</v>
      </c>
      <c r="H668" s="448">
        <f t="shared" si="181"/>
        <v>0.14559</v>
      </c>
      <c r="I668" s="448">
        <f t="shared" si="181"/>
        <v>0.14559</v>
      </c>
      <c r="J668" s="448">
        <f t="shared" si="181"/>
        <v>0.14559</v>
      </c>
      <c r="K668" s="448">
        <f t="shared" si="181"/>
        <v>0.14559</v>
      </c>
      <c r="L668" s="448">
        <f t="shared" si="181"/>
        <v>0.14559</v>
      </c>
      <c r="M668" s="448">
        <f t="shared" si="181"/>
        <v>0.14559</v>
      </c>
      <c r="N668" s="448">
        <f t="shared" si="181"/>
        <v>0.14559</v>
      </c>
      <c r="O668" s="448">
        <f t="shared" si="181"/>
        <v>0.14559</v>
      </c>
      <c r="P668" s="448">
        <f t="shared" si="181"/>
        <v>0.14559</v>
      </c>
      <c r="Q668" s="448">
        <f t="shared" si="181"/>
        <v>0.14559</v>
      </c>
      <c r="R668" s="441"/>
    </row>
    <row r="669" spans="1:19" x14ac:dyDescent="0.2">
      <c r="B669" s="336" t="s">
        <v>1067</v>
      </c>
      <c r="D669" s="336">
        <v>101</v>
      </c>
      <c r="E669" s="336" t="s">
        <v>957</v>
      </c>
      <c r="F669" s="448">
        <f t="shared" si="181"/>
        <v>0.66556999999999999</v>
      </c>
      <c r="G669" s="448">
        <f t="shared" si="181"/>
        <v>0.66556999999999999</v>
      </c>
      <c r="H669" s="448">
        <f t="shared" si="181"/>
        <v>0.66556999999999999</v>
      </c>
      <c r="I669" s="448">
        <f t="shared" si="181"/>
        <v>0.66556999999999999</v>
      </c>
      <c r="J669" s="448">
        <f t="shared" si="181"/>
        <v>0.66556999999999999</v>
      </c>
      <c r="K669" s="448">
        <f t="shared" si="181"/>
        <v>0.66556999999999999</v>
      </c>
      <c r="L669" s="448">
        <f t="shared" si="181"/>
        <v>0.66556999999999999</v>
      </c>
      <c r="M669" s="448">
        <f t="shared" si="181"/>
        <v>0.66556999999999999</v>
      </c>
      <c r="N669" s="448">
        <f t="shared" si="181"/>
        <v>0.66556999999999999</v>
      </c>
      <c r="O669" s="448">
        <f t="shared" si="181"/>
        <v>0.66556999999999999</v>
      </c>
      <c r="P669" s="448">
        <f t="shared" si="181"/>
        <v>0.66556999999999999</v>
      </c>
      <c r="Q669" s="448">
        <f t="shared" si="181"/>
        <v>0.66556999999999999</v>
      </c>
      <c r="R669" s="441"/>
    </row>
    <row r="670" spans="1:19" x14ac:dyDescent="0.2">
      <c r="B670" s="336" t="s">
        <v>1096</v>
      </c>
      <c r="D670" s="382">
        <v>86</v>
      </c>
      <c r="E670" s="336" t="s">
        <v>957</v>
      </c>
      <c r="F670" s="441">
        <f t="shared" si="181"/>
        <v>6.7499999999999999E-3</v>
      </c>
      <c r="G670" s="441">
        <f t="shared" si="181"/>
        <v>6.7499999999999999E-3</v>
      </c>
      <c r="H670" s="441">
        <f t="shared" si="181"/>
        <v>6.7499999999999999E-3</v>
      </c>
      <c r="I670" s="441">
        <f t="shared" si="181"/>
        <v>6.7499999999999999E-3</v>
      </c>
      <c r="J670" s="441">
        <f t="shared" si="181"/>
        <v>6.7499999999999999E-3</v>
      </c>
      <c r="K670" s="441">
        <f t="shared" si="181"/>
        <v>6.7499999999999999E-3</v>
      </c>
      <c r="L670" s="441">
        <f t="shared" si="181"/>
        <v>6.7499999999999999E-3</v>
      </c>
      <c r="M670" s="441">
        <f t="shared" si="181"/>
        <v>6.7499999999999999E-3</v>
      </c>
      <c r="N670" s="441">
        <f t="shared" si="181"/>
        <v>6.7499999999999999E-3</v>
      </c>
      <c r="O670" s="441">
        <f t="shared" si="181"/>
        <v>6.7499999999999999E-3</v>
      </c>
      <c r="P670" s="441">
        <f t="shared" si="181"/>
        <v>6.7499999999999999E-3</v>
      </c>
      <c r="Q670" s="441">
        <f t="shared" si="181"/>
        <v>6.7499999999999999E-3</v>
      </c>
      <c r="R670" s="441"/>
    </row>
    <row r="671" spans="1:19" x14ac:dyDescent="0.2">
      <c r="B671" s="336" t="s">
        <v>1068</v>
      </c>
      <c r="F671" s="441"/>
      <c r="G671" s="441"/>
      <c r="H671" s="441"/>
      <c r="I671" s="441"/>
      <c r="J671" s="441"/>
      <c r="K671" s="441"/>
      <c r="L671" s="441"/>
      <c r="M671" s="441"/>
      <c r="N671" s="441"/>
      <c r="O671" s="441"/>
      <c r="P671" s="441"/>
      <c r="Q671" s="441"/>
      <c r="R671" s="441"/>
    </row>
    <row r="672" spans="1:19" x14ac:dyDescent="0.2">
      <c r="C672" s="336" t="s">
        <v>1069</v>
      </c>
      <c r="D672" s="336">
        <v>86</v>
      </c>
      <c r="E672" s="336" t="s">
        <v>957</v>
      </c>
      <c r="F672" s="460">
        <f t="shared" ref="F672:Q673" si="182">F313</f>
        <v>1.1399999999999999</v>
      </c>
      <c r="G672" s="460">
        <f t="shared" si="182"/>
        <v>1.1399999999999999</v>
      </c>
      <c r="H672" s="460">
        <f t="shared" si="182"/>
        <v>1.1399999999999999</v>
      </c>
      <c r="I672" s="460">
        <f t="shared" si="182"/>
        <v>1.1399999999999999</v>
      </c>
      <c r="J672" s="460">
        <f t="shared" si="182"/>
        <v>1.1399999999999999</v>
      </c>
      <c r="K672" s="460">
        <f t="shared" si="182"/>
        <v>1.1399999999999999</v>
      </c>
      <c r="L672" s="460">
        <f t="shared" si="182"/>
        <v>1.1399999999999999</v>
      </c>
      <c r="M672" s="460">
        <f t="shared" si="182"/>
        <v>1.1399999999999999</v>
      </c>
      <c r="N672" s="460">
        <f t="shared" si="182"/>
        <v>1.1399999999999999</v>
      </c>
      <c r="O672" s="460">
        <f t="shared" si="182"/>
        <v>1.1399999999999999</v>
      </c>
      <c r="P672" s="460">
        <f t="shared" si="182"/>
        <v>1.1399999999999999</v>
      </c>
      <c r="Q672" s="460">
        <f t="shared" si="182"/>
        <v>1.1399999999999999</v>
      </c>
      <c r="R672" s="441"/>
    </row>
    <row r="673" spans="1:18" x14ac:dyDescent="0.2">
      <c r="C673" s="336" t="s">
        <v>1070</v>
      </c>
      <c r="D673" s="336">
        <v>101</v>
      </c>
      <c r="E673" s="336" t="s">
        <v>957</v>
      </c>
      <c r="F673" s="460">
        <f t="shared" si="182"/>
        <v>1.05</v>
      </c>
      <c r="G673" s="460">
        <f t="shared" si="182"/>
        <v>1.05</v>
      </c>
      <c r="H673" s="460">
        <f t="shared" si="182"/>
        <v>1.05</v>
      </c>
      <c r="I673" s="460">
        <f t="shared" si="182"/>
        <v>1.05</v>
      </c>
      <c r="J673" s="460">
        <f t="shared" si="182"/>
        <v>1.05</v>
      </c>
      <c r="K673" s="460">
        <f t="shared" si="182"/>
        <v>1.05</v>
      </c>
      <c r="L673" s="460">
        <f t="shared" si="182"/>
        <v>1.05</v>
      </c>
      <c r="M673" s="460">
        <f t="shared" si="182"/>
        <v>1.05</v>
      </c>
      <c r="N673" s="460">
        <f t="shared" si="182"/>
        <v>1.05</v>
      </c>
      <c r="O673" s="460">
        <f t="shared" si="182"/>
        <v>1.05</v>
      </c>
      <c r="P673" s="460">
        <f t="shared" si="182"/>
        <v>1.05</v>
      </c>
      <c r="Q673" s="460">
        <f t="shared" si="182"/>
        <v>1.05</v>
      </c>
      <c r="R673" s="441"/>
    </row>
    <row r="674" spans="1:18" x14ac:dyDescent="0.2">
      <c r="B674" s="336" t="s">
        <v>1071</v>
      </c>
      <c r="D674" s="382">
        <v>86</v>
      </c>
      <c r="E674" s="336" t="s">
        <v>67</v>
      </c>
      <c r="F674" s="450"/>
      <c r="G674" s="450"/>
      <c r="H674" s="442"/>
      <c r="I674" s="450"/>
      <c r="J674" s="450"/>
      <c r="K674" s="450"/>
      <c r="L674" s="450"/>
      <c r="M674" s="450"/>
      <c r="N674" s="450"/>
      <c r="O674" s="450"/>
      <c r="P674" s="450"/>
      <c r="Q674" s="450"/>
      <c r="R674" s="441"/>
    </row>
    <row r="675" spans="1:18" x14ac:dyDescent="0.2">
      <c r="B675" s="336" t="s">
        <v>1050</v>
      </c>
      <c r="D675" s="382"/>
      <c r="F675" s="450">
        <f>F316</f>
        <v>0.63678999999999997</v>
      </c>
      <c r="G675" s="450">
        <f t="shared" ref="G675:Q676" si="183">G316</f>
        <v>0.63678999999999997</v>
      </c>
      <c r="H675" s="450">
        <f t="shared" si="183"/>
        <v>0.63678999999999997</v>
      </c>
      <c r="I675" s="450">
        <f t="shared" si="183"/>
        <v>0.63678999999999997</v>
      </c>
      <c r="J675" s="450">
        <f t="shared" si="183"/>
        <v>0.63678999999999997</v>
      </c>
      <c r="K675" s="450">
        <f t="shared" si="183"/>
        <v>0.63678999999999997</v>
      </c>
      <c r="L675" s="450">
        <f t="shared" si="183"/>
        <v>0.63678999999999997</v>
      </c>
      <c r="M675" s="450">
        <f t="shared" si="183"/>
        <v>0.63678999999999997</v>
      </c>
      <c r="N675" s="450">
        <f t="shared" si="183"/>
        <v>0.63678999999999997</v>
      </c>
      <c r="O675" s="450">
        <f t="shared" si="183"/>
        <v>0.63678999999999997</v>
      </c>
      <c r="P675" s="450">
        <f t="shared" si="183"/>
        <v>0.63678999999999997</v>
      </c>
      <c r="Q675" s="450">
        <f t="shared" si="183"/>
        <v>0.63678999999999997</v>
      </c>
      <c r="R675" s="441"/>
    </row>
    <row r="676" spans="1:18" x14ac:dyDescent="0.2">
      <c r="B676" s="336" t="s">
        <v>1072</v>
      </c>
      <c r="D676" s="382"/>
      <c r="F676" s="670">
        <f>F317</f>
        <v>1</v>
      </c>
      <c r="G676" s="670">
        <f t="shared" si="183"/>
        <v>1</v>
      </c>
      <c r="H676" s="670">
        <f t="shared" si="183"/>
        <v>1</v>
      </c>
      <c r="I676" s="670">
        <f t="shared" si="183"/>
        <v>1</v>
      </c>
      <c r="J676" s="670">
        <f t="shared" si="183"/>
        <v>1</v>
      </c>
      <c r="K676" s="670">
        <f t="shared" si="183"/>
        <v>1</v>
      </c>
      <c r="L676" s="670">
        <f t="shared" si="183"/>
        <v>1</v>
      </c>
      <c r="M676" s="670">
        <f t="shared" si="183"/>
        <v>1</v>
      </c>
      <c r="N676" s="670">
        <f t="shared" si="183"/>
        <v>1</v>
      </c>
      <c r="O676" s="670">
        <f t="shared" si="183"/>
        <v>1</v>
      </c>
      <c r="P676" s="670">
        <f t="shared" si="183"/>
        <v>1</v>
      </c>
      <c r="Q676" s="670">
        <f t="shared" si="183"/>
        <v>1</v>
      </c>
      <c r="R676" s="441"/>
    </row>
    <row r="678" spans="1:18" x14ac:dyDescent="0.2">
      <c r="B678" s="182" t="s">
        <v>982</v>
      </c>
    </row>
    <row r="679" spans="1:18" x14ac:dyDescent="0.2">
      <c r="B679" s="336" t="s">
        <v>67</v>
      </c>
      <c r="E679" s="336" t="s">
        <v>67</v>
      </c>
      <c r="F679" s="421">
        <f>'JKP-3.1c - Data'!C151</f>
        <v>9</v>
      </c>
      <c r="G679" s="421">
        <f>'JKP-3.1c - Data'!D151</f>
        <v>11</v>
      </c>
      <c r="H679" s="421">
        <f>'JKP-3.1c - Data'!E151</f>
        <v>10</v>
      </c>
      <c r="I679" s="421">
        <f>'JKP-3.1c - Data'!F151</f>
        <v>9</v>
      </c>
      <c r="J679" s="421">
        <f>'JKP-3.1c - Data'!G151</f>
        <v>10</v>
      </c>
      <c r="K679" s="421">
        <f>'JKP-3.1c - Data'!H151</f>
        <v>9</v>
      </c>
      <c r="L679" s="421">
        <f>'JKP-3.1c - Data'!I151</f>
        <v>10</v>
      </c>
      <c r="M679" s="421">
        <f>'JKP-3.1c - Data'!J151</f>
        <v>10</v>
      </c>
      <c r="N679" s="421">
        <f>'JKP-3.1c - Data'!K151</f>
        <v>10</v>
      </c>
      <c r="O679" s="421">
        <f>'JKP-3.1c - Data'!L151</f>
        <v>10</v>
      </c>
      <c r="P679" s="421">
        <f>'JKP-3.1c - Data'!M151</f>
        <v>10</v>
      </c>
      <c r="Q679" s="421">
        <f>'JKP-3.1c - Data'!N151</f>
        <v>10</v>
      </c>
      <c r="R679" s="378">
        <f>SUM(F679:Q679)</f>
        <v>118</v>
      </c>
    </row>
    <row r="680" spans="1:18" x14ac:dyDescent="0.2">
      <c r="B680" s="336" t="s">
        <v>76</v>
      </c>
      <c r="F680" s="380"/>
      <c r="G680" s="380"/>
      <c r="H680" s="380"/>
      <c r="I680" s="380"/>
      <c r="J680" s="380"/>
      <c r="K680" s="380"/>
      <c r="L680" s="380"/>
      <c r="M680" s="380"/>
      <c r="N680" s="380"/>
      <c r="O680" s="380"/>
      <c r="P680" s="380"/>
      <c r="Q680" s="380"/>
      <c r="R680" s="378"/>
    </row>
    <row r="681" spans="1:18" x14ac:dyDescent="0.2">
      <c r="C681" s="336" t="s">
        <v>1098</v>
      </c>
      <c r="E681" s="336" t="s">
        <v>10</v>
      </c>
      <c r="F681" s="421">
        <f>'JKP-3.1c - Rev Rates GTI10'!F681</f>
        <v>8746</v>
      </c>
      <c r="G681" s="421">
        <f>'JKP-3.1c - Rev Rates GTI10'!G681</f>
        <v>8501</v>
      </c>
      <c r="H681" s="421">
        <f>'JKP-3.1c - Rev Rates GTI10'!H681</f>
        <v>7448</v>
      </c>
      <c r="I681" s="421">
        <f>'JKP-3.1c - Rev Rates GTI10'!I681</f>
        <v>8493</v>
      </c>
      <c r="J681" s="421">
        <f>'JKP-3.1c - Rev Rates GTI10'!J681</f>
        <v>8187</v>
      </c>
      <c r="K681" s="421">
        <f>'JKP-3.1c - Rev Rates GTI10'!K681</f>
        <v>7941</v>
      </c>
      <c r="L681" s="421">
        <f>'JKP-3.1c - Rev Rates GTI10'!L681</f>
        <v>7145</v>
      </c>
      <c r="M681" s="421">
        <f>'JKP-3.1c - Rev Rates GTI10'!M681</f>
        <v>7808</v>
      </c>
      <c r="N681" s="421">
        <f>'JKP-3.1c - Rev Rates GTI10'!N681</f>
        <v>8000</v>
      </c>
      <c r="O681" s="421">
        <f>'JKP-3.1c - Rev Rates GTI10'!O681</f>
        <v>6285</v>
      </c>
      <c r="P681" s="421">
        <f>'JKP-3.1c - Rev Rates GTI10'!P681</f>
        <v>9249</v>
      </c>
      <c r="Q681" s="421">
        <f>'JKP-3.1c - Rev Rates GTI10'!Q681</f>
        <v>9802</v>
      </c>
      <c r="R681" s="378">
        <f>SUM(F681:Q681)</f>
        <v>97605</v>
      </c>
    </row>
    <row r="682" spans="1:18" x14ac:dyDescent="0.2">
      <c r="C682" s="336" t="s">
        <v>1099</v>
      </c>
      <c r="E682" s="336" t="s">
        <v>10</v>
      </c>
      <c r="F682" s="378">
        <f t="shared" ref="F682:N682" si="184">F683-F681</f>
        <v>162759</v>
      </c>
      <c r="G682" s="378">
        <f t="shared" si="184"/>
        <v>137882</v>
      </c>
      <c r="H682" s="378">
        <f t="shared" si="184"/>
        <v>59467</v>
      </c>
      <c r="I682" s="378">
        <f t="shared" si="184"/>
        <v>32121</v>
      </c>
      <c r="J682" s="378">
        <f t="shared" si="184"/>
        <v>56841</v>
      </c>
      <c r="K682" s="378">
        <f t="shared" si="184"/>
        <v>75935</v>
      </c>
      <c r="L682" s="378">
        <f t="shared" si="184"/>
        <v>48383</v>
      </c>
      <c r="M682" s="378">
        <f t="shared" si="184"/>
        <v>23643</v>
      </c>
      <c r="N682" s="378">
        <f t="shared" si="184"/>
        <v>17943</v>
      </c>
      <c r="O682" s="378">
        <f>O683-O681</f>
        <v>23906</v>
      </c>
      <c r="P682" s="378">
        <f>P683-P681</f>
        <v>43005</v>
      </c>
      <c r="Q682" s="378">
        <f>Q683-Q681</f>
        <v>52842</v>
      </c>
      <c r="R682" s="378">
        <f>SUM(F682:Q682)</f>
        <v>734727</v>
      </c>
    </row>
    <row r="683" spans="1:18" x14ac:dyDescent="0.2">
      <c r="C683" s="336" t="s">
        <v>1075</v>
      </c>
      <c r="E683" s="336" t="s">
        <v>10</v>
      </c>
      <c r="F683" s="445">
        <f>'JKP-3.1c - Weather Adj'!D168</f>
        <v>171505</v>
      </c>
      <c r="G683" s="445">
        <f>'JKP-3.1c - Weather Adj'!E168</f>
        <v>146383</v>
      </c>
      <c r="H683" s="445">
        <f>'JKP-3.1c - Weather Adj'!F168</f>
        <v>66915</v>
      </c>
      <c r="I683" s="445">
        <f>'JKP-3.1c - Weather Adj'!G168</f>
        <v>40614</v>
      </c>
      <c r="J683" s="445">
        <f>'JKP-3.1c - Weather Adj'!H168</f>
        <v>65028</v>
      </c>
      <c r="K683" s="445">
        <f>'JKP-3.1c - Weather Adj'!I168</f>
        <v>83876</v>
      </c>
      <c r="L683" s="445">
        <f>'JKP-3.1c - Weather Adj'!J168</f>
        <v>55528</v>
      </c>
      <c r="M683" s="445">
        <f>'JKP-3.1c - Weather Adj'!K168</f>
        <v>31451</v>
      </c>
      <c r="N683" s="445">
        <f>'JKP-3.1c - Weather Adj'!L168</f>
        <v>25943</v>
      </c>
      <c r="O683" s="445">
        <f>'JKP-3.1c - Weather Adj'!M168</f>
        <v>30191</v>
      </c>
      <c r="P683" s="445">
        <f>'JKP-3.1c - Weather Adj'!N168</f>
        <v>52254</v>
      </c>
      <c r="Q683" s="445">
        <f>'JKP-3.1c - Weather Adj'!O168</f>
        <v>62644</v>
      </c>
      <c r="R683" s="436">
        <f>SUM(R681:R682)</f>
        <v>832332</v>
      </c>
    </row>
    <row r="684" spans="1:18" x14ac:dyDescent="0.2">
      <c r="B684" s="336" t="s">
        <v>74</v>
      </c>
      <c r="E684" s="336" t="s">
        <v>1076</v>
      </c>
      <c r="F684" s="421">
        <f>'JKP-3.1c - Data'!C171</f>
        <v>127</v>
      </c>
      <c r="G684" s="421">
        <f>'JKP-3.1c - Data'!D171</f>
        <v>137</v>
      </c>
      <c r="H684" s="421">
        <f>'JKP-3.1c - Data'!E171</f>
        <v>132</v>
      </c>
      <c r="I684" s="421">
        <f>'JKP-3.1c - Data'!F171</f>
        <v>132</v>
      </c>
      <c r="J684" s="421">
        <f>'JKP-3.1c - Data'!G171</f>
        <v>132</v>
      </c>
      <c r="K684" s="421">
        <f>'JKP-3.1c - Data'!H171</f>
        <v>132</v>
      </c>
      <c r="L684" s="421">
        <f>'JKP-3.1c - Data'!I171</f>
        <v>132</v>
      </c>
      <c r="M684" s="421">
        <f>'JKP-3.1c - Data'!J171</f>
        <v>132</v>
      </c>
      <c r="N684" s="421">
        <f>'JKP-3.1c - Data'!K171</f>
        <v>132</v>
      </c>
      <c r="O684" s="421">
        <f>'JKP-3.1c - Data'!L171</f>
        <v>132</v>
      </c>
      <c r="P684" s="421">
        <f>'JKP-3.1c - Data'!M171</f>
        <v>132</v>
      </c>
      <c r="Q684" s="421">
        <f>'JKP-3.1c - Data'!N171</f>
        <v>132</v>
      </c>
      <c r="R684" s="378">
        <f>SUM(F684:Q684)</f>
        <v>1584</v>
      </c>
    </row>
    <row r="685" spans="1:18" x14ac:dyDescent="0.2">
      <c r="B685" s="336" t="s">
        <v>1071</v>
      </c>
      <c r="F685" s="380"/>
      <c r="G685" s="380"/>
      <c r="H685" s="380"/>
      <c r="I685" s="380"/>
      <c r="J685" s="380"/>
      <c r="K685" s="380"/>
      <c r="L685" s="380"/>
      <c r="M685" s="380"/>
      <c r="N685" s="380"/>
      <c r="O685" s="380"/>
      <c r="P685" s="380"/>
      <c r="Q685" s="380"/>
      <c r="R685" s="378"/>
    </row>
    <row r="686" spans="1:18" x14ac:dyDescent="0.2">
      <c r="R686" s="179"/>
    </row>
    <row r="687" spans="1:18" x14ac:dyDescent="0.2">
      <c r="B687" s="182" t="s">
        <v>985</v>
      </c>
      <c r="R687" s="179"/>
    </row>
    <row r="688" spans="1:18" x14ac:dyDescent="0.2">
      <c r="A688" s="336" t="s">
        <v>1054</v>
      </c>
      <c r="B688" s="336" t="s">
        <v>1059</v>
      </c>
      <c r="D688" s="336">
        <v>86</v>
      </c>
      <c r="F688" s="418">
        <f t="shared" ref="F688:N688" si="185">F665*F679</f>
        <v>1285.1099999999999</v>
      </c>
      <c r="G688" s="418">
        <f t="shared" si="185"/>
        <v>1570.6899999999998</v>
      </c>
      <c r="H688" s="418">
        <f t="shared" si="185"/>
        <v>1427.8999999999999</v>
      </c>
      <c r="I688" s="418">
        <f t="shared" si="185"/>
        <v>1285.1099999999999</v>
      </c>
      <c r="J688" s="418">
        <f t="shared" si="185"/>
        <v>1427.8999999999999</v>
      </c>
      <c r="K688" s="418">
        <f t="shared" si="185"/>
        <v>1285.1099999999999</v>
      </c>
      <c r="L688" s="418">
        <f t="shared" si="185"/>
        <v>1427.8999999999999</v>
      </c>
      <c r="M688" s="418">
        <f t="shared" si="185"/>
        <v>1427.8999999999999</v>
      </c>
      <c r="N688" s="418">
        <f t="shared" si="185"/>
        <v>1427.8999999999999</v>
      </c>
      <c r="O688" s="418">
        <f>O665*O679</f>
        <v>1427.8999999999999</v>
      </c>
      <c r="P688" s="418">
        <f>P665*P679</f>
        <v>1427.8999999999999</v>
      </c>
      <c r="Q688" s="418">
        <f>Q665*Q679</f>
        <v>1427.8999999999999</v>
      </c>
      <c r="R688" s="437">
        <f>SUM(F688:Q688)</f>
        <v>16849.219999999998</v>
      </c>
    </row>
    <row r="689" spans="1:19" x14ac:dyDescent="0.2">
      <c r="B689" s="336" t="s">
        <v>1047</v>
      </c>
      <c r="F689" s="418"/>
      <c r="G689" s="418"/>
      <c r="H689" s="418"/>
      <c r="I689" s="418"/>
      <c r="J689" s="418"/>
      <c r="K689" s="418"/>
      <c r="L689" s="418"/>
      <c r="M689" s="418"/>
      <c r="N689" s="418"/>
      <c r="O689" s="418"/>
      <c r="P689" s="418"/>
      <c r="Q689" s="418"/>
      <c r="R689" s="437"/>
    </row>
    <row r="690" spans="1:19" x14ac:dyDescent="0.2">
      <c r="C690" s="336" t="s">
        <v>1098</v>
      </c>
      <c r="D690" s="336">
        <v>86</v>
      </c>
      <c r="F690" s="418">
        <f t="shared" ref="F690:Q691" si="186">F667*F681</f>
        <v>1775.9627599999999</v>
      </c>
      <c r="G690" s="418">
        <f t="shared" si="186"/>
        <v>1726.2130599999998</v>
      </c>
      <c r="H690" s="418">
        <f t="shared" si="186"/>
        <v>1512.3908799999999</v>
      </c>
      <c r="I690" s="418">
        <f t="shared" si="186"/>
        <v>1724.5885799999999</v>
      </c>
      <c r="J690" s="418">
        <f t="shared" si="186"/>
        <v>1662.4522199999999</v>
      </c>
      <c r="K690" s="418">
        <f t="shared" si="186"/>
        <v>1612.49946</v>
      </c>
      <c r="L690" s="418">
        <f t="shared" si="186"/>
        <v>1450.8636999999999</v>
      </c>
      <c r="M690" s="418">
        <f t="shared" si="186"/>
        <v>1585.4924799999999</v>
      </c>
      <c r="N690" s="418">
        <f t="shared" si="186"/>
        <v>1624.48</v>
      </c>
      <c r="O690" s="418">
        <f t="shared" si="186"/>
        <v>1276.2320999999999</v>
      </c>
      <c r="P690" s="418">
        <f t="shared" si="186"/>
        <v>1878.10194</v>
      </c>
      <c r="Q690" s="418">
        <f t="shared" si="186"/>
        <v>1990.3941199999999</v>
      </c>
      <c r="R690" s="437">
        <f>SUM(F690:Q690)</f>
        <v>19819.671299999995</v>
      </c>
    </row>
    <row r="691" spans="1:19" x14ac:dyDescent="0.2">
      <c r="C691" s="336" t="s">
        <v>1099</v>
      </c>
      <c r="D691" s="336">
        <v>86</v>
      </c>
      <c r="F691" s="418">
        <f t="shared" si="186"/>
        <v>23696.08281</v>
      </c>
      <c r="G691" s="418">
        <f t="shared" si="186"/>
        <v>20074.240379999999</v>
      </c>
      <c r="H691" s="418">
        <f t="shared" si="186"/>
        <v>8657.8005300000004</v>
      </c>
      <c r="I691" s="418">
        <f t="shared" si="186"/>
        <v>4676.4963900000002</v>
      </c>
      <c r="J691" s="418">
        <f t="shared" si="186"/>
        <v>8275.4811900000004</v>
      </c>
      <c r="K691" s="418">
        <f t="shared" si="186"/>
        <v>11055.37665</v>
      </c>
      <c r="L691" s="418">
        <f t="shared" si="186"/>
        <v>7044.08097</v>
      </c>
      <c r="M691" s="418">
        <f t="shared" si="186"/>
        <v>3442.1843699999999</v>
      </c>
      <c r="N691" s="418">
        <f t="shared" si="186"/>
        <v>2612.3213700000001</v>
      </c>
      <c r="O691" s="418">
        <f t="shared" si="186"/>
        <v>3480.4745399999997</v>
      </c>
      <c r="P691" s="418">
        <f t="shared" si="186"/>
        <v>6261.0979500000003</v>
      </c>
      <c r="Q691" s="418">
        <f t="shared" si="186"/>
        <v>7693.2667799999999</v>
      </c>
      <c r="R691" s="437">
        <f>SUM(F691:Q691)</f>
        <v>106968.90393</v>
      </c>
    </row>
    <row r="692" spans="1:19" x14ac:dyDescent="0.2">
      <c r="A692" s="336" t="s">
        <v>1054</v>
      </c>
      <c r="C692" s="336" t="s">
        <v>1077</v>
      </c>
      <c r="F692" s="339">
        <f t="shared" ref="F692:N692" si="187">SUM(F690:F691)</f>
        <v>25472.045569999998</v>
      </c>
      <c r="G692" s="339">
        <f t="shared" si="187"/>
        <v>21800.453439999997</v>
      </c>
      <c r="H692" s="339">
        <f t="shared" si="187"/>
        <v>10170.191409999999</v>
      </c>
      <c r="I692" s="339">
        <f t="shared" si="187"/>
        <v>6401.0849699999999</v>
      </c>
      <c r="J692" s="339">
        <f t="shared" si="187"/>
        <v>9937.9334099999996</v>
      </c>
      <c r="K692" s="339">
        <f t="shared" si="187"/>
        <v>12667.876110000001</v>
      </c>
      <c r="L692" s="339">
        <f t="shared" si="187"/>
        <v>8494.9446700000008</v>
      </c>
      <c r="M692" s="339">
        <f t="shared" si="187"/>
        <v>5027.6768499999998</v>
      </c>
      <c r="N692" s="339">
        <f t="shared" si="187"/>
        <v>4236.8013700000001</v>
      </c>
      <c r="O692" s="339">
        <f>SUM(O690:O691)</f>
        <v>4756.7066399999994</v>
      </c>
      <c r="P692" s="339">
        <f>SUM(P690:P691)</f>
        <v>8139.1998899999999</v>
      </c>
      <c r="Q692" s="339">
        <f>SUM(Q690:Q691)</f>
        <v>9683.6608999999989</v>
      </c>
      <c r="R692" s="339">
        <f>SUM(R690:R691)</f>
        <v>126788.57522999999</v>
      </c>
    </row>
    <row r="693" spans="1:19" x14ac:dyDescent="0.2">
      <c r="A693" s="336" t="s">
        <v>1056</v>
      </c>
      <c r="B693" s="336" t="s">
        <v>1057</v>
      </c>
      <c r="D693" s="336">
        <v>101</v>
      </c>
      <c r="F693" s="418">
        <f t="shared" ref="F693:N693" si="188">F669*F683</f>
        <v>114148.58285000001</v>
      </c>
      <c r="G693" s="418">
        <f t="shared" si="188"/>
        <v>97428.133310000005</v>
      </c>
      <c r="H693" s="418">
        <f t="shared" si="188"/>
        <v>44536.616549999999</v>
      </c>
      <c r="I693" s="418">
        <f t="shared" si="188"/>
        <v>27031.45998</v>
      </c>
      <c r="J693" s="418">
        <f t="shared" si="188"/>
        <v>43280.685960000003</v>
      </c>
      <c r="K693" s="418">
        <f t="shared" si="188"/>
        <v>55825.349320000001</v>
      </c>
      <c r="L693" s="418">
        <f t="shared" si="188"/>
        <v>36957.770960000002</v>
      </c>
      <c r="M693" s="418">
        <f t="shared" si="188"/>
        <v>20932.842069999999</v>
      </c>
      <c r="N693" s="418">
        <f t="shared" si="188"/>
        <v>17266.882509999999</v>
      </c>
      <c r="O693" s="418">
        <f>O669*O683</f>
        <v>20094.223870000002</v>
      </c>
      <c r="P693" s="418">
        <f>P669*P683</f>
        <v>34778.694779999998</v>
      </c>
      <c r="Q693" s="418">
        <f>Q669*Q683</f>
        <v>41693.967080000002</v>
      </c>
      <c r="R693" s="437">
        <f>SUM(F693:Q693)</f>
        <v>553975.20924000011</v>
      </c>
    </row>
    <row r="694" spans="1:19" x14ac:dyDescent="0.2">
      <c r="A694" s="336" t="s">
        <v>1054</v>
      </c>
      <c r="B694" s="336" t="s">
        <v>1096</v>
      </c>
      <c r="D694" s="382"/>
      <c r="F694" s="339">
        <f t="shared" ref="F694:N694" si="189">F670*F683</f>
        <v>1157.6587500000001</v>
      </c>
      <c r="G694" s="339">
        <f t="shared" si="189"/>
        <v>988.08524999999997</v>
      </c>
      <c r="H694" s="339">
        <f t="shared" si="189"/>
        <v>451.67624999999998</v>
      </c>
      <c r="I694" s="339">
        <f t="shared" si="189"/>
        <v>274.14449999999999</v>
      </c>
      <c r="J694" s="339">
        <f t="shared" si="189"/>
        <v>438.93900000000002</v>
      </c>
      <c r="K694" s="339">
        <f t="shared" si="189"/>
        <v>566.16300000000001</v>
      </c>
      <c r="L694" s="339">
        <f t="shared" si="189"/>
        <v>374.81400000000002</v>
      </c>
      <c r="M694" s="339">
        <f t="shared" si="189"/>
        <v>212.29425000000001</v>
      </c>
      <c r="N694" s="339">
        <f t="shared" si="189"/>
        <v>175.11525</v>
      </c>
      <c r="O694" s="339">
        <f>O670*O683</f>
        <v>203.78925000000001</v>
      </c>
      <c r="P694" s="339">
        <f>P670*P683</f>
        <v>352.71449999999999</v>
      </c>
      <c r="Q694" s="339">
        <f>Q670*Q683</f>
        <v>422.84699999999998</v>
      </c>
      <c r="R694" s="339">
        <f>SUM(F694:Q694)</f>
        <v>5618.2409999999991</v>
      </c>
    </row>
    <row r="695" spans="1:19" x14ac:dyDescent="0.2">
      <c r="B695" s="336" t="s">
        <v>1068</v>
      </c>
      <c r="F695" s="418"/>
      <c r="G695" s="418"/>
      <c r="H695" s="418"/>
      <c r="I695" s="418"/>
      <c r="J695" s="418"/>
      <c r="K695" s="418"/>
      <c r="L695" s="418"/>
      <c r="M695" s="418"/>
      <c r="N695" s="418"/>
      <c r="O695" s="418"/>
      <c r="P695" s="418"/>
      <c r="Q695" s="418"/>
      <c r="R695" s="437"/>
    </row>
    <row r="696" spans="1:19" x14ac:dyDescent="0.2">
      <c r="A696" s="336" t="s">
        <v>1054</v>
      </c>
      <c r="C696" s="336" t="s">
        <v>1069</v>
      </c>
      <c r="D696" s="336">
        <v>86</v>
      </c>
      <c r="F696" s="418">
        <f t="shared" ref="F696:N696" si="190">F672*F684</f>
        <v>144.78</v>
      </c>
      <c r="G696" s="418">
        <f t="shared" si="190"/>
        <v>156.17999999999998</v>
      </c>
      <c r="H696" s="418">
        <f t="shared" si="190"/>
        <v>150.47999999999999</v>
      </c>
      <c r="I696" s="418">
        <f t="shared" si="190"/>
        <v>150.47999999999999</v>
      </c>
      <c r="J696" s="418">
        <f t="shared" si="190"/>
        <v>150.47999999999999</v>
      </c>
      <c r="K696" s="418">
        <f t="shared" si="190"/>
        <v>150.47999999999999</v>
      </c>
      <c r="L696" s="418">
        <f t="shared" si="190"/>
        <v>150.47999999999999</v>
      </c>
      <c r="M696" s="418">
        <f t="shared" si="190"/>
        <v>150.47999999999999</v>
      </c>
      <c r="N696" s="418">
        <f t="shared" si="190"/>
        <v>150.47999999999999</v>
      </c>
      <c r="O696" s="418">
        <f>O672*O684</f>
        <v>150.47999999999999</v>
      </c>
      <c r="P696" s="418">
        <f>P672*P684</f>
        <v>150.47999999999999</v>
      </c>
      <c r="Q696" s="418">
        <f>Q672*Q684</f>
        <v>150.47999999999999</v>
      </c>
      <c r="R696" s="437">
        <f>SUM(F696:Q696)</f>
        <v>1805.76</v>
      </c>
    </row>
    <row r="697" spans="1:19" x14ac:dyDescent="0.2">
      <c r="A697" s="336" t="s">
        <v>1056</v>
      </c>
      <c r="C697" s="336" t="s">
        <v>1070</v>
      </c>
      <c r="D697" s="336">
        <v>101</v>
      </c>
      <c r="F697" s="418">
        <f t="shared" ref="F697:N697" si="191">F673*F684</f>
        <v>133.35</v>
      </c>
      <c r="G697" s="418">
        <f t="shared" si="191"/>
        <v>143.85</v>
      </c>
      <c r="H697" s="418">
        <f t="shared" si="191"/>
        <v>138.6</v>
      </c>
      <c r="I697" s="418">
        <f t="shared" si="191"/>
        <v>138.6</v>
      </c>
      <c r="J697" s="418">
        <f t="shared" si="191"/>
        <v>138.6</v>
      </c>
      <c r="K697" s="418">
        <f t="shared" si="191"/>
        <v>138.6</v>
      </c>
      <c r="L697" s="418">
        <f t="shared" si="191"/>
        <v>138.6</v>
      </c>
      <c r="M697" s="418">
        <f t="shared" si="191"/>
        <v>138.6</v>
      </c>
      <c r="N697" s="418">
        <f t="shared" si="191"/>
        <v>138.6</v>
      </c>
      <c r="O697" s="418">
        <f>O673*O684</f>
        <v>138.6</v>
      </c>
      <c r="P697" s="418">
        <f>P673*P684</f>
        <v>138.6</v>
      </c>
      <c r="Q697" s="418">
        <f>Q673*Q684</f>
        <v>138.6</v>
      </c>
      <c r="R697" s="437">
        <f>SUM(F697:Q697)</f>
        <v>1663.1999999999996</v>
      </c>
    </row>
    <row r="698" spans="1:19" x14ac:dyDescent="0.2">
      <c r="C698" s="336" t="s">
        <v>1078</v>
      </c>
      <c r="F698" s="339">
        <f t="shared" ref="F698:N698" si="192">SUM(F696:F697)</f>
        <v>278.13</v>
      </c>
      <c r="G698" s="339">
        <f t="shared" si="192"/>
        <v>300.02999999999997</v>
      </c>
      <c r="H698" s="339">
        <f t="shared" si="192"/>
        <v>289.08</v>
      </c>
      <c r="I698" s="339">
        <f t="shared" si="192"/>
        <v>289.08</v>
      </c>
      <c r="J698" s="339">
        <f t="shared" si="192"/>
        <v>289.08</v>
      </c>
      <c r="K698" s="339">
        <f t="shared" si="192"/>
        <v>289.08</v>
      </c>
      <c r="L698" s="339">
        <f t="shared" si="192"/>
        <v>289.08</v>
      </c>
      <c r="M698" s="339">
        <f t="shared" si="192"/>
        <v>289.08</v>
      </c>
      <c r="N698" s="339">
        <f t="shared" si="192"/>
        <v>289.08</v>
      </c>
      <c r="O698" s="339">
        <f>SUM(O696:O697)</f>
        <v>289.08</v>
      </c>
      <c r="P698" s="339">
        <f>SUM(P696:P697)</f>
        <v>289.08</v>
      </c>
      <c r="Q698" s="339">
        <f>SUM(Q696:Q697)</f>
        <v>289.08</v>
      </c>
      <c r="R698" s="339">
        <f>SUM(R696:R697)</f>
        <v>3468.9599999999996</v>
      </c>
    </row>
    <row r="699" spans="1:19" x14ac:dyDescent="0.2">
      <c r="A699" s="336" t="s">
        <v>1054</v>
      </c>
      <c r="B699" s="336" t="s">
        <v>1071</v>
      </c>
      <c r="D699" s="336">
        <v>86</v>
      </c>
      <c r="F699" s="447">
        <f>'JKP-3.1c - Data'!C188</f>
        <v>0</v>
      </c>
      <c r="G699" s="447">
        <f>'JKP-3.1c - Data'!D188</f>
        <v>0</v>
      </c>
      <c r="H699" s="447">
        <f>'JKP-3.1c - Data'!E188</f>
        <v>0</v>
      </c>
      <c r="I699" s="447">
        <f>'JKP-3.1c - Data'!F188</f>
        <v>0</v>
      </c>
      <c r="J699" s="447">
        <f>'JKP-3.1c - Data'!G188</f>
        <v>0</v>
      </c>
      <c r="K699" s="447">
        <f>'JKP-3.1c - Data'!H188</f>
        <v>0</v>
      </c>
      <c r="L699" s="447">
        <f>'JKP-3.1c - Data'!I188</f>
        <v>0</v>
      </c>
      <c r="M699" s="447">
        <f>'JKP-3.1c - Data'!J188</f>
        <v>0</v>
      </c>
      <c r="N699" s="447">
        <f>'JKP-3.1c - Data'!K188</f>
        <v>1255.01</v>
      </c>
      <c r="O699" s="447">
        <f>'JKP-3.1c - Data'!L188</f>
        <v>0</v>
      </c>
      <c r="P699" s="447">
        <f>'JKP-3.1c - Data'!M188</f>
        <v>0</v>
      </c>
      <c r="Q699" s="447">
        <f>'JKP-3.1c - Data'!N188</f>
        <v>0</v>
      </c>
      <c r="R699" s="437">
        <f>SUM(F699:Q699)</f>
        <v>1255.01</v>
      </c>
    </row>
    <row r="700" spans="1:19" x14ac:dyDescent="0.2">
      <c r="B700" s="336" t="s">
        <v>1079</v>
      </c>
      <c r="F700" s="339">
        <f t="shared" ref="F700:N700" si="193">F693+F697</f>
        <v>114281.93285000001</v>
      </c>
      <c r="G700" s="339">
        <f t="shared" si="193"/>
        <v>97571.983310000011</v>
      </c>
      <c r="H700" s="339">
        <f t="shared" si="193"/>
        <v>44675.216549999997</v>
      </c>
      <c r="I700" s="339">
        <f t="shared" si="193"/>
        <v>27170.059979999998</v>
      </c>
      <c r="J700" s="339">
        <f t="shared" si="193"/>
        <v>43419.285960000001</v>
      </c>
      <c r="K700" s="339">
        <f t="shared" si="193"/>
        <v>55963.94932</v>
      </c>
      <c r="L700" s="339">
        <f t="shared" si="193"/>
        <v>37096.37096</v>
      </c>
      <c r="M700" s="339">
        <f t="shared" si="193"/>
        <v>21071.442069999997</v>
      </c>
      <c r="N700" s="339">
        <f t="shared" si="193"/>
        <v>17405.482509999998</v>
      </c>
      <c r="O700" s="339">
        <f>O693+O697</f>
        <v>20232.82387</v>
      </c>
      <c r="P700" s="339">
        <f>P693+P697</f>
        <v>34917.294779999997</v>
      </c>
      <c r="Q700" s="339">
        <f>Q693+Q697</f>
        <v>41832.567080000001</v>
      </c>
      <c r="R700" s="339">
        <f>R693+R697</f>
        <v>555638.40924000007</v>
      </c>
    </row>
    <row r="701" spans="1:19" x14ac:dyDescent="0.2">
      <c r="B701" s="336" t="s">
        <v>986</v>
      </c>
      <c r="F701" s="339">
        <f t="shared" ref="F701:N701" si="194">F688+F692+F693+F694+F698+F699</f>
        <v>142341.52717000002</v>
      </c>
      <c r="G701" s="339">
        <f t="shared" si="194"/>
        <v>122087.39200000001</v>
      </c>
      <c r="H701" s="339">
        <f t="shared" si="194"/>
        <v>56875.464209999998</v>
      </c>
      <c r="I701" s="339">
        <f t="shared" si="194"/>
        <v>35280.87945</v>
      </c>
      <c r="J701" s="339">
        <f t="shared" si="194"/>
        <v>55374.538370000002</v>
      </c>
      <c r="K701" s="339">
        <f t="shared" si="194"/>
        <v>70633.578430000009</v>
      </c>
      <c r="L701" s="339">
        <f t="shared" si="194"/>
        <v>47544.50963</v>
      </c>
      <c r="M701" s="339">
        <f t="shared" si="194"/>
        <v>27889.793169999997</v>
      </c>
      <c r="N701" s="339">
        <f t="shared" si="194"/>
        <v>24650.789129999997</v>
      </c>
      <c r="O701" s="339">
        <f>O688+O692+O693+O694+O698+O699</f>
        <v>26771.699760000003</v>
      </c>
      <c r="P701" s="339">
        <f>P688+P692+P693+P694+P698+P699</f>
        <v>44987.589169999999</v>
      </c>
      <c r="Q701" s="339">
        <f>Q688+Q692+Q693+Q694+Q698+Q699</f>
        <v>53517.454980000002</v>
      </c>
      <c r="R701" s="339">
        <f>R688+R692+R693+R694+R698+R699</f>
        <v>707955.21547000005</v>
      </c>
      <c r="S701" s="340"/>
    </row>
    <row r="702" spans="1:19" x14ac:dyDescent="0.2">
      <c r="F702" s="418"/>
      <c r="G702" s="418"/>
      <c r="H702" s="418"/>
      <c r="I702" s="418"/>
      <c r="J702" s="418"/>
      <c r="K702" s="418"/>
      <c r="L702" s="418"/>
      <c r="M702" s="418"/>
      <c r="N702" s="418"/>
      <c r="O702" s="418"/>
      <c r="P702" s="418"/>
      <c r="Q702" s="418"/>
      <c r="R702" s="437"/>
    </row>
    <row r="703" spans="1:19" x14ac:dyDescent="0.2">
      <c r="A703" s="336" t="s">
        <v>1058</v>
      </c>
      <c r="B703" s="336" t="s">
        <v>1050</v>
      </c>
      <c r="F703" s="418">
        <f>F675*F683+F684*F676</f>
        <v>109339.66894999999</v>
      </c>
      <c r="G703" s="418">
        <f t="shared" ref="G703:Q703" si="195">G675*G683+G684*G676</f>
        <v>93352.23057</v>
      </c>
      <c r="H703" s="418">
        <f t="shared" si="195"/>
        <v>42742.80285</v>
      </c>
      <c r="I703" s="418">
        <f t="shared" si="195"/>
        <v>25994.589059999998</v>
      </c>
      <c r="J703" s="418">
        <f t="shared" si="195"/>
        <v>41541.180119999997</v>
      </c>
      <c r="K703" s="418">
        <f t="shared" si="195"/>
        <v>53543.39804</v>
      </c>
      <c r="L703" s="418">
        <f t="shared" si="195"/>
        <v>35491.67512</v>
      </c>
      <c r="M703" s="418">
        <f t="shared" si="195"/>
        <v>20159.682290000001</v>
      </c>
      <c r="N703" s="418">
        <f t="shared" si="195"/>
        <v>16652.242969999999</v>
      </c>
      <c r="O703" s="418">
        <f t="shared" si="195"/>
        <v>19357.32689</v>
      </c>
      <c r="P703" s="418">
        <f t="shared" si="195"/>
        <v>33406.824659999998</v>
      </c>
      <c r="Q703" s="418">
        <f t="shared" si="195"/>
        <v>40023.072759999995</v>
      </c>
      <c r="R703" s="437">
        <f>SUM(F703:Q703)</f>
        <v>531604.69427999994</v>
      </c>
    </row>
    <row r="704" spans="1:19" x14ac:dyDescent="0.2">
      <c r="F704" s="418"/>
      <c r="G704" s="418"/>
      <c r="H704" s="418"/>
      <c r="I704" s="418"/>
      <c r="J704" s="418"/>
      <c r="K704" s="418"/>
      <c r="L704" s="418"/>
      <c r="M704" s="418"/>
      <c r="N704" s="418"/>
      <c r="O704" s="418"/>
      <c r="P704" s="418"/>
      <c r="Q704" s="418"/>
      <c r="R704" s="437"/>
    </row>
    <row r="705" spans="2:18" x14ac:dyDescent="0.2">
      <c r="B705" s="182" t="s">
        <v>1112</v>
      </c>
      <c r="C705" s="182"/>
    </row>
    <row r="706" spans="2:18" x14ac:dyDescent="0.2">
      <c r="B706" s="182" t="s">
        <v>5</v>
      </c>
      <c r="C706" s="182"/>
    </row>
    <row r="707" spans="2:18" x14ac:dyDescent="0.2">
      <c r="B707" s="336" t="s">
        <v>1059</v>
      </c>
      <c r="D707" s="336">
        <v>87</v>
      </c>
      <c r="E707" s="336" t="s">
        <v>976</v>
      </c>
      <c r="F707" s="450">
        <f t="shared" ref="F707:N707" si="196">F348</f>
        <v>558.41999999999996</v>
      </c>
      <c r="G707" s="450">
        <f t="shared" si="196"/>
        <v>558.41999999999996</v>
      </c>
      <c r="H707" s="450">
        <f t="shared" si="196"/>
        <v>558.41999999999996</v>
      </c>
      <c r="I707" s="450">
        <f t="shared" si="196"/>
        <v>558.41999999999996</v>
      </c>
      <c r="J707" s="450">
        <f t="shared" si="196"/>
        <v>558.41999999999996</v>
      </c>
      <c r="K707" s="450">
        <f t="shared" si="196"/>
        <v>558.41999999999996</v>
      </c>
      <c r="L707" s="450">
        <f t="shared" si="196"/>
        <v>558.41999999999996</v>
      </c>
      <c r="M707" s="450">
        <f t="shared" si="196"/>
        <v>558.41999999999996</v>
      </c>
      <c r="N707" s="450">
        <f t="shared" si="196"/>
        <v>558.41999999999996</v>
      </c>
      <c r="O707" s="450">
        <f>O348</f>
        <v>558.41999999999996</v>
      </c>
      <c r="P707" s="450">
        <f>P348</f>
        <v>558.41999999999996</v>
      </c>
      <c r="Q707" s="450">
        <f>Q348</f>
        <v>558.41999999999996</v>
      </c>
      <c r="R707" s="435"/>
    </row>
    <row r="708" spans="2:18" x14ac:dyDescent="0.2">
      <c r="B708" s="336" t="s">
        <v>1047</v>
      </c>
      <c r="F708" s="448"/>
      <c r="G708" s="448"/>
      <c r="H708" s="448"/>
      <c r="I708" s="448"/>
      <c r="J708" s="448"/>
      <c r="K708" s="448"/>
      <c r="L708" s="448"/>
      <c r="M708" s="448"/>
      <c r="N708" s="448"/>
      <c r="O708" s="448"/>
      <c r="P708" s="448"/>
      <c r="Q708" s="448"/>
      <c r="R708" s="441"/>
    </row>
    <row r="709" spans="2:18" x14ac:dyDescent="0.2">
      <c r="C709" s="336" t="s">
        <v>1086</v>
      </c>
      <c r="D709" s="336">
        <v>87</v>
      </c>
      <c r="E709" s="336" t="s">
        <v>957</v>
      </c>
      <c r="F709" s="448">
        <f t="shared" ref="F709:Q716" si="197">F350</f>
        <v>0.14158000000000001</v>
      </c>
      <c r="G709" s="448">
        <f t="shared" si="197"/>
        <v>0.14158000000000001</v>
      </c>
      <c r="H709" s="448">
        <f t="shared" si="197"/>
        <v>0.14158000000000001</v>
      </c>
      <c r="I709" s="448">
        <f t="shared" si="197"/>
        <v>0.14158000000000001</v>
      </c>
      <c r="J709" s="448">
        <f t="shared" si="197"/>
        <v>0.14158000000000001</v>
      </c>
      <c r="K709" s="448">
        <f t="shared" si="197"/>
        <v>0.14158000000000001</v>
      </c>
      <c r="L709" s="448">
        <f t="shared" si="197"/>
        <v>0.14158000000000001</v>
      </c>
      <c r="M709" s="448">
        <f t="shared" si="197"/>
        <v>0.14158000000000001</v>
      </c>
      <c r="N709" s="448">
        <f t="shared" si="197"/>
        <v>0.14158000000000001</v>
      </c>
      <c r="O709" s="448">
        <f t="shared" si="197"/>
        <v>0.14158000000000001</v>
      </c>
      <c r="P709" s="448">
        <f t="shared" si="197"/>
        <v>0.14158000000000001</v>
      </c>
      <c r="Q709" s="448">
        <f t="shared" si="197"/>
        <v>0.14158000000000001</v>
      </c>
      <c r="R709" s="441"/>
    </row>
    <row r="710" spans="2:18" x14ac:dyDescent="0.2">
      <c r="C710" s="336" t="s">
        <v>1087</v>
      </c>
      <c r="D710" s="336">
        <v>87</v>
      </c>
      <c r="E710" s="336" t="s">
        <v>957</v>
      </c>
      <c r="F710" s="448">
        <f t="shared" si="197"/>
        <v>8.6440000000000003E-2</v>
      </c>
      <c r="G710" s="448">
        <f t="shared" si="197"/>
        <v>8.6440000000000003E-2</v>
      </c>
      <c r="H710" s="448">
        <f t="shared" si="197"/>
        <v>8.6440000000000003E-2</v>
      </c>
      <c r="I710" s="448">
        <f t="shared" si="197"/>
        <v>8.6440000000000003E-2</v>
      </c>
      <c r="J710" s="448">
        <f t="shared" si="197"/>
        <v>8.6440000000000003E-2</v>
      </c>
      <c r="K710" s="448">
        <f t="shared" si="197"/>
        <v>8.6440000000000003E-2</v>
      </c>
      <c r="L710" s="448">
        <f t="shared" si="197"/>
        <v>8.6440000000000003E-2</v>
      </c>
      <c r="M710" s="448">
        <f t="shared" si="197"/>
        <v>8.6440000000000003E-2</v>
      </c>
      <c r="N710" s="448">
        <f t="shared" si="197"/>
        <v>8.6440000000000003E-2</v>
      </c>
      <c r="O710" s="448">
        <f t="shared" si="197"/>
        <v>8.6440000000000003E-2</v>
      </c>
      <c r="P710" s="448">
        <f t="shared" si="197"/>
        <v>8.6440000000000003E-2</v>
      </c>
      <c r="Q710" s="448">
        <f t="shared" si="197"/>
        <v>8.6440000000000003E-2</v>
      </c>
      <c r="R710" s="441"/>
    </row>
    <row r="711" spans="2:18" x14ac:dyDescent="0.2">
      <c r="C711" s="336" t="s">
        <v>1090</v>
      </c>
      <c r="D711" s="336">
        <v>87</v>
      </c>
      <c r="E711" s="336" t="s">
        <v>957</v>
      </c>
      <c r="F711" s="448">
        <f t="shared" si="197"/>
        <v>5.5809999999999998E-2</v>
      </c>
      <c r="G711" s="448">
        <f t="shared" si="197"/>
        <v>5.5809999999999998E-2</v>
      </c>
      <c r="H711" s="448">
        <f t="shared" si="197"/>
        <v>5.5809999999999998E-2</v>
      </c>
      <c r="I711" s="448">
        <f t="shared" si="197"/>
        <v>5.5809999999999998E-2</v>
      </c>
      <c r="J711" s="448">
        <f t="shared" si="197"/>
        <v>5.5809999999999998E-2</v>
      </c>
      <c r="K711" s="448">
        <f t="shared" si="197"/>
        <v>5.5809999999999998E-2</v>
      </c>
      <c r="L711" s="448">
        <f t="shared" si="197"/>
        <v>5.5809999999999998E-2</v>
      </c>
      <c r="M711" s="448">
        <f t="shared" si="197"/>
        <v>5.5809999999999998E-2</v>
      </c>
      <c r="N711" s="448">
        <f t="shared" si="197"/>
        <v>5.5809999999999998E-2</v>
      </c>
      <c r="O711" s="448">
        <f t="shared" si="197"/>
        <v>5.5809999999999998E-2</v>
      </c>
      <c r="P711" s="448">
        <f t="shared" si="197"/>
        <v>5.5809999999999998E-2</v>
      </c>
      <c r="Q711" s="448">
        <f t="shared" si="197"/>
        <v>5.5809999999999998E-2</v>
      </c>
      <c r="R711" s="441"/>
    </row>
    <row r="712" spans="2:18" x14ac:dyDescent="0.2">
      <c r="C712" s="336" t="s">
        <v>1091</v>
      </c>
      <c r="D712" s="336">
        <v>87</v>
      </c>
      <c r="E712" s="336" t="s">
        <v>957</v>
      </c>
      <c r="F712" s="448">
        <f t="shared" si="197"/>
        <v>3.6589999999999998E-2</v>
      </c>
      <c r="G712" s="448">
        <f t="shared" si="197"/>
        <v>3.6589999999999998E-2</v>
      </c>
      <c r="H712" s="448">
        <f t="shared" si="197"/>
        <v>3.6589999999999998E-2</v>
      </c>
      <c r="I712" s="448">
        <f t="shared" si="197"/>
        <v>3.6589999999999998E-2</v>
      </c>
      <c r="J712" s="448">
        <f t="shared" si="197"/>
        <v>3.6589999999999998E-2</v>
      </c>
      <c r="K712" s="448">
        <f t="shared" si="197"/>
        <v>3.6589999999999998E-2</v>
      </c>
      <c r="L712" s="448">
        <f t="shared" si="197"/>
        <v>3.6589999999999998E-2</v>
      </c>
      <c r="M712" s="448">
        <f t="shared" si="197"/>
        <v>3.6589999999999998E-2</v>
      </c>
      <c r="N712" s="448">
        <f t="shared" si="197"/>
        <v>3.6589999999999998E-2</v>
      </c>
      <c r="O712" s="448">
        <f t="shared" si="197"/>
        <v>3.6589999999999998E-2</v>
      </c>
      <c r="P712" s="448">
        <f t="shared" si="197"/>
        <v>3.6589999999999998E-2</v>
      </c>
      <c r="Q712" s="448">
        <f t="shared" si="197"/>
        <v>3.6589999999999998E-2</v>
      </c>
      <c r="R712" s="441"/>
    </row>
    <row r="713" spans="2:18" x14ac:dyDescent="0.2">
      <c r="C713" s="336" t="s">
        <v>1092</v>
      </c>
      <c r="D713" s="336">
        <v>87</v>
      </c>
      <c r="E713" s="336" t="s">
        <v>957</v>
      </c>
      <c r="F713" s="448">
        <f t="shared" si="197"/>
        <v>2.6950000000000002E-2</v>
      </c>
      <c r="G713" s="448">
        <f t="shared" si="197"/>
        <v>2.6950000000000002E-2</v>
      </c>
      <c r="H713" s="448">
        <f t="shared" si="197"/>
        <v>2.6950000000000002E-2</v>
      </c>
      <c r="I713" s="448">
        <f t="shared" si="197"/>
        <v>2.6950000000000002E-2</v>
      </c>
      <c r="J713" s="448">
        <f t="shared" si="197"/>
        <v>2.6950000000000002E-2</v>
      </c>
      <c r="K713" s="448">
        <f t="shared" si="197"/>
        <v>2.6950000000000002E-2</v>
      </c>
      <c r="L713" s="448">
        <f t="shared" si="197"/>
        <v>2.6950000000000002E-2</v>
      </c>
      <c r="M713" s="448">
        <f t="shared" si="197"/>
        <v>2.6950000000000002E-2</v>
      </c>
      <c r="N713" s="448">
        <f t="shared" si="197"/>
        <v>2.6950000000000002E-2</v>
      </c>
      <c r="O713" s="448">
        <f t="shared" si="197"/>
        <v>2.6950000000000002E-2</v>
      </c>
      <c r="P713" s="448">
        <f t="shared" si="197"/>
        <v>2.6950000000000002E-2</v>
      </c>
      <c r="Q713" s="448">
        <f t="shared" si="197"/>
        <v>2.6950000000000002E-2</v>
      </c>
      <c r="R713" s="441"/>
    </row>
    <row r="714" spans="2:18" x14ac:dyDescent="0.2">
      <c r="C714" s="336" t="s">
        <v>1093</v>
      </c>
      <c r="D714" s="336">
        <v>87</v>
      </c>
      <c r="E714" s="336" t="s">
        <v>957</v>
      </c>
      <c r="F714" s="448">
        <f t="shared" si="197"/>
        <v>2.129E-2</v>
      </c>
      <c r="G714" s="448">
        <f t="shared" si="197"/>
        <v>2.129E-2</v>
      </c>
      <c r="H714" s="448">
        <f t="shared" si="197"/>
        <v>2.129E-2</v>
      </c>
      <c r="I714" s="448">
        <f t="shared" si="197"/>
        <v>2.129E-2</v>
      </c>
      <c r="J714" s="448">
        <f t="shared" si="197"/>
        <v>2.129E-2</v>
      </c>
      <c r="K714" s="448">
        <f t="shared" si="197"/>
        <v>2.129E-2</v>
      </c>
      <c r="L714" s="448">
        <f t="shared" si="197"/>
        <v>2.129E-2</v>
      </c>
      <c r="M714" s="448">
        <f t="shared" si="197"/>
        <v>2.129E-2</v>
      </c>
      <c r="N714" s="448">
        <f t="shared" si="197"/>
        <v>2.129E-2</v>
      </c>
      <c r="O714" s="448">
        <f t="shared" si="197"/>
        <v>2.129E-2</v>
      </c>
      <c r="P714" s="448">
        <f t="shared" si="197"/>
        <v>2.129E-2</v>
      </c>
      <c r="Q714" s="448">
        <f t="shared" si="197"/>
        <v>2.129E-2</v>
      </c>
      <c r="R714" s="441"/>
    </row>
    <row r="715" spans="2:18" x14ac:dyDescent="0.2">
      <c r="B715" s="336" t="s">
        <v>1067</v>
      </c>
      <c r="D715" s="336">
        <v>101</v>
      </c>
      <c r="E715" s="336" t="s">
        <v>957</v>
      </c>
      <c r="F715" s="448">
        <f t="shared" si="197"/>
        <v>0.65951000000000004</v>
      </c>
      <c r="G715" s="448">
        <f t="shared" si="197"/>
        <v>0.65951000000000004</v>
      </c>
      <c r="H715" s="448">
        <f t="shared" si="197"/>
        <v>0.65951000000000004</v>
      </c>
      <c r="I715" s="448">
        <f t="shared" si="197"/>
        <v>0.65951000000000004</v>
      </c>
      <c r="J715" s="448">
        <f t="shared" si="197"/>
        <v>0.65951000000000004</v>
      </c>
      <c r="K715" s="448">
        <f t="shared" si="197"/>
        <v>0.65951000000000004</v>
      </c>
      <c r="L715" s="448">
        <f t="shared" si="197"/>
        <v>0.65951000000000004</v>
      </c>
      <c r="M715" s="448">
        <f t="shared" si="197"/>
        <v>0.65951000000000004</v>
      </c>
      <c r="N715" s="448">
        <f t="shared" si="197"/>
        <v>0.65951000000000004</v>
      </c>
      <c r="O715" s="448">
        <f t="shared" si="197"/>
        <v>0.65951000000000004</v>
      </c>
      <c r="P715" s="448">
        <f t="shared" si="197"/>
        <v>0.65951000000000004</v>
      </c>
      <c r="Q715" s="448">
        <f t="shared" si="197"/>
        <v>0.65951000000000004</v>
      </c>
      <c r="R715" s="441"/>
    </row>
    <row r="716" spans="2:18" x14ac:dyDescent="0.2">
      <c r="B716" s="336" t="s">
        <v>1096</v>
      </c>
      <c r="D716" s="382">
        <v>87</v>
      </c>
      <c r="E716" s="336" t="s">
        <v>957</v>
      </c>
      <c r="F716" s="448">
        <f t="shared" si="197"/>
        <v>5.1999999999999998E-3</v>
      </c>
      <c r="G716" s="448">
        <f t="shared" si="197"/>
        <v>5.1999999999999998E-3</v>
      </c>
      <c r="H716" s="448">
        <f t="shared" si="197"/>
        <v>5.1999999999999998E-3</v>
      </c>
      <c r="I716" s="448">
        <f t="shared" si="197"/>
        <v>5.1999999999999998E-3</v>
      </c>
      <c r="J716" s="448">
        <f t="shared" si="197"/>
        <v>5.1999999999999998E-3</v>
      </c>
      <c r="K716" s="448">
        <f t="shared" si="197"/>
        <v>5.1999999999999998E-3</v>
      </c>
      <c r="L716" s="448">
        <f t="shared" si="197"/>
        <v>5.1999999999999998E-3</v>
      </c>
      <c r="M716" s="448">
        <f t="shared" si="197"/>
        <v>5.1999999999999998E-3</v>
      </c>
      <c r="N716" s="448">
        <f t="shared" si="197"/>
        <v>5.1999999999999998E-3</v>
      </c>
      <c r="O716" s="448">
        <f t="shared" si="197"/>
        <v>5.1999999999999998E-3</v>
      </c>
      <c r="P716" s="448">
        <f t="shared" si="197"/>
        <v>5.1999999999999998E-3</v>
      </c>
      <c r="Q716" s="448">
        <f t="shared" si="197"/>
        <v>5.1999999999999998E-3</v>
      </c>
      <c r="R716" s="441"/>
    </row>
    <row r="717" spans="2:18" x14ac:dyDescent="0.2">
      <c r="B717" s="336" t="s">
        <v>1068</v>
      </c>
      <c r="F717" s="441"/>
      <c r="G717" s="441"/>
      <c r="H717" s="441"/>
      <c r="I717" s="441"/>
      <c r="J717" s="441"/>
      <c r="K717" s="441"/>
      <c r="L717" s="441"/>
      <c r="M717" s="441"/>
      <c r="N717" s="441"/>
      <c r="O717" s="441"/>
      <c r="P717" s="441"/>
      <c r="Q717" s="441"/>
      <c r="R717" s="441"/>
    </row>
    <row r="718" spans="2:18" x14ac:dyDescent="0.2">
      <c r="C718" s="336" t="s">
        <v>1069</v>
      </c>
      <c r="D718" s="336">
        <v>87</v>
      </c>
      <c r="E718" s="336" t="s">
        <v>957</v>
      </c>
      <c r="F718" s="460">
        <f t="shared" ref="F718:Q719" si="198">F359</f>
        <v>1.1399999999999999</v>
      </c>
      <c r="G718" s="460">
        <f t="shared" si="198"/>
        <v>1.1399999999999999</v>
      </c>
      <c r="H718" s="460">
        <f t="shared" si="198"/>
        <v>1.1399999999999999</v>
      </c>
      <c r="I718" s="460">
        <f t="shared" si="198"/>
        <v>1.1399999999999999</v>
      </c>
      <c r="J718" s="460">
        <f t="shared" si="198"/>
        <v>1.1399999999999999</v>
      </c>
      <c r="K718" s="460">
        <f t="shared" si="198"/>
        <v>1.1399999999999999</v>
      </c>
      <c r="L718" s="460">
        <f t="shared" si="198"/>
        <v>1.1399999999999999</v>
      </c>
      <c r="M718" s="460">
        <f t="shared" si="198"/>
        <v>1.1399999999999999</v>
      </c>
      <c r="N718" s="460">
        <f t="shared" si="198"/>
        <v>1.1399999999999999</v>
      </c>
      <c r="O718" s="460">
        <f t="shared" si="198"/>
        <v>1.1399999999999999</v>
      </c>
      <c r="P718" s="460">
        <f t="shared" si="198"/>
        <v>1.1399999999999999</v>
      </c>
      <c r="Q718" s="460">
        <f t="shared" si="198"/>
        <v>1.1399999999999999</v>
      </c>
      <c r="R718" s="441"/>
    </row>
    <row r="719" spans="2:18" x14ac:dyDescent="0.2">
      <c r="C719" s="336" t="s">
        <v>1070</v>
      </c>
      <c r="D719" s="336">
        <v>101</v>
      </c>
      <c r="E719" s="336" t="s">
        <v>957</v>
      </c>
      <c r="F719" s="450">
        <f t="shared" si="198"/>
        <v>1.05</v>
      </c>
      <c r="G719" s="450">
        <f t="shared" si="198"/>
        <v>1.05</v>
      </c>
      <c r="H719" s="450">
        <f t="shared" si="198"/>
        <v>1.05</v>
      </c>
      <c r="I719" s="450">
        <f t="shared" si="198"/>
        <v>1.05</v>
      </c>
      <c r="J719" s="450">
        <f t="shared" si="198"/>
        <v>1.05</v>
      </c>
      <c r="K719" s="450">
        <f t="shared" si="198"/>
        <v>1.05</v>
      </c>
      <c r="L719" s="450">
        <f t="shared" si="198"/>
        <v>1.05</v>
      </c>
      <c r="M719" s="450">
        <f t="shared" si="198"/>
        <v>1.05</v>
      </c>
      <c r="N719" s="450">
        <f t="shared" si="198"/>
        <v>1.05</v>
      </c>
      <c r="O719" s="450">
        <f t="shared" si="198"/>
        <v>1.05</v>
      </c>
      <c r="P719" s="450">
        <f t="shared" si="198"/>
        <v>1.05</v>
      </c>
      <c r="Q719" s="450">
        <f t="shared" si="198"/>
        <v>1.05</v>
      </c>
      <c r="R719" s="441"/>
    </row>
    <row r="720" spans="2:18" x14ac:dyDescent="0.2">
      <c r="B720" s="336" t="s">
        <v>1071</v>
      </c>
      <c r="D720" s="336">
        <v>87</v>
      </c>
      <c r="E720" s="336" t="s">
        <v>67</v>
      </c>
      <c r="F720" s="450"/>
      <c r="G720" s="450"/>
      <c r="H720" s="442"/>
      <c r="I720" s="450"/>
      <c r="J720" s="450"/>
      <c r="K720" s="450"/>
      <c r="L720" s="450"/>
      <c r="M720" s="450"/>
      <c r="N720" s="450"/>
      <c r="O720" s="450"/>
      <c r="P720" s="450"/>
      <c r="Q720" s="450"/>
      <c r="R720" s="441"/>
    </row>
    <row r="721" spans="2:18" x14ac:dyDescent="0.2">
      <c r="B721" s="336" t="s">
        <v>1050</v>
      </c>
      <c r="F721" s="450">
        <f>F362</f>
        <v>0.63099000000000005</v>
      </c>
      <c r="G721" s="450">
        <f t="shared" ref="G721:Q722" si="199">G362</f>
        <v>0.63099000000000005</v>
      </c>
      <c r="H721" s="450">
        <f t="shared" si="199"/>
        <v>0.63099000000000005</v>
      </c>
      <c r="I721" s="450">
        <f t="shared" si="199"/>
        <v>0.63099000000000005</v>
      </c>
      <c r="J721" s="450">
        <f t="shared" si="199"/>
        <v>0.63099000000000005</v>
      </c>
      <c r="K721" s="450">
        <f t="shared" si="199"/>
        <v>0.63099000000000005</v>
      </c>
      <c r="L721" s="450">
        <f t="shared" si="199"/>
        <v>0.63099000000000005</v>
      </c>
      <c r="M721" s="450">
        <f t="shared" si="199"/>
        <v>0.63099000000000005</v>
      </c>
      <c r="N721" s="450">
        <f t="shared" si="199"/>
        <v>0.63099000000000005</v>
      </c>
      <c r="O721" s="450">
        <f t="shared" si="199"/>
        <v>0.63099000000000005</v>
      </c>
      <c r="P721" s="450">
        <f t="shared" si="199"/>
        <v>0.63099000000000005</v>
      </c>
      <c r="Q721" s="450">
        <f t="shared" si="199"/>
        <v>0.63099000000000005</v>
      </c>
      <c r="R721" s="441"/>
    </row>
    <row r="722" spans="2:18" x14ac:dyDescent="0.2">
      <c r="B722" s="336" t="s">
        <v>1072</v>
      </c>
      <c r="F722" s="670">
        <f>F363</f>
        <v>1</v>
      </c>
      <c r="G722" s="670">
        <f t="shared" si="199"/>
        <v>1</v>
      </c>
      <c r="H722" s="670">
        <f t="shared" si="199"/>
        <v>1</v>
      </c>
      <c r="I722" s="670">
        <f t="shared" si="199"/>
        <v>1</v>
      </c>
      <c r="J722" s="670">
        <f t="shared" si="199"/>
        <v>1</v>
      </c>
      <c r="K722" s="670">
        <f t="shared" si="199"/>
        <v>1</v>
      </c>
      <c r="L722" s="670">
        <f t="shared" si="199"/>
        <v>1</v>
      </c>
      <c r="M722" s="670">
        <f t="shared" si="199"/>
        <v>1</v>
      </c>
      <c r="N722" s="670">
        <f t="shared" si="199"/>
        <v>1</v>
      </c>
      <c r="O722" s="670">
        <f t="shared" si="199"/>
        <v>1</v>
      </c>
      <c r="P722" s="670">
        <f t="shared" si="199"/>
        <v>1</v>
      </c>
      <c r="Q722" s="670">
        <f t="shared" si="199"/>
        <v>1</v>
      </c>
      <c r="R722" s="441"/>
    </row>
    <row r="724" spans="2:18" x14ac:dyDescent="0.2">
      <c r="B724" s="182" t="s">
        <v>982</v>
      </c>
    </row>
    <row r="725" spans="2:18" x14ac:dyDescent="0.2">
      <c r="B725" s="336" t="s">
        <v>67</v>
      </c>
      <c r="E725" s="336" t="s">
        <v>67</v>
      </c>
      <c r="F725" s="421">
        <f>'JKP-3.1c - Data'!C154</f>
        <v>1</v>
      </c>
      <c r="G725" s="421">
        <f>'JKP-3.1c - Data'!D154</f>
        <v>1</v>
      </c>
      <c r="H725" s="421">
        <f>'JKP-3.1c - Data'!E154</f>
        <v>2</v>
      </c>
      <c r="I725" s="421">
        <f>'JKP-3.1c - Data'!F154</f>
        <v>0</v>
      </c>
      <c r="J725" s="421">
        <f>'JKP-3.1c - Data'!G154</f>
        <v>1</v>
      </c>
      <c r="K725" s="421">
        <f>'JKP-3.1c - Data'!H154</f>
        <v>2</v>
      </c>
      <c r="L725" s="421">
        <f>'JKP-3.1c - Data'!I154</f>
        <v>1</v>
      </c>
      <c r="M725" s="421">
        <f>'JKP-3.1c - Data'!J154</f>
        <v>0</v>
      </c>
      <c r="N725" s="421">
        <f>'JKP-3.1c - Data'!K154</f>
        <v>2</v>
      </c>
      <c r="O725" s="421">
        <f>'JKP-3.1c - Data'!L154</f>
        <v>1</v>
      </c>
      <c r="P725" s="421">
        <f>'JKP-3.1c - Data'!M154</f>
        <v>0</v>
      </c>
      <c r="Q725" s="421">
        <f>'JKP-3.1c - Data'!N154</f>
        <v>1</v>
      </c>
      <c r="R725" s="378">
        <f>SUM(F725:Q725)</f>
        <v>12</v>
      </c>
    </row>
    <row r="726" spans="2:18" x14ac:dyDescent="0.2">
      <c r="B726" s="336" t="s">
        <v>76</v>
      </c>
      <c r="F726" s="380"/>
      <c r="G726" s="380"/>
      <c r="H726" s="380"/>
      <c r="I726" s="380"/>
      <c r="J726" s="380"/>
      <c r="K726" s="380"/>
      <c r="L726" s="380"/>
      <c r="M726" s="380"/>
      <c r="N726" s="380"/>
      <c r="O726" s="380"/>
      <c r="P726" s="380"/>
      <c r="Q726" s="380"/>
      <c r="R726" s="378"/>
    </row>
    <row r="727" spans="2:18" x14ac:dyDescent="0.2">
      <c r="C727" s="336" t="s">
        <v>1086</v>
      </c>
      <c r="E727" s="336" t="s">
        <v>10</v>
      </c>
      <c r="F727" s="421">
        <f>'JKP-3.1c - Rev Rates GTI10'!F727</f>
        <v>25000</v>
      </c>
      <c r="G727" s="421">
        <f>'JKP-3.1c - Rev Rates GTI10'!G727</f>
        <v>25000</v>
      </c>
      <c r="H727" s="421">
        <f>'JKP-3.1c - Rev Rates GTI10'!H727</f>
        <v>25000</v>
      </c>
      <c r="I727" s="421">
        <f>'JKP-3.1c - Rev Rates GTI10'!I727</f>
        <v>25000</v>
      </c>
      <c r="J727" s="421">
        <f>'JKP-3.1c - Rev Rates GTI10'!J727</f>
        <v>25000</v>
      </c>
      <c r="K727" s="421">
        <f>'JKP-3.1c - Rev Rates GTI10'!K727</f>
        <v>25000</v>
      </c>
      <c r="L727" s="421">
        <f>'JKP-3.1c - Rev Rates GTI10'!L727</f>
        <v>25000</v>
      </c>
      <c r="M727" s="421">
        <f>'JKP-3.1c - Rev Rates GTI10'!M727</f>
        <v>25000</v>
      </c>
      <c r="N727" s="421">
        <f>'JKP-3.1c - Rev Rates GTI10'!N727</f>
        <v>25000</v>
      </c>
      <c r="O727" s="421">
        <f>'JKP-3.1c - Rev Rates GTI10'!O727</f>
        <v>25000</v>
      </c>
      <c r="P727" s="421">
        <f>'JKP-3.1c - Rev Rates GTI10'!P727</f>
        <v>25000</v>
      </c>
      <c r="Q727" s="421">
        <f>'JKP-3.1c - Rev Rates GTI10'!Q727</f>
        <v>25000</v>
      </c>
      <c r="R727" s="378">
        <f t="shared" ref="R727:R732" si="200">SUM(F727:Q727)</f>
        <v>300000</v>
      </c>
    </row>
    <row r="728" spans="2:18" x14ac:dyDescent="0.2">
      <c r="C728" s="336" t="s">
        <v>1087</v>
      </c>
      <c r="E728" s="336" t="s">
        <v>10</v>
      </c>
      <c r="F728" s="421">
        <f>'JKP-3.1c - Rev Rates GTI10'!F728</f>
        <v>25000</v>
      </c>
      <c r="G728" s="421">
        <f>'JKP-3.1c - Rev Rates GTI10'!G728</f>
        <v>25000</v>
      </c>
      <c r="H728" s="421">
        <f>'JKP-3.1c - Rev Rates GTI10'!H728</f>
        <v>25000</v>
      </c>
      <c r="I728" s="421">
        <f>'JKP-3.1c - Rev Rates GTI10'!I728</f>
        <v>25000</v>
      </c>
      <c r="J728" s="421">
        <f>'JKP-3.1c - Rev Rates GTI10'!J728</f>
        <v>25000</v>
      </c>
      <c r="K728" s="421">
        <f>'JKP-3.1c - Rev Rates GTI10'!K728</f>
        <v>25000</v>
      </c>
      <c r="L728" s="421">
        <f>'JKP-3.1c - Rev Rates GTI10'!L728</f>
        <v>25000</v>
      </c>
      <c r="M728" s="421">
        <f>'JKP-3.1c - Rev Rates GTI10'!M728</f>
        <v>25000</v>
      </c>
      <c r="N728" s="421">
        <f>'JKP-3.1c - Rev Rates GTI10'!N728</f>
        <v>25000</v>
      </c>
      <c r="O728" s="421">
        <f>'JKP-3.1c - Rev Rates GTI10'!O728</f>
        <v>25000</v>
      </c>
      <c r="P728" s="421">
        <f>'JKP-3.1c - Rev Rates GTI10'!P728</f>
        <v>25000</v>
      </c>
      <c r="Q728" s="421">
        <f>'JKP-3.1c - Rev Rates GTI10'!Q728</f>
        <v>25000</v>
      </c>
      <c r="R728" s="378">
        <f t="shared" si="200"/>
        <v>300000</v>
      </c>
    </row>
    <row r="729" spans="2:18" x14ac:dyDescent="0.2">
      <c r="C729" s="336" t="s">
        <v>1090</v>
      </c>
      <c r="E729" s="336" t="s">
        <v>10</v>
      </c>
      <c r="F729" s="421">
        <f>'JKP-3.1c - Rev Rates GTI10'!F729</f>
        <v>33770</v>
      </c>
      <c r="G729" s="421">
        <f>'JKP-3.1c - Rev Rates GTI10'!G729</f>
        <v>50000</v>
      </c>
      <c r="H729" s="421">
        <f>'JKP-3.1c - Rev Rates GTI10'!H729</f>
        <v>50000</v>
      </c>
      <c r="I729" s="421">
        <f>'JKP-3.1c - Rev Rates GTI10'!I729</f>
        <v>50000</v>
      </c>
      <c r="J729" s="421">
        <f>'JKP-3.1c - Rev Rates GTI10'!J729</f>
        <v>50000</v>
      </c>
      <c r="K729" s="421">
        <f>'JKP-3.1c - Rev Rates GTI10'!K729</f>
        <v>50000</v>
      </c>
      <c r="L729" s="421">
        <f>'JKP-3.1c - Rev Rates GTI10'!L729</f>
        <v>50000</v>
      </c>
      <c r="M729" s="421">
        <f>'JKP-3.1c - Rev Rates GTI10'!M729</f>
        <v>50000</v>
      </c>
      <c r="N729" s="421">
        <f>'JKP-3.1c - Rev Rates GTI10'!N729</f>
        <v>50000</v>
      </c>
      <c r="O729" s="421">
        <f>'JKP-3.1c - Rev Rates GTI10'!O729</f>
        <v>50000</v>
      </c>
      <c r="P729" s="421">
        <f>'JKP-3.1c - Rev Rates GTI10'!P729</f>
        <v>50000</v>
      </c>
      <c r="Q729" s="421">
        <f>'JKP-3.1c - Rev Rates GTI10'!Q729</f>
        <v>50000</v>
      </c>
      <c r="R729" s="378">
        <f t="shared" si="200"/>
        <v>583770</v>
      </c>
    </row>
    <row r="730" spans="2:18" x14ac:dyDescent="0.2">
      <c r="C730" s="336" t="s">
        <v>1091</v>
      </c>
      <c r="E730" s="336" t="s">
        <v>10</v>
      </c>
      <c r="F730" s="421">
        <f>'JKP-3.1c - Rev Rates GTI10'!F730</f>
        <v>0</v>
      </c>
      <c r="G730" s="421">
        <f>'JKP-3.1c - Rev Rates GTI10'!G730</f>
        <v>15393</v>
      </c>
      <c r="H730" s="421">
        <f>'JKP-3.1c - Rev Rates GTI10'!H730</f>
        <v>18389</v>
      </c>
      <c r="I730" s="421">
        <f>'JKP-3.1c - Rev Rates GTI10'!I730</f>
        <v>48227</v>
      </c>
      <c r="J730" s="421">
        <f>'JKP-3.1c - Rev Rates GTI10'!J730</f>
        <v>72767</v>
      </c>
      <c r="K730" s="421">
        <f>'JKP-3.1c - Rev Rates GTI10'!K730</f>
        <v>30945</v>
      </c>
      <c r="L730" s="421">
        <f>'JKP-3.1c - Rev Rates GTI10'!L730</f>
        <v>5034</v>
      </c>
      <c r="M730" s="421">
        <f>'JKP-3.1c - Rev Rates GTI10'!M730</f>
        <v>53481</v>
      </c>
      <c r="N730" s="421">
        <f>'JKP-3.1c - Rev Rates GTI10'!N730</f>
        <v>100000</v>
      </c>
      <c r="O730" s="421">
        <f>'JKP-3.1c - Rev Rates GTI10'!O730</f>
        <v>100000</v>
      </c>
      <c r="P730" s="421">
        <f>'JKP-3.1c - Rev Rates GTI10'!P730</f>
        <v>100000</v>
      </c>
      <c r="Q730" s="421">
        <f>'JKP-3.1c - Rev Rates GTI10'!Q730</f>
        <v>36423</v>
      </c>
      <c r="R730" s="378">
        <f t="shared" si="200"/>
        <v>580659</v>
      </c>
    </row>
    <row r="731" spans="2:18" x14ac:dyDescent="0.2">
      <c r="C731" s="336" t="s">
        <v>1092</v>
      </c>
      <c r="E731" s="336" t="s">
        <v>10</v>
      </c>
      <c r="F731" s="421">
        <f>'JKP-3.1c - Rev Rates GTI10'!F731</f>
        <v>0</v>
      </c>
      <c r="G731" s="421">
        <f>'JKP-3.1c - Rev Rates GTI10'!G731</f>
        <v>0</v>
      </c>
      <c r="H731" s="421">
        <f>'JKP-3.1c - Rev Rates GTI10'!H731</f>
        <v>0</v>
      </c>
      <c r="I731" s="421">
        <f>'JKP-3.1c - Rev Rates GTI10'!I731</f>
        <v>0</v>
      </c>
      <c r="J731" s="421">
        <f>'JKP-3.1c - Rev Rates GTI10'!J731</f>
        <v>0</v>
      </c>
      <c r="K731" s="421">
        <f>'JKP-3.1c - Rev Rates GTI10'!K731</f>
        <v>0</v>
      </c>
      <c r="L731" s="421">
        <f>'JKP-3.1c - Rev Rates GTI10'!L731</f>
        <v>0</v>
      </c>
      <c r="M731" s="421">
        <f>'JKP-3.1c - Rev Rates GTI10'!M731</f>
        <v>0</v>
      </c>
      <c r="N731" s="421">
        <f>'JKP-3.1c - Rev Rates GTI10'!N731</f>
        <v>237</v>
      </c>
      <c r="O731" s="421">
        <f>'JKP-3.1c - Rev Rates GTI10'!O731</f>
        <v>22364</v>
      </c>
      <c r="P731" s="421">
        <f>'JKP-3.1c - Rev Rates GTI10'!P731</f>
        <v>2008</v>
      </c>
      <c r="Q731" s="421">
        <f>'JKP-3.1c - Rev Rates GTI10'!Q731</f>
        <v>0</v>
      </c>
      <c r="R731" s="378">
        <f t="shared" si="200"/>
        <v>24609</v>
      </c>
    </row>
    <row r="732" spans="2:18" x14ac:dyDescent="0.2">
      <c r="C732" s="336" t="s">
        <v>1093</v>
      </c>
      <c r="E732" s="336" t="s">
        <v>10</v>
      </c>
      <c r="F732" s="378">
        <f t="shared" ref="F732:N732" si="201">F733-SUM(F727:F731)</f>
        <v>0</v>
      </c>
      <c r="G732" s="378">
        <f t="shared" si="201"/>
        <v>0</v>
      </c>
      <c r="H732" s="378">
        <f t="shared" si="201"/>
        <v>0</v>
      </c>
      <c r="I732" s="378">
        <f t="shared" si="201"/>
        <v>0</v>
      </c>
      <c r="J732" s="378">
        <f t="shared" si="201"/>
        <v>0</v>
      </c>
      <c r="K732" s="378">
        <f t="shared" si="201"/>
        <v>0</v>
      </c>
      <c r="L732" s="378">
        <f t="shared" si="201"/>
        <v>0</v>
      </c>
      <c r="M732" s="378">
        <f t="shared" si="201"/>
        <v>0</v>
      </c>
      <c r="N732" s="378">
        <f t="shared" si="201"/>
        <v>0</v>
      </c>
      <c r="O732" s="378">
        <f>O733-SUM(O727:O731)</f>
        <v>0</v>
      </c>
      <c r="P732" s="378">
        <f>P733-SUM(P727:P731)</f>
        <v>0</v>
      </c>
      <c r="Q732" s="378">
        <f>Q733-SUM(Q727:Q731)</f>
        <v>0</v>
      </c>
      <c r="R732" s="378">
        <f t="shared" si="200"/>
        <v>0</v>
      </c>
    </row>
    <row r="733" spans="2:18" x14ac:dyDescent="0.2">
      <c r="C733" s="336" t="s">
        <v>1075</v>
      </c>
      <c r="E733" s="336" t="s">
        <v>10</v>
      </c>
      <c r="F733" s="445">
        <f>'JKP-3.1c - Weather Adj'!D169</f>
        <v>83770</v>
      </c>
      <c r="G733" s="445">
        <f>'JKP-3.1c - Weather Adj'!E169</f>
        <v>115393</v>
      </c>
      <c r="H733" s="445">
        <f>'JKP-3.1c - Weather Adj'!F169</f>
        <v>118389</v>
      </c>
      <c r="I733" s="445">
        <f>'JKP-3.1c - Weather Adj'!G169</f>
        <v>148227</v>
      </c>
      <c r="J733" s="445">
        <f>'JKP-3.1c - Weather Adj'!H169</f>
        <v>172767</v>
      </c>
      <c r="K733" s="445">
        <f>'JKP-3.1c - Weather Adj'!I169</f>
        <v>130945</v>
      </c>
      <c r="L733" s="445">
        <f>'JKP-3.1c - Weather Adj'!J169</f>
        <v>105034</v>
      </c>
      <c r="M733" s="445">
        <f>'JKP-3.1c - Weather Adj'!K169</f>
        <v>153481</v>
      </c>
      <c r="N733" s="445">
        <f>'JKP-3.1c - Weather Adj'!L169</f>
        <v>200237</v>
      </c>
      <c r="O733" s="445">
        <f>'JKP-3.1c - Weather Adj'!M169</f>
        <v>222364</v>
      </c>
      <c r="P733" s="445">
        <f>'JKP-3.1c - Weather Adj'!N169</f>
        <v>202008</v>
      </c>
      <c r="Q733" s="445">
        <f>'JKP-3.1c - Weather Adj'!O169</f>
        <v>136423</v>
      </c>
      <c r="R733" s="436">
        <f>SUM(R727:R732)</f>
        <v>1789038</v>
      </c>
    </row>
    <row r="734" spans="2:18" x14ac:dyDescent="0.2">
      <c r="B734" s="336" t="s">
        <v>74</v>
      </c>
      <c r="E734" s="336" t="s">
        <v>1076</v>
      </c>
      <c r="F734" s="421">
        <f>'JKP-3.1c - Data'!C174</f>
        <v>0</v>
      </c>
      <c r="G734" s="421">
        <f>'JKP-3.1c - Data'!D174</f>
        <v>0</v>
      </c>
      <c r="H734" s="421">
        <f>'JKP-3.1c - Data'!E174</f>
        <v>0</v>
      </c>
      <c r="I734" s="421">
        <f>'JKP-3.1c - Data'!F174</f>
        <v>0</v>
      </c>
      <c r="J734" s="421">
        <f>'JKP-3.1c - Data'!G174</f>
        <v>0</v>
      </c>
      <c r="K734" s="421">
        <f>'JKP-3.1c - Data'!H174</f>
        <v>0</v>
      </c>
      <c r="L734" s="421">
        <f>'JKP-3.1c - Data'!I174</f>
        <v>0</v>
      </c>
      <c r="M734" s="421">
        <f>'JKP-3.1c - Data'!J174</f>
        <v>0</v>
      </c>
      <c r="N734" s="421">
        <f>'JKP-3.1c - Data'!K174</f>
        <v>0</v>
      </c>
      <c r="O734" s="421">
        <f>'JKP-3.1c - Data'!L174</f>
        <v>0</v>
      </c>
      <c r="P734" s="421">
        <f>'JKP-3.1c - Data'!M174</f>
        <v>0</v>
      </c>
      <c r="Q734" s="421">
        <f>'JKP-3.1c - Data'!N174</f>
        <v>0</v>
      </c>
      <c r="R734" s="378">
        <f>SUM(F734:Q734)</f>
        <v>0</v>
      </c>
    </row>
    <row r="735" spans="2:18" x14ac:dyDescent="0.2">
      <c r="B735" s="336" t="s">
        <v>1071</v>
      </c>
      <c r="F735" s="380"/>
      <c r="G735" s="380"/>
      <c r="H735" s="380"/>
      <c r="I735" s="380"/>
      <c r="J735" s="380"/>
      <c r="K735" s="380"/>
      <c r="L735" s="380"/>
      <c r="M735" s="380"/>
      <c r="N735" s="380"/>
      <c r="O735" s="380"/>
      <c r="P735" s="380"/>
      <c r="Q735" s="380"/>
      <c r="R735" s="378"/>
    </row>
    <row r="736" spans="2:18" x14ac:dyDescent="0.2">
      <c r="R736" s="179"/>
    </row>
    <row r="737" spans="1:18" x14ac:dyDescent="0.2">
      <c r="B737" s="182" t="s">
        <v>985</v>
      </c>
      <c r="R737" s="179"/>
    </row>
    <row r="738" spans="1:18" x14ac:dyDescent="0.2">
      <c r="A738" s="336" t="s">
        <v>1054</v>
      </c>
      <c r="B738" s="336" t="s">
        <v>1059</v>
      </c>
      <c r="D738" s="336">
        <v>87</v>
      </c>
      <c r="F738" s="418">
        <f t="shared" ref="F738:N738" si="202">F707*F725</f>
        <v>558.41999999999996</v>
      </c>
      <c r="G738" s="418">
        <f t="shared" si="202"/>
        <v>558.41999999999996</v>
      </c>
      <c r="H738" s="418">
        <f t="shared" si="202"/>
        <v>1116.8399999999999</v>
      </c>
      <c r="I738" s="418">
        <f t="shared" si="202"/>
        <v>0</v>
      </c>
      <c r="J738" s="418">
        <f t="shared" si="202"/>
        <v>558.41999999999996</v>
      </c>
      <c r="K738" s="418">
        <f t="shared" si="202"/>
        <v>1116.8399999999999</v>
      </c>
      <c r="L738" s="418">
        <f t="shared" si="202"/>
        <v>558.41999999999996</v>
      </c>
      <c r="M738" s="418">
        <f t="shared" si="202"/>
        <v>0</v>
      </c>
      <c r="N738" s="418">
        <f t="shared" si="202"/>
        <v>1116.8399999999999</v>
      </c>
      <c r="O738" s="418">
        <f>O707*O725</f>
        <v>558.41999999999996</v>
      </c>
      <c r="P738" s="418">
        <f>P707*P725</f>
        <v>0</v>
      </c>
      <c r="Q738" s="418">
        <f>Q707*Q725</f>
        <v>558.41999999999996</v>
      </c>
      <c r="R738" s="437">
        <f>SUM(F738:Q738)</f>
        <v>6701.04</v>
      </c>
    </row>
    <row r="739" spans="1:18" x14ac:dyDescent="0.2">
      <c r="B739" s="336" t="s">
        <v>1047</v>
      </c>
      <c r="F739" s="418"/>
      <c r="G739" s="418"/>
      <c r="H739" s="418"/>
      <c r="I739" s="418"/>
      <c r="J739" s="418"/>
      <c r="K739" s="418"/>
      <c r="L739" s="418"/>
      <c r="M739" s="418"/>
      <c r="N739" s="418"/>
      <c r="O739" s="418"/>
      <c r="P739" s="418"/>
      <c r="Q739" s="418"/>
      <c r="R739" s="437"/>
    </row>
    <row r="740" spans="1:18" x14ac:dyDescent="0.2">
      <c r="C740" s="336" t="s">
        <v>1086</v>
      </c>
      <c r="D740" s="336">
        <v>87</v>
      </c>
      <c r="F740" s="418">
        <f t="shared" ref="F740:Q745" si="203">F709*F727</f>
        <v>3539.5000000000005</v>
      </c>
      <c r="G740" s="418">
        <f t="shared" si="203"/>
        <v>3539.5000000000005</v>
      </c>
      <c r="H740" s="418">
        <f t="shared" si="203"/>
        <v>3539.5000000000005</v>
      </c>
      <c r="I740" s="418">
        <f t="shared" si="203"/>
        <v>3539.5000000000005</v>
      </c>
      <c r="J740" s="418">
        <f t="shared" si="203"/>
        <v>3539.5000000000005</v>
      </c>
      <c r="K740" s="418">
        <f t="shared" si="203"/>
        <v>3539.5000000000005</v>
      </c>
      <c r="L740" s="418">
        <f t="shared" si="203"/>
        <v>3539.5000000000005</v>
      </c>
      <c r="M740" s="418">
        <f t="shared" si="203"/>
        <v>3539.5000000000005</v>
      </c>
      <c r="N740" s="418">
        <f t="shared" si="203"/>
        <v>3539.5000000000005</v>
      </c>
      <c r="O740" s="418">
        <f t="shared" si="203"/>
        <v>3539.5000000000005</v>
      </c>
      <c r="P740" s="418">
        <f t="shared" si="203"/>
        <v>3539.5000000000005</v>
      </c>
      <c r="Q740" s="418">
        <f t="shared" si="203"/>
        <v>3539.5000000000005</v>
      </c>
      <c r="R740" s="437">
        <f t="shared" ref="R740:R745" si="204">SUM(F740:Q740)</f>
        <v>42474.000000000007</v>
      </c>
    </row>
    <row r="741" spans="1:18" x14ac:dyDescent="0.2">
      <c r="C741" s="336" t="s">
        <v>1087</v>
      </c>
      <c r="D741" s="336">
        <v>87</v>
      </c>
      <c r="F741" s="418">
        <f t="shared" si="203"/>
        <v>2161</v>
      </c>
      <c r="G741" s="418">
        <f t="shared" si="203"/>
        <v>2161</v>
      </c>
      <c r="H741" s="418">
        <f t="shared" si="203"/>
        <v>2161</v>
      </c>
      <c r="I741" s="418">
        <f t="shared" si="203"/>
        <v>2161</v>
      </c>
      <c r="J741" s="418">
        <f t="shared" si="203"/>
        <v>2161</v>
      </c>
      <c r="K741" s="418">
        <f t="shared" si="203"/>
        <v>2161</v>
      </c>
      <c r="L741" s="418">
        <f t="shared" si="203"/>
        <v>2161</v>
      </c>
      <c r="M741" s="418">
        <f t="shared" si="203"/>
        <v>2161</v>
      </c>
      <c r="N741" s="418">
        <f t="shared" si="203"/>
        <v>2161</v>
      </c>
      <c r="O741" s="418">
        <f t="shared" si="203"/>
        <v>2161</v>
      </c>
      <c r="P741" s="418">
        <f t="shared" si="203"/>
        <v>2161</v>
      </c>
      <c r="Q741" s="418">
        <f t="shared" si="203"/>
        <v>2161</v>
      </c>
      <c r="R741" s="437">
        <f t="shared" si="204"/>
        <v>25932</v>
      </c>
    </row>
    <row r="742" spans="1:18" x14ac:dyDescent="0.2">
      <c r="C742" s="336" t="s">
        <v>1090</v>
      </c>
      <c r="D742" s="336">
        <v>87</v>
      </c>
      <c r="F742" s="418">
        <f t="shared" si="203"/>
        <v>1884.7037</v>
      </c>
      <c r="G742" s="418">
        <f t="shared" si="203"/>
        <v>2790.5</v>
      </c>
      <c r="H742" s="418">
        <f t="shared" si="203"/>
        <v>2790.5</v>
      </c>
      <c r="I742" s="418">
        <f t="shared" si="203"/>
        <v>2790.5</v>
      </c>
      <c r="J742" s="418">
        <f t="shared" si="203"/>
        <v>2790.5</v>
      </c>
      <c r="K742" s="418">
        <f t="shared" si="203"/>
        <v>2790.5</v>
      </c>
      <c r="L742" s="418">
        <f t="shared" si="203"/>
        <v>2790.5</v>
      </c>
      <c r="M742" s="418">
        <f t="shared" si="203"/>
        <v>2790.5</v>
      </c>
      <c r="N742" s="418">
        <f t="shared" si="203"/>
        <v>2790.5</v>
      </c>
      <c r="O742" s="418">
        <f t="shared" si="203"/>
        <v>2790.5</v>
      </c>
      <c r="P742" s="418">
        <f t="shared" si="203"/>
        <v>2790.5</v>
      </c>
      <c r="Q742" s="418">
        <f t="shared" si="203"/>
        <v>2790.5</v>
      </c>
      <c r="R742" s="437">
        <f t="shared" si="204"/>
        <v>32580.203699999998</v>
      </c>
    </row>
    <row r="743" spans="1:18" x14ac:dyDescent="0.2">
      <c r="C743" s="336" t="s">
        <v>1091</v>
      </c>
      <c r="D743" s="336">
        <v>87</v>
      </c>
      <c r="F743" s="418">
        <f t="shared" si="203"/>
        <v>0</v>
      </c>
      <c r="G743" s="418">
        <f t="shared" si="203"/>
        <v>563.22987000000001</v>
      </c>
      <c r="H743" s="418">
        <f t="shared" si="203"/>
        <v>672.85350999999991</v>
      </c>
      <c r="I743" s="418">
        <f t="shared" si="203"/>
        <v>1764.6259299999999</v>
      </c>
      <c r="J743" s="418">
        <f t="shared" si="203"/>
        <v>2662.5445299999997</v>
      </c>
      <c r="K743" s="418">
        <f t="shared" si="203"/>
        <v>1132.27755</v>
      </c>
      <c r="L743" s="418">
        <f t="shared" si="203"/>
        <v>184.19405999999998</v>
      </c>
      <c r="M743" s="418">
        <f t="shared" si="203"/>
        <v>1956.86979</v>
      </c>
      <c r="N743" s="418">
        <f t="shared" si="203"/>
        <v>3658.9999999999995</v>
      </c>
      <c r="O743" s="418">
        <f t="shared" si="203"/>
        <v>3658.9999999999995</v>
      </c>
      <c r="P743" s="418">
        <f t="shared" si="203"/>
        <v>3658.9999999999995</v>
      </c>
      <c r="Q743" s="418">
        <f t="shared" si="203"/>
        <v>1332.71757</v>
      </c>
      <c r="R743" s="437">
        <f t="shared" si="204"/>
        <v>21246.312809999999</v>
      </c>
    </row>
    <row r="744" spans="1:18" x14ac:dyDescent="0.2">
      <c r="C744" s="336" t="s">
        <v>1092</v>
      </c>
      <c r="D744" s="336">
        <v>87</v>
      </c>
      <c r="F744" s="418">
        <f t="shared" si="203"/>
        <v>0</v>
      </c>
      <c r="G744" s="418">
        <f t="shared" si="203"/>
        <v>0</v>
      </c>
      <c r="H744" s="418">
        <f t="shared" si="203"/>
        <v>0</v>
      </c>
      <c r="I744" s="418">
        <f t="shared" si="203"/>
        <v>0</v>
      </c>
      <c r="J744" s="418">
        <f t="shared" si="203"/>
        <v>0</v>
      </c>
      <c r="K744" s="418">
        <f t="shared" si="203"/>
        <v>0</v>
      </c>
      <c r="L744" s="418">
        <f t="shared" si="203"/>
        <v>0</v>
      </c>
      <c r="M744" s="418">
        <f t="shared" si="203"/>
        <v>0</v>
      </c>
      <c r="N744" s="418">
        <f t="shared" si="203"/>
        <v>6.3871500000000001</v>
      </c>
      <c r="O744" s="418">
        <f t="shared" si="203"/>
        <v>602.70980000000009</v>
      </c>
      <c r="P744" s="418">
        <f t="shared" si="203"/>
        <v>54.115600000000001</v>
      </c>
      <c r="Q744" s="418">
        <f t="shared" si="203"/>
        <v>0</v>
      </c>
      <c r="R744" s="437">
        <f t="shared" si="204"/>
        <v>663.21255000000008</v>
      </c>
    </row>
    <row r="745" spans="1:18" x14ac:dyDescent="0.2">
      <c r="C745" s="336" t="s">
        <v>1093</v>
      </c>
      <c r="D745" s="336">
        <v>87</v>
      </c>
      <c r="F745" s="418">
        <f t="shared" si="203"/>
        <v>0</v>
      </c>
      <c r="G745" s="418">
        <f t="shared" si="203"/>
        <v>0</v>
      </c>
      <c r="H745" s="418">
        <f t="shared" si="203"/>
        <v>0</v>
      </c>
      <c r="I745" s="418">
        <f t="shared" si="203"/>
        <v>0</v>
      </c>
      <c r="J745" s="418">
        <f t="shared" si="203"/>
        <v>0</v>
      </c>
      <c r="K745" s="418">
        <f t="shared" si="203"/>
        <v>0</v>
      </c>
      <c r="L745" s="418">
        <f t="shared" si="203"/>
        <v>0</v>
      </c>
      <c r="M745" s="418">
        <f t="shared" si="203"/>
        <v>0</v>
      </c>
      <c r="N745" s="418">
        <f t="shared" si="203"/>
        <v>0</v>
      </c>
      <c r="O745" s="418">
        <f t="shared" si="203"/>
        <v>0</v>
      </c>
      <c r="P745" s="418">
        <f t="shared" si="203"/>
        <v>0</v>
      </c>
      <c r="Q745" s="418">
        <f t="shared" si="203"/>
        <v>0</v>
      </c>
      <c r="R745" s="437">
        <f t="shared" si="204"/>
        <v>0</v>
      </c>
    </row>
    <row r="746" spans="1:18" x14ac:dyDescent="0.2">
      <c r="A746" s="336" t="s">
        <v>1054</v>
      </c>
      <c r="C746" s="336" t="s">
        <v>1077</v>
      </c>
      <c r="F746" s="339">
        <f t="shared" ref="F746:N746" si="205">SUM(F740:F745)</f>
        <v>7585.2037</v>
      </c>
      <c r="G746" s="339">
        <f t="shared" si="205"/>
        <v>9054.2298699999992</v>
      </c>
      <c r="H746" s="339">
        <f t="shared" si="205"/>
        <v>9163.8535100000008</v>
      </c>
      <c r="I746" s="339">
        <f t="shared" si="205"/>
        <v>10255.62593</v>
      </c>
      <c r="J746" s="339">
        <f t="shared" si="205"/>
        <v>11153.544529999999</v>
      </c>
      <c r="K746" s="339">
        <f t="shared" si="205"/>
        <v>9623.2775500000007</v>
      </c>
      <c r="L746" s="339">
        <f t="shared" si="205"/>
        <v>8675.1940599999998</v>
      </c>
      <c r="M746" s="339">
        <f t="shared" si="205"/>
        <v>10447.869790000001</v>
      </c>
      <c r="N746" s="339">
        <f t="shared" si="205"/>
        <v>12156.38715</v>
      </c>
      <c r="O746" s="339">
        <f>SUM(O740:O745)</f>
        <v>12752.709800000001</v>
      </c>
      <c r="P746" s="339">
        <f>SUM(P740:P745)</f>
        <v>12204.115599999999</v>
      </c>
      <c r="Q746" s="339">
        <f>SUM(Q740:Q745)</f>
        <v>9823.7175700000007</v>
      </c>
      <c r="R746" s="339">
        <f>SUM(R740:R745)</f>
        <v>122895.72906</v>
      </c>
    </row>
    <row r="747" spans="1:18" x14ac:dyDescent="0.2">
      <c r="A747" s="336" t="s">
        <v>1056</v>
      </c>
      <c r="B747" s="336" t="s">
        <v>1057</v>
      </c>
      <c r="D747" s="336">
        <v>101</v>
      </c>
      <c r="F747" s="418">
        <f t="shared" ref="F747:N747" si="206">F715*F733</f>
        <v>55247.152700000006</v>
      </c>
      <c r="G747" s="418">
        <f t="shared" si="206"/>
        <v>76102.83743</v>
      </c>
      <c r="H747" s="418">
        <f t="shared" si="206"/>
        <v>78078.729390000008</v>
      </c>
      <c r="I747" s="418">
        <f t="shared" si="206"/>
        <v>97757.188770000008</v>
      </c>
      <c r="J747" s="418">
        <f t="shared" si="206"/>
        <v>113941.56417000001</v>
      </c>
      <c r="K747" s="418">
        <f t="shared" si="206"/>
        <v>86359.536950000009</v>
      </c>
      <c r="L747" s="418">
        <f t="shared" si="206"/>
        <v>69270.973340000011</v>
      </c>
      <c r="M747" s="418">
        <f t="shared" si="206"/>
        <v>101222.25431</v>
      </c>
      <c r="N747" s="418">
        <f t="shared" si="206"/>
        <v>132058.30387</v>
      </c>
      <c r="O747" s="418">
        <f>O715*O733</f>
        <v>146651.28164</v>
      </c>
      <c r="P747" s="418">
        <f>P715*P733</f>
        <v>133226.29608</v>
      </c>
      <c r="Q747" s="418">
        <f>Q715*Q733</f>
        <v>89972.332730000009</v>
      </c>
      <c r="R747" s="437">
        <f>SUM(F747:Q747)</f>
        <v>1179888.45138</v>
      </c>
    </row>
    <row r="748" spans="1:18" x14ac:dyDescent="0.2">
      <c r="A748" s="336" t="s">
        <v>1054</v>
      </c>
      <c r="B748" s="336" t="s">
        <v>1096</v>
      </c>
      <c r="D748" s="382">
        <v>87</v>
      </c>
      <c r="F748" s="339">
        <f t="shared" ref="F748:N748" si="207">F716*F733</f>
        <v>435.60399999999998</v>
      </c>
      <c r="G748" s="339">
        <f t="shared" si="207"/>
        <v>600.04359999999997</v>
      </c>
      <c r="H748" s="339">
        <f t="shared" si="207"/>
        <v>615.62279999999998</v>
      </c>
      <c r="I748" s="339">
        <f t="shared" si="207"/>
        <v>770.78039999999999</v>
      </c>
      <c r="J748" s="339">
        <f t="shared" si="207"/>
        <v>898.38839999999993</v>
      </c>
      <c r="K748" s="339">
        <f t="shared" si="207"/>
        <v>680.91399999999999</v>
      </c>
      <c r="L748" s="339">
        <f t="shared" si="207"/>
        <v>546.17679999999996</v>
      </c>
      <c r="M748" s="339">
        <f t="shared" si="207"/>
        <v>798.10119999999995</v>
      </c>
      <c r="N748" s="339">
        <f t="shared" si="207"/>
        <v>1041.2323999999999</v>
      </c>
      <c r="O748" s="339">
        <f>O716*O733</f>
        <v>1156.2927999999999</v>
      </c>
      <c r="P748" s="339">
        <f>P716*P733</f>
        <v>1050.4415999999999</v>
      </c>
      <c r="Q748" s="339">
        <f>Q716*Q733</f>
        <v>709.39959999999996</v>
      </c>
      <c r="R748" s="344">
        <f>SUM(F748:Q748)</f>
        <v>9302.9976000000006</v>
      </c>
    </row>
    <row r="749" spans="1:18" x14ac:dyDescent="0.2">
      <c r="B749" s="336" t="s">
        <v>1068</v>
      </c>
      <c r="F749" s="418"/>
      <c r="G749" s="418"/>
      <c r="H749" s="418"/>
      <c r="I749" s="418"/>
      <c r="J749" s="418"/>
      <c r="K749" s="418"/>
      <c r="L749" s="418"/>
      <c r="M749" s="418"/>
      <c r="N749" s="418"/>
      <c r="O749" s="418"/>
      <c r="P749" s="418"/>
      <c r="Q749" s="418"/>
      <c r="R749" s="437"/>
    </row>
    <row r="750" spans="1:18" x14ac:dyDescent="0.2">
      <c r="A750" s="336" t="s">
        <v>1054</v>
      </c>
      <c r="C750" s="336" t="s">
        <v>1069</v>
      </c>
      <c r="D750" s="382">
        <v>87</v>
      </c>
      <c r="F750" s="418">
        <f t="shared" ref="F750:N750" si="208">F718*F734</f>
        <v>0</v>
      </c>
      <c r="G750" s="418">
        <f t="shared" si="208"/>
        <v>0</v>
      </c>
      <c r="H750" s="418">
        <f t="shared" si="208"/>
        <v>0</v>
      </c>
      <c r="I750" s="418">
        <f t="shared" si="208"/>
        <v>0</v>
      </c>
      <c r="J750" s="418">
        <f t="shared" si="208"/>
        <v>0</v>
      </c>
      <c r="K750" s="418">
        <f t="shared" si="208"/>
        <v>0</v>
      </c>
      <c r="L750" s="418">
        <f t="shared" si="208"/>
        <v>0</v>
      </c>
      <c r="M750" s="418">
        <f t="shared" si="208"/>
        <v>0</v>
      </c>
      <c r="N750" s="418">
        <f t="shared" si="208"/>
        <v>0</v>
      </c>
      <c r="O750" s="418">
        <f>O718*O734</f>
        <v>0</v>
      </c>
      <c r="P750" s="418">
        <f>P718*P734</f>
        <v>0</v>
      </c>
      <c r="Q750" s="418">
        <f>Q718*Q734</f>
        <v>0</v>
      </c>
      <c r="R750" s="437">
        <f>SUM(F750:Q750)</f>
        <v>0</v>
      </c>
    </row>
    <row r="751" spans="1:18" x14ac:dyDescent="0.2">
      <c r="A751" s="336" t="s">
        <v>1056</v>
      </c>
      <c r="C751" s="336" t="s">
        <v>1070</v>
      </c>
      <c r="D751" s="336">
        <v>101</v>
      </c>
      <c r="F751" s="418">
        <f t="shared" ref="F751:N751" si="209">F719*F734</f>
        <v>0</v>
      </c>
      <c r="G751" s="418">
        <f t="shared" si="209"/>
        <v>0</v>
      </c>
      <c r="H751" s="418">
        <f t="shared" si="209"/>
        <v>0</v>
      </c>
      <c r="I751" s="418">
        <f t="shared" si="209"/>
        <v>0</v>
      </c>
      <c r="J751" s="418">
        <f t="shared" si="209"/>
        <v>0</v>
      </c>
      <c r="K751" s="418">
        <f t="shared" si="209"/>
        <v>0</v>
      </c>
      <c r="L751" s="418">
        <f t="shared" si="209"/>
        <v>0</v>
      </c>
      <c r="M751" s="418">
        <f t="shared" si="209"/>
        <v>0</v>
      </c>
      <c r="N751" s="418">
        <f t="shared" si="209"/>
        <v>0</v>
      </c>
      <c r="O751" s="418">
        <f>O719*O734</f>
        <v>0</v>
      </c>
      <c r="P751" s="418">
        <f>P719*P734</f>
        <v>0</v>
      </c>
      <c r="Q751" s="418">
        <f>Q719*Q734</f>
        <v>0</v>
      </c>
      <c r="R751" s="437">
        <f>SUM(F751:Q751)</f>
        <v>0</v>
      </c>
    </row>
    <row r="752" spans="1:18" x14ac:dyDescent="0.2">
      <c r="C752" s="336" t="s">
        <v>1078</v>
      </c>
      <c r="F752" s="339">
        <f t="shared" ref="F752:N752" si="210">SUM(F750:F751)</f>
        <v>0</v>
      </c>
      <c r="G752" s="339">
        <f t="shared" si="210"/>
        <v>0</v>
      </c>
      <c r="H752" s="339">
        <f t="shared" si="210"/>
        <v>0</v>
      </c>
      <c r="I752" s="339">
        <f t="shared" si="210"/>
        <v>0</v>
      </c>
      <c r="J752" s="339">
        <f t="shared" si="210"/>
        <v>0</v>
      </c>
      <c r="K752" s="339">
        <f t="shared" si="210"/>
        <v>0</v>
      </c>
      <c r="L752" s="339">
        <f t="shared" si="210"/>
        <v>0</v>
      </c>
      <c r="M752" s="339">
        <f t="shared" si="210"/>
        <v>0</v>
      </c>
      <c r="N752" s="339">
        <f t="shared" si="210"/>
        <v>0</v>
      </c>
      <c r="O752" s="339">
        <f>SUM(O750:O751)</f>
        <v>0</v>
      </c>
      <c r="P752" s="339">
        <f>SUM(P750:P751)</f>
        <v>0</v>
      </c>
      <c r="Q752" s="339">
        <f>SUM(Q750:Q751)</f>
        <v>0</v>
      </c>
      <c r="R752" s="339">
        <f>SUM(R750:R751)</f>
        <v>0</v>
      </c>
    </row>
    <row r="753" spans="1:19" x14ac:dyDescent="0.2">
      <c r="A753" s="336" t="s">
        <v>1054</v>
      </c>
      <c r="B753" s="336" t="s">
        <v>1071</v>
      </c>
      <c r="D753" s="382">
        <v>87</v>
      </c>
      <c r="F753" s="447">
        <f>'JKP-3.1c - Data'!C191</f>
        <v>0</v>
      </c>
      <c r="G753" s="447">
        <f>'JKP-3.1c - Data'!D191</f>
        <v>70168.09</v>
      </c>
      <c r="H753" s="447">
        <f>'JKP-3.1c - Data'!E191</f>
        <v>0</v>
      </c>
      <c r="I753" s="447">
        <f>'JKP-3.1c - Data'!F191</f>
        <v>0</v>
      </c>
      <c r="J753" s="447">
        <f>'JKP-3.1c - Data'!G191</f>
        <v>0</v>
      </c>
      <c r="K753" s="447">
        <f>'JKP-3.1c - Data'!H191</f>
        <v>0</v>
      </c>
      <c r="L753" s="447">
        <f>'JKP-3.1c - Data'!I191</f>
        <v>0</v>
      </c>
      <c r="M753" s="447">
        <f>'JKP-3.1c - Data'!J191</f>
        <v>0</v>
      </c>
      <c r="N753" s="447">
        <f>'JKP-3.1c - Data'!K191</f>
        <v>0</v>
      </c>
      <c r="O753" s="447">
        <f>'JKP-3.1c - Data'!L191</f>
        <v>0</v>
      </c>
      <c r="P753" s="447">
        <f>'JKP-3.1c - Data'!M191</f>
        <v>0</v>
      </c>
      <c r="Q753" s="447">
        <f>'JKP-3.1c - Data'!N191</f>
        <v>0</v>
      </c>
      <c r="R753" s="437">
        <f>SUM(F753:Q753)</f>
        <v>70168.09</v>
      </c>
    </row>
    <row r="754" spans="1:19" x14ac:dyDescent="0.2">
      <c r="B754" s="336" t="s">
        <v>1079</v>
      </c>
      <c r="F754" s="339">
        <f t="shared" ref="F754:N754" si="211">F747+F751</f>
        <v>55247.152700000006</v>
      </c>
      <c r="G754" s="339">
        <f t="shared" si="211"/>
        <v>76102.83743</v>
      </c>
      <c r="H754" s="339">
        <f t="shared" si="211"/>
        <v>78078.729390000008</v>
      </c>
      <c r="I754" s="339">
        <f t="shared" si="211"/>
        <v>97757.188770000008</v>
      </c>
      <c r="J754" s="339">
        <f t="shared" si="211"/>
        <v>113941.56417000001</v>
      </c>
      <c r="K754" s="339">
        <f t="shared" si="211"/>
        <v>86359.536950000009</v>
      </c>
      <c r="L754" s="339">
        <f t="shared" si="211"/>
        <v>69270.973340000011</v>
      </c>
      <c r="M754" s="339">
        <f t="shared" si="211"/>
        <v>101222.25431</v>
      </c>
      <c r="N754" s="339">
        <f t="shared" si="211"/>
        <v>132058.30387</v>
      </c>
      <c r="O754" s="339">
        <f>O747+O751</f>
        <v>146651.28164</v>
      </c>
      <c r="P754" s="339">
        <f>P747+P751</f>
        <v>133226.29608</v>
      </c>
      <c r="Q754" s="339">
        <f>Q747+Q751</f>
        <v>89972.332730000009</v>
      </c>
      <c r="R754" s="339">
        <f>R747+R751</f>
        <v>1179888.45138</v>
      </c>
    </row>
    <row r="755" spans="1:19" x14ac:dyDescent="0.2">
      <c r="B755" s="336" t="s">
        <v>986</v>
      </c>
      <c r="F755" s="339">
        <f t="shared" ref="F755:N755" si="212">F738+F746+F747+F748+F752+F753</f>
        <v>63826.380400000002</v>
      </c>
      <c r="G755" s="339">
        <f t="shared" si="212"/>
        <v>156483.62089999998</v>
      </c>
      <c r="H755" s="339">
        <f t="shared" si="212"/>
        <v>88975.045700000002</v>
      </c>
      <c r="I755" s="339">
        <f t="shared" si="212"/>
        <v>108783.59510000001</v>
      </c>
      <c r="J755" s="339">
        <f t="shared" si="212"/>
        <v>126551.91710000001</v>
      </c>
      <c r="K755" s="339">
        <f t="shared" si="212"/>
        <v>97780.568500000008</v>
      </c>
      <c r="L755" s="339">
        <f t="shared" si="212"/>
        <v>79050.76420000002</v>
      </c>
      <c r="M755" s="339">
        <f t="shared" si="212"/>
        <v>112468.22530000001</v>
      </c>
      <c r="N755" s="339">
        <f t="shared" si="212"/>
        <v>146372.76342</v>
      </c>
      <c r="O755" s="339">
        <f>O738+O746+O747+O748+O752+O753</f>
        <v>161118.70423999999</v>
      </c>
      <c r="P755" s="339">
        <f>P738+P746+P747+P748+P752+P753</f>
        <v>146480.85327999998</v>
      </c>
      <c r="Q755" s="339">
        <f>Q738+Q746+Q747+Q748+Q752+Q753</f>
        <v>101063.86990000002</v>
      </c>
      <c r="R755" s="339">
        <f>R738+R746+R747+R748+R752+R753</f>
        <v>1388956.30804</v>
      </c>
      <c r="S755" s="340"/>
    </row>
    <row r="756" spans="1:19" x14ac:dyDescent="0.2">
      <c r="C756" s="387"/>
      <c r="F756" s="418"/>
      <c r="G756" s="418"/>
      <c r="H756" s="418"/>
      <c r="I756" s="418"/>
      <c r="J756" s="418"/>
      <c r="K756" s="418"/>
      <c r="L756" s="418"/>
      <c r="M756" s="418"/>
      <c r="N756" s="418"/>
      <c r="O756" s="418"/>
      <c r="P756" s="418"/>
      <c r="Q756" s="418"/>
      <c r="R756" s="437"/>
    </row>
    <row r="757" spans="1:19" x14ac:dyDescent="0.2">
      <c r="A757" s="336" t="s">
        <v>1058</v>
      </c>
      <c r="B757" s="336" t="s">
        <v>1050</v>
      </c>
      <c r="C757" s="387"/>
      <c r="F757" s="418">
        <f>F721*F733+F734*F722</f>
        <v>52858.032300000006</v>
      </c>
      <c r="G757" s="418">
        <f t="shared" ref="G757:Q757" si="213">G721*G733+G734*G722</f>
        <v>72811.829070000007</v>
      </c>
      <c r="H757" s="418">
        <f t="shared" si="213"/>
        <v>74702.275110000002</v>
      </c>
      <c r="I757" s="418">
        <f t="shared" si="213"/>
        <v>93529.754730000001</v>
      </c>
      <c r="J757" s="418">
        <f t="shared" si="213"/>
        <v>109014.24933000001</v>
      </c>
      <c r="K757" s="418">
        <f t="shared" si="213"/>
        <v>82624.985550000012</v>
      </c>
      <c r="L757" s="418">
        <f t="shared" si="213"/>
        <v>66275.403660000011</v>
      </c>
      <c r="M757" s="418">
        <f t="shared" si="213"/>
        <v>96844.976190000001</v>
      </c>
      <c r="N757" s="418">
        <f t="shared" si="213"/>
        <v>126347.54463</v>
      </c>
      <c r="O757" s="418">
        <f t="shared" si="213"/>
        <v>140309.46036</v>
      </c>
      <c r="P757" s="418">
        <f t="shared" si="213"/>
        <v>127465.02792000001</v>
      </c>
      <c r="Q757" s="418">
        <f t="shared" si="213"/>
        <v>86081.548770000009</v>
      </c>
      <c r="R757" s="437">
        <f>SUM(F757:Q757)</f>
        <v>1128865.0876200001</v>
      </c>
    </row>
    <row r="758" spans="1:19" x14ac:dyDescent="0.2">
      <c r="C758" s="387"/>
      <c r="F758" s="418"/>
      <c r="G758" s="418"/>
      <c r="H758" s="418"/>
      <c r="I758" s="418"/>
      <c r="J758" s="418"/>
      <c r="K758" s="418"/>
      <c r="L758" s="418"/>
      <c r="M758" s="418"/>
      <c r="N758" s="418"/>
      <c r="O758" s="418"/>
      <c r="P758" s="418"/>
      <c r="Q758" s="418"/>
      <c r="R758" s="437"/>
    </row>
    <row r="759" spans="1:19" ht="13.5" thickBot="1" x14ac:dyDescent="0.25">
      <c r="B759" s="182" t="s">
        <v>1113</v>
      </c>
      <c r="M759" s="276" t="s">
        <v>304</v>
      </c>
    </row>
    <row r="760" spans="1:19" x14ac:dyDescent="0.2">
      <c r="B760" s="677" t="s">
        <v>5</v>
      </c>
      <c r="C760" s="678"/>
      <c r="D760" s="678"/>
      <c r="E760" s="678"/>
      <c r="F760" s="678"/>
      <c r="G760" s="678"/>
      <c r="H760" s="678"/>
      <c r="I760" s="678"/>
      <c r="J760" s="678"/>
      <c r="K760" s="678"/>
      <c r="L760" s="678"/>
      <c r="M760" s="678"/>
      <c r="N760" s="678"/>
      <c r="O760" s="678"/>
      <c r="P760" s="678"/>
      <c r="Q760" s="678"/>
      <c r="R760" s="679"/>
    </row>
    <row r="761" spans="1:19" x14ac:dyDescent="0.2">
      <c r="B761" s="473" t="s">
        <v>1059</v>
      </c>
      <c r="C761" s="415"/>
      <c r="D761" s="415">
        <v>99</v>
      </c>
      <c r="E761" s="415" t="s">
        <v>976</v>
      </c>
      <c r="F761" s="494">
        <f>'JKP-3.1c - Rev Rates GTI10'!F761</f>
        <v>893.47</v>
      </c>
      <c r="G761" s="494">
        <f>'JKP-3.1c - Rev Rates GTI10'!G761</f>
        <v>893.47</v>
      </c>
      <c r="H761" s="494">
        <f>'JKP-3.1c - Rev Rates GTI10'!H761</f>
        <v>893.47</v>
      </c>
      <c r="I761" s="494">
        <f>'JKP-3.1c - Rev Rates GTI10'!I761</f>
        <v>893.47</v>
      </c>
      <c r="J761" s="494">
        <f>'JKP-3.1c - Rev Rates GTI10'!J761</f>
        <v>893.47</v>
      </c>
      <c r="K761" s="494">
        <f>'JKP-3.1c - Rev Rates GTI10'!K761</f>
        <v>893.47</v>
      </c>
      <c r="L761" s="494">
        <f>'JKP-3.1c - Rev Rates GTI10'!L761</f>
        <v>893.47</v>
      </c>
      <c r="M761" s="494">
        <f>'JKP-3.1c - Rev Rates GTI10'!M761</f>
        <v>893.47</v>
      </c>
      <c r="N761" s="494">
        <f>'JKP-3.1c - Rev Rates GTI10'!N761</f>
        <v>893.47</v>
      </c>
      <c r="O761" s="494">
        <f>'JKP-3.1c - Rev Rates GTI10'!O761</f>
        <v>893.47</v>
      </c>
      <c r="P761" s="494">
        <f>'JKP-3.1c - Rev Rates GTI10'!P761</f>
        <v>893.47</v>
      </c>
      <c r="Q761" s="494">
        <f>'JKP-3.1c - Rev Rates GTI10'!Q761</f>
        <v>893.47</v>
      </c>
      <c r="R761" s="680"/>
    </row>
    <row r="762" spans="1:19" x14ac:dyDescent="0.2">
      <c r="B762" s="473" t="s">
        <v>1114</v>
      </c>
      <c r="C762" s="415"/>
      <c r="D762" s="415"/>
      <c r="E762" s="415"/>
      <c r="F762" s="468"/>
      <c r="G762" s="468"/>
      <c r="H762" s="468"/>
      <c r="I762" s="468"/>
      <c r="J762" s="468"/>
      <c r="K762" s="468"/>
      <c r="L762" s="468"/>
      <c r="M762" s="468"/>
      <c r="N762" s="468"/>
      <c r="O762" s="468"/>
      <c r="P762" s="468"/>
      <c r="Q762" s="468"/>
      <c r="R762" s="681"/>
    </row>
    <row r="763" spans="1:19" x14ac:dyDescent="0.2">
      <c r="B763" s="473"/>
      <c r="C763" s="415" t="s">
        <v>1115</v>
      </c>
      <c r="D763" s="415">
        <v>99</v>
      </c>
      <c r="E763" s="415" t="s">
        <v>957</v>
      </c>
      <c r="F763" s="497">
        <f>'JKP-3.1c - Rev Rates GTI10'!F763</f>
        <v>0.10589</v>
      </c>
      <c r="G763" s="497">
        <f>'JKP-3.1c - Rev Rates GTI10'!G763</f>
        <v>0.10589</v>
      </c>
      <c r="H763" s="497">
        <f>'JKP-3.1c - Rev Rates GTI10'!H763</f>
        <v>0.10589</v>
      </c>
      <c r="I763" s="497">
        <f>'JKP-3.1c - Rev Rates GTI10'!I763</f>
        <v>0.10589</v>
      </c>
      <c r="J763" s="497">
        <f>'JKP-3.1c - Rev Rates GTI10'!J763</f>
        <v>0.10589</v>
      </c>
      <c r="K763" s="497">
        <f>'JKP-3.1c - Rev Rates GTI10'!K763</f>
        <v>0.10589</v>
      </c>
      <c r="L763" s="497">
        <f>'JKP-3.1c - Rev Rates GTI10'!L763</f>
        <v>0.10589</v>
      </c>
      <c r="M763" s="497">
        <f>'JKP-3.1c - Rev Rates GTI10'!M763</f>
        <v>0.10589</v>
      </c>
      <c r="N763" s="497">
        <f>'JKP-3.1c - Rev Rates GTI10'!N763</f>
        <v>0.10589</v>
      </c>
      <c r="O763" s="497">
        <f>'JKP-3.1c - Rev Rates GTI10'!O763</f>
        <v>0.10589</v>
      </c>
      <c r="P763" s="497">
        <f>'JKP-3.1c - Rev Rates GTI10'!P763</f>
        <v>0.10589</v>
      </c>
      <c r="Q763" s="497">
        <f>'JKP-3.1c - Rev Rates GTI10'!Q763</f>
        <v>0.10589</v>
      </c>
      <c r="R763" s="682"/>
    </row>
    <row r="764" spans="1:19" x14ac:dyDescent="0.2">
      <c r="B764" s="473"/>
      <c r="C764" s="415" t="s">
        <v>1116</v>
      </c>
      <c r="D764" s="415">
        <v>99</v>
      </c>
      <c r="E764" s="415" t="s">
        <v>957</v>
      </c>
      <c r="F764" s="497">
        <f>'JKP-3.1c - Rev Rates GTI10'!F764</f>
        <v>5.7590000000000002E-2</v>
      </c>
      <c r="G764" s="497">
        <f>'JKP-3.1c - Rev Rates GTI10'!G764</f>
        <v>5.7590000000000002E-2</v>
      </c>
      <c r="H764" s="497">
        <f>'JKP-3.1c - Rev Rates GTI10'!H764</f>
        <v>5.7590000000000002E-2</v>
      </c>
      <c r="I764" s="497">
        <f>'JKP-3.1c - Rev Rates GTI10'!I764</f>
        <v>5.7590000000000002E-2</v>
      </c>
      <c r="J764" s="497">
        <f>'JKP-3.1c - Rev Rates GTI10'!J764</f>
        <v>5.7590000000000002E-2</v>
      </c>
      <c r="K764" s="497">
        <f>'JKP-3.1c - Rev Rates GTI10'!K764</f>
        <v>5.7590000000000002E-2</v>
      </c>
      <c r="L764" s="497">
        <f>'JKP-3.1c - Rev Rates GTI10'!L764</f>
        <v>5.7590000000000002E-2</v>
      </c>
      <c r="M764" s="497">
        <f>'JKP-3.1c - Rev Rates GTI10'!M764</f>
        <v>5.7590000000000002E-2</v>
      </c>
      <c r="N764" s="497">
        <f>'JKP-3.1c - Rev Rates GTI10'!N764</f>
        <v>5.7590000000000002E-2</v>
      </c>
      <c r="O764" s="497">
        <f>'JKP-3.1c - Rev Rates GTI10'!O764</f>
        <v>5.7590000000000002E-2</v>
      </c>
      <c r="P764" s="497">
        <f>'JKP-3.1c - Rev Rates GTI10'!P764</f>
        <v>5.7590000000000002E-2</v>
      </c>
      <c r="Q764" s="497">
        <f>'JKP-3.1c - Rev Rates GTI10'!Q764</f>
        <v>5.7590000000000002E-2</v>
      </c>
      <c r="R764" s="682"/>
    </row>
    <row r="765" spans="1:19" x14ac:dyDescent="0.2">
      <c r="B765" s="473"/>
      <c r="C765" s="415" t="s">
        <v>1117</v>
      </c>
      <c r="D765" s="415">
        <v>99</v>
      </c>
      <c r="E765" s="415" t="s">
        <v>957</v>
      </c>
      <c r="F765" s="497">
        <f>'JKP-3.1c - Rev Rates GTI10'!F765</f>
        <v>3.4549999999999997E-2</v>
      </c>
      <c r="G765" s="497">
        <f>'JKP-3.1c - Rev Rates GTI10'!G765</f>
        <v>3.4549999999999997E-2</v>
      </c>
      <c r="H765" s="497">
        <f>'JKP-3.1c - Rev Rates GTI10'!H765</f>
        <v>3.4549999999999997E-2</v>
      </c>
      <c r="I765" s="497">
        <f>'JKP-3.1c - Rev Rates GTI10'!I765</f>
        <v>3.4549999999999997E-2</v>
      </c>
      <c r="J765" s="497">
        <f>'JKP-3.1c - Rev Rates GTI10'!J765</f>
        <v>3.4549999999999997E-2</v>
      </c>
      <c r="K765" s="497">
        <f>'JKP-3.1c - Rev Rates GTI10'!K765</f>
        <v>3.4549999999999997E-2</v>
      </c>
      <c r="L765" s="497">
        <f>'JKP-3.1c - Rev Rates GTI10'!L765</f>
        <v>3.4549999999999997E-2</v>
      </c>
      <c r="M765" s="497">
        <f>'JKP-3.1c - Rev Rates GTI10'!M765</f>
        <v>3.4549999999999997E-2</v>
      </c>
      <c r="N765" s="497">
        <f>'JKP-3.1c - Rev Rates GTI10'!N765</f>
        <v>3.4549999999999997E-2</v>
      </c>
      <c r="O765" s="497">
        <f>'JKP-3.1c - Rev Rates GTI10'!O765</f>
        <v>3.4549999999999997E-2</v>
      </c>
      <c r="P765" s="497">
        <f>'JKP-3.1c - Rev Rates GTI10'!P765</f>
        <v>3.4549999999999997E-2</v>
      </c>
      <c r="Q765" s="497">
        <f>'JKP-3.1c - Rev Rates GTI10'!Q765</f>
        <v>3.4549999999999997E-2</v>
      </c>
      <c r="R765" s="682"/>
    </row>
    <row r="766" spans="1:19" x14ac:dyDescent="0.2">
      <c r="B766" s="473"/>
      <c r="C766" s="415" t="s">
        <v>19</v>
      </c>
      <c r="D766" s="415">
        <v>99</v>
      </c>
      <c r="E766" s="415" t="s">
        <v>957</v>
      </c>
      <c r="F766" s="497">
        <f>'JKP-3.1c - Rev Rates GTI10'!F766</f>
        <v>2.3040000000000001E-2</v>
      </c>
      <c r="G766" s="497">
        <f>'JKP-3.1c - Rev Rates GTI10'!G766</f>
        <v>2.3040000000000001E-2</v>
      </c>
      <c r="H766" s="497">
        <f>'JKP-3.1c - Rev Rates GTI10'!H766</f>
        <v>2.3040000000000001E-2</v>
      </c>
      <c r="I766" s="497">
        <f>'JKP-3.1c - Rev Rates GTI10'!I766</f>
        <v>2.3040000000000001E-2</v>
      </c>
      <c r="J766" s="497">
        <f>'JKP-3.1c - Rev Rates GTI10'!J766</f>
        <v>2.3040000000000001E-2</v>
      </c>
      <c r="K766" s="497">
        <f>'JKP-3.1c - Rev Rates GTI10'!K766</f>
        <v>2.3040000000000001E-2</v>
      </c>
      <c r="L766" s="497">
        <f>'JKP-3.1c - Rev Rates GTI10'!L766</f>
        <v>2.3040000000000001E-2</v>
      </c>
      <c r="M766" s="497">
        <f>'JKP-3.1c - Rev Rates GTI10'!M766</f>
        <v>2.3040000000000001E-2</v>
      </c>
      <c r="N766" s="497">
        <f>'JKP-3.1c - Rev Rates GTI10'!N766</f>
        <v>2.3040000000000001E-2</v>
      </c>
      <c r="O766" s="497">
        <f>'JKP-3.1c - Rev Rates GTI10'!O766</f>
        <v>2.3040000000000001E-2</v>
      </c>
      <c r="P766" s="497">
        <f>'JKP-3.1c - Rev Rates GTI10'!P766</f>
        <v>2.3040000000000001E-2</v>
      </c>
      <c r="Q766" s="497">
        <f>'JKP-3.1c - Rev Rates GTI10'!Q766</f>
        <v>2.3040000000000001E-2</v>
      </c>
      <c r="R766" s="682"/>
    </row>
    <row r="767" spans="1:19" x14ac:dyDescent="0.2">
      <c r="B767" s="473"/>
      <c r="C767" s="415" t="s">
        <v>19</v>
      </c>
      <c r="D767" s="415">
        <v>99</v>
      </c>
      <c r="E767" s="415" t="s">
        <v>957</v>
      </c>
      <c r="F767" s="497">
        <f>'JKP-3.1c - Rev Rates GTI10'!F767</f>
        <v>1.728E-2</v>
      </c>
      <c r="G767" s="497">
        <f>'JKP-3.1c - Rev Rates GTI10'!G767</f>
        <v>1.728E-2</v>
      </c>
      <c r="H767" s="497">
        <f>'JKP-3.1c - Rev Rates GTI10'!H767</f>
        <v>1.728E-2</v>
      </c>
      <c r="I767" s="497">
        <f>'JKP-3.1c - Rev Rates GTI10'!I767</f>
        <v>1.728E-2</v>
      </c>
      <c r="J767" s="497">
        <f>'JKP-3.1c - Rev Rates GTI10'!J767</f>
        <v>1.728E-2</v>
      </c>
      <c r="K767" s="497">
        <f>'JKP-3.1c - Rev Rates GTI10'!K767</f>
        <v>1.728E-2</v>
      </c>
      <c r="L767" s="497">
        <f>'JKP-3.1c - Rev Rates GTI10'!L767</f>
        <v>1.728E-2</v>
      </c>
      <c r="M767" s="497">
        <f>'JKP-3.1c - Rev Rates GTI10'!M767</f>
        <v>1.728E-2</v>
      </c>
      <c r="N767" s="497">
        <f>'JKP-3.1c - Rev Rates GTI10'!N767</f>
        <v>1.728E-2</v>
      </c>
      <c r="O767" s="497">
        <f>'JKP-3.1c - Rev Rates GTI10'!O767</f>
        <v>1.728E-2</v>
      </c>
      <c r="P767" s="497">
        <f>'JKP-3.1c - Rev Rates GTI10'!P767</f>
        <v>1.728E-2</v>
      </c>
      <c r="Q767" s="497">
        <f>'JKP-3.1c - Rev Rates GTI10'!Q767</f>
        <v>1.728E-2</v>
      </c>
      <c r="R767" s="682"/>
    </row>
    <row r="768" spans="1:19" x14ac:dyDescent="0.2">
      <c r="B768" s="473"/>
      <c r="C768" s="415" t="s">
        <v>1118</v>
      </c>
      <c r="D768" s="415">
        <v>99</v>
      </c>
      <c r="E768" s="415" t="s">
        <v>957</v>
      </c>
      <c r="F768" s="497">
        <f>'JKP-3.1c - Rev Rates GTI10'!F768</f>
        <v>1.1509999999999999E-2</v>
      </c>
      <c r="G768" s="497">
        <f>'JKP-3.1c - Rev Rates GTI10'!G768</f>
        <v>1.1509999999999999E-2</v>
      </c>
      <c r="H768" s="497">
        <f>'JKP-3.1c - Rev Rates GTI10'!H768</f>
        <v>1.1509999999999999E-2</v>
      </c>
      <c r="I768" s="497">
        <f>'JKP-3.1c - Rev Rates GTI10'!I768</f>
        <v>1.1509999999999999E-2</v>
      </c>
      <c r="J768" s="497">
        <f>'JKP-3.1c - Rev Rates GTI10'!J768</f>
        <v>1.1509999999999999E-2</v>
      </c>
      <c r="K768" s="497">
        <f>'JKP-3.1c - Rev Rates GTI10'!K768</f>
        <v>1.1509999999999999E-2</v>
      </c>
      <c r="L768" s="497">
        <f>'JKP-3.1c - Rev Rates GTI10'!L768</f>
        <v>1.1509999999999999E-2</v>
      </c>
      <c r="M768" s="497">
        <f>'JKP-3.1c - Rev Rates GTI10'!M768</f>
        <v>1.1509999999999999E-2</v>
      </c>
      <c r="N768" s="497">
        <f>'JKP-3.1c - Rev Rates GTI10'!N768</f>
        <v>1.1509999999999999E-2</v>
      </c>
      <c r="O768" s="497">
        <f>'JKP-3.1c - Rev Rates GTI10'!O768</f>
        <v>1.1509999999999999E-2</v>
      </c>
      <c r="P768" s="497">
        <f>'JKP-3.1c - Rev Rates GTI10'!P768</f>
        <v>1.1509999999999999E-2</v>
      </c>
      <c r="Q768" s="497">
        <f>'JKP-3.1c - Rev Rates GTI10'!Q768</f>
        <v>1.1509999999999999E-2</v>
      </c>
      <c r="R768" s="682"/>
    </row>
    <row r="769" spans="1:18" x14ac:dyDescent="0.2">
      <c r="B769" s="473" t="s">
        <v>1069</v>
      </c>
      <c r="C769" s="415"/>
      <c r="D769" s="415">
        <v>99</v>
      </c>
      <c r="E769" s="415" t="s">
        <v>1119</v>
      </c>
      <c r="F769" s="683">
        <f>'JKP-3.1c - Rev Rates GTI10'!F769</f>
        <v>1.1399999999999999</v>
      </c>
      <c r="G769" s="683">
        <f>'JKP-3.1c - Rev Rates GTI10'!G769</f>
        <v>1.1399999999999999</v>
      </c>
      <c r="H769" s="683">
        <f>'JKP-3.1c - Rev Rates GTI10'!H769</f>
        <v>1.1399999999999999</v>
      </c>
      <c r="I769" s="683">
        <f>'JKP-3.1c - Rev Rates GTI10'!I769</f>
        <v>1.1399999999999999</v>
      </c>
      <c r="J769" s="683">
        <f>'JKP-3.1c - Rev Rates GTI10'!J769</f>
        <v>1.1399999999999999</v>
      </c>
      <c r="K769" s="683">
        <f>'JKP-3.1c - Rev Rates GTI10'!K769</f>
        <v>1.1399999999999999</v>
      </c>
      <c r="L769" s="683">
        <f>'JKP-3.1c - Rev Rates GTI10'!L769</f>
        <v>1.1399999999999999</v>
      </c>
      <c r="M769" s="683">
        <f>'JKP-3.1c - Rev Rates GTI10'!M769</f>
        <v>1.1399999999999999</v>
      </c>
      <c r="N769" s="683">
        <f>'JKP-3.1c - Rev Rates GTI10'!N769</f>
        <v>1.1399999999999999</v>
      </c>
      <c r="O769" s="683">
        <f>'JKP-3.1c - Rev Rates GTI10'!O769</f>
        <v>1.1399999999999999</v>
      </c>
      <c r="P769" s="683">
        <f>'JKP-3.1c - Rev Rates GTI10'!P769</f>
        <v>1.1399999999999999</v>
      </c>
      <c r="Q769" s="683">
        <f>'JKP-3.1c - Rev Rates GTI10'!Q769</f>
        <v>1.1399999999999999</v>
      </c>
      <c r="R769" s="680"/>
    </row>
    <row r="770" spans="1:18" x14ac:dyDescent="0.2">
      <c r="B770" s="473"/>
      <c r="C770" s="415"/>
      <c r="D770" s="415"/>
      <c r="E770" s="415"/>
      <c r="F770" s="415"/>
      <c r="G770" s="415"/>
      <c r="H770" s="415"/>
      <c r="I770" s="415"/>
      <c r="J770" s="415"/>
      <c r="K770" s="415"/>
      <c r="L770" s="415"/>
      <c r="M770" s="415"/>
      <c r="N770" s="415"/>
      <c r="O770" s="415"/>
      <c r="P770" s="415"/>
      <c r="Q770" s="415"/>
      <c r="R770" s="681"/>
    </row>
    <row r="771" spans="1:18" x14ac:dyDescent="0.2">
      <c r="B771" s="684" t="s">
        <v>982</v>
      </c>
      <c r="C771" s="415"/>
      <c r="D771" s="415"/>
      <c r="E771" s="415"/>
      <c r="F771" s="415"/>
      <c r="G771" s="415"/>
      <c r="H771" s="415"/>
      <c r="I771" s="415"/>
      <c r="J771" s="415"/>
      <c r="K771" s="415"/>
      <c r="L771" s="415"/>
      <c r="M771" s="415"/>
      <c r="N771" s="415"/>
      <c r="O771" s="415"/>
      <c r="P771" s="415"/>
      <c r="Q771" s="415"/>
      <c r="R771" s="681"/>
    </row>
    <row r="772" spans="1:18" x14ac:dyDescent="0.2">
      <c r="B772" s="473" t="s">
        <v>67</v>
      </c>
      <c r="C772" s="415"/>
      <c r="D772" s="415"/>
      <c r="E772" s="415" t="s">
        <v>67</v>
      </c>
      <c r="F772" s="478">
        <f>'JKP-3.1c - Data'!C157</f>
        <v>12</v>
      </c>
      <c r="G772" s="478">
        <f>'JKP-3.1c - Data'!D157</f>
        <v>12</v>
      </c>
      <c r="H772" s="478">
        <f>'JKP-3.1c - Data'!E157</f>
        <v>12</v>
      </c>
      <c r="I772" s="478">
        <f>'JKP-3.1c - Data'!F157</f>
        <v>12</v>
      </c>
      <c r="J772" s="478">
        <f>'JKP-3.1c - Data'!G157</f>
        <v>12</v>
      </c>
      <c r="K772" s="478">
        <f>'JKP-3.1c - Data'!H157</f>
        <v>12</v>
      </c>
      <c r="L772" s="478">
        <f>'JKP-3.1c - Data'!I157</f>
        <v>12</v>
      </c>
      <c r="M772" s="478">
        <f>'JKP-3.1c - Data'!J157</f>
        <v>12</v>
      </c>
      <c r="N772" s="478">
        <f>'JKP-3.1c - Data'!K157</f>
        <v>12</v>
      </c>
      <c r="O772" s="478">
        <f>'JKP-3.1c - Data'!L157</f>
        <v>12</v>
      </c>
      <c r="P772" s="478">
        <f>'JKP-3.1c - Data'!M157</f>
        <v>12</v>
      </c>
      <c r="Q772" s="478">
        <f>'JKP-3.1c - Data'!N157</f>
        <v>12</v>
      </c>
      <c r="R772" s="472">
        <f>SUM(F772:Q772)</f>
        <v>144</v>
      </c>
    </row>
    <row r="773" spans="1:18" x14ac:dyDescent="0.2">
      <c r="B773" s="473" t="s">
        <v>76</v>
      </c>
      <c r="C773" s="415"/>
      <c r="D773" s="415"/>
      <c r="E773" s="415"/>
      <c r="F773" s="474"/>
      <c r="G773" s="474"/>
      <c r="H773" s="474"/>
      <c r="I773" s="474"/>
      <c r="J773" s="474"/>
      <c r="K773" s="474"/>
      <c r="L773" s="474"/>
      <c r="M773" s="474"/>
      <c r="N773" s="474"/>
      <c r="O773" s="474"/>
      <c r="P773" s="474"/>
      <c r="Q773" s="474"/>
      <c r="R773" s="475"/>
    </row>
    <row r="774" spans="1:18" x14ac:dyDescent="0.2">
      <c r="B774" s="473"/>
      <c r="C774" s="415" t="s">
        <v>1115</v>
      </c>
      <c r="D774" s="415"/>
      <c r="E774" s="415" t="s">
        <v>10</v>
      </c>
      <c r="F774" s="478">
        <f>'JKP-3.1c - Rev Rates GTI10'!F774</f>
        <v>253944</v>
      </c>
      <c r="G774" s="478">
        <f>'JKP-3.1c - Rev Rates GTI10'!G774</f>
        <v>249800</v>
      </c>
      <c r="H774" s="478">
        <f>'JKP-3.1c - Rev Rates GTI10'!H774</f>
        <v>250519</v>
      </c>
      <c r="I774" s="478">
        <f>'JKP-3.1c - Rev Rates GTI10'!I774</f>
        <v>234365</v>
      </c>
      <c r="J774" s="478">
        <f>'JKP-3.1c - Rev Rates GTI10'!J774</f>
        <v>226283</v>
      </c>
      <c r="K774" s="478">
        <f>'JKP-3.1c - Rev Rates GTI10'!K774</f>
        <v>218737</v>
      </c>
      <c r="L774" s="478">
        <f>'JKP-3.1c - Rev Rates GTI10'!L774</f>
        <v>213898</v>
      </c>
      <c r="M774" s="478">
        <f>'JKP-3.1c - Rev Rates GTI10'!M774</f>
        <v>209203</v>
      </c>
      <c r="N774" s="478">
        <f>'JKP-3.1c - Rev Rates GTI10'!N774</f>
        <v>218487</v>
      </c>
      <c r="O774" s="478">
        <f>'JKP-3.1c - Rev Rates GTI10'!O774</f>
        <v>246239</v>
      </c>
      <c r="P774" s="478">
        <f>'JKP-3.1c - Rev Rates GTI10'!P774</f>
        <v>273965</v>
      </c>
      <c r="Q774" s="478">
        <f>'JKP-3.1c - Rev Rates GTI10'!Q774</f>
        <v>278558</v>
      </c>
      <c r="R774" s="475">
        <f t="shared" ref="R774:R779" si="214">SUM(F774:Q774)</f>
        <v>2873998</v>
      </c>
    </row>
    <row r="775" spans="1:18" x14ac:dyDescent="0.2">
      <c r="B775" s="473"/>
      <c r="C775" s="415" t="s">
        <v>1116</v>
      </c>
      <c r="D775" s="415"/>
      <c r="E775" s="415" t="s">
        <v>10</v>
      </c>
      <c r="F775" s="478">
        <f>'JKP-3.1c - Rev Rates GTI10'!F775</f>
        <v>197864</v>
      </c>
      <c r="G775" s="478">
        <f>'JKP-3.1c - Rev Rates GTI10'!G775</f>
        <v>185146</v>
      </c>
      <c r="H775" s="478">
        <f>'JKP-3.1c - Rev Rates GTI10'!H775</f>
        <v>188435</v>
      </c>
      <c r="I775" s="478">
        <f>'JKP-3.1c - Rev Rates GTI10'!I775</f>
        <v>181809</v>
      </c>
      <c r="J775" s="478">
        <f>'JKP-3.1c - Rev Rates GTI10'!J775</f>
        <v>179508</v>
      </c>
      <c r="K775" s="478">
        <f>'JKP-3.1c - Rev Rates GTI10'!K775</f>
        <v>175904</v>
      </c>
      <c r="L775" s="478">
        <f>'JKP-3.1c - Rev Rates GTI10'!L775</f>
        <v>175227</v>
      </c>
      <c r="M775" s="478">
        <f>'JKP-3.1c - Rev Rates GTI10'!M775</f>
        <v>175000</v>
      </c>
      <c r="N775" s="478">
        <f>'JKP-3.1c - Rev Rates GTI10'!N775</f>
        <v>179824</v>
      </c>
      <c r="O775" s="478">
        <f>'JKP-3.1c - Rev Rates GTI10'!O775</f>
        <v>183783</v>
      </c>
      <c r="P775" s="478">
        <f>'JKP-3.1c - Rev Rates GTI10'!P775</f>
        <v>201836</v>
      </c>
      <c r="Q775" s="478">
        <f>'JKP-3.1c - Rev Rates GTI10'!Q775</f>
        <v>206486</v>
      </c>
      <c r="R775" s="475">
        <f t="shared" si="214"/>
        <v>2230822</v>
      </c>
    </row>
    <row r="776" spans="1:18" x14ac:dyDescent="0.2">
      <c r="B776" s="473"/>
      <c r="C776" s="415" t="s">
        <v>1117</v>
      </c>
      <c r="D776" s="415"/>
      <c r="E776" s="415" t="s">
        <v>10</v>
      </c>
      <c r="F776" s="478">
        <f>'JKP-3.1c - Rev Rates GTI10'!F776</f>
        <v>350000</v>
      </c>
      <c r="G776" s="478">
        <f>'JKP-3.1c - Rev Rates GTI10'!G776</f>
        <v>350000</v>
      </c>
      <c r="H776" s="478">
        <f>'JKP-3.1c - Rev Rates GTI10'!H776</f>
        <v>350000</v>
      </c>
      <c r="I776" s="478">
        <f>'JKP-3.1c - Rev Rates GTI10'!I776</f>
        <v>350000</v>
      </c>
      <c r="J776" s="478">
        <f>'JKP-3.1c - Rev Rates GTI10'!J776</f>
        <v>350000</v>
      </c>
      <c r="K776" s="478">
        <f>'JKP-3.1c - Rev Rates GTI10'!K776</f>
        <v>350000</v>
      </c>
      <c r="L776" s="478">
        <f>'JKP-3.1c - Rev Rates GTI10'!L776</f>
        <v>350000</v>
      </c>
      <c r="M776" s="478">
        <f>'JKP-3.1c - Rev Rates GTI10'!M776</f>
        <v>350000</v>
      </c>
      <c r="N776" s="478">
        <f>'JKP-3.1c - Rev Rates GTI10'!N776</f>
        <v>350000</v>
      </c>
      <c r="O776" s="478">
        <f>'JKP-3.1c - Rev Rates GTI10'!O776</f>
        <v>350000</v>
      </c>
      <c r="P776" s="478">
        <f>'JKP-3.1c - Rev Rates GTI10'!P776</f>
        <v>350000</v>
      </c>
      <c r="Q776" s="478">
        <f>'JKP-3.1c - Rev Rates GTI10'!Q776</f>
        <v>350000</v>
      </c>
      <c r="R776" s="475">
        <f t="shared" si="214"/>
        <v>4200000</v>
      </c>
    </row>
    <row r="777" spans="1:18" x14ac:dyDescent="0.2">
      <c r="B777" s="473"/>
      <c r="C777" s="415" t="s">
        <v>19</v>
      </c>
      <c r="D777" s="415"/>
      <c r="E777" s="415" t="s">
        <v>10</v>
      </c>
      <c r="F777" s="478">
        <f>'JKP-3.1c - Rev Rates GTI10'!F777</f>
        <v>700000</v>
      </c>
      <c r="G777" s="478">
        <f>'JKP-3.1c - Rev Rates GTI10'!G777</f>
        <v>700000</v>
      </c>
      <c r="H777" s="478">
        <f>'JKP-3.1c - Rev Rates GTI10'!H777</f>
        <v>700000</v>
      </c>
      <c r="I777" s="478">
        <f>'JKP-3.1c - Rev Rates GTI10'!I777</f>
        <v>696980</v>
      </c>
      <c r="J777" s="478">
        <f>'JKP-3.1c - Rev Rates GTI10'!J777</f>
        <v>666126</v>
      </c>
      <c r="K777" s="478">
        <f>'JKP-3.1c - Rev Rates GTI10'!K777</f>
        <v>557195</v>
      </c>
      <c r="L777" s="478">
        <f>'JKP-3.1c - Rev Rates GTI10'!L777</f>
        <v>534767</v>
      </c>
      <c r="M777" s="478">
        <f>'JKP-3.1c - Rev Rates GTI10'!M777</f>
        <v>530991</v>
      </c>
      <c r="N777" s="478">
        <f>'JKP-3.1c - Rev Rates GTI10'!N777</f>
        <v>528511</v>
      </c>
      <c r="O777" s="478">
        <f>'JKP-3.1c - Rev Rates GTI10'!O777</f>
        <v>665130</v>
      </c>
      <c r="P777" s="478">
        <f>'JKP-3.1c - Rev Rates GTI10'!P777</f>
        <v>700000</v>
      </c>
      <c r="Q777" s="478">
        <f>'JKP-3.1c - Rev Rates GTI10'!Q777</f>
        <v>700000</v>
      </c>
      <c r="R777" s="475">
        <f t="shared" si="214"/>
        <v>7679700</v>
      </c>
    </row>
    <row r="778" spans="1:18" x14ac:dyDescent="0.2">
      <c r="B778" s="473"/>
      <c r="C778" s="415" t="s">
        <v>19</v>
      </c>
      <c r="D778" s="415"/>
      <c r="E778" s="415" t="s">
        <v>10</v>
      </c>
      <c r="F778" s="478">
        <f>'JKP-3.1c - Rev Rates GTI10'!F778</f>
        <v>615370</v>
      </c>
      <c r="G778" s="478">
        <f>'JKP-3.1c - Rev Rates GTI10'!G778</f>
        <v>566730</v>
      </c>
      <c r="H778" s="478">
        <f>'JKP-3.1c - Rev Rates GTI10'!H778</f>
        <v>589922</v>
      </c>
      <c r="I778" s="478">
        <f>'JKP-3.1c - Rev Rates GTI10'!I778</f>
        <v>528306</v>
      </c>
      <c r="J778" s="478">
        <f>'JKP-3.1c - Rev Rates GTI10'!J778</f>
        <v>422363</v>
      </c>
      <c r="K778" s="478">
        <f>'JKP-3.1c - Rev Rates GTI10'!K778</f>
        <v>227236</v>
      </c>
      <c r="L778" s="478">
        <f>'JKP-3.1c - Rev Rates GTI10'!L778</f>
        <v>220738</v>
      </c>
      <c r="M778" s="478">
        <f>'JKP-3.1c - Rev Rates GTI10'!M778</f>
        <v>209152</v>
      </c>
      <c r="N778" s="478">
        <f>'JKP-3.1c - Rev Rates GTI10'!N778</f>
        <v>229727</v>
      </c>
      <c r="O778" s="478">
        <f>'JKP-3.1c - Rev Rates GTI10'!O778</f>
        <v>446093</v>
      </c>
      <c r="P778" s="478">
        <f>'JKP-3.1c - Rev Rates GTI10'!P778</f>
        <v>566263</v>
      </c>
      <c r="Q778" s="478">
        <f>'JKP-3.1c - Rev Rates GTI10'!Q778</f>
        <v>580481</v>
      </c>
      <c r="R778" s="475">
        <f t="shared" si="214"/>
        <v>5202381</v>
      </c>
    </row>
    <row r="779" spans="1:18" x14ac:dyDescent="0.2">
      <c r="B779" s="473"/>
      <c r="C779" s="415" t="s">
        <v>1118</v>
      </c>
      <c r="D779" s="415"/>
      <c r="E779" s="415" t="s">
        <v>10</v>
      </c>
      <c r="F779" s="476">
        <f t="shared" ref="F779:N779" si="215">F780-SUM(F774:F778)</f>
        <v>2056862</v>
      </c>
      <c r="G779" s="476">
        <f t="shared" si="215"/>
        <v>1666733</v>
      </c>
      <c r="H779" s="476">
        <f t="shared" si="215"/>
        <v>1686074</v>
      </c>
      <c r="I779" s="476">
        <f t="shared" si="215"/>
        <v>1153922</v>
      </c>
      <c r="J779" s="476">
        <f t="shared" si="215"/>
        <v>551107</v>
      </c>
      <c r="K779" s="476">
        <f t="shared" si="215"/>
        <v>687096</v>
      </c>
      <c r="L779" s="476">
        <f t="shared" si="215"/>
        <v>512163</v>
      </c>
      <c r="M779" s="476">
        <f t="shared" si="215"/>
        <v>467496</v>
      </c>
      <c r="N779" s="476">
        <f t="shared" si="215"/>
        <v>467570</v>
      </c>
      <c r="O779" s="476">
        <f>O780-SUM(O774:O778)</f>
        <v>977334</v>
      </c>
      <c r="P779" s="476">
        <f>P780-SUM(P774:P778)</f>
        <v>1580171</v>
      </c>
      <c r="Q779" s="476">
        <f>Q780-SUM(Q774:Q778)</f>
        <v>1986749</v>
      </c>
      <c r="R779" s="475">
        <f t="shared" si="214"/>
        <v>13793277</v>
      </c>
    </row>
    <row r="780" spans="1:18" x14ac:dyDescent="0.2">
      <c r="B780" s="473"/>
      <c r="C780" s="415" t="s">
        <v>1075</v>
      </c>
      <c r="D780" s="415"/>
      <c r="E780" s="415" t="s">
        <v>10</v>
      </c>
      <c r="F780" s="445">
        <f>'JKP-3.1c - Weather Adj'!D160</f>
        <v>4174040</v>
      </c>
      <c r="G780" s="445">
        <f>'JKP-3.1c - Weather Adj'!E160</f>
        <v>3718409</v>
      </c>
      <c r="H780" s="445">
        <f>'JKP-3.1c - Weather Adj'!F160</f>
        <v>3764950</v>
      </c>
      <c r="I780" s="445">
        <f>'JKP-3.1c - Weather Adj'!G160</f>
        <v>3145382</v>
      </c>
      <c r="J780" s="445">
        <f>'JKP-3.1c - Weather Adj'!H160</f>
        <v>2395387</v>
      </c>
      <c r="K780" s="445">
        <f>'JKP-3.1c - Weather Adj'!I160</f>
        <v>2216168</v>
      </c>
      <c r="L780" s="445">
        <f>'JKP-3.1c - Weather Adj'!J160</f>
        <v>2006793</v>
      </c>
      <c r="M780" s="445">
        <f>'JKP-3.1c - Weather Adj'!K160</f>
        <v>1941842</v>
      </c>
      <c r="N780" s="445">
        <f>'JKP-3.1c - Weather Adj'!L160</f>
        <v>1974119</v>
      </c>
      <c r="O780" s="445">
        <f>'JKP-3.1c - Weather Adj'!M160</f>
        <v>2868579</v>
      </c>
      <c r="P780" s="445">
        <f>'JKP-3.1c - Weather Adj'!N160</f>
        <v>3672235</v>
      </c>
      <c r="Q780" s="445">
        <f>'JKP-3.1c - Weather Adj'!O160</f>
        <v>4102274</v>
      </c>
      <c r="R780" s="477">
        <f>SUM(R774:R779)</f>
        <v>35980178</v>
      </c>
    </row>
    <row r="781" spans="1:18" x14ac:dyDescent="0.2">
      <c r="B781" s="473" t="s">
        <v>74</v>
      </c>
      <c r="C781" s="415"/>
      <c r="D781" s="415"/>
      <c r="E781" s="415" t="s">
        <v>1076</v>
      </c>
      <c r="F781" s="478">
        <f>'JKP-3.1c - Data'!C177</f>
        <v>38483</v>
      </c>
      <c r="G781" s="478">
        <f>'JKP-3.1c - Data'!D177</f>
        <v>38483</v>
      </c>
      <c r="H781" s="478">
        <f>'JKP-3.1c - Data'!E177</f>
        <v>38483</v>
      </c>
      <c r="I781" s="478">
        <f>'JKP-3.1c - Data'!F177</f>
        <v>38483</v>
      </c>
      <c r="J781" s="478">
        <f>'JKP-3.1c - Data'!G177</f>
        <v>38483</v>
      </c>
      <c r="K781" s="478">
        <f>'JKP-3.1c - Data'!H177</f>
        <v>38483</v>
      </c>
      <c r="L781" s="478">
        <f>'JKP-3.1c - Data'!I177</f>
        <v>38483</v>
      </c>
      <c r="M781" s="478">
        <f>'JKP-3.1c - Data'!J177</f>
        <v>38483</v>
      </c>
      <c r="N781" s="478">
        <f>'JKP-3.1c - Data'!K177</f>
        <v>38483</v>
      </c>
      <c r="O781" s="478">
        <f>'JKP-3.1c - Data'!L177</f>
        <v>38483</v>
      </c>
      <c r="P781" s="478">
        <f>'JKP-3.1c - Data'!M177</f>
        <v>38483</v>
      </c>
      <c r="Q781" s="478">
        <f>'JKP-3.1c - Data'!N177</f>
        <v>38483</v>
      </c>
      <c r="R781" s="472">
        <f>SUM(F781:Q781)</f>
        <v>461796</v>
      </c>
    </row>
    <row r="782" spans="1:18" x14ac:dyDescent="0.2">
      <c r="B782" s="473"/>
      <c r="C782" s="415"/>
      <c r="D782" s="415"/>
      <c r="E782" s="415"/>
      <c r="F782" s="415"/>
      <c r="G782" s="415"/>
      <c r="H782" s="415"/>
      <c r="I782" s="415"/>
      <c r="J782" s="415"/>
      <c r="K782" s="415"/>
      <c r="L782" s="415"/>
      <c r="M782" s="415"/>
      <c r="N782" s="415"/>
      <c r="O782" s="415"/>
      <c r="P782" s="415"/>
      <c r="Q782" s="415"/>
      <c r="R782" s="681"/>
    </row>
    <row r="783" spans="1:18" x14ac:dyDescent="0.2">
      <c r="B783" s="684" t="s">
        <v>985</v>
      </c>
      <c r="C783" s="415"/>
      <c r="D783" s="415"/>
      <c r="E783" s="415"/>
      <c r="F783" s="415"/>
      <c r="G783" s="415"/>
      <c r="H783" s="415"/>
      <c r="I783" s="415"/>
      <c r="J783" s="415"/>
      <c r="K783" s="415"/>
      <c r="L783" s="415"/>
      <c r="M783" s="415"/>
      <c r="N783" s="415"/>
      <c r="O783" s="415"/>
      <c r="P783" s="415"/>
      <c r="Q783" s="415"/>
      <c r="R783" s="681"/>
    </row>
    <row r="784" spans="1:18" x14ac:dyDescent="0.2">
      <c r="A784" s="336" t="s">
        <v>1054</v>
      </c>
      <c r="B784" s="473" t="s">
        <v>1059</v>
      </c>
      <c r="C784" s="415"/>
      <c r="D784" s="415">
        <v>99</v>
      </c>
      <c r="E784" s="415"/>
      <c r="F784" s="340">
        <f t="shared" ref="F784:N784" si="216">F761*F772</f>
        <v>10721.64</v>
      </c>
      <c r="G784" s="340">
        <f t="shared" si="216"/>
        <v>10721.64</v>
      </c>
      <c r="H784" s="340">
        <f t="shared" si="216"/>
        <v>10721.64</v>
      </c>
      <c r="I784" s="340">
        <f t="shared" si="216"/>
        <v>10721.64</v>
      </c>
      <c r="J784" s="340">
        <f t="shared" si="216"/>
        <v>10721.64</v>
      </c>
      <c r="K784" s="340">
        <f t="shared" si="216"/>
        <v>10721.64</v>
      </c>
      <c r="L784" s="340">
        <f t="shared" si="216"/>
        <v>10721.64</v>
      </c>
      <c r="M784" s="340">
        <f t="shared" si="216"/>
        <v>10721.64</v>
      </c>
      <c r="N784" s="340">
        <f t="shared" si="216"/>
        <v>10721.64</v>
      </c>
      <c r="O784" s="340">
        <f>O761*O772</f>
        <v>10721.64</v>
      </c>
      <c r="P784" s="340">
        <f>P761*P772</f>
        <v>10721.64</v>
      </c>
      <c r="Q784" s="340">
        <f>Q761*Q772</f>
        <v>10721.64</v>
      </c>
      <c r="R784" s="685">
        <f>SUM(F784:Q784)</f>
        <v>128659.68</v>
      </c>
    </row>
    <row r="785" spans="1:19" x14ac:dyDescent="0.2">
      <c r="B785" s="473" t="s">
        <v>1114</v>
      </c>
      <c r="C785" s="415"/>
      <c r="D785" s="415"/>
      <c r="E785" s="415"/>
      <c r="F785" s="340"/>
      <c r="G785" s="340"/>
      <c r="H785" s="340"/>
      <c r="I785" s="340"/>
      <c r="J785" s="340"/>
      <c r="K785" s="340"/>
      <c r="L785" s="340"/>
      <c r="M785" s="340"/>
      <c r="N785" s="340"/>
      <c r="O785" s="340"/>
      <c r="P785" s="340"/>
      <c r="Q785" s="340"/>
      <c r="R785" s="685"/>
    </row>
    <row r="786" spans="1:19" x14ac:dyDescent="0.2">
      <c r="B786" s="473"/>
      <c r="C786" s="415" t="s">
        <v>1115</v>
      </c>
      <c r="D786" s="415">
        <v>99</v>
      </c>
      <c r="E786" s="415"/>
      <c r="F786" s="340">
        <f t="shared" ref="F786:Q791" si="217">F774*F763</f>
        <v>26890.130160000001</v>
      </c>
      <c r="G786" s="340">
        <f t="shared" si="217"/>
        <v>26451.322</v>
      </c>
      <c r="H786" s="340">
        <f t="shared" si="217"/>
        <v>26527.456910000001</v>
      </c>
      <c r="I786" s="340">
        <f t="shared" si="217"/>
        <v>24816.90985</v>
      </c>
      <c r="J786" s="340">
        <f t="shared" si="217"/>
        <v>23961.10687</v>
      </c>
      <c r="K786" s="340">
        <f t="shared" si="217"/>
        <v>23162.06093</v>
      </c>
      <c r="L786" s="340">
        <f t="shared" si="217"/>
        <v>22649.659220000001</v>
      </c>
      <c r="M786" s="340">
        <f t="shared" si="217"/>
        <v>22152.505669999999</v>
      </c>
      <c r="N786" s="340">
        <f t="shared" si="217"/>
        <v>23135.58843</v>
      </c>
      <c r="O786" s="340">
        <f t="shared" si="217"/>
        <v>26074.24771</v>
      </c>
      <c r="P786" s="340">
        <f t="shared" si="217"/>
        <v>29010.153849999999</v>
      </c>
      <c r="Q786" s="340">
        <f t="shared" si="217"/>
        <v>29496.50662</v>
      </c>
      <c r="R786" s="685">
        <f t="shared" ref="R786:R791" si="218">SUM(F786:Q786)</f>
        <v>304327.64821999997</v>
      </c>
    </row>
    <row r="787" spans="1:19" x14ac:dyDescent="0.2">
      <c r="B787" s="473"/>
      <c r="C787" s="415" t="s">
        <v>1116</v>
      </c>
      <c r="D787" s="415">
        <v>99</v>
      </c>
      <c r="E787" s="415"/>
      <c r="F787" s="340">
        <f t="shared" si="217"/>
        <v>11394.98776</v>
      </c>
      <c r="G787" s="340">
        <f t="shared" si="217"/>
        <v>10662.558140000001</v>
      </c>
      <c r="H787" s="340">
        <f t="shared" si="217"/>
        <v>10851.971650000001</v>
      </c>
      <c r="I787" s="340">
        <f t="shared" si="217"/>
        <v>10470.38031</v>
      </c>
      <c r="J787" s="340">
        <f t="shared" si="217"/>
        <v>10337.86572</v>
      </c>
      <c r="K787" s="340">
        <f t="shared" si="217"/>
        <v>10130.31136</v>
      </c>
      <c r="L787" s="340">
        <f t="shared" si="217"/>
        <v>10091.32293</v>
      </c>
      <c r="M787" s="340">
        <f t="shared" si="217"/>
        <v>10078.25</v>
      </c>
      <c r="N787" s="340">
        <f t="shared" si="217"/>
        <v>10356.06416</v>
      </c>
      <c r="O787" s="340">
        <f t="shared" si="217"/>
        <v>10584.062970000001</v>
      </c>
      <c r="P787" s="340">
        <f t="shared" si="217"/>
        <v>11623.73524</v>
      </c>
      <c r="Q787" s="340">
        <f t="shared" si="217"/>
        <v>11891.52874</v>
      </c>
      <c r="R787" s="685">
        <f t="shared" si="218"/>
        <v>128473.03897999998</v>
      </c>
    </row>
    <row r="788" spans="1:19" x14ac:dyDescent="0.2">
      <c r="B788" s="473"/>
      <c r="C788" s="415" t="s">
        <v>1117</v>
      </c>
      <c r="D788" s="415">
        <v>99</v>
      </c>
      <c r="E788" s="415"/>
      <c r="F788" s="340">
        <f t="shared" si="217"/>
        <v>12092.499999999998</v>
      </c>
      <c r="G788" s="340">
        <f t="shared" si="217"/>
        <v>12092.499999999998</v>
      </c>
      <c r="H788" s="340">
        <f t="shared" si="217"/>
        <v>12092.499999999998</v>
      </c>
      <c r="I788" s="340">
        <f t="shared" si="217"/>
        <v>12092.499999999998</v>
      </c>
      <c r="J788" s="340">
        <f t="shared" si="217"/>
        <v>12092.499999999998</v>
      </c>
      <c r="K788" s="340">
        <f t="shared" si="217"/>
        <v>12092.499999999998</v>
      </c>
      <c r="L788" s="340">
        <f t="shared" si="217"/>
        <v>12092.499999999998</v>
      </c>
      <c r="M788" s="340">
        <f t="shared" si="217"/>
        <v>12092.499999999998</v>
      </c>
      <c r="N788" s="340">
        <f t="shared" si="217"/>
        <v>12092.499999999998</v>
      </c>
      <c r="O788" s="340">
        <f t="shared" si="217"/>
        <v>12092.499999999998</v>
      </c>
      <c r="P788" s="340">
        <f t="shared" si="217"/>
        <v>12092.499999999998</v>
      </c>
      <c r="Q788" s="340">
        <f t="shared" si="217"/>
        <v>12092.499999999998</v>
      </c>
      <c r="R788" s="685">
        <f t="shared" si="218"/>
        <v>145109.99999999997</v>
      </c>
    </row>
    <row r="789" spans="1:19" x14ac:dyDescent="0.2">
      <c r="B789" s="473"/>
      <c r="C789" s="415" t="s">
        <v>19</v>
      </c>
      <c r="D789" s="415">
        <v>99</v>
      </c>
      <c r="E789" s="415"/>
      <c r="F789" s="340">
        <f t="shared" si="217"/>
        <v>16128.000000000002</v>
      </c>
      <c r="G789" s="340">
        <f t="shared" si="217"/>
        <v>16128.000000000002</v>
      </c>
      <c r="H789" s="340">
        <f t="shared" si="217"/>
        <v>16128.000000000002</v>
      </c>
      <c r="I789" s="340">
        <f t="shared" si="217"/>
        <v>16058.4192</v>
      </c>
      <c r="J789" s="340">
        <f t="shared" si="217"/>
        <v>15347.54304</v>
      </c>
      <c r="K789" s="340">
        <f t="shared" si="217"/>
        <v>12837.772800000001</v>
      </c>
      <c r="L789" s="340">
        <f t="shared" si="217"/>
        <v>12321.03168</v>
      </c>
      <c r="M789" s="340">
        <f t="shared" si="217"/>
        <v>12234.032640000001</v>
      </c>
      <c r="N789" s="340">
        <f t="shared" si="217"/>
        <v>12176.893440000002</v>
      </c>
      <c r="O789" s="340">
        <f t="shared" si="217"/>
        <v>15324.595200000002</v>
      </c>
      <c r="P789" s="340">
        <f t="shared" si="217"/>
        <v>16128.000000000002</v>
      </c>
      <c r="Q789" s="340">
        <f t="shared" si="217"/>
        <v>16128.000000000002</v>
      </c>
      <c r="R789" s="685">
        <f t="shared" si="218"/>
        <v>176940.28800000003</v>
      </c>
    </row>
    <row r="790" spans="1:19" x14ac:dyDescent="0.2">
      <c r="B790" s="473"/>
      <c r="C790" s="415" t="s">
        <v>19</v>
      </c>
      <c r="D790" s="415">
        <v>99</v>
      </c>
      <c r="E790" s="415"/>
      <c r="F790" s="340">
        <f t="shared" si="217"/>
        <v>10633.5936</v>
      </c>
      <c r="G790" s="340">
        <f t="shared" si="217"/>
        <v>9793.0944</v>
      </c>
      <c r="H790" s="340">
        <f t="shared" si="217"/>
        <v>10193.85216</v>
      </c>
      <c r="I790" s="340">
        <f t="shared" si="217"/>
        <v>9129.1276799999996</v>
      </c>
      <c r="J790" s="340">
        <f t="shared" si="217"/>
        <v>7298.43264</v>
      </c>
      <c r="K790" s="340">
        <f t="shared" si="217"/>
        <v>3926.6380800000002</v>
      </c>
      <c r="L790" s="340">
        <f t="shared" si="217"/>
        <v>3814.3526400000001</v>
      </c>
      <c r="M790" s="340">
        <f t="shared" si="217"/>
        <v>3614.1465600000001</v>
      </c>
      <c r="N790" s="340">
        <f t="shared" si="217"/>
        <v>3969.6825600000002</v>
      </c>
      <c r="O790" s="340">
        <f t="shared" si="217"/>
        <v>7708.48704</v>
      </c>
      <c r="P790" s="340">
        <f t="shared" si="217"/>
        <v>9785.0246399999996</v>
      </c>
      <c r="Q790" s="340">
        <f t="shared" si="217"/>
        <v>10030.71168</v>
      </c>
      <c r="R790" s="685">
        <f t="shared" si="218"/>
        <v>89897.143680000008</v>
      </c>
    </row>
    <row r="791" spans="1:19" x14ac:dyDescent="0.2">
      <c r="B791" s="473"/>
      <c r="C791" s="415" t="s">
        <v>1118</v>
      </c>
      <c r="D791" s="415">
        <v>99</v>
      </c>
      <c r="E791" s="415"/>
      <c r="F791" s="340">
        <f t="shared" si="217"/>
        <v>23674.481619999999</v>
      </c>
      <c r="G791" s="340">
        <f t="shared" si="217"/>
        <v>19184.096829999999</v>
      </c>
      <c r="H791" s="340">
        <f t="shared" si="217"/>
        <v>19406.711739999999</v>
      </c>
      <c r="I791" s="340">
        <f t="shared" si="217"/>
        <v>13281.64222</v>
      </c>
      <c r="J791" s="340">
        <f t="shared" si="217"/>
        <v>6343.2415699999992</v>
      </c>
      <c r="K791" s="340">
        <f t="shared" si="217"/>
        <v>7908.4749599999996</v>
      </c>
      <c r="L791" s="340">
        <f t="shared" si="217"/>
        <v>5894.9961299999995</v>
      </c>
      <c r="M791" s="340">
        <f t="shared" si="217"/>
        <v>5380.87896</v>
      </c>
      <c r="N791" s="340">
        <f t="shared" si="217"/>
        <v>5381.7307000000001</v>
      </c>
      <c r="O791" s="340">
        <f t="shared" si="217"/>
        <v>11249.11434</v>
      </c>
      <c r="P791" s="340">
        <f t="shared" si="217"/>
        <v>18187.768209999998</v>
      </c>
      <c r="Q791" s="340">
        <f t="shared" si="217"/>
        <v>22867.48099</v>
      </c>
      <c r="R791" s="685">
        <f t="shared" si="218"/>
        <v>158760.61827000001</v>
      </c>
    </row>
    <row r="792" spans="1:19" x14ac:dyDescent="0.2">
      <c r="A792" s="336" t="s">
        <v>1054</v>
      </c>
      <c r="B792" s="473"/>
      <c r="C792" s="415" t="s">
        <v>1120</v>
      </c>
      <c r="D792" s="415">
        <v>99</v>
      </c>
      <c r="E792" s="415"/>
      <c r="F792" s="339">
        <f t="shared" ref="F792:N792" si="219">SUM(F786:F791)</f>
        <v>100813.69314000002</v>
      </c>
      <c r="G792" s="339">
        <f t="shared" si="219"/>
        <v>94311.571369999991</v>
      </c>
      <c r="H792" s="339">
        <f t="shared" si="219"/>
        <v>95200.492459999994</v>
      </c>
      <c r="I792" s="339">
        <f t="shared" si="219"/>
        <v>85848.979260000007</v>
      </c>
      <c r="J792" s="339">
        <f t="shared" si="219"/>
        <v>75380.689839999992</v>
      </c>
      <c r="K792" s="339">
        <f t="shared" si="219"/>
        <v>70057.758130000002</v>
      </c>
      <c r="L792" s="339">
        <f t="shared" si="219"/>
        <v>66863.862599999993</v>
      </c>
      <c r="M792" s="339">
        <f t="shared" si="219"/>
        <v>65552.313829999999</v>
      </c>
      <c r="N792" s="339">
        <f t="shared" si="219"/>
        <v>67112.459289999999</v>
      </c>
      <c r="O792" s="339">
        <f>SUM(O786:O791)</f>
        <v>83033.007260000013</v>
      </c>
      <c r="P792" s="339">
        <f>SUM(P786:P791)</f>
        <v>96827.181939999995</v>
      </c>
      <c r="Q792" s="339">
        <f>SUM(Q786:Q791)</f>
        <v>102506.72803000001</v>
      </c>
      <c r="R792" s="686">
        <f>SUM(R786:R791)</f>
        <v>1003508.7371499999</v>
      </c>
    </row>
    <row r="793" spans="1:19" x14ac:dyDescent="0.2">
      <c r="A793" s="336" t="s">
        <v>1054</v>
      </c>
      <c r="B793" s="473" t="s">
        <v>1069</v>
      </c>
      <c r="C793" s="415"/>
      <c r="D793" s="415">
        <v>99</v>
      </c>
      <c r="E793" s="415"/>
      <c r="F793" s="340">
        <f t="shared" ref="F793:N793" si="220">F769*F781</f>
        <v>43870.619999999995</v>
      </c>
      <c r="G793" s="340">
        <f t="shared" si="220"/>
        <v>43870.619999999995</v>
      </c>
      <c r="H793" s="340">
        <f t="shared" si="220"/>
        <v>43870.619999999995</v>
      </c>
      <c r="I793" s="340">
        <f t="shared" si="220"/>
        <v>43870.619999999995</v>
      </c>
      <c r="J793" s="340">
        <f t="shared" si="220"/>
        <v>43870.619999999995</v>
      </c>
      <c r="K793" s="340">
        <f t="shared" si="220"/>
        <v>43870.619999999995</v>
      </c>
      <c r="L793" s="340">
        <f t="shared" si="220"/>
        <v>43870.619999999995</v>
      </c>
      <c r="M793" s="340">
        <f t="shared" si="220"/>
        <v>43870.619999999995</v>
      </c>
      <c r="N793" s="340">
        <f t="shared" si="220"/>
        <v>43870.619999999995</v>
      </c>
      <c r="O793" s="340">
        <f>O769*O781</f>
        <v>43870.619999999995</v>
      </c>
      <c r="P793" s="340">
        <f>P769*P781</f>
        <v>43870.619999999995</v>
      </c>
      <c r="Q793" s="340">
        <f>Q769*Q781</f>
        <v>43870.619999999995</v>
      </c>
      <c r="R793" s="685">
        <f>SUM(F793:Q793)</f>
        <v>526447.43999999994</v>
      </c>
    </row>
    <row r="794" spans="1:19" ht="13.5" thickBot="1" x14ac:dyDescent="0.25">
      <c r="B794" s="687" t="s">
        <v>986</v>
      </c>
      <c r="C794" s="688"/>
      <c r="D794" s="688"/>
      <c r="E794" s="688"/>
      <c r="F794" s="689">
        <f t="shared" ref="F794:N794" si="221">F784+F792+F793</f>
        <v>155405.95314</v>
      </c>
      <c r="G794" s="689">
        <f t="shared" si="221"/>
        <v>148903.83136999997</v>
      </c>
      <c r="H794" s="689">
        <f t="shared" si="221"/>
        <v>149792.75245999999</v>
      </c>
      <c r="I794" s="689">
        <f t="shared" si="221"/>
        <v>140441.23926</v>
      </c>
      <c r="J794" s="689">
        <f t="shared" si="221"/>
        <v>129972.94983999999</v>
      </c>
      <c r="K794" s="689">
        <f t="shared" si="221"/>
        <v>124650.01813</v>
      </c>
      <c r="L794" s="689">
        <f t="shared" si="221"/>
        <v>121456.12259999999</v>
      </c>
      <c r="M794" s="689">
        <f t="shared" si="221"/>
        <v>120144.57382999999</v>
      </c>
      <c r="N794" s="689">
        <f t="shared" si="221"/>
        <v>121704.71928999999</v>
      </c>
      <c r="O794" s="689">
        <f>O784+O792+O793</f>
        <v>137625.26725999999</v>
      </c>
      <c r="P794" s="689">
        <f>P784+P792+P793</f>
        <v>151419.44193999999</v>
      </c>
      <c r="Q794" s="689">
        <f>Q784+Q792+Q793</f>
        <v>157098.98803000001</v>
      </c>
      <c r="R794" s="690">
        <f>R784+R792+R793</f>
        <v>1658615.8571499998</v>
      </c>
    </row>
    <row r="795" spans="1:19" x14ac:dyDescent="0.2">
      <c r="F795" s="418"/>
      <c r="G795" s="418"/>
      <c r="H795" s="418"/>
      <c r="I795" s="418"/>
      <c r="J795" s="418"/>
      <c r="K795" s="418"/>
      <c r="L795" s="418"/>
      <c r="M795" s="418"/>
      <c r="N795" s="418"/>
      <c r="O795" s="418"/>
      <c r="P795" s="418"/>
      <c r="Q795" s="418"/>
      <c r="R795" s="418"/>
    </row>
    <row r="796" spans="1:19" x14ac:dyDescent="0.2">
      <c r="B796" s="182" t="s">
        <v>1001</v>
      </c>
    </row>
    <row r="797" spans="1:19" x14ac:dyDescent="0.2">
      <c r="B797" s="182" t="s">
        <v>1002</v>
      </c>
    </row>
    <row r="798" spans="1:19" x14ac:dyDescent="0.2">
      <c r="B798" s="179" t="s">
        <v>9</v>
      </c>
      <c r="D798" s="336">
        <v>16</v>
      </c>
      <c r="F798" s="362">
        <f t="shared" ref="F798:N798" si="222">F14</f>
        <v>54</v>
      </c>
      <c r="G798" s="362">
        <f t="shared" si="222"/>
        <v>54</v>
      </c>
      <c r="H798" s="362">
        <f t="shared" si="222"/>
        <v>54</v>
      </c>
      <c r="I798" s="362">
        <f t="shared" si="222"/>
        <v>54</v>
      </c>
      <c r="J798" s="362">
        <f t="shared" si="222"/>
        <v>53.999999999999993</v>
      </c>
      <c r="K798" s="362">
        <f t="shared" si="222"/>
        <v>54</v>
      </c>
      <c r="L798" s="362">
        <f t="shared" si="222"/>
        <v>53</v>
      </c>
      <c r="M798" s="362">
        <f t="shared" si="222"/>
        <v>53</v>
      </c>
      <c r="N798" s="362">
        <f t="shared" si="222"/>
        <v>53</v>
      </c>
      <c r="O798" s="362">
        <f>O14</f>
        <v>53</v>
      </c>
      <c r="P798" s="362">
        <f>P14</f>
        <v>53</v>
      </c>
      <c r="Q798" s="362">
        <f>Q14</f>
        <v>53</v>
      </c>
      <c r="R798" s="378">
        <f>SUM(F798:Q798)</f>
        <v>642</v>
      </c>
      <c r="S798" s="506"/>
    </row>
    <row r="799" spans="1:19" x14ac:dyDescent="0.2">
      <c r="B799" s="179"/>
      <c r="F799" s="362"/>
      <c r="G799" s="362"/>
      <c r="H799" s="362"/>
      <c r="I799" s="362"/>
      <c r="J799" s="362"/>
      <c r="K799" s="362"/>
      <c r="L799" s="362"/>
      <c r="M799" s="362"/>
      <c r="N799" s="362"/>
      <c r="O799" s="362"/>
      <c r="P799" s="362"/>
      <c r="Q799" s="362"/>
      <c r="R799" s="362"/>
    </row>
    <row r="800" spans="1:19" x14ac:dyDescent="0.2">
      <c r="B800" s="32" t="s">
        <v>1121</v>
      </c>
    </row>
    <row r="801" spans="3:19" x14ac:dyDescent="0.2">
      <c r="C801" s="336" t="s">
        <v>374</v>
      </c>
      <c r="D801" s="336">
        <v>23</v>
      </c>
      <c r="F801" s="362">
        <f t="shared" ref="F801:N801" si="223">F33</f>
        <v>699965</v>
      </c>
      <c r="G801" s="362">
        <f t="shared" si="223"/>
        <v>701215</v>
      </c>
      <c r="H801" s="362">
        <f t="shared" si="223"/>
        <v>702257</v>
      </c>
      <c r="I801" s="362">
        <f t="shared" si="223"/>
        <v>702573</v>
      </c>
      <c r="J801" s="362">
        <f t="shared" si="223"/>
        <v>703246</v>
      </c>
      <c r="K801" s="362">
        <f t="shared" si="223"/>
        <v>704366</v>
      </c>
      <c r="L801" s="362">
        <f t="shared" si="223"/>
        <v>704758</v>
      </c>
      <c r="M801" s="362">
        <f t="shared" si="223"/>
        <v>703964</v>
      </c>
      <c r="N801" s="362">
        <f t="shared" si="223"/>
        <v>705153</v>
      </c>
      <c r="O801" s="362">
        <f>O33</f>
        <v>704137</v>
      </c>
      <c r="P801" s="362">
        <f>P33</f>
        <v>704666</v>
      </c>
      <c r="Q801" s="362">
        <f>Q33</f>
        <v>705036</v>
      </c>
      <c r="R801" s="378">
        <f t="shared" ref="R801:R812" si="224">SUM(F801:Q801)</f>
        <v>8441336</v>
      </c>
      <c r="S801" s="506"/>
    </row>
    <row r="802" spans="3:19" x14ac:dyDescent="0.2">
      <c r="C802" s="336" t="s">
        <v>1122</v>
      </c>
      <c r="D802" s="336">
        <v>53</v>
      </c>
      <c r="F802" s="362">
        <f t="shared" ref="F802:N802" si="225">F51</f>
        <v>5</v>
      </c>
      <c r="G802" s="362">
        <f t="shared" si="225"/>
        <v>5</v>
      </c>
      <c r="H802" s="362">
        <f t="shared" si="225"/>
        <v>5</v>
      </c>
      <c r="I802" s="362">
        <f t="shared" si="225"/>
        <v>5</v>
      </c>
      <c r="J802" s="362">
        <f t="shared" si="225"/>
        <v>5</v>
      </c>
      <c r="K802" s="362">
        <f t="shared" si="225"/>
        <v>5</v>
      </c>
      <c r="L802" s="362">
        <f t="shared" si="225"/>
        <v>6</v>
      </c>
      <c r="M802" s="362">
        <f t="shared" si="225"/>
        <v>6</v>
      </c>
      <c r="N802" s="362">
        <f t="shared" si="225"/>
        <v>5</v>
      </c>
      <c r="O802" s="362">
        <f>O51</f>
        <v>5</v>
      </c>
      <c r="P802" s="362">
        <f>P51</f>
        <v>5</v>
      </c>
      <c r="Q802" s="362">
        <f>Q51</f>
        <v>4</v>
      </c>
      <c r="R802" s="378">
        <f t="shared" si="224"/>
        <v>61</v>
      </c>
      <c r="S802" s="506"/>
    </row>
    <row r="803" spans="3:19" x14ac:dyDescent="0.2">
      <c r="C803" s="336" t="s">
        <v>1123</v>
      </c>
      <c r="D803" s="336">
        <v>31</v>
      </c>
      <c r="F803" s="362">
        <f t="shared" ref="F803:N803" si="226">F80</f>
        <v>53130</v>
      </c>
      <c r="G803" s="362">
        <f t="shared" si="226"/>
        <v>53082</v>
      </c>
      <c r="H803" s="362">
        <f t="shared" si="226"/>
        <v>53046</v>
      </c>
      <c r="I803" s="362">
        <f t="shared" si="226"/>
        <v>52997</v>
      </c>
      <c r="J803" s="362">
        <f t="shared" si="226"/>
        <v>52868</v>
      </c>
      <c r="K803" s="362">
        <f t="shared" si="226"/>
        <v>52779</v>
      </c>
      <c r="L803" s="362">
        <f t="shared" si="226"/>
        <v>52744</v>
      </c>
      <c r="M803" s="362">
        <f t="shared" si="226"/>
        <v>52706</v>
      </c>
      <c r="N803" s="362">
        <f t="shared" si="226"/>
        <v>52693</v>
      </c>
      <c r="O803" s="362">
        <f>O80</f>
        <v>52800</v>
      </c>
      <c r="P803" s="362">
        <f>P80</f>
        <v>52773</v>
      </c>
      <c r="Q803" s="362">
        <f>Q80</f>
        <v>52888</v>
      </c>
      <c r="R803" s="378">
        <f t="shared" si="224"/>
        <v>634506</v>
      </c>
      <c r="S803" s="506"/>
    </row>
    <row r="804" spans="3:19" x14ac:dyDescent="0.2">
      <c r="C804" s="336" t="s">
        <v>1124</v>
      </c>
      <c r="D804" s="336">
        <v>41</v>
      </c>
      <c r="F804" s="362">
        <f t="shared" ref="F804:N804" si="227">F106</f>
        <v>1462</v>
      </c>
      <c r="G804" s="362">
        <f t="shared" si="227"/>
        <v>1458</v>
      </c>
      <c r="H804" s="362">
        <f t="shared" si="227"/>
        <v>1458</v>
      </c>
      <c r="I804" s="362">
        <f t="shared" si="227"/>
        <v>1460</v>
      </c>
      <c r="J804" s="362">
        <f t="shared" si="227"/>
        <v>1455</v>
      </c>
      <c r="K804" s="362">
        <f t="shared" si="227"/>
        <v>1461</v>
      </c>
      <c r="L804" s="362">
        <f t="shared" si="227"/>
        <v>1460</v>
      </c>
      <c r="M804" s="362">
        <f t="shared" si="227"/>
        <v>1445</v>
      </c>
      <c r="N804" s="362">
        <f t="shared" si="227"/>
        <v>1433</v>
      </c>
      <c r="O804" s="362">
        <f>O106</f>
        <v>1412</v>
      </c>
      <c r="P804" s="362">
        <f>P106</f>
        <v>1401</v>
      </c>
      <c r="Q804" s="362">
        <f>Q106</f>
        <v>1409</v>
      </c>
      <c r="R804" s="378">
        <f t="shared" si="224"/>
        <v>17314</v>
      </c>
      <c r="S804" s="506"/>
    </row>
    <row r="805" spans="3:19" x14ac:dyDescent="0.2">
      <c r="C805" s="336" t="s">
        <v>1125</v>
      </c>
      <c r="D805" s="382" t="s">
        <v>808</v>
      </c>
      <c r="F805" s="362">
        <f t="shared" ref="F805:N805" si="228">F145</f>
        <v>30</v>
      </c>
      <c r="G805" s="362">
        <f t="shared" si="228"/>
        <v>30</v>
      </c>
      <c r="H805" s="362">
        <f t="shared" si="228"/>
        <v>30</v>
      </c>
      <c r="I805" s="362">
        <f t="shared" si="228"/>
        <v>30</v>
      </c>
      <c r="J805" s="362">
        <f t="shared" si="228"/>
        <v>30</v>
      </c>
      <c r="K805" s="362">
        <f t="shared" si="228"/>
        <v>30</v>
      </c>
      <c r="L805" s="362">
        <f t="shared" si="228"/>
        <v>30</v>
      </c>
      <c r="M805" s="362">
        <f t="shared" si="228"/>
        <v>30</v>
      </c>
      <c r="N805" s="362">
        <f t="shared" si="228"/>
        <v>29</v>
      </c>
      <c r="O805" s="362">
        <f>O145</f>
        <v>30</v>
      </c>
      <c r="P805" s="362">
        <f>P145</f>
        <v>30</v>
      </c>
      <c r="Q805" s="362">
        <f>Q145</f>
        <v>30</v>
      </c>
      <c r="R805" s="378">
        <f t="shared" si="224"/>
        <v>359</v>
      </c>
      <c r="S805" s="506"/>
    </row>
    <row r="806" spans="3:19" x14ac:dyDescent="0.2">
      <c r="C806" s="336" t="s">
        <v>1126</v>
      </c>
      <c r="D806" s="382" t="s">
        <v>809</v>
      </c>
      <c r="F806" s="362">
        <f t="shared" ref="F806:N806" si="229">F181</f>
        <v>34</v>
      </c>
      <c r="G806" s="362">
        <f t="shared" si="229"/>
        <v>36</v>
      </c>
      <c r="H806" s="362">
        <f t="shared" si="229"/>
        <v>35</v>
      </c>
      <c r="I806" s="362">
        <f t="shared" si="229"/>
        <v>35</v>
      </c>
      <c r="J806" s="362">
        <f t="shared" si="229"/>
        <v>36</v>
      </c>
      <c r="K806" s="362">
        <f t="shared" si="229"/>
        <v>36</v>
      </c>
      <c r="L806" s="362">
        <f t="shared" si="229"/>
        <v>36</v>
      </c>
      <c r="M806" s="362">
        <f t="shared" si="229"/>
        <v>36</v>
      </c>
      <c r="N806" s="362">
        <f t="shared" si="229"/>
        <v>37</v>
      </c>
      <c r="O806" s="362">
        <f>O181</f>
        <v>36</v>
      </c>
      <c r="P806" s="362">
        <f>P181</f>
        <v>35</v>
      </c>
      <c r="Q806" s="362">
        <f>Q181</f>
        <v>35</v>
      </c>
      <c r="R806" s="378">
        <f t="shared" si="224"/>
        <v>427</v>
      </c>
      <c r="S806" s="506"/>
    </row>
    <row r="807" spans="3:19" x14ac:dyDescent="0.2">
      <c r="C807" s="336" t="s">
        <v>1160</v>
      </c>
      <c r="D807" s="382" t="s">
        <v>811</v>
      </c>
      <c r="F807" s="362">
        <f t="shared" ref="F807:N807" si="230">F219</f>
        <v>2</v>
      </c>
      <c r="G807" s="362">
        <f t="shared" si="230"/>
        <v>2</v>
      </c>
      <c r="H807" s="362">
        <f t="shared" si="230"/>
        <v>2</v>
      </c>
      <c r="I807" s="362">
        <f t="shared" si="230"/>
        <v>2</v>
      </c>
      <c r="J807" s="362">
        <f t="shared" si="230"/>
        <v>2</v>
      </c>
      <c r="K807" s="362">
        <f t="shared" si="230"/>
        <v>2</v>
      </c>
      <c r="L807" s="362">
        <f t="shared" si="230"/>
        <v>2</v>
      </c>
      <c r="M807" s="362">
        <f t="shared" si="230"/>
        <v>2</v>
      </c>
      <c r="N807" s="362">
        <f t="shared" si="230"/>
        <v>2</v>
      </c>
      <c r="O807" s="362">
        <f>O219</f>
        <v>2</v>
      </c>
      <c r="P807" s="362">
        <f>P219</f>
        <v>2</v>
      </c>
      <c r="Q807" s="362">
        <f>Q219</f>
        <v>2</v>
      </c>
      <c r="R807" s="378">
        <f t="shared" si="224"/>
        <v>24</v>
      </c>
      <c r="S807" s="506"/>
    </row>
    <row r="808" spans="3:19" x14ac:dyDescent="0.2">
      <c r="C808" s="336" t="s">
        <v>1128</v>
      </c>
      <c r="D808" s="336">
        <v>85</v>
      </c>
      <c r="F808" s="362">
        <f t="shared" ref="F808:N808" si="231">F276</f>
        <v>25</v>
      </c>
      <c r="G808" s="362">
        <f t="shared" si="231"/>
        <v>25</v>
      </c>
      <c r="H808" s="362">
        <f t="shared" si="231"/>
        <v>27</v>
      </c>
      <c r="I808" s="362">
        <f t="shared" si="231"/>
        <v>27</v>
      </c>
      <c r="J808" s="362">
        <f t="shared" si="231"/>
        <v>27</v>
      </c>
      <c r="K808" s="362">
        <f t="shared" si="231"/>
        <v>27</v>
      </c>
      <c r="L808" s="362">
        <f t="shared" si="231"/>
        <v>27</v>
      </c>
      <c r="M808" s="362">
        <f t="shared" si="231"/>
        <v>28</v>
      </c>
      <c r="N808" s="362">
        <f t="shared" si="231"/>
        <v>27</v>
      </c>
      <c r="O808" s="362">
        <f>O276</f>
        <v>27</v>
      </c>
      <c r="P808" s="362">
        <f>P276</f>
        <v>27</v>
      </c>
      <c r="Q808" s="362">
        <f>Q276</f>
        <v>27</v>
      </c>
      <c r="R808" s="378">
        <f t="shared" si="224"/>
        <v>321</v>
      </c>
      <c r="S808" s="506"/>
    </row>
    <row r="809" spans="3:19" x14ac:dyDescent="0.2">
      <c r="C809" s="336" t="s">
        <v>1129</v>
      </c>
      <c r="D809" s="336">
        <v>86</v>
      </c>
      <c r="F809" s="362">
        <f t="shared" ref="F809:N809" si="232">F320</f>
        <v>334</v>
      </c>
      <c r="G809" s="362">
        <f t="shared" si="232"/>
        <v>334</v>
      </c>
      <c r="H809" s="362">
        <f t="shared" si="232"/>
        <v>330</v>
      </c>
      <c r="I809" s="362">
        <f t="shared" si="232"/>
        <v>327</v>
      </c>
      <c r="J809" s="362">
        <f t="shared" si="232"/>
        <v>329</v>
      </c>
      <c r="K809" s="362">
        <f t="shared" si="232"/>
        <v>329</v>
      </c>
      <c r="L809" s="362">
        <f t="shared" si="232"/>
        <v>326</v>
      </c>
      <c r="M809" s="362">
        <f t="shared" si="232"/>
        <v>324</v>
      </c>
      <c r="N809" s="362">
        <f t="shared" si="232"/>
        <v>320</v>
      </c>
      <c r="O809" s="362">
        <f>O320</f>
        <v>317</v>
      </c>
      <c r="P809" s="362">
        <f>P320</f>
        <v>318</v>
      </c>
      <c r="Q809" s="362">
        <f>Q320</f>
        <v>317</v>
      </c>
      <c r="R809" s="378">
        <f t="shared" si="224"/>
        <v>3905</v>
      </c>
      <c r="S809" s="506"/>
    </row>
    <row r="810" spans="3:19" x14ac:dyDescent="0.2">
      <c r="C810" s="336" t="s">
        <v>1301</v>
      </c>
      <c r="D810" s="336">
        <v>87</v>
      </c>
      <c r="F810" s="362">
        <f t="shared" ref="F810:N810" si="233">F366</f>
        <v>8</v>
      </c>
      <c r="G810" s="362">
        <f t="shared" si="233"/>
        <v>8</v>
      </c>
      <c r="H810" s="362">
        <f t="shared" si="233"/>
        <v>8</v>
      </c>
      <c r="I810" s="362">
        <f t="shared" si="233"/>
        <v>8</v>
      </c>
      <c r="J810" s="362">
        <f t="shared" si="233"/>
        <v>8</v>
      </c>
      <c r="K810" s="362">
        <f t="shared" si="233"/>
        <v>8</v>
      </c>
      <c r="L810" s="362">
        <f t="shared" si="233"/>
        <v>8</v>
      </c>
      <c r="M810" s="362">
        <f t="shared" si="233"/>
        <v>8</v>
      </c>
      <c r="N810" s="362">
        <f t="shared" si="233"/>
        <v>8</v>
      </c>
      <c r="O810" s="362">
        <f>O366</f>
        <v>8</v>
      </c>
      <c r="P810" s="362">
        <f>P366</f>
        <v>8</v>
      </c>
      <c r="Q810" s="362">
        <f>Q366</f>
        <v>8</v>
      </c>
      <c r="R810" s="378">
        <f t="shared" si="224"/>
        <v>96</v>
      </c>
      <c r="S810" s="506"/>
    </row>
    <row r="811" spans="3:19" x14ac:dyDescent="0.2">
      <c r="C811" s="336" t="s">
        <v>1131</v>
      </c>
      <c r="D811" s="336">
        <v>31</v>
      </c>
      <c r="F811" s="362">
        <f t="shared" ref="F811:N811" si="234">F408</f>
        <v>2463</v>
      </c>
      <c r="G811" s="362">
        <f t="shared" si="234"/>
        <v>2459</v>
      </c>
      <c r="H811" s="362">
        <f t="shared" si="234"/>
        <v>2445</v>
      </c>
      <c r="I811" s="362">
        <f t="shared" si="234"/>
        <v>2433.02</v>
      </c>
      <c r="J811" s="362">
        <f t="shared" si="234"/>
        <v>2435</v>
      </c>
      <c r="K811" s="362">
        <f t="shared" si="234"/>
        <v>2451</v>
      </c>
      <c r="L811" s="362">
        <f t="shared" si="234"/>
        <v>2430</v>
      </c>
      <c r="M811" s="362">
        <f t="shared" si="234"/>
        <v>2420</v>
      </c>
      <c r="N811" s="362">
        <f t="shared" si="234"/>
        <v>2419</v>
      </c>
      <c r="O811" s="362">
        <f>O408</f>
        <v>2429</v>
      </c>
      <c r="P811" s="362">
        <f>P408</f>
        <v>2427</v>
      </c>
      <c r="Q811" s="362">
        <f>Q408</f>
        <v>2431</v>
      </c>
      <c r="R811" s="378">
        <f t="shared" si="224"/>
        <v>29242.02</v>
      </c>
      <c r="S811" s="506"/>
    </row>
    <row r="812" spans="3:19" x14ac:dyDescent="0.2">
      <c r="C812" s="336" t="s">
        <v>1132</v>
      </c>
      <c r="D812" s="336">
        <v>41</v>
      </c>
      <c r="F812" s="362">
        <f t="shared" ref="F812:N812" si="235">F434</f>
        <v>105</v>
      </c>
      <c r="G812" s="362">
        <f t="shared" si="235"/>
        <v>106</v>
      </c>
      <c r="H812" s="362">
        <f t="shared" si="235"/>
        <v>107</v>
      </c>
      <c r="I812" s="362">
        <f t="shared" si="235"/>
        <v>107.00999999999999</v>
      </c>
      <c r="J812" s="362">
        <f t="shared" si="235"/>
        <v>108</v>
      </c>
      <c r="K812" s="362">
        <f t="shared" si="235"/>
        <v>109</v>
      </c>
      <c r="L812" s="362">
        <f t="shared" si="235"/>
        <v>108</v>
      </c>
      <c r="M812" s="362">
        <f t="shared" si="235"/>
        <v>106</v>
      </c>
      <c r="N812" s="362">
        <f t="shared" si="235"/>
        <v>109</v>
      </c>
      <c r="O812" s="362">
        <f>O434</f>
        <v>107</v>
      </c>
      <c r="P812" s="362">
        <f>P434</f>
        <v>106</v>
      </c>
      <c r="Q812" s="362">
        <f>Q434</f>
        <v>105</v>
      </c>
      <c r="R812" s="378">
        <f t="shared" si="224"/>
        <v>1283.01</v>
      </c>
      <c r="S812" s="506"/>
    </row>
    <row r="813" spans="3:19" x14ac:dyDescent="0.2">
      <c r="C813" s="336" t="s">
        <v>1161</v>
      </c>
      <c r="D813" s="382" t="s">
        <v>808</v>
      </c>
      <c r="F813" s="362">
        <f t="shared" ref="F813:N813" si="236">F473</f>
        <v>17</v>
      </c>
      <c r="G813" s="362">
        <f t="shared" si="236"/>
        <v>17</v>
      </c>
      <c r="H813" s="362">
        <f t="shared" si="236"/>
        <v>16</v>
      </c>
      <c r="I813" s="362">
        <f t="shared" si="236"/>
        <v>16</v>
      </c>
      <c r="J813" s="362">
        <f t="shared" si="236"/>
        <v>16</v>
      </c>
      <c r="K813" s="362">
        <f t="shared" si="236"/>
        <v>16</v>
      </c>
      <c r="L813" s="362">
        <f t="shared" si="236"/>
        <v>15</v>
      </c>
      <c r="M813" s="362">
        <f t="shared" si="236"/>
        <v>16</v>
      </c>
      <c r="N813" s="362">
        <f t="shared" si="236"/>
        <v>16</v>
      </c>
      <c r="O813" s="362">
        <f>O473</f>
        <v>16</v>
      </c>
      <c r="P813" s="362">
        <f>P473</f>
        <v>16</v>
      </c>
      <c r="Q813" s="362">
        <f>Q473</f>
        <v>16</v>
      </c>
      <c r="R813" s="362">
        <f>R473</f>
        <v>193</v>
      </c>
      <c r="S813" s="506"/>
    </row>
    <row r="814" spans="3:19" x14ac:dyDescent="0.2">
      <c r="C814" s="336" t="s">
        <v>1162</v>
      </c>
      <c r="D814" s="382" t="s">
        <v>809</v>
      </c>
      <c r="F814" s="362">
        <f t="shared" ref="F814:N814" si="237">F509</f>
        <v>61</v>
      </c>
      <c r="G814" s="362">
        <f t="shared" si="237"/>
        <v>63</v>
      </c>
      <c r="H814" s="362">
        <f t="shared" si="237"/>
        <v>62</v>
      </c>
      <c r="I814" s="362">
        <f t="shared" si="237"/>
        <v>62</v>
      </c>
      <c r="J814" s="362">
        <f t="shared" si="237"/>
        <v>61.999999999999993</v>
      </c>
      <c r="K814" s="362">
        <f t="shared" si="237"/>
        <v>62</v>
      </c>
      <c r="L814" s="362">
        <f t="shared" si="237"/>
        <v>63</v>
      </c>
      <c r="M814" s="362">
        <f t="shared" si="237"/>
        <v>62</v>
      </c>
      <c r="N814" s="362">
        <f t="shared" si="237"/>
        <v>62</v>
      </c>
      <c r="O814" s="362">
        <f>O509</f>
        <v>62</v>
      </c>
      <c r="P814" s="362">
        <f>P509</f>
        <v>62</v>
      </c>
      <c r="Q814" s="362">
        <f>Q509</f>
        <v>63</v>
      </c>
      <c r="R814" s="362">
        <f>R509</f>
        <v>746</v>
      </c>
      <c r="S814" s="506"/>
    </row>
    <row r="815" spans="3:19" x14ac:dyDescent="0.2">
      <c r="C815" s="32" t="s">
        <v>1135</v>
      </c>
      <c r="D815" s="444" t="s">
        <v>810</v>
      </c>
      <c r="F815" s="362">
        <f>F543</f>
        <v>1</v>
      </c>
      <c r="G815" s="362">
        <f t="shared" ref="G815:Q815" si="238">G543</f>
        <v>1</v>
      </c>
      <c r="H815" s="362">
        <f t="shared" si="238"/>
        <v>1</v>
      </c>
      <c r="I815" s="362">
        <f t="shared" si="238"/>
        <v>1</v>
      </c>
      <c r="J815" s="362">
        <f t="shared" si="238"/>
        <v>1</v>
      </c>
      <c r="K815" s="362">
        <f t="shared" si="238"/>
        <v>1</v>
      </c>
      <c r="L815" s="362">
        <f t="shared" si="238"/>
        <v>1</v>
      </c>
      <c r="M815" s="362">
        <f t="shared" si="238"/>
        <v>1</v>
      </c>
      <c r="N815" s="362">
        <f t="shared" si="238"/>
        <v>1</v>
      </c>
      <c r="O815" s="362">
        <f t="shared" si="238"/>
        <v>1</v>
      </c>
      <c r="P815" s="362">
        <f t="shared" si="238"/>
        <v>1</v>
      </c>
      <c r="Q815" s="362">
        <f t="shared" si="238"/>
        <v>1</v>
      </c>
      <c r="R815" s="362">
        <f>R543</f>
        <v>12</v>
      </c>
      <c r="S815" s="506"/>
    </row>
    <row r="816" spans="3:19" x14ac:dyDescent="0.2">
      <c r="C816" s="336" t="s">
        <v>1164</v>
      </c>
      <c r="D816" s="382" t="s">
        <v>811</v>
      </c>
      <c r="F816" s="362">
        <f t="shared" ref="F816:N816" si="239">F579</f>
        <v>11</v>
      </c>
      <c r="G816" s="362">
        <f t="shared" si="239"/>
        <v>11</v>
      </c>
      <c r="H816" s="362">
        <f t="shared" si="239"/>
        <v>11</v>
      </c>
      <c r="I816" s="362">
        <f t="shared" si="239"/>
        <v>11</v>
      </c>
      <c r="J816" s="362">
        <f t="shared" si="239"/>
        <v>11</v>
      </c>
      <c r="K816" s="362">
        <f t="shared" si="239"/>
        <v>11</v>
      </c>
      <c r="L816" s="362">
        <f t="shared" si="239"/>
        <v>11</v>
      </c>
      <c r="M816" s="362">
        <f t="shared" si="239"/>
        <v>11</v>
      </c>
      <c r="N816" s="362">
        <f t="shared" si="239"/>
        <v>11</v>
      </c>
      <c r="O816" s="362">
        <f>O579</f>
        <v>11</v>
      </c>
      <c r="P816" s="362">
        <f>P579</f>
        <v>11</v>
      </c>
      <c r="Q816" s="362">
        <f>Q579</f>
        <v>10</v>
      </c>
      <c r="R816" s="362">
        <f>R579</f>
        <v>131</v>
      </c>
      <c r="S816" s="506"/>
    </row>
    <row r="817" spans="2:19" x14ac:dyDescent="0.2">
      <c r="C817" s="336" t="s">
        <v>1137</v>
      </c>
      <c r="D817" s="336">
        <v>85</v>
      </c>
      <c r="F817" s="362">
        <f t="shared" ref="F817:N817" si="240">F635</f>
        <v>9</v>
      </c>
      <c r="G817" s="362">
        <f t="shared" si="240"/>
        <v>9</v>
      </c>
      <c r="H817" s="362">
        <f t="shared" si="240"/>
        <v>9</v>
      </c>
      <c r="I817" s="362">
        <f t="shared" si="240"/>
        <v>9</v>
      </c>
      <c r="J817" s="362">
        <f t="shared" si="240"/>
        <v>8</v>
      </c>
      <c r="K817" s="362">
        <f t="shared" si="240"/>
        <v>8</v>
      </c>
      <c r="L817" s="362">
        <f t="shared" si="240"/>
        <v>8</v>
      </c>
      <c r="M817" s="362">
        <f t="shared" si="240"/>
        <v>8</v>
      </c>
      <c r="N817" s="362">
        <f t="shared" si="240"/>
        <v>8</v>
      </c>
      <c r="O817" s="362">
        <f>O635</f>
        <v>8</v>
      </c>
      <c r="P817" s="362">
        <f>P635</f>
        <v>8</v>
      </c>
      <c r="Q817" s="362">
        <f>Q635</f>
        <v>8</v>
      </c>
      <c r="R817" s="378">
        <f>SUM(F817:Q817)</f>
        <v>100</v>
      </c>
      <c r="S817" s="506"/>
    </row>
    <row r="818" spans="2:19" x14ac:dyDescent="0.2">
      <c r="C818" s="336" t="s">
        <v>1138</v>
      </c>
      <c r="D818" s="336">
        <v>86</v>
      </c>
      <c r="F818" s="362">
        <f t="shared" ref="F818:N818" si="241">F679</f>
        <v>9</v>
      </c>
      <c r="G818" s="362">
        <f t="shared" si="241"/>
        <v>11</v>
      </c>
      <c r="H818" s="362">
        <f t="shared" si="241"/>
        <v>10</v>
      </c>
      <c r="I818" s="362">
        <f t="shared" si="241"/>
        <v>9</v>
      </c>
      <c r="J818" s="362">
        <f t="shared" si="241"/>
        <v>10</v>
      </c>
      <c r="K818" s="362">
        <f t="shared" si="241"/>
        <v>9</v>
      </c>
      <c r="L818" s="362">
        <f t="shared" si="241"/>
        <v>10</v>
      </c>
      <c r="M818" s="362">
        <f t="shared" si="241"/>
        <v>10</v>
      </c>
      <c r="N818" s="362">
        <f t="shared" si="241"/>
        <v>10</v>
      </c>
      <c r="O818" s="362">
        <f>O679</f>
        <v>10</v>
      </c>
      <c r="P818" s="362">
        <f>P679</f>
        <v>10</v>
      </c>
      <c r="Q818" s="362">
        <f>Q679</f>
        <v>10</v>
      </c>
      <c r="R818" s="378">
        <f>SUM(F818:Q818)</f>
        <v>118</v>
      </c>
      <c r="S818" s="506"/>
    </row>
    <row r="819" spans="2:19" x14ac:dyDescent="0.2">
      <c r="C819" s="336" t="s">
        <v>1139</v>
      </c>
      <c r="D819" s="336">
        <v>87</v>
      </c>
      <c r="F819" s="362">
        <f t="shared" ref="F819:N819" si="242">F725</f>
        <v>1</v>
      </c>
      <c r="G819" s="362">
        <f t="shared" si="242"/>
        <v>1</v>
      </c>
      <c r="H819" s="362">
        <f t="shared" si="242"/>
        <v>2</v>
      </c>
      <c r="I819" s="362">
        <f t="shared" si="242"/>
        <v>0</v>
      </c>
      <c r="J819" s="362">
        <f t="shared" si="242"/>
        <v>1</v>
      </c>
      <c r="K819" s="362">
        <f t="shared" si="242"/>
        <v>2</v>
      </c>
      <c r="L819" s="362">
        <f t="shared" si="242"/>
        <v>1</v>
      </c>
      <c r="M819" s="362">
        <f t="shared" si="242"/>
        <v>0</v>
      </c>
      <c r="N819" s="362">
        <f t="shared" si="242"/>
        <v>2</v>
      </c>
      <c r="O819" s="362">
        <f>O725</f>
        <v>1</v>
      </c>
      <c r="P819" s="362">
        <f>P725</f>
        <v>0</v>
      </c>
      <c r="Q819" s="362">
        <f>Q725</f>
        <v>1</v>
      </c>
      <c r="R819" s="378">
        <f>SUM(F819:Q819)</f>
        <v>12</v>
      </c>
      <c r="S819" s="506"/>
    </row>
    <row r="820" spans="2:19" x14ac:dyDescent="0.2">
      <c r="C820" s="336" t="s">
        <v>1140</v>
      </c>
      <c r="D820" s="336" t="s">
        <v>119</v>
      </c>
      <c r="F820" s="362">
        <f t="shared" ref="F820:N820" si="243">F772</f>
        <v>12</v>
      </c>
      <c r="G820" s="362">
        <f t="shared" si="243"/>
        <v>12</v>
      </c>
      <c r="H820" s="362">
        <f t="shared" si="243"/>
        <v>12</v>
      </c>
      <c r="I820" s="362">
        <f t="shared" si="243"/>
        <v>12</v>
      </c>
      <c r="J820" s="362">
        <f t="shared" si="243"/>
        <v>12</v>
      </c>
      <c r="K820" s="362">
        <f t="shared" si="243"/>
        <v>12</v>
      </c>
      <c r="L820" s="362">
        <f t="shared" si="243"/>
        <v>12</v>
      </c>
      <c r="M820" s="362">
        <f t="shared" si="243"/>
        <v>12</v>
      </c>
      <c r="N820" s="362">
        <f t="shared" si="243"/>
        <v>12</v>
      </c>
      <c r="O820" s="362">
        <f>O772</f>
        <v>12</v>
      </c>
      <c r="P820" s="362">
        <f>P772</f>
        <v>12</v>
      </c>
      <c r="Q820" s="362">
        <f>Q772</f>
        <v>12</v>
      </c>
      <c r="R820" s="378">
        <f>SUM(F820:Q820)</f>
        <v>144</v>
      </c>
      <c r="S820" s="506"/>
    </row>
    <row r="821" spans="2:19" x14ac:dyDescent="0.2">
      <c r="C821" s="336" t="s">
        <v>1199</v>
      </c>
      <c r="F821" s="644">
        <f t="shared" ref="F821:N821" si="244">SUM(F801:F820)</f>
        <v>757684</v>
      </c>
      <c r="G821" s="644">
        <f t="shared" si="244"/>
        <v>758885</v>
      </c>
      <c r="H821" s="644">
        <f t="shared" si="244"/>
        <v>759873</v>
      </c>
      <c r="I821" s="644">
        <f t="shared" si="244"/>
        <v>760124.03</v>
      </c>
      <c r="J821" s="644">
        <f t="shared" si="244"/>
        <v>760670</v>
      </c>
      <c r="K821" s="644">
        <f t="shared" si="244"/>
        <v>761724</v>
      </c>
      <c r="L821" s="644">
        <f t="shared" si="244"/>
        <v>762056</v>
      </c>
      <c r="M821" s="644">
        <f t="shared" si="244"/>
        <v>761195</v>
      </c>
      <c r="N821" s="644">
        <f t="shared" si="244"/>
        <v>762357</v>
      </c>
      <c r="O821" s="644">
        <f>SUM(O801:O820)</f>
        <v>761431</v>
      </c>
      <c r="P821" s="644">
        <f>SUM(P801:P820)</f>
        <v>761918</v>
      </c>
      <c r="Q821" s="644">
        <f>SUM(Q801:Q820)</f>
        <v>762413</v>
      </c>
      <c r="R821" s="644">
        <f>SUM(R801:R820)</f>
        <v>9130330.0299999993</v>
      </c>
      <c r="S821" s="506"/>
    </row>
    <row r="823" spans="2:19" s="32" customFormat="1" x14ac:dyDescent="0.2">
      <c r="B823" s="32" t="s">
        <v>1142</v>
      </c>
      <c r="F823" s="424"/>
      <c r="G823" s="424"/>
      <c r="H823" s="424"/>
      <c r="I823" s="424"/>
      <c r="J823" s="424"/>
      <c r="K823" s="424"/>
      <c r="L823" s="424"/>
      <c r="M823" s="424"/>
      <c r="N823" s="424"/>
      <c r="O823" s="424"/>
      <c r="P823" s="424"/>
      <c r="Q823" s="424"/>
      <c r="R823" s="424"/>
      <c r="S823" s="390"/>
    </row>
    <row r="824" spans="2:19" s="32" customFormat="1" x14ac:dyDescent="0.2">
      <c r="C824" s="343" t="s">
        <v>1143</v>
      </c>
      <c r="D824" s="32">
        <v>23</v>
      </c>
      <c r="F824" s="424">
        <f t="shared" ref="F824:Q825" si="245">F801</f>
        <v>699965</v>
      </c>
      <c r="G824" s="424">
        <f t="shared" si="245"/>
        <v>701215</v>
      </c>
      <c r="H824" s="424">
        <f t="shared" si="245"/>
        <v>702257</v>
      </c>
      <c r="I824" s="424">
        <f t="shared" si="245"/>
        <v>702573</v>
      </c>
      <c r="J824" s="424">
        <f t="shared" si="245"/>
        <v>703246</v>
      </c>
      <c r="K824" s="424">
        <f t="shared" si="245"/>
        <v>704366</v>
      </c>
      <c r="L824" s="424">
        <f t="shared" si="245"/>
        <v>704758</v>
      </c>
      <c r="M824" s="424">
        <f t="shared" si="245"/>
        <v>703964</v>
      </c>
      <c r="N824" s="424">
        <f t="shared" si="245"/>
        <v>705153</v>
      </c>
      <c r="O824" s="424">
        <f t="shared" si="245"/>
        <v>704137</v>
      </c>
      <c r="P824" s="424">
        <f t="shared" si="245"/>
        <v>704666</v>
      </c>
      <c r="Q824" s="424">
        <f t="shared" si="245"/>
        <v>705036</v>
      </c>
      <c r="R824" s="424">
        <f>R801</f>
        <v>8441336</v>
      </c>
      <c r="S824" s="506"/>
    </row>
    <row r="825" spans="2:19" s="32" customFormat="1" x14ac:dyDescent="0.2">
      <c r="C825" s="343" t="s">
        <v>374</v>
      </c>
      <c r="D825" s="32">
        <v>53</v>
      </c>
      <c r="F825" s="424">
        <f t="shared" si="245"/>
        <v>5</v>
      </c>
      <c r="G825" s="424">
        <f t="shared" si="245"/>
        <v>5</v>
      </c>
      <c r="H825" s="424">
        <f t="shared" si="245"/>
        <v>5</v>
      </c>
      <c r="I825" s="424">
        <f t="shared" si="245"/>
        <v>5</v>
      </c>
      <c r="J825" s="424">
        <f t="shared" si="245"/>
        <v>5</v>
      </c>
      <c r="K825" s="424">
        <f t="shared" si="245"/>
        <v>5</v>
      </c>
      <c r="L825" s="424">
        <f t="shared" si="245"/>
        <v>6</v>
      </c>
      <c r="M825" s="424">
        <f t="shared" si="245"/>
        <v>6</v>
      </c>
      <c r="N825" s="424">
        <f t="shared" si="245"/>
        <v>5</v>
      </c>
      <c r="O825" s="424">
        <f t="shared" si="245"/>
        <v>5</v>
      </c>
      <c r="P825" s="424">
        <f t="shared" si="245"/>
        <v>5</v>
      </c>
      <c r="Q825" s="424">
        <f t="shared" si="245"/>
        <v>4</v>
      </c>
      <c r="R825" s="424">
        <f>R802</f>
        <v>61</v>
      </c>
      <c r="S825" s="506"/>
    </row>
    <row r="826" spans="2:19" s="32" customFormat="1" x14ac:dyDescent="0.2">
      <c r="C826" s="346" t="s">
        <v>1144</v>
      </c>
      <c r="D826" s="32">
        <v>31</v>
      </c>
      <c r="F826" s="424">
        <f t="shared" ref="F826:Q827" si="246">F803+F811</f>
        <v>55593</v>
      </c>
      <c r="G826" s="424">
        <f t="shared" si="246"/>
        <v>55541</v>
      </c>
      <c r="H826" s="424">
        <f t="shared" si="246"/>
        <v>55491</v>
      </c>
      <c r="I826" s="424">
        <f t="shared" si="246"/>
        <v>55430.02</v>
      </c>
      <c r="J826" s="424">
        <f t="shared" si="246"/>
        <v>55303</v>
      </c>
      <c r="K826" s="424">
        <f t="shared" si="246"/>
        <v>55230</v>
      </c>
      <c r="L826" s="424">
        <f t="shared" si="246"/>
        <v>55174</v>
      </c>
      <c r="M826" s="424">
        <f t="shared" si="246"/>
        <v>55126</v>
      </c>
      <c r="N826" s="424">
        <f t="shared" si="246"/>
        <v>55112</v>
      </c>
      <c r="O826" s="424">
        <f t="shared" si="246"/>
        <v>55229</v>
      </c>
      <c r="P826" s="424">
        <f t="shared" si="246"/>
        <v>55200</v>
      </c>
      <c r="Q826" s="424">
        <f t="shared" si="246"/>
        <v>55319</v>
      </c>
      <c r="R826" s="424">
        <f>R803+R811</f>
        <v>663748.02</v>
      </c>
      <c r="S826" s="506"/>
    </row>
    <row r="827" spans="2:19" s="32" customFormat="1" x14ac:dyDescent="0.2">
      <c r="C827" s="343" t="s">
        <v>1145</v>
      </c>
      <c r="D827" s="32">
        <v>41</v>
      </c>
      <c r="F827" s="424">
        <f t="shared" si="246"/>
        <v>1567</v>
      </c>
      <c r="G827" s="424">
        <f t="shared" si="246"/>
        <v>1564</v>
      </c>
      <c r="H827" s="424">
        <f t="shared" si="246"/>
        <v>1565</v>
      </c>
      <c r="I827" s="424">
        <f t="shared" si="246"/>
        <v>1567.01</v>
      </c>
      <c r="J827" s="424">
        <f t="shared" si="246"/>
        <v>1563</v>
      </c>
      <c r="K827" s="424">
        <f t="shared" si="246"/>
        <v>1570</v>
      </c>
      <c r="L827" s="424">
        <f t="shared" si="246"/>
        <v>1568</v>
      </c>
      <c r="M827" s="424">
        <f t="shared" si="246"/>
        <v>1551</v>
      </c>
      <c r="N827" s="424">
        <f t="shared" si="246"/>
        <v>1542</v>
      </c>
      <c r="O827" s="424">
        <f t="shared" si="246"/>
        <v>1519</v>
      </c>
      <c r="P827" s="424">
        <f t="shared" si="246"/>
        <v>1507</v>
      </c>
      <c r="Q827" s="424">
        <f t="shared" si="246"/>
        <v>1514</v>
      </c>
      <c r="R827" s="424">
        <f>R804+R812</f>
        <v>18597.009999999998</v>
      </c>
      <c r="S827" s="506"/>
    </row>
    <row r="828" spans="2:19" s="32" customFormat="1" x14ac:dyDescent="0.2">
      <c r="C828" s="343" t="s">
        <v>1146</v>
      </c>
      <c r="D828" s="32">
        <v>85</v>
      </c>
      <c r="F828" s="424">
        <f t="shared" ref="F828:R830" si="247">F808+F817</f>
        <v>34</v>
      </c>
      <c r="G828" s="424">
        <f t="shared" si="247"/>
        <v>34</v>
      </c>
      <c r="H828" s="424">
        <f t="shared" si="247"/>
        <v>36</v>
      </c>
      <c r="I828" s="424">
        <f t="shared" si="247"/>
        <v>36</v>
      </c>
      <c r="J828" s="424">
        <f t="shared" si="247"/>
        <v>35</v>
      </c>
      <c r="K828" s="424">
        <f t="shared" si="247"/>
        <v>35</v>
      </c>
      <c r="L828" s="424">
        <f t="shared" si="247"/>
        <v>35</v>
      </c>
      <c r="M828" s="424">
        <f t="shared" si="247"/>
        <v>36</v>
      </c>
      <c r="N828" s="424">
        <f t="shared" si="247"/>
        <v>35</v>
      </c>
      <c r="O828" s="424">
        <f t="shared" si="247"/>
        <v>35</v>
      </c>
      <c r="P828" s="424">
        <f t="shared" si="247"/>
        <v>35</v>
      </c>
      <c r="Q828" s="424">
        <f t="shared" si="247"/>
        <v>35</v>
      </c>
      <c r="R828" s="424">
        <f t="shared" si="247"/>
        <v>421</v>
      </c>
      <c r="S828" s="506"/>
    </row>
    <row r="829" spans="2:19" s="32" customFormat="1" x14ac:dyDescent="0.2">
      <c r="C829" s="343" t="s">
        <v>1147</v>
      </c>
      <c r="D829" s="32">
        <v>86</v>
      </c>
      <c r="F829" s="424">
        <f t="shared" si="247"/>
        <v>343</v>
      </c>
      <c r="G829" s="424">
        <f t="shared" si="247"/>
        <v>345</v>
      </c>
      <c r="H829" s="424">
        <f t="shared" si="247"/>
        <v>340</v>
      </c>
      <c r="I829" s="424">
        <f t="shared" si="247"/>
        <v>336</v>
      </c>
      <c r="J829" s="424">
        <f t="shared" si="247"/>
        <v>339</v>
      </c>
      <c r="K829" s="424">
        <f t="shared" si="247"/>
        <v>338</v>
      </c>
      <c r="L829" s="424">
        <f t="shared" si="247"/>
        <v>336</v>
      </c>
      <c r="M829" s="424">
        <f t="shared" si="247"/>
        <v>334</v>
      </c>
      <c r="N829" s="424">
        <f t="shared" si="247"/>
        <v>330</v>
      </c>
      <c r="O829" s="424">
        <f t="shared" si="247"/>
        <v>327</v>
      </c>
      <c r="P829" s="424">
        <f t="shared" si="247"/>
        <v>328</v>
      </c>
      <c r="Q829" s="424">
        <f t="shared" si="247"/>
        <v>327</v>
      </c>
      <c r="R829" s="424">
        <f t="shared" si="247"/>
        <v>4023</v>
      </c>
      <c r="S829" s="506"/>
    </row>
    <row r="830" spans="2:19" s="32" customFormat="1" x14ac:dyDescent="0.2">
      <c r="C830" s="343" t="s">
        <v>1148</v>
      </c>
      <c r="D830" s="32">
        <v>87</v>
      </c>
      <c r="F830" s="424">
        <f t="shared" si="247"/>
        <v>9</v>
      </c>
      <c r="G830" s="424">
        <f t="shared" si="247"/>
        <v>9</v>
      </c>
      <c r="H830" s="424">
        <f t="shared" si="247"/>
        <v>10</v>
      </c>
      <c r="I830" s="424">
        <f t="shared" si="247"/>
        <v>8</v>
      </c>
      <c r="J830" s="424">
        <f t="shared" si="247"/>
        <v>9</v>
      </c>
      <c r="K830" s="424">
        <f t="shared" si="247"/>
        <v>10</v>
      </c>
      <c r="L830" s="424">
        <f t="shared" si="247"/>
        <v>9</v>
      </c>
      <c r="M830" s="424">
        <f t="shared" si="247"/>
        <v>8</v>
      </c>
      <c r="N830" s="424">
        <f t="shared" si="247"/>
        <v>10</v>
      </c>
      <c r="O830" s="424">
        <f t="shared" si="247"/>
        <v>9</v>
      </c>
      <c r="P830" s="424">
        <f t="shared" si="247"/>
        <v>8</v>
      </c>
      <c r="Q830" s="424">
        <f t="shared" si="247"/>
        <v>9</v>
      </c>
      <c r="R830" s="424">
        <f t="shared" si="247"/>
        <v>108</v>
      </c>
      <c r="S830" s="506"/>
    </row>
    <row r="831" spans="2:19" s="32" customFormat="1" x14ac:dyDescent="0.2">
      <c r="C831" s="32" t="s">
        <v>1149</v>
      </c>
      <c r="D831" s="444" t="s">
        <v>808</v>
      </c>
      <c r="F831" s="424">
        <f t="shared" ref="F831:R832" si="248">F805+F813</f>
        <v>47</v>
      </c>
      <c r="G831" s="424">
        <f t="shared" si="248"/>
        <v>47</v>
      </c>
      <c r="H831" s="424">
        <f t="shared" si="248"/>
        <v>46</v>
      </c>
      <c r="I831" s="424">
        <f t="shared" si="248"/>
        <v>46</v>
      </c>
      <c r="J831" s="424">
        <f t="shared" si="248"/>
        <v>46</v>
      </c>
      <c r="K831" s="424">
        <f t="shared" si="248"/>
        <v>46</v>
      </c>
      <c r="L831" s="424">
        <f t="shared" si="248"/>
        <v>45</v>
      </c>
      <c r="M831" s="424">
        <f t="shared" si="248"/>
        <v>46</v>
      </c>
      <c r="N831" s="424">
        <f t="shared" si="248"/>
        <v>45</v>
      </c>
      <c r="O831" s="424">
        <f t="shared" si="248"/>
        <v>46</v>
      </c>
      <c r="P831" s="424">
        <f t="shared" si="248"/>
        <v>46</v>
      </c>
      <c r="Q831" s="424">
        <f t="shared" si="248"/>
        <v>46</v>
      </c>
      <c r="R831" s="424">
        <f t="shared" si="248"/>
        <v>552</v>
      </c>
      <c r="S831" s="506"/>
    </row>
    <row r="832" spans="2:19" s="32" customFormat="1" x14ac:dyDescent="0.2">
      <c r="C832" s="32" t="s">
        <v>1150</v>
      </c>
      <c r="D832" s="444" t="s">
        <v>809</v>
      </c>
      <c r="F832" s="424">
        <f t="shared" si="248"/>
        <v>95</v>
      </c>
      <c r="G832" s="424">
        <f t="shared" si="248"/>
        <v>99</v>
      </c>
      <c r="H832" s="424">
        <f t="shared" si="248"/>
        <v>97</v>
      </c>
      <c r="I832" s="424">
        <f t="shared" si="248"/>
        <v>97</v>
      </c>
      <c r="J832" s="424">
        <f t="shared" si="248"/>
        <v>98</v>
      </c>
      <c r="K832" s="424">
        <f t="shared" si="248"/>
        <v>98</v>
      </c>
      <c r="L832" s="424">
        <f t="shared" si="248"/>
        <v>99</v>
      </c>
      <c r="M832" s="424">
        <f t="shared" si="248"/>
        <v>98</v>
      </c>
      <c r="N832" s="424">
        <f t="shared" si="248"/>
        <v>99</v>
      </c>
      <c r="O832" s="424">
        <f t="shared" si="248"/>
        <v>98</v>
      </c>
      <c r="P832" s="424">
        <f t="shared" si="248"/>
        <v>97</v>
      </c>
      <c r="Q832" s="424">
        <f t="shared" si="248"/>
        <v>98</v>
      </c>
      <c r="R832" s="424">
        <f t="shared" si="248"/>
        <v>1173</v>
      </c>
      <c r="S832" s="506"/>
    </row>
    <row r="833" spans="2:19" s="32" customFormat="1" x14ac:dyDescent="0.2">
      <c r="C833" s="32" t="s">
        <v>1151</v>
      </c>
      <c r="D833" s="444" t="s">
        <v>810</v>
      </c>
      <c r="F833" s="424">
        <f>F815</f>
        <v>1</v>
      </c>
      <c r="G833" s="424">
        <f t="shared" ref="G833:R833" si="249">G815</f>
        <v>1</v>
      </c>
      <c r="H833" s="424">
        <f t="shared" si="249"/>
        <v>1</v>
      </c>
      <c r="I833" s="424">
        <f t="shared" si="249"/>
        <v>1</v>
      </c>
      <c r="J833" s="424">
        <f t="shared" si="249"/>
        <v>1</v>
      </c>
      <c r="K833" s="424">
        <f t="shared" si="249"/>
        <v>1</v>
      </c>
      <c r="L833" s="424">
        <f t="shared" si="249"/>
        <v>1</v>
      </c>
      <c r="M833" s="424">
        <f t="shared" si="249"/>
        <v>1</v>
      </c>
      <c r="N833" s="424">
        <f t="shared" si="249"/>
        <v>1</v>
      </c>
      <c r="O833" s="424">
        <f t="shared" si="249"/>
        <v>1</v>
      </c>
      <c r="P833" s="424">
        <f t="shared" si="249"/>
        <v>1</v>
      </c>
      <c r="Q833" s="424">
        <f t="shared" si="249"/>
        <v>1</v>
      </c>
      <c r="R833" s="424">
        <f t="shared" si="249"/>
        <v>12</v>
      </c>
      <c r="S833" s="506"/>
    </row>
    <row r="834" spans="2:19" s="32" customFormat="1" x14ac:dyDescent="0.2">
      <c r="C834" s="32" t="s">
        <v>1152</v>
      </c>
      <c r="D834" s="444" t="s">
        <v>811</v>
      </c>
      <c r="F834" s="424">
        <f t="shared" ref="F834:N834" si="250">F807+F816</f>
        <v>13</v>
      </c>
      <c r="G834" s="424">
        <f t="shared" si="250"/>
        <v>13</v>
      </c>
      <c r="H834" s="424">
        <f t="shared" si="250"/>
        <v>13</v>
      </c>
      <c r="I834" s="424">
        <f t="shared" si="250"/>
        <v>13</v>
      </c>
      <c r="J834" s="424">
        <f t="shared" si="250"/>
        <v>13</v>
      </c>
      <c r="K834" s="424">
        <f t="shared" si="250"/>
        <v>13</v>
      </c>
      <c r="L834" s="424">
        <f t="shared" si="250"/>
        <v>13</v>
      </c>
      <c r="M834" s="424">
        <f t="shared" si="250"/>
        <v>13</v>
      </c>
      <c r="N834" s="424">
        <f t="shared" si="250"/>
        <v>13</v>
      </c>
      <c r="O834" s="424">
        <f>O807+O816</f>
        <v>13</v>
      </c>
      <c r="P834" s="424">
        <f>P807+P816</f>
        <v>13</v>
      </c>
      <c r="Q834" s="424">
        <f>Q807+Q816</f>
        <v>12</v>
      </c>
      <c r="R834" s="424">
        <f>R807+R816</f>
        <v>155</v>
      </c>
      <c r="S834" s="506"/>
    </row>
    <row r="835" spans="2:19" s="32" customFormat="1" x14ac:dyDescent="0.2">
      <c r="C835" s="343" t="s">
        <v>844</v>
      </c>
      <c r="D835" s="32" t="s">
        <v>119</v>
      </c>
      <c r="F835" s="424">
        <f t="shared" ref="F835:N835" si="251">F820</f>
        <v>12</v>
      </c>
      <c r="G835" s="424">
        <f t="shared" si="251"/>
        <v>12</v>
      </c>
      <c r="H835" s="424">
        <f t="shared" si="251"/>
        <v>12</v>
      </c>
      <c r="I835" s="424">
        <f t="shared" si="251"/>
        <v>12</v>
      </c>
      <c r="J835" s="424">
        <f t="shared" si="251"/>
        <v>12</v>
      </c>
      <c r="K835" s="424">
        <f t="shared" si="251"/>
        <v>12</v>
      </c>
      <c r="L835" s="424">
        <f t="shared" si="251"/>
        <v>12</v>
      </c>
      <c r="M835" s="424">
        <f t="shared" si="251"/>
        <v>12</v>
      </c>
      <c r="N835" s="424">
        <f t="shared" si="251"/>
        <v>12</v>
      </c>
      <c r="O835" s="424">
        <f>O820</f>
        <v>12</v>
      </c>
      <c r="P835" s="424">
        <f>P820</f>
        <v>12</v>
      </c>
      <c r="Q835" s="424">
        <f>Q820</f>
        <v>12</v>
      </c>
      <c r="R835" s="424">
        <f>R820</f>
        <v>144</v>
      </c>
      <c r="S835" s="506"/>
    </row>
    <row r="836" spans="2:19" s="32" customFormat="1" x14ac:dyDescent="0.2">
      <c r="C836" s="32" t="s">
        <v>1141</v>
      </c>
      <c r="F836" s="357">
        <f t="shared" ref="F836:N836" si="252">SUM(F824:F835)</f>
        <v>757684</v>
      </c>
      <c r="G836" s="357">
        <f t="shared" si="252"/>
        <v>758885</v>
      </c>
      <c r="H836" s="357">
        <f t="shared" si="252"/>
        <v>759873</v>
      </c>
      <c r="I836" s="357">
        <f t="shared" si="252"/>
        <v>760124.03</v>
      </c>
      <c r="J836" s="357">
        <f t="shared" si="252"/>
        <v>760670</v>
      </c>
      <c r="K836" s="357">
        <f t="shared" si="252"/>
        <v>761724</v>
      </c>
      <c r="L836" s="357">
        <f t="shared" si="252"/>
        <v>762056</v>
      </c>
      <c r="M836" s="357">
        <f t="shared" si="252"/>
        <v>761195</v>
      </c>
      <c r="N836" s="357">
        <f t="shared" si="252"/>
        <v>762357</v>
      </c>
      <c r="O836" s="357">
        <f>SUM(O824:O835)</f>
        <v>761431</v>
      </c>
      <c r="P836" s="357">
        <f>SUM(P824:P835)</f>
        <v>761918</v>
      </c>
      <c r="Q836" s="357">
        <f>SUM(Q824:Q835)</f>
        <v>762413</v>
      </c>
      <c r="R836" s="357">
        <f>SUM(R824:R835)</f>
        <v>9130330.0299999993</v>
      </c>
      <c r="S836" s="424"/>
    </row>
    <row r="837" spans="2:19" s="32" customFormat="1" x14ac:dyDescent="0.2">
      <c r="C837" s="32" t="s">
        <v>1153</v>
      </c>
      <c r="F837" s="424">
        <f t="shared" ref="F837:N837" si="253">F836-F821</f>
        <v>0</v>
      </c>
      <c r="G837" s="424">
        <f t="shared" si="253"/>
        <v>0</v>
      </c>
      <c r="H837" s="424">
        <f t="shared" si="253"/>
        <v>0</v>
      </c>
      <c r="I837" s="424">
        <f t="shared" si="253"/>
        <v>0</v>
      </c>
      <c r="J837" s="424">
        <f t="shared" si="253"/>
        <v>0</v>
      </c>
      <c r="K837" s="424">
        <f t="shared" si="253"/>
        <v>0</v>
      </c>
      <c r="L837" s="424">
        <f t="shared" si="253"/>
        <v>0</v>
      </c>
      <c r="M837" s="424">
        <f t="shared" si="253"/>
        <v>0</v>
      </c>
      <c r="N837" s="424">
        <f t="shared" si="253"/>
        <v>0</v>
      </c>
      <c r="O837" s="424">
        <f>O836-O821</f>
        <v>0</v>
      </c>
      <c r="P837" s="424">
        <f>P836-P821</f>
        <v>0</v>
      </c>
      <c r="Q837" s="424">
        <f>Q836-Q821</f>
        <v>0</v>
      </c>
      <c r="R837" s="424">
        <f>R836-R821</f>
        <v>0</v>
      </c>
      <c r="S837" s="390"/>
    </row>
    <row r="838" spans="2:19" s="32" customFormat="1" x14ac:dyDescent="0.2">
      <c r="F838" s="424"/>
      <c r="G838" s="424"/>
      <c r="H838" s="424"/>
      <c r="I838" s="424"/>
      <c r="J838" s="424"/>
      <c r="K838" s="424"/>
      <c r="L838" s="424"/>
      <c r="M838" s="424"/>
      <c r="N838" s="424"/>
      <c r="O838" s="424"/>
      <c r="P838" s="424"/>
      <c r="Q838" s="424"/>
      <c r="R838" s="424"/>
      <c r="S838" s="390"/>
    </row>
    <row r="839" spans="2:19" x14ac:dyDescent="0.2">
      <c r="B839" s="336" t="s">
        <v>1154</v>
      </c>
      <c r="F839" s="362"/>
      <c r="G839" s="362"/>
      <c r="H839" s="362"/>
      <c r="I839" s="362"/>
      <c r="J839" s="362"/>
      <c r="K839" s="362"/>
      <c r="L839" s="362"/>
      <c r="M839" s="362"/>
      <c r="N839" s="362"/>
      <c r="O839" s="362"/>
      <c r="P839" s="362"/>
      <c r="Q839" s="362"/>
      <c r="R839" s="362"/>
    </row>
    <row r="840" spans="2:19" x14ac:dyDescent="0.2">
      <c r="C840" s="336" t="s">
        <v>1155</v>
      </c>
      <c r="D840" s="336">
        <v>16</v>
      </c>
      <c r="F840" s="378">
        <f t="shared" ref="F840:N840" si="254">F16</f>
        <v>1026</v>
      </c>
      <c r="G840" s="378">
        <f t="shared" si="254"/>
        <v>1026</v>
      </c>
      <c r="H840" s="378">
        <f t="shared" si="254"/>
        <v>1026</v>
      </c>
      <c r="I840" s="378">
        <f t="shared" si="254"/>
        <v>1026</v>
      </c>
      <c r="J840" s="378">
        <f t="shared" si="254"/>
        <v>1025.9999999999998</v>
      </c>
      <c r="K840" s="378">
        <f t="shared" si="254"/>
        <v>1026</v>
      </c>
      <c r="L840" s="378">
        <f t="shared" si="254"/>
        <v>1007</v>
      </c>
      <c r="M840" s="378">
        <f t="shared" si="254"/>
        <v>1007</v>
      </c>
      <c r="N840" s="378">
        <f t="shared" si="254"/>
        <v>1007</v>
      </c>
      <c r="O840" s="378">
        <f>O16</f>
        <v>1007</v>
      </c>
      <c r="P840" s="378">
        <f>P16</f>
        <v>1007</v>
      </c>
      <c r="Q840" s="378">
        <f>Q16</f>
        <v>1007</v>
      </c>
      <c r="R840" s="362">
        <f t="shared" ref="R840:R852" si="255">SUM(F840:Q840)</f>
        <v>12198</v>
      </c>
      <c r="S840" s="506"/>
    </row>
    <row r="841" spans="2:19" x14ac:dyDescent="0.2">
      <c r="C841" s="336" t="s">
        <v>374</v>
      </c>
      <c r="D841" s="336">
        <v>23</v>
      </c>
      <c r="F841" s="362">
        <f t="shared" ref="F841:N841" si="256">F34</f>
        <v>86695171</v>
      </c>
      <c r="G841" s="362">
        <f t="shared" si="256"/>
        <v>68940933</v>
      </c>
      <c r="H841" s="362">
        <f t="shared" si="256"/>
        <v>61849675</v>
      </c>
      <c r="I841" s="362">
        <f t="shared" si="256"/>
        <v>44615309</v>
      </c>
      <c r="J841" s="362">
        <f t="shared" si="256"/>
        <v>28758422</v>
      </c>
      <c r="K841" s="362">
        <f t="shared" si="256"/>
        <v>19470630</v>
      </c>
      <c r="L841" s="362">
        <f t="shared" si="256"/>
        <v>13949021</v>
      </c>
      <c r="M841" s="362">
        <f t="shared" si="256"/>
        <v>13135550</v>
      </c>
      <c r="N841" s="362">
        <f t="shared" si="256"/>
        <v>18065576</v>
      </c>
      <c r="O841" s="362">
        <f>O34</f>
        <v>38477158</v>
      </c>
      <c r="P841" s="362">
        <f>P34</f>
        <v>60610432</v>
      </c>
      <c r="Q841" s="362">
        <f>Q34</f>
        <v>93457074</v>
      </c>
      <c r="R841" s="362">
        <f t="shared" si="255"/>
        <v>548024951</v>
      </c>
      <c r="S841" s="506"/>
    </row>
    <row r="842" spans="2:19" x14ac:dyDescent="0.2">
      <c r="C842" s="336" t="s">
        <v>1122</v>
      </c>
      <c r="D842" s="336">
        <v>53</v>
      </c>
      <c r="F842" s="362">
        <f t="shared" ref="F842:N842" si="257">F52</f>
        <v>205</v>
      </c>
      <c r="G842" s="362">
        <f t="shared" si="257"/>
        <v>216</v>
      </c>
      <c r="H842" s="362">
        <f t="shared" si="257"/>
        <v>301</v>
      </c>
      <c r="I842" s="362">
        <f t="shared" si="257"/>
        <v>219</v>
      </c>
      <c r="J842" s="362">
        <f t="shared" si="257"/>
        <v>145</v>
      </c>
      <c r="K842" s="362">
        <f t="shared" si="257"/>
        <v>107</v>
      </c>
      <c r="L842" s="362">
        <f t="shared" si="257"/>
        <v>89</v>
      </c>
      <c r="M842" s="362">
        <f t="shared" si="257"/>
        <v>86</v>
      </c>
      <c r="N842" s="362">
        <f t="shared" si="257"/>
        <v>84</v>
      </c>
      <c r="O842" s="362">
        <f>O52</f>
        <v>160</v>
      </c>
      <c r="P842" s="362">
        <f>P52</f>
        <v>222</v>
      </c>
      <c r="Q842" s="362">
        <f>Q52</f>
        <v>280</v>
      </c>
      <c r="R842" s="362">
        <f t="shared" si="255"/>
        <v>2114</v>
      </c>
      <c r="S842" s="506"/>
    </row>
    <row r="843" spans="2:19" x14ac:dyDescent="0.2">
      <c r="C843" s="336" t="s">
        <v>1123</v>
      </c>
      <c r="D843" s="336">
        <v>31</v>
      </c>
      <c r="F843" s="362">
        <f t="shared" ref="F843:N843" si="258">F81</f>
        <v>27566601</v>
      </c>
      <c r="G843" s="362">
        <f t="shared" si="258"/>
        <v>21916584</v>
      </c>
      <c r="H843" s="362">
        <f t="shared" si="258"/>
        <v>19922735</v>
      </c>
      <c r="I843" s="362">
        <f t="shared" si="258"/>
        <v>14970230</v>
      </c>
      <c r="J843" s="362">
        <f t="shared" si="258"/>
        <v>10962543</v>
      </c>
      <c r="K843" s="362">
        <f t="shared" si="258"/>
        <v>8558003</v>
      </c>
      <c r="L843" s="362">
        <f t="shared" si="258"/>
        <v>7221778</v>
      </c>
      <c r="M843" s="362">
        <f t="shared" si="258"/>
        <v>7068070</v>
      </c>
      <c r="N843" s="362">
        <f t="shared" si="258"/>
        <v>7936342</v>
      </c>
      <c r="O843" s="362">
        <f>O81</f>
        <v>13131242</v>
      </c>
      <c r="P843" s="362">
        <f>P81</f>
        <v>19525584</v>
      </c>
      <c r="Q843" s="362">
        <f>Q81</f>
        <v>29784482</v>
      </c>
      <c r="R843" s="362">
        <f t="shared" si="255"/>
        <v>188564194</v>
      </c>
      <c r="S843" s="506"/>
    </row>
    <row r="844" spans="2:19" x14ac:dyDescent="0.2">
      <c r="C844" s="336" t="s">
        <v>1124</v>
      </c>
      <c r="D844" s="336">
        <v>41</v>
      </c>
      <c r="F844" s="362">
        <f t="shared" ref="F844:N844" si="259">F111</f>
        <v>6686815</v>
      </c>
      <c r="G844" s="362">
        <f t="shared" si="259"/>
        <v>5649194</v>
      </c>
      <c r="H844" s="362">
        <f t="shared" si="259"/>
        <v>5637786</v>
      </c>
      <c r="I844" s="362">
        <f t="shared" si="259"/>
        <v>4684262</v>
      </c>
      <c r="J844" s="362">
        <f t="shared" si="259"/>
        <v>3969201</v>
      </c>
      <c r="K844" s="362">
        <f t="shared" si="259"/>
        <v>3111902</v>
      </c>
      <c r="L844" s="362">
        <f t="shared" si="259"/>
        <v>2639853</v>
      </c>
      <c r="M844" s="362">
        <f t="shared" si="259"/>
        <v>2578521</v>
      </c>
      <c r="N844" s="362">
        <f t="shared" si="259"/>
        <v>2866078</v>
      </c>
      <c r="O844" s="362">
        <f>O111</f>
        <v>4083597</v>
      </c>
      <c r="P844" s="362">
        <f>P111</f>
        <v>5298386</v>
      </c>
      <c r="Q844" s="362">
        <f>Q111</f>
        <v>6825278</v>
      </c>
      <c r="R844" s="362">
        <f t="shared" si="255"/>
        <v>54030873</v>
      </c>
      <c r="S844" s="506"/>
    </row>
    <row r="845" spans="2:19" x14ac:dyDescent="0.2">
      <c r="C845" s="336" t="s">
        <v>1128</v>
      </c>
      <c r="D845" s="336">
        <v>85</v>
      </c>
      <c r="F845" s="362">
        <f t="shared" ref="F845:N845" si="260">F281</f>
        <v>1795306</v>
      </c>
      <c r="G845" s="362">
        <f t="shared" si="260"/>
        <v>1534143</v>
      </c>
      <c r="H845" s="362">
        <f t="shared" si="260"/>
        <v>1593625</v>
      </c>
      <c r="I845" s="362">
        <f t="shared" si="260"/>
        <v>1310019</v>
      </c>
      <c r="J845" s="362">
        <f t="shared" si="260"/>
        <v>1030744</v>
      </c>
      <c r="K845" s="362">
        <f t="shared" si="260"/>
        <v>812784</v>
      </c>
      <c r="L845" s="362">
        <f t="shared" si="260"/>
        <v>719459</v>
      </c>
      <c r="M845" s="362">
        <f t="shared" si="260"/>
        <v>682351</v>
      </c>
      <c r="N845" s="362">
        <f t="shared" si="260"/>
        <v>736716</v>
      </c>
      <c r="O845" s="362">
        <f>O281</f>
        <v>1129128</v>
      </c>
      <c r="P845" s="362">
        <f>P281</f>
        <v>1378725</v>
      </c>
      <c r="Q845" s="362">
        <f>Q281</f>
        <v>1699716</v>
      </c>
      <c r="R845" s="362">
        <f t="shared" si="255"/>
        <v>14422716</v>
      </c>
      <c r="S845" s="506"/>
    </row>
    <row r="846" spans="2:19" x14ac:dyDescent="0.2">
      <c r="C846" s="336" t="s">
        <v>1129</v>
      </c>
      <c r="D846" s="336">
        <v>86</v>
      </c>
      <c r="F846" s="362">
        <f t="shared" ref="F846:N846" si="261">F324</f>
        <v>1968191</v>
      </c>
      <c r="G846" s="362">
        <f t="shared" si="261"/>
        <v>1609877</v>
      </c>
      <c r="H846" s="362">
        <f t="shared" si="261"/>
        <v>1522268</v>
      </c>
      <c r="I846" s="362">
        <f t="shared" si="261"/>
        <v>1174316</v>
      </c>
      <c r="J846" s="362">
        <f t="shared" si="261"/>
        <v>857031</v>
      </c>
      <c r="K846" s="362">
        <f t="shared" si="261"/>
        <v>516896</v>
      </c>
      <c r="L846" s="362">
        <f t="shared" si="261"/>
        <v>362839</v>
      </c>
      <c r="M846" s="362">
        <f t="shared" si="261"/>
        <v>338531</v>
      </c>
      <c r="N846" s="362">
        <f t="shared" si="261"/>
        <v>491729</v>
      </c>
      <c r="O846" s="362">
        <f>O324</f>
        <v>970448</v>
      </c>
      <c r="P846" s="362">
        <f>P324</f>
        <v>1399110</v>
      </c>
      <c r="Q846" s="362">
        <f>Q324</f>
        <v>1846010</v>
      </c>
      <c r="R846" s="362">
        <f t="shared" si="255"/>
        <v>13057246</v>
      </c>
      <c r="S846" s="506"/>
    </row>
    <row r="847" spans="2:19" x14ac:dyDescent="0.2">
      <c r="C847" s="336" t="s">
        <v>1130</v>
      </c>
      <c r="D847" s="336">
        <v>87</v>
      </c>
      <c r="F847" s="362">
        <f t="shared" ref="F847:N847" si="262">F374</f>
        <v>3400443</v>
      </c>
      <c r="G847" s="362">
        <f t="shared" si="262"/>
        <v>2906136</v>
      </c>
      <c r="H847" s="362">
        <f t="shared" si="262"/>
        <v>2850641</v>
      </c>
      <c r="I847" s="362">
        <f t="shared" si="262"/>
        <v>2417465</v>
      </c>
      <c r="J847" s="362">
        <f t="shared" si="262"/>
        <v>2090067</v>
      </c>
      <c r="K847" s="362">
        <f t="shared" si="262"/>
        <v>1738825</v>
      </c>
      <c r="L847" s="362">
        <f t="shared" si="262"/>
        <v>1565592</v>
      </c>
      <c r="M847" s="362">
        <f t="shared" si="262"/>
        <v>1423850</v>
      </c>
      <c r="N847" s="362">
        <f t="shared" si="262"/>
        <v>1526222</v>
      </c>
      <c r="O847" s="362">
        <f>O374</f>
        <v>2203016</v>
      </c>
      <c r="P847" s="362">
        <f>P374</f>
        <v>2672102</v>
      </c>
      <c r="Q847" s="362">
        <f>Q374</f>
        <v>3452258</v>
      </c>
      <c r="R847" s="362">
        <f t="shared" si="255"/>
        <v>28246617</v>
      </c>
      <c r="S847" s="506"/>
    </row>
    <row r="848" spans="2:19" x14ac:dyDescent="0.2">
      <c r="C848" s="336" t="s">
        <v>1131</v>
      </c>
      <c r="D848" s="336">
        <v>31</v>
      </c>
      <c r="F848" s="362">
        <f t="shared" ref="F848:N848" si="263">F409</f>
        <v>2249912</v>
      </c>
      <c r="G848" s="362">
        <f t="shared" si="263"/>
        <v>1770209</v>
      </c>
      <c r="H848" s="362">
        <f t="shared" si="263"/>
        <v>1520682</v>
      </c>
      <c r="I848" s="362">
        <f t="shared" si="263"/>
        <v>1081321</v>
      </c>
      <c r="J848" s="362">
        <f t="shared" si="263"/>
        <v>719006</v>
      </c>
      <c r="K848" s="362">
        <f t="shared" si="263"/>
        <v>521740</v>
      </c>
      <c r="L848" s="362">
        <f t="shared" si="263"/>
        <v>432613</v>
      </c>
      <c r="M848" s="362">
        <f t="shared" si="263"/>
        <v>426650</v>
      </c>
      <c r="N848" s="362">
        <f t="shared" si="263"/>
        <v>491402</v>
      </c>
      <c r="O848" s="362">
        <f>O409</f>
        <v>912661</v>
      </c>
      <c r="P848" s="362">
        <f>P409</f>
        <v>1389364</v>
      </c>
      <c r="Q848" s="362">
        <f>Q409</f>
        <v>2307296</v>
      </c>
      <c r="R848" s="362">
        <f t="shared" si="255"/>
        <v>13822856</v>
      </c>
      <c r="S848" s="506"/>
    </row>
    <row r="849" spans="2:19" x14ac:dyDescent="0.2">
      <c r="C849" s="336" t="s">
        <v>1132</v>
      </c>
      <c r="D849" s="336">
        <v>41</v>
      </c>
      <c r="F849" s="362">
        <f t="shared" ref="F849:N849" si="264">F439</f>
        <v>1372293</v>
      </c>
      <c r="G849" s="362">
        <f t="shared" si="264"/>
        <v>1256456</v>
      </c>
      <c r="H849" s="362">
        <f t="shared" si="264"/>
        <v>1405044</v>
      </c>
      <c r="I849" s="362">
        <f t="shared" si="264"/>
        <v>1335920</v>
      </c>
      <c r="J849" s="362">
        <f t="shared" si="264"/>
        <v>1302180</v>
      </c>
      <c r="K849" s="362">
        <f t="shared" si="264"/>
        <v>1174152</v>
      </c>
      <c r="L849" s="362">
        <f t="shared" si="264"/>
        <v>1164314</v>
      </c>
      <c r="M849" s="362">
        <f t="shared" si="264"/>
        <v>1214353</v>
      </c>
      <c r="N849" s="362">
        <f t="shared" si="264"/>
        <v>1193831</v>
      </c>
      <c r="O849" s="362">
        <f>O439</f>
        <v>1350479</v>
      </c>
      <c r="P849" s="362">
        <f>P439</f>
        <v>1358705</v>
      </c>
      <c r="Q849" s="362">
        <f>Q439</f>
        <v>1409657</v>
      </c>
      <c r="R849" s="362">
        <f t="shared" si="255"/>
        <v>15537384</v>
      </c>
      <c r="S849" s="506"/>
    </row>
    <row r="850" spans="2:19" x14ac:dyDescent="0.2">
      <c r="C850" s="336" t="s">
        <v>1137</v>
      </c>
      <c r="D850" s="336">
        <v>85</v>
      </c>
      <c r="F850" s="362">
        <f t="shared" ref="F850:N850" si="265">F640</f>
        <v>244025</v>
      </c>
      <c r="G850" s="362">
        <f t="shared" si="265"/>
        <v>230437</v>
      </c>
      <c r="H850" s="362">
        <f t="shared" si="265"/>
        <v>250310</v>
      </c>
      <c r="I850" s="362">
        <f t="shared" si="265"/>
        <v>238410</v>
      </c>
      <c r="J850" s="362">
        <f t="shared" si="265"/>
        <v>231789</v>
      </c>
      <c r="K850" s="362">
        <f t="shared" si="265"/>
        <v>223465</v>
      </c>
      <c r="L850" s="362">
        <f t="shared" si="265"/>
        <v>210855</v>
      </c>
      <c r="M850" s="362">
        <f t="shared" si="265"/>
        <v>254827</v>
      </c>
      <c r="N850" s="362">
        <f t="shared" si="265"/>
        <v>253789</v>
      </c>
      <c r="O850" s="362">
        <f>O640</f>
        <v>236615</v>
      </c>
      <c r="P850" s="362">
        <f>P640</f>
        <v>238060</v>
      </c>
      <c r="Q850" s="362">
        <f>Q640</f>
        <v>249530</v>
      </c>
      <c r="R850" s="362">
        <f t="shared" si="255"/>
        <v>2862112</v>
      </c>
      <c r="S850" s="506"/>
    </row>
    <row r="851" spans="2:19" x14ac:dyDescent="0.2">
      <c r="C851" s="336" t="s">
        <v>1138</v>
      </c>
      <c r="D851" s="336">
        <v>86</v>
      </c>
      <c r="F851" s="362">
        <f t="shared" ref="F851:N851" si="266">F683</f>
        <v>171505</v>
      </c>
      <c r="G851" s="362">
        <f t="shared" si="266"/>
        <v>146383</v>
      </c>
      <c r="H851" s="362">
        <f t="shared" si="266"/>
        <v>66915</v>
      </c>
      <c r="I851" s="362">
        <f t="shared" si="266"/>
        <v>40614</v>
      </c>
      <c r="J851" s="362">
        <f t="shared" si="266"/>
        <v>65028</v>
      </c>
      <c r="K851" s="362">
        <f t="shared" si="266"/>
        <v>83876</v>
      </c>
      <c r="L851" s="362">
        <f t="shared" si="266"/>
        <v>55528</v>
      </c>
      <c r="M851" s="362">
        <f t="shared" si="266"/>
        <v>31451</v>
      </c>
      <c r="N851" s="362">
        <f t="shared" si="266"/>
        <v>25943</v>
      </c>
      <c r="O851" s="362">
        <f>O683</f>
        <v>30191</v>
      </c>
      <c r="P851" s="362">
        <f>P683</f>
        <v>52254</v>
      </c>
      <c r="Q851" s="362">
        <f>Q683</f>
        <v>62644</v>
      </c>
      <c r="R851" s="362">
        <f t="shared" si="255"/>
        <v>832332</v>
      </c>
      <c r="S851" s="506"/>
    </row>
    <row r="852" spans="2:19" x14ac:dyDescent="0.2">
      <c r="C852" s="336" t="s">
        <v>1139</v>
      </c>
      <c r="D852" s="336">
        <v>87</v>
      </c>
      <c r="F852" s="362">
        <f t="shared" ref="F852:N852" si="267">F733</f>
        <v>83770</v>
      </c>
      <c r="G852" s="362">
        <f t="shared" si="267"/>
        <v>115393</v>
      </c>
      <c r="H852" s="362">
        <f t="shared" si="267"/>
        <v>118389</v>
      </c>
      <c r="I852" s="362">
        <f t="shared" si="267"/>
        <v>148227</v>
      </c>
      <c r="J852" s="362">
        <f t="shared" si="267"/>
        <v>172767</v>
      </c>
      <c r="K852" s="362">
        <f t="shared" si="267"/>
        <v>130945</v>
      </c>
      <c r="L852" s="362">
        <f t="shared" si="267"/>
        <v>105034</v>
      </c>
      <c r="M852" s="362">
        <f t="shared" si="267"/>
        <v>153481</v>
      </c>
      <c r="N852" s="362">
        <f t="shared" si="267"/>
        <v>200237</v>
      </c>
      <c r="O852" s="362">
        <f>O733</f>
        <v>222364</v>
      </c>
      <c r="P852" s="362">
        <f>P733</f>
        <v>202008</v>
      </c>
      <c r="Q852" s="362">
        <f>Q733</f>
        <v>136423</v>
      </c>
      <c r="R852" s="362">
        <f t="shared" si="255"/>
        <v>1789038</v>
      </c>
      <c r="S852" s="506"/>
    </row>
    <row r="853" spans="2:19" x14ac:dyDescent="0.2">
      <c r="C853" s="336" t="s">
        <v>1156</v>
      </c>
      <c r="F853" s="644">
        <f t="shared" ref="F853:N853" si="268">SUM(F840:F852)</f>
        <v>132235263</v>
      </c>
      <c r="G853" s="644">
        <f t="shared" si="268"/>
        <v>106076987</v>
      </c>
      <c r="H853" s="644">
        <f t="shared" si="268"/>
        <v>96739397</v>
      </c>
      <c r="I853" s="644">
        <f t="shared" si="268"/>
        <v>72017338</v>
      </c>
      <c r="J853" s="644">
        <f t="shared" si="268"/>
        <v>50159949</v>
      </c>
      <c r="K853" s="644">
        <f t="shared" si="268"/>
        <v>36344351</v>
      </c>
      <c r="L853" s="644">
        <f t="shared" si="268"/>
        <v>28427982</v>
      </c>
      <c r="M853" s="644">
        <f t="shared" si="268"/>
        <v>27308728</v>
      </c>
      <c r="N853" s="644">
        <f t="shared" si="268"/>
        <v>33788956</v>
      </c>
      <c r="O853" s="644">
        <f>SUM(O840:O852)</f>
        <v>62748066</v>
      </c>
      <c r="P853" s="644">
        <f>SUM(P840:P852)</f>
        <v>94125959</v>
      </c>
      <c r="Q853" s="644">
        <f>SUM(Q840:Q852)</f>
        <v>141231655</v>
      </c>
      <c r="R853" s="644">
        <f>SUM(R840:R852)</f>
        <v>881204631</v>
      </c>
      <c r="S853" s="506"/>
    </row>
    <row r="855" spans="2:19" x14ac:dyDescent="0.2">
      <c r="B855" s="336" t="s">
        <v>1157</v>
      </c>
    </row>
    <row r="856" spans="2:19" x14ac:dyDescent="0.2">
      <c r="C856" s="336" t="s">
        <v>1125</v>
      </c>
      <c r="D856" s="382" t="s">
        <v>808</v>
      </c>
      <c r="F856" s="362">
        <f t="shared" ref="F856:N856" si="269">F150</f>
        <v>279454</v>
      </c>
      <c r="G856" s="362">
        <f t="shared" si="269"/>
        <v>257561</v>
      </c>
      <c r="H856" s="362">
        <f t="shared" si="269"/>
        <v>285994</v>
      </c>
      <c r="I856" s="362">
        <f t="shared" si="269"/>
        <v>259942</v>
      </c>
      <c r="J856" s="362">
        <f t="shared" si="269"/>
        <v>228605</v>
      </c>
      <c r="K856" s="362">
        <f t="shared" si="269"/>
        <v>198260</v>
      </c>
      <c r="L856" s="362">
        <f t="shared" si="269"/>
        <v>200037</v>
      </c>
      <c r="M856" s="362">
        <f t="shared" si="269"/>
        <v>196495</v>
      </c>
      <c r="N856" s="362">
        <f t="shared" si="269"/>
        <v>193152</v>
      </c>
      <c r="O856" s="362">
        <f>O150</f>
        <v>223619</v>
      </c>
      <c r="P856" s="362">
        <f>P150</f>
        <v>285003</v>
      </c>
      <c r="Q856" s="362">
        <f>Q150</f>
        <v>318484</v>
      </c>
      <c r="R856" s="362">
        <f t="shared" ref="R856:R863" si="270">SUM(F856:Q856)</f>
        <v>2926606</v>
      </c>
      <c r="S856" s="506"/>
    </row>
    <row r="857" spans="2:19" x14ac:dyDescent="0.2">
      <c r="C857" s="336" t="s">
        <v>1126</v>
      </c>
      <c r="D857" s="382" t="s">
        <v>809</v>
      </c>
      <c r="F857" s="362">
        <f t="shared" ref="F857:N857" si="271">F186</f>
        <v>2100604</v>
      </c>
      <c r="G857" s="362">
        <f t="shared" si="271"/>
        <v>1889104</v>
      </c>
      <c r="H857" s="362">
        <f t="shared" si="271"/>
        <v>2124952</v>
      </c>
      <c r="I857" s="362">
        <f t="shared" si="271"/>
        <v>1956151</v>
      </c>
      <c r="J857" s="362">
        <f t="shared" si="271"/>
        <v>1862821</v>
      </c>
      <c r="K857" s="362">
        <f t="shared" si="271"/>
        <v>1745177</v>
      </c>
      <c r="L857" s="362">
        <f t="shared" si="271"/>
        <v>1641957</v>
      </c>
      <c r="M857" s="362">
        <f t="shared" si="271"/>
        <v>1698296</v>
      </c>
      <c r="N857" s="362">
        <f t="shared" si="271"/>
        <v>1702205</v>
      </c>
      <c r="O857" s="362">
        <f>O186</f>
        <v>1940953</v>
      </c>
      <c r="P857" s="362">
        <f>P186</f>
        <v>2090527</v>
      </c>
      <c r="Q857" s="362">
        <f>Q186</f>
        <v>2197380</v>
      </c>
      <c r="R857" s="362">
        <f t="shared" si="270"/>
        <v>22950127</v>
      </c>
      <c r="S857" s="506"/>
    </row>
    <row r="858" spans="2:19" x14ac:dyDescent="0.2">
      <c r="C858" s="336" t="s">
        <v>1160</v>
      </c>
      <c r="D858" s="382" t="s">
        <v>811</v>
      </c>
      <c r="F858" s="362">
        <f t="shared" ref="F858:N858" si="272">F227</f>
        <v>2327496</v>
      </c>
      <c r="G858" s="362">
        <f t="shared" si="272"/>
        <v>1927458</v>
      </c>
      <c r="H858" s="362">
        <f t="shared" si="272"/>
        <v>1886886</v>
      </c>
      <c r="I858" s="362">
        <f t="shared" si="272"/>
        <v>1623768</v>
      </c>
      <c r="J858" s="362">
        <f t="shared" si="272"/>
        <v>1418938</v>
      </c>
      <c r="K858" s="362">
        <f t="shared" si="272"/>
        <v>1294429</v>
      </c>
      <c r="L858" s="362">
        <f t="shared" si="272"/>
        <v>1196692</v>
      </c>
      <c r="M858" s="362">
        <f t="shared" si="272"/>
        <v>1164811</v>
      </c>
      <c r="N858" s="362">
        <f t="shared" si="272"/>
        <v>1236580</v>
      </c>
      <c r="O858" s="362">
        <f>O227</f>
        <v>1512003</v>
      </c>
      <c r="P858" s="362">
        <f>P227</f>
        <v>1880569</v>
      </c>
      <c r="Q858" s="362">
        <f>Q227</f>
        <v>2127715</v>
      </c>
      <c r="R858" s="362">
        <f t="shared" si="270"/>
        <v>19597345</v>
      </c>
      <c r="S858" s="506"/>
    </row>
    <row r="859" spans="2:19" x14ac:dyDescent="0.2">
      <c r="C859" s="336" t="s">
        <v>1161</v>
      </c>
      <c r="D859" s="382" t="s">
        <v>808</v>
      </c>
      <c r="F859" s="362">
        <f t="shared" ref="F859:N859" si="273">F478</f>
        <v>360334</v>
      </c>
      <c r="G859" s="362">
        <f t="shared" si="273"/>
        <v>348158</v>
      </c>
      <c r="H859" s="362">
        <f t="shared" si="273"/>
        <v>375825</v>
      </c>
      <c r="I859" s="362">
        <f t="shared" si="273"/>
        <v>354210</v>
      </c>
      <c r="J859" s="362">
        <f t="shared" si="273"/>
        <v>327498</v>
      </c>
      <c r="K859" s="362">
        <f t="shared" si="273"/>
        <v>422900</v>
      </c>
      <c r="L859" s="362">
        <f t="shared" si="273"/>
        <v>433263</v>
      </c>
      <c r="M859" s="362">
        <f t="shared" si="273"/>
        <v>441783</v>
      </c>
      <c r="N859" s="362">
        <f t="shared" si="273"/>
        <v>420720</v>
      </c>
      <c r="O859" s="362">
        <f>O478</f>
        <v>429271</v>
      </c>
      <c r="P859" s="362">
        <f>P478</f>
        <v>479248</v>
      </c>
      <c r="Q859" s="362">
        <f>Q478</f>
        <v>494758</v>
      </c>
      <c r="R859" s="362">
        <f t="shared" si="270"/>
        <v>4887968</v>
      </c>
      <c r="S859" s="506"/>
    </row>
    <row r="860" spans="2:19" x14ac:dyDescent="0.2">
      <c r="C860" s="336" t="s">
        <v>1162</v>
      </c>
      <c r="D860" s="382" t="s">
        <v>809</v>
      </c>
      <c r="F860" s="362">
        <f t="shared" ref="F860:N860" si="274">F514</f>
        <v>3194288</v>
      </c>
      <c r="G860" s="362">
        <f t="shared" si="274"/>
        <v>3145766</v>
      </c>
      <c r="H860" s="362">
        <f t="shared" si="274"/>
        <v>3611839</v>
      </c>
      <c r="I860" s="362">
        <f t="shared" si="274"/>
        <v>3488542</v>
      </c>
      <c r="J860" s="362">
        <f t="shared" si="274"/>
        <v>3558586</v>
      </c>
      <c r="K860" s="362">
        <f t="shared" si="274"/>
        <v>3901695</v>
      </c>
      <c r="L860" s="362">
        <f t="shared" si="274"/>
        <v>3565124</v>
      </c>
      <c r="M860" s="362">
        <f t="shared" si="274"/>
        <v>3675294</v>
      </c>
      <c r="N860" s="362">
        <f t="shared" si="274"/>
        <v>3427405</v>
      </c>
      <c r="O860" s="362">
        <f>O514</f>
        <v>3642138</v>
      </c>
      <c r="P860" s="362">
        <f>P514</f>
        <v>3503575</v>
      </c>
      <c r="Q860" s="362">
        <f>Q514</f>
        <v>3241505</v>
      </c>
      <c r="R860" s="362">
        <f t="shared" si="270"/>
        <v>41955757</v>
      </c>
      <c r="S860" s="506"/>
    </row>
    <row r="861" spans="2:19" x14ac:dyDescent="0.2">
      <c r="C861" s="32" t="s">
        <v>1163</v>
      </c>
      <c r="D861" s="444" t="s">
        <v>810</v>
      </c>
      <c r="F861" s="362">
        <f>F547</f>
        <v>91</v>
      </c>
      <c r="G861" s="362">
        <f t="shared" ref="G861:Q861" si="275">G547</f>
        <v>2886</v>
      </c>
      <c r="H861" s="362">
        <f t="shared" si="275"/>
        <v>12304</v>
      </c>
      <c r="I861" s="362">
        <f t="shared" si="275"/>
        <v>22580</v>
      </c>
      <c r="J861" s="362">
        <f t="shared" si="275"/>
        <v>14443</v>
      </c>
      <c r="K861" s="362">
        <f t="shared" si="275"/>
        <v>0</v>
      </c>
      <c r="L861" s="362">
        <f t="shared" si="275"/>
        <v>0</v>
      </c>
      <c r="M861" s="362">
        <f t="shared" si="275"/>
        <v>2158</v>
      </c>
      <c r="N861" s="362">
        <f t="shared" si="275"/>
        <v>9063</v>
      </c>
      <c r="O861" s="362">
        <f t="shared" si="275"/>
        <v>8098</v>
      </c>
      <c r="P861" s="362">
        <f t="shared" si="275"/>
        <v>963</v>
      </c>
      <c r="Q861" s="362">
        <f t="shared" si="275"/>
        <v>197</v>
      </c>
      <c r="R861" s="362">
        <f t="shared" si="270"/>
        <v>72783</v>
      </c>
      <c r="S861" s="506"/>
    </row>
    <row r="862" spans="2:19" x14ac:dyDescent="0.2">
      <c r="C862" s="336" t="s">
        <v>1164</v>
      </c>
      <c r="D862" s="382" t="s">
        <v>811</v>
      </c>
      <c r="F862" s="362">
        <f t="shared" ref="F862:N862" si="276">F587</f>
        <v>7278688</v>
      </c>
      <c r="G862" s="362">
        <f t="shared" si="276"/>
        <v>5758210</v>
      </c>
      <c r="H862" s="362">
        <f t="shared" si="276"/>
        <v>6916724</v>
      </c>
      <c r="I862" s="362">
        <f t="shared" si="276"/>
        <v>6858301</v>
      </c>
      <c r="J862" s="362">
        <f t="shared" si="276"/>
        <v>7969590</v>
      </c>
      <c r="K862" s="362">
        <f t="shared" si="276"/>
        <v>6711041</v>
      </c>
      <c r="L862" s="362">
        <f t="shared" si="276"/>
        <v>7300080</v>
      </c>
      <c r="M862" s="362">
        <f t="shared" si="276"/>
        <v>7448528</v>
      </c>
      <c r="N862" s="362">
        <f t="shared" si="276"/>
        <v>6304467</v>
      </c>
      <c r="O862" s="362">
        <f>O587</f>
        <v>6466760</v>
      </c>
      <c r="P862" s="362">
        <f>P587</f>
        <v>5295710</v>
      </c>
      <c r="Q862" s="362">
        <f>Q587</f>
        <v>5673131</v>
      </c>
      <c r="R862" s="362">
        <f t="shared" si="270"/>
        <v>79981230</v>
      </c>
      <c r="S862" s="506"/>
    </row>
    <row r="863" spans="2:19" x14ac:dyDescent="0.2">
      <c r="C863" s="336" t="s">
        <v>1173</v>
      </c>
      <c r="F863" s="362">
        <f t="shared" ref="F863:N863" si="277">F780</f>
        <v>4174040</v>
      </c>
      <c r="G863" s="362">
        <f t="shared" si="277"/>
        <v>3718409</v>
      </c>
      <c r="H863" s="362">
        <f t="shared" si="277"/>
        <v>3764950</v>
      </c>
      <c r="I863" s="362">
        <f t="shared" si="277"/>
        <v>3145382</v>
      </c>
      <c r="J863" s="362">
        <f t="shared" si="277"/>
        <v>2395387</v>
      </c>
      <c r="K863" s="362">
        <f t="shared" si="277"/>
        <v>2216168</v>
      </c>
      <c r="L863" s="362">
        <f t="shared" si="277"/>
        <v>2006793</v>
      </c>
      <c r="M863" s="362">
        <f t="shared" si="277"/>
        <v>1941842</v>
      </c>
      <c r="N863" s="362">
        <f t="shared" si="277"/>
        <v>1974119</v>
      </c>
      <c r="O863" s="362">
        <f>O780</f>
        <v>2868579</v>
      </c>
      <c r="P863" s="362">
        <f>P780</f>
        <v>3672235</v>
      </c>
      <c r="Q863" s="362">
        <f>Q780</f>
        <v>4102274</v>
      </c>
      <c r="R863" s="362">
        <f t="shared" si="270"/>
        <v>35980178</v>
      </c>
      <c r="S863" s="506"/>
    </row>
    <row r="864" spans="2:19" x14ac:dyDescent="0.2">
      <c r="C864" s="336" t="s">
        <v>1166</v>
      </c>
      <c r="F864" s="644">
        <f t="shared" ref="F864:N864" si="278">SUM(F856:F863)</f>
        <v>19714995</v>
      </c>
      <c r="G864" s="644">
        <f t="shared" si="278"/>
        <v>17047552</v>
      </c>
      <c r="H864" s="644">
        <f t="shared" si="278"/>
        <v>18979474</v>
      </c>
      <c r="I864" s="644">
        <f t="shared" si="278"/>
        <v>17708876</v>
      </c>
      <c r="J864" s="644">
        <f t="shared" si="278"/>
        <v>17775868</v>
      </c>
      <c r="K864" s="644">
        <f t="shared" si="278"/>
        <v>16489670</v>
      </c>
      <c r="L864" s="644">
        <f t="shared" si="278"/>
        <v>16343946</v>
      </c>
      <c r="M864" s="644">
        <f t="shared" si="278"/>
        <v>16569207</v>
      </c>
      <c r="N864" s="644">
        <f t="shared" si="278"/>
        <v>15267711</v>
      </c>
      <c r="O864" s="644">
        <f>SUM(O856:O863)</f>
        <v>17091421</v>
      </c>
      <c r="P864" s="644">
        <f>SUM(P856:P863)</f>
        <v>17207830</v>
      </c>
      <c r="Q864" s="644">
        <f>SUM(Q856:Q863)</f>
        <v>18155444</v>
      </c>
      <c r="R864" s="644">
        <f>SUM(R856:R863)</f>
        <v>208351994</v>
      </c>
      <c r="S864" s="506"/>
    </row>
    <row r="865" spans="2:19" x14ac:dyDescent="0.2">
      <c r="F865" s="506"/>
      <c r="G865" s="506"/>
      <c r="H865" s="506"/>
      <c r="I865" s="506"/>
      <c r="J865" s="506"/>
      <c r="K865" s="506"/>
      <c r="L865" s="506"/>
      <c r="M865" s="506"/>
      <c r="N865" s="506"/>
      <c r="O865" s="506"/>
      <c r="P865" s="506"/>
      <c r="Q865" s="506"/>
      <c r="R865" s="506"/>
      <c r="S865" s="506"/>
    </row>
    <row r="866" spans="2:19" x14ac:dyDescent="0.2">
      <c r="B866" s="336" t="s">
        <v>1167</v>
      </c>
      <c r="F866" s="644">
        <f t="shared" ref="F866:N866" si="279">F853+F864</f>
        <v>151950258</v>
      </c>
      <c r="G866" s="644">
        <f t="shared" si="279"/>
        <v>123124539</v>
      </c>
      <c r="H866" s="644">
        <f t="shared" si="279"/>
        <v>115718871</v>
      </c>
      <c r="I866" s="644">
        <f t="shared" si="279"/>
        <v>89726214</v>
      </c>
      <c r="J866" s="644">
        <f t="shared" si="279"/>
        <v>67935817</v>
      </c>
      <c r="K866" s="644">
        <f t="shared" si="279"/>
        <v>52834021</v>
      </c>
      <c r="L866" s="644">
        <f t="shared" si="279"/>
        <v>44771928</v>
      </c>
      <c r="M866" s="644">
        <f t="shared" si="279"/>
        <v>43877935</v>
      </c>
      <c r="N866" s="644">
        <f t="shared" si="279"/>
        <v>49056667</v>
      </c>
      <c r="O866" s="644">
        <f>O853+O864</f>
        <v>79839487</v>
      </c>
      <c r="P866" s="644">
        <f>P853+P864</f>
        <v>111333789</v>
      </c>
      <c r="Q866" s="644">
        <f>Q853+Q864</f>
        <v>159387099</v>
      </c>
      <c r="R866" s="644">
        <f>R853+R864</f>
        <v>1089556625</v>
      </c>
      <c r="S866" s="506"/>
    </row>
    <row r="868" spans="2:19" s="32" customFormat="1" x14ac:dyDescent="0.2">
      <c r="B868" s="32" t="s">
        <v>1168</v>
      </c>
      <c r="F868" s="424"/>
      <c r="G868" s="424"/>
      <c r="H868" s="424"/>
      <c r="I868" s="424"/>
      <c r="J868" s="424"/>
      <c r="K868" s="424"/>
      <c r="L868" s="424"/>
      <c r="M868" s="424"/>
      <c r="N868" s="424"/>
      <c r="O868" s="424"/>
      <c r="P868" s="424"/>
      <c r="Q868" s="424"/>
      <c r="R868" s="424"/>
      <c r="S868" s="390"/>
    </row>
    <row r="869" spans="2:19" s="32" customFormat="1" x14ac:dyDescent="0.2">
      <c r="C869" s="343" t="s">
        <v>1143</v>
      </c>
      <c r="D869" s="32">
        <v>16</v>
      </c>
      <c r="F869" s="424">
        <f t="shared" ref="F869:Q871" si="280">F840</f>
        <v>1026</v>
      </c>
      <c r="G869" s="424">
        <f t="shared" si="280"/>
        <v>1026</v>
      </c>
      <c r="H869" s="424">
        <f t="shared" si="280"/>
        <v>1026</v>
      </c>
      <c r="I869" s="424">
        <f t="shared" si="280"/>
        <v>1026</v>
      </c>
      <c r="J869" s="424">
        <f t="shared" si="280"/>
        <v>1025.9999999999998</v>
      </c>
      <c r="K869" s="424">
        <f t="shared" si="280"/>
        <v>1026</v>
      </c>
      <c r="L869" s="424">
        <f t="shared" si="280"/>
        <v>1007</v>
      </c>
      <c r="M869" s="424">
        <f t="shared" si="280"/>
        <v>1007</v>
      </c>
      <c r="N869" s="424">
        <f t="shared" si="280"/>
        <v>1007</v>
      </c>
      <c r="O869" s="424">
        <f t="shared" si="280"/>
        <v>1007</v>
      </c>
      <c r="P869" s="424">
        <f t="shared" si="280"/>
        <v>1007</v>
      </c>
      <c r="Q869" s="424">
        <f t="shared" si="280"/>
        <v>1007</v>
      </c>
      <c r="R869" s="424">
        <f>R840</f>
        <v>12198</v>
      </c>
      <c r="S869" s="506"/>
    </row>
    <row r="870" spans="2:19" s="32" customFormat="1" x14ac:dyDescent="0.2">
      <c r="C870" s="343" t="s">
        <v>1143</v>
      </c>
      <c r="D870" s="32">
        <v>23</v>
      </c>
      <c r="F870" s="424">
        <f t="shared" si="280"/>
        <v>86695171</v>
      </c>
      <c r="G870" s="424">
        <f t="shared" si="280"/>
        <v>68940933</v>
      </c>
      <c r="H870" s="424">
        <f t="shared" si="280"/>
        <v>61849675</v>
      </c>
      <c r="I870" s="424">
        <f t="shared" si="280"/>
        <v>44615309</v>
      </c>
      <c r="J870" s="424">
        <f t="shared" si="280"/>
        <v>28758422</v>
      </c>
      <c r="K870" s="424">
        <f t="shared" si="280"/>
        <v>19470630</v>
      </c>
      <c r="L870" s="424">
        <f t="shared" si="280"/>
        <v>13949021</v>
      </c>
      <c r="M870" s="424">
        <f t="shared" si="280"/>
        <v>13135550</v>
      </c>
      <c r="N870" s="424">
        <f t="shared" si="280"/>
        <v>18065576</v>
      </c>
      <c r="O870" s="424">
        <f t="shared" si="280"/>
        <v>38477158</v>
      </c>
      <c r="P870" s="424">
        <f t="shared" si="280"/>
        <v>60610432</v>
      </c>
      <c r="Q870" s="424">
        <f t="shared" si="280"/>
        <v>93457074</v>
      </c>
      <c r="R870" s="424">
        <f>R841</f>
        <v>548024951</v>
      </c>
      <c r="S870" s="506"/>
    </row>
    <row r="871" spans="2:19" s="32" customFormat="1" x14ac:dyDescent="0.2">
      <c r="C871" s="343" t="s">
        <v>374</v>
      </c>
      <c r="D871" s="32">
        <v>53</v>
      </c>
      <c r="F871" s="424">
        <f t="shared" si="280"/>
        <v>205</v>
      </c>
      <c r="G871" s="424">
        <f t="shared" si="280"/>
        <v>216</v>
      </c>
      <c r="H871" s="424">
        <f t="shared" si="280"/>
        <v>301</v>
      </c>
      <c r="I871" s="424">
        <f t="shared" si="280"/>
        <v>219</v>
      </c>
      <c r="J871" s="424">
        <f t="shared" si="280"/>
        <v>145</v>
      </c>
      <c r="K871" s="424">
        <f t="shared" si="280"/>
        <v>107</v>
      </c>
      <c r="L871" s="424">
        <f t="shared" si="280"/>
        <v>89</v>
      </c>
      <c r="M871" s="424">
        <f t="shared" si="280"/>
        <v>86</v>
      </c>
      <c r="N871" s="424">
        <f t="shared" si="280"/>
        <v>84</v>
      </c>
      <c r="O871" s="424">
        <f t="shared" si="280"/>
        <v>160</v>
      </c>
      <c r="P871" s="424">
        <f t="shared" si="280"/>
        <v>222</v>
      </c>
      <c r="Q871" s="424">
        <f t="shared" si="280"/>
        <v>280</v>
      </c>
      <c r="R871" s="424">
        <f>R842</f>
        <v>2114</v>
      </c>
      <c r="S871" s="506"/>
    </row>
    <row r="872" spans="2:19" s="32" customFormat="1" x14ac:dyDescent="0.2">
      <c r="C872" s="346" t="s">
        <v>1144</v>
      </c>
      <c r="D872" s="32">
        <v>31</v>
      </c>
      <c r="F872" s="424">
        <f t="shared" ref="F872:Q876" si="281">F843+F848</f>
        <v>29816513</v>
      </c>
      <c r="G872" s="424">
        <f t="shared" si="281"/>
        <v>23686793</v>
      </c>
      <c r="H872" s="424">
        <f t="shared" si="281"/>
        <v>21443417</v>
      </c>
      <c r="I872" s="424">
        <f t="shared" si="281"/>
        <v>16051551</v>
      </c>
      <c r="J872" s="424">
        <f t="shared" si="281"/>
        <v>11681549</v>
      </c>
      <c r="K872" s="424">
        <f t="shared" si="281"/>
        <v>9079743</v>
      </c>
      <c r="L872" s="424">
        <f t="shared" si="281"/>
        <v>7654391</v>
      </c>
      <c r="M872" s="424">
        <f t="shared" si="281"/>
        <v>7494720</v>
      </c>
      <c r="N872" s="424">
        <f t="shared" si="281"/>
        <v>8427744</v>
      </c>
      <c r="O872" s="424">
        <f t="shared" si="281"/>
        <v>14043903</v>
      </c>
      <c r="P872" s="424">
        <f t="shared" si="281"/>
        <v>20914948</v>
      </c>
      <c r="Q872" s="424">
        <f t="shared" si="281"/>
        <v>32091778</v>
      </c>
      <c r="R872" s="424">
        <f>R843+R848</f>
        <v>202387050</v>
      </c>
      <c r="S872" s="506"/>
    </row>
    <row r="873" spans="2:19" s="32" customFormat="1" x14ac:dyDescent="0.2">
      <c r="C873" s="343" t="s">
        <v>1145</v>
      </c>
      <c r="D873" s="32">
        <v>41</v>
      </c>
      <c r="F873" s="424">
        <f t="shared" si="281"/>
        <v>8059108</v>
      </c>
      <c r="G873" s="424">
        <f t="shared" si="281"/>
        <v>6905650</v>
      </c>
      <c r="H873" s="424">
        <f t="shared" si="281"/>
        <v>7042830</v>
      </c>
      <c r="I873" s="424">
        <f t="shared" si="281"/>
        <v>6020182</v>
      </c>
      <c r="J873" s="424">
        <f t="shared" si="281"/>
        <v>5271381</v>
      </c>
      <c r="K873" s="424">
        <f t="shared" si="281"/>
        <v>4286054</v>
      </c>
      <c r="L873" s="424">
        <f t="shared" si="281"/>
        <v>3804167</v>
      </c>
      <c r="M873" s="424">
        <f t="shared" si="281"/>
        <v>3792874</v>
      </c>
      <c r="N873" s="424">
        <f t="shared" si="281"/>
        <v>4059909</v>
      </c>
      <c r="O873" s="424">
        <f t="shared" si="281"/>
        <v>5434076</v>
      </c>
      <c r="P873" s="424">
        <f t="shared" si="281"/>
        <v>6657091</v>
      </c>
      <c r="Q873" s="424">
        <f t="shared" si="281"/>
        <v>8234935</v>
      </c>
      <c r="R873" s="424">
        <f>R844+R849</f>
        <v>69568257</v>
      </c>
      <c r="S873" s="506"/>
    </row>
    <row r="874" spans="2:19" s="32" customFormat="1" x14ac:dyDescent="0.2">
      <c r="C874" s="343" t="s">
        <v>1146</v>
      </c>
      <c r="D874" s="32">
        <v>85</v>
      </c>
      <c r="F874" s="424">
        <f t="shared" si="281"/>
        <v>2039331</v>
      </c>
      <c r="G874" s="424">
        <f t="shared" si="281"/>
        <v>1764580</v>
      </c>
      <c r="H874" s="424">
        <f t="shared" si="281"/>
        <v>1843935</v>
      </c>
      <c r="I874" s="424">
        <f t="shared" si="281"/>
        <v>1548429</v>
      </c>
      <c r="J874" s="424">
        <f t="shared" si="281"/>
        <v>1262533</v>
      </c>
      <c r="K874" s="424">
        <f t="shared" si="281"/>
        <v>1036249</v>
      </c>
      <c r="L874" s="424">
        <f t="shared" si="281"/>
        <v>930314</v>
      </c>
      <c r="M874" s="424">
        <f t="shared" si="281"/>
        <v>937178</v>
      </c>
      <c r="N874" s="424">
        <f t="shared" si="281"/>
        <v>990505</v>
      </c>
      <c r="O874" s="424">
        <f t="shared" si="281"/>
        <v>1365743</v>
      </c>
      <c r="P874" s="424">
        <f t="shared" si="281"/>
        <v>1616785</v>
      </c>
      <c r="Q874" s="424">
        <f t="shared" si="281"/>
        <v>1949246</v>
      </c>
      <c r="R874" s="424">
        <f>R845+R850</f>
        <v>17284828</v>
      </c>
      <c r="S874" s="506"/>
    </row>
    <row r="875" spans="2:19" s="32" customFormat="1" x14ac:dyDescent="0.2">
      <c r="C875" s="343" t="s">
        <v>1147</v>
      </c>
      <c r="D875" s="32">
        <v>86</v>
      </c>
      <c r="F875" s="424">
        <f t="shared" si="281"/>
        <v>2139696</v>
      </c>
      <c r="G875" s="424">
        <f t="shared" si="281"/>
        <v>1756260</v>
      </c>
      <c r="H875" s="424">
        <f t="shared" si="281"/>
        <v>1589183</v>
      </c>
      <c r="I875" s="424">
        <f t="shared" si="281"/>
        <v>1214930</v>
      </c>
      <c r="J875" s="424">
        <f t="shared" si="281"/>
        <v>922059</v>
      </c>
      <c r="K875" s="424">
        <f t="shared" si="281"/>
        <v>600772</v>
      </c>
      <c r="L875" s="424">
        <f t="shared" si="281"/>
        <v>418367</v>
      </c>
      <c r="M875" s="424">
        <f t="shared" si="281"/>
        <v>369982</v>
      </c>
      <c r="N875" s="424">
        <f t="shared" si="281"/>
        <v>517672</v>
      </c>
      <c r="O875" s="424">
        <f t="shared" si="281"/>
        <v>1000639</v>
      </c>
      <c r="P875" s="424">
        <f t="shared" si="281"/>
        <v>1451364</v>
      </c>
      <c r="Q875" s="424">
        <f t="shared" si="281"/>
        <v>1908654</v>
      </c>
      <c r="R875" s="424">
        <f>R846+R851</f>
        <v>13889578</v>
      </c>
      <c r="S875" s="506"/>
    </row>
    <row r="876" spans="2:19" s="32" customFormat="1" x14ac:dyDescent="0.2">
      <c r="C876" s="343" t="s">
        <v>1148</v>
      </c>
      <c r="D876" s="32">
        <v>87</v>
      </c>
      <c r="F876" s="424">
        <f t="shared" si="281"/>
        <v>3484213</v>
      </c>
      <c r="G876" s="424">
        <f t="shared" si="281"/>
        <v>3021529</v>
      </c>
      <c r="H876" s="424">
        <f t="shared" si="281"/>
        <v>2969030</v>
      </c>
      <c r="I876" s="424">
        <f t="shared" si="281"/>
        <v>2565692</v>
      </c>
      <c r="J876" s="424">
        <f t="shared" si="281"/>
        <v>2262834</v>
      </c>
      <c r="K876" s="424">
        <f t="shared" si="281"/>
        <v>1869770</v>
      </c>
      <c r="L876" s="424">
        <f t="shared" si="281"/>
        <v>1670626</v>
      </c>
      <c r="M876" s="424">
        <f t="shared" si="281"/>
        <v>1577331</v>
      </c>
      <c r="N876" s="424">
        <f t="shared" si="281"/>
        <v>1726459</v>
      </c>
      <c r="O876" s="424">
        <f t="shared" si="281"/>
        <v>2425380</v>
      </c>
      <c r="P876" s="424">
        <f t="shared" si="281"/>
        <v>2874110</v>
      </c>
      <c r="Q876" s="424">
        <f t="shared" si="281"/>
        <v>3588681</v>
      </c>
      <c r="R876" s="424">
        <f>R847+R852</f>
        <v>30035655</v>
      </c>
      <c r="S876" s="506"/>
    </row>
    <row r="877" spans="2:19" s="32" customFormat="1" x14ac:dyDescent="0.2">
      <c r="C877" s="32" t="s">
        <v>1149</v>
      </c>
      <c r="D877" s="444" t="s">
        <v>808</v>
      </c>
      <c r="F877" s="424">
        <f t="shared" ref="F877:R878" si="282">F856+F859</f>
        <v>639788</v>
      </c>
      <c r="G877" s="424">
        <f t="shared" si="282"/>
        <v>605719</v>
      </c>
      <c r="H877" s="424">
        <f t="shared" si="282"/>
        <v>661819</v>
      </c>
      <c r="I877" s="424">
        <f t="shared" si="282"/>
        <v>614152</v>
      </c>
      <c r="J877" s="424">
        <f t="shared" si="282"/>
        <v>556103</v>
      </c>
      <c r="K877" s="424">
        <f t="shared" si="282"/>
        <v>621160</v>
      </c>
      <c r="L877" s="424">
        <f t="shared" si="282"/>
        <v>633300</v>
      </c>
      <c r="M877" s="424">
        <f t="shared" si="282"/>
        <v>638278</v>
      </c>
      <c r="N877" s="424">
        <f t="shared" si="282"/>
        <v>613872</v>
      </c>
      <c r="O877" s="424">
        <f t="shared" si="282"/>
        <v>652890</v>
      </c>
      <c r="P877" s="424">
        <f t="shared" si="282"/>
        <v>764251</v>
      </c>
      <c r="Q877" s="424">
        <f t="shared" si="282"/>
        <v>813242</v>
      </c>
      <c r="R877" s="424">
        <f t="shared" si="282"/>
        <v>7814574</v>
      </c>
      <c r="S877" s="506"/>
    </row>
    <row r="878" spans="2:19" s="32" customFormat="1" x14ac:dyDescent="0.2">
      <c r="C878" s="32" t="s">
        <v>1150</v>
      </c>
      <c r="D878" s="444" t="s">
        <v>809</v>
      </c>
      <c r="F878" s="424">
        <f t="shared" si="282"/>
        <v>5294892</v>
      </c>
      <c r="G878" s="424">
        <f t="shared" si="282"/>
        <v>5034870</v>
      </c>
      <c r="H878" s="424">
        <f t="shared" si="282"/>
        <v>5736791</v>
      </c>
      <c r="I878" s="424">
        <f t="shared" si="282"/>
        <v>5444693</v>
      </c>
      <c r="J878" s="424">
        <f t="shared" si="282"/>
        <v>5421407</v>
      </c>
      <c r="K878" s="424">
        <f t="shared" si="282"/>
        <v>5646872</v>
      </c>
      <c r="L878" s="424">
        <f t="shared" si="282"/>
        <v>5207081</v>
      </c>
      <c r="M878" s="424">
        <f t="shared" si="282"/>
        <v>5373590</v>
      </c>
      <c r="N878" s="424">
        <f t="shared" si="282"/>
        <v>5129610</v>
      </c>
      <c r="O878" s="424">
        <f t="shared" si="282"/>
        <v>5583091</v>
      </c>
      <c r="P878" s="424">
        <f t="shared" si="282"/>
        <v>5594102</v>
      </c>
      <c r="Q878" s="424">
        <f t="shared" si="282"/>
        <v>5438885</v>
      </c>
      <c r="R878" s="424">
        <f t="shared" si="282"/>
        <v>64905884</v>
      </c>
      <c r="S878" s="506"/>
    </row>
    <row r="879" spans="2:19" s="32" customFormat="1" x14ac:dyDescent="0.2">
      <c r="C879" s="32" t="s">
        <v>1151</v>
      </c>
      <c r="D879" s="444" t="s">
        <v>810</v>
      </c>
      <c r="F879" s="424">
        <f>F861</f>
        <v>91</v>
      </c>
      <c r="G879" s="424">
        <f t="shared" ref="G879:R879" si="283">G861</f>
        <v>2886</v>
      </c>
      <c r="H879" s="424">
        <f t="shared" si="283"/>
        <v>12304</v>
      </c>
      <c r="I879" s="424">
        <f t="shared" si="283"/>
        <v>22580</v>
      </c>
      <c r="J879" s="424">
        <f t="shared" si="283"/>
        <v>14443</v>
      </c>
      <c r="K879" s="424">
        <f t="shared" si="283"/>
        <v>0</v>
      </c>
      <c r="L879" s="424">
        <f t="shared" si="283"/>
        <v>0</v>
      </c>
      <c r="M879" s="424">
        <f t="shared" si="283"/>
        <v>2158</v>
      </c>
      <c r="N879" s="424">
        <f t="shared" si="283"/>
        <v>9063</v>
      </c>
      <c r="O879" s="424">
        <f t="shared" si="283"/>
        <v>8098</v>
      </c>
      <c r="P879" s="424">
        <f t="shared" si="283"/>
        <v>963</v>
      </c>
      <c r="Q879" s="424">
        <f t="shared" si="283"/>
        <v>197</v>
      </c>
      <c r="R879" s="424">
        <f t="shared" si="283"/>
        <v>72783</v>
      </c>
      <c r="S879" s="506"/>
    </row>
    <row r="880" spans="2:19" s="32" customFormat="1" x14ac:dyDescent="0.2">
      <c r="C880" s="32" t="s">
        <v>1152</v>
      </c>
      <c r="D880" s="444" t="s">
        <v>811</v>
      </c>
      <c r="F880" s="424">
        <f t="shared" ref="F880:R880" si="284">F858+F862</f>
        <v>9606184</v>
      </c>
      <c r="G880" s="424">
        <f t="shared" si="284"/>
        <v>7685668</v>
      </c>
      <c r="H880" s="424">
        <f t="shared" si="284"/>
        <v>8803610</v>
      </c>
      <c r="I880" s="424">
        <f t="shared" si="284"/>
        <v>8482069</v>
      </c>
      <c r="J880" s="424">
        <f t="shared" si="284"/>
        <v>9388528</v>
      </c>
      <c r="K880" s="424">
        <f t="shared" si="284"/>
        <v>8005470</v>
      </c>
      <c r="L880" s="424">
        <f t="shared" si="284"/>
        <v>8496772</v>
      </c>
      <c r="M880" s="424">
        <f t="shared" si="284"/>
        <v>8613339</v>
      </c>
      <c r="N880" s="424">
        <f t="shared" si="284"/>
        <v>7541047</v>
      </c>
      <c r="O880" s="424">
        <f t="shared" si="284"/>
        <v>7978763</v>
      </c>
      <c r="P880" s="424">
        <f t="shared" si="284"/>
        <v>7176279</v>
      </c>
      <c r="Q880" s="424">
        <f t="shared" si="284"/>
        <v>7800846</v>
      </c>
      <c r="R880" s="424">
        <f t="shared" si="284"/>
        <v>99578575</v>
      </c>
      <c r="S880" s="506"/>
    </row>
    <row r="881" spans="2:19" s="32" customFormat="1" x14ac:dyDescent="0.2">
      <c r="C881" s="343" t="s">
        <v>844</v>
      </c>
      <c r="F881" s="424">
        <f t="shared" ref="F881:N881" si="285">F863</f>
        <v>4174040</v>
      </c>
      <c r="G881" s="424">
        <f t="shared" si="285"/>
        <v>3718409</v>
      </c>
      <c r="H881" s="424">
        <f t="shared" si="285"/>
        <v>3764950</v>
      </c>
      <c r="I881" s="424">
        <f t="shared" si="285"/>
        <v>3145382</v>
      </c>
      <c r="J881" s="424">
        <f t="shared" si="285"/>
        <v>2395387</v>
      </c>
      <c r="K881" s="424">
        <f t="shared" si="285"/>
        <v>2216168</v>
      </c>
      <c r="L881" s="424">
        <f t="shared" si="285"/>
        <v>2006793</v>
      </c>
      <c r="M881" s="424">
        <f t="shared" si="285"/>
        <v>1941842</v>
      </c>
      <c r="N881" s="424">
        <f t="shared" si="285"/>
        <v>1974119</v>
      </c>
      <c r="O881" s="424">
        <f>O863</f>
        <v>2868579</v>
      </c>
      <c r="P881" s="424">
        <f>P863</f>
        <v>3672235</v>
      </c>
      <c r="Q881" s="424">
        <f>Q863</f>
        <v>4102274</v>
      </c>
      <c r="R881" s="424">
        <f>R863</f>
        <v>35980178</v>
      </c>
      <c r="S881" s="506"/>
    </row>
    <row r="882" spans="2:19" s="32" customFormat="1" x14ac:dyDescent="0.2">
      <c r="C882" s="32" t="s">
        <v>1167</v>
      </c>
      <c r="F882" s="357">
        <f t="shared" ref="F882:N882" si="286">SUM(F869:F881)</f>
        <v>151950258</v>
      </c>
      <c r="G882" s="357">
        <f t="shared" si="286"/>
        <v>123124539</v>
      </c>
      <c r="H882" s="357">
        <f t="shared" si="286"/>
        <v>115718871</v>
      </c>
      <c r="I882" s="357">
        <f t="shared" si="286"/>
        <v>89726214</v>
      </c>
      <c r="J882" s="357">
        <f t="shared" si="286"/>
        <v>67935817</v>
      </c>
      <c r="K882" s="357">
        <f t="shared" si="286"/>
        <v>52834021</v>
      </c>
      <c r="L882" s="357">
        <f t="shared" si="286"/>
        <v>44771928</v>
      </c>
      <c r="M882" s="357">
        <f t="shared" si="286"/>
        <v>43877935</v>
      </c>
      <c r="N882" s="357">
        <f t="shared" si="286"/>
        <v>49056667</v>
      </c>
      <c r="O882" s="357">
        <f>SUM(O869:O881)</f>
        <v>79839487</v>
      </c>
      <c r="P882" s="357">
        <f>SUM(P869:P881)</f>
        <v>111333789</v>
      </c>
      <c r="Q882" s="357">
        <f>SUM(Q869:Q881)</f>
        <v>159387099</v>
      </c>
      <c r="R882" s="357">
        <f>SUM(R869:R881)</f>
        <v>1089556625</v>
      </c>
      <c r="S882" s="424"/>
    </row>
    <row r="883" spans="2:19" s="32" customFormat="1" x14ac:dyDescent="0.2">
      <c r="C883" s="32" t="s">
        <v>131</v>
      </c>
      <c r="F883" s="279">
        <f t="shared" ref="F883:N883" si="287">F866-F882</f>
        <v>0</v>
      </c>
      <c r="G883" s="279">
        <f t="shared" si="287"/>
        <v>0</v>
      </c>
      <c r="H883" s="279">
        <f t="shared" si="287"/>
        <v>0</v>
      </c>
      <c r="I883" s="279">
        <f t="shared" si="287"/>
        <v>0</v>
      </c>
      <c r="J883" s="279">
        <f t="shared" si="287"/>
        <v>0</v>
      </c>
      <c r="K883" s="279">
        <f t="shared" si="287"/>
        <v>0</v>
      </c>
      <c r="L883" s="279">
        <f t="shared" si="287"/>
        <v>0</v>
      </c>
      <c r="M883" s="279">
        <f t="shared" si="287"/>
        <v>0</v>
      </c>
      <c r="N883" s="279">
        <f t="shared" si="287"/>
        <v>0</v>
      </c>
      <c r="O883" s="279">
        <f>O866-O882</f>
        <v>0</v>
      </c>
      <c r="P883" s="279">
        <f>P866-P882</f>
        <v>0</v>
      </c>
      <c r="Q883" s="279">
        <f>Q866-Q882</f>
        <v>0</v>
      </c>
      <c r="R883" s="279">
        <f>R866-R882</f>
        <v>0</v>
      </c>
      <c r="S883" s="390"/>
    </row>
    <row r="884" spans="2:19" s="32" customFormat="1" x14ac:dyDescent="0.2">
      <c r="S884" s="390"/>
    </row>
    <row r="885" spans="2:19" x14ac:dyDescent="0.2">
      <c r="B885" s="336" t="s">
        <v>1169</v>
      </c>
    </row>
    <row r="886" spans="2:19" x14ac:dyDescent="0.2">
      <c r="C886" s="32" t="s">
        <v>1170</v>
      </c>
      <c r="D886" s="336">
        <v>61</v>
      </c>
      <c r="F886" s="362">
        <f>F67</f>
        <v>4027</v>
      </c>
      <c r="G886" s="362">
        <f t="shared" ref="G886:Q886" si="288">G67</f>
        <v>4027</v>
      </c>
      <c r="H886" s="362">
        <f t="shared" si="288"/>
        <v>4027</v>
      </c>
      <c r="I886" s="362">
        <f t="shared" si="288"/>
        <v>4027</v>
      </c>
      <c r="J886" s="362">
        <f t="shared" si="288"/>
        <v>4027</v>
      </c>
      <c r="K886" s="362">
        <f t="shared" si="288"/>
        <v>4027</v>
      </c>
      <c r="L886" s="362">
        <f t="shared" si="288"/>
        <v>4027</v>
      </c>
      <c r="M886" s="362">
        <f t="shared" si="288"/>
        <v>4027</v>
      </c>
      <c r="N886" s="362">
        <f t="shared" si="288"/>
        <v>4027</v>
      </c>
      <c r="O886" s="362">
        <f t="shared" si="288"/>
        <v>4027</v>
      </c>
      <c r="P886" s="362">
        <f t="shared" si="288"/>
        <v>4027</v>
      </c>
      <c r="Q886" s="362">
        <f t="shared" si="288"/>
        <v>4027</v>
      </c>
      <c r="R886" s="362">
        <f>SUM(F886:Q886)</f>
        <v>48324</v>
      </c>
      <c r="S886" s="506">
        <f>R886-'JKP-3.1c - Rev Rates GTI10'!R886</f>
        <v>0</v>
      </c>
    </row>
    <row r="887" spans="2:19" x14ac:dyDescent="0.2">
      <c r="C887" s="32" t="s">
        <v>1171</v>
      </c>
      <c r="D887" s="336">
        <v>61</v>
      </c>
      <c r="F887" s="362">
        <f>F253</f>
        <v>88936</v>
      </c>
      <c r="G887" s="362">
        <f t="shared" ref="G887:Q887" si="289">G253</f>
        <v>88936</v>
      </c>
      <c r="H887" s="362">
        <f t="shared" si="289"/>
        <v>89191</v>
      </c>
      <c r="I887" s="362">
        <f t="shared" si="289"/>
        <v>88936</v>
      </c>
      <c r="J887" s="362">
        <f t="shared" si="289"/>
        <v>91309</v>
      </c>
      <c r="K887" s="362">
        <f t="shared" si="289"/>
        <v>90116</v>
      </c>
      <c r="L887" s="362">
        <f t="shared" si="289"/>
        <v>92111</v>
      </c>
      <c r="M887" s="362">
        <f t="shared" si="289"/>
        <v>93269</v>
      </c>
      <c r="N887" s="362">
        <f t="shared" si="289"/>
        <v>92656</v>
      </c>
      <c r="O887" s="362">
        <f t="shared" si="289"/>
        <v>92656</v>
      </c>
      <c r="P887" s="362">
        <f t="shared" si="289"/>
        <v>92656</v>
      </c>
      <c r="Q887" s="362">
        <f t="shared" si="289"/>
        <v>92656</v>
      </c>
      <c r="R887" s="362">
        <f>SUM(F887:Q887)</f>
        <v>1093428</v>
      </c>
      <c r="S887" s="506">
        <f>R887-'JKP-3.1c - Rev Rates GTI10'!R887</f>
        <v>0</v>
      </c>
    </row>
    <row r="888" spans="2:19" x14ac:dyDescent="0.2">
      <c r="C888" s="32" t="s">
        <v>1172</v>
      </c>
      <c r="D888" s="336">
        <v>61</v>
      </c>
      <c r="F888" s="362">
        <f>F613</f>
        <v>947</v>
      </c>
      <c r="G888" s="362">
        <f t="shared" ref="G888:Q888" si="290">G613</f>
        <v>947</v>
      </c>
      <c r="H888" s="362">
        <f t="shared" si="290"/>
        <v>947</v>
      </c>
      <c r="I888" s="362">
        <f t="shared" si="290"/>
        <v>947</v>
      </c>
      <c r="J888" s="362">
        <f t="shared" si="290"/>
        <v>947</v>
      </c>
      <c r="K888" s="362">
        <f t="shared" si="290"/>
        <v>947</v>
      </c>
      <c r="L888" s="362">
        <f t="shared" si="290"/>
        <v>947</v>
      </c>
      <c r="M888" s="362">
        <f t="shared" si="290"/>
        <v>947</v>
      </c>
      <c r="N888" s="362">
        <f t="shared" si="290"/>
        <v>947</v>
      </c>
      <c r="O888" s="362">
        <f t="shared" si="290"/>
        <v>947</v>
      </c>
      <c r="P888" s="362">
        <f t="shared" si="290"/>
        <v>947</v>
      </c>
      <c r="Q888" s="362">
        <f t="shared" si="290"/>
        <v>947</v>
      </c>
      <c r="R888" s="362">
        <f>SUM(F888:Q888)</f>
        <v>11364</v>
      </c>
      <c r="S888" s="506">
        <f>R888-'JKP-3.1c - Rev Rates GTI10'!R888</f>
        <v>0</v>
      </c>
    </row>
    <row r="889" spans="2:19" x14ac:dyDescent="0.2">
      <c r="C889" s="32" t="s">
        <v>1124</v>
      </c>
      <c r="D889" s="336">
        <v>41</v>
      </c>
      <c r="F889" s="362">
        <f t="shared" ref="F889:N889" si="291">F112</f>
        <v>305458.82</v>
      </c>
      <c r="G889" s="362">
        <f t="shared" si="291"/>
        <v>305918.82</v>
      </c>
      <c r="H889" s="362">
        <f t="shared" si="291"/>
        <v>303836.82</v>
      </c>
      <c r="I889" s="362">
        <f t="shared" si="291"/>
        <v>304856.82999999996</v>
      </c>
      <c r="J889" s="362">
        <f t="shared" si="291"/>
        <v>303947.81999999995</v>
      </c>
      <c r="K889" s="362">
        <f t="shared" si="291"/>
        <v>308036.82000000007</v>
      </c>
      <c r="L889" s="362">
        <f t="shared" si="291"/>
        <v>311798.64</v>
      </c>
      <c r="M889" s="362">
        <f t="shared" si="291"/>
        <v>308527</v>
      </c>
      <c r="N889" s="362">
        <f t="shared" si="291"/>
        <v>309021</v>
      </c>
      <c r="O889" s="362">
        <f>O112</f>
        <v>302030</v>
      </c>
      <c r="P889" s="362">
        <f>P112</f>
        <v>304232</v>
      </c>
      <c r="Q889" s="362">
        <f>Q112</f>
        <v>305525</v>
      </c>
      <c r="R889" s="362">
        <f t="shared" ref="R889:R904" si="292">SUM(F889:Q889)</f>
        <v>3673189.57</v>
      </c>
      <c r="S889" s="506">
        <f>R889-'JKP-3.1c - Rev Rates GTI10'!R889</f>
        <v>-452720</v>
      </c>
    </row>
    <row r="890" spans="2:19" x14ac:dyDescent="0.2">
      <c r="C890" s="32" t="s">
        <v>1125</v>
      </c>
      <c r="D890" s="382" t="s">
        <v>808</v>
      </c>
      <c r="F890" s="362">
        <f t="shared" ref="F890:N890" si="293">F151</f>
        <v>15238</v>
      </c>
      <c r="G890" s="362">
        <f t="shared" si="293"/>
        <v>15238</v>
      </c>
      <c r="H890" s="362">
        <f t="shared" si="293"/>
        <v>15238</v>
      </c>
      <c r="I890" s="362">
        <f t="shared" si="293"/>
        <v>15238</v>
      </c>
      <c r="J890" s="362">
        <f t="shared" si="293"/>
        <v>15238</v>
      </c>
      <c r="K890" s="362">
        <f t="shared" si="293"/>
        <v>15238</v>
      </c>
      <c r="L890" s="362">
        <f t="shared" si="293"/>
        <v>15392</v>
      </c>
      <c r="M890" s="362">
        <f t="shared" si="293"/>
        <v>15392</v>
      </c>
      <c r="N890" s="362">
        <f t="shared" si="293"/>
        <v>13362</v>
      </c>
      <c r="O890" s="362">
        <f>O151</f>
        <v>15392</v>
      </c>
      <c r="P890" s="362">
        <f>P151</f>
        <v>11315</v>
      </c>
      <c r="Q890" s="362">
        <f>Q151</f>
        <v>12103</v>
      </c>
      <c r="R890" s="362">
        <f t="shared" si="292"/>
        <v>174384</v>
      </c>
      <c r="S890" s="506">
        <f>R890-'JKP-3.1c - Rev Rates GTI10'!R890</f>
        <v>88161</v>
      </c>
    </row>
    <row r="891" spans="2:19" x14ac:dyDescent="0.2">
      <c r="C891" s="32" t="s">
        <v>1126</v>
      </c>
      <c r="D891" s="382" t="s">
        <v>809</v>
      </c>
      <c r="F891" s="362">
        <f t="shared" ref="F891:N891" si="294">F187</f>
        <v>19956</v>
      </c>
      <c r="G891" s="362">
        <f t="shared" si="294"/>
        <v>22356</v>
      </c>
      <c r="H891" s="362">
        <f t="shared" si="294"/>
        <v>21156</v>
      </c>
      <c r="I891" s="362">
        <f t="shared" si="294"/>
        <v>21156</v>
      </c>
      <c r="J891" s="362">
        <f t="shared" si="294"/>
        <v>21156</v>
      </c>
      <c r="K891" s="362">
        <f t="shared" si="294"/>
        <v>21156</v>
      </c>
      <c r="L891" s="362">
        <f t="shared" si="294"/>
        <v>21156</v>
      </c>
      <c r="M891" s="362">
        <f t="shared" si="294"/>
        <v>21156</v>
      </c>
      <c r="N891" s="362">
        <f t="shared" si="294"/>
        <v>23656</v>
      </c>
      <c r="O891" s="362">
        <f>O187</f>
        <v>21156</v>
      </c>
      <c r="P891" s="362">
        <f>P187</f>
        <v>19656</v>
      </c>
      <c r="Q891" s="362">
        <f>Q187</f>
        <v>19356</v>
      </c>
      <c r="R891" s="362">
        <f t="shared" si="292"/>
        <v>253072</v>
      </c>
      <c r="S891" s="506">
        <f>R891-'JKP-3.1c - Rev Rates GTI10'!R891</f>
        <v>-20000</v>
      </c>
    </row>
    <row r="892" spans="2:19" x14ac:dyDescent="0.2">
      <c r="C892" s="32" t="s">
        <v>1127</v>
      </c>
      <c r="D892" s="382" t="s">
        <v>811</v>
      </c>
      <c r="F892" s="362">
        <f t="shared" ref="F892:N892" si="295">F228</f>
        <v>2</v>
      </c>
      <c r="G892" s="362">
        <f t="shared" si="295"/>
        <v>2</v>
      </c>
      <c r="H892" s="362">
        <f t="shared" si="295"/>
        <v>2</v>
      </c>
      <c r="I892" s="362">
        <f t="shared" si="295"/>
        <v>2</v>
      </c>
      <c r="J892" s="362">
        <f t="shared" si="295"/>
        <v>2</v>
      </c>
      <c r="K892" s="362">
        <f t="shared" si="295"/>
        <v>2</v>
      </c>
      <c r="L892" s="362">
        <f t="shared" si="295"/>
        <v>2</v>
      </c>
      <c r="M892" s="362">
        <f t="shared" si="295"/>
        <v>2</v>
      </c>
      <c r="N892" s="362">
        <f t="shared" si="295"/>
        <v>2</v>
      </c>
      <c r="O892" s="362">
        <f>O228</f>
        <v>2</v>
      </c>
      <c r="P892" s="362">
        <f>P228</f>
        <v>2</v>
      </c>
      <c r="Q892" s="362">
        <f>Q228</f>
        <v>2</v>
      </c>
      <c r="R892" s="362">
        <f t="shared" si="292"/>
        <v>24</v>
      </c>
      <c r="S892" s="506">
        <f>R892-'JKP-3.1c - Rev Rates GTI10'!R892</f>
        <v>0</v>
      </c>
    </row>
    <row r="893" spans="2:19" x14ac:dyDescent="0.2">
      <c r="C893" s="32" t="s">
        <v>1128</v>
      </c>
      <c r="D893" s="336">
        <v>85</v>
      </c>
      <c r="F893" s="362">
        <f t="shared" ref="F893:N893" si="296">F282</f>
        <v>7593</v>
      </c>
      <c r="G893" s="362">
        <f t="shared" si="296"/>
        <v>7593</v>
      </c>
      <c r="H893" s="362">
        <f t="shared" si="296"/>
        <v>7593</v>
      </c>
      <c r="I893" s="362">
        <f t="shared" si="296"/>
        <v>7593</v>
      </c>
      <c r="J893" s="362">
        <f t="shared" si="296"/>
        <v>7593</v>
      </c>
      <c r="K893" s="362">
        <f t="shared" si="296"/>
        <v>7593</v>
      </c>
      <c r="L893" s="362">
        <f t="shared" si="296"/>
        <v>7593</v>
      </c>
      <c r="M893" s="362">
        <f t="shared" si="296"/>
        <v>7661</v>
      </c>
      <c r="N893" s="362">
        <f t="shared" si="296"/>
        <v>7593</v>
      </c>
      <c r="O893" s="362">
        <f>O282</f>
        <v>7593</v>
      </c>
      <c r="P893" s="362">
        <f>P282</f>
        <v>7593</v>
      </c>
      <c r="Q893" s="362">
        <f>Q282</f>
        <v>7593</v>
      </c>
      <c r="R893" s="362">
        <f t="shared" si="292"/>
        <v>91184</v>
      </c>
      <c r="S893" s="506">
        <f>R893-'JKP-3.1c - Rev Rates GTI10'!R893</f>
        <v>0</v>
      </c>
    </row>
    <row r="894" spans="2:19" x14ac:dyDescent="0.2">
      <c r="C894" s="32" t="s">
        <v>1129</v>
      </c>
      <c r="D894" s="336">
        <v>86</v>
      </c>
      <c r="F894" s="362">
        <f t="shared" ref="F894:N894" si="297">F325</f>
        <v>9510</v>
      </c>
      <c r="G894" s="362">
        <f t="shared" si="297"/>
        <v>9429</v>
      </c>
      <c r="H894" s="362">
        <f t="shared" si="297"/>
        <v>9258</v>
      </c>
      <c r="I894" s="362">
        <f t="shared" si="297"/>
        <v>9188</v>
      </c>
      <c r="J894" s="362">
        <f t="shared" si="297"/>
        <v>9260</v>
      </c>
      <c r="K894" s="362">
        <f t="shared" si="297"/>
        <v>9258</v>
      </c>
      <c r="L894" s="362">
        <f t="shared" si="297"/>
        <v>9136</v>
      </c>
      <c r="M894" s="362">
        <f t="shared" si="297"/>
        <v>8867</v>
      </c>
      <c r="N894" s="362">
        <f t="shared" si="297"/>
        <v>8570</v>
      </c>
      <c r="O894" s="362">
        <f>O325</f>
        <v>8457</v>
      </c>
      <c r="P894" s="362">
        <f>P325</f>
        <v>8504</v>
      </c>
      <c r="Q894" s="362">
        <f>Q325</f>
        <v>8244</v>
      </c>
      <c r="R894" s="362">
        <f t="shared" si="292"/>
        <v>107681</v>
      </c>
      <c r="S894" s="506">
        <f>R894-'JKP-3.1c - Rev Rates GTI10'!R894</f>
        <v>0</v>
      </c>
    </row>
    <row r="895" spans="2:19" x14ac:dyDescent="0.2">
      <c r="C895" s="32" t="s">
        <v>1130</v>
      </c>
      <c r="D895" s="336">
        <v>87</v>
      </c>
      <c r="F895" s="362">
        <f t="shared" ref="F895:N895" si="298">F375</f>
        <v>532</v>
      </c>
      <c r="G895" s="362">
        <f t="shared" si="298"/>
        <v>532</v>
      </c>
      <c r="H895" s="362">
        <f t="shared" si="298"/>
        <v>532</v>
      </c>
      <c r="I895" s="362">
        <f t="shared" si="298"/>
        <v>532</v>
      </c>
      <c r="J895" s="362">
        <f t="shared" si="298"/>
        <v>532</v>
      </c>
      <c r="K895" s="362">
        <f t="shared" si="298"/>
        <v>532</v>
      </c>
      <c r="L895" s="362">
        <f t="shared" si="298"/>
        <v>532</v>
      </c>
      <c r="M895" s="362">
        <f t="shared" si="298"/>
        <v>532</v>
      </c>
      <c r="N895" s="362">
        <f t="shared" si="298"/>
        <v>532</v>
      </c>
      <c r="O895" s="362">
        <f>O375</f>
        <v>532</v>
      </c>
      <c r="P895" s="362">
        <f>P375</f>
        <v>532</v>
      </c>
      <c r="Q895" s="362">
        <f>Q375</f>
        <v>532</v>
      </c>
      <c r="R895" s="362">
        <f t="shared" si="292"/>
        <v>6384</v>
      </c>
      <c r="S895" s="506">
        <f>R895-'JKP-3.1c - Rev Rates GTI10'!R895</f>
        <v>0</v>
      </c>
    </row>
    <row r="896" spans="2:19" x14ac:dyDescent="0.2">
      <c r="C896" s="32" t="s">
        <v>1145</v>
      </c>
      <c r="D896" s="336">
        <v>41</v>
      </c>
      <c r="F896" s="362">
        <f t="shared" ref="F896:N896" si="299">F440</f>
        <v>56060.51</v>
      </c>
      <c r="G896" s="362">
        <f t="shared" si="299"/>
        <v>56446.51</v>
      </c>
      <c r="H896" s="362">
        <f t="shared" si="299"/>
        <v>57486.51</v>
      </c>
      <c r="I896" s="362">
        <f t="shared" si="299"/>
        <v>57097.52</v>
      </c>
      <c r="J896" s="362">
        <f t="shared" si="299"/>
        <v>57410.499999999993</v>
      </c>
      <c r="K896" s="362">
        <f t="shared" si="299"/>
        <v>57858.51</v>
      </c>
      <c r="L896" s="362">
        <f t="shared" si="299"/>
        <v>57487</v>
      </c>
      <c r="M896" s="362">
        <f t="shared" si="299"/>
        <v>57055</v>
      </c>
      <c r="N896" s="362">
        <f t="shared" si="299"/>
        <v>57545</v>
      </c>
      <c r="O896" s="362">
        <f>O440</f>
        <v>57391</v>
      </c>
      <c r="P896" s="362">
        <f>P440</f>
        <v>57337</v>
      </c>
      <c r="Q896" s="362">
        <f>Q440</f>
        <v>57337</v>
      </c>
      <c r="R896" s="362">
        <f t="shared" si="292"/>
        <v>686512.06</v>
      </c>
      <c r="S896" s="506">
        <f>R896-'JKP-3.1c - Rev Rates GTI10'!R896</f>
        <v>-8582</v>
      </c>
    </row>
    <row r="897" spans="2:20" x14ac:dyDescent="0.2">
      <c r="C897" s="32" t="s">
        <v>1133</v>
      </c>
      <c r="D897" s="382" t="s">
        <v>808</v>
      </c>
      <c r="F897" s="362">
        <f t="shared" ref="F897:N897" si="300">F479</f>
        <v>18483</v>
      </c>
      <c r="G897" s="362">
        <f t="shared" si="300"/>
        <v>18483</v>
      </c>
      <c r="H897" s="362">
        <f t="shared" si="300"/>
        <v>16143</v>
      </c>
      <c r="I897" s="362">
        <f t="shared" si="300"/>
        <v>16143</v>
      </c>
      <c r="J897" s="362">
        <f t="shared" si="300"/>
        <v>16143.000000000002</v>
      </c>
      <c r="K897" s="362">
        <f t="shared" si="300"/>
        <v>16143</v>
      </c>
      <c r="L897" s="362">
        <f t="shared" si="300"/>
        <v>20125</v>
      </c>
      <c r="M897" s="362">
        <f t="shared" si="300"/>
        <v>20237</v>
      </c>
      <c r="N897" s="362">
        <f t="shared" si="300"/>
        <v>20237</v>
      </c>
      <c r="O897" s="362">
        <f>O479</f>
        <v>20237</v>
      </c>
      <c r="P897" s="362">
        <f>P479</f>
        <v>20237</v>
      </c>
      <c r="Q897" s="362">
        <f>Q479</f>
        <v>20237</v>
      </c>
      <c r="R897" s="362">
        <f t="shared" si="292"/>
        <v>222848</v>
      </c>
      <c r="S897" s="506">
        <f>R897-'JKP-3.1c - Rev Rates GTI10'!R897</f>
        <v>19952</v>
      </c>
    </row>
    <row r="898" spans="2:20" x14ac:dyDescent="0.2">
      <c r="C898" s="32" t="s">
        <v>1134</v>
      </c>
      <c r="D898" s="382" t="s">
        <v>809</v>
      </c>
      <c r="F898" s="362">
        <f t="shared" ref="F898:N898" si="301">F515</f>
        <v>41134</v>
      </c>
      <c r="G898" s="362">
        <f t="shared" si="301"/>
        <v>38084</v>
      </c>
      <c r="H898" s="362">
        <f t="shared" si="301"/>
        <v>38084</v>
      </c>
      <c r="I898" s="362">
        <f t="shared" si="301"/>
        <v>38084</v>
      </c>
      <c r="J898" s="362">
        <f t="shared" si="301"/>
        <v>35584</v>
      </c>
      <c r="K898" s="362">
        <f t="shared" si="301"/>
        <v>35584</v>
      </c>
      <c r="L898" s="362">
        <f t="shared" si="301"/>
        <v>35704</v>
      </c>
      <c r="M898" s="362">
        <f t="shared" si="301"/>
        <v>35584</v>
      </c>
      <c r="N898" s="362">
        <f t="shared" si="301"/>
        <v>35584</v>
      </c>
      <c r="O898" s="362">
        <f>O515</f>
        <v>35584</v>
      </c>
      <c r="P898" s="362">
        <f>P515</f>
        <v>35584</v>
      </c>
      <c r="Q898" s="362">
        <f>Q515</f>
        <v>35601</v>
      </c>
      <c r="R898" s="362">
        <f t="shared" si="292"/>
        <v>440195</v>
      </c>
      <c r="S898" s="506">
        <f>R898-'JKP-3.1c - Rev Rates GTI10'!R898</f>
        <v>-720</v>
      </c>
    </row>
    <row r="899" spans="2:20" x14ac:dyDescent="0.2">
      <c r="C899" s="32" t="s">
        <v>1163</v>
      </c>
      <c r="D899" s="444" t="s">
        <v>810</v>
      </c>
      <c r="F899" s="362">
        <f>F548</f>
        <v>0</v>
      </c>
      <c r="G899" s="362">
        <f t="shared" ref="G899:Q899" si="302">G548</f>
        <v>0</v>
      </c>
      <c r="H899" s="362">
        <f t="shared" si="302"/>
        <v>0</v>
      </c>
      <c r="I899" s="362">
        <f t="shared" si="302"/>
        <v>0</v>
      </c>
      <c r="J899" s="362">
        <f t="shared" si="302"/>
        <v>0</v>
      </c>
      <c r="K899" s="362">
        <f t="shared" si="302"/>
        <v>0</v>
      </c>
      <c r="L899" s="362">
        <f t="shared" si="302"/>
        <v>0</v>
      </c>
      <c r="M899" s="362">
        <f t="shared" si="302"/>
        <v>0</v>
      </c>
      <c r="N899" s="362">
        <f t="shared" si="302"/>
        <v>0</v>
      </c>
      <c r="O899" s="362">
        <f t="shared" si="302"/>
        <v>0</v>
      </c>
      <c r="P899" s="362">
        <f t="shared" si="302"/>
        <v>0</v>
      </c>
      <c r="Q899" s="362">
        <f t="shared" si="302"/>
        <v>0</v>
      </c>
      <c r="R899" s="362">
        <f t="shared" si="292"/>
        <v>0</v>
      </c>
      <c r="S899" s="506">
        <f>R899-'JKP-3.1c - Rev Rates GTI10'!R899</f>
        <v>0</v>
      </c>
    </row>
    <row r="900" spans="2:20" x14ac:dyDescent="0.2">
      <c r="C900" s="32" t="s">
        <v>1136</v>
      </c>
      <c r="D900" s="382" t="s">
        <v>811</v>
      </c>
      <c r="F900" s="362">
        <f t="shared" ref="F900:N900" si="303">F588</f>
        <v>37739</v>
      </c>
      <c r="G900" s="362">
        <f t="shared" si="303"/>
        <v>37739</v>
      </c>
      <c r="H900" s="362">
        <f t="shared" si="303"/>
        <v>37739</v>
      </c>
      <c r="I900" s="362">
        <f t="shared" si="303"/>
        <v>37739</v>
      </c>
      <c r="J900" s="362">
        <f t="shared" si="303"/>
        <v>37739</v>
      </c>
      <c r="K900" s="362">
        <f t="shared" si="303"/>
        <v>37739</v>
      </c>
      <c r="L900" s="362">
        <f t="shared" si="303"/>
        <v>37739</v>
      </c>
      <c r="M900" s="362">
        <f t="shared" si="303"/>
        <v>37739</v>
      </c>
      <c r="N900" s="362">
        <f t="shared" si="303"/>
        <v>37739</v>
      </c>
      <c r="O900" s="362">
        <f>O588</f>
        <v>37739</v>
      </c>
      <c r="P900" s="362">
        <f>P588</f>
        <v>37739</v>
      </c>
      <c r="Q900" s="362">
        <f>Q588</f>
        <v>37722</v>
      </c>
      <c r="R900" s="362">
        <f t="shared" si="292"/>
        <v>452851</v>
      </c>
      <c r="S900" s="506">
        <f>R900-'JKP-3.1c - Rev Rates GTI10'!R900</f>
        <v>0</v>
      </c>
    </row>
    <row r="901" spans="2:20" x14ac:dyDescent="0.2">
      <c r="C901" s="32" t="s">
        <v>1137</v>
      </c>
      <c r="D901" s="336">
        <v>85</v>
      </c>
      <c r="F901" s="362">
        <f t="shared" ref="F901:N901" si="304">F641</f>
        <v>2443</v>
      </c>
      <c r="G901" s="362">
        <f t="shared" si="304"/>
        <v>2443</v>
      </c>
      <c r="H901" s="362">
        <f t="shared" si="304"/>
        <v>2443</v>
      </c>
      <c r="I901" s="362">
        <f t="shared" si="304"/>
        <v>2443</v>
      </c>
      <c r="J901" s="362">
        <f t="shared" si="304"/>
        <v>2443</v>
      </c>
      <c r="K901" s="362">
        <f t="shared" si="304"/>
        <v>2443</v>
      </c>
      <c r="L901" s="362">
        <f t="shared" si="304"/>
        <v>2443</v>
      </c>
      <c r="M901" s="362">
        <f t="shared" si="304"/>
        <v>2443</v>
      </c>
      <c r="N901" s="362">
        <f t="shared" si="304"/>
        <v>2443</v>
      </c>
      <c r="O901" s="362">
        <f>O641</f>
        <v>2443</v>
      </c>
      <c r="P901" s="362">
        <f>P641</f>
        <v>2443</v>
      </c>
      <c r="Q901" s="362">
        <f>Q641</f>
        <v>2443</v>
      </c>
      <c r="R901" s="362">
        <f t="shared" si="292"/>
        <v>29316</v>
      </c>
      <c r="S901" s="506">
        <f>R901-'JKP-3.1c - Rev Rates GTI10'!R901</f>
        <v>0</v>
      </c>
    </row>
    <row r="902" spans="2:20" x14ac:dyDescent="0.2">
      <c r="C902" s="32" t="s">
        <v>1138</v>
      </c>
      <c r="D902" s="336">
        <v>86</v>
      </c>
      <c r="F902" s="362">
        <f t="shared" ref="F902:N902" si="305">F684</f>
        <v>127</v>
      </c>
      <c r="G902" s="362">
        <f t="shared" si="305"/>
        <v>137</v>
      </c>
      <c r="H902" s="362">
        <f t="shared" si="305"/>
        <v>132</v>
      </c>
      <c r="I902" s="362">
        <f t="shared" si="305"/>
        <v>132</v>
      </c>
      <c r="J902" s="362">
        <f t="shared" si="305"/>
        <v>132</v>
      </c>
      <c r="K902" s="362">
        <f t="shared" si="305"/>
        <v>132</v>
      </c>
      <c r="L902" s="362">
        <f t="shared" si="305"/>
        <v>132</v>
      </c>
      <c r="M902" s="362">
        <f t="shared" si="305"/>
        <v>132</v>
      </c>
      <c r="N902" s="362">
        <f t="shared" si="305"/>
        <v>132</v>
      </c>
      <c r="O902" s="362">
        <f>O684</f>
        <v>132</v>
      </c>
      <c r="P902" s="362">
        <f>P684</f>
        <v>132</v>
      </c>
      <c r="Q902" s="362">
        <f>Q684</f>
        <v>132</v>
      </c>
      <c r="R902" s="362">
        <f t="shared" si="292"/>
        <v>1584</v>
      </c>
      <c r="S902" s="506">
        <f>R902-'JKP-3.1c - Rev Rates GTI10'!R902</f>
        <v>0</v>
      </c>
    </row>
    <row r="903" spans="2:20" x14ac:dyDescent="0.2">
      <c r="C903" s="32" t="s">
        <v>1139</v>
      </c>
      <c r="D903" s="336">
        <v>87</v>
      </c>
      <c r="F903" s="362">
        <f t="shared" ref="F903:N903" si="306">F734</f>
        <v>0</v>
      </c>
      <c r="G903" s="362">
        <f t="shared" si="306"/>
        <v>0</v>
      </c>
      <c r="H903" s="362">
        <f t="shared" si="306"/>
        <v>0</v>
      </c>
      <c r="I903" s="362">
        <f t="shared" si="306"/>
        <v>0</v>
      </c>
      <c r="J903" s="362">
        <f t="shared" si="306"/>
        <v>0</v>
      </c>
      <c r="K903" s="362">
        <f t="shared" si="306"/>
        <v>0</v>
      </c>
      <c r="L903" s="362">
        <f t="shared" si="306"/>
        <v>0</v>
      </c>
      <c r="M903" s="362">
        <f t="shared" si="306"/>
        <v>0</v>
      </c>
      <c r="N903" s="362">
        <f t="shared" si="306"/>
        <v>0</v>
      </c>
      <c r="O903" s="362">
        <f>O734</f>
        <v>0</v>
      </c>
      <c r="P903" s="362">
        <f>P734</f>
        <v>0</v>
      </c>
      <c r="Q903" s="362">
        <f>Q734</f>
        <v>0</v>
      </c>
      <c r="R903" s="362">
        <f t="shared" si="292"/>
        <v>0</v>
      </c>
      <c r="S903" s="506">
        <f>R903-'JKP-3.1c - Rev Rates GTI10'!R903</f>
        <v>0</v>
      </c>
    </row>
    <row r="904" spans="2:20" x14ac:dyDescent="0.2">
      <c r="C904" s="32" t="s">
        <v>1173</v>
      </c>
      <c r="D904" s="336" t="s">
        <v>119</v>
      </c>
      <c r="F904" s="362">
        <f t="shared" ref="F904:N904" si="307">F781</f>
        <v>38483</v>
      </c>
      <c r="G904" s="362">
        <f t="shared" si="307"/>
        <v>38483</v>
      </c>
      <c r="H904" s="362">
        <f t="shared" si="307"/>
        <v>38483</v>
      </c>
      <c r="I904" s="362">
        <f t="shared" si="307"/>
        <v>38483</v>
      </c>
      <c r="J904" s="362">
        <f t="shared" si="307"/>
        <v>38483</v>
      </c>
      <c r="K904" s="362">
        <f t="shared" si="307"/>
        <v>38483</v>
      </c>
      <c r="L904" s="362">
        <f t="shared" si="307"/>
        <v>38483</v>
      </c>
      <c r="M904" s="362">
        <f t="shared" si="307"/>
        <v>38483</v>
      </c>
      <c r="N904" s="362">
        <f t="shared" si="307"/>
        <v>38483</v>
      </c>
      <c r="O904" s="362">
        <f>O781</f>
        <v>38483</v>
      </c>
      <c r="P904" s="362">
        <f>P781</f>
        <v>38483</v>
      </c>
      <c r="Q904" s="362">
        <f>Q781</f>
        <v>38483</v>
      </c>
      <c r="R904" s="362">
        <f t="shared" si="292"/>
        <v>461796</v>
      </c>
      <c r="S904" s="506">
        <f>R904-'JKP-3.1c - Rev Rates GTI10'!R904</f>
        <v>0</v>
      </c>
    </row>
    <row r="905" spans="2:20" x14ac:dyDescent="0.2">
      <c r="C905" s="32" t="s">
        <v>1174</v>
      </c>
      <c r="F905" s="644">
        <f>SUM(F886:F904)</f>
        <v>646669.33000000007</v>
      </c>
      <c r="G905" s="644">
        <f t="shared" ref="G905:S905" si="308">SUM(G886:G904)</f>
        <v>646794.33000000007</v>
      </c>
      <c r="H905" s="644">
        <f t="shared" si="308"/>
        <v>642291.33000000007</v>
      </c>
      <c r="I905" s="644">
        <f t="shared" si="308"/>
        <v>642597.35</v>
      </c>
      <c r="J905" s="644">
        <f t="shared" si="308"/>
        <v>641946.31999999995</v>
      </c>
      <c r="K905" s="644">
        <f t="shared" si="308"/>
        <v>645288.33000000007</v>
      </c>
      <c r="L905" s="644">
        <f t="shared" si="308"/>
        <v>654807.64</v>
      </c>
      <c r="M905" s="644">
        <f t="shared" si="308"/>
        <v>652053</v>
      </c>
      <c r="N905" s="644">
        <f t="shared" si="308"/>
        <v>652529</v>
      </c>
      <c r="O905" s="644">
        <f t="shared" si="308"/>
        <v>644801</v>
      </c>
      <c r="P905" s="644">
        <f t="shared" si="308"/>
        <v>641419</v>
      </c>
      <c r="Q905" s="644">
        <f t="shared" si="308"/>
        <v>642940</v>
      </c>
      <c r="R905" s="644">
        <f t="shared" si="308"/>
        <v>7754136.6300000008</v>
      </c>
      <c r="S905" s="644">
        <f t="shared" si="308"/>
        <v>-373909</v>
      </c>
    </row>
    <row r="907" spans="2:20" s="32" customFormat="1" x14ac:dyDescent="0.2">
      <c r="B907" s="32" t="s">
        <v>1175</v>
      </c>
      <c r="F907" s="424"/>
      <c r="G907" s="424"/>
      <c r="H907" s="424"/>
      <c r="I907" s="424"/>
      <c r="J907" s="424"/>
      <c r="K907" s="424"/>
      <c r="L907" s="424"/>
      <c r="M907" s="424"/>
      <c r="N907" s="424"/>
      <c r="O907" s="424"/>
      <c r="P907" s="424"/>
      <c r="Q907" s="424"/>
      <c r="R907" s="424"/>
      <c r="S907" s="390"/>
      <c r="T907" s="390"/>
    </row>
    <row r="908" spans="2:20" s="32" customFormat="1" x14ac:dyDescent="0.2">
      <c r="C908" s="32" t="s">
        <v>1176</v>
      </c>
      <c r="D908" s="32">
        <v>61</v>
      </c>
      <c r="F908" s="424">
        <f>SUM(F886:F888)</f>
        <v>93910</v>
      </c>
      <c r="G908" s="424">
        <f t="shared" ref="G908:Q908" si="309">SUM(G886:G888)</f>
        <v>93910</v>
      </c>
      <c r="H908" s="424">
        <f t="shared" si="309"/>
        <v>94165</v>
      </c>
      <c r="I908" s="424">
        <f t="shared" si="309"/>
        <v>93910</v>
      </c>
      <c r="J908" s="424">
        <f t="shared" si="309"/>
        <v>96283</v>
      </c>
      <c r="K908" s="424">
        <f t="shared" si="309"/>
        <v>95090</v>
      </c>
      <c r="L908" s="424">
        <f t="shared" si="309"/>
        <v>97085</v>
      </c>
      <c r="M908" s="424">
        <f t="shared" si="309"/>
        <v>98243</v>
      </c>
      <c r="N908" s="424">
        <f t="shared" si="309"/>
        <v>97630</v>
      </c>
      <c r="O908" s="424">
        <f t="shared" si="309"/>
        <v>97630</v>
      </c>
      <c r="P908" s="424">
        <f t="shared" si="309"/>
        <v>97630</v>
      </c>
      <c r="Q908" s="424">
        <f t="shared" si="309"/>
        <v>97630</v>
      </c>
      <c r="R908" s="362">
        <f t="shared" ref="R908:R917" si="310">SUM(F908:Q908)</f>
        <v>1153116</v>
      </c>
      <c r="S908" s="506"/>
      <c r="T908" s="390"/>
    </row>
    <row r="909" spans="2:20" s="32" customFormat="1" x14ac:dyDescent="0.2">
      <c r="C909" s="343" t="s">
        <v>1145</v>
      </c>
      <c r="D909" s="32">
        <v>41</v>
      </c>
      <c r="F909" s="424">
        <f t="shared" ref="F909:N909" si="311">F889+F896</f>
        <v>361519.33</v>
      </c>
      <c r="G909" s="424">
        <f t="shared" si="311"/>
        <v>362365.33</v>
      </c>
      <c r="H909" s="424">
        <f t="shared" si="311"/>
        <v>361323.33</v>
      </c>
      <c r="I909" s="424">
        <f t="shared" si="311"/>
        <v>361954.35</v>
      </c>
      <c r="J909" s="424">
        <f t="shared" si="311"/>
        <v>361358.31999999995</v>
      </c>
      <c r="K909" s="424">
        <f t="shared" si="311"/>
        <v>365895.33000000007</v>
      </c>
      <c r="L909" s="424">
        <f t="shared" si="311"/>
        <v>369285.64</v>
      </c>
      <c r="M909" s="424">
        <f t="shared" si="311"/>
        <v>365582</v>
      </c>
      <c r="N909" s="424">
        <f t="shared" si="311"/>
        <v>366566</v>
      </c>
      <c r="O909" s="424">
        <f>O889+O896</f>
        <v>359421</v>
      </c>
      <c r="P909" s="424">
        <f>P889+P896</f>
        <v>361569</v>
      </c>
      <c r="Q909" s="424">
        <f>Q889+Q896</f>
        <v>362862</v>
      </c>
      <c r="R909" s="362">
        <f t="shared" si="310"/>
        <v>4359701.63</v>
      </c>
      <c r="S909" s="506"/>
      <c r="T909" s="390"/>
    </row>
    <row r="910" spans="2:20" s="32" customFormat="1" x14ac:dyDescent="0.2">
      <c r="C910" s="343" t="s">
        <v>1146</v>
      </c>
      <c r="D910" s="32">
        <v>85</v>
      </c>
      <c r="F910" s="424">
        <f t="shared" ref="F910:Q912" si="312">F893+F901</f>
        <v>10036</v>
      </c>
      <c r="G910" s="424">
        <f t="shared" si="312"/>
        <v>10036</v>
      </c>
      <c r="H910" s="424">
        <f t="shared" si="312"/>
        <v>10036</v>
      </c>
      <c r="I910" s="424">
        <f t="shared" si="312"/>
        <v>10036</v>
      </c>
      <c r="J910" s="424">
        <f t="shared" si="312"/>
        <v>10036</v>
      </c>
      <c r="K910" s="424">
        <f t="shared" si="312"/>
        <v>10036</v>
      </c>
      <c r="L910" s="424">
        <f t="shared" si="312"/>
        <v>10036</v>
      </c>
      <c r="M910" s="424">
        <f t="shared" si="312"/>
        <v>10104</v>
      </c>
      <c r="N910" s="424">
        <f t="shared" si="312"/>
        <v>10036</v>
      </c>
      <c r="O910" s="424">
        <f t="shared" si="312"/>
        <v>10036</v>
      </c>
      <c r="P910" s="424">
        <f t="shared" si="312"/>
        <v>10036</v>
      </c>
      <c r="Q910" s="424">
        <f t="shared" si="312"/>
        <v>10036</v>
      </c>
      <c r="R910" s="362">
        <f t="shared" si="310"/>
        <v>120500</v>
      </c>
      <c r="S910" s="506"/>
      <c r="T910" s="390"/>
    </row>
    <row r="911" spans="2:20" s="32" customFormat="1" x14ac:dyDescent="0.2">
      <c r="C911" s="343" t="s">
        <v>1147</v>
      </c>
      <c r="D911" s="32">
        <v>86</v>
      </c>
      <c r="F911" s="424">
        <f t="shared" si="312"/>
        <v>9637</v>
      </c>
      <c r="G911" s="424">
        <f t="shared" si="312"/>
        <v>9566</v>
      </c>
      <c r="H911" s="424">
        <f t="shared" si="312"/>
        <v>9390</v>
      </c>
      <c r="I911" s="424">
        <f t="shared" si="312"/>
        <v>9320</v>
      </c>
      <c r="J911" s="424">
        <f t="shared" si="312"/>
        <v>9392</v>
      </c>
      <c r="K911" s="424">
        <f t="shared" si="312"/>
        <v>9390</v>
      </c>
      <c r="L911" s="424">
        <f t="shared" si="312"/>
        <v>9268</v>
      </c>
      <c r="M911" s="424">
        <f t="shared" si="312"/>
        <v>8999</v>
      </c>
      <c r="N911" s="424">
        <f t="shared" si="312"/>
        <v>8702</v>
      </c>
      <c r="O911" s="424">
        <f t="shared" si="312"/>
        <v>8589</v>
      </c>
      <c r="P911" s="424">
        <f t="shared" si="312"/>
        <v>8636</v>
      </c>
      <c r="Q911" s="424">
        <f t="shared" si="312"/>
        <v>8376</v>
      </c>
      <c r="R911" s="362">
        <f t="shared" si="310"/>
        <v>109265</v>
      </c>
      <c r="S911" s="506"/>
      <c r="T911" s="390"/>
    </row>
    <row r="912" spans="2:20" s="32" customFormat="1" x14ac:dyDescent="0.2">
      <c r="C912" s="343" t="s">
        <v>1148</v>
      </c>
      <c r="D912" s="32">
        <v>87</v>
      </c>
      <c r="F912" s="424">
        <f t="shared" si="312"/>
        <v>532</v>
      </c>
      <c r="G912" s="424">
        <f t="shared" si="312"/>
        <v>532</v>
      </c>
      <c r="H912" s="424">
        <f t="shared" si="312"/>
        <v>532</v>
      </c>
      <c r="I912" s="424">
        <f t="shared" si="312"/>
        <v>532</v>
      </c>
      <c r="J912" s="424">
        <f t="shared" si="312"/>
        <v>532</v>
      </c>
      <c r="K912" s="424">
        <f t="shared" si="312"/>
        <v>532</v>
      </c>
      <c r="L912" s="424">
        <f t="shared" si="312"/>
        <v>532</v>
      </c>
      <c r="M912" s="424">
        <f t="shared" si="312"/>
        <v>532</v>
      </c>
      <c r="N912" s="424">
        <f t="shared" si="312"/>
        <v>532</v>
      </c>
      <c r="O912" s="424">
        <f t="shared" si="312"/>
        <v>532</v>
      </c>
      <c r="P912" s="424">
        <f t="shared" si="312"/>
        <v>532</v>
      </c>
      <c r="Q912" s="424">
        <f t="shared" si="312"/>
        <v>532</v>
      </c>
      <c r="R912" s="362">
        <f t="shared" si="310"/>
        <v>6384</v>
      </c>
      <c r="S912" s="506"/>
      <c r="T912" s="390"/>
    </row>
    <row r="913" spans="1:31" s="32" customFormat="1" x14ac:dyDescent="0.2">
      <c r="C913" s="32" t="s">
        <v>1149</v>
      </c>
      <c r="D913" s="444" t="s">
        <v>808</v>
      </c>
      <c r="F913" s="424">
        <f t="shared" ref="F913:Q914" si="313">F890+F897</f>
        <v>33721</v>
      </c>
      <c r="G913" s="424">
        <f t="shared" si="313"/>
        <v>33721</v>
      </c>
      <c r="H913" s="424">
        <f t="shared" si="313"/>
        <v>31381</v>
      </c>
      <c r="I913" s="424">
        <f t="shared" si="313"/>
        <v>31381</v>
      </c>
      <c r="J913" s="424">
        <f t="shared" si="313"/>
        <v>31381</v>
      </c>
      <c r="K913" s="424">
        <f t="shared" si="313"/>
        <v>31381</v>
      </c>
      <c r="L913" s="424">
        <f t="shared" si="313"/>
        <v>35517</v>
      </c>
      <c r="M913" s="424">
        <f t="shared" si="313"/>
        <v>35629</v>
      </c>
      <c r="N913" s="424">
        <f t="shared" si="313"/>
        <v>33599</v>
      </c>
      <c r="O913" s="424">
        <f t="shared" si="313"/>
        <v>35629</v>
      </c>
      <c r="P913" s="424">
        <f t="shared" si="313"/>
        <v>31552</v>
      </c>
      <c r="Q913" s="424">
        <f t="shared" si="313"/>
        <v>32340</v>
      </c>
      <c r="R913" s="362">
        <f t="shared" si="310"/>
        <v>397232</v>
      </c>
      <c r="S913" s="506"/>
      <c r="T913" s="390"/>
    </row>
    <row r="914" spans="1:31" s="32" customFormat="1" x14ac:dyDescent="0.2">
      <c r="C914" s="32" t="s">
        <v>1150</v>
      </c>
      <c r="D914" s="444" t="s">
        <v>809</v>
      </c>
      <c r="F914" s="424">
        <f t="shared" si="313"/>
        <v>61090</v>
      </c>
      <c r="G914" s="424">
        <f t="shared" si="313"/>
        <v>60440</v>
      </c>
      <c r="H914" s="424">
        <f t="shared" si="313"/>
        <v>59240</v>
      </c>
      <c r="I914" s="424">
        <f t="shared" si="313"/>
        <v>59240</v>
      </c>
      <c r="J914" s="424">
        <f t="shared" si="313"/>
        <v>56740</v>
      </c>
      <c r="K914" s="424">
        <f t="shared" si="313"/>
        <v>56740</v>
      </c>
      <c r="L914" s="424">
        <f t="shared" si="313"/>
        <v>56860</v>
      </c>
      <c r="M914" s="424">
        <f t="shared" si="313"/>
        <v>56740</v>
      </c>
      <c r="N914" s="424">
        <f t="shared" si="313"/>
        <v>59240</v>
      </c>
      <c r="O914" s="424">
        <f t="shared" si="313"/>
        <v>56740</v>
      </c>
      <c r="P914" s="424">
        <f t="shared" si="313"/>
        <v>55240</v>
      </c>
      <c r="Q914" s="424">
        <f t="shared" si="313"/>
        <v>54957</v>
      </c>
      <c r="R914" s="362">
        <f t="shared" si="310"/>
        <v>693267</v>
      </c>
      <c r="S914" s="506"/>
      <c r="T914" s="390"/>
    </row>
    <row r="915" spans="1:31" s="32" customFormat="1" x14ac:dyDescent="0.2">
      <c r="C915" s="32" t="s">
        <v>1177</v>
      </c>
      <c r="D915" s="444" t="s">
        <v>810</v>
      </c>
      <c r="F915" s="424">
        <f>F899</f>
        <v>0</v>
      </c>
      <c r="G915" s="424">
        <f t="shared" ref="G915:Q915" si="314">G899</f>
        <v>0</v>
      </c>
      <c r="H915" s="424">
        <f t="shared" si="314"/>
        <v>0</v>
      </c>
      <c r="I915" s="424">
        <f t="shared" si="314"/>
        <v>0</v>
      </c>
      <c r="J915" s="424">
        <f t="shared" si="314"/>
        <v>0</v>
      </c>
      <c r="K915" s="424">
        <f t="shared" si="314"/>
        <v>0</v>
      </c>
      <c r="L915" s="424">
        <f t="shared" si="314"/>
        <v>0</v>
      </c>
      <c r="M915" s="424">
        <f t="shared" si="314"/>
        <v>0</v>
      </c>
      <c r="N915" s="424">
        <f t="shared" si="314"/>
        <v>0</v>
      </c>
      <c r="O915" s="424">
        <f t="shared" si="314"/>
        <v>0</v>
      </c>
      <c r="P915" s="424">
        <f t="shared" si="314"/>
        <v>0</v>
      </c>
      <c r="Q915" s="424">
        <f t="shared" si="314"/>
        <v>0</v>
      </c>
      <c r="R915" s="362">
        <f t="shared" si="310"/>
        <v>0</v>
      </c>
      <c r="S915" s="506"/>
      <c r="T915" s="390"/>
    </row>
    <row r="916" spans="1:31" s="32" customFormat="1" x14ac:dyDescent="0.2">
      <c r="C916" s="32" t="s">
        <v>1152</v>
      </c>
      <c r="D916" s="444" t="s">
        <v>811</v>
      </c>
      <c r="F916" s="424">
        <f t="shared" ref="F916:Q916" si="315">F892+F900</f>
        <v>37741</v>
      </c>
      <c r="G916" s="424">
        <f t="shared" si="315"/>
        <v>37741</v>
      </c>
      <c r="H916" s="424">
        <f t="shared" si="315"/>
        <v>37741</v>
      </c>
      <c r="I916" s="424">
        <f t="shared" si="315"/>
        <v>37741</v>
      </c>
      <c r="J916" s="424">
        <f t="shared" si="315"/>
        <v>37741</v>
      </c>
      <c r="K916" s="424">
        <f t="shared" si="315"/>
        <v>37741</v>
      </c>
      <c r="L916" s="424">
        <f t="shared" si="315"/>
        <v>37741</v>
      </c>
      <c r="M916" s="424">
        <f t="shared" si="315"/>
        <v>37741</v>
      </c>
      <c r="N916" s="424">
        <f t="shared" si="315"/>
        <v>37741</v>
      </c>
      <c r="O916" s="424">
        <f t="shared" si="315"/>
        <v>37741</v>
      </c>
      <c r="P916" s="424">
        <f t="shared" si="315"/>
        <v>37741</v>
      </c>
      <c r="Q916" s="424">
        <f t="shared" si="315"/>
        <v>37724</v>
      </c>
      <c r="R916" s="362">
        <f t="shared" si="310"/>
        <v>452875</v>
      </c>
      <c r="S916" s="506"/>
      <c r="T916" s="390"/>
    </row>
    <row r="917" spans="1:31" s="32" customFormat="1" x14ac:dyDescent="0.2">
      <c r="C917" s="343" t="s">
        <v>844</v>
      </c>
      <c r="F917" s="424">
        <f t="shared" ref="F917:N917" si="316">F904</f>
        <v>38483</v>
      </c>
      <c r="G917" s="424">
        <f t="shared" si="316"/>
        <v>38483</v>
      </c>
      <c r="H917" s="424">
        <f t="shared" si="316"/>
        <v>38483</v>
      </c>
      <c r="I917" s="424">
        <f t="shared" si="316"/>
        <v>38483</v>
      </c>
      <c r="J917" s="424">
        <f t="shared" si="316"/>
        <v>38483</v>
      </c>
      <c r="K917" s="424">
        <f t="shared" si="316"/>
        <v>38483</v>
      </c>
      <c r="L917" s="424">
        <f t="shared" si="316"/>
        <v>38483</v>
      </c>
      <c r="M917" s="424">
        <f t="shared" si="316"/>
        <v>38483</v>
      </c>
      <c r="N917" s="424">
        <f t="shared" si="316"/>
        <v>38483</v>
      </c>
      <c r="O917" s="424">
        <f>O904</f>
        <v>38483</v>
      </c>
      <c r="P917" s="424">
        <f>P904</f>
        <v>38483</v>
      </c>
      <c r="Q917" s="424">
        <f>Q904</f>
        <v>38483</v>
      </c>
      <c r="R917" s="362">
        <f t="shared" si="310"/>
        <v>461796</v>
      </c>
      <c r="S917" s="506"/>
      <c r="T917" s="390"/>
    </row>
    <row r="918" spans="1:31" s="32" customFormat="1" x14ac:dyDescent="0.2">
      <c r="C918" s="32" t="s">
        <v>1174</v>
      </c>
      <c r="E918" s="364"/>
      <c r="F918" s="357">
        <f>SUM(F908:F917)</f>
        <v>646669.33000000007</v>
      </c>
      <c r="G918" s="357">
        <f t="shared" ref="G918:R918" si="317">SUM(G908:G917)</f>
        <v>646794.33000000007</v>
      </c>
      <c r="H918" s="357">
        <f t="shared" si="317"/>
        <v>642291.33000000007</v>
      </c>
      <c r="I918" s="357">
        <f t="shared" si="317"/>
        <v>642597.35</v>
      </c>
      <c r="J918" s="357">
        <f t="shared" si="317"/>
        <v>641946.31999999995</v>
      </c>
      <c r="K918" s="357">
        <f t="shared" si="317"/>
        <v>645288.33000000007</v>
      </c>
      <c r="L918" s="357">
        <f t="shared" si="317"/>
        <v>654807.64</v>
      </c>
      <c r="M918" s="357">
        <f t="shared" si="317"/>
        <v>652053</v>
      </c>
      <c r="N918" s="357">
        <f t="shared" si="317"/>
        <v>652529</v>
      </c>
      <c r="O918" s="357">
        <f t="shared" si="317"/>
        <v>644801</v>
      </c>
      <c r="P918" s="357">
        <f t="shared" si="317"/>
        <v>641419</v>
      </c>
      <c r="Q918" s="357">
        <f t="shared" si="317"/>
        <v>642940</v>
      </c>
      <c r="R918" s="357">
        <f t="shared" si="317"/>
        <v>7754136.6299999999</v>
      </c>
      <c r="S918" s="424"/>
      <c r="T918" s="390"/>
    </row>
    <row r="919" spans="1:31" s="32" customFormat="1" x14ac:dyDescent="0.2">
      <c r="C919" s="32" t="s">
        <v>131</v>
      </c>
      <c r="E919" s="364"/>
      <c r="F919" s="424">
        <f t="shared" ref="F919:N919" si="318">F918-F905</f>
        <v>0</v>
      </c>
      <c r="G919" s="424">
        <f t="shared" si="318"/>
        <v>0</v>
      </c>
      <c r="H919" s="424">
        <f t="shared" si="318"/>
        <v>0</v>
      </c>
      <c r="I919" s="424">
        <f t="shared" si="318"/>
        <v>0</v>
      </c>
      <c r="J919" s="424">
        <f t="shared" si="318"/>
        <v>0</v>
      </c>
      <c r="K919" s="424">
        <f t="shared" si="318"/>
        <v>0</v>
      </c>
      <c r="L919" s="424">
        <f t="shared" si="318"/>
        <v>0</v>
      </c>
      <c r="M919" s="424">
        <f t="shared" si="318"/>
        <v>0</v>
      </c>
      <c r="N919" s="424">
        <f t="shared" si="318"/>
        <v>0</v>
      </c>
      <c r="O919" s="424">
        <f>O918-O905</f>
        <v>0</v>
      </c>
      <c r="P919" s="424">
        <f>P918-P905</f>
        <v>0</v>
      </c>
      <c r="Q919" s="424">
        <f>Q918-Q905</f>
        <v>0</v>
      </c>
      <c r="R919" s="424">
        <f>R918-R905</f>
        <v>0</v>
      </c>
      <c r="S919" s="390"/>
    </row>
    <row r="920" spans="1:31" s="32" customFormat="1" x14ac:dyDescent="0.2">
      <c r="E920" s="364"/>
      <c r="F920" s="364"/>
      <c r="G920" s="364"/>
      <c r="H920" s="364"/>
      <c r="I920" s="364"/>
      <c r="J920" s="364"/>
      <c r="K920" s="364"/>
      <c r="L920" s="364"/>
      <c r="M920" s="364"/>
      <c r="N920" s="364"/>
      <c r="O920" s="364"/>
      <c r="P920" s="364"/>
      <c r="Q920" s="364"/>
      <c r="R920" s="364"/>
      <c r="S920" s="390"/>
    </row>
    <row r="921" spans="1:31" x14ac:dyDescent="0.2">
      <c r="B921" s="182" t="s">
        <v>1178</v>
      </c>
    </row>
    <row r="922" spans="1:31" x14ac:dyDescent="0.2">
      <c r="A922" s="336" t="s">
        <v>1056</v>
      </c>
      <c r="B922" s="336" t="s">
        <v>1179</v>
      </c>
      <c r="F922" s="418">
        <f t="shared" ref="F922:Q922" si="319">SUMIF($A$7:$A$795,$A922,F$7:F$795)-F57</f>
        <v>94234350.27925998</v>
      </c>
      <c r="G922" s="418">
        <f t="shared" si="319"/>
        <v>75611868.402169988</v>
      </c>
      <c r="H922" s="418">
        <f t="shared" si="319"/>
        <v>68899409.200619996</v>
      </c>
      <c r="I922" s="418">
        <f t="shared" si="319"/>
        <v>51292516.450529993</v>
      </c>
      <c r="J922" s="418">
        <f t="shared" si="319"/>
        <v>35705441.447730005</v>
      </c>
      <c r="K922" s="418">
        <f t="shared" si="319"/>
        <v>25924965.595899999</v>
      </c>
      <c r="L922" s="418">
        <f t="shared" si="319"/>
        <v>20310967.826270007</v>
      </c>
      <c r="M922" s="418">
        <f t="shared" si="319"/>
        <v>19511303.120370004</v>
      </c>
      <c r="N922" s="418">
        <f t="shared" si="319"/>
        <v>24125239.053199995</v>
      </c>
      <c r="O922" s="418">
        <f t="shared" si="319"/>
        <v>44713209.524590008</v>
      </c>
      <c r="P922" s="418">
        <f t="shared" si="319"/>
        <v>67081399.50931</v>
      </c>
      <c r="Q922" s="418">
        <f t="shared" si="319"/>
        <v>100690616.16244999</v>
      </c>
      <c r="R922" s="418">
        <f>SUM(F922:Q922)</f>
        <v>628101286.57239997</v>
      </c>
      <c r="S922" s="340"/>
      <c r="T922" s="340"/>
    </row>
    <row r="923" spans="1:31" x14ac:dyDescent="0.2">
      <c r="A923" s="336" t="s">
        <v>1056</v>
      </c>
      <c r="B923" s="32" t="s">
        <v>1180</v>
      </c>
      <c r="F923" s="418">
        <f t="shared" ref="F923:Q923" si="320">F57</f>
        <v>821.31404999999995</v>
      </c>
      <c r="G923" s="418">
        <f t="shared" si="320"/>
        <v>865.38455999999996</v>
      </c>
      <c r="H923" s="418">
        <f t="shared" si="320"/>
        <v>1205.92941</v>
      </c>
      <c r="I923" s="418">
        <f t="shared" si="320"/>
        <v>877.40378999999996</v>
      </c>
      <c r="J923" s="418">
        <f t="shared" si="320"/>
        <v>580.92944999999997</v>
      </c>
      <c r="K923" s="418">
        <f t="shared" si="320"/>
        <v>428.68586999999997</v>
      </c>
      <c r="L923" s="418">
        <f t="shared" si="320"/>
        <v>356.57049000000001</v>
      </c>
      <c r="M923" s="418">
        <f t="shared" si="320"/>
        <v>344.55125999999996</v>
      </c>
      <c r="N923" s="418">
        <f t="shared" si="320"/>
        <v>336.53843999999998</v>
      </c>
      <c r="O923" s="418">
        <f t="shared" si="320"/>
        <v>641.02559999999994</v>
      </c>
      <c r="P923" s="418">
        <f t="shared" si="320"/>
        <v>889.42301999999995</v>
      </c>
      <c r="Q923" s="418">
        <f t="shared" si="320"/>
        <v>1121.7947999999999</v>
      </c>
      <c r="R923" s="418">
        <f>SUM(F923:Q923)</f>
        <v>8469.5507400000006</v>
      </c>
      <c r="S923" s="340"/>
      <c r="T923" s="340"/>
    </row>
    <row r="924" spans="1:31" x14ac:dyDescent="0.2">
      <c r="A924" s="336" t="s">
        <v>1054</v>
      </c>
      <c r="B924" s="336" t="s">
        <v>1181</v>
      </c>
      <c r="F924" s="418">
        <f t="shared" ref="F924:Q924" si="321">SUMIF($A$7:$A$795,$A924,F$7:F$795)</f>
        <v>54223894.828060001</v>
      </c>
      <c r="G924" s="418">
        <f t="shared" si="321"/>
        <v>45461474.243050009</v>
      </c>
      <c r="H924" s="418">
        <f t="shared" si="321"/>
        <v>42106872.716250017</v>
      </c>
      <c r="I924" s="418">
        <f t="shared" si="321"/>
        <v>33704402.224179991</v>
      </c>
      <c r="J924" s="418">
        <f t="shared" si="321"/>
        <v>26261698.209840003</v>
      </c>
      <c r="K924" s="418">
        <f t="shared" si="321"/>
        <v>21739149.323130019</v>
      </c>
      <c r="L924" s="418">
        <f t="shared" si="321"/>
        <v>19156542.981689997</v>
      </c>
      <c r="M924" s="418">
        <f t="shared" si="321"/>
        <v>18747348.128399994</v>
      </c>
      <c r="N924" s="418">
        <f t="shared" si="321"/>
        <v>20983422.50734001</v>
      </c>
      <c r="O924" s="418">
        <f t="shared" si="321"/>
        <v>30665976.816000007</v>
      </c>
      <c r="P924" s="418">
        <f t="shared" si="321"/>
        <v>41370597.836739987</v>
      </c>
      <c r="Q924" s="418">
        <f t="shared" si="321"/>
        <v>57485750.861990012</v>
      </c>
      <c r="R924" s="418">
        <f>SUM(F924:Q924)</f>
        <v>411907130.67667001</v>
      </c>
      <c r="S924" s="340"/>
      <c r="T924" s="340"/>
    </row>
    <row r="925" spans="1:31" x14ac:dyDescent="0.2">
      <c r="F925" s="418"/>
      <c r="G925" s="418"/>
      <c r="H925" s="418"/>
      <c r="I925" s="418"/>
      <c r="J925" s="418"/>
      <c r="K925" s="418"/>
      <c r="L925" s="418"/>
      <c r="M925" s="418"/>
      <c r="N925" s="418"/>
      <c r="O925" s="418"/>
      <c r="P925" s="418"/>
      <c r="Q925" s="418"/>
      <c r="R925" s="418"/>
      <c r="S925" s="340"/>
      <c r="T925" s="340"/>
      <c r="U925" s="340"/>
      <c r="V925" s="340"/>
      <c r="W925" s="340"/>
      <c r="X925" s="340"/>
      <c r="Y925" s="340"/>
      <c r="Z925" s="340"/>
      <c r="AA925" s="340"/>
      <c r="AB925" s="340"/>
      <c r="AC925" s="340"/>
      <c r="AD925" s="340"/>
      <c r="AE925" s="340"/>
    </row>
    <row r="926" spans="1:31" x14ac:dyDescent="0.2">
      <c r="B926" s="336" t="s">
        <v>1182</v>
      </c>
      <c r="F926" s="521">
        <f>'JKP-3.1c - Rev Rates PGA Nov10'!F926</f>
        <v>1.045199</v>
      </c>
      <c r="G926" s="486">
        <f t="shared" ref="G926:N926" si="322">F926</f>
        <v>1.045199</v>
      </c>
      <c r="H926" s="486">
        <f t="shared" si="322"/>
        <v>1.045199</v>
      </c>
      <c r="I926" s="486">
        <f t="shared" si="322"/>
        <v>1.045199</v>
      </c>
      <c r="J926" s="486">
        <f t="shared" si="322"/>
        <v>1.045199</v>
      </c>
      <c r="K926" s="486">
        <f t="shared" si="322"/>
        <v>1.045199</v>
      </c>
      <c r="L926" s="486">
        <f t="shared" si="322"/>
        <v>1.045199</v>
      </c>
      <c r="M926" s="486">
        <f t="shared" si="322"/>
        <v>1.045199</v>
      </c>
      <c r="N926" s="486">
        <f t="shared" si="322"/>
        <v>1.045199</v>
      </c>
      <c r="O926" s="486">
        <f>N926</f>
        <v>1.045199</v>
      </c>
      <c r="P926" s="486">
        <f>O926</f>
        <v>1.045199</v>
      </c>
      <c r="Q926" s="486">
        <f>P926</f>
        <v>1.045199</v>
      </c>
      <c r="R926" s="418"/>
      <c r="S926" s="340"/>
      <c r="T926" s="340"/>
      <c r="U926" s="340"/>
      <c r="V926" s="340"/>
      <c r="W926" s="340"/>
      <c r="X926" s="340"/>
      <c r="Y926" s="340"/>
      <c r="Z926" s="340"/>
      <c r="AA926" s="340"/>
      <c r="AB926" s="340"/>
      <c r="AC926" s="340"/>
      <c r="AD926" s="340"/>
      <c r="AE926" s="340"/>
    </row>
    <row r="927" spans="1:31" x14ac:dyDescent="0.2">
      <c r="A927" s="336" t="s">
        <v>1058</v>
      </c>
      <c r="B927" s="336" t="s">
        <v>1050</v>
      </c>
      <c r="F927" s="418">
        <f t="shared" ref="F927:Q927" si="323">SUMIF($A$7:$A$795,$A927,F$7:F$795)</f>
        <v>90159261.820219994</v>
      </c>
      <c r="G927" s="418">
        <f t="shared" si="323"/>
        <v>72341973.043979988</v>
      </c>
      <c r="H927" s="418">
        <f t="shared" si="323"/>
        <v>65920154.523699999</v>
      </c>
      <c r="I927" s="418">
        <f t="shared" si="323"/>
        <v>49074217.042149991</v>
      </c>
      <c r="J927" s="418">
        <f t="shared" si="323"/>
        <v>34160842.914020002</v>
      </c>
      <c r="K927" s="418">
        <f t="shared" si="323"/>
        <v>24803061.495040003</v>
      </c>
      <c r="L927" s="418">
        <f t="shared" si="323"/>
        <v>19431723.324160006</v>
      </c>
      <c r="M927" s="418">
        <f t="shared" si="323"/>
        <v>18666650.132289998</v>
      </c>
      <c r="N927" s="418">
        <f t="shared" si="323"/>
        <v>23081032.759689994</v>
      </c>
      <c r="O927" s="418">
        <f t="shared" si="323"/>
        <v>42779162.933359988</v>
      </c>
      <c r="P927" s="418">
        <f t="shared" si="323"/>
        <v>64180391.695319995</v>
      </c>
      <c r="Q927" s="418">
        <f t="shared" si="323"/>
        <v>96336622.495019957</v>
      </c>
      <c r="R927" s="418">
        <f>SUM(F927:Q927)</f>
        <v>600935094.17894995</v>
      </c>
      <c r="S927" s="340">
        <f>R927-'JKP-3.1c - 41T 86T Migrat Adj'!F17-'JKP-3.1c - 41 Min Migration Adj'!F17-'JKP-3.1c - Rev Rates GTI10'!R927</f>
        <v>21569842.008104324</v>
      </c>
      <c r="T927" s="691"/>
    </row>
    <row r="928" spans="1:31" x14ac:dyDescent="0.2">
      <c r="F928" s="486"/>
      <c r="G928" s="486"/>
      <c r="H928" s="486"/>
      <c r="I928" s="486"/>
      <c r="J928" s="486"/>
      <c r="K928" s="486"/>
      <c r="L928" s="486"/>
      <c r="M928" s="486"/>
      <c r="N928" s="486"/>
      <c r="O928" s="486"/>
      <c r="P928" s="486"/>
      <c r="Q928" s="486"/>
      <c r="R928" s="486"/>
    </row>
    <row r="929" spans="2:19" x14ac:dyDescent="0.2">
      <c r="B929" s="692" t="s">
        <v>1183</v>
      </c>
    </row>
    <row r="930" spans="2:19" x14ac:dyDescent="0.2">
      <c r="B930" s="338" t="s">
        <v>827</v>
      </c>
      <c r="F930" s="418">
        <f t="shared" ref="F930:N930" si="324">F19</f>
        <v>535.67999999999995</v>
      </c>
      <c r="G930" s="418">
        <f t="shared" si="324"/>
        <v>535.67999999999995</v>
      </c>
      <c r="H930" s="418">
        <f t="shared" si="324"/>
        <v>535.67999999999995</v>
      </c>
      <c r="I930" s="418">
        <f t="shared" si="324"/>
        <v>535.67999999999995</v>
      </c>
      <c r="J930" s="418">
        <f t="shared" si="324"/>
        <v>535.67999999999995</v>
      </c>
      <c r="K930" s="418">
        <f t="shared" si="324"/>
        <v>535.67999999999995</v>
      </c>
      <c r="L930" s="418">
        <f t="shared" si="324"/>
        <v>525.76</v>
      </c>
      <c r="M930" s="418">
        <f t="shared" si="324"/>
        <v>525.76</v>
      </c>
      <c r="N930" s="418">
        <f t="shared" si="324"/>
        <v>525.76</v>
      </c>
      <c r="O930" s="418">
        <f>O19</f>
        <v>525.76</v>
      </c>
      <c r="P930" s="418">
        <f>P19</f>
        <v>525.76</v>
      </c>
      <c r="Q930" s="418">
        <f>Q19</f>
        <v>525.76</v>
      </c>
      <c r="R930" s="418">
        <f>SUM(F930:Q930)</f>
        <v>6368.64</v>
      </c>
      <c r="S930" s="340">
        <f>R930-'JKP-3.1c - Rev Rates GTI10'!R930</f>
        <v>0</v>
      </c>
    </row>
    <row r="931" spans="2:19" x14ac:dyDescent="0.2">
      <c r="B931" s="338" t="s">
        <v>828</v>
      </c>
      <c r="F931" s="437">
        <f t="shared" ref="F931:N931" si="325">F37+F38</f>
        <v>39399369.306120001</v>
      </c>
      <c r="G931" s="437">
        <f t="shared" si="325"/>
        <v>32776755.480760001</v>
      </c>
      <c r="H931" s="437">
        <f t="shared" si="325"/>
        <v>30137030.541000001</v>
      </c>
      <c r="I931" s="437">
        <f t="shared" si="325"/>
        <v>23699363.279479999</v>
      </c>
      <c r="J931" s="437">
        <f t="shared" si="325"/>
        <v>17780057.469839998</v>
      </c>
      <c r="K931" s="437">
        <f t="shared" si="325"/>
        <v>14320223.843600001</v>
      </c>
      <c r="L931" s="437">
        <f t="shared" si="325"/>
        <v>12260608.12812</v>
      </c>
      <c r="M931" s="437">
        <f t="shared" si="325"/>
        <v>11948657.745999999</v>
      </c>
      <c r="N931" s="437">
        <f t="shared" si="325"/>
        <v>13802997.062720001</v>
      </c>
      <c r="O931" s="437">
        <f>O37+O38</f>
        <v>21421053.48776</v>
      </c>
      <c r="P931" s="437">
        <f>P37+P38</f>
        <v>29697990.647039998</v>
      </c>
      <c r="Q931" s="437">
        <f>Q37+Q38</f>
        <v>41977137.695280001</v>
      </c>
      <c r="R931" s="418">
        <f t="shared" ref="R931:R934" si="326">SUM(F931:Q931)</f>
        <v>289221244.68772</v>
      </c>
      <c r="S931" s="340">
        <f>R931-'JKP-3.1c - Rev Rates GTI10'!R931</f>
        <v>7957877.6877200007</v>
      </c>
    </row>
    <row r="932" spans="2:19" x14ac:dyDescent="0.2">
      <c r="B932" s="338" t="s">
        <v>829</v>
      </c>
      <c r="F932" s="437">
        <f t="shared" ref="F932:N932" si="327">+F55+F56</f>
        <v>126.6126</v>
      </c>
      <c r="G932" s="437">
        <f t="shared" si="327"/>
        <v>130.72352000000001</v>
      </c>
      <c r="H932" s="437">
        <f t="shared" si="327"/>
        <v>162.48972000000001</v>
      </c>
      <c r="I932" s="437">
        <f t="shared" si="327"/>
        <v>131.84467999999998</v>
      </c>
      <c r="J932" s="437">
        <f t="shared" si="327"/>
        <v>104.18940000000001</v>
      </c>
      <c r="K932" s="437">
        <f t="shared" si="327"/>
        <v>89.988039999999998</v>
      </c>
      <c r="L932" s="437">
        <f t="shared" si="327"/>
        <v>93.261079999999993</v>
      </c>
      <c r="M932" s="437">
        <f t="shared" si="327"/>
        <v>92.139919999999989</v>
      </c>
      <c r="N932" s="437">
        <f t="shared" si="327"/>
        <v>81.392480000000006</v>
      </c>
      <c r="O932" s="437">
        <f>+O55+O56</f>
        <v>109.79519999999999</v>
      </c>
      <c r="P932" s="437">
        <f>+P55+P56</f>
        <v>132.96584000000001</v>
      </c>
      <c r="Q932" s="437">
        <f>+Q55+Q56</f>
        <v>144.64159999999998</v>
      </c>
      <c r="R932" s="418">
        <f t="shared" si="326"/>
        <v>1400.0440799999997</v>
      </c>
      <c r="S932" s="340">
        <f>R932-'JKP-3.1c - Rev Rates GTI10'!R932</f>
        <v>0</v>
      </c>
    </row>
    <row r="933" spans="2:19" x14ac:dyDescent="0.2">
      <c r="B933" s="346" t="s">
        <v>830</v>
      </c>
      <c r="F933" s="418">
        <f t="shared" ref="F933:Q933" si="328">F84+F85+F412+F413</f>
        <v>11197017.813510001</v>
      </c>
      <c r="G933" s="418">
        <f t="shared" si="328"/>
        <v>9262820.3491099998</v>
      </c>
      <c r="H933" s="418">
        <f t="shared" si="328"/>
        <v>8553935.1975900009</v>
      </c>
      <c r="I933" s="418">
        <f t="shared" si="328"/>
        <v>6852070.7301700003</v>
      </c>
      <c r="J933" s="418">
        <f t="shared" si="328"/>
        <v>5470234.9132300001</v>
      </c>
      <c r="K933" s="418">
        <f t="shared" si="328"/>
        <v>4647604.1756100003</v>
      </c>
      <c r="L933" s="418">
        <f t="shared" si="328"/>
        <v>4196423.5305700004</v>
      </c>
      <c r="M933" s="418">
        <f t="shared" si="328"/>
        <v>4144532.6943999999</v>
      </c>
      <c r="N933" s="418">
        <f t="shared" si="328"/>
        <v>4438234.6908799997</v>
      </c>
      <c r="O933" s="418">
        <f t="shared" si="328"/>
        <v>6212622.5788099999</v>
      </c>
      <c r="P933" s="418">
        <f t="shared" si="328"/>
        <v>8377919.6559600001</v>
      </c>
      <c r="Q933" s="418">
        <f t="shared" si="328"/>
        <v>11905484.930060001</v>
      </c>
      <c r="R933" s="418">
        <f t="shared" si="326"/>
        <v>85258901.259899989</v>
      </c>
      <c r="S933" s="340">
        <f>R933-'JKP-3.1c - Rev Rates GTI10'!R933-'JKP-3.1c - 41 Min Migration Adj'!D7-'JKP-3.1c - 41T 86T Migrat Adj'!D7</f>
        <v>2538053.0318993544</v>
      </c>
    </row>
    <row r="934" spans="2:19" x14ac:dyDescent="0.2">
      <c r="B934" s="338" t="s">
        <v>832</v>
      </c>
      <c r="F934" s="418">
        <f t="shared" ref="F934:Q934" si="329">F116+F121+F124+F127+F444+F449+F452+F455</f>
        <v>1659348.7417600001</v>
      </c>
      <c r="G934" s="418">
        <f t="shared" si="329"/>
        <v>1513784.0490399997</v>
      </c>
      <c r="H934" s="418">
        <f t="shared" si="329"/>
        <v>1532883.5766799999</v>
      </c>
      <c r="I934" s="418">
        <f t="shared" si="329"/>
        <v>1403325.3831999998</v>
      </c>
      <c r="J934" s="418">
        <f t="shared" si="329"/>
        <v>1305308.5097000001</v>
      </c>
      <c r="K934" s="418">
        <f t="shared" si="329"/>
        <v>1196912.72716</v>
      </c>
      <c r="L934" s="418">
        <f t="shared" si="329"/>
        <v>1156737.8502799999</v>
      </c>
      <c r="M934" s="418">
        <f t="shared" si="329"/>
        <v>1148234.12576</v>
      </c>
      <c r="N934" s="418">
        <f t="shared" si="329"/>
        <v>1168995.3750199999</v>
      </c>
      <c r="O934" s="418">
        <f t="shared" si="329"/>
        <v>1316209.54954</v>
      </c>
      <c r="P934" s="418">
        <f t="shared" si="329"/>
        <v>1480972.3530999997</v>
      </c>
      <c r="Q934" s="418">
        <f t="shared" si="329"/>
        <v>1678696.9574599997</v>
      </c>
      <c r="R934" s="418">
        <f t="shared" si="326"/>
        <v>16561409.198699998</v>
      </c>
      <c r="S934" s="340">
        <f>R934-'JKP-3.1c - Rev Rates GTI10'!R934-'JKP-3.1c - 41 Min Migration Adj'!D8-'JKP-3.1c - 41T 86T Migrat Adj'!D8</f>
        <v>118726.57586578536</v>
      </c>
    </row>
    <row r="935" spans="2:19" x14ac:dyDescent="0.2">
      <c r="B935" s="338" t="s">
        <v>836</v>
      </c>
      <c r="F935" s="418">
        <f t="shared" ref="F935:Q935" si="330">F70+F256+F616</f>
        <v>9391.0000000000018</v>
      </c>
      <c r="G935" s="418">
        <f t="shared" si="330"/>
        <v>9391.0000000000018</v>
      </c>
      <c r="H935" s="418">
        <f t="shared" si="330"/>
        <v>9416.5000000000018</v>
      </c>
      <c r="I935" s="418">
        <f t="shared" si="330"/>
        <v>9391.0000000000018</v>
      </c>
      <c r="J935" s="418">
        <f t="shared" si="330"/>
        <v>9628.3000000000011</v>
      </c>
      <c r="K935" s="418">
        <f t="shared" si="330"/>
        <v>9509.0000000000018</v>
      </c>
      <c r="L935" s="418">
        <f t="shared" si="330"/>
        <v>9708.5000000000018</v>
      </c>
      <c r="M935" s="418">
        <f t="shared" si="330"/>
        <v>9824.3000000000011</v>
      </c>
      <c r="N935" s="418">
        <f t="shared" si="330"/>
        <v>9763.0000000000018</v>
      </c>
      <c r="O935" s="418">
        <f t="shared" si="330"/>
        <v>9763.0000000000018</v>
      </c>
      <c r="P935" s="418">
        <f t="shared" si="330"/>
        <v>9763.0000000000018</v>
      </c>
      <c r="Q935" s="418">
        <f t="shared" si="330"/>
        <v>9763.0000000000018</v>
      </c>
      <c r="R935" s="418">
        <f t="shared" ref="R935:R943" si="331">SUM(F935:Q935)</f>
        <v>115311.60000000002</v>
      </c>
      <c r="S935" s="340">
        <f>R935-'JKP-3.1c - Rev Rates GTI10'!R935</f>
        <v>0</v>
      </c>
    </row>
    <row r="936" spans="2:19" x14ac:dyDescent="0.2">
      <c r="B936" s="338" t="s">
        <v>837</v>
      </c>
      <c r="F936" s="418">
        <f t="shared" ref="F936:Q936" si="332">F286+F291+F293+F295+F298+F645+F650+F652+F654+F657</f>
        <v>189687.06341999999</v>
      </c>
      <c r="G936" s="418">
        <f t="shared" si="332"/>
        <v>189410.17004999999</v>
      </c>
      <c r="H936" s="418">
        <f t="shared" si="332"/>
        <v>182230.82330999998</v>
      </c>
      <c r="I936" s="418">
        <f t="shared" si="332"/>
        <v>164309.39481</v>
      </c>
      <c r="J936" s="418">
        <f t="shared" si="332"/>
        <v>144942.45752</v>
      </c>
      <c r="K936" s="418">
        <f t="shared" si="332"/>
        <v>129993.62460000001</v>
      </c>
      <c r="L936" s="418">
        <f t="shared" si="332"/>
        <v>119927.38188</v>
      </c>
      <c r="M936" s="418">
        <f t="shared" si="332"/>
        <v>124904.16786000002</v>
      </c>
      <c r="N936" s="418">
        <f t="shared" si="332"/>
        <v>128317.50962000001</v>
      </c>
      <c r="O936" s="418">
        <f t="shared" si="332"/>
        <v>150735.79548000003</v>
      </c>
      <c r="P936" s="418">
        <f t="shared" si="332"/>
        <v>167919.44047</v>
      </c>
      <c r="Q936" s="418">
        <f t="shared" si="332"/>
        <v>199375.16056999998</v>
      </c>
      <c r="R936" s="418">
        <f t="shared" si="331"/>
        <v>1891752.9895899999</v>
      </c>
      <c r="S936" s="340">
        <f>R936-'JKP-3.1c - Rev Rates GTI10'!R936-SUM('JKP-3.1c - 85&amp;T Min Charge Adj '!B41:M42)</f>
        <v>20545.031219999975</v>
      </c>
    </row>
    <row r="937" spans="2:19" x14ac:dyDescent="0.2">
      <c r="B937" s="338" t="s">
        <v>839</v>
      </c>
      <c r="F937" s="418">
        <f t="shared" ref="F937:Q937" si="333">F329+F333+F335+F337+F340+F688+F692+F694+F696+F699</f>
        <v>404656.55525999999</v>
      </c>
      <c r="G937" s="418">
        <f t="shared" si="333"/>
        <v>347763.19227999996</v>
      </c>
      <c r="H937" s="418">
        <f t="shared" si="333"/>
        <v>319735.02568000008</v>
      </c>
      <c r="I937" s="418">
        <f t="shared" si="333"/>
        <v>261964.61885999999</v>
      </c>
      <c r="J937" s="418">
        <f t="shared" si="333"/>
        <v>216663.32243000003</v>
      </c>
      <c r="K937" s="418">
        <f t="shared" si="333"/>
        <v>164162.08659000002</v>
      </c>
      <c r="L937" s="418">
        <f t="shared" si="333"/>
        <v>130769.27633999997</v>
      </c>
      <c r="M937" s="418">
        <f t="shared" si="333"/>
        <v>124301.17483</v>
      </c>
      <c r="N937" s="418">
        <f t="shared" si="333"/>
        <v>172356.45401999998</v>
      </c>
      <c r="O937" s="418">
        <f t="shared" si="333"/>
        <v>225281.75233000002</v>
      </c>
      <c r="P937" s="418">
        <f t="shared" si="333"/>
        <v>296421.28878999996</v>
      </c>
      <c r="Q937" s="418">
        <f t="shared" si="333"/>
        <v>364955.55763</v>
      </c>
      <c r="R937" s="418">
        <f t="shared" si="331"/>
        <v>3029030.30504</v>
      </c>
      <c r="S937" s="340">
        <f>R937-'JKP-3.1c - Rev Rates GTI10'!R937</f>
        <v>56397.029699999839</v>
      </c>
    </row>
    <row r="938" spans="2:19" x14ac:dyDescent="0.2">
      <c r="B938" s="338" t="s">
        <v>841</v>
      </c>
      <c r="F938" s="418">
        <f t="shared" ref="F938:Q938" si="334">F379+F387+F389+F391+F394+F738+F746+F748+F750+F753</f>
        <v>166628.68841</v>
      </c>
      <c r="G938" s="418">
        <f t="shared" si="334"/>
        <v>222713.72551000002</v>
      </c>
      <c r="H938" s="418">
        <f t="shared" si="334"/>
        <v>152924.53114000004</v>
      </c>
      <c r="I938" s="418">
        <f t="shared" si="334"/>
        <v>139801.91657999999</v>
      </c>
      <c r="J938" s="418">
        <f t="shared" si="334"/>
        <v>130508.12771999997</v>
      </c>
      <c r="K938" s="418">
        <f t="shared" si="334"/>
        <v>116884.95937000001</v>
      </c>
      <c r="L938" s="418">
        <f t="shared" si="334"/>
        <v>108006.05088</v>
      </c>
      <c r="M938" s="418">
        <f t="shared" si="334"/>
        <v>104506.35027000002</v>
      </c>
      <c r="N938" s="418">
        <f t="shared" si="334"/>
        <v>111824.67490999999</v>
      </c>
      <c r="O938" s="418">
        <f t="shared" si="334"/>
        <v>148158.71372000003</v>
      </c>
      <c r="P938" s="418">
        <f t="shared" si="334"/>
        <v>151087.37313999998</v>
      </c>
      <c r="Q938" s="418">
        <f t="shared" si="334"/>
        <v>170661.91375000004</v>
      </c>
      <c r="R938" s="418">
        <f t="shared" si="331"/>
        <v>1723707.0254000004</v>
      </c>
      <c r="S938" s="340">
        <f>R938-'JKP-3.1c - Rev Rates GTI10'!R938</f>
        <v>13644.601650000317</v>
      </c>
    </row>
    <row r="939" spans="2:19" x14ac:dyDescent="0.2">
      <c r="B939" s="336" t="s">
        <v>1184</v>
      </c>
      <c r="F939" s="418">
        <f t="shared" ref="F939:R939" si="335">F155+F160+F162+F163+F164+F483+F488+F490+F491+F492</f>
        <v>136251.38432000001</v>
      </c>
      <c r="G939" s="418">
        <f t="shared" si="335"/>
        <v>132319.68763999999</v>
      </c>
      <c r="H939" s="418">
        <f t="shared" si="335"/>
        <v>135461.89966</v>
      </c>
      <c r="I939" s="418">
        <f t="shared" si="335"/>
        <v>130011.11007999997</v>
      </c>
      <c r="J939" s="418">
        <f t="shared" si="335"/>
        <v>123278.56741999999</v>
      </c>
      <c r="K939" s="418">
        <f t="shared" si="335"/>
        <v>130160.21679999998</v>
      </c>
      <c r="L939" s="418">
        <f t="shared" si="335"/>
        <v>135588.3204</v>
      </c>
      <c r="M939" s="418">
        <f t="shared" si="335"/>
        <v>136788.18231999999</v>
      </c>
      <c r="N939" s="418">
        <f t="shared" si="335"/>
        <v>131254.03706</v>
      </c>
      <c r="O939" s="418">
        <f t="shared" si="335"/>
        <v>138990.68340000001</v>
      </c>
      <c r="P939" s="418">
        <f t="shared" si="335"/>
        <v>147031.60174000001</v>
      </c>
      <c r="Q939" s="418">
        <f t="shared" si="335"/>
        <v>153563.71507999999</v>
      </c>
      <c r="R939" s="418">
        <f t="shared" si="335"/>
        <v>1630699.4059199996</v>
      </c>
      <c r="S939" s="340">
        <f>R939-'JKP-3.1c - Rev Rates GTI10'!R939-'JKP-3.1c - 41T 86T Migrat Adj'!D9</f>
        <v>-6837.8409214443527</v>
      </c>
    </row>
    <row r="940" spans="2:19" x14ac:dyDescent="0.2">
      <c r="B940" s="336" t="s">
        <v>1185</v>
      </c>
      <c r="F940" s="418">
        <f t="shared" ref="F940:Q940" si="336">F191+F196+F198+F199+F519+F524+F526+F527</f>
        <v>543233.43118000007</v>
      </c>
      <c r="G940" s="418">
        <f t="shared" si="336"/>
        <v>535215.47129999998</v>
      </c>
      <c r="H940" s="418">
        <f t="shared" si="336"/>
        <v>584162.84316000005</v>
      </c>
      <c r="I940" s="418">
        <f t="shared" si="336"/>
        <v>558405.57524999999</v>
      </c>
      <c r="J940" s="418">
        <f t="shared" si="336"/>
        <v>563371.50857000006</v>
      </c>
      <c r="K940" s="418">
        <f t="shared" si="336"/>
        <v>567620.19764000003</v>
      </c>
      <c r="L940" s="418">
        <f t="shared" si="336"/>
        <v>542225.30731000006</v>
      </c>
      <c r="M940" s="418">
        <f t="shared" si="336"/>
        <v>531321.36147999996</v>
      </c>
      <c r="N940" s="418">
        <f t="shared" si="336"/>
        <v>561423.25109999999</v>
      </c>
      <c r="O940" s="418">
        <f t="shared" si="336"/>
        <v>565087.25683000009</v>
      </c>
      <c r="P940" s="418">
        <f t="shared" si="336"/>
        <v>572751.60968000011</v>
      </c>
      <c r="Q940" s="418">
        <f t="shared" si="336"/>
        <v>546553.21441999997</v>
      </c>
      <c r="R940" s="418">
        <f>R191+R196+R198+R199+R519+R524+R526+R527</f>
        <v>6671371.0279200003</v>
      </c>
      <c r="S940" s="340">
        <f>R940-'JKP-3.1c - Rev Rates GTI10'!R940-'JKP-3.1c - 41T 86T Migrat Adj'!D11-SUM('JKP-3.1c - 85&amp;T Min Charge Adj '!B43:M44)</f>
        <v>-4.7926859348081052E-2</v>
      </c>
    </row>
    <row r="941" spans="2:19" x14ac:dyDescent="0.2">
      <c r="B941" s="338" t="s">
        <v>1186</v>
      </c>
      <c r="F941" s="418">
        <f>F552+F556+F558+F559</f>
        <v>472.80845999999997</v>
      </c>
      <c r="G941" s="418">
        <f t="shared" ref="G941:R941" si="337">G552+G556+G558+G559</f>
        <v>931.97273999999993</v>
      </c>
      <c r="H941" s="418">
        <f t="shared" si="337"/>
        <v>2303.1393600000001</v>
      </c>
      <c r="I941" s="418">
        <f t="shared" si="337"/>
        <v>3799.2221999999997</v>
      </c>
      <c r="J941" s="418">
        <f t="shared" si="337"/>
        <v>2614.5563699999998</v>
      </c>
      <c r="K941" s="418">
        <f t="shared" si="337"/>
        <v>454.33</v>
      </c>
      <c r="L941" s="418">
        <f t="shared" si="337"/>
        <v>454.33</v>
      </c>
      <c r="M941" s="418">
        <f t="shared" si="337"/>
        <v>825.98322000000007</v>
      </c>
      <c r="N941" s="418">
        <f t="shared" si="337"/>
        <v>1899.77217</v>
      </c>
      <c r="O941" s="418">
        <f t="shared" si="337"/>
        <v>1690.7878199999998</v>
      </c>
      <c r="P941" s="418">
        <f t="shared" si="337"/>
        <v>649.87677999999994</v>
      </c>
      <c r="Q941" s="418">
        <f t="shared" si="337"/>
        <v>494.33281999999997</v>
      </c>
      <c r="R941" s="418">
        <f t="shared" si="337"/>
        <v>16591.111940000003</v>
      </c>
      <c r="S941" s="340">
        <f>R941-'JKP-3.1c - Rev Rates GTI10'!R941-'JKP-3.1c - 41T 86T Migrat Adj'!D13</f>
        <v>1.9461203004539129E-2</v>
      </c>
    </row>
    <row r="942" spans="2:19" x14ac:dyDescent="0.2">
      <c r="B942" s="336" t="s">
        <v>1187</v>
      </c>
      <c r="F942" s="418">
        <f t="shared" ref="F942:R942" si="338">F232+F240+F242+F243+F592+F600+F602+F603</f>
        <v>361769.78988000005</v>
      </c>
      <c r="G942" s="418">
        <f t="shared" si="338"/>
        <v>320798.90973000001</v>
      </c>
      <c r="H942" s="418">
        <f t="shared" si="338"/>
        <v>346297.71649000002</v>
      </c>
      <c r="I942" s="418">
        <f t="shared" si="338"/>
        <v>340851.22961000004</v>
      </c>
      <c r="J942" s="418">
        <f t="shared" si="338"/>
        <v>384477.65779999999</v>
      </c>
      <c r="K942" s="418">
        <f t="shared" si="338"/>
        <v>330348.47559000005</v>
      </c>
      <c r="L942" s="418">
        <f t="shared" si="338"/>
        <v>374019.16223000002</v>
      </c>
      <c r="M942" s="418">
        <f t="shared" si="338"/>
        <v>352689.56851000007</v>
      </c>
      <c r="N942" s="418">
        <f t="shared" si="338"/>
        <v>334044.80807000003</v>
      </c>
      <c r="O942" s="418">
        <f t="shared" si="338"/>
        <v>338122.38785</v>
      </c>
      <c r="P942" s="418">
        <f t="shared" si="338"/>
        <v>316012.82226000004</v>
      </c>
      <c r="Q942" s="418">
        <f t="shared" si="338"/>
        <v>321294.99529000005</v>
      </c>
      <c r="R942" s="418">
        <f t="shared" si="338"/>
        <v>4120727.5233100005</v>
      </c>
      <c r="S942" s="340">
        <f>R942-'JKP-3.1c - Rev Rates GTI10'!R942</f>
        <v>11789.635560000781</v>
      </c>
    </row>
    <row r="943" spans="2:19" x14ac:dyDescent="0.2">
      <c r="B943" s="338" t="s">
        <v>844</v>
      </c>
      <c r="F943" s="418">
        <f t="shared" ref="F943:N943" si="339">F784+F792+F793</f>
        <v>155405.95314</v>
      </c>
      <c r="G943" s="418">
        <f t="shared" si="339"/>
        <v>148903.83136999997</v>
      </c>
      <c r="H943" s="418">
        <f t="shared" si="339"/>
        <v>149792.75245999999</v>
      </c>
      <c r="I943" s="418">
        <f t="shared" si="339"/>
        <v>140441.23926</v>
      </c>
      <c r="J943" s="418">
        <f t="shared" si="339"/>
        <v>129972.94983999999</v>
      </c>
      <c r="K943" s="418">
        <f t="shared" si="339"/>
        <v>124650.01813</v>
      </c>
      <c r="L943" s="418">
        <f t="shared" si="339"/>
        <v>121456.12259999999</v>
      </c>
      <c r="M943" s="418">
        <f t="shared" si="339"/>
        <v>120144.57382999999</v>
      </c>
      <c r="N943" s="418">
        <f t="shared" si="339"/>
        <v>121704.71928999999</v>
      </c>
      <c r="O943" s="418">
        <f>O784+O792+O793</f>
        <v>137625.26725999999</v>
      </c>
      <c r="P943" s="418">
        <f>P784+P792+P793</f>
        <v>151419.44193999999</v>
      </c>
      <c r="Q943" s="418">
        <f>Q784+Q792+Q793</f>
        <v>157098.98803000001</v>
      </c>
      <c r="R943" s="418">
        <f t="shared" si="331"/>
        <v>1658615.8571499996</v>
      </c>
      <c r="S943" s="340">
        <f>R943-'JKP-3.1c - Rev Rates GTI10'!R943</f>
        <v>8880.4138899999671</v>
      </c>
    </row>
    <row r="944" spans="2:19" x14ac:dyDescent="0.2">
      <c r="B944" s="338" t="s">
        <v>1188</v>
      </c>
      <c r="F944" s="339">
        <f t="shared" ref="F944:N944" si="340">SUM(F930:F943)</f>
        <v>54223894.828059994</v>
      </c>
      <c r="G944" s="339">
        <f t="shared" si="340"/>
        <v>45461474.243050009</v>
      </c>
      <c r="H944" s="339">
        <f t="shared" si="340"/>
        <v>42106872.71625001</v>
      </c>
      <c r="I944" s="339">
        <f t="shared" si="340"/>
        <v>33704402.224179998</v>
      </c>
      <c r="J944" s="339">
        <f t="shared" si="340"/>
        <v>26261698.209839996</v>
      </c>
      <c r="K944" s="339">
        <f t="shared" si="340"/>
        <v>21739149.323130004</v>
      </c>
      <c r="L944" s="339">
        <f t="shared" si="340"/>
        <v>19156542.981690001</v>
      </c>
      <c r="M944" s="339">
        <f t="shared" si="340"/>
        <v>18747348.128400002</v>
      </c>
      <c r="N944" s="339">
        <f t="shared" si="340"/>
        <v>20983422.507340003</v>
      </c>
      <c r="O944" s="339">
        <f>SUM(O930:O943)</f>
        <v>30665976.816000007</v>
      </c>
      <c r="P944" s="339">
        <f>SUM(P930:P943)</f>
        <v>41370597.836740009</v>
      </c>
      <c r="Q944" s="339">
        <f>SUM(Q930:Q943)</f>
        <v>57485750.861990005</v>
      </c>
      <c r="R944" s="339">
        <f>SUM(R930:R943)</f>
        <v>411907130.67667007</v>
      </c>
      <c r="S944" s="339">
        <f>SUM(S930:S943)</f>
        <v>10719076.13811804</v>
      </c>
    </row>
    <row r="945" spans="2:20" x14ac:dyDescent="0.2">
      <c r="F945" s="418"/>
      <c r="G945" s="418"/>
      <c r="H945" s="418"/>
      <c r="I945" s="418"/>
      <c r="J945" s="418"/>
      <c r="K945" s="418"/>
      <c r="L945" s="418"/>
      <c r="M945" s="418"/>
      <c r="N945" s="418"/>
      <c r="O945" s="418"/>
      <c r="P945" s="418"/>
      <c r="Q945" s="418"/>
      <c r="R945" s="418"/>
    </row>
    <row r="946" spans="2:20" x14ac:dyDescent="0.2">
      <c r="B946" s="692" t="s">
        <v>186</v>
      </c>
    </row>
    <row r="947" spans="2:20" x14ac:dyDescent="0.2">
      <c r="B947" s="338" t="s">
        <v>827</v>
      </c>
      <c r="F947" s="418">
        <f t="shared" ref="F947:N947" si="341">F20</f>
        <v>738.18</v>
      </c>
      <c r="G947" s="418">
        <f t="shared" si="341"/>
        <v>738.18</v>
      </c>
      <c r="H947" s="418">
        <f t="shared" si="341"/>
        <v>738.18</v>
      </c>
      <c r="I947" s="418">
        <f t="shared" si="341"/>
        <v>738.18</v>
      </c>
      <c r="J947" s="418">
        <f t="shared" si="341"/>
        <v>738.18</v>
      </c>
      <c r="K947" s="418">
        <f t="shared" si="341"/>
        <v>738.18</v>
      </c>
      <c r="L947" s="418">
        <f t="shared" si="341"/>
        <v>724.51</v>
      </c>
      <c r="M947" s="418">
        <f t="shared" si="341"/>
        <v>724.51</v>
      </c>
      <c r="N947" s="418">
        <f t="shared" si="341"/>
        <v>724.51</v>
      </c>
      <c r="O947" s="418">
        <f>O20</f>
        <v>724.51</v>
      </c>
      <c r="P947" s="418">
        <f>P20</f>
        <v>724.51</v>
      </c>
      <c r="Q947" s="418">
        <f>Q20</f>
        <v>724.51</v>
      </c>
      <c r="R947" s="418">
        <f>SUM(F947:Q947)</f>
        <v>8776.1400000000012</v>
      </c>
      <c r="S947" s="340">
        <f>R947-'JKP-3.1c - Rev Rates GTI10'!R947</f>
        <v>0</v>
      </c>
    </row>
    <row r="948" spans="2:20" x14ac:dyDescent="0.2">
      <c r="B948" s="338" t="s">
        <v>828</v>
      </c>
      <c r="F948" s="418">
        <f>F39</f>
        <v>62397115.423829995</v>
      </c>
      <c r="G948" s="418">
        <f t="shared" ref="G948:N948" si="342">G39</f>
        <v>49618857.70809</v>
      </c>
      <c r="H948" s="418">
        <f t="shared" si="342"/>
        <v>44515066.587749995</v>
      </c>
      <c r="I948" s="418">
        <f t="shared" si="342"/>
        <v>32110976.34657</v>
      </c>
      <c r="J948" s="418">
        <f t="shared" si="342"/>
        <v>20698299.066059999</v>
      </c>
      <c r="K948" s="418">
        <f t="shared" si="342"/>
        <v>14013596.529899999</v>
      </c>
      <c r="L948" s="418">
        <f t="shared" si="342"/>
        <v>10039528.884329999</v>
      </c>
      <c r="M948" s="418">
        <f t="shared" si="342"/>
        <v>9454049.4014999997</v>
      </c>
      <c r="N948" s="418">
        <f t="shared" si="342"/>
        <v>13002337.01448</v>
      </c>
      <c r="O948" s="418">
        <f>O39</f>
        <v>27693164.927340001</v>
      </c>
      <c r="P948" s="418">
        <f>P39</f>
        <v>43623146.223360002</v>
      </c>
      <c r="Q948" s="418">
        <f>Q39</f>
        <v>67263859.870020002</v>
      </c>
      <c r="R948" s="418">
        <f>R39</f>
        <v>394429997.98322999</v>
      </c>
      <c r="S948" s="340">
        <f>R948-'JKP-3.1c - Rev Rates GTI10'!R948</f>
        <v>15325706.983229995</v>
      </c>
    </row>
    <row r="949" spans="2:20" x14ac:dyDescent="0.2">
      <c r="B949" s="338" t="s">
        <v>829</v>
      </c>
      <c r="F949" s="418">
        <f t="shared" ref="F949:N949" si="343">+F57</f>
        <v>821.31404999999995</v>
      </c>
      <c r="G949" s="418">
        <f t="shared" si="343"/>
        <v>865.38455999999996</v>
      </c>
      <c r="H949" s="418">
        <f t="shared" si="343"/>
        <v>1205.92941</v>
      </c>
      <c r="I949" s="418">
        <f t="shared" si="343"/>
        <v>877.40378999999996</v>
      </c>
      <c r="J949" s="418">
        <f t="shared" si="343"/>
        <v>580.92944999999997</v>
      </c>
      <c r="K949" s="418">
        <f t="shared" si="343"/>
        <v>428.68586999999997</v>
      </c>
      <c r="L949" s="418">
        <f t="shared" si="343"/>
        <v>356.57049000000001</v>
      </c>
      <c r="M949" s="418">
        <f t="shared" si="343"/>
        <v>344.55125999999996</v>
      </c>
      <c r="N949" s="418">
        <f t="shared" si="343"/>
        <v>336.53843999999998</v>
      </c>
      <c r="O949" s="418">
        <f>+O57</f>
        <v>641.02559999999994</v>
      </c>
      <c r="P949" s="418">
        <f>+P57</f>
        <v>889.42301999999995</v>
      </c>
      <c r="Q949" s="418">
        <f>+Q57</f>
        <v>1121.7947999999999</v>
      </c>
      <c r="R949" s="418">
        <f>+R57</f>
        <v>8469.5507400000006</v>
      </c>
      <c r="S949" s="340">
        <f>R949-'JKP-3.1c - Rev Rates GTI10'!R949</f>
        <v>0</v>
      </c>
    </row>
    <row r="950" spans="2:20" x14ac:dyDescent="0.2">
      <c r="B950" s="346" t="s">
        <v>830</v>
      </c>
      <c r="F950" s="418">
        <f t="shared" ref="F950:Q950" si="344">F86+F414</f>
        <v>21286903.126089998</v>
      </c>
      <c r="G950" s="418">
        <f t="shared" si="344"/>
        <v>16910712.126489997</v>
      </c>
      <c r="H950" s="418">
        <f t="shared" si="344"/>
        <v>15309098.698809998</v>
      </c>
      <c r="I950" s="418">
        <f t="shared" si="344"/>
        <v>11459683.805429999</v>
      </c>
      <c r="J950" s="418">
        <f t="shared" si="344"/>
        <v>8339808.2775699999</v>
      </c>
      <c r="K950" s="418">
        <f t="shared" si="344"/>
        <v>6482300.9199899994</v>
      </c>
      <c r="L950" s="418">
        <f t="shared" si="344"/>
        <v>5464699.3666299991</v>
      </c>
      <c r="M950" s="418">
        <f t="shared" si="344"/>
        <v>5350705.4495999999</v>
      </c>
      <c r="N950" s="418">
        <f t="shared" si="344"/>
        <v>6016819.2739199996</v>
      </c>
      <c r="O950" s="418">
        <f t="shared" si="344"/>
        <v>10026363.66879</v>
      </c>
      <c r="P950" s="418">
        <f t="shared" si="344"/>
        <v>14931808.82564</v>
      </c>
      <c r="Q950" s="418">
        <f t="shared" si="344"/>
        <v>22911283.067540001</v>
      </c>
      <c r="R950" s="418">
        <f t="shared" ref="R950:R960" si="345">SUM(F950:Q950)</f>
        <v>144490186.60649997</v>
      </c>
      <c r="S950" s="340">
        <f>R950-'JKP-3.1c - Rev Rates GTI10'!R950-'JKP-3.1c - 41 Min Migration Adj'!E7-'JKP-3.1c - 41T 86T Migrat Adj'!E7</f>
        <v>5747210.2591782045</v>
      </c>
    </row>
    <row r="951" spans="2:20" x14ac:dyDescent="0.2">
      <c r="B951" s="338" t="s">
        <v>832</v>
      </c>
      <c r="F951" s="418">
        <f t="shared" ref="F951:Q951" si="346">F122+F125+F450+F453</f>
        <v>5447001.2247400004</v>
      </c>
      <c r="G951" s="418">
        <f t="shared" si="346"/>
        <v>4722618.2034999998</v>
      </c>
      <c r="H951" s="418">
        <f t="shared" si="346"/>
        <v>4807780.1438999996</v>
      </c>
      <c r="I951" s="418">
        <f t="shared" si="346"/>
        <v>4165422.1054600007</v>
      </c>
      <c r="J951" s="418">
        <f t="shared" si="346"/>
        <v>3693965.1811799998</v>
      </c>
      <c r="K951" s="418">
        <f t="shared" si="346"/>
        <v>3079175.13062</v>
      </c>
      <c r="L951" s="418">
        <f t="shared" si="346"/>
        <v>2779734.0482600005</v>
      </c>
      <c r="M951" s="418">
        <f t="shared" si="346"/>
        <v>2768744.4137200001</v>
      </c>
      <c r="N951" s="418">
        <f t="shared" si="346"/>
        <v>2937683.8810199997</v>
      </c>
      <c r="O951" s="418">
        <f t="shared" si="346"/>
        <v>3794230.3572800001</v>
      </c>
      <c r="P951" s="418">
        <f t="shared" si="346"/>
        <v>4565493.1289799996</v>
      </c>
      <c r="Q951" s="418">
        <f t="shared" si="346"/>
        <v>5558967.5292999996</v>
      </c>
      <c r="R951" s="418">
        <f t="shared" si="345"/>
        <v>48320815.347960003</v>
      </c>
      <c r="S951" s="340">
        <f>R951-'JKP-3.1c - Rev Rates GTI10'!R951-'JKP-3.1c - 41 Min Migration Adj'!E8-'JKP-3.1c - 41T 86T Migrat Adj'!E8</f>
        <v>641217.61360022507</v>
      </c>
    </row>
    <row r="952" spans="2:20" x14ac:dyDescent="0.2">
      <c r="B952" s="338" t="s">
        <v>836</v>
      </c>
      <c r="R952" s="418">
        <f t="shared" si="345"/>
        <v>0</v>
      </c>
      <c r="S952" s="340">
        <f>R952-'JKP-3.1c - Rev Rates GTI10'!R952</f>
        <v>0</v>
      </c>
    </row>
    <row r="953" spans="2:20" x14ac:dyDescent="0.2">
      <c r="B953" s="338" t="s">
        <v>837</v>
      </c>
      <c r="F953" s="418">
        <f t="shared" ref="F953:Q953" si="347">F292+F296+F651+F655</f>
        <v>1359045.4237499998</v>
      </c>
      <c r="G953" s="418">
        <f t="shared" si="347"/>
        <v>1177366.325</v>
      </c>
      <c r="H953" s="418">
        <f t="shared" si="347"/>
        <v>1229839.8187499999</v>
      </c>
      <c r="I953" s="418">
        <f t="shared" si="347"/>
        <v>1034436.4762499999</v>
      </c>
      <c r="J953" s="418">
        <f t="shared" si="347"/>
        <v>845387.74624999997</v>
      </c>
      <c r="K953" s="418">
        <f t="shared" si="347"/>
        <v>695757.45125000004</v>
      </c>
      <c r="L953" s="418">
        <f t="shared" si="347"/>
        <v>625707.9325</v>
      </c>
      <c r="M953" s="418">
        <f t="shared" si="347"/>
        <v>630318.15249999997</v>
      </c>
      <c r="N953" s="418">
        <f t="shared" si="347"/>
        <v>665509.23125000007</v>
      </c>
      <c r="O953" s="418">
        <f t="shared" si="347"/>
        <v>913635.35875000001</v>
      </c>
      <c r="P953" s="418">
        <f t="shared" si="347"/>
        <v>1079636.8812499999</v>
      </c>
      <c r="Q953" s="418">
        <f t="shared" si="347"/>
        <v>1299476.7174999998</v>
      </c>
      <c r="R953" s="418">
        <f t="shared" si="345"/>
        <v>11556117.514999999</v>
      </c>
      <c r="S953" s="340">
        <f>R953-'JKP-3.1c - Rev Rates GTI10'!R953</f>
        <v>232706.43874999881</v>
      </c>
    </row>
    <row r="954" spans="2:20" x14ac:dyDescent="0.2">
      <c r="B954" s="338" t="s">
        <v>839</v>
      </c>
      <c r="F954" s="418">
        <f t="shared" ref="F954:Q954" si="348">F334+F338+F693+F697</f>
        <v>1434236.31672</v>
      </c>
      <c r="G954" s="418">
        <f t="shared" si="348"/>
        <v>1178958.2682</v>
      </c>
      <c r="H954" s="418">
        <f t="shared" si="348"/>
        <v>1067572.0293100001</v>
      </c>
      <c r="I954" s="418">
        <f t="shared" si="348"/>
        <v>818406.96010000003</v>
      </c>
      <c r="J954" s="418">
        <f t="shared" si="348"/>
        <v>623556.40862999996</v>
      </c>
      <c r="K954" s="418">
        <f t="shared" si="348"/>
        <v>409715.32003999996</v>
      </c>
      <c r="L954" s="418">
        <f t="shared" si="348"/>
        <v>288183.92418999999</v>
      </c>
      <c r="M954" s="418">
        <f t="shared" si="348"/>
        <v>255697.86974000002</v>
      </c>
      <c r="N954" s="418">
        <f t="shared" si="348"/>
        <v>353684.05304000003</v>
      </c>
      <c r="O954" s="418">
        <f t="shared" si="348"/>
        <v>675013.74922999996</v>
      </c>
      <c r="P954" s="418">
        <f t="shared" si="348"/>
        <v>975052.13747999992</v>
      </c>
      <c r="Q954" s="418">
        <f t="shared" si="348"/>
        <v>1279137.6427800001</v>
      </c>
      <c r="R954" s="418">
        <f t="shared" si="345"/>
        <v>9359214.6794600002</v>
      </c>
      <c r="S954" s="340">
        <f>R954-'JKP-3.1c - Rev Rates GTI10'!R954</f>
        <v>246397.34185000136</v>
      </c>
    </row>
    <row r="955" spans="2:20" x14ac:dyDescent="0.2">
      <c r="B955" s="338" t="s">
        <v>841</v>
      </c>
      <c r="F955" s="418">
        <f t="shared" ref="F955:Q955" si="349">F388+F392+F747+F751</f>
        <v>2298431.9156300002</v>
      </c>
      <c r="G955" s="418">
        <f t="shared" si="349"/>
        <v>1993287.1907900004</v>
      </c>
      <c r="H955" s="418">
        <f t="shared" si="349"/>
        <v>1958663.5753000001</v>
      </c>
      <c r="I955" s="418">
        <f t="shared" si="349"/>
        <v>1692658.1309200004</v>
      </c>
      <c r="J955" s="418">
        <f t="shared" si="349"/>
        <v>1492920.2513400002</v>
      </c>
      <c r="K955" s="418">
        <f t="shared" si="349"/>
        <v>1233690.6127000002</v>
      </c>
      <c r="L955" s="418">
        <f t="shared" si="349"/>
        <v>1102353.1532600001</v>
      </c>
      <c r="M955" s="418">
        <f t="shared" si="349"/>
        <v>1040824.16781</v>
      </c>
      <c r="N955" s="418">
        <f t="shared" si="349"/>
        <v>1139175.5750899999</v>
      </c>
      <c r="O955" s="418">
        <f t="shared" si="349"/>
        <v>1600120.9638</v>
      </c>
      <c r="P955" s="418">
        <f t="shared" si="349"/>
        <v>1896062.8861000002</v>
      </c>
      <c r="Q955" s="418">
        <f t="shared" si="349"/>
        <v>2367329.6063100002</v>
      </c>
      <c r="R955" s="418">
        <f t="shared" si="345"/>
        <v>19815518.029050004</v>
      </c>
      <c r="S955" s="340">
        <f>R955-'JKP-3.1c - Rev Rates GTI10'!R955</f>
        <v>339703.70834999904</v>
      </c>
    </row>
    <row r="956" spans="2:20" x14ac:dyDescent="0.2">
      <c r="B956" s="32" t="s">
        <v>1184</v>
      </c>
      <c r="F956" s="418">
        <f t="shared" ref="F956:R956" si="350">F161+F489</f>
        <v>447.85159999999996</v>
      </c>
      <c r="G956" s="418">
        <f t="shared" si="350"/>
        <v>424.00329999999997</v>
      </c>
      <c r="H956" s="418">
        <f t="shared" si="350"/>
        <v>463.27329999999995</v>
      </c>
      <c r="I956" s="418">
        <f t="shared" si="350"/>
        <v>429.90639999999996</v>
      </c>
      <c r="J956" s="418">
        <f t="shared" si="350"/>
        <v>389.27210000000002</v>
      </c>
      <c r="K956" s="418">
        <f t="shared" si="350"/>
        <v>434.81200000000001</v>
      </c>
      <c r="L956" s="418">
        <f t="shared" si="350"/>
        <v>443.31000000000006</v>
      </c>
      <c r="M956" s="418">
        <f t="shared" si="350"/>
        <v>446.79460000000006</v>
      </c>
      <c r="N956" s="418">
        <f t="shared" si="350"/>
        <v>429.71040000000005</v>
      </c>
      <c r="O956" s="418">
        <f t="shared" si="350"/>
        <v>457.02299999999997</v>
      </c>
      <c r="P956" s="418">
        <f t="shared" si="350"/>
        <v>534.97569999999996</v>
      </c>
      <c r="Q956" s="418">
        <f t="shared" si="350"/>
        <v>569.26940000000002</v>
      </c>
      <c r="R956" s="418">
        <f t="shared" si="350"/>
        <v>5470.2017999999989</v>
      </c>
      <c r="S956" s="340">
        <f>R956-'JKP-3.1c - Rev Rates GTI10'!R956-'JKP-3.1c - 41T 86T Migrat Adj'!E9</f>
        <v>9036.1762256999991</v>
      </c>
    </row>
    <row r="957" spans="2:20" x14ac:dyDescent="0.2">
      <c r="B957" s="32" t="s">
        <v>1185</v>
      </c>
      <c r="F957" s="418">
        <f t="shared" ref="F957:R957" si="351">F197+F525</f>
        <v>3706.4243999999999</v>
      </c>
      <c r="G957" s="418">
        <f t="shared" si="351"/>
        <v>3524.4090000000001</v>
      </c>
      <c r="H957" s="418">
        <f t="shared" si="351"/>
        <v>4015.7537000000002</v>
      </c>
      <c r="I957" s="418">
        <f t="shared" si="351"/>
        <v>3811.2851000000001</v>
      </c>
      <c r="J957" s="418">
        <f t="shared" si="351"/>
        <v>3794.9849000000004</v>
      </c>
      <c r="K957" s="418">
        <f t="shared" si="351"/>
        <v>3952.8103999999998</v>
      </c>
      <c r="L957" s="418">
        <f t="shared" si="351"/>
        <v>3644.9566999999997</v>
      </c>
      <c r="M957" s="418">
        <f t="shared" si="351"/>
        <v>3761.5129999999999</v>
      </c>
      <c r="N957" s="418">
        <f t="shared" si="351"/>
        <v>3590.7269999999999</v>
      </c>
      <c r="O957" s="418">
        <f t="shared" si="351"/>
        <v>3908.1637000000001</v>
      </c>
      <c r="P957" s="418">
        <f t="shared" si="351"/>
        <v>3915.8714</v>
      </c>
      <c r="Q957" s="418">
        <f t="shared" si="351"/>
        <v>3807.2195000000002</v>
      </c>
      <c r="R957" s="418">
        <f t="shared" si="351"/>
        <v>45434.118799999997</v>
      </c>
      <c r="S957" s="340">
        <f>R957-'JKP-3.1c - Rev Rates GTI10'!R957-'JKP-3.1c - 41T 86T Migrat Adj'!E11</f>
        <v>-1.7549000460803654E-4</v>
      </c>
    </row>
    <row r="958" spans="2:20" x14ac:dyDescent="0.2">
      <c r="B958" s="338" t="s">
        <v>1186</v>
      </c>
      <c r="F958" s="418">
        <f>F557</f>
        <v>6.3699999999999993E-2</v>
      </c>
      <c r="G958" s="418">
        <f t="shared" ref="G958:R958" si="352">G557</f>
        <v>2.0202</v>
      </c>
      <c r="H958" s="418">
        <f t="shared" si="352"/>
        <v>8.6128</v>
      </c>
      <c r="I958" s="418">
        <f t="shared" si="352"/>
        <v>15.805999999999999</v>
      </c>
      <c r="J958" s="418">
        <f t="shared" si="352"/>
        <v>10.110099999999999</v>
      </c>
      <c r="K958" s="418">
        <f t="shared" si="352"/>
        <v>0</v>
      </c>
      <c r="L958" s="418">
        <f t="shared" si="352"/>
        <v>0</v>
      </c>
      <c r="M958" s="418">
        <f t="shared" si="352"/>
        <v>1.5105999999999999</v>
      </c>
      <c r="N958" s="418">
        <f t="shared" si="352"/>
        <v>6.3441000000000001</v>
      </c>
      <c r="O958" s="418">
        <f t="shared" si="352"/>
        <v>5.6685999999999996</v>
      </c>
      <c r="P958" s="418">
        <f t="shared" si="352"/>
        <v>0.67410000000000003</v>
      </c>
      <c r="Q958" s="418">
        <f t="shared" si="352"/>
        <v>0.13789999999999999</v>
      </c>
      <c r="R958" s="418">
        <f t="shared" si="352"/>
        <v>50.94809999999999</v>
      </c>
      <c r="S958" s="340">
        <f>R958-'JKP-3.1c - Rev Rates GTI10'!R958-'JKP-3.1c - 41T 86T Migrat Adj'!E13</f>
        <v>5.7399999995766393E-5</v>
      </c>
    </row>
    <row r="959" spans="2:20" x14ac:dyDescent="0.2">
      <c r="B959" s="32" t="s">
        <v>1187</v>
      </c>
      <c r="F959" s="418">
        <f t="shared" ref="F959:R959" si="353">F241+F601</f>
        <v>6724.3287999999993</v>
      </c>
      <c r="G959" s="418">
        <f t="shared" si="353"/>
        <v>5379.9675999999999</v>
      </c>
      <c r="H959" s="418">
        <f t="shared" si="353"/>
        <v>6162.527</v>
      </c>
      <c r="I959" s="418">
        <f t="shared" si="353"/>
        <v>5937.4483</v>
      </c>
      <c r="J959" s="418">
        <f t="shared" si="353"/>
        <v>6571.9695999999994</v>
      </c>
      <c r="K959" s="418">
        <f t="shared" si="353"/>
        <v>5603.8289999999997</v>
      </c>
      <c r="L959" s="418">
        <f t="shared" si="353"/>
        <v>5947.7403999999997</v>
      </c>
      <c r="M959" s="418">
        <f t="shared" si="353"/>
        <v>6029.3373000000001</v>
      </c>
      <c r="N959" s="418">
        <f t="shared" si="353"/>
        <v>5278.7329</v>
      </c>
      <c r="O959" s="418">
        <f t="shared" si="353"/>
        <v>5585.1341000000002</v>
      </c>
      <c r="P959" s="418">
        <f t="shared" si="353"/>
        <v>5023.3953000000001</v>
      </c>
      <c r="Q959" s="418">
        <f t="shared" si="353"/>
        <v>5460.5922</v>
      </c>
      <c r="R959" s="418">
        <f t="shared" si="353"/>
        <v>69705.002500000017</v>
      </c>
      <c r="S959" s="340">
        <f>R959-'JKP-3.1c - Rev Rates GTI10'!R959</f>
        <v>387.63480000001437</v>
      </c>
      <c r="T959" s="340"/>
    </row>
    <row r="960" spans="2:20" x14ac:dyDescent="0.2">
      <c r="B960" s="338" t="s">
        <v>844</v>
      </c>
      <c r="R960" s="418">
        <f t="shared" si="345"/>
        <v>0</v>
      </c>
      <c r="S960" s="340">
        <f>R960-'JKP-3.1c - Rev Rates GTI10'!R960</f>
        <v>0</v>
      </c>
    </row>
    <row r="961" spans="2:20" x14ac:dyDescent="0.2">
      <c r="B961" s="338" t="s">
        <v>1189</v>
      </c>
      <c r="F961" s="339">
        <f t="shared" ref="F961:N961" si="354">SUM(F947:F960)</f>
        <v>94235171.593309984</v>
      </c>
      <c r="G961" s="339">
        <f t="shared" si="354"/>
        <v>75612733.786729977</v>
      </c>
      <c r="H961" s="339">
        <f t="shared" si="354"/>
        <v>68900615.130030006</v>
      </c>
      <c r="I961" s="339">
        <f t="shared" si="354"/>
        <v>51293393.854320005</v>
      </c>
      <c r="J961" s="339">
        <f t="shared" si="354"/>
        <v>35706022.377180003</v>
      </c>
      <c r="K961" s="339">
        <f t="shared" si="354"/>
        <v>25925394.281769998</v>
      </c>
      <c r="L961" s="339">
        <f t="shared" si="354"/>
        <v>20311324.396760002</v>
      </c>
      <c r="M961" s="339">
        <f t="shared" si="354"/>
        <v>19511647.671629999</v>
      </c>
      <c r="N961" s="339">
        <f t="shared" si="354"/>
        <v>24125575.591639999</v>
      </c>
      <c r="O961" s="339">
        <f>SUM(O947:O960)</f>
        <v>44713850.550190002</v>
      </c>
      <c r="P961" s="339">
        <f>SUM(P947:P960)</f>
        <v>67082288.932329997</v>
      </c>
      <c r="Q961" s="339">
        <f>SUM(Q947:Q960)</f>
        <v>100691737.95725001</v>
      </c>
      <c r="R961" s="339">
        <f>SUM(R947:R960)</f>
        <v>628109756.12313998</v>
      </c>
      <c r="S961" s="339">
        <f>SUM(S947:S960)</f>
        <v>22542366.155866031</v>
      </c>
    </row>
    <row r="962" spans="2:20" x14ac:dyDescent="0.2">
      <c r="B962" s="336" t="s">
        <v>131</v>
      </c>
      <c r="F962" s="418">
        <f>F961-F922-F923</f>
        <v>3.8862708606757224E-9</v>
      </c>
      <c r="G962" s="418">
        <f t="shared" ref="G962:R962" si="355">G961-G922-G923</f>
        <v>-1.102444002754055E-8</v>
      </c>
      <c r="H962" s="418">
        <f t="shared" si="355"/>
        <v>1.0576286513241939E-8</v>
      </c>
      <c r="I962" s="418">
        <f t="shared" si="355"/>
        <v>1.2002033145108726E-8</v>
      </c>
      <c r="J962" s="418">
        <f t="shared" si="355"/>
        <v>-2.1576624931185506E-9</v>
      </c>
      <c r="K962" s="418">
        <f t="shared" si="355"/>
        <v>-7.7005779530736618E-10</v>
      </c>
      <c r="L962" s="418">
        <f t="shared" si="355"/>
        <v>-4.818446086574113E-9</v>
      </c>
      <c r="M962" s="418">
        <f t="shared" si="355"/>
        <v>-5.4931206250330433E-9</v>
      </c>
      <c r="N962" s="418">
        <f t="shared" si="355"/>
        <v>3.9911469684739131E-9</v>
      </c>
      <c r="O962" s="418">
        <f t="shared" si="355"/>
        <v>-6.2345861806534231E-9</v>
      </c>
      <c r="P962" s="418">
        <f t="shared" si="355"/>
        <v>-2.2243966668611392E-9</v>
      </c>
      <c r="Q962" s="418">
        <f t="shared" si="355"/>
        <v>2.8205022317706607E-8</v>
      </c>
      <c r="R962" s="418">
        <f t="shared" si="355"/>
        <v>3.5852281143888831E-9</v>
      </c>
    </row>
    <row r="964" spans="2:20" x14ac:dyDescent="0.2">
      <c r="B964" s="692" t="s">
        <v>1190</v>
      </c>
    </row>
    <row r="965" spans="2:20" x14ac:dyDescent="0.2">
      <c r="B965" s="338" t="s">
        <v>827</v>
      </c>
      <c r="F965" s="418">
        <f t="shared" ref="F965:Q978" si="356">F930+F947</f>
        <v>1273.8599999999999</v>
      </c>
      <c r="G965" s="418">
        <f t="shared" si="356"/>
        <v>1273.8599999999999</v>
      </c>
      <c r="H965" s="418">
        <f t="shared" si="356"/>
        <v>1273.8599999999999</v>
      </c>
      <c r="I965" s="418">
        <f t="shared" si="356"/>
        <v>1273.8599999999999</v>
      </c>
      <c r="J965" s="418">
        <f t="shared" si="356"/>
        <v>1273.8599999999999</v>
      </c>
      <c r="K965" s="418">
        <f t="shared" si="356"/>
        <v>1273.8599999999999</v>
      </c>
      <c r="L965" s="418">
        <f t="shared" si="356"/>
        <v>1250.27</v>
      </c>
      <c r="M965" s="418">
        <f t="shared" si="356"/>
        <v>1250.27</v>
      </c>
      <c r="N965" s="418">
        <f t="shared" si="356"/>
        <v>1250.27</v>
      </c>
      <c r="O965" s="418">
        <f t="shared" si="356"/>
        <v>1250.27</v>
      </c>
      <c r="P965" s="418">
        <f t="shared" si="356"/>
        <v>1250.27</v>
      </c>
      <c r="Q965" s="418">
        <f t="shared" si="356"/>
        <v>1250.27</v>
      </c>
      <c r="R965" s="418">
        <f t="shared" ref="R965:R968" si="357">SUM(F965:Q965)</f>
        <v>15144.78</v>
      </c>
      <c r="S965" s="340">
        <f>R965-'JKP-3.1c - Rev Rates GTI10'!R965</f>
        <v>0</v>
      </c>
      <c r="T965" s="340"/>
    </row>
    <row r="966" spans="2:20" x14ac:dyDescent="0.2">
      <c r="B966" s="338" t="s">
        <v>828</v>
      </c>
      <c r="F966" s="418">
        <f t="shared" si="356"/>
        <v>101796484.72995</v>
      </c>
      <c r="G966" s="418">
        <f t="shared" si="356"/>
        <v>82395613.188850001</v>
      </c>
      <c r="H966" s="418">
        <f t="shared" si="356"/>
        <v>74652097.128749996</v>
      </c>
      <c r="I966" s="418">
        <f t="shared" si="356"/>
        <v>55810339.626049995</v>
      </c>
      <c r="J966" s="418">
        <f t="shared" si="356"/>
        <v>38478356.535899997</v>
      </c>
      <c r="K966" s="418">
        <f t="shared" si="356"/>
        <v>28333820.373500001</v>
      </c>
      <c r="L966" s="418">
        <f t="shared" si="356"/>
        <v>22300137.012449998</v>
      </c>
      <c r="M966" s="418">
        <f t="shared" si="356"/>
        <v>21402707.147500001</v>
      </c>
      <c r="N966" s="418">
        <f t="shared" si="356"/>
        <v>26805334.077200003</v>
      </c>
      <c r="O966" s="418">
        <f t="shared" si="356"/>
        <v>49114218.415100001</v>
      </c>
      <c r="P966" s="418">
        <f t="shared" si="356"/>
        <v>73321136.870399997</v>
      </c>
      <c r="Q966" s="418">
        <f t="shared" si="356"/>
        <v>109240997.5653</v>
      </c>
      <c r="R966" s="418">
        <f t="shared" si="357"/>
        <v>683651242.67094982</v>
      </c>
      <c r="S966" s="340">
        <f>R966-'JKP-3.1c - Rev Rates GTI10'!R966</f>
        <v>23283584.670949817</v>
      </c>
      <c r="T966" s="340"/>
    </row>
    <row r="967" spans="2:20" x14ac:dyDescent="0.2">
      <c r="B967" s="338" t="s">
        <v>829</v>
      </c>
      <c r="F967" s="418">
        <f t="shared" si="356"/>
        <v>947.92665</v>
      </c>
      <c r="G967" s="418">
        <f t="shared" si="356"/>
        <v>996.10807999999997</v>
      </c>
      <c r="H967" s="418">
        <f t="shared" si="356"/>
        <v>1368.41913</v>
      </c>
      <c r="I967" s="418">
        <f t="shared" si="356"/>
        <v>1009.24847</v>
      </c>
      <c r="J967" s="418">
        <f t="shared" si="356"/>
        <v>685.11884999999995</v>
      </c>
      <c r="K967" s="418">
        <f t="shared" si="356"/>
        <v>518.67390999999998</v>
      </c>
      <c r="L967" s="418">
        <f t="shared" si="356"/>
        <v>449.83157</v>
      </c>
      <c r="M967" s="418">
        <f t="shared" si="356"/>
        <v>436.69117999999992</v>
      </c>
      <c r="N967" s="418">
        <f t="shared" si="356"/>
        <v>417.93092000000001</v>
      </c>
      <c r="O967" s="418">
        <f t="shared" si="356"/>
        <v>750.82079999999996</v>
      </c>
      <c r="P967" s="418">
        <f t="shared" si="356"/>
        <v>1022.38886</v>
      </c>
      <c r="Q967" s="418">
        <f t="shared" si="356"/>
        <v>1266.4363999999998</v>
      </c>
      <c r="R967" s="418">
        <f t="shared" si="357"/>
        <v>9869.5948200000003</v>
      </c>
      <c r="S967" s="340">
        <f>R967-'JKP-3.1c - Rev Rates GTI10'!R967</f>
        <v>0</v>
      </c>
      <c r="T967" s="340"/>
    </row>
    <row r="968" spans="2:20" x14ac:dyDescent="0.2">
      <c r="B968" s="346" t="s">
        <v>830</v>
      </c>
      <c r="F968" s="418">
        <f t="shared" si="356"/>
        <v>32483920.939599998</v>
      </c>
      <c r="G968" s="418">
        <f t="shared" si="356"/>
        <v>26173532.475599997</v>
      </c>
      <c r="H968" s="418">
        <f t="shared" si="356"/>
        <v>23863033.896399997</v>
      </c>
      <c r="I968" s="418">
        <f t="shared" si="356"/>
        <v>18311754.535599999</v>
      </c>
      <c r="J968" s="418">
        <f t="shared" si="356"/>
        <v>13810043.1908</v>
      </c>
      <c r="K968" s="418">
        <f t="shared" si="356"/>
        <v>11129905.0956</v>
      </c>
      <c r="L968" s="418">
        <f t="shared" si="356"/>
        <v>9661122.8971999995</v>
      </c>
      <c r="M968" s="418">
        <f t="shared" si="356"/>
        <v>9495238.1439999994</v>
      </c>
      <c r="N968" s="418">
        <f t="shared" si="356"/>
        <v>10455053.9648</v>
      </c>
      <c r="O968" s="418">
        <f t="shared" si="356"/>
        <v>16238986.2476</v>
      </c>
      <c r="P968" s="418">
        <f t="shared" si="356"/>
        <v>23309728.481600001</v>
      </c>
      <c r="Q968" s="418">
        <f t="shared" si="356"/>
        <v>34816767.997600004</v>
      </c>
      <c r="R968" s="418">
        <f t="shared" si="357"/>
        <v>229749087.8664</v>
      </c>
      <c r="S968" s="340">
        <f>R968-'JKP-3.1c - Rev Rates GTI10'!R968-'JKP-3.1c - 41 Min Migration Adj'!C7-'JKP-3.1c - 41T 86T Migrat Adj'!C7</f>
        <v>8285263.2910775924</v>
      </c>
      <c r="T968" s="340"/>
    </row>
    <row r="969" spans="2:20" x14ac:dyDescent="0.2">
      <c r="B969" s="338" t="s">
        <v>832</v>
      </c>
      <c r="F969" s="418">
        <f t="shared" si="356"/>
        <v>7106349.966500001</v>
      </c>
      <c r="G969" s="418">
        <f t="shared" si="356"/>
        <v>6236402.2525399998</v>
      </c>
      <c r="H969" s="418">
        <f t="shared" si="356"/>
        <v>6340663.7205799995</v>
      </c>
      <c r="I969" s="418">
        <f t="shared" si="356"/>
        <v>5568747.4886600003</v>
      </c>
      <c r="J969" s="418">
        <f t="shared" si="356"/>
        <v>4999273.6908799997</v>
      </c>
      <c r="K969" s="418">
        <f t="shared" si="356"/>
        <v>4276087.8577800002</v>
      </c>
      <c r="L969" s="418">
        <f t="shared" si="356"/>
        <v>3936471.8985400004</v>
      </c>
      <c r="M969" s="418">
        <f t="shared" si="356"/>
        <v>3916978.5394799998</v>
      </c>
      <c r="N969" s="418">
        <f t="shared" si="356"/>
        <v>4106679.2560399994</v>
      </c>
      <c r="O969" s="418">
        <f t="shared" si="356"/>
        <v>5110439.9068200001</v>
      </c>
      <c r="P969" s="418">
        <f t="shared" si="356"/>
        <v>6046465.4820799995</v>
      </c>
      <c r="Q969" s="418">
        <f t="shared" si="356"/>
        <v>7237664.4867599998</v>
      </c>
      <c r="R969" s="418">
        <f t="shared" ref="R969:R978" si="358">SUM(F969:Q969)</f>
        <v>64882224.546659991</v>
      </c>
      <c r="S969" s="340">
        <f>R969-'JKP-3.1c - Rev Rates GTI10'!R969-'JKP-3.1c - 41 Min Migration Adj'!C8-'JKP-3.1c - 41T 86T Migrat Adj'!C8</f>
        <v>759944.18946600403</v>
      </c>
      <c r="T969" s="340"/>
    </row>
    <row r="970" spans="2:20" x14ac:dyDescent="0.2">
      <c r="B970" s="338" t="s">
        <v>836</v>
      </c>
      <c r="F970" s="418">
        <f t="shared" si="356"/>
        <v>9391.0000000000018</v>
      </c>
      <c r="G970" s="418">
        <f t="shared" si="356"/>
        <v>9391.0000000000018</v>
      </c>
      <c r="H970" s="418">
        <f t="shared" si="356"/>
        <v>9416.5000000000018</v>
      </c>
      <c r="I970" s="418">
        <f t="shared" si="356"/>
        <v>9391.0000000000018</v>
      </c>
      <c r="J970" s="418">
        <f t="shared" si="356"/>
        <v>9628.3000000000011</v>
      </c>
      <c r="K970" s="418">
        <f t="shared" si="356"/>
        <v>9509.0000000000018</v>
      </c>
      <c r="L970" s="418">
        <f t="shared" si="356"/>
        <v>9708.5000000000018</v>
      </c>
      <c r="M970" s="418">
        <f t="shared" si="356"/>
        <v>9824.3000000000011</v>
      </c>
      <c r="N970" s="418">
        <f t="shared" si="356"/>
        <v>9763.0000000000018</v>
      </c>
      <c r="O970" s="418">
        <f t="shared" si="356"/>
        <v>9763.0000000000018</v>
      </c>
      <c r="P970" s="418">
        <f t="shared" si="356"/>
        <v>9763.0000000000018</v>
      </c>
      <c r="Q970" s="418">
        <f t="shared" si="356"/>
        <v>9763.0000000000018</v>
      </c>
      <c r="R970" s="418">
        <f t="shared" si="358"/>
        <v>115311.60000000002</v>
      </c>
      <c r="S970" s="340">
        <f>R970-'JKP-3.1c - Rev Rates GTI10'!R970</f>
        <v>0</v>
      </c>
      <c r="T970" s="340"/>
    </row>
    <row r="971" spans="2:20" x14ac:dyDescent="0.2">
      <c r="B971" s="338" t="s">
        <v>837</v>
      </c>
      <c r="F971" s="418">
        <f t="shared" si="356"/>
        <v>1548732.4871699999</v>
      </c>
      <c r="G971" s="418">
        <f t="shared" si="356"/>
        <v>1366776.49505</v>
      </c>
      <c r="H971" s="418">
        <f t="shared" si="356"/>
        <v>1412070.6420599998</v>
      </c>
      <c r="I971" s="418">
        <f t="shared" si="356"/>
        <v>1198745.87106</v>
      </c>
      <c r="J971" s="418">
        <f t="shared" si="356"/>
        <v>990330.20377000002</v>
      </c>
      <c r="K971" s="418">
        <f t="shared" si="356"/>
        <v>825751.07585000002</v>
      </c>
      <c r="L971" s="418">
        <f t="shared" si="356"/>
        <v>745635.31438</v>
      </c>
      <c r="M971" s="418">
        <f t="shared" si="356"/>
        <v>755222.32036000001</v>
      </c>
      <c r="N971" s="418">
        <f t="shared" si="356"/>
        <v>793826.7408700001</v>
      </c>
      <c r="O971" s="418">
        <f t="shared" si="356"/>
        <v>1064371.15423</v>
      </c>
      <c r="P971" s="418">
        <f t="shared" si="356"/>
        <v>1247556.3217199999</v>
      </c>
      <c r="Q971" s="418">
        <f t="shared" si="356"/>
        <v>1498851.8780699999</v>
      </c>
      <c r="R971" s="418">
        <f t="shared" si="358"/>
        <v>13447870.504590001</v>
      </c>
      <c r="S971" s="340">
        <f>R971-'JKP-3.1c - Rev Rates GTI10'!R971-SUM('JKP-3.1c - 85&amp;T Min Charge Adj '!B41:M42)</f>
        <v>253251.46997000158</v>
      </c>
      <c r="T971" s="340"/>
    </row>
    <row r="972" spans="2:20" x14ac:dyDescent="0.2">
      <c r="B972" s="338" t="s">
        <v>839</v>
      </c>
      <c r="F972" s="418">
        <f t="shared" si="356"/>
        <v>1838892.8719800001</v>
      </c>
      <c r="G972" s="418">
        <f t="shared" si="356"/>
        <v>1526721.4604799999</v>
      </c>
      <c r="H972" s="418">
        <f t="shared" si="356"/>
        <v>1387307.0549900001</v>
      </c>
      <c r="I972" s="418">
        <f t="shared" si="356"/>
        <v>1080371.5789600001</v>
      </c>
      <c r="J972" s="418">
        <f t="shared" si="356"/>
        <v>840219.73106000002</v>
      </c>
      <c r="K972" s="418">
        <f t="shared" si="356"/>
        <v>573877.40662999998</v>
      </c>
      <c r="L972" s="418">
        <f t="shared" si="356"/>
        <v>418953.20052999997</v>
      </c>
      <c r="M972" s="418">
        <f t="shared" si="356"/>
        <v>379999.04457000003</v>
      </c>
      <c r="N972" s="418">
        <f t="shared" si="356"/>
        <v>526040.50705999997</v>
      </c>
      <c r="O972" s="418">
        <f t="shared" si="356"/>
        <v>900295.50156</v>
      </c>
      <c r="P972" s="418">
        <f t="shared" si="356"/>
        <v>1271473.4262699999</v>
      </c>
      <c r="Q972" s="418">
        <f t="shared" si="356"/>
        <v>1644093.20041</v>
      </c>
      <c r="R972" s="418">
        <f t="shared" si="358"/>
        <v>12388244.984500002</v>
      </c>
      <c r="S972" s="340">
        <f>R972-'JKP-3.1c - Rev Rates GTI10'!R972</f>
        <v>302794.3715500012</v>
      </c>
      <c r="T972" s="340"/>
    </row>
    <row r="973" spans="2:20" x14ac:dyDescent="0.2">
      <c r="B973" s="338" t="s">
        <v>841</v>
      </c>
      <c r="F973" s="418">
        <f t="shared" si="356"/>
        <v>2465060.6040400001</v>
      </c>
      <c r="G973" s="418">
        <f t="shared" si="356"/>
        <v>2216000.9163000006</v>
      </c>
      <c r="H973" s="418">
        <f t="shared" si="356"/>
        <v>2111588.1064400002</v>
      </c>
      <c r="I973" s="418">
        <f t="shared" si="356"/>
        <v>1832460.0475000003</v>
      </c>
      <c r="J973" s="418">
        <f t="shared" si="356"/>
        <v>1623428.3790600002</v>
      </c>
      <c r="K973" s="418">
        <f t="shared" si="356"/>
        <v>1350575.5720700002</v>
      </c>
      <c r="L973" s="418">
        <f t="shared" si="356"/>
        <v>1210359.20414</v>
      </c>
      <c r="M973" s="418">
        <f t="shared" si="356"/>
        <v>1145330.5180800001</v>
      </c>
      <c r="N973" s="418">
        <f t="shared" si="356"/>
        <v>1251000.25</v>
      </c>
      <c r="O973" s="418">
        <f t="shared" si="356"/>
        <v>1748279.6775200001</v>
      </c>
      <c r="P973" s="418">
        <f t="shared" si="356"/>
        <v>2047150.2592400003</v>
      </c>
      <c r="Q973" s="418">
        <f t="shared" si="356"/>
        <v>2537991.52006</v>
      </c>
      <c r="R973" s="418">
        <f t="shared" si="358"/>
        <v>21539225.054450005</v>
      </c>
      <c r="S973" s="340">
        <f>R973-'JKP-3.1c - Rev Rates GTI10'!R973</f>
        <v>353348.31000000238</v>
      </c>
      <c r="T973" s="340"/>
    </row>
    <row r="974" spans="2:20" x14ac:dyDescent="0.2">
      <c r="B974" s="32" t="s">
        <v>1184</v>
      </c>
      <c r="F974" s="418">
        <f t="shared" si="356"/>
        <v>136699.23592000001</v>
      </c>
      <c r="G974" s="418">
        <f t="shared" si="356"/>
        <v>132743.69094</v>
      </c>
      <c r="H974" s="418">
        <f t="shared" si="356"/>
        <v>135925.17296</v>
      </c>
      <c r="I974" s="418">
        <f t="shared" si="356"/>
        <v>130441.01647999998</v>
      </c>
      <c r="J974" s="418">
        <f t="shared" si="356"/>
        <v>123667.83951999999</v>
      </c>
      <c r="K974" s="418">
        <f t="shared" si="356"/>
        <v>130595.02879999999</v>
      </c>
      <c r="L974" s="418">
        <f t="shared" si="356"/>
        <v>136031.63039999999</v>
      </c>
      <c r="M974" s="418">
        <f t="shared" si="356"/>
        <v>137234.97691999999</v>
      </c>
      <c r="N974" s="418">
        <f t="shared" si="356"/>
        <v>131683.74746000001</v>
      </c>
      <c r="O974" s="418">
        <f t="shared" si="356"/>
        <v>139447.7064</v>
      </c>
      <c r="P974" s="418">
        <f t="shared" si="356"/>
        <v>147566.57744000002</v>
      </c>
      <c r="Q974" s="418">
        <f t="shared" si="356"/>
        <v>154132.98447999998</v>
      </c>
      <c r="R974" s="418">
        <f t="shared" si="358"/>
        <v>1636169.6077200002</v>
      </c>
      <c r="S974" s="340">
        <f>R974-'JKP-3.1c - Rev Rates GTI10'!R974-'JKP-3.1c - 41T 86T Migrat Adj'!C9</f>
        <v>2198.3353042562376</v>
      </c>
      <c r="T974" s="340"/>
    </row>
    <row r="975" spans="2:20" x14ac:dyDescent="0.2">
      <c r="B975" s="32" t="s">
        <v>1185</v>
      </c>
      <c r="F975" s="418">
        <f t="shared" si="356"/>
        <v>546939.85558000009</v>
      </c>
      <c r="G975" s="418">
        <f t="shared" si="356"/>
        <v>538739.88029999996</v>
      </c>
      <c r="H975" s="418">
        <f t="shared" si="356"/>
        <v>588178.59686000005</v>
      </c>
      <c r="I975" s="418">
        <f t="shared" si="356"/>
        <v>562216.86034999997</v>
      </c>
      <c r="J975" s="418">
        <f t="shared" si="356"/>
        <v>567166.4934700001</v>
      </c>
      <c r="K975" s="418">
        <f t="shared" si="356"/>
        <v>571573.00803999999</v>
      </c>
      <c r="L975" s="418">
        <f t="shared" si="356"/>
        <v>545870.26401000004</v>
      </c>
      <c r="M975" s="418">
        <f t="shared" si="356"/>
        <v>535082.87448</v>
      </c>
      <c r="N975" s="418">
        <f t="shared" si="356"/>
        <v>565013.97809999995</v>
      </c>
      <c r="O975" s="418">
        <f t="shared" si="356"/>
        <v>568995.42053000012</v>
      </c>
      <c r="P975" s="418">
        <f t="shared" si="356"/>
        <v>576667.48108000006</v>
      </c>
      <c r="Q975" s="418">
        <f t="shared" si="356"/>
        <v>550360.43391999998</v>
      </c>
      <c r="R975" s="418">
        <f t="shared" si="358"/>
        <v>6716805.1467199996</v>
      </c>
      <c r="S975" s="340">
        <f>R975-'JKP-3.1c - Rev Rates GTI10'!R975-'JKP-3.1c - 41T 86T Migrat Adj'!C11-SUM('JKP-3.1c - 85&amp;T Min Charge Adj '!B43:M44)</f>
        <v>-4.8102349159307778E-2</v>
      </c>
      <c r="T975" s="340"/>
    </row>
    <row r="976" spans="2:20" x14ac:dyDescent="0.2">
      <c r="B976" s="338" t="s">
        <v>1186</v>
      </c>
      <c r="F976" s="418">
        <f>F941+F958</f>
        <v>472.87215999999995</v>
      </c>
      <c r="G976" s="418">
        <f t="shared" si="356"/>
        <v>933.99293999999998</v>
      </c>
      <c r="H976" s="418">
        <f t="shared" si="356"/>
        <v>2311.75216</v>
      </c>
      <c r="I976" s="418">
        <f t="shared" si="356"/>
        <v>3815.0281999999997</v>
      </c>
      <c r="J976" s="418">
        <f t="shared" si="356"/>
        <v>2624.6664699999997</v>
      </c>
      <c r="K976" s="418">
        <f t="shared" si="356"/>
        <v>454.33</v>
      </c>
      <c r="L976" s="418">
        <f t="shared" si="356"/>
        <v>454.33</v>
      </c>
      <c r="M976" s="418">
        <f t="shared" si="356"/>
        <v>827.49382000000003</v>
      </c>
      <c r="N976" s="418">
        <f t="shared" si="356"/>
        <v>1906.11627</v>
      </c>
      <c r="O976" s="418">
        <f t="shared" si="356"/>
        <v>1696.4564199999998</v>
      </c>
      <c r="P976" s="418">
        <f t="shared" si="356"/>
        <v>650.55087999999989</v>
      </c>
      <c r="Q976" s="418">
        <f t="shared" si="356"/>
        <v>494.47071999999997</v>
      </c>
      <c r="R976" s="418">
        <f t="shared" si="358"/>
        <v>16642.06004</v>
      </c>
      <c r="S976" s="340">
        <f>R976-'JKP-3.1c - Rev Rates GTI10'!R976-'JKP-3.1c - 41T 86T Migrat Adj'!C13</f>
        <v>1.9518602999596624E-2</v>
      </c>
      <c r="T976" s="340"/>
    </row>
    <row r="977" spans="2:20" x14ac:dyDescent="0.2">
      <c r="B977" s="32" t="s">
        <v>1187</v>
      </c>
      <c r="F977" s="418">
        <f t="shared" ref="F977:N978" si="359">F942+F959</f>
        <v>368494.11868000007</v>
      </c>
      <c r="G977" s="418">
        <f t="shared" si="359"/>
        <v>326178.87732999999</v>
      </c>
      <c r="H977" s="418">
        <f t="shared" si="359"/>
        <v>352460.24349000002</v>
      </c>
      <c r="I977" s="418">
        <f t="shared" si="359"/>
        <v>346788.67791000003</v>
      </c>
      <c r="J977" s="418">
        <f t="shared" si="359"/>
        <v>391049.6274</v>
      </c>
      <c r="K977" s="418">
        <f t="shared" si="359"/>
        <v>335952.30459000007</v>
      </c>
      <c r="L977" s="418">
        <f t="shared" si="359"/>
        <v>379966.90263000003</v>
      </c>
      <c r="M977" s="418">
        <f t="shared" si="359"/>
        <v>358718.90581000008</v>
      </c>
      <c r="N977" s="418">
        <f t="shared" si="359"/>
        <v>339323.54097000003</v>
      </c>
      <c r="O977" s="418">
        <f t="shared" si="356"/>
        <v>343707.52195000002</v>
      </c>
      <c r="P977" s="418">
        <f t="shared" si="356"/>
        <v>321036.21756000002</v>
      </c>
      <c r="Q977" s="418">
        <f t="shared" si="356"/>
        <v>326755.58749000006</v>
      </c>
      <c r="R977" s="418">
        <f t="shared" si="358"/>
        <v>4190432.5258100005</v>
      </c>
      <c r="S977" s="340">
        <f>R977-'JKP-3.1c - Rev Rates GTI10'!R977</f>
        <v>12177.270360000432</v>
      </c>
      <c r="T977" s="340"/>
    </row>
    <row r="978" spans="2:20" x14ac:dyDescent="0.2">
      <c r="B978" s="338" t="s">
        <v>844</v>
      </c>
      <c r="F978" s="418">
        <f t="shared" si="359"/>
        <v>155405.95314</v>
      </c>
      <c r="G978" s="418">
        <f t="shared" si="359"/>
        <v>148903.83136999997</v>
      </c>
      <c r="H978" s="418">
        <f t="shared" si="359"/>
        <v>149792.75245999999</v>
      </c>
      <c r="I978" s="418">
        <f t="shared" si="359"/>
        <v>140441.23926</v>
      </c>
      <c r="J978" s="418">
        <f t="shared" si="359"/>
        <v>129972.94983999999</v>
      </c>
      <c r="K978" s="418">
        <f t="shared" si="359"/>
        <v>124650.01813</v>
      </c>
      <c r="L978" s="418">
        <f t="shared" si="359"/>
        <v>121456.12259999999</v>
      </c>
      <c r="M978" s="418">
        <f t="shared" si="359"/>
        <v>120144.57382999999</v>
      </c>
      <c r="N978" s="418">
        <f t="shared" si="359"/>
        <v>121704.71928999999</v>
      </c>
      <c r="O978" s="418">
        <f t="shared" si="356"/>
        <v>137625.26725999999</v>
      </c>
      <c r="P978" s="418">
        <f t="shared" si="356"/>
        <v>151419.44193999999</v>
      </c>
      <c r="Q978" s="418">
        <f t="shared" si="356"/>
        <v>157098.98803000001</v>
      </c>
      <c r="R978" s="418">
        <f t="shared" si="358"/>
        <v>1658615.8571499996</v>
      </c>
      <c r="S978" s="340">
        <f>R978-'JKP-3.1c - Rev Rates GTI10'!R978</f>
        <v>8880.4138899999671</v>
      </c>
      <c r="T978" s="340"/>
    </row>
    <row r="979" spans="2:20" x14ac:dyDescent="0.2">
      <c r="B979" s="338" t="s">
        <v>1191</v>
      </c>
      <c r="F979" s="339">
        <f t="shared" ref="F979:N979" si="360">SUM(F965:F978)</f>
        <v>148459066.42137003</v>
      </c>
      <c r="G979" s="339">
        <f t="shared" si="360"/>
        <v>121074208.02977999</v>
      </c>
      <c r="H979" s="339">
        <f t="shared" si="360"/>
        <v>111007487.84627998</v>
      </c>
      <c r="I979" s="339">
        <f t="shared" si="360"/>
        <v>84997796.078500003</v>
      </c>
      <c r="J979" s="339">
        <f t="shared" si="360"/>
        <v>61967720.587019995</v>
      </c>
      <c r="K979" s="339">
        <f t="shared" si="360"/>
        <v>47664543.60490001</v>
      </c>
      <c r="L979" s="339">
        <f t="shared" si="360"/>
        <v>39467867.378449991</v>
      </c>
      <c r="M979" s="339">
        <f t="shared" si="360"/>
        <v>38258995.800029993</v>
      </c>
      <c r="N979" s="339">
        <f t="shared" si="360"/>
        <v>45108998.098980002</v>
      </c>
      <c r="O979" s="339">
        <f>SUM(O965:O978)</f>
        <v>75379827.366190031</v>
      </c>
      <c r="P979" s="339">
        <f>SUM(P965:P978)</f>
        <v>108452886.76906997</v>
      </c>
      <c r="Q979" s="339">
        <f>SUM(Q965:Q978)</f>
        <v>158177488.81923994</v>
      </c>
      <c r="R979" s="339">
        <f>SUM(R965:R978)</f>
        <v>1040016886.7998099</v>
      </c>
      <c r="S979" s="339">
        <f>SUM(S965:S978)</f>
        <v>33261442.293983929</v>
      </c>
      <c r="T979" s="340"/>
    </row>
    <row r="980" spans="2:20" x14ac:dyDescent="0.2">
      <c r="B980" s="336" t="s">
        <v>131</v>
      </c>
      <c r="F980" s="418">
        <f t="shared" ref="F980:N980" si="361">F979-F944-F961</f>
        <v>0</v>
      </c>
      <c r="G980" s="418">
        <f t="shared" si="361"/>
        <v>0</v>
      </c>
      <c r="H980" s="418">
        <f t="shared" si="361"/>
        <v>0</v>
      </c>
      <c r="I980" s="418">
        <f t="shared" si="361"/>
        <v>0</v>
      </c>
      <c r="J980" s="418">
        <f t="shared" si="361"/>
        <v>0</v>
      </c>
      <c r="K980" s="418">
        <f t="shared" si="361"/>
        <v>0</v>
      </c>
      <c r="L980" s="418">
        <f t="shared" si="361"/>
        <v>0</v>
      </c>
      <c r="M980" s="418">
        <f t="shared" si="361"/>
        <v>0</v>
      </c>
      <c r="N980" s="418">
        <f t="shared" si="361"/>
        <v>0</v>
      </c>
      <c r="O980" s="418">
        <f>O979-O944-O961</f>
        <v>0</v>
      </c>
      <c r="P980" s="418">
        <f>P979-P944-P961</f>
        <v>0</v>
      </c>
      <c r="Q980" s="418">
        <f>Q979-Q944-Q961</f>
        <v>0</v>
      </c>
      <c r="R980" s="418">
        <f>R979-R944-R961</f>
        <v>0</v>
      </c>
    </row>
    <row r="981" spans="2:20" x14ac:dyDescent="0.2">
      <c r="B981" s="336" t="s">
        <v>131</v>
      </c>
      <c r="F981" s="418">
        <f>F979-SUM(F922:F924)</f>
        <v>0</v>
      </c>
      <c r="G981" s="418">
        <f t="shared" ref="G981:R981" si="362">G979-SUM(G922:G924)</f>
        <v>0</v>
      </c>
      <c r="H981" s="418">
        <f t="shared" si="362"/>
        <v>0</v>
      </c>
      <c r="I981" s="418">
        <f t="shared" si="362"/>
        <v>0</v>
      </c>
      <c r="J981" s="418">
        <f t="shared" si="362"/>
        <v>0</v>
      </c>
      <c r="K981" s="418">
        <f t="shared" si="362"/>
        <v>0</v>
      </c>
      <c r="L981" s="418">
        <f t="shared" si="362"/>
        <v>0</v>
      </c>
      <c r="M981" s="418">
        <f t="shared" si="362"/>
        <v>0</v>
      </c>
      <c r="N981" s="418">
        <f t="shared" si="362"/>
        <v>0</v>
      </c>
      <c r="O981" s="418">
        <f t="shared" si="362"/>
        <v>0</v>
      </c>
      <c r="P981" s="418">
        <f t="shared" si="362"/>
        <v>0</v>
      </c>
      <c r="Q981" s="418">
        <f t="shared" si="362"/>
        <v>0</v>
      </c>
      <c r="R981" s="418">
        <f t="shared" si="362"/>
        <v>0</v>
      </c>
    </row>
    <row r="982" spans="2:20" ht="13.5" thickBot="1" x14ac:dyDescent="0.25"/>
    <row r="983" spans="2:20" x14ac:dyDescent="0.2">
      <c r="B983" s="693" t="s">
        <v>1281</v>
      </c>
      <c r="C983" s="694"/>
      <c r="D983" s="694"/>
      <c r="E983" s="694"/>
      <c r="F983" s="695">
        <f>'JKP-3.1c - Weather Adj'!D175</f>
        <v>151950258</v>
      </c>
      <c r="G983" s="695">
        <f>'JKP-3.1c - Weather Adj'!E175</f>
        <v>123124539</v>
      </c>
      <c r="H983" s="695">
        <f>'JKP-3.1c - Weather Adj'!F175</f>
        <v>115718871</v>
      </c>
      <c r="I983" s="695">
        <f>'JKP-3.1c - Weather Adj'!G175</f>
        <v>89726214</v>
      </c>
      <c r="J983" s="695">
        <f>'JKP-3.1c - Weather Adj'!H175</f>
        <v>67935817</v>
      </c>
      <c r="K983" s="695">
        <f>'JKP-3.1c - Weather Adj'!I175</f>
        <v>52834021</v>
      </c>
      <c r="L983" s="695">
        <f>'JKP-3.1c - Weather Adj'!J175</f>
        <v>44771928</v>
      </c>
      <c r="M983" s="695">
        <f>'JKP-3.1c - Weather Adj'!K175</f>
        <v>43877935</v>
      </c>
      <c r="N983" s="695">
        <f>'JKP-3.1c - Weather Adj'!L175</f>
        <v>49056667</v>
      </c>
      <c r="O983" s="695">
        <f>'JKP-3.1c - Weather Adj'!M175</f>
        <v>79839487</v>
      </c>
      <c r="P983" s="695">
        <f>'JKP-3.1c - Weather Adj'!N175</f>
        <v>111333789</v>
      </c>
      <c r="Q983" s="695">
        <f>'JKP-3.1c - Weather Adj'!O175</f>
        <v>159387099</v>
      </c>
      <c r="R983" s="696">
        <f>SUM(F983:Q983)</f>
        <v>1089556625</v>
      </c>
    </row>
    <row r="984" spans="2:20" x14ac:dyDescent="0.2">
      <c r="B984" s="492" t="s">
        <v>131</v>
      </c>
      <c r="C984" s="415"/>
      <c r="D984" s="415"/>
      <c r="E984" s="415"/>
      <c r="F984" s="697">
        <f t="shared" ref="F984:N984" si="363">F866-F983</f>
        <v>0</v>
      </c>
      <c r="G984" s="697">
        <f t="shared" si="363"/>
        <v>0</v>
      </c>
      <c r="H984" s="697">
        <f t="shared" si="363"/>
        <v>0</v>
      </c>
      <c r="I984" s="697">
        <f t="shared" si="363"/>
        <v>0</v>
      </c>
      <c r="J984" s="697">
        <f t="shared" si="363"/>
        <v>0</v>
      </c>
      <c r="K984" s="697">
        <f t="shared" si="363"/>
        <v>0</v>
      </c>
      <c r="L984" s="697">
        <f t="shared" si="363"/>
        <v>0</v>
      </c>
      <c r="M984" s="697">
        <f t="shared" si="363"/>
        <v>0</v>
      </c>
      <c r="N984" s="697">
        <f t="shared" si="363"/>
        <v>0</v>
      </c>
      <c r="O984" s="697">
        <f>O866-O983</f>
        <v>0</v>
      </c>
      <c r="P984" s="697">
        <f>P866-P983</f>
        <v>0</v>
      </c>
      <c r="Q984" s="697">
        <f>Q866-Q983</f>
        <v>0</v>
      </c>
      <c r="R984" s="698">
        <f>R866-R983</f>
        <v>0</v>
      </c>
    </row>
    <row r="985" spans="2:20" x14ac:dyDescent="0.2">
      <c r="B985" s="492"/>
      <c r="C985" s="415"/>
      <c r="D985" s="415"/>
      <c r="E985" s="415"/>
      <c r="F985" s="697"/>
      <c r="G985" s="697"/>
      <c r="H985" s="697"/>
      <c r="I985" s="697"/>
      <c r="J985" s="697"/>
      <c r="K985" s="697"/>
      <c r="L985" s="697"/>
      <c r="M985" s="697"/>
      <c r="N985" s="697"/>
      <c r="O985" s="697"/>
      <c r="P985" s="697"/>
      <c r="Q985" s="697"/>
      <c r="R985" s="698"/>
    </row>
    <row r="986" spans="2:20" x14ac:dyDescent="0.2">
      <c r="B986" s="492" t="s">
        <v>1193</v>
      </c>
      <c r="C986" s="415"/>
      <c r="D986" s="415"/>
      <c r="E986" s="415"/>
      <c r="F986" s="699">
        <f>'JKP-3.1c - Data'!C158</f>
        <v>757684</v>
      </c>
      <c r="G986" s="699">
        <f>'JKP-3.1c - Data'!D158</f>
        <v>758885</v>
      </c>
      <c r="H986" s="699">
        <f>'JKP-3.1c - Data'!E158</f>
        <v>759873</v>
      </c>
      <c r="I986" s="699">
        <f>'JKP-3.1c - Data'!F158</f>
        <v>760124.03</v>
      </c>
      <c r="J986" s="699">
        <f>'JKP-3.1c - Data'!G158</f>
        <v>760670</v>
      </c>
      <c r="K986" s="699">
        <f>'JKP-3.1c - Data'!H158</f>
        <v>761724</v>
      </c>
      <c r="L986" s="699">
        <f>'JKP-3.1c - Data'!I158</f>
        <v>762056</v>
      </c>
      <c r="M986" s="699">
        <f>'JKP-3.1c - Data'!J158</f>
        <v>761195</v>
      </c>
      <c r="N986" s="699">
        <f>'JKP-3.1c - Data'!K158</f>
        <v>762357</v>
      </c>
      <c r="O986" s="699">
        <f>'JKP-3.1c - Data'!L158</f>
        <v>761431</v>
      </c>
      <c r="P986" s="699">
        <f>'JKP-3.1c - Data'!M158</f>
        <v>761918</v>
      </c>
      <c r="Q986" s="699">
        <f>'JKP-3.1c - Data'!N158</f>
        <v>762413</v>
      </c>
      <c r="R986" s="698">
        <f>SUM(F986:Q986)</f>
        <v>9130330.0300000012</v>
      </c>
    </row>
    <row r="987" spans="2:20" x14ac:dyDescent="0.2">
      <c r="B987" s="492" t="s">
        <v>131</v>
      </c>
      <c r="C987" s="415"/>
      <c r="D987" s="415"/>
      <c r="E987" s="415"/>
      <c r="F987" s="697">
        <f t="shared" ref="F987:N987" si="364">F821-F986</f>
        <v>0</v>
      </c>
      <c r="G987" s="697">
        <f t="shared" si="364"/>
        <v>0</v>
      </c>
      <c r="H987" s="697">
        <f t="shared" si="364"/>
        <v>0</v>
      </c>
      <c r="I987" s="697">
        <f t="shared" si="364"/>
        <v>0</v>
      </c>
      <c r="J987" s="697">
        <f t="shared" si="364"/>
        <v>0</v>
      </c>
      <c r="K987" s="697">
        <f t="shared" si="364"/>
        <v>0</v>
      </c>
      <c r="L987" s="697">
        <f t="shared" si="364"/>
        <v>0</v>
      </c>
      <c r="M987" s="697">
        <f t="shared" si="364"/>
        <v>0</v>
      </c>
      <c r="N987" s="697">
        <f t="shared" si="364"/>
        <v>0</v>
      </c>
      <c r="O987" s="697">
        <f>O821-O986</f>
        <v>0</v>
      </c>
      <c r="P987" s="697">
        <f>P821-P986</f>
        <v>0</v>
      </c>
      <c r="Q987" s="697">
        <f>Q821-Q986</f>
        <v>0</v>
      </c>
      <c r="R987" s="698">
        <f>R821-R986</f>
        <v>0</v>
      </c>
    </row>
    <row r="988" spans="2:20" x14ac:dyDescent="0.2">
      <c r="B988" s="492"/>
      <c r="C988" s="415"/>
      <c r="D988" s="415"/>
      <c r="E988" s="415"/>
      <c r="F988" s="697"/>
      <c r="G988" s="697"/>
      <c r="H988" s="697"/>
      <c r="I988" s="697"/>
      <c r="J988" s="697"/>
      <c r="K988" s="697"/>
      <c r="L988" s="697"/>
      <c r="M988" s="697"/>
      <c r="N988" s="697"/>
      <c r="O988" s="697"/>
      <c r="P988" s="697"/>
      <c r="Q988" s="697"/>
      <c r="R988" s="698"/>
    </row>
    <row r="989" spans="2:20" x14ac:dyDescent="0.2">
      <c r="B989" s="492" t="s">
        <v>1194</v>
      </c>
      <c r="C989" s="415"/>
      <c r="D989" s="415"/>
      <c r="E989" s="415"/>
      <c r="F989" s="699">
        <f>'JKP-3.1c - Data'!C178</f>
        <v>585396.33000000007</v>
      </c>
      <c r="G989" s="699">
        <f>'JKP-3.1c - Data'!D178</f>
        <v>585521.33000000007</v>
      </c>
      <c r="H989" s="699">
        <f>'JKP-3.1c - Data'!E178</f>
        <v>580796.33000000007</v>
      </c>
      <c r="I989" s="699">
        <f>'JKP-3.1c - Data'!F178</f>
        <v>581357.35</v>
      </c>
      <c r="J989" s="699">
        <f>'JKP-3.1c - Data'!G178</f>
        <v>578333.31999999995</v>
      </c>
      <c r="K989" s="699">
        <f>'JKP-3.1c - Data'!H178</f>
        <v>582867.33000000007</v>
      </c>
      <c r="L989" s="699">
        <f>'JKP-3.1c - Data'!I178</f>
        <v>587397.64</v>
      </c>
      <c r="M989" s="699">
        <f>'JKP-3.1c - Data'!J178</f>
        <v>583485</v>
      </c>
      <c r="N989" s="699">
        <f>'JKP-3.1c - Data'!K178</f>
        <v>583414</v>
      </c>
      <c r="O989" s="699">
        <f>'JKP-3.1c - Data'!L178</f>
        <v>575686</v>
      </c>
      <c r="P989" s="699">
        <f>'JKP-3.1c - Data'!M178</f>
        <v>574594</v>
      </c>
      <c r="Q989" s="699">
        <f>'JKP-3.1c - Data'!N178</f>
        <v>576081</v>
      </c>
      <c r="R989" s="698">
        <f>SUM(F989:Q989)</f>
        <v>6974929.6300000008</v>
      </c>
    </row>
    <row r="990" spans="2:20" x14ac:dyDescent="0.2">
      <c r="B990" s="492" t="s">
        <v>131</v>
      </c>
      <c r="C990" s="415"/>
      <c r="D990" s="415"/>
      <c r="E990" s="415"/>
      <c r="F990" s="697">
        <f>F905-F989-SUM(F886:F888)-SUM('JKP-3.1c - 41 Min Migration Adj'!B44:B47)-SUM('JKP-3.1c - 41T 86T Migrat Adj'!B62:B69)</f>
        <v>0</v>
      </c>
      <c r="G990" s="697">
        <f>G905-G989-SUM(G886:G888)-SUM('JKP-3.1c - 41 Min Migration Adj'!C44:C47)-SUM('JKP-3.1c - 41T 86T Migrat Adj'!C62:C69)</f>
        <v>0</v>
      </c>
      <c r="H990" s="697">
        <f>H905-H989-SUM(H886:H888)-SUM('JKP-3.1c - 41 Min Migration Adj'!D44:D47)-SUM('JKP-3.1c - 41T 86T Migrat Adj'!D62:D69)</f>
        <v>0</v>
      </c>
      <c r="I990" s="697">
        <f>I905-I989-SUM(I886:I888)-SUM('JKP-3.1c - 41 Min Migration Adj'!E44:E47)-SUM('JKP-3.1c - 41T 86T Migrat Adj'!E62:E69)</f>
        <v>0</v>
      </c>
      <c r="J990" s="697">
        <f>J905-J989-SUM(J886:J888)-SUM('JKP-3.1c - 41 Min Migration Adj'!F44:F47)-SUM('JKP-3.1c - 41T 86T Migrat Adj'!F62:F69)</f>
        <v>0</v>
      </c>
      <c r="K990" s="697">
        <f>K905-K989-SUM(K886:K888)-SUM('JKP-3.1c - 41 Min Migration Adj'!G44:G47)-SUM('JKP-3.1c - 41T 86T Migrat Adj'!G62:G69)</f>
        <v>0</v>
      </c>
      <c r="L990" s="697">
        <f>L905-L989-SUM(L886:L888)-SUM('JKP-3.1c - 41 Min Migration Adj'!H44:H47)-SUM('JKP-3.1c - 41T 86T Migrat Adj'!H62:H69)</f>
        <v>0</v>
      </c>
      <c r="M990" s="697">
        <f>M905-M989-SUM(M886:M888)-SUM('JKP-3.1c - 41 Min Migration Adj'!I44:I47)-SUM('JKP-3.1c - 41T 86T Migrat Adj'!I62:I69)</f>
        <v>0</v>
      </c>
      <c r="N990" s="697">
        <f>N905-N989-SUM(N886:N888)-SUM('JKP-3.1c - 41 Min Migration Adj'!J44:J47)-SUM('JKP-3.1c - 41T 86T Migrat Adj'!J62:J69)</f>
        <v>0</v>
      </c>
      <c r="O990" s="697">
        <f>O905-O989-SUM(O886:O888)-SUM('JKP-3.1c - 41 Min Migration Adj'!K44:K47)-SUM('JKP-3.1c - 41T 86T Migrat Adj'!K62:K69)</f>
        <v>0</v>
      </c>
      <c r="P990" s="697">
        <f>P905-P989-SUM(P886:P888)-SUM('JKP-3.1c - 41 Min Migration Adj'!L44:L47)-SUM('JKP-3.1c - 41T 86T Migrat Adj'!L62:L69)</f>
        <v>0</v>
      </c>
      <c r="Q990" s="697">
        <f>Q905-Q989-SUM(Q886:Q888)-SUM('JKP-3.1c - 41 Min Migration Adj'!M44:M47)-SUM('JKP-3.1c - 41T 86T Migrat Adj'!M62:M69)</f>
        <v>0</v>
      </c>
      <c r="R990" s="698">
        <f>R905-R989-SUM(R886:R888)-SUM('JKP-3.1c - 41 Min Migration Adj'!N44:N47)-SUM('JKP-3.1c - 41T 86T Migrat Adj'!N62:N69)</f>
        <v>0</v>
      </c>
    </row>
    <row r="991" spans="2:20" x14ac:dyDescent="0.2">
      <c r="B991" s="492"/>
      <c r="C991" s="415"/>
      <c r="D991" s="415"/>
      <c r="E991" s="415"/>
      <c r="F991" s="697"/>
      <c r="G991" s="697"/>
      <c r="H991" s="697"/>
      <c r="I991" s="697"/>
      <c r="J991" s="697"/>
      <c r="K991" s="697"/>
      <c r="L991" s="697"/>
      <c r="M991" s="697"/>
      <c r="N991" s="697"/>
      <c r="O991" s="697"/>
      <c r="P991" s="697"/>
      <c r="Q991" s="697"/>
      <c r="R991" s="698"/>
    </row>
    <row r="992" spans="2:20" x14ac:dyDescent="0.2">
      <c r="B992" s="492"/>
      <c r="C992" s="415"/>
      <c r="D992" s="415"/>
      <c r="E992" s="415"/>
      <c r="F992" s="340"/>
      <c r="G992" s="340"/>
      <c r="H992" s="340"/>
      <c r="I992" s="340"/>
      <c r="J992" s="340"/>
      <c r="K992" s="340"/>
      <c r="L992" s="340"/>
      <c r="M992" s="340"/>
      <c r="N992" s="340"/>
      <c r="O992" s="340"/>
      <c r="P992" s="340"/>
      <c r="Q992" s="340"/>
      <c r="R992" s="698"/>
    </row>
    <row r="993" spans="2:18" ht="13.5" thickBot="1" x14ac:dyDescent="0.25">
      <c r="B993" s="493"/>
      <c r="C993" s="512"/>
      <c r="D993" s="512"/>
      <c r="E993" s="512"/>
      <c r="F993" s="513"/>
      <c r="G993" s="513"/>
      <c r="H993" s="513"/>
      <c r="I993" s="513"/>
      <c r="J993" s="513"/>
      <c r="K993" s="513"/>
      <c r="L993" s="513"/>
      <c r="M993" s="513"/>
      <c r="N993" s="513"/>
      <c r="O993" s="513"/>
      <c r="P993" s="513"/>
      <c r="Q993" s="513"/>
      <c r="R993" s="514"/>
    </row>
    <row r="994" spans="2:18" x14ac:dyDescent="0.2">
      <c r="B994" s="415"/>
      <c r="C994" s="415"/>
      <c r="D994" s="415"/>
      <c r="E994" s="415"/>
      <c r="F994" s="697"/>
      <c r="G994" s="697"/>
      <c r="H994" s="697"/>
      <c r="I994" s="697"/>
      <c r="J994" s="697"/>
      <c r="K994" s="697"/>
      <c r="L994" s="697"/>
      <c r="M994" s="697"/>
      <c r="N994" s="697"/>
      <c r="O994" s="697"/>
      <c r="P994" s="697"/>
      <c r="Q994" s="697"/>
      <c r="R994" s="697"/>
    </row>
    <row r="995" spans="2:18" x14ac:dyDescent="0.2">
      <c r="F995" s="418"/>
      <c r="G995" s="418"/>
      <c r="H995" s="418"/>
      <c r="I995" s="418"/>
      <c r="J995" s="418"/>
      <c r="K995" s="418"/>
      <c r="L995" s="418"/>
      <c r="M995" s="418"/>
      <c r="N995" s="418"/>
      <c r="O995" s="418"/>
      <c r="P995" s="418"/>
      <c r="Q995" s="418"/>
      <c r="R995" s="418"/>
    </row>
    <row r="996" spans="2:18" ht="25.5" customHeight="1" x14ac:dyDescent="0.2">
      <c r="B996" s="1868"/>
      <c r="C996" s="1868"/>
      <c r="D996" s="1868"/>
      <c r="E996" s="1868"/>
      <c r="F996" s="1868"/>
      <c r="G996" s="1868"/>
      <c r="H996" s="1868"/>
      <c r="I996" s="1868"/>
      <c r="J996" s="1868"/>
      <c r="K996" s="1868"/>
      <c r="L996" s="1868"/>
      <c r="M996" s="1868"/>
      <c r="N996" s="1868"/>
      <c r="O996" s="1868"/>
      <c r="P996" s="1868"/>
      <c r="Q996" s="1868"/>
      <c r="R996" s="367"/>
    </row>
    <row r="1001" spans="2:18" x14ac:dyDescent="0.2">
      <c r="F1001" s="362"/>
    </row>
    <row r="1002" spans="2:18" x14ac:dyDescent="0.2">
      <c r="R1002" s="418"/>
    </row>
  </sheetData>
  <mergeCells count="1">
    <mergeCell ref="B996:Q996"/>
  </mergeCells>
  <pageMargins left="0.7" right="0.7" top="0.75" bottom="0.75" header="0.3" footer="0.3"/>
  <pageSetup orientation="portrait" r:id="rId1"/>
  <rowBreaks count="19" manualBreakCount="19">
    <brk id="43" max="16383" man="1"/>
    <brk id="71" max="16383" man="1"/>
    <brk id="132" max="16383" man="1"/>
    <brk id="168" max="16383" man="1"/>
    <brk id="203" max="16383" man="1"/>
    <brk id="247" max="16383" man="1"/>
    <brk id="303" max="16383" man="1"/>
    <brk id="345" max="16383" man="1"/>
    <brk id="399" max="16383" man="1"/>
    <brk id="460" max="16383" man="1"/>
    <brk id="496" max="16383" man="1"/>
    <brk id="563" min="1" max="17" man="1"/>
    <brk id="607" max="16383" man="1"/>
    <brk id="662" max="16383" man="1"/>
    <brk id="704" max="16383" man="1"/>
    <brk id="758" max="16383" man="1"/>
    <brk id="795" max="16383" man="1"/>
    <brk id="854" min="1" max="17" man="1"/>
    <brk id="920" min="1" max="17"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744"/>
  <sheetViews>
    <sheetView workbookViewId="0">
      <selection activeCell="C35" sqref="C35"/>
    </sheetView>
  </sheetViews>
  <sheetFormatPr defaultRowHeight="12.75" x14ac:dyDescent="0.2"/>
  <cols>
    <col min="1" max="1" width="7.5703125" style="32" bestFit="1" customWidth="1"/>
    <col min="2" max="2" width="1.42578125" style="32" customWidth="1"/>
    <col min="3" max="3" width="46.85546875" style="32" bestFit="1" customWidth="1"/>
    <col min="4" max="4" width="18" style="32" bestFit="1" customWidth="1"/>
    <col min="5" max="5" width="18.42578125" style="32" bestFit="1" customWidth="1"/>
    <col min="6" max="6" width="16.85546875" style="32" bestFit="1" customWidth="1"/>
    <col min="7" max="8" width="16.85546875" style="32" customWidth="1"/>
    <col min="9" max="9" width="13.5703125" style="391" bestFit="1" customWidth="1"/>
    <col min="10" max="11" width="16.140625" style="390" bestFit="1" customWidth="1"/>
    <col min="12" max="12" width="14.5703125" style="32" bestFit="1" customWidth="1"/>
    <col min="13" max="14" width="9.140625" style="32"/>
    <col min="15" max="15" width="13.140625" style="32" bestFit="1" customWidth="1"/>
    <col min="16" max="16384" width="9.140625" style="32"/>
  </cols>
  <sheetData>
    <row r="1" spans="2:11" x14ac:dyDescent="0.2">
      <c r="B1" s="385" t="str">
        <f>'JKP-3.1c - Revenue'!$B$1</f>
        <v>Puget Sound Energy</v>
      </c>
      <c r="C1" s="386"/>
      <c r="D1" s="387"/>
      <c r="E1" s="387"/>
      <c r="F1" s="386"/>
      <c r="G1" s="390"/>
      <c r="H1" s="390"/>
      <c r="I1" s="32"/>
      <c r="J1" s="32"/>
      <c r="K1" s="32"/>
    </row>
    <row r="2" spans="2:11" x14ac:dyDescent="0.2">
      <c r="B2" s="385" t="str">
        <f>'JKP-3.1c - Revenue'!$B$2</f>
        <v>2011 General Rate Case - Gas</v>
      </c>
      <c r="C2" s="386"/>
      <c r="D2" s="386"/>
      <c r="E2" s="386"/>
      <c r="F2" s="386"/>
      <c r="G2" s="390"/>
      <c r="H2" s="390"/>
      <c r="I2" s="32"/>
      <c r="J2" s="32"/>
      <c r="K2" s="32"/>
    </row>
    <row r="3" spans="2:11" x14ac:dyDescent="0.2">
      <c r="B3" s="386" t="s">
        <v>1302</v>
      </c>
      <c r="C3" s="386"/>
      <c r="D3" s="386"/>
      <c r="E3" s="386"/>
      <c r="F3" s="386"/>
      <c r="G3" s="390"/>
      <c r="H3" s="390"/>
      <c r="I3" s="32"/>
      <c r="J3" s="32"/>
      <c r="K3" s="32"/>
    </row>
    <row r="4" spans="2:11" x14ac:dyDescent="0.2">
      <c r="B4" s="385" t="str">
        <f>'JKP-3.1c - Revenue'!$B$4</f>
        <v>Test Year Ended December 31, 2010</v>
      </c>
      <c r="C4" s="386"/>
      <c r="D4" s="386"/>
      <c r="E4" s="386"/>
      <c r="F4" s="386"/>
      <c r="G4" s="390"/>
      <c r="H4" s="390"/>
      <c r="I4" s="32"/>
      <c r="J4" s="32"/>
      <c r="K4" s="32"/>
    </row>
    <row r="5" spans="2:11" x14ac:dyDescent="0.2">
      <c r="B5" s="385"/>
      <c r="C5" s="386"/>
      <c r="D5" s="386"/>
      <c r="E5" s="386"/>
      <c r="F5" s="386"/>
      <c r="G5" s="390"/>
      <c r="H5" s="390"/>
      <c r="I5" s="32"/>
      <c r="J5" s="32"/>
      <c r="K5" s="32"/>
    </row>
    <row r="6" spans="2:11" x14ac:dyDescent="0.2">
      <c r="B6" s="385"/>
      <c r="C6" s="386"/>
      <c r="D6" s="386"/>
      <c r="E6" s="386"/>
      <c r="F6" s="386"/>
      <c r="G6" s="390"/>
      <c r="H6" s="390"/>
      <c r="I6" s="32"/>
      <c r="J6" s="32"/>
      <c r="K6" s="32"/>
    </row>
    <row r="7" spans="2:11" x14ac:dyDescent="0.2">
      <c r="B7" s="196" t="s">
        <v>1303</v>
      </c>
      <c r="C7" s="386"/>
      <c r="D7" s="485">
        <v>1.045199</v>
      </c>
      <c r="E7" s="386"/>
      <c r="F7" s="386"/>
      <c r="G7" s="390"/>
      <c r="H7" s="390"/>
      <c r="I7" s="32"/>
      <c r="J7" s="32"/>
      <c r="K7" s="32"/>
    </row>
    <row r="8" spans="2:11" s="336" customFormat="1" x14ac:dyDescent="0.2">
      <c r="B8" s="196" t="s">
        <v>1304</v>
      </c>
      <c r="D8" s="485">
        <v>1.0458730000000001</v>
      </c>
      <c r="E8" s="387"/>
      <c r="F8" s="387"/>
      <c r="G8" s="335"/>
      <c r="H8" s="415"/>
    </row>
    <row r="9" spans="2:11" s="336" customFormat="1" x14ac:dyDescent="0.2">
      <c r="B9" s="196"/>
      <c r="D9" s="485"/>
      <c r="E9" s="387"/>
      <c r="F9" s="387"/>
      <c r="G9" s="335"/>
      <c r="H9" s="415"/>
    </row>
    <row r="10" spans="2:11" s="336" customFormat="1" x14ac:dyDescent="0.2">
      <c r="B10" s="196"/>
      <c r="D10" s="485"/>
      <c r="E10" s="387"/>
      <c r="F10" s="387"/>
      <c r="G10" s="335"/>
      <c r="H10" s="415"/>
    </row>
    <row r="11" spans="2:11" s="336" customFormat="1" x14ac:dyDescent="0.2">
      <c r="B11" s="363" t="s">
        <v>1305</v>
      </c>
      <c r="D11" s="700"/>
      <c r="E11" s="387"/>
      <c r="F11" s="335"/>
      <c r="G11" s="415"/>
    </row>
    <row r="12" spans="2:11" s="336" customFormat="1" x14ac:dyDescent="0.2">
      <c r="B12" s="431"/>
      <c r="C12" s="196"/>
      <c r="D12" s="700"/>
      <c r="E12" s="387" t="s">
        <v>1306</v>
      </c>
      <c r="F12" s="335"/>
      <c r="G12" s="415"/>
    </row>
    <row r="13" spans="2:11" s="336" customFormat="1" x14ac:dyDescent="0.2">
      <c r="B13" s="431"/>
      <c r="C13" s="196"/>
      <c r="D13" s="664" t="s">
        <v>1307</v>
      </c>
      <c r="E13" s="664" t="s">
        <v>24</v>
      </c>
      <c r="F13" s="335"/>
      <c r="G13" s="415"/>
    </row>
    <row r="14" spans="2:11" s="336" customFormat="1" x14ac:dyDescent="0.2">
      <c r="B14" s="431"/>
      <c r="C14" s="338">
        <v>23</v>
      </c>
      <c r="D14" s="701">
        <v>0.68861000000000006</v>
      </c>
      <c r="E14" s="702"/>
      <c r="F14" s="335"/>
      <c r="G14" s="415"/>
    </row>
    <row r="15" spans="2:11" s="336" customFormat="1" x14ac:dyDescent="0.2">
      <c r="B15" s="431"/>
      <c r="C15" s="338" t="s">
        <v>1308</v>
      </c>
      <c r="D15" s="703">
        <v>13.08</v>
      </c>
      <c r="E15" s="702"/>
      <c r="F15" s="335"/>
      <c r="G15" s="704"/>
    </row>
    <row r="16" spans="2:11" s="336" customFormat="1" x14ac:dyDescent="0.2">
      <c r="B16" s="431"/>
      <c r="C16" s="338">
        <v>31</v>
      </c>
      <c r="D16" s="701">
        <v>0.68306</v>
      </c>
      <c r="E16" s="702"/>
      <c r="F16" s="335"/>
      <c r="G16" s="441"/>
    </row>
    <row r="17" spans="2:7" s="336" customFormat="1" x14ac:dyDescent="0.2">
      <c r="B17" s="431"/>
      <c r="C17" s="338">
        <v>41</v>
      </c>
      <c r="D17" s="701">
        <v>0.60158999999999996</v>
      </c>
      <c r="E17" s="702">
        <v>1</v>
      </c>
      <c r="F17" s="335"/>
      <c r="G17" s="415"/>
    </row>
    <row r="18" spans="2:7" s="336" customFormat="1" x14ac:dyDescent="0.2">
      <c r="B18" s="431"/>
      <c r="C18" s="338">
        <v>85</v>
      </c>
      <c r="D18" s="701">
        <v>0.63265000000000005</v>
      </c>
      <c r="E18" s="702">
        <v>1</v>
      </c>
      <c r="F18" s="335"/>
      <c r="G18" s="415"/>
    </row>
    <row r="19" spans="2:7" s="336" customFormat="1" x14ac:dyDescent="0.2">
      <c r="B19" s="431"/>
      <c r="C19" s="338">
        <v>86</v>
      </c>
      <c r="D19" s="701">
        <v>0.63678999999999997</v>
      </c>
      <c r="E19" s="702">
        <v>1</v>
      </c>
      <c r="F19" s="335"/>
      <c r="G19" s="415"/>
    </row>
    <row r="20" spans="2:7" s="336" customFormat="1" x14ac:dyDescent="0.2">
      <c r="B20" s="431"/>
      <c r="C20" s="338">
        <v>87</v>
      </c>
      <c r="D20" s="701">
        <v>0.63099000000000005</v>
      </c>
      <c r="E20" s="702">
        <v>1</v>
      </c>
      <c r="F20" s="335"/>
      <c r="G20" s="415"/>
    </row>
    <row r="21" spans="2:7" s="336" customFormat="1" x14ac:dyDescent="0.2">
      <c r="B21" s="431"/>
      <c r="C21" s="338"/>
      <c r="D21" s="705"/>
      <c r="E21" s="706"/>
      <c r="F21" s="335"/>
      <c r="G21" s="415"/>
    </row>
    <row r="22" spans="2:7" s="336" customFormat="1" x14ac:dyDescent="0.2">
      <c r="B22" s="431"/>
      <c r="C22" s="338"/>
      <c r="D22" s="705"/>
      <c r="E22" s="706"/>
      <c r="F22" s="335"/>
      <c r="G22" s="415"/>
    </row>
    <row r="23" spans="2:7" s="336" customFormat="1" x14ac:dyDescent="0.2">
      <c r="B23" s="363" t="s">
        <v>1309</v>
      </c>
      <c r="D23" s="707"/>
      <c r="E23" s="387"/>
      <c r="F23" s="335"/>
      <c r="G23" s="415"/>
    </row>
    <row r="24" spans="2:7" s="336" customFormat="1" x14ac:dyDescent="0.2">
      <c r="B24" s="431"/>
      <c r="C24" s="338"/>
      <c r="D24" s="707"/>
      <c r="E24" s="387" t="s">
        <v>1306</v>
      </c>
      <c r="F24" s="335"/>
      <c r="G24" s="415"/>
    </row>
    <row r="25" spans="2:7" s="336" customFormat="1" x14ac:dyDescent="0.2">
      <c r="B25" s="431"/>
      <c r="C25" s="196"/>
      <c r="D25" s="664" t="s">
        <v>1307</v>
      </c>
      <c r="E25" s="664" t="s">
        <v>24</v>
      </c>
      <c r="F25" s="335"/>
      <c r="G25" s="415"/>
    </row>
    <row r="26" spans="2:7" s="336" customFormat="1" x14ac:dyDescent="0.2">
      <c r="B26" s="431"/>
      <c r="C26" s="338">
        <v>23</v>
      </c>
      <c r="D26" s="708">
        <f>ROUND(D14*$D$8,5)</f>
        <v>0.72019999999999995</v>
      </c>
      <c r="E26" s="709"/>
      <c r="F26" s="335"/>
      <c r="G26" s="415"/>
    </row>
    <row r="27" spans="2:7" s="336" customFormat="1" x14ac:dyDescent="0.2">
      <c r="B27" s="431"/>
      <c r="C27" s="338" t="s">
        <v>1308</v>
      </c>
      <c r="D27" s="710">
        <f>ROUND(D15*$D$8,2)</f>
        <v>13.68</v>
      </c>
      <c r="E27" s="709"/>
      <c r="F27" s="335"/>
      <c r="G27" s="415"/>
    </row>
    <row r="28" spans="2:7" s="336" customFormat="1" x14ac:dyDescent="0.2">
      <c r="B28" s="431"/>
      <c r="C28" s="338">
        <v>31</v>
      </c>
      <c r="D28" s="708">
        <f>ROUND(D16*$D$8,5)</f>
        <v>0.71438999999999997</v>
      </c>
      <c r="E28" s="709"/>
      <c r="F28" s="335"/>
      <c r="G28" s="415"/>
    </row>
    <row r="29" spans="2:7" s="336" customFormat="1" x14ac:dyDescent="0.2">
      <c r="B29" s="431"/>
      <c r="C29" s="338">
        <v>41</v>
      </c>
      <c r="D29" s="708">
        <f>ROUND(D17*$D$8,5)</f>
        <v>0.62919000000000003</v>
      </c>
      <c r="E29" s="709">
        <f>ROUND(E17*$D$8,2)</f>
        <v>1.05</v>
      </c>
      <c r="F29" s="335"/>
      <c r="G29" s="415"/>
    </row>
    <row r="30" spans="2:7" s="336" customFormat="1" x14ac:dyDescent="0.2">
      <c r="B30" s="431"/>
      <c r="C30" s="338">
        <v>85</v>
      </c>
      <c r="D30" s="708">
        <f>ROUND(D18*$D$8,5)</f>
        <v>0.66166999999999998</v>
      </c>
      <c r="E30" s="709">
        <f>ROUND(E18*$D$8,2)</f>
        <v>1.05</v>
      </c>
      <c r="F30" s="335"/>
      <c r="G30" s="415"/>
    </row>
    <row r="31" spans="2:7" s="336" customFormat="1" x14ac:dyDescent="0.2">
      <c r="B31" s="431"/>
      <c r="C31" s="338">
        <v>86</v>
      </c>
      <c r="D31" s="708">
        <f>ROUND(D19*$D$8,5)</f>
        <v>0.66600000000000004</v>
      </c>
      <c r="E31" s="709">
        <f>ROUND(E19*$D$8,2)</f>
        <v>1.05</v>
      </c>
      <c r="F31" s="335"/>
      <c r="G31" s="415"/>
    </row>
    <row r="32" spans="2:7" s="336" customFormat="1" x14ac:dyDescent="0.2">
      <c r="B32" s="431"/>
      <c r="C32" s="338">
        <v>87</v>
      </c>
      <c r="D32" s="708">
        <f>ROUND(D20*$D$8,5)</f>
        <v>0.65993999999999997</v>
      </c>
      <c r="E32" s="709">
        <f>ROUND(E20*$D$8,2)</f>
        <v>1.05</v>
      </c>
      <c r="F32" s="335"/>
      <c r="G32" s="415"/>
    </row>
    <row r="33" spans="1:11" s="336" customFormat="1" x14ac:dyDescent="0.2">
      <c r="B33" s="431"/>
      <c r="C33" s="338"/>
      <c r="D33" s="524"/>
      <c r="E33" s="387"/>
      <c r="F33" s="387"/>
      <c r="G33" s="335"/>
      <c r="H33" s="415"/>
    </row>
    <row r="34" spans="1:11" s="336" customFormat="1" x14ac:dyDescent="0.2">
      <c r="B34" s="431"/>
      <c r="C34" s="338"/>
      <c r="D34" s="524"/>
      <c r="E34" s="387"/>
      <c r="F34" s="711" t="s">
        <v>1310</v>
      </c>
      <c r="G34" s="335"/>
      <c r="H34" s="415"/>
    </row>
    <row r="35" spans="1:11" x14ac:dyDescent="0.2">
      <c r="A35" s="432" t="s">
        <v>445</v>
      </c>
      <c r="B35" s="433" t="s">
        <v>3</v>
      </c>
      <c r="C35" s="433"/>
      <c r="D35" s="333" t="s">
        <v>25</v>
      </c>
      <c r="E35" s="333" t="s">
        <v>75</v>
      </c>
      <c r="F35" s="333" t="s">
        <v>23</v>
      </c>
      <c r="G35" s="391"/>
      <c r="H35" s="390"/>
      <c r="I35" s="32"/>
      <c r="J35" s="32"/>
      <c r="K35" s="32"/>
    </row>
    <row r="36" spans="1:11" x14ac:dyDescent="0.2">
      <c r="B36" s="276" t="s">
        <v>1046</v>
      </c>
      <c r="C36" s="276"/>
      <c r="G36" s="390"/>
      <c r="H36" s="390"/>
      <c r="I36" s="32"/>
      <c r="J36" s="32"/>
      <c r="K36" s="32"/>
    </row>
    <row r="37" spans="1:11" s="336" customFormat="1" x14ac:dyDescent="0.2">
      <c r="B37" s="182" t="s">
        <v>5</v>
      </c>
      <c r="C37" s="182"/>
      <c r="G37" s="415"/>
      <c r="H37" s="415"/>
    </row>
    <row r="38" spans="1:11" s="415" customFormat="1" x14ac:dyDescent="0.2">
      <c r="B38" s="415" t="s">
        <v>1067</v>
      </c>
      <c r="D38" s="32">
        <v>101</v>
      </c>
      <c r="E38" s="32" t="s">
        <v>1048</v>
      </c>
      <c r="F38" s="712">
        <f>$D$27</f>
        <v>13.68</v>
      </c>
    </row>
    <row r="39" spans="1:11" s="415" customFormat="1" x14ac:dyDescent="0.2">
      <c r="B39" s="415" t="s">
        <v>1050</v>
      </c>
      <c r="D39" s="32"/>
      <c r="E39" s="32"/>
      <c r="F39" s="712">
        <f>D15</f>
        <v>13.08</v>
      </c>
    </row>
    <row r="40" spans="1:11" s="336" customFormat="1" x14ac:dyDescent="0.2">
      <c r="G40" s="415"/>
      <c r="H40" s="415"/>
    </row>
    <row r="41" spans="1:11" s="336" customFormat="1" x14ac:dyDescent="0.2">
      <c r="B41" s="182" t="s">
        <v>982</v>
      </c>
      <c r="G41" s="415"/>
      <c r="H41" s="415"/>
    </row>
    <row r="42" spans="1:11" s="336" customFormat="1" x14ac:dyDescent="0.2">
      <c r="B42" s="336" t="s">
        <v>1051</v>
      </c>
      <c r="F42" s="478">
        <f>'JKP-3.1c - Norm Rev Rates GTI10'!R14</f>
        <v>642</v>
      </c>
      <c r="G42" s="415"/>
      <c r="H42" s="415"/>
    </row>
    <row r="43" spans="1:11" s="336" customFormat="1" x14ac:dyDescent="0.2">
      <c r="B43" s="415" t="s">
        <v>1052</v>
      </c>
      <c r="E43" s="416">
        <v>19</v>
      </c>
      <c r="F43" s="378"/>
      <c r="G43" s="415"/>
      <c r="H43" s="415"/>
    </row>
    <row r="44" spans="1:11" s="336" customFormat="1" x14ac:dyDescent="0.2">
      <c r="B44" s="415" t="s">
        <v>1053</v>
      </c>
      <c r="E44" s="416"/>
      <c r="F44" s="378">
        <f>F42*$E$43</f>
        <v>12198</v>
      </c>
      <c r="G44" s="415"/>
      <c r="H44" s="415"/>
    </row>
    <row r="45" spans="1:11" s="336" customFormat="1" x14ac:dyDescent="0.2">
      <c r="F45" s="179"/>
      <c r="G45" s="415"/>
      <c r="H45" s="415"/>
    </row>
    <row r="46" spans="1:11" s="336" customFormat="1" x14ac:dyDescent="0.2">
      <c r="B46" s="182" t="s">
        <v>985</v>
      </c>
      <c r="F46" s="179"/>
      <c r="G46" s="415"/>
      <c r="H46" s="415"/>
    </row>
    <row r="47" spans="1:11" s="336" customFormat="1" x14ac:dyDescent="0.2">
      <c r="A47" s="336" t="s">
        <v>1054</v>
      </c>
      <c r="B47" s="415" t="s">
        <v>1047</v>
      </c>
      <c r="C47" s="415"/>
      <c r="D47" s="415"/>
      <c r="F47" s="713">
        <f>'JKP-3.1c - Norm Rev Rates GTI10'!R19</f>
        <v>6368.64</v>
      </c>
      <c r="G47" s="415"/>
      <c r="H47" s="415"/>
    </row>
    <row r="48" spans="1:11" s="336" customFormat="1" x14ac:dyDescent="0.2">
      <c r="A48" s="336" t="s">
        <v>1056</v>
      </c>
      <c r="B48" s="415" t="s">
        <v>1057</v>
      </c>
      <c r="D48" s="32">
        <v>101</v>
      </c>
      <c r="F48" s="340">
        <f>F38*F42</f>
        <v>8782.56</v>
      </c>
      <c r="G48" s="415"/>
      <c r="H48" s="415"/>
      <c r="I48" s="415"/>
      <c r="J48" s="415"/>
    </row>
    <row r="49" spans="1:11" s="336" customFormat="1" x14ac:dyDescent="0.2">
      <c r="B49" s="32" t="s">
        <v>986</v>
      </c>
      <c r="F49" s="339">
        <f>SUM(F47:F48)</f>
        <v>15151.2</v>
      </c>
      <c r="G49" s="340"/>
      <c r="H49" s="415"/>
    </row>
    <row r="50" spans="1:11" s="336" customFormat="1" x14ac:dyDescent="0.2">
      <c r="B50" s="32"/>
      <c r="F50" s="340"/>
      <c r="G50" s="340"/>
      <c r="H50" s="415"/>
    </row>
    <row r="51" spans="1:11" s="336" customFormat="1" x14ac:dyDescent="0.2">
      <c r="A51" s="336" t="s">
        <v>1058</v>
      </c>
      <c r="B51" s="32" t="s">
        <v>1050</v>
      </c>
      <c r="F51" s="340">
        <f>F39*F42</f>
        <v>8397.36</v>
      </c>
      <c r="G51" s="340"/>
      <c r="H51" s="415"/>
    </row>
    <row r="52" spans="1:11" s="336" customFormat="1" x14ac:dyDescent="0.2">
      <c r="B52" s="32"/>
      <c r="F52" s="340"/>
      <c r="G52" s="340"/>
      <c r="H52" s="415"/>
    </row>
    <row r="53" spans="1:11" x14ac:dyDescent="0.2">
      <c r="D53" s="391"/>
      <c r="E53" s="391"/>
      <c r="F53" s="391"/>
      <c r="G53" s="390"/>
      <c r="H53" s="390"/>
      <c r="I53" s="32"/>
      <c r="J53" s="32"/>
      <c r="K53" s="32"/>
    </row>
    <row r="54" spans="1:11" x14ac:dyDescent="0.2">
      <c r="B54" s="276" t="s">
        <v>953</v>
      </c>
      <c r="C54" s="276"/>
      <c r="G54" s="390"/>
      <c r="H54" s="390"/>
      <c r="I54" s="32"/>
      <c r="J54" s="32"/>
      <c r="K54" s="32"/>
    </row>
    <row r="55" spans="1:11" x14ac:dyDescent="0.2">
      <c r="B55" s="276" t="s">
        <v>5</v>
      </c>
      <c r="C55" s="276"/>
      <c r="G55" s="390"/>
      <c r="H55" s="390"/>
      <c r="I55" s="32"/>
      <c r="J55" s="32"/>
      <c r="K55" s="32"/>
    </row>
    <row r="56" spans="1:11" x14ac:dyDescent="0.2">
      <c r="B56" s="32" t="s">
        <v>1067</v>
      </c>
      <c r="D56" s="32">
        <v>101</v>
      </c>
      <c r="E56" s="32" t="s">
        <v>957</v>
      </c>
      <c r="F56" s="453">
        <f>$D$26</f>
        <v>0.72019999999999995</v>
      </c>
      <c r="G56" s="390"/>
      <c r="H56" s="390"/>
      <c r="I56" s="32"/>
      <c r="J56" s="32"/>
      <c r="K56" s="32"/>
    </row>
    <row r="57" spans="1:11" x14ac:dyDescent="0.2">
      <c r="B57" s="32" t="s">
        <v>1050</v>
      </c>
      <c r="F57" s="453">
        <f>D14</f>
        <v>0.68861000000000006</v>
      </c>
      <c r="G57" s="390"/>
      <c r="H57" s="390"/>
      <c r="I57" s="32"/>
      <c r="J57" s="32"/>
      <c r="K57" s="32"/>
    </row>
    <row r="58" spans="1:11" x14ac:dyDescent="0.2">
      <c r="G58" s="390"/>
      <c r="H58" s="390"/>
      <c r="I58" s="32"/>
      <c r="J58" s="32"/>
      <c r="K58" s="32"/>
    </row>
    <row r="59" spans="1:11" x14ac:dyDescent="0.2">
      <c r="B59" s="276" t="s">
        <v>982</v>
      </c>
      <c r="G59" s="390"/>
      <c r="H59" s="390"/>
      <c r="I59" s="32"/>
      <c r="J59" s="32"/>
      <c r="K59" s="32"/>
    </row>
    <row r="60" spans="1:11" x14ac:dyDescent="0.2">
      <c r="B60" s="32" t="s">
        <v>67</v>
      </c>
      <c r="E60" s="32" t="s">
        <v>67</v>
      </c>
      <c r="F60" s="397">
        <f>'JKP-3.1c - Norm Rev Rates GTI10'!R33</f>
        <v>8441336</v>
      </c>
      <c r="G60" s="390"/>
      <c r="H60" s="390"/>
      <c r="I60" s="32"/>
      <c r="J60" s="32"/>
      <c r="K60" s="32"/>
    </row>
    <row r="61" spans="1:11" x14ac:dyDescent="0.2">
      <c r="B61" s="32" t="s">
        <v>76</v>
      </c>
      <c r="E61" s="32" t="s">
        <v>10</v>
      </c>
      <c r="F61" s="397">
        <f>'JKP-3.1c - Norm Rev Rates GTI10'!R34</f>
        <v>548024951</v>
      </c>
      <c r="G61" s="390"/>
      <c r="H61" s="390"/>
      <c r="I61" s="32"/>
      <c r="J61" s="32"/>
      <c r="K61" s="32"/>
    </row>
    <row r="62" spans="1:11" s="179" customFormat="1" x14ac:dyDescent="0.2">
      <c r="G62" s="195"/>
      <c r="H62" s="195"/>
    </row>
    <row r="63" spans="1:11" x14ac:dyDescent="0.2">
      <c r="B63" s="276" t="s">
        <v>985</v>
      </c>
      <c r="F63" s="277"/>
      <c r="G63" s="390"/>
      <c r="H63" s="390"/>
      <c r="I63" s="32"/>
      <c r="J63" s="32"/>
      <c r="K63" s="32"/>
    </row>
    <row r="64" spans="1:11" x14ac:dyDescent="0.2">
      <c r="A64" s="32" t="s">
        <v>1054</v>
      </c>
      <c r="B64" s="32" t="s">
        <v>1059</v>
      </c>
      <c r="D64" s="32">
        <v>23</v>
      </c>
      <c r="F64" s="714">
        <f>'JKP-3.1c - Norm Rev Rates GTI10'!R37</f>
        <v>84413360</v>
      </c>
      <c r="G64" s="390"/>
      <c r="H64" s="390"/>
      <c r="I64" s="32"/>
      <c r="J64" s="32"/>
      <c r="K64" s="32"/>
    </row>
    <row r="65" spans="1:11" x14ac:dyDescent="0.2">
      <c r="A65" s="32" t="s">
        <v>1054</v>
      </c>
      <c r="B65" s="32" t="s">
        <v>1047</v>
      </c>
      <c r="D65" s="32">
        <v>23</v>
      </c>
      <c r="F65" s="714">
        <f>'JKP-3.1c - Norm Rev Rates GTI10'!R38</f>
        <v>204807884.68772</v>
      </c>
      <c r="G65" s="390"/>
      <c r="H65" s="390"/>
      <c r="I65" s="32"/>
      <c r="J65" s="32"/>
      <c r="K65" s="32"/>
    </row>
    <row r="66" spans="1:11" x14ac:dyDescent="0.2">
      <c r="A66" s="336" t="s">
        <v>1056</v>
      </c>
      <c r="B66" s="32" t="s">
        <v>1057</v>
      </c>
      <c r="D66" s="32">
        <v>101</v>
      </c>
      <c r="F66" s="364">
        <f>F56*F61</f>
        <v>394687569.71019995</v>
      </c>
      <c r="G66" s="390"/>
      <c r="H66" s="390"/>
      <c r="I66" s="32"/>
      <c r="J66" s="32"/>
      <c r="K66" s="32"/>
    </row>
    <row r="67" spans="1:11" x14ac:dyDescent="0.2">
      <c r="B67" s="32" t="s">
        <v>986</v>
      </c>
      <c r="F67" s="365">
        <f>SUM(F64:F66)</f>
        <v>683908814.39791989</v>
      </c>
      <c r="G67" s="340"/>
      <c r="H67" s="390"/>
      <c r="I67" s="32"/>
      <c r="J67" s="32"/>
      <c r="K67" s="32"/>
    </row>
    <row r="68" spans="1:11" x14ac:dyDescent="0.2">
      <c r="F68" s="417"/>
      <c r="G68" s="340"/>
      <c r="H68" s="390"/>
      <c r="I68" s="32"/>
      <c r="J68" s="32"/>
      <c r="K68" s="32"/>
    </row>
    <row r="69" spans="1:11" x14ac:dyDescent="0.2">
      <c r="A69" s="32" t="s">
        <v>1058</v>
      </c>
      <c r="B69" s="32" t="s">
        <v>1050</v>
      </c>
      <c r="F69" s="417">
        <f>F57*F61</f>
        <v>377375461.50811005</v>
      </c>
      <c r="G69" s="340"/>
      <c r="H69" s="390"/>
      <c r="I69" s="32"/>
      <c r="J69" s="32"/>
      <c r="K69" s="32"/>
    </row>
    <row r="70" spans="1:11" x14ac:dyDescent="0.2">
      <c r="F70" s="417"/>
      <c r="G70" s="340"/>
      <c r="H70" s="390"/>
      <c r="I70" s="32"/>
      <c r="J70" s="32"/>
      <c r="K70" s="32"/>
    </row>
    <row r="71" spans="1:11" s="336" customFormat="1" x14ac:dyDescent="0.2">
      <c r="G71" s="415"/>
      <c r="H71" s="415"/>
    </row>
    <row r="72" spans="1:11" x14ac:dyDescent="0.2">
      <c r="B72" s="276" t="s">
        <v>1060</v>
      </c>
      <c r="C72" s="276"/>
      <c r="G72" s="390"/>
      <c r="H72" s="390"/>
      <c r="I72" s="32"/>
      <c r="J72" s="32"/>
      <c r="K72" s="32"/>
    </row>
    <row r="73" spans="1:11" x14ac:dyDescent="0.2">
      <c r="B73" s="276" t="s">
        <v>982</v>
      </c>
      <c r="C73" s="276"/>
      <c r="G73" s="390"/>
      <c r="H73" s="390"/>
      <c r="I73" s="32"/>
      <c r="J73" s="32"/>
      <c r="K73" s="32"/>
    </row>
    <row r="74" spans="1:11" x14ac:dyDescent="0.2">
      <c r="B74" s="32" t="s">
        <v>67</v>
      </c>
      <c r="E74" s="32" t="s">
        <v>67</v>
      </c>
      <c r="F74" s="397">
        <f>'JKP-3.1c - Norm Rev Rates GTI10'!R51</f>
        <v>61</v>
      </c>
      <c r="G74" s="390"/>
      <c r="H74" s="390"/>
      <c r="I74" s="32"/>
      <c r="J74" s="32"/>
      <c r="K74" s="32"/>
    </row>
    <row r="75" spans="1:11" x14ac:dyDescent="0.2">
      <c r="B75" s="32" t="s">
        <v>76</v>
      </c>
      <c r="E75" s="32" t="s">
        <v>10</v>
      </c>
      <c r="F75" s="397">
        <f>'JKP-3.1c - Norm Rev Rates GTI10'!R52</f>
        <v>2114</v>
      </c>
      <c r="G75" s="390"/>
      <c r="H75" s="390"/>
      <c r="I75" s="32"/>
      <c r="J75" s="32"/>
      <c r="K75" s="32"/>
    </row>
    <row r="76" spans="1:11" x14ac:dyDescent="0.2">
      <c r="B76" s="276"/>
      <c r="C76" s="276"/>
      <c r="G76" s="390"/>
      <c r="H76" s="390"/>
      <c r="I76" s="32"/>
      <c r="J76" s="32"/>
      <c r="K76" s="32"/>
    </row>
    <row r="77" spans="1:11" x14ac:dyDescent="0.2">
      <c r="B77" s="276" t="s">
        <v>985</v>
      </c>
      <c r="F77" s="277"/>
      <c r="G77" s="390"/>
      <c r="H77" s="390"/>
      <c r="I77" s="32"/>
      <c r="J77" s="32"/>
      <c r="K77" s="32"/>
    </row>
    <row r="78" spans="1:11" x14ac:dyDescent="0.2">
      <c r="A78" s="32" t="s">
        <v>1054</v>
      </c>
      <c r="B78" s="32" t="s">
        <v>1059</v>
      </c>
      <c r="D78" s="32">
        <v>53</v>
      </c>
      <c r="F78" s="714">
        <f>'JKP-3.1c - Norm Rev Rates GTI10'!R55</f>
        <v>610</v>
      </c>
      <c r="G78" s="390"/>
      <c r="H78" s="390"/>
      <c r="I78" s="32"/>
      <c r="J78" s="32"/>
      <c r="K78" s="32"/>
    </row>
    <row r="79" spans="1:11" x14ac:dyDescent="0.2">
      <c r="A79" s="32" t="s">
        <v>1054</v>
      </c>
      <c r="B79" s="32" t="s">
        <v>1047</v>
      </c>
      <c r="D79" s="32">
        <v>53</v>
      </c>
      <c r="F79" s="714">
        <f>'JKP-3.1c - Norm Rev Rates GTI10'!R56</f>
        <v>790.04408000000001</v>
      </c>
      <c r="G79" s="390"/>
      <c r="H79" s="390"/>
      <c r="I79" s="32"/>
      <c r="J79" s="32"/>
      <c r="K79" s="32"/>
    </row>
    <row r="80" spans="1:11" x14ac:dyDescent="0.2">
      <c r="A80" s="32" t="s">
        <v>1056</v>
      </c>
      <c r="B80" s="32" t="s">
        <v>1061</v>
      </c>
      <c r="D80" s="32">
        <v>101</v>
      </c>
      <c r="F80" s="714">
        <f>'JKP-3.1c - Norm Rev Rates GTI10'!R57</f>
        <v>8469.5507400000006</v>
      </c>
      <c r="G80" s="390"/>
      <c r="H80" s="390"/>
      <c r="I80" s="32"/>
      <c r="J80" s="32"/>
      <c r="K80" s="32"/>
    </row>
    <row r="81" spans="1:11" x14ac:dyDescent="0.2">
      <c r="B81" s="32" t="s">
        <v>986</v>
      </c>
      <c r="F81" s="365">
        <f>SUM(F78:F80)</f>
        <v>9869.5948200000003</v>
      </c>
      <c r="G81" s="340"/>
      <c r="H81" s="390"/>
      <c r="I81" s="32"/>
      <c r="J81" s="32"/>
      <c r="K81" s="32"/>
    </row>
    <row r="82" spans="1:11" x14ac:dyDescent="0.2">
      <c r="F82" s="341"/>
      <c r="G82" s="415"/>
      <c r="H82" s="390"/>
      <c r="I82" s="32"/>
      <c r="J82" s="32"/>
      <c r="K82" s="32"/>
    </row>
    <row r="83" spans="1:11" x14ac:dyDescent="0.2">
      <c r="A83" s="32" t="s">
        <v>1058</v>
      </c>
      <c r="B83" s="32" t="s">
        <v>1050</v>
      </c>
      <c r="F83" s="341">
        <f>'JKP-3.1c - Norm Rev Rates GTI10'!R60</f>
        <v>8469.5507400000006</v>
      </c>
      <c r="G83" s="415"/>
      <c r="H83" s="390"/>
      <c r="I83" s="32"/>
      <c r="J83" s="32"/>
      <c r="K83" s="32"/>
    </row>
    <row r="84" spans="1:11" x14ac:dyDescent="0.2">
      <c r="F84" s="341"/>
      <c r="G84" s="415"/>
      <c r="H84" s="390"/>
      <c r="I84" s="32"/>
      <c r="J84" s="32"/>
      <c r="K84" s="32"/>
    </row>
    <row r="85" spans="1:11" x14ac:dyDescent="0.2">
      <c r="F85" s="341"/>
      <c r="G85" s="415"/>
      <c r="H85" s="390"/>
      <c r="I85" s="32"/>
      <c r="J85" s="32"/>
      <c r="K85" s="32"/>
    </row>
    <row r="86" spans="1:11" s="336" customFormat="1" x14ac:dyDescent="0.2">
      <c r="B86" s="182" t="s">
        <v>1062</v>
      </c>
      <c r="G86" s="415"/>
      <c r="H86" s="415"/>
    </row>
    <row r="87" spans="1:11" s="336" customFormat="1" x14ac:dyDescent="0.2">
      <c r="B87" s="182" t="s">
        <v>985</v>
      </c>
      <c r="G87" s="415"/>
      <c r="H87" s="415"/>
    </row>
    <row r="88" spans="1:11" s="336" customFormat="1" x14ac:dyDescent="0.2">
      <c r="A88" s="336" t="s">
        <v>1054</v>
      </c>
      <c r="B88" s="336" t="s">
        <v>1063</v>
      </c>
      <c r="F88" s="447">
        <f>'JKP-3.1c - Norm Rev Rates GTI10'!R70</f>
        <v>4832.3999999999996</v>
      </c>
      <c r="G88" s="415"/>
      <c r="H88" s="415"/>
    </row>
    <row r="89" spans="1:11" s="336" customFormat="1" x14ac:dyDescent="0.2">
      <c r="F89" s="447"/>
      <c r="G89" s="415"/>
      <c r="H89" s="415"/>
    </row>
    <row r="90" spans="1:11" s="336" customFormat="1" x14ac:dyDescent="0.2">
      <c r="F90" s="340"/>
      <c r="G90" s="415"/>
      <c r="H90" s="415"/>
    </row>
    <row r="91" spans="1:11" x14ac:dyDescent="0.2">
      <c r="B91" s="276" t="s">
        <v>967</v>
      </c>
      <c r="C91" s="276"/>
      <c r="G91" s="390"/>
      <c r="H91" s="390"/>
      <c r="I91" s="32"/>
      <c r="J91" s="32"/>
      <c r="K91" s="32"/>
    </row>
    <row r="92" spans="1:11" x14ac:dyDescent="0.2">
      <c r="B92" s="276" t="s">
        <v>5</v>
      </c>
      <c r="C92" s="276"/>
      <c r="G92" s="390"/>
      <c r="H92" s="390"/>
      <c r="I92" s="32"/>
      <c r="J92" s="32"/>
      <c r="K92" s="32"/>
    </row>
    <row r="93" spans="1:11" x14ac:dyDescent="0.2">
      <c r="A93" s="336"/>
      <c r="B93" s="32" t="s">
        <v>1067</v>
      </c>
      <c r="D93" s="32">
        <v>101</v>
      </c>
      <c r="E93" s="32" t="s">
        <v>957</v>
      </c>
      <c r="F93" s="453">
        <f>$D$28</f>
        <v>0.71438999999999997</v>
      </c>
      <c r="G93" s="390"/>
      <c r="H93" s="390"/>
      <c r="I93" s="32"/>
      <c r="J93" s="32"/>
      <c r="K93" s="32"/>
    </row>
    <row r="94" spans="1:11" x14ac:dyDescent="0.2">
      <c r="A94" s="336"/>
      <c r="B94" s="32" t="s">
        <v>1050</v>
      </c>
      <c r="F94" s="453">
        <f>D16</f>
        <v>0.68306</v>
      </c>
      <c r="G94" s="390"/>
      <c r="H94" s="390"/>
      <c r="I94" s="32"/>
      <c r="J94" s="32"/>
      <c r="K94" s="32"/>
    </row>
    <row r="95" spans="1:11" s="336" customFormat="1" x14ac:dyDescent="0.2">
      <c r="G95" s="415"/>
      <c r="H95" s="415"/>
    </row>
    <row r="96" spans="1:11" x14ac:dyDescent="0.2">
      <c r="B96" s="276" t="s">
        <v>982</v>
      </c>
      <c r="G96" s="390"/>
      <c r="H96" s="390"/>
      <c r="I96" s="32"/>
      <c r="J96" s="32"/>
      <c r="K96" s="32"/>
    </row>
    <row r="97" spans="1:11" x14ac:dyDescent="0.2">
      <c r="B97" s="32" t="s">
        <v>67</v>
      </c>
      <c r="E97" s="32" t="s">
        <v>67</v>
      </c>
      <c r="F97" s="397">
        <f>'JKP-3.1c - Norm Rev Rates GTI10'!R80</f>
        <v>634506</v>
      </c>
      <c r="G97" s="390"/>
      <c r="H97" s="390"/>
      <c r="I97" s="32"/>
      <c r="J97" s="32"/>
      <c r="K97" s="32"/>
    </row>
    <row r="98" spans="1:11" x14ac:dyDescent="0.2">
      <c r="B98" s="32" t="s">
        <v>76</v>
      </c>
      <c r="E98" s="32" t="s">
        <v>10</v>
      </c>
      <c r="F98" s="397">
        <f>'JKP-3.1c - Norm Rev Rates GTI10'!R81</f>
        <v>188564194</v>
      </c>
      <c r="G98" s="390"/>
      <c r="H98" s="390"/>
      <c r="I98" s="32"/>
      <c r="J98" s="32"/>
      <c r="K98" s="32"/>
    </row>
    <row r="99" spans="1:11" x14ac:dyDescent="0.2">
      <c r="F99" s="277"/>
      <c r="G99" s="390"/>
      <c r="H99" s="390"/>
      <c r="I99" s="32"/>
      <c r="J99" s="32"/>
      <c r="K99" s="32"/>
    </row>
    <row r="100" spans="1:11" x14ac:dyDescent="0.2">
      <c r="B100" s="276" t="s">
        <v>985</v>
      </c>
      <c r="F100" s="277"/>
      <c r="G100" s="390"/>
      <c r="H100" s="390"/>
      <c r="I100" s="32"/>
      <c r="J100" s="32"/>
      <c r="K100" s="32"/>
    </row>
    <row r="101" spans="1:11" x14ac:dyDescent="0.2">
      <c r="A101" s="32" t="s">
        <v>1054</v>
      </c>
      <c r="B101" s="32" t="s">
        <v>1059</v>
      </c>
      <c r="D101" s="32">
        <v>31</v>
      </c>
      <c r="F101" s="714">
        <f>'JKP-3.1c - Norm Rev Rates GTI10'!R84</f>
        <v>20507233.919999998</v>
      </c>
      <c r="G101" s="417"/>
      <c r="H101" s="417"/>
      <c r="I101" s="32"/>
      <c r="J101" s="32"/>
      <c r="K101" s="32"/>
    </row>
    <row r="102" spans="1:11" x14ac:dyDescent="0.2">
      <c r="A102" s="32" t="s">
        <v>1054</v>
      </c>
      <c r="B102" s="32" t="s">
        <v>1047</v>
      </c>
      <c r="D102" s="32">
        <v>31</v>
      </c>
      <c r="F102" s="714">
        <f>'JKP-3.1c - Norm Rev Rates GTI10'!R85</f>
        <v>59448633.442379996</v>
      </c>
      <c r="G102" s="417"/>
      <c r="H102" s="417"/>
      <c r="I102" s="32"/>
      <c r="J102" s="32"/>
      <c r="K102" s="32"/>
    </row>
    <row r="103" spans="1:11" x14ac:dyDescent="0.2">
      <c r="A103" s="336" t="s">
        <v>1056</v>
      </c>
      <c r="B103" s="32" t="s">
        <v>1057</v>
      </c>
      <c r="D103" s="32">
        <v>101</v>
      </c>
      <c r="F103" s="364">
        <f>F93*F98</f>
        <v>134708374.55166</v>
      </c>
      <c r="G103" s="417"/>
      <c r="H103" s="417"/>
      <c r="I103" s="32"/>
      <c r="J103" s="32"/>
      <c r="K103" s="32"/>
    </row>
    <row r="104" spans="1:11" x14ac:dyDescent="0.2">
      <c r="B104" s="32" t="s">
        <v>986</v>
      </c>
      <c r="F104" s="365">
        <f>SUM(F101:F103)</f>
        <v>214664241.91404</v>
      </c>
      <c r="G104" s="417"/>
      <c r="H104" s="417"/>
      <c r="I104" s="32"/>
      <c r="J104" s="32"/>
      <c r="K104" s="32"/>
    </row>
    <row r="105" spans="1:11" x14ac:dyDescent="0.2">
      <c r="F105" s="341"/>
      <c r="G105" s="415"/>
      <c r="H105" s="390"/>
      <c r="I105" s="32"/>
      <c r="J105" s="32"/>
      <c r="K105" s="32"/>
    </row>
    <row r="106" spans="1:11" x14ac:dyDescent="0.2">
      <c r="A106" s="32" t="s">
        <v>1058</v>
      </c>
      <c r="B106" s="32" t="s">
        <v>1050</v>
      </c>
      <c r="F106" s="341">
        <f>F94*F98</f>
        <v>128800658.35364</v>
      </c>
      <c r="G106" s="415"/>
      <c r="H106" s="390"/>
      <c r="I106" s="32"/>
      <c r="J106" s="32"/>
      <c r="K106" s="32"/>
    </row>
    <row r="107" spans="1:11" x14ac:dyDescent="0.2">
      <c r="F107" s="341"/>
      <c r="G107" s="415"/>
      <c r="H107" s="390"/>
      <c r="I107" s="32"/>
      <c r="J107" s="32"/>
      <c r="K107" s="32"/>
    </row>
    <row r="108" spans="1:11" x14ac:dyDescent="0.2">
      <c r="F108" s="341"/>
      <c r="G108" s="415"/>
      <c r="H108" s="390"/>
      <c r="I108" s="32"/>
      <c r="J108" s="32"/>
      <c r="K108" s="32"/>
    </row>
    <row r="109" spans="1:11" s="336" customFormat="1" x14ac:dyDescent="0.2">
      <c r="B109" s="182" t="s">
        <v>968</v>
      </c>
      <c r="C109" s="182"/>
      <c r="G109" s="415"/>
      <c r="H109" s="415"/>
    </row>
    <row r="110" spans="1:11" x14ac:dyDescent="0.2">
      <c r="B110" s="276" t="s">
        <v>5</v>
      </c>
      <c r="C110" s="276"/>
      <c r="G110" s="390"/>
      <c r="H110" s="390"/>
      <c r="I110" s="32"/>
      <c r="J110" s="32"/>
      <c r="K110" s="32"/>
    </row>
    <row r="111" spans="1:11" x14ac:dyDescent="0.2">
      <c r="A111" s="336"/>
      <c r="B111" s="32" t="s">
        <v>1067</v>
      </c>
      <c r="D111" s="32">
        <v>101</v>
      </c>
      <c r="E111" s="32" t="s">
        <v>957</v>
      </c>
      <c r="F111" s="453">
        <f>$D$29</f>
        <v>0.62919000000000003</v>
      </c>
      <c r="G111" s="390"/>
      <c r="H111" s="390"/>
      <c r="I111" s="32"/>
      <c r="J111" s="32"/>
      <c r="K111" s="32"/>
    </row>
    <row r="112" spans="1:11" x14ac:dyDescent="0.2">
      <c r="A112" s="336"/>
      <c r="B112" s="32" t="s">
        <v>1070</v>
      </c>
      <c r="D112" s="32">
        <v>101</v>
      </c>
      <c r="E112" s="32" t="s">
        <v>957</v>
      </c>
      <c r="F112" s="500">
        <f>'JKP-3.1c - Norm Rev Rates GTI10'!$Q$100</f>
        <v>1.05</v>
      </c>
      <c r="G112" s="390"/>
      <c r="H112" s="390"/>
      <c r="I112" s="32"/>
      <c r="J112" s="32"/>
      <c r="K112" s="32"/>
    </row>
    <row r="113" spans="1:11" x14ac:dyDescent="0.2">
      <c r="A113" s="336"/>
      <c r="B113" s="32" t="s">
        <v>1050</v>
      </c>
      <c r="F113" s="453">
        <f>D17</f>
        <v>0.60158999999999996</v>
      </c>
      <c r="G113" s="390"/>
      <c r="H113" s="390"/>
      <c r="I113" s="32"/>
      <c r="J113" s="32"/>
      <c r="K113" s="32"/>
    </row>
    <row r="114" spans="1:11" x14ac:dyDescent="0.2">
      <c r="A114" s="336"/>
      <c r="B114" s="32" t="s">
        <v>1072</v>
      </c>
      <c r="F114" s="517">
        <f>E17</f>
        <v>1</v>
      </c>
      <c r="G114" s="390"/>
      <c r="H114" s="390"/>
      <c r="I114" s="32"/>
      <c r="J114" s="32"/>
      <c r="K114" s="32"/>
    </row>
    <row r="115" spans="1:11" x14ac:dyDescent="0.2">
      <c r="G115" s="390"/>
      <c r="H115" s="390"/>
      <c r="I115" s="32"/>
      <c r="J115" s="32"/>
      <c r="K115" s="32"/>
    </row>
    <row r="116" spans="1:11" x14ac:dyDescent="0.2">
      <c r="B116" s="276" t="s">
        <v>982</v>
      </c>
      <c r="G116" s="390"/>
      <c r="H116" s="390"/>
      <c r="I116" s="32"/>
      <c r="J116" s="32"/>
      <c r="K116" s="32"/>
    </row>
    <row r="117" spans="1:11" x14ac:dyDescent="0.2">
      <c r="B117" s="32" t="s">
        <v>67</v>
      </c>
      <c r="E117" s="32" t="s">
        <v>67</v>
      </c>
      <c r="F117" s="421">
        <f>'JKP-3.1c - Norm Rev Rates GTI10'!R106</f>
        <v>17314</v>
      </c>
      <c r="G117" s="390"/>
      <c r="H117" s="390"/>
      <c r="I117" s="32"/>
      <c r="J117" s="32"/>
      <c r="K117" s="32"/>
    </row>
    <row r="118" spans="1:11" x14ac:dyDescent="0.2">
      <c r="B118" s="32" t="s">
        <v>76</v>
      </c>
      <c r="E118" s="32" t="s">
        <v>10</v>
      </c>
      <c r="F118" s="396">
        <f>'JKP-3.1c - Norm Rev Rates GTI10'!R111</f>
        <v>54030873</v>
      </c>
      <c r="G118" s="390"/>
      <c r="H118" s="390"/>
      <c r="I118" s="32"/>
      <c r="J118" s="32"/>
      <c r="K118" s="32"/>
    </row>
    <row r="119" spans="1:11" s="336" customFormat="1" x14ac:dyDescent="0.2">
      <c r="B119" s="336" t="s">
        <v>74</v>
      </c>
      <c r="E119" s="336" t="s">
        <v>1076</v>
      </c>
      <c r="F119" s="421">
        <f>'JKP-3.1c - Norm Rev Rates GTI10'!R112</f>
        <v>3673189.57</v>
      </c>
      <c r="G119" s="415"/>
      <c r="H119" s="415"/>
    </row>
    <row r="120" spans="1:11" x14ac:dyDescent="0.2">
      <c r="F120" s="279"/>
      <c r="G120" s="390"/>
      <c r="H120" s="390"/>
      <c r="I120" s="32"/>
      <c r="J120" s="32"/>
      <c r="K120" s="32"/>
    </row>
    <row r="121" spans="1:11" x14ac:dyDescent="0.2">
      <c r="B121" s="276" t="s">
        <v>985</v>
      </c>
      <c r="F121" s="277"/>
      <c r="G121" s="390"/>
      <c r="H121" s="390"/>
      <c r="I121" s="32"/>
      <c r="J121" s="32"/>
      <c r="K121" s="32"/>
    </row>
    <row r="122" spans="1:11" x14ac:dyDescent="0.2">
      <c r="A122" s="32" t="s">
        <v>1054</v>
      </c>
      <c r="B122" s="32" t="s">
        <v>1059</v>
      </c>
      <c r="D122" s="32">
        <v>41</v>
      </c>
      <c r="F122" s="714">
        <f>'JKP-3.1c - Norm Rev Rates GTI10'!R116</f>
        <v>1937782.88</v>
      </c>
      <c r="G122" s="390"/>
      <c r="H122" s="417"/>
      <c r="I122" s="32"/>
      <c r="J122" s="32"/>
      <c r="K122" s="32"/>
    </row>
    <row r="123" spans="1:11" x14ac:dyDescent="0.2">
      <c r="A123" s="32" t="s">
        <v>1054</v>
      </c>
      <c r="B123" s="32" t="s">
        <v>1047</v>
      </c>
      <c r="F123" s="715">
        <f>'JKP-3.1c - Norm Rev Rates GTI10'!R121</f>
        <v>5310250.5949000008</v>
      </c>
      <c r="G123" s="390"/>
      <c r="H123" s="417"/>
      <c r="I123" s="32"/>
      <c r="J123" s="32"/>
      <c r="K123" s="32"/>
    </row>
    <row r="124" spans="1:11" x14ac:dyDescent="0.2">
      <c r="A124" s="32" t="s">
        <v>1056</v>
      </c>
      <c r="B124" s="32" t="s">
        <v>1057</v>
      </c>
      <c r="D124" s="32">
        <v>101</v>
      </c>
      <c r="F124" s="364">
        <f>F111*F118</f>
        <v>33995684.982870005</v>
      </c>
      <c r="G124" s="390"/>
      <c r="H124" s="417"/>
      <c r="I124" s="32"/>
      <c r="J124" s="32"/>
      <c r="K124" s="32"/>
    </row>
    <row r="125" spans="1:11" x14ac:dyDescent="0.2">
      <c r="B125" s="32" t="s">
        <v>1068</v>
      </c>
      <c r="F125" s="364"/>
      <c r="G125" s="390"/>
      <c r="H125" s="417"/>
      <c r="I125" s="32"/>
      <c r="J125" s="32"/>
      <c r="K125" s="32"/>
    </row>
    <row r="126" spans="1:11" x14ac:dyDescent="0.2">
      <c r="A126" s="32" t="s">
        <v>1054</v>
      </c>
      <c r="C126" s="32" t="s">
        <v>1069</v>
      </c>
      <c r="D126" s="32">
        <v>41</v>
      </c>
      <c r="F126" s="714">
        <f>'JKP-3.1c - Norm Rev Rates GTI10'!R124</f>
        <v>4187436.1097999993</v>
      </c>
      <c r="G126" s="390"/>
      <c r="H126" s="417"/>
      <c r="I126" s="32"/>
      <c r="J126" s="32"/>
      <c r="K126" s="32"/>
    </row>
    <row r="127" spans="1:11" x14ac:dyDescent="0.2">
      <c r="A127" s="32" t="s">
        <v>1056</v>
      </c>
      <c r="C127" s="32" t="s">
        <v>1070</v>
      </c>
      <c r="D127" s="32">
        <v>101</v>
      </c>
      <c r="F127" s="364">
        <f>F112*F119</f>
        <v>3856849.0485</v>
      </c>
      <c r="G127" s="390"/>
      <c r="H127" s="417"/>
      <c r="I127" s="32"/>
      <c r="J127" s="32"/>
      <c r="K127" s="32"/>
    </row>
    <row r="128" spans="1:11" x14ac:dyDescent="0.2">
      <c r="C128" s="32" t="s">
        <v>1078</v>
      </c>
      <c r="F128" s="365">
        <f>SUM(F126:F127)</f>
        <v>8044285.1582999993</v>
      </c>
      <c r="G128" s="390"/>
      <c r="H128" s="417"/>
      <c r="I128" s="32"/>
      <c r="J128" s="32"/>
      <c r="K128" s="32"/>
    </row>
    <row r="129" spans="1:12" s="336" customFormat="1" x14ac:dyDescent="0.2">
      <c r="A129" s="336" t="s">
        <v>1054</v>
      </c>
      <c r="B129" s="336" t="s">
        <v>1071</v>
      </c>
      <c r="D129" s="336">
        <v>41</v>
      </c>
      <c r="F129" s="447">
        <f>'JKP-3.1c - Norm Rev Rates GTI10'!R127</f>
        <v>2236795.66</v>
      </c>
      <c r="G129" s="415"/>
      <c r="H129" s="417"/>
    </row>
    <row r="130" spans="1:12" x14ac:dyDescent="0.2">
      <c r="B130" s="32" t="s">
        <v>1079</v>
      </c>
      <c r="F130" s="365">
        <f>F124+F127</f>
        <v>37852534.031370007</v>
      </c>
      <c r="G130" s="390"/>
      <c r="H130" s="417"/>
      <c r="I130" s="32"/>
      <c r="J130" s="32"/>
      <c r="K130" s="32"/>
    </row>
    <row r="131" spans="1:12" x14ac:dyDescent="0.2">
      <c r="B131" s="32" t="s">
        <v>986</v>
      </c>
      <c r="F131" s="365">
        <f>F122+F123+F124+F128+F129</f>
        <v>51524799.276069999</v>
      </c>
      <c r="G131" s="340"/>
      <c r="H131" s="417"/>
      <c r="I131" s="32"/>
      <c r="J131" s="32"/>
      <c r="K131" s="32"/>
    </row>
    <row r="132" spans="1:12" x14ac:dyDescent="0.2">
      <c r="F132" s="417"/>
      <c r="G132" s="340"/>
      <c r="H132" s="417"/>
      <c r="I132" s="32"/>
      <c r="J132" s="32"/>
      <c r="K132" s="32"/>
    </row>
    <row r="133" spans="1:12" x14ac:dyDescent="0.2">
      <c r="A133" s="32" t="s">
        <v>1058</v>
      </c>
      <c r="B133" s="32" t="s">
        <v>1050</v>
      </c>
      <c r="F133" s="417">
        <f>F113*F118+F119*F114</f>
        <v>36177622.458069995</v>
      </c>
      <c r="G133" s="340"/>
      <c r="H133" s="417"/>
      <c r="I133" s="32"/>
      <c r="J133" s="32"/>
      <c r="K133" s="32"/>
    </row>
    <row r="134" spans="1:12" x14ac:dyDescent="0.2">
      <c r="F134" s="417"/>
      <c r="G134" s="340"/>
      <c r="H134" s="417"/>
      <c r="I134" s="32"/>
      <c r="J134" s="32"/>
      <c r="K134" s="32"/>
    </row>
    <row r="135" spans="1:12" x14ac:dyDescent="0.2">
      <c r="F135" s="341"/>
      <c r="G135" s="415"/>
      <c r="H135" s="390"/>
      <c r="I135" s="32"/>
      <c r="J135" s="32"/>
      <c r="K135" s="32"/>
    </row>
    <row r="136" spans="1:12" x14ac:dyDescent="0.2">
      <c r="B136" s="182" t="s">
        <v>1080</v>
      </c>
      <c r="C136" s="276"/>
      <c r="G136" s="390"/>
      <c r="H136" s="390"/>
      <c r="I136" s="390"/>
      <c r="L136" s="390"/>
    </row>
    <row r="137" spans="1:12" x14ac:dyDescent="0.2">
      <c r="B137" s="276" t="s">
        <v>1083</v>
      </c>
      <c r="G137" s="390"/>
      <c r="H137" s="390"/>
      <c r="I137" s="390"/>
      <c r="L137" s="390"/>
    </row>
    <row r="138" spans="1:12" x14ac:dyDescent="0.2">
      <c r="B138" s="32" t="s">
        <v>67</v>
      </c>
      <c r="D138" s="382"/>
      <c r="E138" s="32" t="s">
        <v>67</v>
      </c>
      <c r="F138" s="397">
        <f>'JKP-3.1c - Norm Rev Rates GTI10'!R145</f>
        <v>359</v>
      </c>
      <c r="G138" s="390"/>
      <c r="H138" s="390"/>
      <c r="I138" s="390"/>
      <c r="L138" s="390"/>
    </row>
    <row r="139" spans="1:12" x14ac:dyDescent="0.2">
      <c r="B139" s="32" t="s">
        <v>76</v>
      </c>
      <c r="D139" s="382"/>
      <c r="E139" s="32" t="s">
        <v>10</v>
      </c>
      <c r="F139" s="396">
        <f>'JKP-3.1c - Norm Rev Rates GTI10'!R150</f>
        <v>2926606</v>
      </c>
      <c r="G139" s="390"/>
      <c r="H139" s="390"/>
      <c r="I139" s="390"/>
      <c r="L139" s="390"/>
    </row>
    <row r="140" spans="1:12" s="336" customFormat="1" x14ac:dyDescent="0.2">
      <c r="B140" s="336" t="s">
        <v>74</v>
      </c>
      <c r="D140" s="382"/>
      <c r="E140" s="336" t="s">
        <v>1076</v>
      </c>
      <c r="F140" s="421">
        <f>'JKP-3.1c - Norm Rev Rates GTI10'!R151</f>
        <v>174384</v>
      </c>
      <c r="G140" s="415"/>
      <c r="H140" s="506"/>
      <c r="I140" s="415"/>
      <c r="J140" s="415"/>
      <c r="K140" s="415"/>
      <c r="L140" s="415"/>
    </row>
    <row r="141" spans="1:12" x14ac:dyDescent="0.2">
      <c r="F141" s="279"/>
      <c r="G141" s="390"/>
      <c r="H141" s="390"/>
      <c r="I141" s="390"/>
      <c r="L141" s="390"/>
    </row>
    <row r="142" spans="1:12" x14ac:dyDescent="0.2">
      <c r="B142" s="276" t="s">
        <v>985</v>
      </c>
      <c r="G142" s="390"/>
      <c r="H142" s="390"/>
      <c r="I142" s="390"/>
      <c r="L142" s="390"/>
    </row>
    <row r="143" spans="1:12" x14ac:dyDescent="0.2">
      <c r="A143" s="32" t="s">
        <v>1054</v>
      </c>
      <c r="B143" s="32" t="s">
        <v>1059</v>
      </c>
      <c r="D143" s="444" t="s">
        <v>808</v>
      </c>
      <c r="F143" s="714">
        <f>'JKP-3.1c - Norm Rev Rates GTI10'!R155</f>
        <v>154976.71</v>
      </c>
      <c r="G143" s="390"/>
      <c r="H143" s="390"/>
      <c r="I143" s="390"/>
      <c r="L143" s="390"/>
    </row>
    <row r="144" spans="1:12" x14ac:dyDescent="0.2">
      <c r="A144" s="32" t="s">
        <v>1054</v>
      </c>
      <c r="B144" s="32" t="s">
        <v>1047</v>
      </c>
      <c r="F144" s="715">
        <f>'JKP-3.1c - Norm Rev Rates GTI10'!R160</f>
        <v>336159.52402000001</v>
      </c>
      <c r="G144" s="390"/>
      <c r="H144" s="390"/>
      <c r="I144" s="390"/>
      <c r="L144" s="390"/>
    </row>
    <row r="145" spans="1:12" x14ac:dyDescent="0.2">
      <c r="A145" s="32" t="s">
        <v>1056</v>
      </c>
      <c r="B145" s="32" t="s">
        <v>1081</v>
      </c>
      <c r="D145" s="444" t="s">
        <v>808</v>
      </c>
      <c r="F145" s="447">
        <f>'JKP-3.1c - Norm Rev Rates GTI10'!R161</f>
        <v>2048.6241999999997</v>
      </c>
      <c r="G145" s="390"/>
      <c r="H145" s="390"/>
      <c r="I145" s="390"/>
      <c r="L145" s="390"/>
    </row>
    <row r="146" spans="1:12" x14ac:dyDescent="0.2">
      <c r="A146" s="32" t="s">
        <v>1054</v>
      </c>
      <c r="B146" s="32" t="s">
        <v>1082</v>
      </c>
      <c r="F146" s="447">
        <f>'JKP-3.1c - Norm Rev Rates GTI10'!R162</f>
        <v>-15218.351199999999</v>
      </c>
      <c r="G146" s="390"/>
      <c r="H146" s="390"/>
      <c r="I146" s="390"/>
      <c r="L146" s="390"/>
    </row>
    <row r="147" spans="1:12" x14ac:dyDescent="0.2">
      <c r="A147" s="32" t="s">
        <v>1054</v>
      </c>
      <c r="B147" s="32" t="s">
        <v>1069</v>
      </c>
      <c r="D147" s="444" t="s">
        <v>808</v>
      </c>
      <c r="F147" s="714">
        <f>'JKP-3.1c - Norm Rev Rates GTI10'!R163</f>
        <v>198797.76</v>
      </c>
      <c r="G147" s="390"/>
      <c r="H147" s="390"/>
      <c r="I147" s="390"/>
      <c r="L147" s="390"/>
    </row>
    <row r="148" spans="1:12" s="336" customFormat="1" x14ac:dyDescent="0.2">
      <c r="A148" s="336" t="s">
        <v>1054</v>
      </c>
      <c r="B148" s="336" t="s">
        <v>1071</v>
      </c>
      <c r="D148" s="444" t="s">
        <v>808</v>
      </c>
      <c r="F148" s="447">
        <f>'JKP-3.1c - Norm Rev Rates GTI10'!R164</f>
        <v>46379.209999999992</v>
      </c>
      <c r="G148" s="415"/>
      <c r="H148" s="415"/>
      <c r="I148" s="415"/>
      <c r="J148" s="415"/>
      <c r="K148" s="415"/>
      <c r="L148" s="415"/>
    </row>
    <row r="149" spans="1:12" x14ac:dyDescent="0.2">
      <c r="B149" s="32" t="s">
        <v>986</v>
      </c>
      <c r="F149" s="365">
        <f>SUM(F143:F148)</f>
        <v>723143.47701999999</v>
      </c>
      <c r="G149" s="390"/>
      <c r="H149" s="390"/>
      <c r="I149" s="390"/>
      <c r="L149" s="390"/>
    </row>
    <row r="150" spans="1:12" s="336" customFormat="1" x14ac:dyDescent="0.2">
      <c r="F150" s="418"/>
      <c r="G150" s="415"/>
      <c r="H150" s="415"/>
      <c r="I150" s="415"/>
      <c r="J150" s="415"/>
      <c r="K150" s="415"/>
      <c r="L150" s="415"/>
    </row>
    <row r="151" spans="1:12" s="336" customFormat="1" x14ac:dyDescent="0.2">
      <c r="A151" s="336" t="s">
        <v>1058</v>
      </c>
      <c r="B151" s="336" t="s">
        <v>1050</v>
      </c>
      <c r="F151" s="418">
        <f>F145</f>
        <v>2048.6241999999997</v>
      </c>
      <c r="G151" s="415"/>
      <c r="H151" s="415"/>
      <c r="I151" s="415"/>
      <c r="J151" s="415"/>
      <c r="K151" s="415"/>
      <c r="L151" s="415"/>
    </row>
    <row r="152" spans="1:12" s="336" customFormat="1" x14ac:dyDescent="0.2">
      <c r="F152" s="418"/>
      <c r="G152" s="415"/>
      <c r="H152" s="415"/>
      <c r="I152" s="415"/>
      <c r="J152" s="415"/>
      <c r="K152" s="415"/>
      <c r="L152" s="415"/>
    </row>
    <row r="153" spans="1:12" s="336" customFormat="1" x14ac:dyDescent="0.2">
      <c r="F153" s="418"/>
      <c r="G153" s="415"/>
      <c r="H153" s="415"/>
      <c r="I153" s="415"/>
      <c r="J153" s="415"/>
      <c r="K153" s="415"/>
      <c r="L153" s="415"/>
    </row>
    <row r="154" spans="1:12" x14ac:dyDescent="0.2">
      <c r="B154" s="276" t="s">
        <v>1094</v>
      </c>
      <c r="G154" s="390"/>
      <c r="H154" s="390"/>
      <c r="I154" s="32"/>
      <c r="J154" s="32"/>
      <c r="K154" s="32"/>
    </row>
    <row r="155" spans="1:12" x14ac:dyDescent="0.2">
      <c r="B155" s="276" t="s">
        <v>985</v>
      </c>
      <c r="G155" s="390"/>
      <c r="H155" s="390"/>
      <c r="I155" s="32"/>
      <c r="J155" s="32"/>
      <c r="K155" s="32"/>
    </row>
    <row r="156" spans="1:12" x14ac:dyDescent="0.2">
      <c r="A156" s="32" t="s">
        <v>1054</v>
      </c>
      <c r="B156" s="32" t="s">
        <v>1063</v>
      </c>
      <c r="F156" s="714">
        <f>'JKP-3.1c - Norm Rev Rates GTI10'!R256</f>
        <v>109342.80000000002</v>
      </c>
      <c r="G156" s="390"/>
      <c r="H156" s="390"/>
      <c r="I156" s="32"/>
      <c r="J156" s="32"/>
      <c r="K156" s="32"/>
    </row>
    <row r="157" spans="1:12" x14ac:dyDescent="0.2">
      <c r="F157" s="714"/>
      <c r="G157" s="390"/>
      <c r="H157" s="390"/>
      <c r="I157" s="32"/>
      <c r="J157" s="32"/>
      <c r="K157" s="32"/>
    </row>
    <row r="158" spans="1:12" x14ac:dyDescent="0.2">
      <c r="F158" s="714"/>
      <c r="G158" s="390"/>
      <c r="H158" s="390"/>
      <c r="I158" s="32"/>
      <c r="J158" s="32"/>
      <c r="K158" s="32"/>
    </row>
    <row r="159" spans="1:12" s="336" customFormat="1" x14ac:dyDescent="0.2">
      <c r="B159" s="182" t="s">
        <v>1095</v>
      </c>
      <c r="C159" s="182"/>
      <c r="G159" s="415"/>
      <c r="H159" s="415"/>
    </row>
    <row r="160" spans="1:12" x14ac:dyDescent="0.2">
      <c r="B160" s="276" t="s">
        <v>5</v>
      </c>
      <c r="C160" s="276"/>
      <c r="G160" s="390"/>
      <c r="H160" s="390"/>
      <c r="I160" s="32"/>
      <c r="J160" s="32"/>
      <c r="K160" s="32"/>
    </row>
    <row r="161" spans="1:11" x14ac:dyDescent="0.2">
      <c r="B161" s="32" t="s">
        <v>1067</v>
      </c>
      <c r="D161" s="32">
        <v>101</v>
      </c>
      <c r="E161" s="32" t="s">
        <v>957</v>
      </c>
      <c r="F161" s="459">
        <f>$D$30</f>
        <v>0.66166999999999998</v>
      </c>
      <c r="G161" s="390"/>
      <c r="H161" s="390"/>
      <c r="I161" s="32"/>
      <c r="J161" s="32"/>
      <c r="K161" s="32"/>
    </row>
    <row r="162" spans="1:11" s="336" customFormat="1" x14ac:dyDescent="0.2">
      <c r="B162" s="336" t="s">
        <v>1070</v>
      </c>
      <c r="D162" s="336">
        <v>101</v>
      </c>
      <c r="E162" s="336" t="s">
        <v>957</v>
      </c>
      <c r="F162" s="460">
        <f>F112</f>
        <v>1.05</v>
      </c>
      <c r="G162" s="415"/>
      <c r="H162" s="415"/>
    </row>
    <row r="163" spans="1:11" s="336" customFormat="1" x14ac:dyDescent="0.2">
      <c r="B163" s="336" t="s">
        <v>1050</v>
      </c>
      <c r="E163" s="336" t="s">
        <v>957</v>
      </c>
      <c r="F163" s="459">
        <f>D18</f>
        <v>0.63265000000000005</v>
      </c>
      <c r="G163" s="415"/>
      <c r="H163" s="415"/>
    </row>
    <row r="164" spans="1:11" s="336" customFormat="1" x14ac:dyDescent="0.2">
      <c r="B164" s="336" t="s">
        <v>1072</v>
      </c>
      <c r="E164" s="336" t="s">
        <v>957</v>
      </c>
      <c r="F164" s="716">
        <f>E18</f>
        <v>1</v>
      </c>
      <c r="G164" s="415"/>
      <c r="H164" s="415"/>
    </row>
    <row r="165" spans="1:11" s="336" customFormat="1" x14ac:dyDescent="0.2">
      <c r="G165" s="415"/>
      <c r="H165" s="415"/>
    </row>
    <row r="166" spans="1:11" s="336" customFormat="1" x14ac:dyDescent="0.2">
      <c r="B166" s="182" t="s">
        <v>982</v>
      </c>
      <c r="G166" s="415"/>
      <c r="H166" s="415"/>
    </row>
    <row r="167" spans="1:11" s="336" customFormat="1" x14ac:dyDescent="0.2">
      <c r="B167" s="336" t="s">
        <v>67</v>
      </c>
      <c r="E167" s="336" t="s">
        <v>67</v>
      </c>
      <c r="F167" s="421">
        <f>'JKP-3.1c - Norm Rev Rates GTI10'!R276</f>
        <v>321</v>
      </c>
      <c r="G167" s="415"/>
      <c r="H167" s="415"/>
    </row>
    <row r="168" spans="1:11" s="336" customFormat="1" x14ac:dyDescent="0.2">
      <c r="B168" s="336" t="s">
        <v>76</v>
      </c>
      <c r="E168" s="336" t="s">
        <v>10</v>
      </c>
      <c r="F168" s="478">
        <f>'JKP-3.1c - Norm Rev Rates GTI10'!R281</f>
        <v>14422716</v>
      </c>
      <c r="G168" s="415"/>
      <c r="H168" s="415"/>
    </row>
    <row r="169" spans="1:11" s="336" customFormat="1" x14ac:dyDescent="0.2">
      <c r="B169" s="336" t="s">
        <v>74</v>
      </c>
      <c r="E169" s="336" t="s">
        <v>1076</v>
      </c>
      <c r="F169" s="421">
        <f>'JKP-3.1c - Norm Rev Rates GTI10'!R282</f>
        <v>91184</v>
      </c>
      <c r="G169" s="415"/>
      <c r="H169" s="415"/>
    </row>
    <row r="170" spans="1:11" s="336" customFormat="1" x14ac:dyDescent="0.2">
      <c r="F170" s="179"/>
      <c r="G170" s="415"/>
      <c r="H170" s="415"/>
    </row>
    <row r="171" spans="1:11" s="336" customFormat="1" x14ac:dyDescent="0.2">
      <c r="B171" s="182" t="s">
        <v>985</v>
      </c>
      <c r="F171" s="179"/>
      <c r="G171" s="415"/>
      <c r="H171" s="415"/>
    </row>
    <row r="172" spans="1:11" s="336" customFormat="1" x14ac:dyDescent="0.2">
      <c r="A172" s="336" t="s">
        <v>1054</v>
      </c>
      <c r="B172" s="336" t="s">
        <v>1059</v>
      </c>
      <c r="D172" s="336">
        <v>85</v>
      </c>
      <c r="F172" s="447">
        <f>'JKP-3.1c - Norm Rev Rates GTI10'!R286</f>
        <v>179336.27999999994</v>
      </c>
      <c r="G172" s="415"/>
      <c r="H172" s="415"/>
    </row>
    <row r="173" spans="1:11" x14ac:dyDescent="0.2">
      <c r="A173" s="32" t="s">
        <v>1054</v>
      </c>
      <c r="B173" s="336" t="s">
        <v>1047</v>
      </c>
      <c r="F173" s="715">
        <f>'JKP-3.1c - Norm Rev Rates GTI10'!R291</f>
        <v>1115076.3535200001</v>
      </c>
      <c r="G173" s="390"/>
      <c r="H173" s="390"/>
      <c r="I173" s="32"/>
      <c r="J173" s="32"/>
      <c r="K173" s="32"/>
    </row>
    <row r="174" spans="1:11" x14ac:dyDescent="0.2">
      <c r="A174" s="32" t="s">
        <v>1056</v>
      </c>
      <c r="B174" s="32" t="s">
        <v>1057</v>
      </c>
      <c r="D174" s="32">
        <v>101</v>
      </c>
      <c r="F174" s="364">
        <f>F161*F168</f>
        <v>9543078.4957199991</v>
      </c>
      <c r="G174" s="390"/>
      <c r="H174" s="390"/>
      <c r="I174" s="32"/>
      <c r="J174" s="32"/>
      <c r="K174" s="32"/>
    </row>
    <row r="175" spans="1:11" x14ac:dyDescent="0.2">
      <c r="A175" s="32" t="s">
        <v>1054</v>
      </c>
      <c r="B175" s="32" t="s">
        <v>1096</v>
      </c>
      <c r="D175" s="444">
        <v>85</v>
      </c>
      <c r="F175" s="717">
        <f>'JKP-3.1c - Norm Rev Rates GTI10'!R293</f>
        <v>97497.560159999994</v>
      </c>
      <c r="G175" s="390"/>
      <c r="H175" s="390"/>
      <c r="I175" s="32"/>
      <c r="J175" s="32"/>
      <c r="K175" s="32"/>
    </row>
    <row r="176" spans="1:11" x14ac:dyDescent="0.2">
      <c r="B176" s="32" t="s">
        <v>1068</v>
      </c>
      <c r="F176" s="364"/>
      <c r="G176" s="390"/>
      <c r="H176" s="390"/>
      <c r="I176" s="32"/>
      <c r="J176" s="32"/>
      <c r="K176" s="32"/>
    </row>
    <row r="177" spans="1:12" x14ac:dyDescent="0.2">
      <c r="A177" s="32" t="s">
        <v>1054</v>
      </c>
      <c r="C177" s="32" t="s">
        <v>1069</v>
      </c>
      <c r="D177" s="32">
        <v>85</v>
      </c>
      <c r="F177" s="714">
        <f>'JKP-3.1c - Norm Rev Rates GTI10'!R295</f>
        <v>103949.75999999999</v>
      </c>
      <c r="G177" s="390"/>
      <c r="H177" s="390"/>
      <c r="I177" s="32"/>
      <c r="J177" s="32"/>
      <c r="K177" s="32"/>
    </row>
    <row r="178" spans="1:12" x14ac:dyDescent="0.2">
      <c r="A178" s="32" t="s">
        <v>1056</v>
      </c>
      <c r="C178" s="32" t="s">
        <v>1070</v>
      </c>
      <c r="D178" s="32">
        <v>101</v>
      </c>
      <c r="F178" s="364">
        <f>F162*F169</f>
        <v>95743.2</v>
      </c>
      <c r="G178" s="390"/>
      <c r="H178" s="390"/>
      <c r="I178" s="32"/>
      <c r="J178" s="32"/>
      <c r="K178" s="32"/>
    </row>
    <row r="179" spans="1:12" x14ac:dyDescent="0.2">
      <c r="C179" s="32" t="s">
        <v>1078</v>
      </c>
      <c r="F179" s="365">
        <f>SUM(F177:F178)</f>
        <v>199692.96</v>
      </c>
      <c r="G179" s="390"/>
      <c r="H179" s="390"/>
      <c r="I179" s="32"/>
      <c r="J179" s="32"/>
      <c r="K179" s="32"/>
    </row>
    <row r="180" spans="1:12" s="336" customFormat="1" x14ac:dyDescent="0.2">
      <c r="A180" s="336" t="s">
        <v>1054</v>
      </c>
      <c r="B180" s="336" t="s">
        <v>1071</v>
      </c>
      <c r="D180" s="336">
        <v>85</v>
      </c>
      <c r="F180" s="447">
        <f>'JKP-3.1c - Norm Rev Rates GTI10'!R298</f>
        <v>16634.120000000003</v>
      </c>
      <c r="G180" s="415"/>
      <c r="H180" s="415"/>
    </row>
    <row r="181" spans="1:12" x14ac:dyDescent="0.2">
      <c r="B181" s="32" t="s">
        <v>1079</v>
      </c>
      <c r="F181" s="417">
        <f>F174+F178</f>
        <v>9638821.6957199983</v>
      </c>
      <c r="G181" s="390"/>
      <c r="H181" s="390"/>
      <c r="I181" s="32"/>
      <c r="J181" s="32"/>
      <c r="K181" s="32"/>
    </row>
    <row r="182" spans="1:12" x14ac:dyDescent="0.2">
      <c r="B182" s="32" t="s">
        <v>986</v>
      </c>
      <c r="F182" s="417">
        <f>F172+F173+F174+F175+F179+F180</f>
        <v>11151315.769399999</v>
      </c>
      <c r="G182" s="340"/>
      <c r="H182" s="390"/>
      <c r="I182" s="32"/>
      <c r="J182" s="32"/>
      <c r="K182" s="32"/>
    </row>
    <row r="183" spans="1:12" x14ac:dyDescent="0.2">
      <c r="F183" s="417"/>
      <c r="G183" s="340"/>
      <c r="H183" s="390"/>
      <c r="I183" s="32"/>
      <c r="J183" s="32"/>
      <c r="K183" s="32"/>
    </row>
    <row r="184" spans="1:12" x14ac:dyDescent="0.2">
      <c r="A184" s="32" t="s">
        <v>1058</v>
      </c>
      <c r="B184" s="32" t="s">
        <v>1050</v>
      </c>
      <c r="F184" s="417">
        <f>F163*F168+F169*F164</f>
        <v>9215715.2774</v>
      </c>
      <c r="G184" s="340"/>
      <c r="H184" s="390"/>
      <c r="I184" s="32"/>
      <c r="J184" s="32"/>
      <c r="K184" s="32"/>
    </row>
    <row r="185" spans="1:12" x14ac:dyDescent="0.2">
      <c r="F185" s="417"/>
      <c r="G185" s="340"/>
      <c r="H185" s="390"/>
      <c r="I185" s="32"/>
      <c r="J185" s="32"/>
      <c r="K185" s="32"/>
    </row>
    <row r="186" spans="1:12" x14ac:dyDescent="0.2">
      <c r="F186" s="341"/>
      <c r="G186" s="415"/>
      <c r="H186" s="390"/>
      <c r="I186" s="32"/>
      <c r="J186" s="32"/>
      <c r="K186" s="32"/>
    </row>
    <row r="187" spans="1:12" s="336" customFormat="1" x14ac:dyDescent="0.2">
      <c r="B187" s="182" t="s">
        <v>1085</v>
      </c>
      <c r="C187" s="182"/>
      <c r="G187" s="415"/>
      <c r="H187" s="415"/>
      <c r="I187" s="415"/>
      <c r="J187" s="415"/>
      <c r="K187" s="415"/>
      <c r="L187" s="415"/>
    </row>
    <row r="188" spans="1:12" s="336" customFormat="1" x14ac:dyDescent="0.2">
      <c r="B188" s="182" t="s">
        <v>982</v>
      </c>
      <c r="G188" s="415"/>
      <c r="H188" s="415"/>
      <c r="I188" s="415"/>
      <c r="J188" s="415"/>
      <c r="K188" s="415"/>
      <c r="L188" s="415"/>
    </row>
    <row r="189" spans="1:12" s="336" customFormat="1" x14ac:dyDescent="0.2">
      <c r="B189" s="336" t="s">
        <v>67</v>
      </c>
      <c r="D189" s="336" t="s">
        <v>119</v>
      </c>
      <c r="E189" s="336" t="s">
        <v>67</v>
      </c>
      <c r="F189" s="421">
        <f>'JKP-3.1c - Norm Rev Rates GTI10'!R181</f>
        <v>427</v>
      </c>
      <c r="G189" s="415"/>
      <c r="H189" s="415"/>
      <c r="I189" s="415"/>
      <c r="J189" s="415"/>
      <c r="K189" s="415"/>
      <c r="L189" s="415"/>
    </row>
    <row r="190" spans="1:12" s="336" customFormat="1" x14ac:dyDescent="0.2">
      <c r="B190" s="336" t="s">
        <v>76</v>
      </c>
      <c r="D190" s="336" t="s">
        <v>119</v>
      </c>
      <c r="E190" s="336" t="s">
        <v>10</v>
      </c>
      <c r="F190" s="478">
        <f>'JKP-3.1c - Norm Rev Rates GTI10'!R186</f>
        <v>22950127</v>
      </c>
      <c r="G190" s="415"/>
      <c r="H190" s="415"/>
      <c r="I190" s="415"/>
      <c r="J190" s="415"/>
      <c r="K190" s="415"/>
      <c r="L190" s="415"/>
    </row>
    <row r="191" spans="1:12" s="336" customFormat="1" x14ac:dyDescent="0.2">
      <c r="B191" s="336" t="s">
        <v>74</v>
      </c>
      <c r="D191" s="336" t="s">
        <v>119</v>
      </c>
      <c r="E191" s="336" t="s">
        <v>1076</v>
      </c>
      <c r="F191" s="421">
        <f>'JKP-3.1c - Norm Rev Rates GTI10'!R187</f>
        <v>253072</v>
      </c>
      <c r="G191" s="415"/>
      <c r="H191" s="506"/>
      <c r="I191" s="415"/>
      <c r="J191" s="415"/>
      <c r="K191" s="415"/>
      <c r="L191" s="415"/>
    </row>
    <row r="192" spans="1:12" s="336" customFormat="1" x14ac:dyDescent="0.2">
      <c r="G192" s="415"/>
      <c r="H192" s="415"/>
      <c r="I192" s="415"/>
      <c r="J192" s="415"/>
      <c r="K192" s="415"/>
      <c r="L192" s="415"/>
    </row>
    <row r="193" spans="1:12" s="336" customFormat="1" x14ac:dyDescent="0.2">
      <c r="B193" s="182" t="s">
        <v>985</v>
      </c>
      <c r="G193" s="415"/>
      <c r="H193" s="415"/>
      <c r="I193" s="415"/>
      <c r="J193" s="415"/>
      <c r="K193" s="415"/>
      <c r="L193" s="415"/>
    </row>
    <row r="194" spans="1:12" s="336" customFormat="1" x14ac:dyDescent="0.2">
      <c r="A194" s="336" t="s">
        <v>1054</v>
      </c>
      <c r="B194" s="336" t="s">
        <v>1059</v>
      </c>
      <c r="D194" s="382" t="s">
        <v>809</v>
      </c>
      <c r="F194" s="447">
        <f>'JKP-3.1c - Norm Rev Rates GTI10'!R191</f>
        <v>381682.49000000005</v>
      </c>
      <c r="G194" s="415"/>
      <c r="H194" s="415"/>
      <c r="I194" s="415"/>
      <c r="J194" s="415"/>
      <c r="K194" s="415"/>
      <c r="L194" s="415"/>
    </row>
    <row r="195" spans="1:12" x14ac:dyDescent="0.2">
      <c r="A195" s="32" t="s">
        <v>1054</v>
      </c>
      <c r="B195" s="336" t="s">
        <v>1047</v>
      </c>
      <c r="F195" s="715">
        <f>'JKP-3.1c - Norm Rev Rates GTI10'!R196</f>
        <v>1722156.0430799997</v>
      </c>
      <c r="G195" s="390"/>
      <c r="H195" s="390"/>
      <c r="I195" s="390"/>
      <c r="L195" s="390"/>
    </row>
    <row r="196" spans="1:12" x14ac:dyDescent="0.2">
      <c r="A196" s="32" t="s">
        <v>1056</v>
      </c>
      <c r="B196" s="32" t="s">
        <v>1081</v>
      </c>
      <c r="D196" s="382" t="s">
        <v>809</v>
      </c>
      <c r="F196" s="715">
        <f>'JKP-3.1c - Norm Rev Rates GTI10'!R197</f>
        <v>16065.088899999999</v>
      </c>
      <c r="G196" s="390"/>
      <c r="H196" s="390"/>
      <c r="I196" s="390"/>
      <c r="L196" s="390"/>
    </row>
    <row r="197" spans="1:12" x14ac:dyDescent="0.2">
      <c r="A197" s="32" t="s">
        <v>1054</v>
      </c>
      <c r="B197" s="32" t="s">
        <v>1069</v>
      </c>
      <c r="D197" s="382" t="s">
        <v>809</v>
      </c>
      <c r="F197" s="714">
        <f>'JKP-3.1c - Norm Rev Rates GTI10'!R198</f>
        <v>288502.07999999996</v>
      </c>
      <c r="G197" s="390"/>
      <c r="H197" s="390"/>
      <c r="I197" s="390"/>
      <c r="L197" s="390"/>
    </row>
    <row r="198" spans="1:12" s="336" customFormat="1" x14ac:dyDescent="0.2">
      <c r="A198" s="336" t="s">
        <v>1054</v>
      </c>
      <c r="B198" s="336" t="s">
        <v>1071</v>
      </c>
      <c r="D198" s="382" t="s">
        <v>809</v>
      </c>
      <c r="F198" s="447">
        <f>'JKP-3.1c - Norm Rev Rates GTI10'!R199</f>
        <v>10369.44</v>
      </c>
      <c r="G198" s="415"/>
      <c r="H198" s="415"/>
      <c r="I198" s="415"/>
      <c r="J198" s="415"/>
      <c r="K198" s="415"/>
      <c r="L198" s="415"/>
    </row>
    <row r="199" spans="1:12" x14ac:dyDescent="0.2">
      <c r="B199" s="32" t="s">
        <v>986</v>
      </c>
      <c r="F199" s="365">
        <f>SUM(F194:F198)</f>
        <v>2418775.1419799998</v>
      </c>
      <c r="G199" s="390"/>
      <c r="H199" s="390"/>
      <c r="I199" s="390"/>
      <c r="L199" s="390"/>
    </row>
    <row r="200" spans="1:12" s="336" customFormat="1" x14ac:dyDescent="0.2">
      <c r="F200" s="418"/>
      <c r="G200" s="415"/>
      <c r="H200" s="415"/>
      <c r="I200" s="415"/>
      <c r="J200" s="415"/>
      <c r="K200" s="415"/>
      <c r="L200" s="415"/>
    </row>
    <row r="201" spans="1:12" s="336" customFormat="1" x14ac:dyDescent="0.2">
      <c r="A201" s="336" t="s">
        <v>1058</v>
      </c>
      <c r="B201" s="336" t="s">
        <v>1050</v>
      </c>
      <c r="F201" s="418">
        <f>F196</f>
        <v>16065.088899999999</v>
      </c>
      <c r="G201" s="415"/>
      <c r="H201" s="415"/>
      <c r="I201" s="415"/>
      <c r="J201" s="415"/>
      <c r="K201" s="415"/>
      <c r="L201" s="415"/>
    </row>
    <row r="202" spans="1:12" s="336" customFormat="1" x14ac:dyDescent="0.2">
      <c r="F202" s="418"/>
      <c r="G202" s="415"/>
      <c r="H202" s="415"/>
      <c r="I202" s="415"/>
      <c r="J202" s="415"/>
      <c r="K202" s="415"/>
      <c r="L202" s="415"/>
    </row>
    <row r="203" spans="1:12" s="336" customFormat="1" x14ac:dyDescent="0.2">
      <c r="F203" s="418"/>
      <c r="G203" s="415"/>
      <c r="H203" s="415"/>
      <c r="I203" s="415"/>
      <c r="J203" s="415"/>
      <c r="K203" s="415"/>
      <c r="L203" s="415"/>
    </row>
    <row r="204" spans="1:12" s="336" customFormat="1" x14ac:dyDescent="0.2">
      <c r="B204" s="182" t="s">
        <v>1097</v>
      </c>
      <c r="C204" s="182"/>
      <c r="G204" s="415"/>
      <c r="H204" s="415"/>
    </row>
    <row r="205" spans="1:12" x14ac:dyDescent="0.2">
      <c r="B205" s="276" t="s">
        <v>5</v>
      </c>
      <c r="C205" s="276"/>
      <c r="G205" s="390"/>
      <c r="H205" s="390"/>
      <c r="I205" s="32"/>
      <c r="J205" s="32"/>
      <c r="K205" s="32"/>
    </row>
    <row r="206" spans="1:12" x14ac:dyDescent="0.2">
      <c r="B206" s="32" t="s">
        <v>1067</v>
      </c>
      <c r="D206" s="32">
        <v>101</v>
      </c>
      <c r="E206" s="32" t="s">
        <v>957</v>
      </c>
      <c r="F206" s="453">
        <f>$D$31</f>
        <v>0.66600000000000004</v>
      </c>
      <c r="G206" s="390"/>
      <c r="H206" s="390"/>
      <c r="I206" s="32"/>
      <c r="J206" s="32"/>
      <c r="K206" s="32"/>
    </row>
    <row r="207" spans="1:12" s="336" customFormat="1" x14ac:dyDescent="0.2">
      <c r="A207" s="32"/>
      <c r="B207" s="336" t="s">
        <v>1070</v>
      </c>
      <c r="D207" s="336">
        <v>101</v>
      </c>
      <c r="E207" s="336" t="s">
        <v>957</v>
      </c>
      <c r="F207" s="460">
        <f>F162</f>
        <v>1.05</v>
      </c>
      <c r="G207" s="415"/>
      <c r="H207" s="415"/>
    </row>
    <row r="208" spans="1:12" s="336" customFormat="1" x14ac:dyDescent="0.2">
      <c r="A208" s="32"/>
      <c r="B208" s="336" t="s">
        <v>1050</v>
      </c>
      <c r="E208" s="336" t="s">
        <v>957</v>
      </c>
      <c r="F208" s="453">
        <f>D19</f>
        <v>0.63678999999999997</v>
      </c>
      <c r="G208" s="415"/>
      <c r="H208" s="415"/>
    </row>
    <row r="209" spans="1:11" s="336" customFormat="1" x14ac:dyDescent="0.2">
      <c r="A209" s="32"/>
      <c r="B209" s="336" t="s">
        <v>1072</v>
      </c>
      <c r="E209" s="336" t="s">
        <v>957</v>
      </c>
      <c r="F209" s="517">
        <f>E19</f>
        <v>1</v>
      </c>
      <c r="G209" s="415"/>
      <c r="H209" s="415"/>
    </row>
    <row r="210" spans="1:11" s="336" customFormat="1" x14ac:dyDescent="0.2">
      <c r="G210" s="415"/>
      <c r="H210" s="415"/>
    </row>
    <row r="211" spans="1:11" s="336" customFormat="1" x14ac:dyDescent="0.2">
      <c r="B211" s="182" t="s">
        <v>982</v>
      </c>
      <c r="G211" s="415"/>
      <c r="H211" s="415"/>
    </row>
    <row r="212" spans="1:11" s="336" customFormat="1" x14ac:dyDescent="0.2">
      <c r="B212" s="336" t="s">
        <v>67</v>
      </c>
      <c r="E212" s="336" t="s">
        <v>67</v>
      </c>
      <c r="F212" s="421">
        <f>'JKP-3.1c - Norm Rev Rates GTI10'!R320</f>
        <v>3905</v>
      </c>
      <c r="G212" s="415"/>
      <c r="H212" s="415"/>
    </row>
    <row r="213" spans="1:11" s="336" customFormat="1" x14ac:dyDescent="0.2">
      <c r="B213" s="336" t="s">
        <v>76</v>
      </c>
      <c r="E213" s="336" t="s">
        <v>10</v>
      </c>
      <c r="F213" s="478">
        <f>'JKP-3.1c - Norm Rev Rates GTI10'!R324</f>
        <v>13057246</v>
      </c>
      <c r="G213" s="415"/>
      <c r="H213" s="415"/>
    </row>
    <row r="214" spans="1:11" s="336" customFormat="1" x14ac:dyDescent="0.2">
      <c r="B214" s="336" t="s">
        <v>74</v>
      </c>
      <c r="E214" s="336" t="s">
        <v>1076</v>
      </c>
      <c r="F214" s="421">
        <f>'JKP-3.1c - Norm Rev Rates GTI10'!R325</f>
        <v>107681</v>
      </c>
      <c r="G214" s="415"/>
      <c r="H214" s="415"/>
    </row>
    <row r="215" spans="1:11" s="336" customFormat="1" x14ac:dyDescent="0.2">
      <c r="F215" s="179"/>
      <c r="G215" s="415"/>
      <c r="H215" s="415"/>
    </row>
    <row r="216" spans="1:11" s="336" customFormat="1" x14ac:dyDescent="0.2">
      <c r="B216" s="182" t="s">
        <v>985</v>
      </c>
      <c r="F216" s="179"/>
      <c r="G216" s="415"/>
      <c r="H216" s="415"/>
    </row>
    <row r="217" spans="1:11" s="336" customFormat="1" x14ac:dyDescent="0.2">
      <c r="A217" s="336" t="s">
        <v>1054</v>
      </c>
      <c r="B217" s="336" t="s">
        <v>1059</v>
      </c>
      <c r="D217" s="336">
        <v>86</v>
      </c>
      <c r="F217" s="447">
        <f>'JKP-3.1c - Norm Rev Rates GTI10'!R329</f>
        <v>557594.94999999995</v>
      </c>
      <c r="G217" s="415"/>
      <c r="H217" s="415"/>
    </row>
    <row r="218" spans="1:11" x14ac:dyDescent="0.2">
      <c r="A218" s="32" t="s">
        <v>1054</v>
      </c>
      <c r="B218" s="32" t="s">
        <v>1047</v>
      </c>
      <c r="F218" s="715">
        <f>'JKP-3.1c - Norm Rev Rates GTI10'!R333</f>
        <v>2081248.2383099999</v>
      </c>
      <c r="G218" s="390"/>
      <c r="H218" s="390"/>
      <c r="I218" s="32"/>
      <c r="J218" s="32"/>
      <c r="K218" s="32"/>
    </row>
    <row r="219" spans="1:11" x14ac:dyDescent="0.2">
      <c r="A219" s="336" t="s">
        <v>1056</v>
      </c>
      <c r="B219" s="32" t="s">
        <v>1057</v>
      </c>
      <c r="D219" s="32">
        <v>101</v>
      </c>
      <c r="F219" s="417">
        <f>F206*F213</f>
        <v>8696125.8360000011</v>
      </c>
      <c r="G219" s="390"/>
      <c r="H219" s="390"/>
      <c r="I219" s="32"/>
      <c r="J219" s="32"/>
      <c r="K219" s="32"/>
    </row>
    <row r="220" spans="1:11" x14ac:dyDescent="0.2">
      <c r="A220" s="32" t="s">
        <v>1054</v>
      </c>
      <c r="B220" s="32" t="s">
        <v>1096</v>
      </c>
      <c r="D220" s="444"/>
      <c r="F220" s="715">
        <f>'JKP-3.1c - Norm Rev Rates GTI10'!R335</f>
        <v>88136.410499999998</v>
      </c>
      <c r="G220" s="390"/>
      <c r="H220" s="390"/>
      <c r="I220" s="32"/>
      <c r="J220" s="32"/>
      <c r="K220" s="32"/>
    </row>
    <row r="221" spans="1:11" x14ac:dyDescent="0.2">
      <c r="B221" s="32" t="s">
        <v>1068</v>
      </c>
      <c r="F221" s="364"/>
      <c r="G221" s="390"/>
      <c r="H221" s="390"/>
      <c r="I221" s="32"/>
      <c r="J221" s="32"/>
      <c r="K221" s="32"/>
    </row>
    <row r="222" spans="1:11" x14ac:dyDescent="0.2">
      <c r="A222" s="32" t="s">
        <v>1054</v>
      </c>
      <c r="C222" s="32" t="s">
        <v>1069</v>
      </c>
      <c r="D222" s="32">
        <v>86</v>
      </c>
      <c r="F222" s="714">
        <f>'JKP-3.1c - Norm Rev Rates GTI10'!R337</f>
        <v>122756.34</v>
      </c>
      <c r="G222" s="390"/>
      <c r="H222" s="390"/>
      <c r="I222" s="32"/>
      <c r="J222" s="32"/>
      <c r="K222" s="32"/>
    </row>
    <row r="223" spans="1:11" s="336" customFormat="1" x14ac:dyDescent="0.2">
      <c r="A223" s="336" t="s">
        <v>1056</v>
      </c>
      <c r="C223" s="336" t="s">
        <v>1070</v>
      </c>
      <c r="D223" s="336">
        <v>101</v>
      </c>
      <c r="F223" s="418">
        <f>F207*F214</f>
        <v>113065.05</v>
      </c>
      <c r="G223" s="415"/>
      <c r="H223" s="415"/>
    </row>
    <row r="224" spans="1:11" s="336" customFormat="1" x14ac:dyDescent="0.2">
      <c r="C224" s="336" t="s">
        <v>1078</v>
      </c>
      <c r="F224" s="339">
        <f>SUM(F222:F223)</f>
        <v>235821.39</v>
      </c>
      <c r="G224" s="415"/>
      <c r="H224" s="415"/>
    </row>
    <row r="225" spans="1:11" s="336" customFormat="1" x14ac:dyDescent="0.2">
      <c r="A225" s="336" t="s">
        <v>1054</v>
      </c>
      <c r="B225" s="336" t="s">
        <v>1071</v>
      </c>
      <c r="D225" s="336">
        <v>86</v>
      </c>
      <c r="F225" s="447">
        <f>'JKP-3.1c - Norm Rev Rates GTI10'!R340</f>
        <v>26977.56</v>
      </c>
      <c r="G225" s="415"/>
      <c r="H225" s="415"/>
    </row>
    <row r="226" spans="1:11" s="336" customFormat="1" x14ac:dyDescent="0.2">
      <c r="B226" s="336" t="s">
        <v>1079</v>
      </c>
      <c r="F226" s="339">
        <f>F219+F223</f>
        <v>8809190.8860000018</v>
      </c>
      <c r="G226" s="415"/>
      <c r="H226" s="415"/>
    </row>
    <row r="227" spans="1:11" s="336" customFormat="1" x14ac:dyDescent="0.2">
      <c r="B227" s="336" t="s">
        <v>986</v>
      </c>
      <c r="F227" s="339">
        <f>F217+F218+F219+F220+F224+F225</f>
        <v>11685904.384810001</v>
      </c>
      <c r="G227" s="340"/>
      <c r="H227" s="415"/>
    </row>
    <row r="228" spans="1:11" s="336" customFormat="1" x14ac:dyDescent="0.2">
      <c r="F228" s="437"/>
      <c r="G228" s="415"/>
      <c r="H228" s="415"/>
    </row>
    <row r="229" spans="1:11" s="336" customFormat="1" x14ac:dyDescent="0.2">
      <c r="A229" s="336" t="s">
        <v>1058</v>
      </c>
      <c r="B229" s="336" t="s">
        <v>1050</v>
      </c>
      <c r="F229" s="437">
        <f>F208*F213+F214*F209</f>
        <v>8422404.6803399995</v>
      </c>
      <c r="G229" s="415"/>
      <c r="H229" s="415"/>
    </row>
    <row r="230" spans="1:11" s="336" customFormat="1" x14ac:dyDescent="0.2">
      <c r="F230" s="437"/>
      <c r="G230" s="415"/>
      <c r="H230" s="415"/>
    </row>
    <row r="231" spans="1:11" s="336" customFormat="1" x14ac:dyDescent="0.2">
      <c r="F231" s="437"/>
      <c r="G231" s="415"/>
      <c r="H231" s="415"/>
    </row>
    <row r="232" spans="1:11" s="336" customFormat="1" x14ac:dyDescent="0.2">
      <c r="B232" s="182" t="s">
        <v>1100</v>
      </c>
      <c r="C232" s="182"/>
      <c r="G232" s="415"/>
      <c r="H232" s="415"/>
    </row>
    <row r="233" spans="1:11" s="336" customFormat="1" x14ac:dyDescent="0.2">
      <c r="B233" s="182" t="s">
        <v>5</v>
      </c>
      <c r="C233" s="182"/>
      <c r="G233" s="415"/>
      <c r="H233" s="415"/>
    </row>
    <row r="234" spans="1:11" s="336" customFormat="1" x14ac:dyDescent="0.2">
      <c r="B234" s="336" t="s">
        <v>1067</v>
      </c>
      <c r="D234" s="336">
        <v>101</v>
      </c>
      <c r="E234" s="336" t="s">
        <v>957</v>
      </c>
      <c r="F234" s="459">
        <f>$D$32</f>
        <v>0.65993999999999997</v>
      </c>
      <c r="G234" s="415"/>
      <c r="H234" s="415"/>
    </row>
    <row r="235" spans="1:11" s="336" customFormat="1" x14ac:dyDescent="0.2">
      <c r="B235" s="336" t="s">
        <v>1070</v>
      </c>
      <c r="D235" s="336">
        <v>101</v>
      </c>
      <c r="E235" s="336" t="s">
        <v>957</v>
      </c>
      <c r="F235" s="460">
        <f>F162</f>
        <v>1.05</v>
      </c>
      <c r="G235" s="415"/>
      <c r="H235" s="415"/>
    </row>
    <row r="236" spans="1:11" s="336" customFormat="1" x14ac:dyDescent="0.2">
      <c r="B236" s="336" t="s">
        <v>1050</v>
      </c>
      <c r="E236" s="336" t="s">
        <v>957</v>
      </c>
      <c r="F236" s="459">
        <f>D20</f>
        <v>0.63099000000000005</v>
      </c>
      <c r="G236" s="415"/>
      <c r="H236" s="415"/>
    </row>
    <row r="237" spans="1:11" s="336" customFormat="1" x14ac:dyDescent="0.2">
      <c r="B237" s="336" t="s">
        <v>1072</v>
      </c>
      <c r="E237" s="336" t="s">
        <v>957</v>
      </c>
      <c r="F237" s="716">
        <f>E20</f>
        <v>1</v>
      </c>
      <c r="G237" s="415"/>
      <c r="H237" s="415"/>
    </row>
    <row r="238" spans="1:11" s="336" customFormat="1" x14ac:dyDescent="0.2">
      <c r="G238" s="415"/>
      <c r="H238" s="415"/>
    </row>
    <row r="239" spans="1:11" x14ac:dyDescent="0.2">
      <c r="B239" s="276" t="s">
        <v>982</v>
      </c>
      <c r="G239" s="390"/>
      <c r="H239" s="390"/>
      <c r="I239" s="32"/>
      <c r="J239" s="32"/>
      <c r="K239" s="32"/>
    </row>
    <row r="240" spans="1:11" x14ac:dyDescent="0.2">
      <c r="B240" s="32" t="s">
        <v>67</v>
      </c>
      <c r="E240" s="32" t="s">
        <v>67</v>
      </c>
      <c r="F240" s="397">
        <f>'JKP-3.1c - Norm Rev Rates GTI10'!R366</f>
        <v>96</v>
      </c>
      <c r="G240" s="390"/>
      <c r="H240" s="390"/>
      <c r="I240" s="32"/>
      <c r="J240" s="32"/>
      <c r="K240" s="32"/>
    </row>
    <row r="241" spans="1:11" s="336" customFormat="1" x14ac:dyDescent="0.2">
      <c r="B241" s="336" t="s">
        <v>76</v>
      </c>
      <c r="E241" s="336" t="s">
        <v>10</v>
      </c>
      <c r="F241" s="478">
        <f>'JKP-3.1c - Norm Rev Rates GTI10'!R374</f>
        <v>28246617</v>
      </c>
      <c r="G241" s="415"/>
      <c r="H241" s="415"/>
    </row>
    <row r="242" spans="1:11" s="336" customFormat="1" x14ac:dyDescent="0.2">
      <c r="B242" s="336" t="s">
        <v>74</v>
      </c>
      <c r="E242" s="336" t="s">
        <v>1076</v>
      </c>
      <c r="F242" s="421">
        <f>'JKP-3.1c - Norm Rev Rates GTI10'!R375</f>
        <v>6384</v>
      </c>
      <c r="G242" s="415"/>
      <c r="H242" s="415"/>
    </row>
    <row r="243" spans="1:11" s="336" customFormat="1" x14ac:dyDescent="0.2">
      <c r="F243" s="179"/>
      <c r="G243" s="415"/>
      <c r="H243" s="415"/>
    </row>
    <row r="244" spans="1:11" s="336" customFormat="1" x14ac:dyDescent="0.2">
      <c r="B244" s="182" t="s">
        <v>985</v>
      </c>
      <c r="F244" s="179"/>
      <c r="G244" s="415"/>
      <c r="H244" s="415"/>
    </row>
    <row r="245" spans="1:11" s="336" customFormat="1" x14ac:dyDescent="0.2">
      <c r="A245" s="336" t="s">
        <v>1054</v>
      </c>
      <c r="B245" s="336" t="s">
        <v>1059</v>
      </c>
      <c r="D245" s="336">
        <v>87</v>
      </c>
      <c r="F245" s="447">
        <f>'JKP-3.1c - Norm Rev Rates GTI10'!R379</f>
        <v>53608.32</v>
      </c>
      <c r="G245" s="415"/>
      <c r="H245" s="340"/>
    </row>
    <row r="246" spans="1:11" x14ac:dyDescent="0.2">
      <c r="A246" s="32" t="s">
        <v>1054</v>
      </c>
      <c r="B246" s="336" t="s">
        <v>1047</v>
      </c>
      <c r="F246" s="715">
        <f>'JKP-3.1c - Norm Rev Rates GTI10'!R387</f>
        <v>1294164.5703400001</v>
      </c>
      <c r="G246" s="390"/>
      <c r="H246" s="340"/>
      <c r="I246" s="32"/>
      <c r="J246" s="32"/>
      <c r="K246" s="32"/>
    </row>
    <row r="247" spans="1:11" x14ac:dyDescent="0.2">
      <c r="A247" s="336" t="s">
        <v>1056</v>
      </c>
      <c r="B247" s="32" t="s">
        <v>1057</v>
      </c>
      <c r="D247" s="32">
        <v>101</v>
      </c>
      <c r="F247" s="417">
        <f>F234*F241</f>
        <v>18641072.422979999</v>
      </c>
      <c r="G247" s="390"/>
      <c r="H247" s="340"/>
      <c r="I247" s="32"/>
      <c r="J247" s="32"/>
      <c r="K247" s="32"/>
    </row>
    <row r="248" spans="1:11" x14ac:dyDescent="0.2">
      <c r="A248" s="32" t="s">
        <v>1054</v>
      </c>
      <c r="B248" s="32" t="s">
        <v>1096</v>
      </c>
      <c r="D248" s="444">
        <v>87</v>
      </c>
      <c r="F248" s="715">
        <f>'JKP-3.1c - Norm Rev Rates GTI10'!R389</f>
        <v>146882.40839999999</v>
      </c>
      <c r="G248" s="390"/>
      <c r="H248" s="340"/>
      <c r="I248" s="32"/>
      <c r="J248" s="32"/>
      <c r="K248" s="32"/>
    </row>
    <row r="249" spans="1:11" x14ac:dyDescent="0.2">
      <c r="B249" s="32" t="s">
        <v>1068</v>
      </c>
      <c r="F249" s="364"/>
      <c r="G249" s="390"/>
      <c r="H249" s="340"/>
      <c r="I249" s="32"/>
      <c r="J249" s="32"/>
      <c r="K249" s="32"/>
    </row>
    <row r="250" spans="1:11" x14ac:dyDescent="0.2">
      <c r="A250" s="32" t="s">
        <v>1054</v>
      </c>
      <c r="C250" s="32" t="s">
        <v>1069</v>
      </c>
      <c r="D250" s="444">
        <v>87</v>
      </c>
      <c r="F250" s="714">
        <f>'JKP-3.1c - Norm Rev Rates GTI10'!R391</f>
        <v>7277.7599999999975</v>
      </c>
      <c r="G250" s="390"/>
      <c r="H250" s="340"/>
      <c r="I250" s="32"/>
      <c r="J250" s="32"/>
      <c r="K250" s="32"/>
    </row>
    <row r="251" spans="1:11" x14ac:dyDescent="0.2">
      <c r="A251" s="336" t="s">
        <v>1056</v>
      </c>
      <c r="C251" s="32" t="s">
        <v>1070</v>
      </c>
      <c r="D251" s="32">
        <v>101</v>
      </c>
      <c r="F251" s="364">
        <f>F235*F242</f>
        <v>6703.2000000000007</v>
      </c>
      <c r="G251" s="390"/>
      <c r="H251" s="340"/>
      <c r="I251" s="32"/>
      <c r="J251" s="32"/>
      <c r="K251" s="32"/>
    </row>
    <row r="252" spans="1:11" s="336" customFormat="1" x14ac:dyDescent="0.2">
      <c r="C252" s="336" t="s">
        <v>1078</v>
      </c>
      <c r="F252" s="339">
        <f>SUM(F250:F251)</f>
        <v>13980.96</v>
      </c>
      <c r="G252" s="415"/>
      <c r="H252" s="340"/>
    </row>
    <row r="253" spans="1:11" s="336" customFormat="1" x14ac:dyDescent="0.2">
      <c r="A253" s="336" t="s">
        <v>1054</v>
      </c>
      <c r="B253" s="336" t="s">
        <v>1071</v>
      </c>
      <c r="D253" s="382">
        <v>87</v>
      </c>
      <c r="F253" s="447">
        <f>'JKP-3.1c - Norm Rev Rates GTI10'!R394</f>
        <v>12706.11</v>
      </c>
      <c r="G253" s="415"/>
      <c r="H253" s="340"/>
    </row>
    <row r="254" spans="1:11" s="336" customFormat="1" x14ac:dyDescent="0.2">
      <c r="B254" s="336" t="s">
        <v>1079</v>
      </c>
      <c r="F254" s="339">
        <f>F247+F251</f>
        <v>18647775.622979999</v>
      </c>
      <c r="G254" s="415"/>
      <c r="H254" s="340"/>
    </row>
    <row r="255" spans="1:11" s="336" customFormat="1" x14ac:dyDescent="0.2">
      <c r="B255" s="336" t="s">
        <v>986</v>
      </c>
      <c r="F255" s="339">
        <f>F245+F246+F247+F248+F252+F253</f>
        <v>20162414.791719999</v>
      </c>
      <c r="G255" s="340"/>
      <c r="H255" s="340"/>
    </row>
    <row r="256" spans="1:11" s="336" customFormat="1" x14ac:dyDescent="0.2">
      <c r="F256" s="340"/>
      <c r="G256" s="340"/>
      <c r="H256" s="340"/>
    </row>
    <row r="257" spans="1:12" s="336" customFormat="1" x14ac:dyDescent="0.2">
      <c r="A257" s="336" t="s">
        <v>1058</v>
      </c>
      <c r="B257" s="336" t="s">
        <v>1311</v>
      </c>
      <c r="F257" s="340">
        <f>F236*F241+F242*F237</f>
        <v>17829716.860830002</v>
      </c>
      <c r="G257" s="340"/>
      <c r="H257" s="340"/>
    </row>
    <row r="258" spans="1:12" s="336" customFormat="1" x14ac:dyDescent="0.2">
      <c r="F258" s="340"/>
      <c r="G258" s="340"/>
      <c r="H258" s="340"/>
    </row>
    <row r="259" spans="1:12" x14ac:dyDescent="0.2">
      <c r="F259" s="364"/>
      <c r="G259" s="415"/>
      <c r="H259" s="390"/>
      <c r="I259" s="32"/>
      <c r="J259" s="32"/>
      <c r="K259" s="32"/>
    </row>
    <row r="260" spans="1:12" s="336" customFormat="1" x14ac:dyDescent="0.2">
      <c r="B260" s="182" t="s">
        <v>1089</v>
      </c>
      <c r="C260" s="182"/>
      <c r="G260" s="415"/>
      <c r="H260" s="415"/>
      <c r="I260" s="415"/>
      <c r="J260" s="415"/>
      <c r="K260" s="415"/>
      <c r="L260" s="415"/>
    </row>
    <row r="261" spans="1:12" x14ac:dyDescent="0.2">
      <c r="B261" s="276" t="s">
        <v>1083</v>
      </c>
      <c r="G261" s="390"/>
      <c r="H261" s="390"/>
      <c r="I261" s="390"/>
      <c r="L261" s="390"/>
    </row>
    <row r="262" spans="1:12" x14ac:dyDescent="0.2">
      <c r="B262" s="32" t="s">
        <v>67</v>
      </c>
      <c r="D262" s="444"/>
      <c r="E262" s="32" t="s">
        <v>67</v>
      </c>
      <c r="F262" s="397">
        <f>'JKP-3.1c - Norm Rev Rates GTI10'!R219</f>
        <v>24</v>
      </c>
      <c r="G262" s="390"/>
      <c r="H262" s="390"/>
      <c r="I262" s="390"/>
      <c r="L262" s="390"/>
    </row>
    <row r="263" spans="1:12" s="336" customFormat="1" x14ac:dyDescent="0.2">
      <c r="B263" s="336" t="s">
        <v>76</v>
      </c>
      <c r="D263" s="444"/>
      <c r="E263" s="336" t="s">
        <v>10</v>
      </c>
      <c r="F263" s="478">
        <f>'JKP-3.1c - Norm Rev Rates GTI10'!R227</f>
        <v>19597345</v>
      </c>
      <c r="G263" s="415"/>
      <c r="H263" s="415"/>
      <c r="I263" s="415"/>
      <c r="J263" s="415"/>
      <c r="K263" s="415"/>
      <c r="L263" s="415"/>
    </row>
    <row r="264" spans="1:12" s="336" customFormat="1" x14ac:dyDescent="0.2">
      <c r="B264" s="336" t="s">
        <v>74</v>
      </c>
      <c r="D264" s="444"/>
      <c r="E264" s="336" t="s">
        <v>1076</v>
      </c>
      <c r="F264" s="421">
        <f>'JKP-3.1c - Norm Rev Rates GTI10'!R228</f>
        <v>24</v>
      </c>
      <c r="G264" s="415"/>
      <c r="H264" s="506"/>
      <c r="I264" s="415"/>
      <c r="J264" s="415"/>
      <c r="K264" s="415"/>
      <c r="L264" s="415"/>
    </row>
    <row r="265" spans="1:12" s="336" customFormat="1" x14ac:dyDescent="0.2">
      <c r="B265" s="336" t="s">
        <v>1071</v>
      </c>
      <c r="F265" s="380"/>
      <c r="G265" s="415"/>
      <c r="H265" s="415"/>
      <c r="I265" s="415"/>
      <c r="J265" s="415"/>
      <c r="K265" s="415"/>
      <c r="L265" s="415"/>
    </row>
    <row r="266" spans="1:12" s="336" customFormat="1" x14ac:dyDescent="0.2">
      <c r="G266" s="415"/>
      <c r="H266" s="415"/>
      <c r="I266" s="415"/>
      <c r="J266" s="415"/>
      <c r="K266" s="415"/>
      <c r="L266" s="415"/>
    </row>
    <row r="267" spans="1:12" s="336" customFormat="1" x14ac:dyDescent="0.2">
      <c r="B267" s="182" t="s">
        <v>1084</v>
      </c>
      <c r="G267" s="415"/>
      <c r="H267" s="415"/>
      <c r="I267" s="415"/>
      <c r="J267" s="415"/>
      <c r="K267" s="415"/>
      <c r="L267" s="415"/>
    </row>
    <row r="268" spans="1:12" s="336" customFormat="1" x14ac:dyDescent="0.2">
      <c r="A268" s="336" t="s">
        <v>1054</v>
      </c>
      <c r="B268" s="336" t="s">
        <v>1059</v>
      </c>
      <c r="D268" s="382" t="s">
        <v>811</v>
      </c>
      <c r="F268" s="447">
        <f>'JKP-3.1c - Norm Rev Rates GTI10'!R232</f>
        <v>21443.279999999999</v>
      </c>
      <c r="G268" s="415"/>
      <c r="H268" s="415"/>
      <c r="I268" s="415"/>
      <c r="J268" s="415"/>
      <c r="K268" s="415"/>
      <c r="L268" s="415"/>
    </row>
    <row r="269" spans="1:12" x14ac:dyDescent="0.2">
      <c r="A269" s="32" t="s">
        <v>1054</v>
      </c>
      <c r="B269" s="336" t="s">
        <v>1047</v>
      </c>
      <c r="F269" s="715">
        <f>'JKP-3.1c - Norm Rev Rates GTI10'!R240</f>
        <v>633165.16288999992</v>
      </c>
      <c r="G269" s="390"/>
      <c r="H269" s="390"/>
      <c r="I269" s="390"/>
      <c r="L269" s="390"/>
    </row>
    <row r="270" spans="1:12" x14ac:dyDescent="0.2">
      <c r="A270" s="32" t="s">
        <v>1056</v>
      </c>
      <c r="B270" s="32" t="s">
        <v>1081</v>
      </c>
      <c r="D270" s="382" t="s">
        <v>811</v>
      </c>
      <c r="F270" s="715">
        <f>'JKP-3.1c - Norm Rev Rates GTI10'!R241</f>
        <v>13718.1415</v>
      </c>
      <c r="G270" s="390"/>
      <c r="H270" s="390"/>
      <c r="I270" s="390"/>
      <c r="L270" s="390"/>
    </row>
    <row r="271" spans="1:12" x14ac:dyDescent="0.2">
      <c r="A271" s="32" t="s">
        <v>1054</v>
      </c>
      <c r="B271" s="32" t="s">
        <v>1069</v>
      </c>
      <c r="D271" s="382" t="s">
        <v>811</v>
      </c>
      <c r="F271" s="714">
        <f>'JKP-3.1c - Norm Rev Rates GTI10'!R242</f>
        <v>27.360000000000003</v>
      </c>
      <c r="G271" s="390"/>
      <c r="H271" s="390"/>
      <c r="I271" s="390"/>
      <c r="L271" s="390"/>
    </row>
    <row r="272" spans="1:12" s="336" customFormat="1" x14ac:dyDescent="0.2">
      <c r="A272" s="336" t="s">
        <v>1054</v>
      </c>
      <c r="B272" s="336" t="s">
        <v>1071</v>
      </c>
      <c r="D272" s="382" t="s">
        <v>811</v>
      </c>
      <c r="F272" s="447">
        <f>'JKP-3.1c - Norm Rev Rates GTI10'!R243</f>
        <v>0</v>
      </c>
      <c r="G272" s="415"/>
      <c r="H272" s="415"/>
      <c r="I272" s="415"/>
      <c r="J272" s="415"/>
      <c r="K272" s="415"/>
      <c r="L272" s="415"/>
    </row>
    <row r="273" spans="1:12" s="336" customFormat="1" x14ac:dyDescent="0.2">
      <c r="B273" s="336" t="s">
        <v>986</v>
      </c>
      <c r="F273" s="339">
        <f>SUM(F268:F272)</f>
        <v>668353.94438999996</v>
      </c>
      <c r="G273" s="415"/>
      <c r="H273" s="415"/>
      <c r="I273" s="415"/>
      <c r="J273" s="415"/>
      <c r="K273" s="415"/>
      <c r="L273" s="415"/>
    </row>
    <row r="274" spans="1:12" x14ac:dyDescent="0.2">
      <c r="F274" s="364"/>
      <c r="G274" s="390"/>
      <c r="H274" s="390"/>
      <c r="I274" s="390"/>
      <c r="L274" s="390"/>
    </row>
    <row r="275" spans="1:12" x14ac:dyDescent="0.2">
      <c r="A275" s="32" t="s">
        <v>1058</v>
      </c>
      <c r="B275" s="32" t="s">
        <v>1050</v>
      </c>
      <c r="F275" s="364">
        <f>F270</f>
        <v>13718.1415</v>
      </c>
      <c r="G275" s="390"/>
      <c r="H275" s="390"/>
      <c r="I275" s="390"/>
      <c r="L275" s="390"/>
    </row>
    <row r="276" spans="1:12" x14ac:dyDescent="0.2">
      <c r="F276" s="364"/>
      <c r="G276" s="390"/>
      <c r="H276" s="390"/>
      <c r="I276" s="390"/>
      <c r="L276" s="390"/>
    </row>
    <row r="277" spans="1:12" x14ac:dyDescent="0.2">
      <c r="B277" s="276" t="s">
        <v>970</v>
      </c>
      <c r="C277" s="276"/>
      <c r="G277" s="390"/>
      <c r="H277" s="390"/>
      <c r="I277" s="32"/>
      <c r="J277" s="32"/>
      <c r="K277" s="32"/>
    </row>
    <row r="278" spans="1:12" x14ac:dyDescent="0.2">
      <c r="B278" s="276" t="s">
        <v>5</v>
      </c>
      <c r="C278" s="276"/>
      <c r="G278" s="390"/>
      <c r="H278" s="390"/>
      <c r="I278" s="32"/>
      <c r="J278" s="32"/>
      <c r="K278" s="32"/>
    </row>
    <row r="279" spans="1:12" x14ac:dyDescent="0.2">
      <c r="B279" s="32" t="s">
        <v>1067</v>
      </c>
      <c r="D279" s="32">
        <v>101</v>
      </c>
      <c r="E279" s="32" t="s">
        <v>957</v>
      </c>
      <c r="F279" s="453">
        <f>F93</f>
        <v>0.71438999999999997</v>
      </c>
      <c r="G279" s="390"/>
      <c r="H279" s="390"/>
      <c r="I279" s="32"/>
      <c r="J279" s="32"/>
      <c r="K279" s="32"/>
    </row>
    <row r="280" spans="1:12" x14ac:dyDescent="0.2">
      <c r="B280" s="32" t="s">
        <v>1050</v>
      </c>
      <c r="F280" s="453">
        <f>F94</f>
        <v>0.68306</v>
      </c>
      <c r="G280" s="390"/>
      <c r="H280" s="390"/>
      <c r="I280" s="32"/>
      <c r="J280" s="32"/>
      <c r="K280" s="32"/>
    </row>
    <row r="281" spans="1:12" x14ac:dyDescent="0.2">
      <c r="G281" s="390"/>
      <c r="H281" s="390"/>
      <c r="I281" s="32"/>
      <c r="J281" s="32"/>
      <c r="K281" s="32"/>
    </row>
    <row r="282" spans="1:12" x14ac:dyDescent="0.2">
      <c r="B282" s="276" t="s">
        <v>982</v>
      </c>
      <c r="G282" s="390"/>
      <c r="H282" s="390"/>
      <c r="I282" s="32"/>
      <c r="J282" s="32"/>
      <c r="K282" s="32"/>
    </row>
    <row r="283" spans="1:12" x14ac:dyDescent="0.2">
      <c r="B283" s="32" t="s">
        <v>67</v>
      </c>
      <c r="E283" s="32" t="s">
        <v>67</v>
      </c>
      <c r="F283" s="397">
        <f>'JKP-3.1c - Norm Rev Rates GTI10'!R408</f>
        <v>29242.02</v>
      </c>
      <c r="G283" s="390"/>
      <c r="H283" s="390"/>
      <c r="I283" s="32"/>
      <c r="J283" s="32"/>
      <c r="K283" s="32"/>
    </row>
    <row r="284" spans="1:12" x14ac:dyDescent="0.2">
      <c r="B284" s="32" t="s">
        <v>76</v>
      </c>
      <c r="E284" s="32" t="s">
        <v>10</v>
      </c>
      <c r="F284" s="397">
        <f>'JKP-3.1c - Norm Rev Rates GTI10'!R409</f>
        <v>13822856</v>
      </c>
      <c r="G284" s="390"/>
      <c r="H284" s="390"/>
      <c r="I284" s="32"/>
      <c r="J284" s="32"/>
      <c r="K284" s="32"/>
    </row>
    <row r="285" spans="1:12" x14ac:dyDescent="0.2">
      <c r="F285" s="277"/>
      <c r="G285" s="390"/>
      <c r="H285" s="390"/>
      <c r="I285" s="32"/>
      <c r="J285" s="32"/>
      <c r="K285" s="32"/>
    </row>
    <row r="286" spans="1:12" x14ac:dyDescent="0.2">
      <c r="B286" s="276" t="s">
        <v>985</v>
      </c>
      <c r="F286" s="277"/>
      <c r="G286" s="390"/>
      <c r="H286" s="390"/>
      <c r="I286" s="32"/>
      <c r="J286" s="32"/>
      <c r="K286" s="32"/>
    </row>
    <row r="287" spans="1:12" x14ac:dyDescent="0.2">
      <c r="A287" s="32" t="s">
        <v>1054</v>
      </c>
      <c r="B287" s="32" t="s">
        <v>1059</v>
      </c>
      <c r="D287" s="32">
        <v>31</v>
      </c>
      <c r="F287" s="714">
        <f>'JKP-3.1c - Norm Rev Rates GTI10'!R412</f>
        <v>945102.08640000003</v>
      </c>
      <c r="G287" s="390"/>
      <c r="H287" s="390"/>
      <c r="I287" s="32"/>
      <c r="J287" s="32"/>
      <c r="K287" s="32"/>
    </row>
    <row r="288" spans="1:12" x14ac:dyDescent="0.2">
      <c r="A288" s="32" t="s">
        <v>1054</v>
      </c>
      <c r="B288" s="32" t="s">
        <v>1047</v>
      </c>
      <c r="D288" s="32">
        <v>31</v>
      </c>
      <c r="F288" s="714">
        <f>'JKP-3.1c - Norm Rev Rates GTI10'!R413</f>
        <v>4357931.8111200007</v>
      </c>
      <c r="G288" s="390"/>
      <c r="H288" s="390"/>
      <c r="I288" s="32"/>
      <c r="J288" s="32"/>
      <c r="K288" s="32"/>
    </row>
    <row r="289" spans="1:11" x14ac:dyDescent="0.2">
      <c r="A289" s="336" t="s">
        <v>1056</v>
      </c>
      <c r="B289" s="32" t="s">
        <v>1057</v>
      </c>
      <c r="D289" s="32">
        <v>101</v>
      </c>
      <c r="F289" s="364">
        <f>F279*F284</f>
        <v>9874910.0978399999</v>
      </c>
      <c r="G289" s="390"/>
      <c r="H289" s="390"/>
      <c r="I289" s="32"/>
      <c r="J289" s="32"/>
      <c r="K289" s="32"/>
    </row>
    <row r="290" spans="1:11" x14ac:dyDescent="0.2">
      <c r="B290" s="32" t="s">
        <v>986</v>
      </c>
      <c r="F290" s="365">
        <f>F287+F288+F289</f>
        <v>15177943.995360002</v>
      </c>
      <c r="G290" s="340"/>
      <c r="H290" s="390"/>
      <c r="I290" s="32"/>
      <c r="J290" s="32"/>
      <c r="K290" s="32"/>
    </row>
    <row r="291" spans="1:11" x14ac:dyDescent="0.2">
      <c r="F291" s="341"/>
      <c r="G291" s="415"/>
      <c r="H291" s="390"/>
      <c r="I291" s="32"/>
      <c r="J291" s="32"/>
      <c r="K291" s="32"/>
    </row>
    <row r="292" spans="1:11" x14ac:dyDescent="0.2">
      <c r="A292" s="32" t="s">
        <v>1058</v>
      </c>
      <c r="B292" s="32" t="s">
        <v>1050</v>
      </c>
      <c r="F292" s="341">
        <f>F280*F284</f>
        <v>9441840.0193600003</v>
      </c>
      <c r="G292" s="415"/>
      <c r="H292" s="390"/>
      <c r="I292" s="32"/>
      <c r="J292" s="32"/>
      <c r="K292" s="32"/>
    </row>
    <row r="293" spans="1:11" x14ac:dyDescent="0.2">
      <c r="F293" s="341"/>
      <c r="G293" s="415"/>
      <c r="H293" s="390"/>
      <c r="I293" s="32"/>
      <c r="J293" s="32"/>
      <c r="K293" s="32"/>
    </row>
    <row r="294" spans="1:11" x14ac:dyDescent="0.2">
      <c r="B294" s="276" t="s">
        <v>1101</v>
      </c>
      <c r="C294" s="276"/>
      <c r="G294" s="390"/>
      <c r="H294" s="390"/>
      <c r="I294" s="32"/>
      <c r="J294" s="32"/>
      <c r="K294" s="32"/>
    </row>
    <row r="295" spans="1:11" x14ac:dyDescent="0.2">
      <c r="B295" s="276" t="s">
        <v>5</v>
      </c>
      <c r="C295" s="276"/>
      <c r="G295" s="390"/>
      <c r="H295" s="390"/>
      <c r="I295" s="32"/>
      <c r="J295" s="32"/>
      <c r="K295" s="32"/>
    </row>
    <row r="296" spans="1:11" x14ac:dyDescent="0.2">
      <c r="B296" s="32" t="s">
        <v>1067</v>
      </c>
      <c r="D296" s="32">
        <v>101</v>
      </c>
      <c r="E296" s="32" t="s">
        <v>957</v>
      </c>
      <c r="F296" s="453">
        <f>F111</f>
        <v>0.62919000000000003</v>
      </c>
      <c r="G296" s="390"/>
      <c r="H296" s="390"/>
      <c r="I296" s="32"/>
      <c r="J296" s="32"/>
      <c r="K296" s="32"/>
    </row>
    <row r="297" spans="1:11" x14ac:dyDescent="0.2">
      <c r="B297" s="32" t="s">
        <v>1070</v>
      </c>
      <c r="D297" s="32">
        <v>101</v>
      </c>
      <c r="E297" s="32" t="s">
        <v>957</v>
      </c>
      <c r="F297" s="454">
        <f>F112</f>
        <v>1.05</v>
      </c>
      <c r="G297" s="390"/>
      <c r="H297" s="390"/>
      <c r="I297" s="32"/>
      <c r="J297" s="32"/>
      <c r="K297" s="32"/>
    </row>
    <row r="298" spans="1:11" x14ac:dyDescent="0.2">
      <c r="B298" s="32" t="s">
        <v>1050</v>
      </c>
      <c r="E298" s="32" t="s">
        <v>957</v>
      </c>
      <c r="F298" s="453">
        <f>F113</f>
        <v>0.60158999999999996</v>
      </c>
      <c r="G298" s="390"/>
      <c r="H298" s="390"/>
      <c r="I298" s="32"/>
      <c r="J298" s="32"/>
      <c r="K298" s="32"/>
    </row>
    <row r="299" spans="1:11" x14ac:dyDescent="0.2">
      <c r="B299" s="32" t="s">
        <v>1072</v>
      </c>
      <c r="E299" s="32" t="s">
        <v>957</v>
      </c>
      <c r="F299" s="517">
        <f>F114</f>
        <v>1</v>
      </c>
      <c r="G299" s="390"/>
      <c r="H299" s="390"/>
      <c r="I299" s="32"/>
      <c r="J299" s="32"/>
      <c r="K299" s="32"/>
    </row>
    <row r="300" spans="1:11" x14ac:dyDescent="0.2">
      <c r="G300" s="390"/>
      <c r="H300" s="390"/>
      <c r="I300" s="32"/>
      <c r="J300" s="32"/>
      <c r="K300" s="32"/>
    </row>
    <row r="301" spans="1:11" x14ac:dyDescent="0.2">
      <c r="B301" s="276" t="s">
        <v>982</v>
      </c>
      <c r="G301" s="390"/>
      <c r="H301" s="390"/>
      <c r="I301" s="32"/>
      <c r="J301" s="32"/>
      <c r="K301" s="32"/>
    </row>
    <row r="302" spans="1:11" x14ac:dyDescent="0.2">
      <c r="B302" s="32" t="s">
        <v>67</v>
      </c>
      <c r="E302" s="32" t="s">
        <v>67</v>
      </c>
      <c r="F302" s="397">
        <f>'JKP-3.1c - Norm Rev Rates GTI10'!R434</f>
        <v>1283.01</v>
      </c>
      <c r="G302" s="390"/>
      <c r="H302" s="390"/>
      <c r="I302" s="32"/>
      <c r="J302" s="32"/>
      <c r="K302" s="32"/>
    </row>
    <row r="303" spans="1:11" s="336" customFormat="1" x14ac:dyDescent="0.2">
      <c r="B303" s="336" t="s">
        <v>76</v>
      </c>
      <c r="E303" s="336" t="s">
        <v>10</v>
      </c>
      <c r="F303" s="478">
        <f>'JKP-3.1c - Norm Rev Rates GTI10'!R439</f>
        <v>15537384</v>
      </c>
      <c r="G303" s="415"/>
      <c r="H303" s="415"/>
    </row>
    <row r="304" spans="1:11" s="336" customFormat="1" x14ac:dyDescent="0.2">
      <c r="B304" s="336" t="s">
        <v>74</v>
      </c>
      <c r="E304" s="336" t="s">
        <v>1076</v>
      </c>
      <c r="F304" s="421">
        <f>'JKP-3.1c - Norm Rev Rates GTI10'!R440</f>
        <v>686512.06</v>
      </c>
      <c r="G304" s="415"/>
      <c r="H304" s="415"/>
    </row>
    <row r="305" spans="1:12" s="336" customFormat="1" x14ac:dyDescent="0.2">
      <c r="F305" s="362"/>
      <c r="G305" s="415"/>
      <c r="H305" s="415"/>
    </row>
    <row r="306" spans="1:12" s="336" customFormat="1" x14ac:dyDescent="0.2">
      <c r="B306" s="182" t="s">
        <v>985</v>
      </c>
      <c r="F306" s="179"/>
      <c r="G306" s="415"/>
      <c r="H306" s="415"/>
    </row>
    <row r="307" spans="1:12" s="336" customFormat="1" x14ac:dyDescent="0.2">
      <c r="A307" s="336" t="s">
        <v>1054</v>
      </c>
      <c r="B307" s="336" t="s">
        <v>1059</v>
      </c>
      <c r="D307" s="336">
        <v>41</v>
      </c>
      <c r="F307" s="713">
        <f>'JKP-3.1c - Norm Rev Rates GTI10'!R444</f>
        <v>143594.4792</v>
      </c>
      <c r="G307" s="415"/>
      <c r="H307" s="415"/>
    </row>
    <row r="308" spans="1:12" s="336" customFormat="1" x14ac:dyDescent="0.2">
      <c r="A308" s="336" t="s">
        <v>1054</v>
      </c>
      <c r="B308" s="32" t="s">
        <v>1047</v>
      </c>
      <c r="F308" s="715">
        <f>'JKP-3.1c - Norm Rev Rates GTI10'!R449</f>
        <v>1797173.6645</v>
      </c>
      <c r="G308" s="415"/>
      <c r="H308" s="415"/>
    </row>
    <row r="309" spans="1:12" s="336" customFormat="1" x14ac:dyDescent="0.2">
      <c r="A309" s="336" t="s">
        <v>1056</v>
      </c>
      <c r="B309" s="336" t="s">
        <v>1057</v>
      </c>
      <c r="D309" s="336">
        <v>101</v>
      </c>
      <c r="F309" s="418">
        <f>F296*F303</f>
        <v>9775966.6389600001</v>
      </c>
      <c r="G309" s="415"/>
      <c r="H309" s="415"/>
    </row>
    <row r="310" spans="1:12" s="336" customFormat="1" x14ac:dyDescent="0.2">
      <c r="B310" s="336" t="s">
        <v>1068</v>
      </c>
      <c r="F310" s="418"/>
      <c r="G310" s="415"/>
      <c r="H310" s="415"/>
    </row>
    <row r="311" spans="1:12" s="336" customFormat="1" x14ac:dyDescent="0.2">
      <c r="A311" s="336" t="s">
        <v>1054</v>
      </c>
      <c r="C311" s="336" t="s">
        <v>1069</v>
      </c>
      <c r="D311" s="336">
        <v>41</v>
      </c>
      <c r="F311" s="447">
        <f>'JKP-3.1c - Norm Rev Rates GTI10'!R452</f>
        <v>782623.74839999992</v>
      </c>
      <c r="G311" s="415"/>
      <c r="H311" s="415"/>
    </row>
    <row r="312" spans="1:12" s="336" customFormat="1" x14ac:dyDescent="0.2">
      <c r="A312" s="336" t="s">
        <v>1056</v>
      </c>
      <c r="C312" s="336" t="s">
        <v>1070</v>
      </c>
      <c r="D312" s="336">
        <v>101</v>
      </c>
      <c r="F312" s="418">
        <f>F297*F304</f>
        <v>720837.66300000006</v>
      </c>
      <c r="G312" s="415"/>
      <c r="H312" s="415"/>
    </row>
    <row r="313" spans="1:12" s="336" customFormat="1" x14ac:dyDescent="0.2">
      <c r="C313" s="336" t="s">
        <v>1078</v>
      </c>
      <c r="F313" s="339">
        <f>SUM(F311:F312)</f>
        <v>1503461.4114000001</v>
      </c>
      <c r="G313" s="415"/>
      <c r="H313" s="415"/>
    </row>
    <row r="314" spans="1:12" s="336" customFormat="1" x14ac:dyDescent="0.2">
      <c r="A314" s="336" t="s">
        <v>1054</v>
      </c>
      <c r="B314" s="336" t="s">
        <v>1071</v>
      </c>
      <c r="D314" s="336">
        <v>41</v>
      </c>
      <c r="F314" s="447">
        <f>'JKP-3.1c - Norm Rev Rates GTI10'!R455</f>
        <v>165752.06189999997</v>
      </c>
      <c r="G314" s="415"/>
      <c r="H314" s="415"/>
    </row>
    <row r="315" spans="1:12" s="336" customFormat="1" x14ac:dyDescent="0.2">
      <c r="B315" s="336" t="s">
        <v>1079</v>
      </c>
      <c r="F315" s="339">
        <f>F309+F312</f>
        <v>10496804.301960001</v>
      </c>
      <c r="G315" s="415"/>
      <c r="H315" s="415"/>
    </row>
    <row r="316" spans="1:12" s="336" customFormat="1" x14ac:dyDescent="0.2">
      <c r="B316" s="336" t="s">
        <v>986</v>
      </c>
      <c r="F316" s="339">
        <f>F307+F308+F309+F313+F314</f>
        <v>13385948.255959999</v>
      </c>
      <c r="G316" s="340"/>
      <c r="H316" s="415"/>
    </row>
    <row r="317" spans="1:12" s="336" customFormat="1" x14ac:dyDescent="0.2">
      <c r="F317" s="340"/>
      <c r="G317" s="340"/>
      <c r="H317" s="415"/>
    </row>
    <row r="318" spans="1:12" s="336" customFormat="1" x14ac:dyDescent="0.2">
      <c r="A318" s="336" t="s">
        <v>1058</v>
      </c>
      <c r="B318" s="336" t="s">
        <v>1050</v>
      </c>
      <c r="F318" s="340">
        <f>F298*F303+F304*F299</f>
        <v>10033646.900559999</v>
      </c>
      <c r="G318" s="340"/>
      <c r="H318" s="415"/>
    </row>
    <row r="319" spans="1:12" s="336" customFormat="1" x14ac:dyDescent="0.2">
      <c r="F319" s="437"/>
      <c r="G319" s="415"/>
      <c r="H319" s="415"/>
    </row>
    <row r="320" spans="1:12" s="336" customFormat="1" x14ac:dyDescent="0.2">
      <c r="B320" s="182" t="s">
        <v>1102</v>
      </c>
      <c r="C320" s="182"/>
      <c r="G320" s="415"/>
      <c r="H320" s="415"/>
      <c r="I320" s="415"/>
      <c r="J320" s="415"/>
      <c r="K320" s="415"/>
      <c r="L320" s="415"/>
    </row>
    <row r="321" spans="1:12" s="336" customFormat="1" x14ac:dyDescent="0.2">
      <c r="B321" s="182" t="s">
        <v>982</v>
      </c>
      <c r="G321" s="415"/>
      <c r="H321" s="415"/>
      <c r="I321" s="415"/>
      <c r="J321" s="415"/>
      <c r="K321" s="415"/>
      <c r="L321" s="415"/>
    </row>
    <row r="322" spans="1:12" s="336" customFormat="1" x14ac:dyDescent="0.2">
      <c r="B322" s="336" t="s">
        <v>67</v>
      </c>
      <c r="E322" s="336" t="s">
        <v>67</v>
      </c>
      <c r="F322" s="421">
        <f>'JKP-3.1c - Norm Rev Rates GTI10'!R473</f>
        <v>193</v>
      </c>
      <c r="G322" s="415"/>
      <c r="H322" s="415"/>
      <c r="I322" s="415"/>
      <c r="J322" s="415"/>
      <c r="K322" s="415"/>
      <c r="L322" s="415"/>
    </row>
    <row r="323" spans="1:12" s="336" customFormat="1" x14ac:dyDescent="0.2">
      <c r="B323" s="336" t="s">
        <v>76</v>
      </c>
      <c r="E323" s="336" t="s">
        <v>10</v>
      </c>
      <c r="F323" s="478">
        <f>'JKP-3.1c - Norm Rev Rates GTI10'!R478</f>
        <v>4887968</v>
      </c>
      <c r="G323" s="415"/>
      <c r="H323" s="415"/>
      <c r="I323" s="415"/>
      <c r="J323" s="415"/>
      <c r="K323" s="415"/>
      <c r="L323" s="415"/>
    </row>
    <row r="324" spans="1:12" s="336" customFormat="1" x14ac:dyDescent="0.2">
      <c r="B324" s="336" t="s">
        <v>74</v>
      </c>
      <c r="E324" s="336" t="s">
        <v>1076</v>
      </c>
      <c r="F324" s="421">
        <f>'JKP-3.1c - Norm Rev Rates GTI10'!R479</f>
        <v>222848</v>
      </c>
      <c r="G324" s="415"/>
      <c r="H324" s="506"/>
      <c r="I324" s="415"/>
      <c r="J324" s="415"/>
      <c r="K324" s="415"/>
      <c r="L324" s="415"/>
    </row>
    <row r="325" spans="1:12" s="336" customFormat="1" x14ac:dyDescent="0.2">
      <c r="B325" s="336" t="s">
        <v>1071</v>
      </c>
      <c r="E325" s="336" t="s">
        <v>67</v>
      </c>
      <c r="F325" s="380"/>
      <c r="G325" s="415"/>
      <c r="H325" s="415"/>
      <c r="I325" s="415"/>
      <c r="J325" s="415"/>
      <c r="K325" s="415"/>
      <c r="L325" s="415"/>
    </row>
    <row r="326" spans="1:12" s="336" customFormat="1" x14ac:dyDescent="0.2">
      <c r="F326" s="362"/>
      <c r="G326" s="415"/>
      <c r="H326" s="415"/>
      <c r="I326" s="415"/>
      <c r="J326" s="415"/>
      <c r="K326" s="415"/>
      <c r="L326" s="415"/>
    </row>
    <row r="327" spans="1:12" s="336" customFormat="1" x14ac:dyDescent="0.2">
      <c r="B327" s="182" t="s">
        <v>985</v>
      </c>
      <c r="G327" s="415"/>
      <c r="H327" s="415"/>
      <c r="I327" s="415"/>
      <c r="J327" s="415"/>
      <c r="K327" s="415"/>
      <c r="L327" s="415"/>
    </row>
    <row r="328" spans="1:12" s="336" customFormat="1" x14ac:dyDescent="0.2">
      <c r="A328" s="336" t="s">
        <v>1054</v>
      </c>
      <c r="B328" s="336" t="s">
        <v>1059</v>
      </c>
      <c r="D328" s="444" t="s">
        <v>808</v>
      </c>
      <c r="F328" s="713">
        <f>'JKP-3.1c - Norm Rev Rates GTI10'!R483</f>
        <v>83316.169999999984</v>
      </c>
      <c r="G328" s="415"/>
      <c r="H328" s="415"/>
      <c r="I328" s="415"/>
      <c r="J328" s="415"/>
      <c r="K328" s="415"/>
      <c r="L328" s="415"/>
    </row>
    <row r="329" spans="1:12" s="336" customFormat="1" x14ac:dyDescent="0.2">
      <c r="A329" s="336" t="s">
        <v>1054</v>
      </c>
      <c r="B329" s="336" t="s">
        <v>1047</v>
      </c>
      <c r="F329" s="713">
        <f>'JKP-3.1c - Norm Rev Rates GTI10'!R488</f>
        <v>572725.42670000007</v>
      </c>
      <c r="G329" s="415"/>
      <c r="H329" s="415"/>
      <c r="I329" s="415"/>
      <c r="J329" s="415"/>
      <c r="K329" s="415"/>
      <c r="L329" s="415"/>
    </row>
    <row r="330" spans="1:12" x14ac:dyDescent="0.2">
      <c r="A330" s="32" t="s">
        <v>1056</v>
      </c>
      <c r="B330" s="32" t="s">
        <v>1300</v>
      </c>
      <c r="D330" s="444" t="s">
        <v>808</v>
      </c>
      <c r="F330" s="447">
        <f>'JKP-3.1c - Norm Rev Rates GTI10'!R489</f>
        <v>3421.5775999999996</v>
      </c>
      <c r="G330" s="390"/>
      <c r="H330" s="390"/>
      <c r="I330" s="390"/>
      <c r="L330" s="390"/>
    </row>
    <row r="331" spans="1:12" x14ac:dyDescent="0.2">
      <c r="A331" s="32" t="s">
        <v>1054</v>
      </c>
      <c r="B331" s="32" t="s">
        <v>1082</v>
      </c>
      <c r="F331" s="447">
        <f>'JKP-3.1c - Norm Rev Rates GTI10'!R490</f>
        <v>-25417.4336</v>
      </c>
      <c r="G331" s="390"/>
      <c r="H331" s="390"/>
      <c r="I331" s="390"/>
      <c r="L331" s="390"/>
    </row>
    <row r="332" spans="1:12" s="336" customFormat="1" x14ac:dyDescent="0.2">
      <c r="A332" s="336" t="s">
        <v>1054</v>
      </c>
      <c r="B332" s="336" t="s">
        <v>1069</v>
      </c>
      <c r="D332" s="444" t="s">
        <v>808</v>
      </c>
      <c r="F332" s="447">
        <f>'JKP-3.1c - Norm Rev Rates GTI10'!R491</f>
        <v>254046.71999999997</v>
      </c>
      <c r="G332" s="415"/>
      <c r="H332" s="415"/>
      <c r="I332" s="415"/>
      <c r="J332" s="415"/>
      <c r="K332" s="415"/>
      <c r="L332" s="415"/>
    </row>
    <row r="333" spans="1:12" s="336" customFormat="1" x14ac:dyDescent="0.2">
      <c r="A333" s="336" t="s">
        <v>1054</v>
      </c>
      <c r="B333" s="336" t="s">
        <v>1071</v>
      </c>
      <c r="D333" s="444" t="s">
        <v>808</v>
      </c>
      <c r="F333" s="447">
        <f>'JKP-3.1c - Norm Rev Rates GTI10'!R492</f>
        <v>24933.670000000006</v>
      </c>
      <c r="G333" s="415"/>
      <c r="H333" s="415"/>
      <c r="I333" s="415"/>
      <c r="J333" s="415"/>
      <c r="K333" s="415"/>
      <c r="L333" s="415"/>
    </row>
    <row r="334" spans="1:12" s="336" customFormat="1" x14ac:dyDescent="0.2">
      <c r="B334" s="336" t="s">
        <v>986</v>
      </c>
      <c r="F334" s="339">
        <f>SUM(F328:F333)</f>
        <v>913026.1307000001</v>
      </c>
      <c r="G334" s="415"/>
      <c r="H334" s="415"/>
      <c r="I334" s="415"/>
      <c r="J334" s="415"/>
      <c r="K334" s="415"/>
      <c r="L334" s="415"/>
    </row>
    <row r="335" spans="1:12" s="336" customFormat="1" x14ac:dyDescent="0.2">
      <c r="F335" s="418"/>
      <c r="G335" s="415"/>
      <c r="H335" s="415"/>
      <c r="I335" s="415"/>
      <c r="J335" s="415"/>
      <c r="K335" s="415"/>
      <c r="L335" s="415"/>
    </row>
    <row r="336" spans="1:12" s="336" customFormat="1" x14ac:dyDescent="0.2">
      <c r="A336" s="336" t="s">
        <v>1058</v>
      </c>
      <c r="B336" s="336" t="s">
        <v>1050</v>
      </c>
      <c r="F336" s="418">
        <f>F330</f>
        <v>3421.5775999999996</v>
      </c>
      <c r="G336" s="415"/>
      <c r="H336" s="415"/>
      <c r="I336" s="415"/>
      <c r="J336" s="415"/>
      <c r="K336" s="415"/>
      <c r="L336" s="415"/>
    </row>
    <row r="337" spans="1:12" s="336" customFormat="1" x14ac:dyDescent="0.2">
      <c r="F337" s="418"/>
      <c r="G337" s="415"/>
      <c r="H337" s="415"/>
      <c r="I337" s="415"/>
      <c r="J337" s="415"/>
      <c r="K337" s="415"/>
      <c r="L337" s="415"/>
    </row>
    <row r="338" spans="1:12" x14ac:dyDescent="0.2">
      <c r="B338" s="276" t="s">
        <v>1107</v>
      </c>
      <c r="G338" s="390"/>
      <c r="H338" s="390"/>
      <c r="I338" s="32"/>
      <c r="J338" s="32"/>
      <c r="K338" s="32"/>
    </row>
    <row r="339" spans="1:12" x14ac:dyDescent="0.2">
      <c r="B339" s="276" t="s">
        <v>985</v>
      </c>
      <c r="G339" s="390"/>
      <c r="H339" s="390"/>
      <c r="I339" s="32"/>
      <c r="J339" s="32"/>
      <c r="K339" s="32"/>
    </row>
    <row r="340" spans="1:12" x14ac:dyDescent="0.2">
      <c r="A340" s="32" t="s">
        <v>1054</v>
      </c>
      <c r="B340" s="32" t="s">
        <v>1063</v>
      </c>
      <c r="F340" s="714">
        <f>'JKP-3.1c - Norm Rev Rates GTI10'!R616</f>
        <v>1136.4000000000003</v>
      </c>
      <c r="G340" s="390"/>
      <c r="H340" s="390"/>
      <c r="I340" s="32"/>
      <c r="J340" s="32"/>
      <c r="K340" s="32"/>
    </row>
    <row r="341" spans="1:12" x14ac:dyDescent="0.2">
      <c r="F341" s="714"/>
      <c r="G341" s="390"/>
      <c r="H341" s="390"/>
      <c r="I341" s="32"/>
      <c r="J341" s="32"/>
      <c r="K341" s="32"/>
    </row>
    <row r="342" spans="1:12" x14ac:dyDescent="0.2">
      <c r="B342" s="276" t="s">
        <v>1109</v>
      </c>
      <c r="C342" s="276"/>
      <c r="G342" s="390"/>
      <c r="H342" s="390"/>
      <c r="I342" s="32"/>
      <c r="J342" s="32"/>
      <c r="K342" s="32"/>
    </row>
    <row r="343" spans="1:12" x14ac:dyDescent="0.2">
      <c r="B343" s="276" t="s">
        <v>5</v>
      </c>
      <c r="C343" s="276"/>
      <c r="G343" s="390"/>
      <c r="H343" s="390"/>
      <c r="I343" s="32"/>
      <c r="J343" s="32"/>
      <c r="K343" s="32"/>
    </row>
    <row r="344" spans="1:12" x14ac:dyDescent="0.2">
      <c r="B344" s="32" t="s">
        <v>1067</v>
      </c>
      <c r="D344" s="32">
        <v>101</v>
      </c>
      <c r="E344" s="32" t="s">
        <v>957</v>
      </c>
      <c r="F344" s="393">
        <f>F161</f>
        <v>0.66166999999999998</v>
      </c>
      <c r="G344" s="390"/>
      <c r="H344" s="390"/>
      <c r="I344" s="32"/>
      <c r="J344" s="32"/>
      <c r="K344" s="32"/>
    </row>
    <row r="345" spans="1:12" s="336" customFormat="1" x14ac:dyDescent="0.2">
      <c r="B345" s="336" t="s">
        <v>1070</v>
      </c>
      <c r="D345" s="336">
        <v>101</v>
      </c>
      <c r="E345" s="336" t="s">
        <v>957</v>
      </c>
      <c r="F345" s="450">
        <f>F162</f>
        <v>1.05</v>
      </c>
      <c r="G345" s="415"/>
      <c r="H345" s="415"/>
    </row>
    <row r="346" spans="1:12" s="336" customFormat="1" x14ac:dyDescent="0.2">
      <c r="B346" s="336" t="s">
        <v>1050</v>
      </c>
      <c r="E346" s="336" t="s">
        <v>957</v>
      </c>
      <c r="F346" s="393">
        <f>F163</f>
        <v>0.63265000000000005</v>
      </c>
      <c r="G346" s="415"/>
      <c r="H346" s="415"/>
    </row>
    <row r="347" spans="1:12" s="336" customFormat="1" x14ac:dyDescent="0.2">
      <c r="B347" s="336" t="s">
        <v>1072</v>
      </c>
      <c r="E347" s="336" t="s">
        <v>957</v>
      </c>
      <c r="F347" s="502">
        <f>F164</f>
        <v>1</v>
      </c>
      <c r="G347" s="415"/>
      <c r="H347" s="415"/>
    </row>
    <row r="348" spans="1:12" s="336" customFormat="1" x14ac:dyDescent="0.2">
      <c r="G348" s="415"/>
      <c r="H348" s="415"/>
    </row>
    <row r="349" spans="1:12" s="336" customFormat="1" x14ac:dyDescent="0.2">
      <c r="B349" s="182" t="s">
        <v>982</v>
      </c>
      <c r="G349" s="415"/>
      <c r="H349" s="415"/>
    </row>
    <row r="350" spans="1:12" s="336" customFormat="1" x14ac:dyDescent="0.2">
      <c r="B350" s="336" t="s">
        <v>67</v>
      </c>
      <c r="E350" s="336" t="s">
        <v>67</v>
      </c>
      <c r="F350" s="478">
        <f>'JKP-3.1c - Norm Rev Rates GTI10'!R635</f>
        <v>100</v>
      </c>
      <c r="G350" s="415"/>
      <c r="H350" s="415"/>
    </row>
    <row r="351" spans="1:12" s="336" customFormat="1" x14ac:dyDescent="0.2">
      <c r="B351" s="336" t="s">
        <v>76</v>
      </c>
      <c r="E351" s="336" t="s">
        <v>10</v>
      </c>
      <c r="F351" s="478">
        <f>'JKP-3.1c - Norm Rev Rates GTI10'!R640</f>
        <v>2862112</v>
      </c>
      <c r="G351" s="415"/>
      <c r="H351" s="415"/>
    </row>
    <row r="352" spans="1:12" s="336" customFormat="1" x14ac:dyDescent="0.2">
      <c r="B352" s="336" t="s">
        <v>74</v>
      </c>
      <c r="E352" s="336" t="s">
        <v>1076</v>
      </c>
      <c r="F352" s="421">
        <f>'JKP-3.1c - Norm Rev Rates GTI10'!R641</f>
        <v>29316</v>
      </c>
      <c r="G352" s="415"/>
      <c r="H352" s="415"/>
    </row>
    <row r="353" spans="1:11" s="336" customFormat="1" x14ac:dyDescent="0.2">
      <c r="F353" s="179"/>
      <c r="G353" s="415"/>
      <c r="H353" s="415"/>
    </row>
    <row r="354" spans="1:11" s="336" customFormat="1" x14ac:dyDescent="0.2">
      <c r="B354" s="182" t="s">
        <v>985</v>
      </c>
      <c r="F354" s="179"/>
      <c r="G354" s="415"/>
      <c r="H354" s="415"/>
    </row>
    <row r="355" spans="1:11" s="336" customFormat="1" x14ac:dyDescent="0.2">
      <c r="A355" s="336" t="s">
        <v>1054</v>
      </c>
      <c r="B355" s="336" t="s">
        <v>1059</v>
      </c>
      <c r="D355" s="336">
        <v>85</v>
      </c>
      <c r="F355" s="447">
        <f>'JKP-3.1c - Norm Rev Rates GTI10'!R645</f>
        <v>55868.000000000007</v>
      </c>
      <c r="G355" s="415"/>
      <c r="H355" s="415"/>
    </row>
    <row r="356" spans="1:11" x14ac:dyDescent="0.2">
      <c r="A356" s="32" t="s">
        <v>1054</v>
      </c>
      <c r="B356" s="32" t="s">
        <v>1047</v>
      </c>
      <c r="F356" s="715">
        <f>'JKP-3.1c - Norm Rev Rates GTI10'!R650</f>
        <v>253230.30878999995</v>
      </c>
      <c r="G356" s="390"/>
      <c r="H356" s="390"/>
      <c r="I356" s="32"/>
      <c r="J356" s="32"/>
      <c r="K356" s="32"/>
    </row>
    <row r="357" spans="1:11" x14ac:dyDescent="0.2">
      <c r="A357" s="336" t="s">
        <v>1056</v>
      </c>
      <c r="B357" s="32" t="s">
        <v>1057</v>
      </c>
      <c r="D357" s="32">
        <v>101</v>
      </c>
      <c r="F357" s="364">
        <f>F344*F351</f>
        <v>1893773.64704</v>
      </c>
      <c r="G357" s="390"/>
      <c r="H357" s="390"/>
      <c r="I357" s="32"/>
      <c r="J357" s="32"/>
      <c r="K357" s="32"/>
    </row>
    <row r="358" spans="1:11" x14ac:dyDescent="0.2">
      <c r="A358" s="390" t="s">
        <v>1054</v>
      </c>
      <c r="B358" s="390" t="s">
        <v>1096</v>
      </c>
      <c r="D358" s="462">
        <v>85</v>
      </c>
      <c r="E358" s="390"/>
      <c r="F358" s="715">
        <f>'JKP-3.1c - Norm Rev Rates GTI10'!R652</f>
        <v>19347.877120000005</v>
      </c>
      <c r="G358" s="390"/>
      <c r="H358" s="390"/>
      <c r="I358" s="32"/>
      <c r="J358" s="32"/>
      <c r="K358" s="32"/>
    </row>
    <row r="359" spans="1:11" x14ac:dyDescent="0.2">
      <c r="B359" s="32" t="s">
        <v>1068</v>
      </c>
      <c r="F359" s="364"/>
      <c r="G359" s="390"/>
      <c r="H359" s="390"/>
      <c r="I359" s="32"/>
      <c r="J359" s="32"/>
      <c r="K359" s="32"/>
    </row>
    <row r="360" spans="1:11" x14ac:dyDescent="0.2">
      <c r="A360" s="32" t="s">
        <v>1054</v>
      </c>
      <c r="C360" s="32" t="s">
        <v>1069</v>
      </c>
      <c r="D360" s="32">
        <v>85</v>
      </c>
      <c r="F360" s="714">
        <f>'JKP-3.1c - Norm Rev Rates GTI10'!R654</f>
        <v>33420.239999999998</v>
      </c>
      <c r="G360" s="390"/>
      <c r="H360" s="390"/>
      <c r="I360" s="32"/>
      <c r="J360" s="32"/>
      <c r="K360" s="32"/>
    </row>
    <row r="361" spans="1:11" x14ac:dyDescent="0.2">
      <c r="A361" s="336" t="s">
        <v>1056</v>
      </c>
      <c r="C361" s="32" t="s">
        <v>1070</v>
      </c>
      <c r="D361" s="32">
        <v>101</v>
      </c>
      <c r="F361" s="364">
        <f>F345*F352</f>
        <v>30781.800000000003</v>
      </c>
      <c r="G361" s="390"/>
      <c r="H361" s="390"/>
      <c r="I361" s="32"/>
      <c r="J361" s="32"/>
      <c r="K361" s="32"/>
    </row>
    <row r="362" spans="1:11" x14ac:dyDescent="0.2">
      <c r="C362" s="32" t="s">
        <v>1078</v>
      </c>
      <c r="F362" s="365">
        <f>SUM(F360:F361)</f>
        <v>64202.04</v>
      </c>
      <c r="G362" s="390"/>
      <c r="H362" s="390"/>
      <c r="I362" s="32"/>
      <c r="J362" s="32"/>
      <c r="K362" s="32"/>
    </row>
    <row r="363" spans="1:11" s="336" customFormat="1" x14ac:dyDescent="0.2">
      <c r="A363" s="336" t="s">
        <v>1054</v>
      </c>
      <c r="B363" s="336" t="s">
        <v>1071</v>
      </c>
      <c r="D363" s="336">
        <v>85</v>
      </c>
      <c r="F363" s="447">
        <f>'JKP-3.1c - Data'!O184</f>
        <v>17392.489999999998</v>
      </c>
      <c r="G363" s="415"/>
      <c r="H363" s="415"/>
    </row>
    <row r="364" spans="1:11" x14ac:dyDescent="0.2">
      <c r="B364" s="32" t="s">
        <v>1079</v>
      </c>
      <c r="F364" s="365">
        <f>F357+F361</f>
        <v>1924555.44704</v>
      </c>
      <c r="G364" s="390"/>
      <c r="H364" s="390"/>
      <c r="I364" s="32"/>
      <c r="J364" s="32"/>
      <c r="K364" s="32"/>
    </row>
    <row r="365" spans="1:11" x14ac:dyDescent="0.2">
      <c r="B365" s="32" t="s">
        <v>986</v>
      </c>
      <c r="F365" s="365">
        <f>F355+F356+F357+F358+F362+F363</f>
        <v>2303814.36295</v>
      </c>
      <c r="G365" s="340"/>
      <c r="H365" s="390"/>
      <c r="I365" s="32"/>
      <c r="J365" s="32"/>
      <c r="K365" s="32"/>
    </row>
    <row r="366" spans="1:11" x14ac:dyDescent="0.2">
      <c r="F366" s="417"/>
      <c r="G366" s="340"/>
      <c r="H366" s="390"/>
      <c r="I366" s="32"/>
      <c r="J366" s="32"/>
      <c r="K366" s="32"/>
    </row>
    <row r="367" spans="1:11" x14ac:dyDescent="0.2">
      <c r="A367" s="32" t="s">
        <v>1058</v>
      </c>
      <c r="B367" s="32" t="s">
        <v>1050</v>
      </c>
      <c r="F367" s="417">
        <f>F346*F351+F352*F347</f>
        <v>1840031.1568000002</v>
      </c>
      <c r="G367" s="340"/>
      <c r="H367" s="390"/>
      <c r="I367" s="32"/>
      <c r="J367" s="32"/>
      <c r="K367" s="32"/>
    </row>
    <row r="368" spans="1:11" x14ac:dyDescent="0.2">
      <c r="F368" s="341"/>
      <c r="G368" s="415"/>
      <c r="H368" s="390"/>
      <c r="I368" s="32"/>
      <c r="J368" s="32"/>
      <c r="K368" s="32"/>
    </row>
    <row r="369" spans="1:12" x14ac:dyDescent="0.2">
      <c r="B369" s="276" t="s">
        <v>1103</v>
      </c>
      <c r="C369" s="276"/>
      <c r="G369" s="390"/>
      <c r="H369" s="390"/>
      <c r="I369" s="390"/>
      <c r="L369" s="390"/>
    </row>
    <row r="370" spans="1:12" s="336" customFormat="1" x14ac:dyDescent="0.2">
      <c r="B370" s="182" t="s">
        <v>982</v>
      </c>
      <c r="G370" s="415"/>
      <c r="H370" s="415"/>
    </row>
    <row r="371" spans="1:12" s="336" customFormat="1" x14ac:dyDescent="0.2">
      <c r="B371" s="336" t="s">
        <v>67</v>
      </c>
      <c r="E371" s="336" t="s">
        <v>67</v>
      </c>
      <c r="F371" s="421">
        <f>'JKP-3.1c - Norm Rev Rates GTI10'!R509</f>
        <v>746</v>
      </c>
      <c r="G371" s="415"/>
      <c r="H371" s="415"/>
    </row>
    <row r="372" spans="1:12" s="336" customFormat="1" x14ac:dyDescent="0.2">
      <c r="B372" s="336" t="s">
        <v>76</v>
      </c>
      <c r="E372" s="336" t="s">
        <v>10</v>
      </c>
      <c r="F372" s="478">
        <f>'JKP-3.1c - Norm Rev Rates GTI10'!R514</f>
        <v>41955757</v>
      </c>
      <c r="G372" s="415"/>
      <c r="H372" s="415"/>
    </row>
    <row r="373" spans="1:12" s="336" customFormat="1" x14ac:dyDescent="0.2">
      <c r="B373" s="336" t="s">
        <v>74</v>
      </c>
      <c r="E373" s="336" t="s">
        <v>1076</v>
      </c>
      <c r="F373" s="478">
        <f>'JKP-3.1c - Norm Rev Rates GTI10'!R515</f>
        <v>440195</v>
      </c>
      <c r="G373" s="415"/>
      <c r="H373" s="415"/>
    </row>
    <row r="374" spans="1:12" x14ac:dyDescent="0.2">
      <c r="B374" s="276"/>
      <c r="C374" s="276"/>
      <c r="G374" s="390"/>
      <c r="H374" s="390"/>
      <c r="I374" s="390"/>
      <c r="L374" s="390"/>
    </row>
    <row r="375" spans="1:12" s="336" customFormat="1" x14ac:dyDescent="0.2">
      <c r="B375" s="182" t="s">
        <v>985</v>
      </c>
      <c r="G375" s="415"/>
      <c r="H375" s="415"/>
      <c r="I375" s="415"/>
      <c r="J375" s="415"/>
      <c r="K375" s="415"/>
      <c r="L375" s="415"/>
    </row>
    <row r="376" spans="1:12" s="336" customFormat="1" x14ac:dyDescent="0.2">
      <c r="A376" s="336" t="s">
        <v>1054</v>
      </c>
      <c r="B376" s="336" t="s">
        <v>1059</v>
      </c>
      <c r="D376" s="382" t="s">
        <v>809</v>
      </c>
      <c r="F376" s="447">
        <f>'JKP-3.1c - Norm Rev Rates GTI10'!R519</f>
        <v>666827.02</v>
      </c>
      <c r="G376" s="415"/>
      <c r="H376" s="415"/>
      <c r="I376" s="415"/>
      <c r="J376" s="415"/>
      <c r="K376" s="415"/>
      <c r="L376" s="415"/>
    </row>
    <row r="377" spans="1:12" x14ac:dyDescent="0.2">
      <c r="A377" s="32" t="s">
        <v>1054</v>
      </c>
      <c r="B377" s="32" t="s">
        <v>1047</v>
      </c>
      <c r="F377" s="715">
        <f>'JKP-3.1c - Norm Rev Rates GTI10'!R524</f>
        <v>3081953.1248400002</v>
      </c>
      <c r="G377" s="390"/>
      <c r="H377" s="390"/>
      <c r="I377" s="390"/>
      <c r="L377" s="390"/>
    </row>
    <row r="378" spans="1:12" x14ac:dyDescent="0.2">
      <c r="A378" s="390" t="s">
        <v>1056</v>
      </c>
      <c r="B378" s="32" t="s">
        <v>1081</v>
      </c>
      <c r="D378" s="462" t="s">
        <v>809</v>
      </c>
      <c r="E378" s="390"/>
      <c r="F378" s="715">
        <f>'JKP-3.1c - Norm Rev Rates GTI10'!R525</f>
        <v>29369.029899999994</v>
      </c>
      <c r="G378" s="390"/>
      <c r="H378" s="390"/>
      <c r="I378" s="390"/>
      <c r="L378" s="390"/>
    </row>
    <row r="379" spans="1:12" x14ac:dyDescent="0.2">
      <c r="A379" s="32" t="s">
        <v>1054</v>
      </c>
      <c r="B379" s="32" t="s">
        <v>1069</v>
      </c>
      <c r="D379" s="444" t="s">
        <v>809</v>
      </c>
      <c r="F379" s="714">
        <f>'JKP-3.1c - Norm Rev Rates GTI10'!R526</f>
        <v>501822.30000000005</v>
      </c>
      <c r="G379" s="390"/>
      <c r="H379" s="390"/>
      <c r="I379" s="390"/>
      <c r="L379" s="390"/>
    </row>
    <row r="380" spans="1:12" s="336" customFormat="1" x14ac:dyDescent="0.2">
      <c r="A380" s="336" t="s">
        <v>1054</v>
      </c>
      <c r="B380" s="336" t="s">
        <v>1071</v>
      </c>
      <c r="D380" s="382" t="s">
        <v>809</v>
      </c>
      <c r="F380" s="447">
        <f>'JKP-3.1c - Norm Rev Rates GTI10'!R527</f>
        <v>18058.530000000006</v>
      </c>
      <c r="G380" s="415"/>
      <c r="H380" s="415"/>
      <c r="I380" s="415"/>
      <c r="J380" s="415"/>
      <c r="K380" s="415"/>
      <c r="L380" s="415"/>
    </row>
    <row r="381" spans="1:12" x14ac:dyDescent="0.2">
      <c r="B381" s="32" t="s">
        <v>986</v>
      </c>
      <c r="F381" s="365">
        <f>SUM(F376:F380)</f>
        <v>4298030.0047400007</v>
      </c>
      <c r="G381" s="390"/>
      <c r="H381" s="390"/>
      <c r="I381" s="390"/>
      <c r="L381" s="390"/>
    </row>
    <row r="382" spans="1:12" x14ac:dyDescent="0.2">
      <c r="F382" s="364"/>
      <c r="G382" s="390"/>
      <c r="H382" s="390"/>
      <c r="I382" s="390"/>
      <c r="L382" s="390"/>
    </row>
    <row r="383" spans="1:12" x14ac:dyDescent="0.2">
      <c r="A383" s="32" t="s">
        <v>1058</v>
      </c>
      <c r="B383" s="32" t="s">
        <v>1050</v>
      </c>
      <c r="F383" s="364">
        <f>F378</f>
        <v>29369.029899999994</v>
      </c>
      <c r="G383" s="390"/>
      <c r="H383" s="390"/>
      <c r="I383" s="390"/>
      <c r="L383" s="390"/>
    </row>
    <row r="384" spans="1:12" x14ac:dyDescent="0.2">
      <c r="F384" s="364"/>
      <c r="G384" s="390"/>
      <c r="H384" s="390"/>
      <c r="I384" s="390"/>
      <c r="L384" s="390"/>
    </row>
    <row r="385" spans="1:11" x14ac:dyDescent="0.2">
      <c r="B385" s="276" t="s">
        <v>1111</v>
      </c>
      <c r="C385" s="276"/>
      <c r="G385" s="390"/>
      <c r="H385" s="390"/>
      <c r="I385" s="32"/>
      <c r="J385" s="32"/>
      <c r="K385" s="32"/>
    </row>
    <row r="386" spans="1:11" x14ac:dyDescent="0.2">
      <c r="B386" s="276" t="s">
        <v>5</v>
      </c>
      <c r="C386" s="276"/>
      <c r="G386" s="390"/>
      <c r="H386" s="390"/>
      <c r="I386" s="32"/>
      <c r="J386" s="32"/>
      <c r="K386" s="32"/>
    </row>
    <row r="387" spans="1:11" x14ac:dyDescent="0.2">
      <c r="B387" s="32" t="s">
        <v>1067</v>
      </c>
      <c r="D387" s="32">
        <v>101</v>
      </c>
      <c r="E387" s="32" t="s">
        <v>957</v>
      </c>
      <c r="F387" s="393">
        <f>F206</f>
        <v>0.66600000000000004</v>
      </c>
      <c r="G387" s="390"/>
      <c r="H387" s="390"/>
      <c r="I387" s="32"/>
      <c r="J387" s="32"/>
      <c r="K387" s="32"/>
    </row>
    <row r="388" spans="1:11" s="336" customFormat="1" x14ac:dyDescent="0.2">
      <c r="B388" s="336" t="s">
        <v>1070</v>
      </c>
      <c r="D388" s="336">
        <v>101</v>
      </c>
      <c r="E388" s="336" t="s">
        <v>957</v>
      </c>
      <c r="F388" s="460">
        <f>F207</f>
        <v>1.05</v>
      </c>
      <c r="G388" s="415"/>
      <c r="H388" s="415"/>
    </row>
    <row r="389" spans="1:11" s="336" customFormat="1" x14ac:dyDescent="0.2">
      <c r="B389" s="336" t="s">
        <v>1050</v>
      </c>
      <c r="E389" s="336" t="s">
        <v>957</v>
      </c>
      <c r="F389" s="393">
        <f>F208</f>
        <v>0.63678999999999997</v>
      </c>
      <c r="G389" s="415"/>
      <c r="H389" s="415"/>
    </row>
    <row r="390" spans="1:11" s="336" customFormat="1" x14ac:dyDescent="0.2">
      <c r="B390" s="336" t="s">
        <v>1072</v>
      </c>
      <c r="E390" s="336" t="s">
        <v>957</v>
      </c>
      <c r="F390" s="502">
        <f>F209</f>
        <v>1</v>
      </c>
      <c r="G390" s="415"/>
      <c r="H390" s="415"/>
    </row>
    <row r="391" spans="1:11" s="336" customFormat="1" x14ac:dyDescent="0.2">
      <c r="G391" s="415"/>
      <c r="H391" s="415"/>
    </row>
    <row r="392" spans="1:11" s="336" customFormat="1" x14ac:dyDescent="0.2">
      <c r="B392" s="182" t="s">
        <v>982</v>
      </c>
      <c r="G392" s="415"/>
      <c r="H392" s="415"/>
    </row>
    <row r="393" spans="1:11" s="336" customFormat="1" x14ac:dyDescent="0.2">
      <c r="B393" s="336" t="s">
        <v>67</v>
      </c>
      <c r="E393" s="336" t="s">
        <v>67</v>
      </c>
      <c r="F393" s="478">
        <f>'JKP-3.1c - Norm Rev Rates GTI10'!R679</f>
        <v>118</v>
      </c>
      <c r="G393" s="415"/>
      <c r="H393" s="415"/>
    </row>
    <row r="394" spans="1:11" s="336" customFormat="1" x14ac:dyDescent="0.2">
      <c r="B394" s="336" t="s">
        <v>76</v>
      </c>
      <c r="E394" s="336" t="s">
        <v>10</v>
      </c>
      <c r="F394" s="478">
        <f>'JKP-3.1c - Norm Rev Rates GTI10'!R683</f>
        <v>832332</v>
      </c>
      <c r="G394" s="415"/>
      <c r="H394" s="415"/>
    </row>
    <row r="395" spans="1:11" s="336" customFormat="1" x14ac:dyDescent="0.2">
      <c r="B395" s="336" t="s">
        <v>74</v>
      </c>
      <c r="E395" s="336" t="s">
        <v>1076</v>
      </c>
      <c r="F395" s="421">
        <f>'JKP-3.1c - Norm Rev Rates GTI10'!R684</f>
        <v>1584</v>
      </c>
      <c r="G395" s="415"/>
      <c r="H395" s="415"/>
    </row>
    <row r="396" spans="1:11" s="336" customFormat="1" x14ac:dyDescent="0.2">
      <c r="F396" s="179"/>
      <c r="G396" s="415"/>
      <c r="H396" s="415"/>
    </row>
    <row r="397" spans="1:11" s="336" customFormat="1" x14ac:dyDescent="0.2">
      <c r="B397" s="182" t="s">
        <v>985</v>
      </c>
      <c r="F397" s="179"/>
      <c r="G397" s="415"/>
      <c r="H397" s="415"/>
    </row>
    <row r="398" spans="1:11" s="336" customFormat="1" x14ac:dyDescent="0.2">
      <c r="A398" s="336" t="s">
        <v>1054</v>
      </c>
      <c r="B398" s="336" t="s">
        <v>1059</v>
      </c>
      <c r="D398" s="336">
        <v>86</v>
      </c>
      <c r="F398" s="447">
        <f>'JKP-3.1c - Norm Rev Rates GTI10'!R688</f>
        <v>16849.219999999998</v>
      </c>
      <c r="G398" s="415"/>
      <c r="H398" s="415"/>
    </row>
    <row r="399" spans="1:11" x14ac:dyDescent="0.2">
      <c r="A399" s="32" t="s">
        <v>1054</v>
      </c>
      <c r="B399" s="336" t="s">
        <v>1047</v>
      </c>
      <c r="F399" s="715">
        <f>'JKP-3.1c - Norm Rev Rates GTI10'!R692</f>
        <v>126788.57522999999</v>
      </c>
      <c r="G399" s="390"/>
      <c r="H399" s="390"/>
      <c r="I399" s="32"/>
      <c r="J399" s="32"/>
      <c r="K399" s="32"/>
    </row>
    <row r="400" spans="1:11" x14ac:dyDescent="0.2">
      <c r="A400" s="336" t="s">
        <v>1056</v>
      </c>
      <c r="B400" s="32" t="s">
        <v>1057</v>
      </c>
      <c r="D400" s="32">
        <v>101</v>
      </c>
      <c r="F400" s="417">
        <f>F387*F394</f>
        <v>554333.11200000008</v>
      </c>
      <c r="G400" s="390"/>
      <c r="H400" s="390"/>
      <c r="I400" s="32"/>
      <c r="J400" s="32"/>
      <c r="K400" s="32"/>
    </row>
    <row r="401" spans="1:12" x14ac:dyDescent="0.2">
      <c r="A401" s="32" t="s">
        <v>1054</v>
      </c>
      <c r="B401" s="32" t="s">
        <v>1096</v>
      </c>
      <c r="D401" s="444"/>
      <c r="F401" s="715">
        <f>'JKP-3.1c - Norm Rev Rates GTI10'!R694</f>
        <v>5618.2409999999991</v>
      </c>
      <c r="G401" s="390"/>
      <c r="H401" s="390"/>
      <c r="I401" s="32"/>
      <c r="J401" s="32"/>
      <c r="K401" s="32"/>
    </row>
    <row r="402" spans="1:12" x14ac:dyDescent="0.2">
      <c r="B402" s="32" t="s">
        <v>1068</v>
      </c>
      <c r="F402" s="364"/>
      <c r="G402" s="390"/>
      <c r="H402" s="390"/>
      <c r="I402" s="32"/>
      <c r="J402" s="32"/>
      <c r="K402" s="32"/>
    </row>
    <row r="403" spans="1:12" x14ac:dyDescent="0.2">
      <c r="A403" s="32" t="s">
        <v>1054</v>
      </c>
      <c r="C403" s="32" t="s">
        <v>1069</v>
      </c>
      <c r="D403" s="32">
        <v>86</v>
      </c>
      <c r="F403" s="714">
        <f>'JKP-3.1c - Norm Rev Rates GTI10'!R696</f>
        <v>1805.76</v>
      </c>
      <c r="G403" s="390"/>
      <c r="H403" s="390"/>
      <c r="I403" s="32"/>
      <c r="J403" s="32"/>
      <c r="K403" s="32"/>
    </row>
    <row r="404" spans="1:12" x14ac:dyDescent="0.2">
      <c r="A404" s="336" t="s">
        <v>1056</v>
      </c>
      <c r="C404" s="32" t="s">
        <v>1070</v>
      </c>
      <c r="D404" s="32">
        <v>101</v>
      </c>
      <c r="F404" s="714">
        <f>'JKP-3.1c - Norm Rev Rates GTI10'!R697</f>
        <v>1663.1999999999996</v>
      </c>
      <c r="G404" s="390"/>
      <c r="H404" s="390"/>
      <c r="I404" s="32"/>
      <c r="J404" s="32"/>
      <c r="K404" s="32"/>
    </row>
    <row r="405" spans="1:12" x14ac:dyDescent="0.2">
      <c r="C405" s="32" t="s">
        <v>1078</v>
      </c>
      <c r="F405" s="365">
        <f>SUM(F403:F404)</f>
        <v>3468.9599999999996</v>
      </c>
      <c r="G405" s="390"/>
      <c r="H405" s="390"/>
      <c r="I405" s="32"/>
      <c r="J405" s="32"/>
      <c r="K405" s="32"/>
    </row>
    <row r="406" spans="1:12" s="336" customFormat="1" x14ac:dyDescent="0.2">
      <c r="A406" s="336" t="s">
        <v>1054</v>
      </c>
      <c r="B406" s="336" t="s">
        <v>1071</v>
      </c>
      <c r="D406" s="336">
        <v>86</v>
      </c>
      <c r="F406" s="447">
        <f>'JKP-3.1c - Norm Rev Rates GTI10'!R699</f>
        <v>1255.01</v>
      </c>
      <c r="G406" s="415"/>
      <c r="H406" s="415"/>
    </row>
    <row r="407" spans="1:12" x14ac:dyDescent="0.2">
      <c r="B407" s="32" t="s">
        <v>1079</v>
      </c>
      <c r="F407" s="365">
        <f>F400+F404</f>
        <v>555996.31200000003</v>
      </c>
      <c r="G407" s="390"/>
      <c r="H407" s="390"/>
      <c r="I407" s="32"/>
      <c r="J407" s="32"/>
      <c r="K407" s="32"/>
    </row>
    <row r="408" spans="1:12" x14ac:dyDescent="0.2">
      <c r="B408" s="32" t="s">
        <v>986</v>
      </c>
      <c r="F408" s="365">
        <f>F398+F399+F400+F401+F405+F406</f>
        <v>708313.11823000002</v>
      </c>
      <c r="G408" s="340"/>
      <c r="H408" s="390"/>
      <c r="I408" s="32"/>
      <c r="J408" s="32"/>
      <c r="K408" s="32"/>
    </row>
    <row r="409" spans="1:12" x14ac:dyDescent="0.2">
      <c r="F409" s="341"/>
      <c r="G409" s="415"/>
      <c r="H409" s="390"/>
      <c r="I409" s="32"/>
      <c r="J409" s="32"/>
      <c r="K409" s="32"/>
    </row>
    <row r="410" spans="1:12" x14ac:dyDescent="0.2">
      <c r="A410" s="32" t="s">
        <v>1058</v>
      </c>
      <c r="B410" s="32" t="s">
        <v>1050</v>
      </c>
      <c r="F410" s="341">
        <f>F389*F394+F395*F390</f>
        <v>531604.69427999994</v>
      </c>
      <c r="G410" s="415"/>
      <c r="H410" s="390"/>
      <c r="I410" s="32"/>
      <c r="J410" s="32"/>
      <c r="K410" s="32"/>
    </row>
    <row r="411" spans="1:12" x14ac:dyDescent="0.2">
      <c r="F411" s="341"/>
      <c r="G411" s="415"/>
      <c r="H411" s="390"/>
      <c r="I411" s="32"/>
      <c r="J411" s="32"/>
      <c r="K411" s="32"/>
    </row>
    <row r="412" spans="1:12" x14ac:dyDescent="0.2">
      <c r="B412" s="276" t="s">
        <v>1104</v>
      </c>
      <c r="C412" s="276"/>
      <c r="G412" s="390"/>
      <c r="H412" s="390"/>
      <c r="I412" s="390"/>
      <c r="L412" s="390"/>
    </row>
    <row r="413" spans="1:12" s="336" customFormat="1" x14ac:dyDescent="0.2">
      <c r="B413" s="182" t="s">
        <v>982</v>
      </c>
      <c r="G413" s="415"/>
      <c r="H413" s="415"/>
    </row>
    <row r="414" spans="1:12" s="336" customFormat="1" x14ac:dyDescent="0.2">
      <c r="B414" s="336" t="s">
        <v>67</v>
      </c>
      <c r="E414" s="336" t="s">
        <v>67</v>
      </c>
      <c r="F414" s="421">
        <f>'JKP-3.1c - Norm Rev Rates GTI10'!R543</f>
        <v>12</v>
      </c>
      <c r="G414" s="415"/>
      <c r="H414" s="415"/>
    </row>
    <row r="415" spans="1:12" s="336" customFormat="1" x14ac:dyDescent="0.2">
      <c r="B415" s="336" t="s">
        <v>76</v>
      </c>
      <c r="E415" s="336" t="s">
        <v>10</v>
      </c>
      <c r="F415" s="478">
        <f>'JKP-3.1c - Norm Rev Rates GTI10'!R547</f>
        <v>72783</v>
      </c>
      <c r="G415" s="415"/>
      <c r="H415" s="415"/>
    </row>
    <row r="416" spans="1:12" s="336" customFormat="1" x14ac:dyDescent="0.2">
      <c r="B416" s="336" t="s">
        <v>74</v>
      </c>
      <c r="E416" s="336" t="s">
        <v>1076</v>
      </c>
      <c r="F416" s="478">
        <f>'JKP-3.1c - Norm Rev Rates GTI10'!R548</f>
        <v>0</v>
      </c>
      <c r="G416" s="415"/>
      <c r="H416" s="415"/>
    </row>
    <row r="417" spans="1:12" x14ac:dyDescent="0.2">
      <c r="B417" s="276"/>
      <c r="C417" s="276"/>
      <c r="G417" s="390"/>
      <c r="H417" s="390"/>
      <c r="I417" s="390"/>
      <c r="L417" s="390"/>
    </row>
    <row r="418" spans="1:12" s="336" customFormat="1" x14ac:dyDescent="0.2">
      <c r="B418" s="182" t="s">
        <v>985</v>
      </c>
      <c r="G418" s="415"/>
      <c r="H418" s="415"/>
      <c r="I418" s="415"/>
      <c r="J418" s="415"/>
      <c r="K418" s="415"/>
      <c r="L418" s="415"/>
    </row>
    <row r="419" spans="1:12" s="336" customFormat="1" x14ac:dyDescent="0.2">
      <c r="A419" s="336" t="s">
        <v>1054</v>
      </c>
      <c r="B419" s="336" t="s">
        <v>1059</v>
      </c>
      <c r="D419" s="382" t="s">
        <v>810</v>
      </c>
      <c r="F419" s="447">
        <f>'JKP-3.1c - Norm Rev Rates GTI10'!R552</f>
        <v>5451.96</v>
      </c>
      <c r="G419" s="415"/>
      <c r="H419" s="415"/>
      <c r="I419" s="415"/>
      <c r="J419" s="415"/>
      <c r="K419" s="415"/>
      <c r="L419" s="415"/>
    </row>
    <row r="420" spans="1:12" x14ac:dyDescent="0.2">
      <c r="A420" s="32" t="s">
        <v>1054</v>
      </c>
      <c r="B420" s="32" t="s">
        <v>1047</v>
      </c>
      <c r="F420" s="715">
        <f>'JKP-3.1c - Norm Rev Rates GTI10'!R556</f>
        <v>11070.661940000002</v>
      </c>
      <c r="G420" s="390"/>
      <c r="H420" s="390"/>
      <c r="I420" s="390"/>
      <c r="L420" s="390"/>
    </row>
    <row r="421" spans="1:12" x14ac:dyDescent="0.2">
      <c r="A421" s="390" t="s">
        <v>1056</v>
      </c>
      <c r="B421" s="32" t="s">
        <v>1081</v>
      </c>
      <c r="D421" s="462" t="s">
        <v>810</v>
      </c>
      <c r="E421" s="390"/>
      <c r="F421" s="715">
        <f>'JKP-3.1c - Norm Rev Rates GTI10'!R557</f>
        <v>50.94809999999999</v>
      </c>
      <c r="G421" s="390"/>
      <c r="H421" s="390"/>
      <c r="I421" s="390"/>
      <c r="L421" s="390"/>
    </row>
    <row r="422" spans="1:12" x14ac:dyDescent="0.2">
      <c r="A422" s="32" t="s">
        <v>1054</v>
      </c>
      <c r="B422" s="32" t="s">
        <v>1069</v>
      </c>
      <c r="D422" s="444" t="s">
        <v>810</v>
      </c>
      <c r="F422" s="714">
        <f>'JKP-3.1c - Norm Rev Rates GTI10'!R558</f>
        <v>0</v>
      </c>
      <c r="G422" s="390"/>
      <c r="H422" s="390"/>
      <c r="I422" s="390"/>
      <c r="L422" s="390"/>
    </row>
    <row r="423" spans="1:12" s="336" customFormat="1" x14ac:dyDescent="0.2">
      <c r="A423" s="336" t="s">
        <v>1054</v>
      </c>
      <c r="B423" s="336" t="s">
        <v>1071</v>
      </c>
      <c r="D423" s="382" t="s">
        <v>810</v>
      </c>
      <c r="F423" s="447">
        <f>'JKP-3.1c - Norm Rev Rates GTI10'!R559</f>
        <v>68.489999999999995</v>
      </c>
      <c r="G423" s="415"/>
      <c r="H423" s="415"/>
      <c r="I423" s="415"/>
      <c r="J423" s="415"/>
      <c r="K423" s="415"/>
      <c r="L423" s="415"/>
    </row>
    <row r="424" spans="1:12" x14ac:dyDescent="0.2">
      <c r="B424" s="32" t="s">
        <v>986</v>
      </c>
      <c r="F424" s="365">
        <f>SUM(F419:F423)</f>
        <v>16642.060040000004</v>
      </c>
      <c r="G424" s="390"/>
      <c r="H424" s="390"/>
      <c r="I424" s="390"/>
      <c r="L424" s="390"/>
    </row>
    <row r="425" spans="1:12" x14ac:dyDescent="0.2">
      <c r="F425" s="364"/>
      <c r="G425" s="390"/>
      <c r="H425" s="390"/>
      <c r="I425" s="390"/>
      <c r="L425" s="390"/>
    </row>
    <row r="426" spans="1:12" x14ac:dyDescent="0.2">
      <c r="A426" s="32" t="s">
        <v>1058</v>
      </c>
      <c r="B426" s="32" t="s">
        <v>1050</v>
      </c>
      <c r="F426" s="364">
        <f>'JKP-3.1c - Norm Rev Rates GTI10'!R562</f>
        <v>50.94809999999999</v>
      </c>
      <c r="G426" s="390"/>
      <c r="H426" s="390"/>
      <c r="I426" s="390"/>
      <c r="L426" s="390"/>
    </row>
    <row r="427" spans="1:12" x14ac:dyDescent="0.2">
      <c r="F427" s="364"/>
      <c r="G427" s="390"/>
      <c r="H427" s="390"/>
      <c r="I427" s="390"/>
      <c r="L427" s="390"/>
    </row>
    <row r="428" spans="1:12" x14ac:dyDescent="0.2">
      <c r="B428" s="276" t="s">
        <v>1112</v>
      </c>
      <c r="C428" s="276"/>
      <c r="G428" s="390"/>
      <c r="H428" s="390"/>
      <c r="I428" s="32"/>
      <c r="J428" s="32"/>
      <c r="K428" s="32"/>
    </row>
    <row r="429" spans="1:12" x14ac:dyDescent="0.2">
      <c r="B429" s="276" t="s">
        <v>5</v>
      </c>
      <c r="C429" s="276"/>
      <c r="G429" s="390"/>
      <c r="H429" s="390"/>
      <c r="I429" s="32"/>
      <c r="J429" s="32"/>
      <c r="K429" s="32"/>
    </row>
    <row r="430" spans="1:12" x14ac:dyDescent="0.2">
      <c r="A430" s="336"/>
      <c r="B430" s="32" t="s">
        <v>1067</v>
      </c>
      <c r="D430" s="32">
        <v>101</v>
      </c>
      <c r="E430" s="32" t="s">
        <v>957</v>
      </c>
      <c r="F430" s="393">
        <f>F234</f>
        <v>0.65993999999999997</v>
      </c>
      <c r="G430" s="390"/>
      <c r="H430" s="390"/>
      <c r="I430" s="32"/>
      <c r="J430" s="32"/>
      <c r="K430" s="32"/>
    </row>
    <row r="431" spans="1:12" x14ac:dyDescent="0.2">
      <c r="A431" s="336"/>
      <c r="B431" s="32" t="s">
        <v>1070</v>
      </c>
      <c r="D431" s="32">
        <v>101</v>
      </c>
      <c r="E431" s="32" t="s">
        <v>957</v>
      </c>
      <c r="F431" s="413">
        <f>F235</f>
        <v>1.05</v>
      </c>
      <c r="G431" s="390"/>
      <c r="H431" s="390"/>
      <c r="I431" s="32"/>
      <c r="J431" s="32"/>
      <c r="K431" s="32"/>
    </row>
    <row r="432" spans="1:12" x14ac:dyDescent="0.2">
      <c r="A432" s="336"/>
      <c r="B432" s="32" t="s">
        <v>1050</v>
      </c>
      <c r="E432" s="32" t="s">
        <v>957</v>
      </c>
      <c r="F432" s="393">
        <f>F236</f>
        <v>0.63099000000000005</v>
      </c>
      <c r="G432" s="390"/>
      <c r="H432" s="390"/>
      <c r="I432" s="32"/>
      <c r="J432" s="32"/>
      <c r="K432" s="32"/>
    </row>
    <row r="433" spans="1:11" x14ac:dyDescent="0.2">
      <c r="A433" s="336"/>
      <c r="B433" s="32" t="s">
        <v>1072</v>
      </c>
      <c r="E433" s="32" t="s">
        <v>957</v>
      </c>
      <c r="F433" s="502">
        <f>F237</f>
        <v>1</v>
      </c>
      <c r="G433" s="390"/>
      <c r="H433" s="390"/>
      <c r="I433" s="32"/>
      <c r="J433" s="32"/>
      <c r="K433" s="32"/>
    </row>
    <row r="434" spans="1:11" s="336" customFormat="1" x14ac:dyDescent="0.2">
      <c r="G434" s="415"/>
      <c r="H434" s="415"/>
    </row>
    <row r="435" spans="1:11" s="336" customFormat="1" x14ac:dyDescent="0.2">
      <c r="B435" s="182" t="s">
        <v>982</v>
      </c>
      <c r="G435" s="415"/>
      <c r="H435" s="415"/>
    </row>
    <row r="436" spans="1:11" s="336" customFormat="1" x14ac:dyDescent="0.2">
      <c r="B436" s="336" t="s">
        <v>67</v>
      </c>
      <c r="E436" s="336" t="s">
        <v>67</v>
      </c>
      <c r="F436" s="421">
        <f>'JKP-3.1c - Norm Rev Rates GTI10'!R725</f>
        <v>12</v>
      </c>
      <c r="G436" s="415"/>
      <c r="H436" s="415"/>
    </row>
    <row r="437" spans="1:11" s="336" customFormat="1" x14ac:dyDescent="0.2">
      <c r="B437" s="336" t="s">
        <v>76</v>
      </c>
      <c r="E437" s="336" t="s">
        <v>10</v>
      </c>
      <c r="F437" s="478">
        <f>'JKP-3.1c - Norm Rev Rates GTI10'!R733</f>
        <v>1789038</v>
      </c>
      <c r="G437" s="415"/>
      <c r="H437" s="415"/>
    </row>
    <row r="438" spans="1:11" s="336" customFormat="1" x14ac:dyDescent="0.2">
      <c r="B438" s="336" t="s">
        <v>74</v>
      </c>
      <c r="E438" s="336" t="s">
        <v>1076</v>
      </c>
      <c r="F438" s="421">
        <f>'JKP-3.1c - Norm Rev Rates GTI10'!R734</f>
        <v>0</v>
      </c>
      <c r="G438" s="415"/>
      <c r="H438" s="415"/>
    </row>
    <row r="439" spans="1:11" s="336" customFormat="1" x14ac:dyDescent="0.2">
      <c r="F439" s="179"/>
      <c r="G439" s="415"/>
      <c r="H439" s="415"/>
    </row>
    <row r="440" spans="1:11" s="336" customFormat="1" x14ac:dyDescent="0.2">
      <c r="B440" s="182" t="s">
        <v>985</v>
      </c>
      <c r="F440" s="179"/>
      <c r="G440" s="415"/>
      <c r="H440" s="415"/>
    </row>
    <row r="441" spans="1:11" s="336" customFormat="1" x14ac:dyDescent="0.2">
      <c r="A441" s="336" t="s">
        <v>1054</v>
      </c>
      <c r="B441" s="336" t="s">
        <v>1059</v>
      </c>
      <c r="D441" s="336">
        <v>87</v>
      </c>
      <c r="F441" s="713">
        <f>'JKP-3.1c - Norm Rev Rates GTI10'!R738</f>
        <v>6701.04</v>
      </c>
      <c r="G441" s="415"/>
      <c r="H441" s="415"/>
    </row>
    <row r="442" spans="1:11" x14ac:dyDescent="0.2">
      <c r="A442" s="32" t="s">
        <v>1054</v>
      </c>
      <c r="B442" s="336" t="s">
        <v>1047</v>
      </c>
      <c r="F442" s="715">
        <f>'JKP-3.1c - Norm Rev Rates GTI10'!R746</f>
        <v>122895.72906</v>
      </c>
      <c r="G442" s="390"/>
      <c r="H442" s="390"/>
      <c r="I442" s="32"/>
      <c r="J442" s="32"/>
      <c r="K442" s="32"/>
    </row>
    <row r="443" spans="1:11" x14ac:dyDescent="0.2">
      <c r="A443" s="32" t="s">
        <v>1056</v>
      </c>
      <c r="B443" s="32" t="s">
        <v>1057</v>
      </c>
      <c r="D443" s="32">
        <v>101</v>
      </c>
      <c r="F443" s="417">
        <f>F430*F437</f>
        <v>1180657.7377199999</v>
      </c>
      <c r="G443" s="390"/>
      <c r="H443" s="390"/>
      <c r="I443" s="32"/>
      <c r="J443" s="32"/>
      <c r="K443" s="32"/>
    </row>
    <row r="444" spans="1:11" x14ac:dyDescent="0.2">
      <c r="A444" s="32" t="s">
        <v>1054</v>
      </c>
      <c r="B444" s="32" t="s">
        <v>1096</v>
      </c>
      <c r="D444" s="444">
        <v>87</v>
      </c>
      <c r="F444" s="715">
        <f>'JKP-3.1c - Norm Rev Rates GTI10'!R748</f>
        <v>9302.9976000000006</v>
      </c>
      <c r="G444" s="390"/>
      <c r="H444" s="390"/>
      <c r="I444" s="32"/>
      <c r="J444" s="32"/>
      <c r="K444" s="32"/>
    </row>
    <row r="445" spans="1:11" x14ac:dyDescent="0.2">
      <c r="B445" s="32" t="s">
        <v>1068</v>
      </c>
      <c r="F445" s="364"/>
      <c r="G445" s="390"/>
      <c r="H445" s="390"/>
      <c r="I445" s="32"/>
      <c r="J445" s="32"/>
      <c r="K445" s="32"/>
    </row>
    <row r="446" spans="1:11" x14ac:dyDescent="0.2">
      <c r="A446" s="32" t="s">
        <v>1054</v>
      </c>
      <c r="C446" s="32" t="s">
        <v>1069</v>
      </c>
      <c r="D446" s="444">
        <v>87</v>
      </c>
      <c r="F446" s="364">
        <f>'JKP-3.1c - Norm Rev Rates GTI10'!R750</f>
        <v>0</v>
      </c>
      <c r="G446" s="390"/>
      <c r="H446" s="390"/>
      <c r="I446" s="32"/>
      <c r="J446" s="32"/>
      <c r="K446" s="32"/>
    </row>
    <row r="447" spans="1:11" x14ac:dyDescent="0.2">
      <c r="A447" s="32" t="s">
        <v>1056</v>
      </c>
      <c r="C447" s="32" t="s">
        <v>1070</v>
      </c>
      <c r="D447" s="32">
        <v>101</v>
      </c>
      <c r="F447" s="364">
        <f>F431*F438</f>
        <v>0</v>
      </c>
      <c r="G447" s="390"/>
      <c r="H447" s="390"/>
      <c r="I447" s="32"/>
      <c r="J447" s="32"/>
      <c r="K447" s="32"/>
    </row>
    <row r="448" spans="1:11" x14ac:dyDescent="0.2">
      <c r="C448" s="32" t="s">
        <v>1078</v>
      </c>
      <c r="F448" s="365">
        <f>SUM(F446:F447)</f>
        <v>0</v>
      </c>
      <c r="G448" s="390"/>
      <c r="H448" s="390"/>
      <c r="I448" s="32"/>
      <c r="J448" s="32"/>
      <c r="K448" s="32"/>
    </row>
    <row r="449" spans="1:12" s="336" customFormat="1" x14ac:dyDescent="0.2">
      <c r="A449" s="336" t="s">
        <v>1054</v>
      </c>
      <c r="B449" s="336" t="s">
        <v>1071</v>
      </c>
      <c r="D449" s="382">
        <v>87</v>
      </c>
      <c r="F449" s="447">
        <f>'JKP-3.1c - Norm Rev Rates GTI10'!R753</f>
        <v>70168.09</v>
      </c>
      <c r="G449" s="415"/>
      <c r="H449" s="415"/>
    </row>
    <row r="450" spans="1:12" x14ac:dyDescent="0.2">
      <c r="B450" s="32" t="s">
        <v>1079</v>
      </c>
      <c r="F450" s="365">
        <f>F443+F447</f>
        <v>1180657.7377199999</v>
      </c>
      <c r="G450" s="390"/>
      <c r="H450" s="390"/>
      <c r="I450" s="32"/>
      <c r="J450" s="32"/>
      <c r="K450" s="32"/>
    </row>
    <row r="451" spans="1:12" x14ac:dyDescent="0.2">
      <c r="B451" s="32" t="s">
        <v>986</v>
      </c>
      <c r="F451" s="365">
        <f>F441+F442+F443+F444+F448+F449</f>
        <v>1389725.5943799999</v>
      </c>
      <c r="G451" s="340"/>
      <c r="H451" s="390"/>
      <c r="I451" s="32"/>
      <c r="J451" s="32"/>
      <c r="K451" s="32"/>
    </row>
    <row r="452" spans="1:12" x14ac:dyDescent="0.2">
      <c r="F452" s="417"/>
      <c r="G452" s="340"/>
      <c r="H452" s="390"/>
      <c r="I452" s="32"/>
      <c r="J452" s="32"/>
      <c r="K452" s="32"/>
    </row>
    <row r="453" spans="1:12" x14ac:dyDescent="0.2">
      <c r="A453" s="32" t="s">
        <v>1058</v>
      </c>
      <c r="B453" s="32" t="s">
        <v>1050</v>
      </c>
      <c r="F453" s="417">
        <f>F432*F437+F438*F433</f>
        <v>1128865.0876200001</v>
      </c>
      <c r="G453" s="340"/>
      <c r="H453" s="390"/>
      <c r="I453" s="32"/>
      <c r="J453" s="32"/>
      <c r="K453" s="32"/>
    </row>
    <row r="454" spans="1:12" x14ac:dyDescent="0.2">
      <c r="C454" s="386"/>
      <c r="F454" s="341"/>
      <c r="G454" s="415"/>
      <c r="H454" s="390"/>
      <c r="I454" s="32"/>
      <c r="J454" s="32"/>
      <c r="K454" s="32"/>
    </row>
    <row r="455" spans="1:12" x14ac:dyDescent="0.2">
      <c r="B455" s="276" t="s">
        <v>1106</v>
      </c>
      <c r="C455" s="276"/>
      <c r="G455" s="390"/>
      <c r="H455" s="390"/>
      <c r="I455" s="390"/>
      <c r="L455" s="390"/>
    </row>
    <row r="456" spans="1:12" s="336" customFormat="1" x14ac:dyDescent="0.2">
      <c r="B456" s="182" t="s">
        <v>982</v>
      </c>
      <c r="G456" s="415"/>
      <c r="H456" s="415"/>
      <c r="I456" s="415"/>
      <c r="J456" s="415"/>
      <c r="K456" s="415"/>
      <c r="L456" s="415"/>
    </row>
    <row r="457" spans="1:12" s="336" customFormat="1" x14ac:dyDescent="0.2">
      <c r="B457" s="336" t="s">
        <v>67</v>
      </c>
      <c r="E457" s="336" t="s">
        <v>67</v>
      </c>
      <c r="F457" s="421">
        <f>'JKP-3.1c - Norm Rev Rates GTI10'!R579</f>
        <v>131</v>
      </c>
      <c r="G457" s="415"/>
      <c r="H457" s="415"/>
      <c r="I457" s="415"/>
      <c r="J457" s="415"/>
      <c r="K457" s="415"/>
      <c r="L457" s="415"/>
    </row>
    <row r="458" spans="1:12" s="336" customFormat="1" x14ac:dyDescent="0.2">
      <c r="B458" s="336" t="s">
        <v>76</v>
      </c>
      <c r="D458" s="382"/>
      <c r="E458" s="336" t="s">
        <v>10</v>
      </c>
      <c r="F458" s="478">
        <f>'JKP-3.1c - Norm Rev Rates GTI10'!R587</f>
        <v>79981230</v>
      </c>
      <c r="G458" s="415"/>
      <c r="H458" s="415"/>
      <c r="I458" s="415"/>
      <c r="J458" s="415"/>
      <c r="K458" s="415"/>
      <c r="L458" s="415"/>
    </row>
    <row r="459" spans="1:12" s="336" customFormat="1" x14ac:dyDescent="0.2">
      <c r="B459" s="336" t="s">
        <v>74</v>
      </c>
      <c r="D459" s="382"/>
      <c r="E459" s="336" t="s">
        <v>1076</v>
      </c>
      <c r="F459" s="421">
        <f>'JKP-3.1c - Norm Rev Rates GTI10'!R588</f>
        <v>452851</v>
      </c>
      <c r="G459" s="415"/>
      <c r="H459" s="506"/>
      <c r="I459" s="415"/>
      <c r="J459" s="415"/>
      <c r="K459" s="415"/>
      <c r="L459" s="415"/>
    </row>
    <row r="460" spans="1:12" s="336" customFormat="1" x14ac:dyDescent="0.2">
      <c r="G460" s="415"/>
      <c r="H460" s="415"/>
      <c r="I460" s="415"/>
      <c r="J460" s="415"/>
      <c r="K460" s="415"/>
      <c r="L460" s="415"/>
    </row>
    <row r="461" spans="1:12" s="336" customFormat="1" x14ac:dyDescent="0.2">
      <c r="B461" s="182" t="s">
        <v>985</v>
      </c>
      <c r="G461" s="415"/>
      <c r="H461" s="415"/>
      <c r="I461" s="415"/>
      <c r="J461" s="415"/>
      <c r="K461" s="415"/>
      <c r="L461" s="415"/>
    </row>
    <row r="462" spans="1:12" s="336" customFormat="1" x14ac:dyDescent="0.2">
      <c r="A462" s="336" t="s">
        <v>1054</v>
      </c>
      <c r="B462" s="336" t="s">
        <v>1059</v>
      </c>
      <c r="D462" s="444" t="s">
        <v>811</v>
      </c>
      <c r="F462" s="447">
        <f>'JKP-3.1c - Norm Rev Rates GTI10'!R592</f>
        <v>117044.56999999999</v>
      </c>
      <c r="G462" s="415"/>
      <c r="H462" s="415"/>
      <c r="I462" s="415"/>
      <c r="J462" s="415"/>
      <c r="K462" s="415"/>
      <c r="L462" s="415"/>
    </row>
    <row r="463" spans="1:12" x14ac:dyDescent="0.2">
      <c r="A463" s="32" t="s">
        <v>1054</v>
      </c>
      <c r="B463" s="32" t="s">
        <v>1047</v>
      </c>
      <c r="F463" s="715">
        <f>'JKP-3.1c - Norm Rev Rates GTI10'!R600</f>
        <v>2766110.4504200006</v>
      </c>
      <c r="G463" s="390"/>
      <c r="H463" s="390"/>
      <c r="I463" s="390"/>
      <c r="L463" s="390"/>
    </row>
    <row r="464" spans="1:12" x14ac:dyDescent="0.2">
      <c r="A464" s="32" t="s">
        <v>1056</v>
      </c>
      <c r="B464" s="32" t="s">
        <v>1081</v>
      </c>
      <c r="D464" s="444" t="s">
        <v>811</v>
      </c>
      <c r="F464" s="715">
        <f>'JKP-3.1c - Norm Rev Rates GTI10'!R601</f>
        <v>55986.861000000012</v>
      </c>
      <c r="G464" s="390"/>
      <c r="H464" s="390"/>
      <c r="I464" s="390"/>
      <c r="L464" s="390"/>
    </row>
    <row r="465" spans="1:12" x14ac:dyDescent="0.2">
      <c r="A465" s="32" t="s">
        <v>1054</v>
      </c>
      <c r="B465" s="32" t="s">
        <v>1069</v>
      </c>
      <c r="D465" s="444" t="s">
        <v>811</v>
      </c>
      <c r="F465" s="714">
        <f>'JKP-3.1c - Norm Rev Rates GTI10'!R602</f>
        <v>516250.14000000007</v>
      </c>
      <c r="G465" s="390"/>
      <c r="H465" s="390"/>
      <c r="I465" s="390"/>
      <c r="L465" s="390"/>
    </row>
    <row r="466" spans="1:12" s="336" customFormat="1" x14ac:dyDescent="0.2">
      <c r="A466" s="336" t="s">
        <v>1054</v>
      </c>
      <c r="B466" s="336" t="s">
        <v>1071</v>
      </c>
      <c r="D466" s="444" t="s">
        <v>811</v>
      </c>
      <c r="F466" s="447">
        <f>'JKP-3.1c - Norm Rev Rates GTI10'!R603</f>
        <v>66686.559999999998</v>
      </c>
      <c r="G466" s="415"/>
      <c r="H466" s="415"/>
      <c r="I466" s="415"/>
      <c r="J466" s="415"/>
      <c r="K466" s="415"/>
      <c r="L466" s="415"/>
    </row>
    <row r="467" spans="1:12" x14ac:dyDescent="0.2">
      <c r="B467" s="32" t="s">
        <v>986</v>
      </c>
      <c r="F467" s="365">
        <f>SUM(F462:F466)</f>
        <v>3522078.5814200006</v>
      </c>
      <c r="G467" s="390"/>
      <c r="H467" s="390"/>
      <c r="I467" s="390"/>
      <c r="L467" s="390"/>
    </row>
    <row r="468" spans="1:12" x14ac:dyDescent="0.2">
      <c r="F468" s="417"/>
      <c r="G468" s="390"/>
      <c r="H468" s="390"/>
      <c r="I468" s="390"/>
      <c r="L468" s="390"/>
    </row>
    <row r="469" spans="1:12" x14ac:dyDescent="0.2">
      <c r="A469" s="32" t="s">
        <v>1058</v>
      </c>
      <c r="B469" s="32" t="s">
        <v>1050</v>
      </c>
      <c r="F469" s="417">
        <f>F464</f>
        <v>55986.861000000012</v>
      </c>
      <c r="G469" s="390"/>
      <c r="H469" s="390"/>
      <c r="I469" s="390"/>
      <c r="L469" s="390"/>
    </row>
    <row r="470" spans="1:12" x14ac:dyDescent="0.2">
      <c r="C470" s="386"/>
      <c r="F470" s="364"/>
      <c r="G470" s="390"/>
      <c r="H470" s="390"/>
      <c r="I470" s="390"/>
      <c r="L470" s="390"/>
    </row>
    <row r="471" spans="1:12" x14ac:dyDescent="0.2">
      <c r="B471" s="276" t="s">
        <v>1113</v>
      </c>
      <c r="G471" s="390"/>
      <c r="H471" s="390"/>
      <c r="I471" s="32"/>
      <c r="J471" s="32"/>
      <c r="K471" s="32"/>
    </row>
    <row r="472" spans="1:12" x14ac:dyDescent="0.2">
      <c r="B472" s="276" t="s">
        <v>982</v>
      </c>
      <c r="G472" s="390"/>
      <c r="H472" s="390"/>
      <c r="I472" s="32"/>
      <c r="J472" s="32"/>
      <c r="K472" s="32"/>
    </row>
    <row r="473" spans="1:12" x14ac:dyDescent="0.2">
      <c r="B473" s="32" t="s">
        <v>67</v>
      </c>
      <c r="E473" s="32" t="s">
        <v>67</v>
      </c>
      <c r="F473" s="397">
        <f>'JKP-3.1c - Norm Rev Rates GTI10'!R772</f>
        <v>144</v>
      </c>
      <c r="G473" s="390"/>
      <c r="H473" s="390"/>
      <c r="I473" s="32"/>
      <c r="J473" s="32"/>
      <c r="K473" s="32"/>
    </row>
    <row r="474" spans="1:12" s="336" customFormat="1" x14ac:dyDescent="0.2">
      <c r="B474" s="336" t="s">
        <v>76</v>
      </c>
      <c r="E474" s="336" t="s">
        <v>10</v>
      </c>
      <c r="F474" s="478">
        <f>'JKP-3.1c - Norm Rev Rates GTI10'!R780</f>
        <v>35980178</v>
      </c>
      <c r="G474" s="415"/>
      <c r="H474" s="415"/>
    </row>
    <row r="475" spans="1:12" s="336" customFormat="1" x14ac:dyDescent="0.2">
      <c r="B475" s="336" t="s">
        <v>74</v>
      </c>
      <c r="E475" s="336" t="s">
        <v>1076</v>
      </c>
      <c r="F475" s="421">
        <f>'JKP-3.1c - Norm Rev Rates GTI10'!R781</f>
        <v>461796</v>
      </c>
      <c r="G475" s="415"/>
      <c r="H475" s="415"/>
    </row>
    <row r="476" spans="1:12" x14ac:dyDescent="0.2">
      <c r="G476" s="390"/>
      <c r="H476" s="390"/>
      <c r="I476" s="32"/>
      <c r="J476" s="32"/>
      <c r="K476" s="32"/>
    </row>
    <row r="477" spans="1:12" x14ac:dyDescent="0.2">
      <c r="B477" s="276" t="s">
        <v>985</v>
      </c>
      <c r="G477" s="390"/>
      <c r="H477" s="390"/>
      <c r="I477" s="32"/>
      <c r="J477" s="32"/>
      <c r="K477" s="32"/>
    </row>
    <row r="478" spans="1:12" x14ac:dyDescent="0.2">
      <c r="A478" s="32" t="s">
        <v>1054</v>
      </c>
      <c r="B478" s="32" t="s">
        <v>1059</v>
      </c>
      <c r="D478" s="32">
        <v>99</v>
      </c>
      <c r="F478" s="714">
        <f>'JKP-3.1c - Norm Rev Rates GTI10'!R784</f>
        <v>128659.68</v>
      </c>
      <c r="G478" s="390"/>
      <c r="H478" s="390"/>
      <c r="I478" s="32"/>
      <c r="J478" s="32"/>
      <c r="K478" s="32"/>
    </row>
    <row r="479" spans="1:12" x14ac:dyDescent="0.2">
      <c r="A479" s="32" t="s">
        <v>1054</v>
      </c>
      <c r="B479" s="32" t="s">
        <v>1120</v>
      </c>
      <c r="D479" s="32">
        <v>99</v>
      </c>
      <c r="F479" s="715">
        <f>'JKP-3.1c - Norm Rev Rates GTI10'!R792</f>
        <v>1003508.7371499999</v>
      </c>
      <c r="G479" s="390"/>
      <c r="H479" s="390"/>
      <c r="I479" s="32"/>
      <c r="J479" s="32"/>
      <c r="K479" s="32"/>
    </row>
    <row r="480" spans="1:12" x14ac:dyDescent="0.2">
      <c r="A480" s="32" t="s">
        <v>1054</v>
      </c>
      <c r="B480" s="32" t="s">
        <v>1069</v>
      </c>
      <c r="D480" s="32">
        <v>99</v>
      </c>
      <c r="F480" s="714">
        <f>'JKP-3.1c - Norm Rev Rates GTI10'!R793</f>
        <v>526447.43999999994</v>
      </c>
      <c r="G480" s="390"/>
      <c r="H480" s="390"/>
      <c r="I480" s="32"/>
      <c r="J480" s="32"/>
      <c r="K480" s="32"/>
    </row>
    <row r="481" spans="2:11" x14ac:dyDescent="0.2">
      <c r="B481" s="32" t="s">
        <v>986</v>
      </c>
      <c r="F481" s="365">
        <f>F478+F479+F480</f>
        <v>1658615.8571499998</v>
      </c>
      <c r="G481" s="390"/>
      <c r="H481" s="390"/>
      <c r="I481" s="32"/>
      <c r="J481" s="32"/>
      <c r="K481" s="32"/>
    </row>
    <row r="482" spans="2:11" x14ac:dyDescent="0.2">
      <c r="F482" s="364"/>
      <c r="G482" s="390"/>
      <c r="H482" s="390"/>
      <c r="I482" s="32"/>
      <c r="J482" s="32"/>
      <c r="K482" s="32"/>
    </row>
    <row r="483" spans="2:11" x14ac:dyDescent="0.2">
      <c r="B483" s="276" t="s">
        <v>1001</v>
      </c>
      <c r="G483" s="390"/>
      <c r="H483" s="390"/>
      <c r="I483" s="32"/>
      <c r="J483" s="32"/>
      <c r="K483" s="32"/>
    </row>
    <row r="484" spans="2:11" x14ac:dyDescent="0.2">
      <c r="B484" s="276" t="s">
        <v>1002</v>
      </c>
      <c r="G484" s="390"/>
      <c r="H484" s="390"/>
      <c r="I484" s="32"/>
      <c r="J484" s="32"/>
      <c r="K484" s="32"/>
    </row>
    <row r="485" spans="2:11" x14ac:dyDescent="0.2">
      <c r="B485" s="277" t="s">
        <v>9</v>
      </c>
      <c r="D485" s="32">
        <v>16</v>
      </c>
      <c r="F485" s="279">
        <f>F42</f>
        <v>642</v>
      </c>
      <c r="G485" s="390"/>
      <c r="H485" s="390"/>
      <c r="I485" s="32"/>
      <c r="J485" s="32"/>
      <c r="K485" s="32"/>
    </row>
    <row r="486" spans="2:11" x14ac:dyDescent="0.2">
      <c r="B486" s="277"/>
      <c r="F486" s="279"/>
      <c r="G486" s="390"/>
      <c r="H486" s="390"/>
      <c r="I486" s="32"/>
      <c r="J486" s="32"/>
      <c r="K486" s="32"/>
    </row>
    <row r="487" spans="2:11" x14ac:dyDescent="0.2">
      <c r="B487" s="32" t="s">
        <v>1312</v>
      </c>
      <c r="F487" s="279"/>
      <c r="G487" s="390"/>
      <c r="H487" s="390"/>
      <c r="I487" s="32"/>
      <c r="J487" s="32"/>
      <c r="K487" s="32"/>
    </row>
    <row r="488" spans="2:11" x14ac:dyDescent="0.2">
      <c r="C488" s="32" t="s">
        <v>374</v>
      </c>
      <c r="D488" s="32">
        <v>23</v>
      </c>
      <c r="F488" s="279">
        <f>F60</f>
        <v>8441336</v>
      </c>
      <c r="G488" s="390"/>
      <c r="H488" s="390"/>
      <c r="I488" s="279"/>
      <c r="J488" s="32"/>
      <c r="K488" s="32"/>
    </row>
    <row r="489" spans="2:11" x14ac:dyDescent="0.2">
      <c r="C489" s="32" t="s">
        <v>1122</v>
      </c>
      <c r="D489" s="32">
        <v>53</v>
      </c>
      <c r="F489" s="279">
        <f>F74</f>
        <v>61</v>
      </c>
      <c r="G489" s="390"/>
      <c r="H489" s="390"/>
      <c r="I489" s="279"/>
      <c r="J489" s="32"/>
      <c r="K489" s="32"/>
    </row>
    <row r="490" spans="2:11" x14ac:dyDescent="0.2">
      <c r="C490" s="32" t="s">
        <v>1123</v>
      </c>
      <c r="D490" s="32">
        <v>31</v>
      </c>
      <c r="F490" s="279">
        <f>F97</f>
        <v>634506</v>
      </c>
      <c r="G490" s="390"/>
      <c r="H490" s="390"/>
      <c r="I490" s="279"/>
      <c r="J490" s="32"/>
      <c r="K490" s="32"/>
    </row>
    <row r="491" spans="2:11" x14ac:dyDescent="0.2">
      <c r="C491" s="32" t="s">
        <v>1124</v>
      </c>
      <c r="D491" s="32">
        <v>41</v>
      </c>
      <c r="F491" s="279">
        <f>F117</f>
        <v>17314</v>
      </c>
      <c r="G491" s="390"/>
      <c r="H491" s="390"/>
      <c r="I491" s="279"/>
      <c r="J491" s="32"/>
      <c r="K491" s="32"/>
    </row>
    <row r="492" spans="2:11" x14ac:dyDescent="0.2">
      <c r="C492" s="32" t="s">
        <v>1128</v>
      </c>
      <c r="D492" s="32">
        <v>85</v>
      </c>
      <c r="F492" s="279">
        <f>F167</f>
        <v>321</v>
      </c>
      <c r="G492" s="390"/>
      <c r="H492" s="390"/>
      <c r="I492" s="279"/>
      <c r="J492" s="32"/>
      <c r="K492" s="32"/>
    </row>
    <row r="493" spans="2:11" x14ac:dyDescent="0.2">
      <c r="C493" s="32" t="s">
        <v>1129</v>
      </c>
      <c r="D493" s="32">
        <v>86</v>
      </c>
      <c r="F493" s="279">
        <f>F212</f>
        <v>3905</v>
      </c>
      <c r="G493" s="390"/>
      <c r="H493" s="390"/>
      <c r="I493" s="279"/>
      <c r="J493" s="32"/>
      <c r="K493" s="32"/>
    </row>
    <row r="494" spans="2:11" x14ac:dyDescent="0.2">
      <c r="C494" s="32" t="s">
        <v>1301</v>
      </c>
      <c r="D494" s="32">
        <v>87</v>
      </c>
      <c r="F494" s="279">
        <f>F240</f>
        <v>96</v>
      </c>
      <c r="G494" s="390"/>
      <c r="H494" s="390"/>
      <c r="I494" s="279"/>
      <c r="J494" s="32"/>
      <c r="K494" s="32"/>
    </row>
    <row r="495" spans="2:11" x14ac:dyDescent="0.2">
      <c r="C495" s="336" t="s">
        <v>1158</v>
      </c>
      <c r="D495" s="382" t="s">
        <v>808</v>
      </c>
      <c r="F495" s="279">
        <f>+F138</f>
        <v>359</v>
      </c>
      <c r="G495" s="390"/>
      <c r="H495" s="390"/>
      <c r="I495" s="279"/>
      <c r="J495" s="32"/>
      <c r="K495" s="32"/>
    </row>
    <row r="496" spans="2:11" x14ac:dyDescent="0.2">
      <c r="C496" s="336" t="s">
        <v>1159</v>
      </c>
      <c r="D496" s="382" t="s">
        <v>809</v>
      </c>
      <c r="F496" s="279">
        <f>+F189</f>
        <v>427</v>
      </c>
      <c r="G496" s="390"/>
      <c r="H496" s="390"/>
      <c r="I496" s="279"/>
      <c r="J496" s="32"/>
      <c r="K496" s="32"/>
    </row>
    <row r="497" spans="2:19" x14ac:dyDescent="0.2">
      <c r="C497" s="336" t="s">
        <v>1160</v>
      </c>
      <c r="D497" s="382" t="s">
        <v>811</v>
      </c>
      <c r="F497" s="279">
        <f>+F262</f>
        <v>24</v>
      </c>
      <c r="G497" s="390"/>
      <c r="H497" s="390"/>
      <c r="I497" s="279"/>
      <c r="J497" s="32"/>
      <c r="K497" s="32"/>
    </row>
    <row r="498" spans="2:19" x14ac:dyDescent="0.2">
      <c r="C498" s="32" t="s">
        <v>1131</v>
      </c>
      <c r="D498" s="32">
        <v>31</v>
      </c>
      <c r="F498" s="279">
        <f>F283</f>
        <v>29242.02</v>
      </c>
      <c r="G498" s="390"/>
      <c r="H498" s="390"/>
      <c r="I498" s="279"/>
      <c r="J498" s="32"/>
      <c r="K498" s="32"/>
    </row>
    <row r="499" spans="2:19" x14ac:dyDescent="0.2">
      <c r="C499" s="32" t="s">
        <v>1132</v>
      </c>
      <c r="D499" s="32">
        <v>41</v>
      </c>
      <c r="F499" s="279">
        <f>F302</f>
        <v>1283.01</v>
      </c>
      <c r="G499" s="390"/>
      <c r="H499" s="390"/>
      <c r="I499" s="279"/>
      <c r="J499" s="32"/>
      <c r="K499" s="32"/>
    </row>
    <row r="500" spans="2:19" x14ac:dyDescent="0.2">
      <c r="C500" s="32" t="s">
        <v>1137</v>
      </c>
      <c r="D500" s="32">
        <v>85</v>
      </c>
      <c r="F500" s="279">
        <f>F350</f>
        <v>100</v>
      </c>
      <c r="G500" s="390"/>
      <c r="H500" s="390"/>
      <c r="I500" s="279"/>
      <c r="J500" s="32"/>
      <c r="K500" s="32"/>
    </row>
    <row r="501" spans="2:19" x14ac:dyDescent="0.2">
      <c r="C501" s="32" t="s">
        <v>1138</v>
      </c>
      <c r="D501" s="32">
        <v>86</v>
      </c>
      <c r="F501" s="279">
        <f>F393</f>
        <v>118</v>
      </c>
      <c r="G501" s="390"/>
      <c r="H501" s="390"/>
      <c r="I501" s="279"/>
      <c r="J501" s="32"/>
      <c r="K501" s="32"/>
    </row>
    <row r="502" spans="2:19" x14ac:dyDescent="0.2">
      <c r="C502" s="32" t="s">
        <v>1139</v>
      </c>
      <c r="D502" s="32">
        <v>87</v>
      </c>
      <c r="F502" s="279">
        <f>F436</f>
        <v>12</v>
      </c>
      <c r="G502" s="390"/>
      <c r="H502" s="390"/>
      <c r="I502" s="279"/>
      <c r="J502" s="32"/>
      <c r="K502" s="32"/>
    </row>
    <row r="503" spans="2:19" x14ac:dyDescent="0.2">
      <c r="C503" s="336" t="s">
        <v>1161</v>
      </c>
      <c r="D503" s="382" t="s">
        <v>808</v>
      </c>
      <c r="F503" s="279">
        <f>+F322</f>
        <v>193</v>
      </c>
      <c r="G503" s="390"/>
      <c r="H503" s="390"/>
      <c r="I503" s="279"/>
      <c r="J503" s="32"/>
      <c r="K503" s="32"/>
    </row>
    <row r="504" spans="2:19" x14ac:dyDescent="0.2">
      <c r="C504" s="336" t="s">
        <v>1162</v>
      </c>
      <c r="D504" s="382" t="s">
        <v>809</v>
      </c>
      <c r="F504" s="279">
        <f>F371</f>
        <v>746</v>
      </c>
      <c r="G504" s="390"/>
      <c r="H504" s="390"/>
      <c r="I504" s="279"/>
      <c r="J504" s="32"/>
      <c r="K504" s="32"/>
    </row>
    <row r="505" spans="2:19" x14ac:dyDescent="0.2">
      <c r="C505" s="336" t="s">
        <v>1313</v>
      </c>
      <c r="D505" s="382" t="s">
        <v>810</v>
      </c>
      <c r="F505" s="279">
        <f>F414</f>
        <v>12</v>
      </c>
      <c r="G505" s="390"/>
      <c r="H505" s="390"/>
      <c r="I505" s="279"/>
      <c r="J505" s="32"/>
      <c r="K505" s="32"/>
    </row>
    <row r="506" spans="2:19" x14ac:dyDescent="0.2">
      <c r="C506" s="336" t="s">
        <v>1164</v>
      </c>
      <c r="D506" s="382" t="s">
        <v>811</v>
      </c>
      <c r="F506" s="279">
        <f>F457</f>
        <v>131</v>
      </c>
      <c r="G506" s="390"/>
      <c r="H506" s="390"/>
      <c r="I506" s="279"/>
      <c r="J506" s="32"/>
      <c r="K506" s="32"/>
    </row>
    <row r="507" spans="2:19" x14ac:dyDescent="0.2">
      <c r="C507" s="32" t="s">
        <v>1140</v>
      </c>
      <c r="D507" s="32" t="s">
        <v>119</v>
      </c>
      <c r="F507" s="279">
        <f>F473</f>
        <v>144</v>
      </c>
      <c r="G507" s="390"/>
      <c r="H507" s="390"/>
      <c r="I507" s="279"/>
      <c r="J507" s="32"/>
      <c r="K507" s="32"/>
    </row>
    <row r="508" spans="2:19" x14ac:dyDescent="0.2">
      <c r="C508" s="32" t="s">
        <v>1199</v>
      </c>
      <c r="F508" s="357">
        <f>SUM(F488:F507)</f>
        <v>9130330.0299999993</v>
      </c>
      <c r="G508" s="390"/>
      <c r="H508" s="390"/>
      <c r="I508" s="32"/>
      <c r="J508" s="32"/>
      <c r="K508" s="32"/>
    </row>
    <row r="509" spans="2:19" x14ac:dyDescent="0.2">
      <c r="G509" s="390"/>
      <c r="H509" s="390"/>
      <c r="I509" s="32"/>
      <c r="J509" s="32"/>
      <c r="K509" s="32"/>
    </row>
    <row r="510" spans="2:19" x14ac:dyDescent="0.2">
      <c r="B510" s="32" t="s">
        <v>1314</v>
      </c>
      <c r="F510" s="424"/>
      <c r="G510" s="424"/>
      <c r="H510" s="424"/>
      <c r="I510" s="424"/>
      <c r="J510" s="424"/>
      <c r="K510" s="424"/>
      <c r="L510" s="424"/>
      <c r="M510" s="424"/>
      <c r="N510" s="424"/>
      <c r="O510" s="424"/>
      <c r="P510" s="424"/>
      <c r="Q510" s="424"/>
      <c r="R510" s="391"/>
      <c r="S510" s="390"/>
    </row>
    <row r="511" spans="2:19" x14ac:dyDescent="0.2">
      <c r="C511" s="343" t="s">
        <v>1143</v>
      </c>
      <c r="D511" s="32">
        <v>23</v>
      </c>
      <c r="F511" s="424">
        <f>F488</f>
        <v>8441336</v>
      </c>
      <c r="G511" s="424"/>
      <c r="H511" s="424"/>
      <c r="I511" s="424"/>
      <c r="J511" s="424"/>
      <c r="K511" s="424"/>
      <c r="L511" s="424"/>
      <c r="M511" s="424"/>
      <c r="N511" s="424"/>
      <c r="O511" s="424"/>
      <c r="P511" s="424"/>
      <c r="Q511" s="424"/>
      <c r="R511" s="391"/>
      <c r="S511" s="390"/>
    </row>
    <row r="512" spans="2:19" x14ac:dyDescent="0.2">
      <c r="C512" s="343" t="s">
        <v>374</v>
      </c>
      <c r="D512" s="32">
        <v>53</v>
      </c>
      <c r="F512" s="424">
        <f>F489</f>
        <v>61</v>
      </c>
      <c r="G512" s="390"/>
      <c r="H512" s="390"/>
      <c r="I512" s="32"/>
      <c r="J512" s="32"/>
      <c r="K512" s="32"/>
      <c r="R512" s="391"/>
      <c r="S512" s="390"/>
    </row>
    <row r="513" spans="2:19" x14ac:dyDescent="0.2">
      <c r="C513" s="346" t="s">
        <v>1144</v>
      </c>
      <c r="D513" s="32">
        <v>31</v>
      </c>
      <c r="F513" s="424">
        <f t="shared" ref="F513:F519" si="0">F490+F498</f>
        <v>663748.02</v>
      </c>
      <c r="G513" s="362"/>
      <c r="H513" s="390"/>
      <c r="I513" s="32"/>
      <c r="J513" s="32"/>
      <c r="K513" s="32"/>
      <c r="R513" s="391"/>
      <c r="S513" s="390"/>
    </row>
    <row r="514" spans="2:19" x14ac:dyDescent="0.2">
      <c r="C514" s="343" t="s">
        <v>1145</v>
      </c>
      <c r="D514" s="32">
        <v>41</v>
      </c>
      <c r="F514" s="424">
        <f t="shared" si="0"/>
        <v>18597.009999999998</v>
      </c>
      <c r="G514" s="362"/>
      <c r="H514" s="390"/>
      <c r="I514" s="32"/>
      <c r="J514" s="32"/>
      <c r="K514" s="32"/>
      <c r="R514" s="391"/>
      <c r="S514" s="390"/>
    </row>
    <row r="515" spans="2:19" x14ac:dyDescent="0.2">
      <c r="C515" s="343" t="s">
        <v>1146</v>
      </c>
      <c r="D515" s="32">
        <v>85</v>
      </c>
      <c r="F515" s="424">
        <f t="shared" si="0"/>
        <v>421</v>
      </c>
      <c r="G515" s="362"/>
      <c r="H515" s="390"/>
      <c r="I515" s="32"/>
      <c r="J515" s="32"/>
      <c r="K515" s="32"/>
      <c r="R515" s="391"/>
      <c r="S515" s="390"/>
    </row>
    <row r="516" spans="2:19" x14ac:dyDescent="0.2">
      <c r="C516" s="343" t="s">
        <v>1147</v>
      </c>
      <c r="D516" s="32">
        <v>86</v>
      </c>
      <c r="F516" s="424">
        <f t="shared" si="0"/>
        <v>4023</v>
      </c>
      <c r="G516" s="362"/>
      <c r="H516" s="390"/>
      <c r="I516" s="32"/>
      <c r="J516" s="32"/>
      <c r="K516" s="32"/>
      <c r="R516" s="391"/>
      <c r="S516" s="390"/>
    </row>
    <row r="517" spans="2:19" x14ac:dyDescent="0.2">
      <c r="C517" s="343" t="s">
        <v>1148</v>
      </c>
      <c r="D517" s="32">
        <v>87</v>
      </c>
      <c r="F517" s="424">
        <f t="shared" si="0"/>
        <v>108</v>
      </c>
      <c r="G517" s="362"/>
      <c r="H517" s="390"/>
      <c r="I517" s="32"/>
      <c r="J517" s="32"/>
      <c r="K517" s="32"/>
      <c r="R517" s="391"/>
      <c r="S517" s="390"/>
    </row>
    <row r="518" spans="2:19" x14ac:dyDescent="0.2">
      <c r="C518" s="32" t="s">
        <v>1149</v>
      </c>
      <c r="D518" s="444" t="s">
        <v>808</v>
      </c>
      <c r="F518" s="424">
        <f t="shared" si="0"/>
        <v>552</v>
      </c>
      <c r="G518" s="362"/>
      <c r="H518" s="390"/>
      <c r="I518" s="32"/>
      <c r="J518" s="32"/>
      <c r="K518" s="32"/>
      <c r="R518" s="391"/>
      <c r="S518" s="390"/>
    </row>
    <row r="519" spans="2:19" x14ac:dyDescent="0.2">
      <c r="C519" s="32" t="s">
        <v>1150</v>
      </c>
      <c r="D519" s="444" t="s">
        <v>809</v>
      </c>
      <c r="F519" s="424">
        <f t="shared" si="0"/>
        <v>1173</v>
      </c>
      <c r="G519" s="362"/>
      <c r="H519" s="390"/>
      <c r="I519" s="32"/>
      <c r="J519" s="32"/>
      <c r="K519" s="32"/>
      <c r="R519" s="391"/>
      <c r="S519" s="390"/>
    </row>
    <row r="520" spans="2:19" x14ac:dyDescent="0.2">
      <c r="C520" s="32" t="s">
        <v>1151</v>
      </c>
      <c r="D520" s="444" t="s">
        <v>810</v>
      </c>
      <c r="F520" s="424">
        <f>F505</f>
        <v>12</v>
      </c>
      <c r="G520" s="362"/>
      <c r="H520" s="390"/>
      <c r="I520" s="32"/>
      <c r="J520" s="32"/>
      <c r="K520" s="32"/>
      <c r="R520" s="391"/>
      <c r="S520" s="390"/>
    </row>
    <row r="521" spans="2:19" x14ac:dyDescent="0.2">
      <c r="C521" s="32" t="s">
        <v>1152</v>
      </c>
      <c r="D521" s="444" t="s">
        <v>811</v>
      </c>
      <c r="F521" s="424">
        <f>F497+F506</f>
        <v>155</v>
      </c>
      <c r="G521" s="362"/>
      <c r="H521" s="390"/>
      <c r="I521" s="32"/>
      <c r="J521" s="32"/>
      <c r="K521" s="32"/>
      <c r="R521" s="391"/>
      <c r="S521" s="390"/>
    </row>
    <row r="522" spans="2:19" x14ac:dyDescent="0.2">
      <c r="C522" s="343" t="s">
        <v>844</v>
      </c>
      <c r="D522" s="32" t="s">
        <v>119</v>
      </c>
      <c r="F522" s="424">
        <f>F507</f>
        <v>144</v>
      </c>
      <c r="G522" s="362"/>
      <c r="H522" s="390"/>
      <c r="I522" s="32"/>
      <c r="J522" s="32"/>
      <c r="K522" s="32"/>
      <c r="R522" s="391"/>
      <c r="S522" s="390"/>
    </row>
    <row r="523" spans="2:19" x14ac:dyDescent="0.2">
      <c r="C523" s="32" t="s">
        <v>1141</v>
      </c>
      <c r="F523" s="357">
        <f>SUM(F511:F522)</f>
        <v>9130330.0299999993</v>
      </c>
      <c r="G523" s="362"/>
      <c r="H523" s="390"/>
      <c r="I523" s="32"/>
      <c r="J523" s="32"/>
      <c r="K523" s="32"/>
      <c r="R523" s="391"/>
      <c r="S523" s="390"/>
    </row>
    <row r="524" spans="2:19" x14ac:dyDescent="0.2">
      <c r="C524" s="32" t="s">
        <v>1153</v>
      </c>
      <c r="F524" s="424">
        <f>F523-F508</f>
        <v>0</v>
      </c>
      <c r="G524" s="362"/>
      <c r="H524" s="390"/>
      <c r="I524" s="32"/>
      <c r="J524" s="32"/>
      <c r="K524" s="32"/>
      <c r="R524" s="391"/>
      <c r="S524" s="390"/>
    </row>
    <row r="525" spans="2:19" x14ac:dyDescent="0.2">
      <c r="F525" s="424"/>
      <c r="G525" s="362"/>
      <c r="H525" s="390"/>
      <c r="I525" s="32"/>
      <c r="J525" s="32"/>
      <c r="K525" s="32"/>
      <c r="R525" s="391"/>
      <c r="S525" s="390"/>
    </row>
    <row r="526" spans="2:19" x14ac:dyDescent="0.2">
      <c r="B526" s="32" t="s">
        <v>1154</v>
      </c>
      <c r="F526" s="279"/>
      <c r="G526" s="362"/>
      <c r="H526" s="390"/>
      <c r="I526" s="32"/>
      <c r="J526" s="32"/>
      <c r="K526" s="32"/>
    </row>
    <row r="527" spans="2:19" x14ac:dyDescent="0.2">
      <c r="C527" s="336" t="s">
        <v>1155</v>
      </c>
      <c r="D527" s="336">
        <v>16</v>
      </c>
      <c r="F527" s="398">
        <f>F44</f>
        <v>12198</v>
      </c>
      <c r="H527" s="390"/>
      <c r="I527" s="32"/>
      <c r="J527" s="32"/>
      <c r="K527" s="32"/>
    </row>
    <row r="528" spans="2:19" x14ac:dyDescent="0.2">
      <c r="C528" s="32" t="s">
        <v>374</v>
      </c>
      <c r="D528" s="32">
        <v>23</v>
      </c>
      <c r="F528" s="279">
        <f>F61</f>
        <v>548024951</v>
      </c>
      <c r="H528" s="390"/>
      <c r="I528" s="32"/>
      <c r="J528" s="32"/>
      <c r="K528" s="32"/>
    </row>
    <row r="529" spans="2:11" x14ac:dyDescent="0.2">
      <c r="C529" s="32" t="s">
        <v>1122</v>
      </c>
      <c r="D529" s="32">
        <v>53</v>
      </c>
      <c r="F529" s="279">
        <f>F75</f>
        <v>2114</v>
      </c>
      <c r="H529" s="390"/>
      <c r="I529" s="32"/>
      <c r="J529" s="32"/>
      <c r="K529" s="32"/>
    </row>
    <row r="530" spans="2:11" x14ac:dyDescent="0.2">
      <c r="C530" s="32" t="s">
        <v>1123</v>
      </c>
      <c r="D530" s="32">
        <v>31</v>
      </c>
      <c r="F530" s="279">
        <f>F98</f>
        <v>188564194</v>
      </c>
      <c r="H530" s="390"/>
      <c r="I530" s="32"/>
      <c r="J530" s="32"/>
      <c r="K530" s="32"/>
    </row>
    <row r="531" spans="2:11" x14ac:dyDescent="0.2">
      <c r="C531" s="32" t="s">
        <v>1124</v>
      </c>
      <c r="D531" s="32">
        <v>41</v>
      </c>
      <c r="F531" s="279">
        <f>F118</f>
        <v>54030873</v>
      </c>
      <c r="H531" s="390"/>
      <c r="I531" s="32"/>
      <c r="J531" s="32"/>
      <c r="K531" s="32"/>
    </row>
    <row r="532" spans="2:11" x14ac:dyDescent="0.2">
      <c r="C532" s="32" t="s">
        <v>1128</v>
      </c>
      <c r="D532" s="32">
        <v>85</v>
      </c>
      <c r="F532" s="279">
        <f>F168</f>
        <v>14422716</v>
      </c>
      <c r="H532" s="390"/>
      <c r="I532" s="32"/>
      <c r="J532" s="32"/>
      <c r="K532" s="32"/>
    </row>
    <row r="533" spans="2:11" x14ac:dyDescent="0.2">
      <c r="C533" s="32" t="s">
        <v>1129</v>
      </c>
      <c r="D533" s="32">
        <v>86</v>
      </c>
      <c r="F533" s="279">
        <f>F213</f>
        <v>13057246</v>
      </c>
      <c r="H533" s="390"/>
      <c r="I533" s="32"/>
      <c r="J533" s="32"/>
      <c r="K533" s="32"/>
    </row>
    <row r="534" spans="2:11" x14ac:dyDescent="0.2">
      <c r="C534" s="32" t="s">
        <v>1130</v>
      </c>
      <c r="D534" s="32">
        <v>87</v>
      </c>
      <c r="F534" s="279">
        <f>F241</f>
        <v>28246617</v>
      </c>
      <c r="H534" s="390"/>
      <c r="I534" s="32"/>
      <c r="J534" s="32"/>
      <c r="K534" s="32"/>
    </row>
    <row r="535" spans="2:11" x14ac:dyDescent="0.2">
      <c r="C535" s="32" t="s">
        <v>1131</v>
      </c>
      <c r="D535" s="32">
        <v>31</v>
      </c>
      <c r="F535" s="279">
        <f>F284</f>
        <v>13822856</v>
      </c>
      <c r="H535" s="390"/>
      <c r="I535" s="32"/>
      <c r="J535" s="32"/>
      <c r="K535" s="32"/>
    </row>
    <row r="536" spans="2:11" x14ac:dyDescent="0.2">
      <c r="C536" s="32" t="s">
        <v>1132</v>
      </c>
      <c r="D536" s="32">
        <v>41</v>
      </c>
      <c r="F536" s="279">
        <f>F303</f>
        <v>15537384</v>
      </c>
      <c r="H536" s="390"/>
      <c r="I536" s="32"/>
      <c r="J536" s="32"/>
      <c r="K536" s="32"/>
    </row>
    <row r="537" spans="2:11" x14ac:dyDescent="0.2">
      <c r="C537" s="32" t="s">
        <v>1137</v>
      </c>
      <c r="D537" s="32">
        <v>85</v>
      </c>
      <c r="F537" s="279">
        <f>F351</f>
        <v>2862112</v>
      </c>
      <c r="H537" s="390"/>
      <c r="I537" s="32"/>
      <c r="J537" s="32"/>
      <c r="K537" s="32"/>
    </row>
    <row r="538" spans="2:11" x14ac:dyDescent="0.2">
      <c r="C538" s="32" t="s">
        <v>1138</v>
      </c>
      <c r="D538" s="32">
        <v>86</v>
      </c>
      <c r="F538" s="279">
        <f>F394</f>
        <v>832332</v>
      </c>
      <c r="H538" s="390"/>
      <c r="I538" s="32"/>
      <c r="J538" s="32"/>
      <c r="K538" s="32"/>
    </row>
    <row r="539" spans="2:11" x14ac:dyDescent="0.2">
      <c r="C539" s="32" t="s">
        <v>1139</v>
      </c>
      <c r="D539" s="32">
        <v>87</v>
      </c>
      <c r="F539" s="279">
        <f>F437</f>
        <v>1789038</v>
      </c>
      <c r="H539" s="390"/>
      <c r="I539" s="32"/>
      <c r="J539" s="32"/>
      <c r="K539" s="32"/>
    </row>
    <row r="540" spans="2:11" x14ac:dyDescent="0.2">
      <c r="C540" s="32" t="s">
        <v>1156</v>
      </c>
      <c r="F540" s="357">
        <f>SUM(F527:F539)</f>
        <v>881204631</v>
      </c>
      <c r="G540" s="390"/>
      <c r="H540" s="390"/>
      <c r="I540" s="32"/>
      <c r="J540" s="32"/>
      <c r="K540" s="32"/>
    </row>
    <row r="541" spans="2:11" x14ac:dyDescent="0.2">
      <c r="G541" s="390"/>
      <c r="H541" s="390"/>
      <c r="I541" s="32"/>
      <c r="J541" s="32"/>
      <c r="K541" s="32"/>
    </row>
    <row r="542" spans="2:11" x14ac:dyDescent="0.2">
      <c r="B542" s="32" t="s">
        <v>1157</v>
      </c>
      <c r="G542" s="390"/>
      <c r="H542" s="390"/>
      <c r="I542" s="32"/>
      <c r="J542" s="32"/>
      <c r="K542" s="32"/>
    </row>
    <row r="543" spans="2:11" x14ac:dyDescent="0.2">
      <c r="C543" s="336" t="s">
        <v>1158</v>
      </c>
      <c r="D543" s="382" t="s">
        <v>808</v>
      </c>
      <c r="F543" s="279">
        <f>+F139</f>
        <v>2926606</v>
      </c>
      <c r="G543" s="390"/>
      <c r="H543" s="390"/>
      <c r="I543" s="32"/>
      <c r="J543" s="32"/>
      <c r="K543" s="32"/>
    </row>
    <row r="544" spans="2:11" x14ac:dyDescent="0.2">
      <c r="C544" s="336" t="s">
        <v>1159</v>
      </c>
      <c r="D544" s="382" t="s">
        <v>809</v>
      </c>
      <c r="F544" s="279">
        <f>+F190</f>
        <v>22950127</v>
      </c>
      <c r="G544" s="390"/>
      <c r="H544" s="390"/>
      <c r="I544" s="32"/>
      <c r="J544" s="32"/>
      <c r="K544" s="32"/>
    </row>
    <row r="545" spans="2:19" x14ac:dyDescent="0.2">
      <c r="C545" s="336" t="s">
        <v>1160</v>
      </c>
      <c r="D545" s="382" t="s">
        <v>811</v>
      </c>
      <c r="F545" s="279">
        <f>+F263</f>
        <v>19597345</v>
      </c>
      <c r="G545" s="390"/>
      <c r="H545" s="390"/>
      <c r="I545" s="32"/>
      <c r="J545" s="32"/>
      <c r="K545" s="32"/>
    </row>
    <row r="546" spans="2:19" x14ac:dyDescent="0.2">
      <c r="C546" s="336" t="s">
        <v>1161</v>
      </c>
      <c r="D546" s="382" t="s">
        <v>808</v>
      </c>
      <c r="F546" s="279">
        <f>+F323</f>
        <v>4887968</v>
      </c>
      <c r="G546" s="390"/>
      <c r="H546" s="390"/>
      <c r="I546" s="32"/>
      <c r="J546" s="32"/>
      <c r="K546" s="32"/>
    </row>
    <row r="547" spans="2:19" x14ac:dyDescent="0.2">
      <c r="C547" s="336" t="s">
        <v>1162</v>
      </c>
      <c r="D547" s="382" t="s">
        <v>809</v>
      </c>
      <c r="F547" s="279">
        <f>F372</f>
        <v>41955757</v>
      </c>
      <c r="G547" s="390"/>
      <c r="H547" s="390"/>
      <c r="I547" s="32"/>
      <c r="J547" s="32"/>
      <c r="K547" s="32"/>
    </row>
    <row r="548" spans="2:19" x14ac:dyDescent="0.2">
      <c r="C548" s="336" t="s">
        <v>1313</v>
      </c>
      <c r="D548" s="382" t="s">
        <v>810</v>
      </c>
      <c r="F548" s="279">
        <f>F415</f>
        <v>72783</v>
      </c>
      <c r="G548" s="390"/>
      <c r="H548" s="390"/>
      <c r="I548" s="32"/>
      <c r="J548" s="32"/>
      <c r="K548" s="32"/>
    </row>
    <row r="549" spans="2:19" x14ac:dyDescent="0.2">
      <c r="C549" s="336" t="s">
        <v>1164</v>
      </c>
      <c r="D549" s="382" t="s">
        <v>811</v>
      </c>
      <c r="F549" s="279">
        <f>+F458</f>
        <v>79981230</v>
      </c>
      <c r="G549" s="390"/>
      <c r="H549" s="390"/>
      <c r="I549" s="32"/>
      <c r="J549" s="32"/>
      <c r="K549" s="32"/>
    </row>
    <row r="550" spans="2:19" x14ac:dyDescent="0.2">
      <c r="C550" s="32" t="s">
        <v>1173</v>
      </c>
      <c r="F550" s="279">
        <f>F474</f>
        <v>35980178</v>
      </c>
      <c r="G550" s="390"/>
      <c r="H550" s="390"/>
      <c r="I550" s="32"/>
      <c r="J550" s="32"/>
      <c r="K550" s="32"/>
    </row>
    <row r="551" spans="2:19" x14ac:dyDescent="0.2">
      <c r="C551" s="32" t="s">
        <v>1166</v>
      </c>
      <c r="F551" s="357">
        <f>SUM(F543:F550)</f>
        <v>208351994</v>
      </c>
      <c r="G551" s="390"/>
      <c r="H551" s="390"/>
      <c r="I551" s="32"/>
      <c r="J551" s="32"/>
      <c r="K551" s="32"/>
    </row>
    <row r="552" spans="2:19" x14ac:dyDescent="0.2">
      <c r="F552" s="424"/>
      <c r="G552" s="390"/>
      <c r="H552" s="390"/>
      <c r="I552" s="32"/>
      <c r="J552" s="32"/>
      <c r="K552" s="32"/>
    </row>
    <row r="553" spans="2:19" x14ac:dyDescent="0.2">
      <c r="B553" s="32" t="s">
        <v>1167</v>
      </c>
      <c r="F553" s="357">
        <f>F540+F551</f>
        <v>1089556625</v>
      </c>
      <c r="G553" s="390"/>
      <c r="H553" s="390"/>
      <c r="I553" s="32"/>
      <c r="J553" s="32"/>
      <c r="K553" s="32"/>
    </row>
    <row r="554" spans="2:19" x14ac:dyDescent="0.2">
      <c r="G554" s="390"/>
      <c r="H554" s="390"/>
      <c r="I554" s="32"/>
      <c r="J554" s="32"/>
      <c r="K554" s="32"/>
    </row>
    <row r="555" spans="2:19" x14ac:dyDescent="0.2">
      <c r="B555" s="32" t="s">
        <v>1168</v>
      </c>
      <c r="F555" s="424"/>
      <c r="G555" s="424"/>
      <c r="H555" s="424"/>
      <c r="I555" s="424"/>
      <c r="J555" s="424"/>
      <c r="K555" s="424"/>
      <c r="L555" s="424"/>
      <c r="M555" s="424"/>
      <c r="N555" s="424"/>
      <c r="O555" s="424"/>
      <c r="P555" s="424"/>
      <c r="Q555" s="424"/>
      <c r="R555" s="391"/>
      <c r="S555" s="390"/>
    </row>
    <row r="556" spans="2:19" x14ac:dyDescent="0.2">
      <c r="C556" s="343" t="s">
        <v>1143</v>
      </c>
      <c r="D556" s="32">
        <v>16</v>
      </c>
      <c r="F556" s="424">
        <f>F527</f>
        <v>12198</v>
      </c>
      <c r="G556" s="424"/>
      <c r="H556" s="424"/>
      <c r="I556" s="424"/>
      <c r="J556" s="424"/>
      <c r="K556" s="424"/>
      <c r="L556" s="424"/>
      <c r="M556" s="424"/>
      <c r="N556" s="424"/>
      <c r="O556" s="424"/>
      <c r="P556" s="424"/>
      <c r="Q556" s="424"/>
      <c r="R556" s="391"/>
      <c r="S556" s="390"/>
    </row>
    <row r="557" spans="2:19" x14ac:dyDescent="0.2">
      <c r="C557" s="343" t="s">
        <v>1143</v>
      </c>
      <c r="D557" s="32">
        <v>23</v>
      </c>
      <c r="F557" s="424">
        <f>F528</f>
        <v>548024951</v>
      </c>
      <c r="G557" s="424"/>
      <c r="H557" s="424"/>
      <c r="I557" s="424"/>
      <c r="J557" s="424"/>
      <c r="K557" s="424"/>
      <c r="L557" s="424"/>
      <c r="M557" s="424"/>
      <c r="N557" s="424"/>
      <c r="O557" s="424"/>
      <c r="P557" s="424"/>
      <c r="Q557" s="424"/>
      <c r="R557" s="391"/>
      <c r="S557" s="390"/>
    </row>
    <row r="558" spans="2:19" x14ac:dyDescent="0.2">
      <c r="C558" s="343" t="s">
        <v>374</v>
      </c>
      <c r="D558" s="32">
        <v>53</v>
      </c>
      <c r="F558" s="424">
        <f>F529</f>
        <v>2114</v>
      </c>
      <c r="G558" s="424"/>
      <c r="H558" s="424"/>
      <c r="I558" s="424"/>
      <c r="J558" s="424"/>
      <c r="K558" s="424"/>
      <c r="L558" s="424"/>
      <c r="M558" s="424"/>
      <c r="N558" s="424"/>
      <c r="O558" s="424"/>
      <c r="P558" s="424"/>
      <c r="Q558" s="424"/>
      <c r="R558" s="391"/>
      <c r="S558" s="390"/>
    </row>
    <row r="559" spans="2:19" x14ac:dyDescent="0.2">
      <c r="C559" s="346" t="s">
        <v>1144</v>
      </c>
      <c r="D559" s="32">
        <v>31</v>
      </c>
      <c r="F559" s="424">
        <f>F530+F535</f>
        <v>202387050</v>
      </c>
      <c r="G559" s="424"/>
      <c r="H559" s="424"/>
      <c r="I559" s="424"/>
      <c r="J559" s="424"/>
      <c r="K559" s="424"/>
      <c r="L559" s="424"/>
      <c r="M559" s="424"/>
      <c r="N559" s="424"/>
      <c r="O559" s="424"/>
      <c r="P559" s="424"/>
      <c r="Q559" s="424"/>
      <c r="R559" s="391"/>
      <c r="S559" s="390"/>
    </row>
    <row r="560" spans="2:19" x14ac:dyDescent="0.2">
      <c r="C560" s="343" t="s">
        <v>1145</v>
      </c>
      <c r="D560" s="32">
        <v>41</v>
      </c>
      <c r="F560" s="424">
        <f>F531+F536</f>
        <v>69568257</v>
      </c>
      <c r="G560" s="424"/>
      <c r="H560" s="424"/>
      <c r="I560" s="424"/>
      <c r="J560" s="424"/>
      <c r="K560" s="424"/>
      <c r="L560" s="424"/>
      <c r="M560" s="424"/>
      <c r="N560" s="424"/>
      <c r="O560" s="424"/>
      <c r="P560" s="424"/>
      <c r="Q560" s="424"/>
      <c r="R560" s="391"/>
      <c r="S560" s="390"/>
    </row>
    <row r="561" spans="2:19" x14ac:dyDescent="0.2">
      <c r="C561" s="343" t="s">
        <v>1146</v>
      </c>
      <c r="D561" s="32">
        <v>85</v>
      </c>
      <c r="F561" s="424">
        <f>F532+F537</f>
        <v>17284828</v>
      </c>
      <c r="G561" s="424"/>
      <c r="H561" s="424"/>
      <c r="I561" s="424"/>
      <c r="J561" s="424"/>
      <c r="K561" s="424"/>
      <c r="L561" s="424"/>
      <c r="M561" s="424"/>
      <c r="N561" s="424"/>
      <c r="O561" s="424"/>
      <c r="P561" s="424"/>
      <c r="Q561" s="424"/>
      <c r="R561" s="391"/>
      <c r="S561" s="390"/>
    </row>
    <row r="562" spans="2:19" x14ac:dyDescent="0.2">
      <c r="C562" s="343" t="s">
        <v>1147</v>
      </c>
      <c r="D562" s="32">
        <v>86</v>
      </c>
      <c r="F562" s="424">
        <f>F533+F538</f>
        <v>13889578</v>
      </c>
      <c r="G562" s="424"/>
      <c r="H562" s="424"/>
      <c r="I562" s="424"/>
      <c r="J562" s="424"/>
      <c r="K562" s="424"/>
      <c r="L562" s="424"/>
      <c r="M562" s="424"/>
      <c r="N562" s="424"/>
      <c r="O562" s="424"/>
      <c r="P562" s="424"/>
      <c r="Q562" s="424"/>
      <c r="R562" s="391"/>
      <c r="S562" s="390"/>
    </row>
    <row r="563" spans="2:19" x14ac:dyDescent="0.2">
      <c r="C563" s="343" t="s">
        <v>1148</v>
      </c>
      <c r="D563" s="32">
        <v>87</v>
      </c>
      <c r="F563" s="424">
        <f>F534+F539</f>
        <v>30035655</v>
      </c>
      <c r="G563" s="424"/>
      <c r="H563" s="424"/>
      <c r="I563" s="424"/>
      <c r="J563" s="424"/>
      <c r="K563" s="424"/>
      <c r="L563" s="424"/>
      <c r="M563" s="424"/>
      <c r="N563" s="424"/>
      <c r="O563" s="424"/>
      <c r="P563" s="424"/>
      <c r="Q563" s="424"/>
      <c r="R563" s="391"/>
      <c r="S563" s="390"/>
    </row>
    <row r="564" spans="2:19" x14ac:dyDescent="0.2">
      <c r="C564" s="32" t="s">
        <v>1149</v>
      </c>
      <c r="D564" s="444" t="s">
        <v>808</v>
      </c>
      <c r="F564" s="424">
        <f>F543+F546</f>
        <v>7814574</v>
      </c>
      <c r="G564" s="424"/>
      <c r="H564" s="424"/>
      <c r="I564" s="424"/>
      <c r="J564" s="424"/>
      <c r="K564" s="424"/>
      <c r="L564" s="424"/>
      <c r="M564" s="424"/>
      <c r="N564" s="424"/>
      <c r="O564" s="424"/>
      <c r="P564" s="424"/>
      <c r="Q564" s="424"/>
      <c r="R564" s="391"/>
      <c r="S564" s="390"/>
    </row>
    <row r="565" spans="2:19" x14ac:dyDescent="0.2">
      <c r="C565" s="32" t="s">
        <v>1150</v>
      </c>
      <c r="D565" s="444" t="s">
        <v>809</v>
      </c>
      <c r="F565" s="424">
        <f>F544+F547</f>
        <v>64905884</v>
      </c>
      <c r="G565" s="424"/>
      <c r="H565" s="424"/>
      <c r="I565" s="424"/>
      <c r="J565" s="424"/>
      <c r="K565" s="424"/>
      <c r="L565" s="424"/>
      <c r="M565" s="424"/>
      <c r="N565" s="424"/>
      <c r="O565" s="424"/>
      <c r="P565" s="424"/>
      <c r="Q565" s="424"/>
      <c r="R565" s="391"/>
      <c r="S565" s="390"/>
    </row>
    <row r="566" spans="2:19" x14ac:dyDescent="0.2">
      <c r="C566" s="32" t="s">
        <v>1151</v>
      </c>
      <c r="D566" s="444" t="s">
        <v>810</v>
      </c>
      <c r="F566" s="424">
        <f>F548</f>
        <v>72783</v>
      </c>
      <c r="G566" s="424"/>
      <c r="H566" s="424"/>
      <c r="I566" s="424"/>
      <c r="J566" s="424"/>
      <c r="K566" s="424"/>
      <c r="L566" s="424"/>
      <c r="M566" s="424"/>
      <c r="N566" s="424"/>
      <c r="O566" s="424"/>
      <c r="P566" s="424"/>
      <c r="Q566" s="424"/>
      <c r="R566" s="391"/>
      <c r="S566" s="390"/>
    </row>
    <row r="567" spans="2:19" x14ac:dyDescent="0.2">
      <c r="C567" s="32" t="s">
        <v>1152</v>
      </c>
      <c r="D567" s="444" t="s">
        <v>811</v>
      </c>
      <c r="F567" s="424">
        <f>F545+F549</f>
        <v>99578575</v>
      </c>
      <c r="G567" s="424"/>
      <c r="H567" s="424"/>
      <c r="I567" s="424"/>
      <c r="J567" s="424"/>
      <c r="K567" s="424"/>
      <c r="L567" s="424"/>
      <c r="M567" s="424"/>
      <c r="N567" s="424"/>
      <c r="O567" s="424"/>
      <c r="P567" s="424"/>
      <c r="Q567" s="424"/>
      <c r="R567" s="391"/>
      <c r="S567" s="390"/>
    </row>
    <row r="568" spans="2:19" x14ac:dyDescent="0.2">
      <c r="C568" s="343" t="s">
        <v>844</v>
      </c>
      <c r="F568" s="424">
        <f>F550</f>
        <v>35980178</v>
      </c>
      <c r="G568" s="424"/>
      <c r="H568" s="424"/>
      <c r="I568" s="424"/>
      <c r="J568" s="424"/>
      <c r="K568" s="424"/>
      <c r="L568" s="424"/>
      <c r="M568" s="424"/>
      <c r="N568" s="424"/>
      <c r="O568" s="424"/>
      <c r="P568" s="424"/>
      <c r="Q568" s="424"/>
      <c r="R568" s="391"/>
      <c r="S568" s="390"/>
    </row>
    <row r="569" spans="2:19" x14ac:dyDescent="0.2">
      <c r="C569" s="32" t="s">
        <v>1167</v>
      </c>
      <c r="F569" s="357">
        <f>SUM(F556:F568)</f>
        <v>1089556625</v>
      </c>
      <c r="G569" s="424"/>
      <c r="H569" s="424"/>
      <c r="I569" s="424"/>
      <c r="J569" s="424"/>
      <c r="K569" s="424"/>
      <c r="L569" s="424"/>
      <c r="M569" s="424"/>
      <c r="N569" s="424"/>
      <c r="O569" s="424"/>
      <c r="P569" s="424"/>
      <c r="Q569" s="424"/>
      <c r="R569" s="391"/>
      <c r="S569" s="390"/>
    </row>
    <row r="570" spans="2:19" x14ac:dyDescent="0.2">
      <c r="C570" s="32" t="s">
        <v>131</v>
      </c>
      <c r="F570" s="279">
        <f>F553-F569</f>
        <v>0</v>
      </c>
      <c r="G570" s="424"/>
      <c r="H570" s="424"/>
      <c r="I570" s="424"/>
      <c r="J570" s="424"/>
      <c r="K570" s="424"/>
      <c r="L570" s="424"/>
      <c r="M570" s="424"/>
      <c r="N570" s="424"/>
      <c r="O570" s="424"/>
      <c r="P570" s="424"/>
      <c r="Q570" s="424"/>
      <c r="R570" s="391"/>
      <c r="S570" s="390"/>
    </row>
    <row r="571" spans="2:19" x14ac:dyDescent="0.2">
      <c r="G571" s="390"/>
      <c r="H571" s="390"/>
      <c r="I571" s="390"/>
      <c r="L571" s="390"/>
      <c r="M571" s="390"/>
      <c r="N571" s="390"/>
      <c r="O571" s="390"/>
      <c r="P571" s="390"/>
      <c r="Q571" s="390"/>
      <c r="R571" s="391"/>
      <c r="S571" s="390"/>
    </row>
    <row r="572" spans="2:19" x14ac:dyDescent="0.2">
      <c r="B572" s="32" t="s">
        <v>1169</v>
      </c>
      <c r="G572" s="390"/>
      <c r="H572" s="390"/>
      <c r="I572" s="32"/>
      <c r="J572" s="32"/>
      <c r="K572" s="32"/>
    </row>
    <row r="573" spans="2:19" x14ac:dyDescent="0.2">
      <c r="C573" s="336" t="s">
        <v>1315</v>
      </c>
      <c r="D573" s="336">
        <v>61</v>
      </c>
      <c r="F573" s="279">
        <f>F88/0.1</f>
        <v>48323.999999999993</v>
      </c>
      <c r="G573" s="390"/>
      <c r="H573" s="390"/>
      <c r="I573" s="32"/>
      <c r="J573" s="32"/>
      <c r="K573" s="32"/>
    </row>
    <row r="574" spans="2:19" x14ac:dyDescent="0.2">
      <c r="C574" s="336" t="s">
        <v>1316</v>
      </c>
      <c r="D574" s="336">
        <v>61</v>
      </c>
      <c r="F574" s="279">
        <f>F156/0.1</f>
        <v>1093428</v>
      </c>
      <c r="G574" s="390"/>
      <c r="H574" s="390"/>
      <c r="I574" s="32"/>
      <c r="J574" s="32"/>
      <c r="K574" s="32"/>
    </row>
    <row r="575" spans="2:19" x14ac:dyDescent="0.2">
      <c r="C575" s="336" t="s">
        <v>1317</v>
      </c>
      <c r="D575" s="336">
        <v>61</v>
      </c>
      <c r="F575" s="279">
        <f>F340/0.1</f>
        <v>11364.000000000002</v>
      </c>
      <c r="G575" s="390"/>
      <c r="H575" s="390"/>
      <c r="I575" s="32"/>
      <c r="J575" s="32"/>
      <c r="K575" s="32"/>
    </row>
    <row r="576" spans="2:19" x14ac:dyDescent="0.2">
      <c r="C576" s="32" t="s">
        <v>1124</v>
      </c>
      <c r="D576" s="32">
        <v>41</v>
      </c>
      <c r="F576" s="279">
        <f>F119</f>
        <v>3673189.57</v>
      </c>
      <c r="G576" s="390"/>
      <c r="H576" s="390"/>
      <c r="I576" s="32"/>
      <c r="J576" s="32"/>
      <c r="K576" s="32"/>
    </row>
    <row r="577" spans="3:11" x14ac:dyDescent="0.2">
      <c r="C577" s="32" t="s">
        <v>1128</v>
      </c>
      <c r="D577" s="32">
        <v>85</v>
      </c>
      <c r="F577" s="279">
        <f>F169</f>
        <v>91184</v>
      </c>
      <c r="G577" s="390"/>
      <c r="H577" s="390"/>
      <c r="I577" s="32"/>
      <c r="J577" s="32"/>
      <c r="K577" s="32"/>
    </row>
    <row r="578" spans="3:11" x14ac:dyDescent="0.2">
      <c r="C578" s="32" t="s">
        <v>1129</v>
      </c>
      <c r="D578" s="32">
        <v>86</v>
      </c>
      <c r="F578" s="279">
        <f>F214</f>
        <v>107681</v>
      </c>
      <c r="G578" s="390"/>
      <c r="H578" s="390"/>
      <c r="I578" s="32"/>
      <c r="J578" s="32"/>
      <c r="K578" s="32"/>
    </row>
    <row r="579" spans="3:11" x14ac:dyDescent="0.2">
      <c r="C579" s="32" t="s">
        <v>1130</v>
      </c>
      <c r="D579" s="32">
        <v>87</v>
      </c>
      <c r="F579" s="279">
        <f>F242</f>
        <v>6384</v>
      </c>
      <c r="G579" s="390"/>
      <c r="H579" s="390"/>
      <c r="I579" s="32"/>
      <c r="J579" s="32"/>
      <c r="K579" s="32"/>
    </row>
    <row r="580" spans="3:11" x14ac:dyDescent="0.2">
      <c r="C580" s="336" t="s">
        <v>1158</v>
      </c>
      <c r="D580" s="382" t="s">
        <v>808</v>
      </c>
      <c r="F580" s="279">
        <f>+F140</f>
        <v>174384</v>
      </c>
      <c r="G580" s="390"/>
      <c r="H580" s="390"/>
      <c r="I580" s="32"/>
      <c r="J580" s="32"/>
      <c r="K580" s="32"/>
    </row>
    <row r="581" spans="3:11" x14ac:dyDescent="0.2">
      <c r="C581" s="336" t="s">
        <v>1159</v>
      </c>
      <c r="D581" s="382" t="s">
        <v>809</v>
      </c>
      <c r="F581" s="279">
        <f>+F191</f>
        <v>253072</v>
      </c>
      <c r="G581" s="417"/>
      <c r="H581" s="390"/>
      <c r="I581" s="364"/>
      <c r="J581" s="32"/>
      <c r="K581" s="32"/>
    </row>
    <row r="582" spans="3:11" x14ac:dyDescent="0.2">
      <c r="C582" s="336" t="s">
        <v>1160</v>
      </c>
      <c r="D582" s="382" t="s">
        <v>811</v>
      </c>
      <c r="F582" s="279">
        <f>+F264</f>
        <v>24</v>
      </c>
      <c r="G582" s="417"/>
      <c r="H582" s="390"/>
      <c r="I582" s="364"/>
      <c r="J582" s="32"/>
      <c r="K582" s="32"/>
    </row>
    <row r="583" spans="3:11" x14ac:dyDescent="0.2">
      <c r="C583" s="32" t="s">
        <v>1132</v>
      </c>
      <c r="D583" s="32">
        <v>41</v>
      </c>
      <c r="F583" s="279">
        <f>F304</f>
        <v>686512.06</v>
      </c>
      <c r="G583" s="417"/>
      <c r="H583" s="390"/>
      <c r="I583" s="364"/>
      <c r="J583" s="32"/>
      <c r="K583" s="32"/>
    </row>
    <row r="584" spans="3:11" x14ac:dyDescent="0.2">
      <c r="C584" s="32" t="s">
        <v>1137</v>
      </c>
      <c r="D584" s="32">
        <v>85</v>
      </c>
      <c r="F584" s="279">
        <f>F352</f>
        <v>29316</v>
      </c>
      <c r="G584" s="417"/>
      <c r="H584" s="390"/>
      <c r="I584" s="364"/>
      <c r="J584" s="32"/>
      <c r="K584" s="32"/>
    </row>
    <row r="585" spans="3:11" x14ac:dyDescent="0.2">
      <c r="C585" s="32" t="s">
        <v>1138</v>
      </c>
      <c r="D585" s="32">
        <v>86</v>
      </c>
      <c r="F585" s="279">
        <f>F395</f>
        <v>1584</v>
      </c>
      <c r="G585" s="417"/>
      <c r="H585" s="390"/>
      <c r="I585" s="364"/>
      <c r="J585" s="32"/>
      <c r="K585" s="32"/>
    </row>
    <row r="586" spans="3:11" x14ac:dyDescent="0.2">
      <c r="C586" s="32" t="s">
        <v>1139</v>
      </c>
      <c r="D586" s="32">
        <v>87</v>
      </c>
      <c r="F586" s="279">
        <f>F438</f>
        <v>0</v>
      </c>
      <c r="G586" s="417"/>
      <c r="H586" s="417"/>
      <c r="I586" s="364"/>
      <c r="J586" s="32"/>
      <c r="K586" s="32"/>
    </row>
    <row r="587" spans="3:11" x14ac:dyDescent="0.2">
      <c r="C587" s="336" t="s">
        <v>1161</v>
      </c>
      <c r="D587" s="382" t="s">
        <v>808</v>
      </c>
      <c r="F587" s="279">
        <f>F324</f>
        <v>222848</v>
      </c>
      <c r="G587" s="417"/>
      <c r="H587" s="417"/>
      <c r="I587" s="364"/>
      <c r="J587" s="32"/>
      <c r="K587" s="32"/>
    </row>
    <row r="588" spans="3:11" x14ac:dyDescent="0.2">
      <c r="C588" s="336" t="s">
        <v>1162</v>
      </c>
      <c r="D588" s="382" t="s">
        <v>809</v>
      </c>
      <c r="F588" s="279">
        <f>F373</f>
        <v>440195</v>
      </c>
      <c r="G588" s="417"/>
      <c r="H588" s="417"/>
      <c r="I588" s="364"/>
      <c r="J588" s="32"/>
      <c r="K588" s="32"/>
    </row>
    <row r="589" spans="3:11" x14ac:dyDescent="0.2">
      <c r="C589" s="336" t="s">
        <v>1313</v>
      </c>
      <c r="D589" s="382" t="s">
        <v>810</v>
      </c>
      <c r="F589" s="279">
        <f>F416</f>
        <v>0</v>
      </c>
      <c r="G589" s="417"/>
      <c r="H589" s="417"/>
      <c r="I589" s="364"/>
      <c r="J589" s="32"/>
      <c r="K589" s="32"/>
    </row>
    <row r="590" spans="3:11" x14ac:dyDescent="0.2">
      <c r="C590" s="336" t="s">
        <v>1164</v>
      </c>
      <c r="D590" s="382" t="s">
        <v>811</v>
      </c>
      <c r="F590" s="279">
        <f>+F459</f>
        <v>452851</v>
      </c>
      <c r="G590" s="417"/>
      <c r="H590" s="417"/>
      <c r="I590" s="364"/>
      <c r="J590" s="32"/>
      <c r="K590" s="32"/>
    </row>
    <row r="591" spans="3:11" x14ac:dyDescent="0.2">
      <c r="C591" s="32" t="s">
        <v>1173</v>
      </c>
      <c r="F591" s="279">
        <f>F475</f>
        <v>461796</v>
      </c>
      <c r="G591" s="417"/>
      <c r="H591" s="417"/>
      <c r="I591" s="364"/>
      <c r="J591" s="32"/>
      <c r="K591" s="32"/>
    </row>
    <row r="592" spans="3:11" x14ac:dyDescent="0.2">
      <c r="C592" s="32" t="s">
        <v>1174</v>
      </c>
      <c r="F592" s="357">
        <f>SUM(F573:F591)</f>
        <v>7754136.6300000008</v>
      </c>
      <c r="G592" s="417"/>
      <c r="H592" s="417"/>
      <c r="I592" s="364"/>
      <c r="J592" s="32"/>
      <c r="K592" s="32"/>
    </row>
    <row r="593" spans="2:19" x14ac:dyDescent="0.2">
      <c r="G593" s="417"/>
      <c r="H593" s="417"/>
      <c r="I593" s="364"/>
      <c r="J593" s="32"/>
      <c r="K593" s="32"/>
    </row>
    <row r="594" spans="2:19" x14ac:dyDescent="0.2">
      <c r="B594" s="32" t="s">
        <v>1175</v>
      </c>
      <c r="F594" s="424"/>
      <c r="G594" s="424"/>
      <c r="H594" s="424"/>
      <c r="I594" s="424"/>
      <c r="J594" s="424"/>
      <c r="K594" s="424"/>
      <c r="L594" s="424"/>
      <c r="M594" s="424"/>
      <c r="N594" s="424"/>
      <c r="O594" s="424"/>
      <c r="P594" s="424"/>
      <c r="Q594" s="424"/>
      <c r="R594" s="391"/>
      <c r="S594" s="390"/>
    </row>
    <row r="595" spans="2:19" x14ac:dyDescent="0.2">
      <c r="C595" s="336" t="s">
        <v>1318</v>
      </c>
      <c r="D595" s="32">
        <v>61</v>
      </c>
      <c r="F595" s="424">
        <f>SUM(F573:F575)</f>
        <v>1153116</v>
      </c>
      <c r="G595" s="424"/>
      <c r="H595" s="424"/>
      <c r="I595" s="424"/>
      <c r="J595" s="424"/>
      <c r="K595" s="424"/>
      <c r="L595" s="424"/>
      <c r="M595" s="424"/>
      <c r="N595" s="424"/>
      <c r="O595" s="424"/>
      <c r="P595" s="424"/>
      <c r="Q595" s="424"/>
      <c r="R595" s="391"/>
      <c r="S595" s="390"/>
    </row>
    <row r="596" spans="2:19" x14ac:dyDescent="0.2">
      <c r="C596" s="343" t="s">
        <v>1145</v>
      </c>
      <c r="D596" s="32">
        <v>41</v>
      </c>
      <c r="F596" s="424">
        <f t="shared" ref="F596:F601" si="1">F576+F583</f>
        <v>4359701.63</v>
      </c>
      <c r="G596" s="424"/>
      <c r="H596" s="424"/>
      <c r="I596" s="424"/>
      <c r="J596" s="424"/>
      <c r="K596" s="424"/>
      <c r="L596" s="424"/>
      <c r="M596" s="424"/>
      <c r="N596" s="424"/>
      <c r="O596" s="424"/>
      <c r="P596" s="424"/>
      <c r="Q596" s="424"/>
      <c r="R596" s="391"/>
      <c r="S596" s="390"/>
    </row>
    <row r="597" spans="2:19" x14ac:dyDescent="0.2">
      <c r="C597" s="343" t="s">
        <v>1146</v>
      </c>
      <c r="D597" s="32">
        <v>85</v>
      </c>
      <c r="F597" s="424">
        <f t="shared" si="1"/>
        <v>120500</v>
      </c>
      <c r="G597" s="424"/>
      <c r="H597" s="424"/>
      <c r="I597" s="424"/>
      <c r="J597" s="424"/>
      <c r="K597" s="424"/>
      <c r="L597" s="424"/>
      <c r="M597" s="424"/>
      <c r="N597" s="424"/>
      <c r="O597" s="424"/>
      <c r="P597" s="424"/>
      <c r="Q597" s="424"/>
      <c r="R597" s="391"/>
      <c r="S597" s="390"/>
    </row>
    <row r="598" spans="2:19" x14ac:dyDescent="0.2">
      <c r="C598" s="343" t="s">
        <v>1147</v>
      </c>
      <c r="D598" s="32">
        <v>86</v>
      </c>
      <c r="F598" s="424">
        <f t="shared" si="1"/>
        <v>109265</v>
      </c>
      <c r="G598" s="424"/>
      <c r="H598" s="424"/>
      <c r="I598" s="424"/>
      <c r="J598" s="424"/>
      <c r="K598" s="424"/>
      <c r="L598" s="424"/>
      <c r="M598" s="424"/>
      <c r="N598" s="424"/>
      <c r="O598" s="424"/>
      <c r="P598" s="424"/>
      <c r="Q598" s="424"/>
      <c r="R598" s="391"/>
      <c r="S598" s="390"/>
    </row>
    <row r="599" spans="2:19" x14ac:dyDescent="0.2">
      <c r="C599" s="343" t="s">
        <v>1148</v>
      </c>
      <c r="D599" s="32">
        <v>87</v>
      </c>
      <c r="F599" s="424">
        <f t="shared" si="1"/>
        <v>6384</v>
      </c>
      <c r="G599" s="424"/>
      <c r="H599" s="424"/>
      <c r="I599" s="424"/>
      <c r="J599" s="424"/>
      <c r="K599" s="424"/>
      <c r="L599" s="424"/>
      <c r="M599" s="424"/>
      <c r="N599" s="424"/>
      <c r="O599" s="424"/>
      <c r="P599" s="424"/>
      <c r="Q599" s="424"/>
      <c r="R599" s="391"/>
      <c r="S599" s="390"/>
    </row>
    <row r="600" spans="2:19" x14ac:dyDescent="0.2">
      <c r="C600" s="32" t="s">
        <v>1149</v>
      </c>
      <c r="D600" s="444" t="s">
        <v>808</v>
      </c>
      <c r="F600" s="424">
        <f t="shared" si="1"/>
        <v>397232</v>
      </c>
      <c r="G600" s="424"/>
      <c r="H600" s="424"/>
      <c r="I600" s="424"/>
      <c r="J600" s="424"/>
      <c r="K600" s="424"/>
      <c r="L600" s="424"/>
      <c r="M600" s="424"/>
      <c r="N600" s="424"/>
      <c r="O600" s="424"/>
      <c r="P600" s="424"/>
      <c r="Q600" s="424"/>
      <c r="R600" s="391"/>
      <c r="S600" s="390"/>
    </row>
    <row r="601" spans="2:19" x14ac:dyDescent="0.2">
      <c r="C601" s="32" t="s">
        <v>1150</v>
      </c>
      <c r="D601" s="444" t="s">
        <v>809</v>
      </c>
      <c r="F601" s="424">
        <f t="shared" si="1"/>
        <v>693267</v>
      </c>
      <c r="G601" s="424"/>
      <c r="H601" s="424"/>
      <c r="I601" s="424"/>
      <c r="J601" s="424"/>
      <c r="K601" s="424"/>
      <c r="L601" s="424"/>
      <c r="M601" s="424"/>
      <c r="N601" s="424"/>
      <c r="O601" s="424"/>
      <c r="P601" s="424"/>
      <c r="Q601" s="424"/>
      <c r="R601" s="391"/>
      <c r="S601" s="390"/>
    </row>
    <row r="602" spans="2:19" x14ac:dyDescent="0.2">
      <c r="C602" s="32" t="s">
        <v>1151</v>
      </c>
      <c r="D602" s="444" t="s">
        <v>810</v>
      </c>
      <c r="F602" s="424">
        <f>F589</f>
        <v>0</v>
      </c>
      <c r="G602" s="424"/>
      <c r="H602" s="424"/>
      <c r="I602" s="424"/>
      <c r="J602" s="424"/>
      <c r="K602" s="424"/>
      <c r="L602" s="424"/>
      <c r="M602" s="424"/>
      <c r="N602" s="424"/>
      <c r="O602" s="424"/>
      <c r="P602" s="424"/>
      <c r="Q602" s="424"/>
      <c r="R602" s="391"/>
      <c r="S602" s="390"/>
    </row>
    <row r="603" spans="2:19" x14ac:dyDescent="0.2">
      <c r="C603" s="32" t="s">
        <v>1152</v>
      </c>
      <c r="D603" s="444" t="s">
        <v>811</v>
      </c>
      <c r="F603" s="424">
        <f>F582+F590</f>
        <v>452875</v>
      </c>
      <c r="G603" s="424"/>
      <c r="H603" s="424"/>
      <c r="I603" s="424"/>
      <c r="J603" s="424"/>
      <c r="K603" s="424"/>
      <c r="L603" s="424"/>
      <c r="M603" s="424"/>
      <c r="N603" s="424"/>
      <c r="O603" s="424"/>
      <c r="P603" s="424"/>
      <c r="Q603" s="424"/>
      <c r="R603" s="391"/>
      <c r="S603" s="390"/>
    </row>
    <row r="604" spans="2:19" x14ac:dyDescent="0.2">
      <c r="C604" s="343" t="s">
        <v>844</v>
      </c>
      <c r="F604" s="424">
        <f>F591</f>
        <v>461796</v>
      </c>
      <c r="G604" s="424"/>
      <c r="H604" s="424"/>
      <c r="I604" s="424"/>
      <c r="J604" s="424"/>
      <c r="K604" s="424"/>
      <c r="L604" s="424"/>
      <c r="M604" s="424"/>
      <c r="N604" s="424"/>
      <c r="O604" s="424"/>
      <c r="P604" s="424"/>
      <c r="Q604" s="424"/>
      <c r="R604" s="391"/>
      <c r="S604" s="390"/>
    </row>
    <row r="605" spans="2:19" x14ac:dyDescent="0.2">
      <c r="C605" s="32" t="s">
        <v>1174</v>
      </c>
      <c r="E605" s="364"/>
      <c r="F605" s="357">
        <f>SUM(F595:F604)</f>
        <v>7754136.6299999999</v>
      </c>
      <c r="G605" s="424"/>
      <c r="H605" s="424"/>
      <c r="I605" s="424"/>
      <c r="J605" s="424"/>
      <c r="K605" s="424"/>
      <c r="L605" s="424"/>
      <c r="M605" s="424"/>
      <c r="N605" s="424"/>
      <c r="O605" s="424"/>
      <c r="P605" s="424"/>
      <c r="Q605" s="424"/>
      <c r="R605" s="391"/>
      <c r="S605" s="390"/>
    </row>
    <row r="606" spans="2:19" x14ac:dyDescent="0.2">
      <c r="C606" s="32" t="s">
        <v>131</v>
      </c>
      <c r="E606" s="364"/>
      <c r="F606" s="424">
        <f>F605-F592</f>
        <v>0</v>
      </c>
      <c r="G606" s="424"/>
      <c r="H606" s="424"/>
      <c r="I606" s="424"/>
      <c r="J606" s="424"/>
      <c r="K606" s="424"/>
      <c r="L606" s="424"/>
      <c r="M606" s="424"/>
      <c r="N606" s="424"/>
      <c r="O606" s="424"/>
      <c r="P606" s="424"/>
      <c r="Q606" s="424"/>
      <c r="R606" s="391"/>
      <c r="S606" s="390"/>
    </row>
    <row r="607" spans="2:19" x14ac:dyDescent="0.2">
      <c r="E607" s="364"/>
      <c r="F607" s="364"/>
      <c r="G607" s="417"/>
      <c r="H607" s="417"/>
      <c r="I607" s="417"/>
      <c r="J607" s="417"/>
      <c r="K607" s="417"/>
      <c r="L607" s="417"/>
      <c r="M607" s="417"/>
      <c r="N607" s="417"/>
      <c r="O607" s="417"/>
      <c r="P607" s="417"/>
      <c r="Q607" s="417"/>
      <c r="R607" s="391"/>
      <c r="S607" s="390"/>
    </row>
    <row r="608" spans="2:19" x14ac:dyDescent="0.2">
      <c r="B608" s="182" t="s">
        <v>1178</v>
      </c>
      <c r="G608" s="390"/>
      <c r="H608" s="390"/>
      <c r="I608" s="32"/>
      <c r="J608" s="32"/>
      <c r="K608" s="32"/>
    </row>
    <row r="609" spans="1:17" x14ac:dyDescent="0.2">
      <c r="A609" s="32" t="s">
        <v>1056</v>
      </c>
      <c r="B609" s="32" t="s">
        <v>1179</v>
      </c>
      <c r="F609" s="364">
        <f>SUMIF($A$36:$A$482,$A609,F$36:F$482)-F80</f>
        <v>628506633.22568965</v>
      </c>
      <c r="G609" s="390"/>
      <c r="H609" s="417"/>
      <c r="I609" s="32"/>
      <c r="J609" s="32"/>
      <c r="K609" s="32"/>
    </row>
    <row r="610" spans="1:17" x14ac:dyDescent="0.2">
      <c r="A610" s="32" t="s">
        <v>1056</v>
      </c>
      <c r="B610" s="32" t="s">
        <v>1319</v>
      </c>
      <c r="F610" s="364">
        <f>F80</f>
        <v>8469.5507400000006</v>
      </c>
      <c r="G610" s="390"/>
      <c r="H610" s="417"/>
      <c r="I610" s="32"/>
      <c r="J610" s="32"/>
      <c r="K610" s="32"/>
    </row>
    <row r="611" spans="1:17" s="336" customFormat="1" x14ac:dyDescent="0.2">
      <c r="A611" s="336" t="s">
        <v>1054</v>
      </c>
      <c r="B611" s="336" t="s">
        <v>1320</v>
      </c>
      <c r="F611" s="418">
        <f>SUMIF($A$36:$A$482,$A611,F$36:F$482)</f>
        <v>411907130.67666984</v>
      </c>
      <c r="G611" s="390"/>
      <c r="H611" s="390"/>
      <c r="I611" s="32"/>
      <c r="J611" s="32"/>
      <c r="K611" s="32"/>
      <c r="L611" s="32"/>
      <c r="M611" s="32"/>
      <c r="N611" s="32"/>
      <c r="O611" s="32"/>
      <c r="P611" s="32"/>
      <c r="Q611" s="32"/>
    </row>
    <row r="612" spans="1:17" s="336" customFormat="1" x14ac:dyDescent="0.2">
      <c r="B612" s="336" t="s">
        <v>23</v>
      </c>
      <c r="F612" s="339">
        <f>SUM(F609:F611)</f>
        <v>1040422233.4530995</v>
      </c>
      <c r="G612" s="390"/>
      <c r="H612" s="390"/>
      <c r="I612" s="32"/>
      <c r="J612" s="32"/>
      <c r="K612" s="32"/>
      <c r="L612" s="32"/>
      <c r="M612" s="32"/>
      <c r="N612" s="32"/>
      <c r="O612" s="32"/>
      <c r="P612" s="32"/>
      <c r="Q612" s="32"/>
    </row>
    <row r="613" spans="1:17" x14ac:dyDescent="0.2">
      <c r="F613" s="364"/>
      <c r="G613" s="390"/>
      <c r="H613" s="390"/>
      <c r="I613" s="32"/>
      <c r="J613" s="32"/>
      <c r="K613" s="32"/>
    </row>
    <row r="614" spans="1:17" s="336" customFormat="1" x14ac:dyDescent="0.2">
      <c r="B614" s="336" t="s">
        <v>1182</v>
      </c>
      <c r="F614" s="486">
        <f>$D$8</f>
        <v>1.0458730000000001</v>
      </c>
      <c r="G614" s="390"/>
      <c r="H614" s="390"/>
      <c r="I614" s="32"/>
      <c r="J614" s="32"/>
      <c r="K614" s="32"/>
      <c r="L614" s="32"/>
      <c r="M614" s="32"/>
      <c r="N614" s="32"/>
      <c r="O614" s="32"/>
      <c r="P614" s="32"/>
      <c r="Q614" s="32"/>
    </row>
    <row r="615" spans="1:17" x14ac:dyDescent="0.2">
      <c r="A615" s="32" t="s">
        <v>1058</v>
      </c>
      <c r="B615" s="32" t="s">
        <v>1050</v>
      </c>
      <c r="F615" s="364">
        <f>SUMIF($A$36:$A$482,$A615,F$36:F$482)</f>
        <v>600935094.17894995</v>
      </c>
      <c r="G615" s="390"/>
      <c r="H615" s="439"/>
      <c r="I615" s="32"/>
      <c r="J615" s="32"/>
      <c r="K615" s="32"/>
    </row>
    <row r="616" spans="1:17" x14ac:dyDescent="0.2">
      <c r="G616" s="390"/>
      <c r="H616" s="390"/>
      <c r="I616" s="32"/>
      <c r="J616" s="32"/>
      <c r="K616" s="32"/>
    </row>
    <row r="617" spans="1:17" x14ac:dyDescent="0.2">
      <c r="B617" s="488" t="s">
        <v>1226</v>
      </c>
      <c r="G617" s="390"/>
      <c r="H617" s="390"/>
      <c r="I617" s="32"/>
      <c r="J617" s="32"/>
      <c r="K617" s="32"/>
    </row>
    <row r="618" spans="1:17" x14ac:dyDescent="0.2">
      <c r="B618" s="343" t="s">
        <v>827</v>
      </c>
      <c r="F618" s="364">
        <f>F51</f>
        <v>8397.36</v>
      </c>
      <c r="G618" s="390"/>
      <c r="H618" s="390"/>
      <c r="I618" s="32"/>
      <c r="J618" s="32"/>
      <c r="K618" s="32"/>
    </row>
    <row r="619" spans="1:17" x14ac:dyDescent="0.2">
      <c r="B619" s="343" t="s">
        <v>828</v>
      </c>
      <c r="F619" s="437">
        <f>F69</f>
        <v>377375461.50811005</v>
      </c>
      <c r="G619" s="390"/>
      <c r="H619" s="390"/>
      <c r="I619" s="32"/>
      <c r="J619" s="32"/>
      <c r="K619" s="32"/>
    </row>
    <row r="620" spans="1:17" x14ac:dyDescent="0.2">
      <c r="B620" s="343" t="s">
        <v>829</v>
      </c>
      <c r="F620" s="437">
        <f>F83</f>
        <v>8469.5507400000006</v>
      </c>
      <c r="G620" s="390"/>
      <c r="H620" s="390"/>
      <c r="I620" s="32"/>
      <c r="J620" s="32"/>
      <c r="K620" s="32"/>
    </row>
    <row r="621" spans="1:17" x14ac:dyDescent="0.2">
      <c r="B621" s="346" t="s">
        <v>830</v>
      </c>
      <c r="F621" s="364">
        <f>F106+F292</f>
        <v>138242498.373</v>
      </c>
      <c r="G621" s="390"/>
      <c r="H621" s="390"/>
      <c r="I621" s="32"/>
      <c r="J621" s="32"/>
      <c r="K621" s="32"/>
    </row>
    <row r="622" spans="1:17" x14ac:dyDescent="0.2">
      <c r="B622" s="343" t="s">
        <v>832</v>
      </c>
      <c r="F622" s="364">
        <f>F133+F318</f>
        <v>46211269.358629994</v>
      </c>
      <c r="G622" s="390"/>
      <c r="H622" s="390"/>
      <c r="I622" s="32"/>
      <c r="J622" s="32"/>
      <c r="K622" s="32"/>
    </row>
    <row r="623" spans="1:17" x14ac:dyDescent="0.2">
      <c r="B623" s="343" t="s">
        <v>836</v>
      </c>
      <c r="F623" s="364">
        <v>0</v>
      </c>
      <c r="G623" s="390"/>
      <c r="H623" s="390"/>
      <c r="I623" s="32"/>
      <c r="J623" s="32"/>
      <c r="K623" s="32"/>
    </row>
    <row r="624" spans="1:17" x14ac:dyDescent="0.2">
      <c r="B624" s="343" t="s">
        <v>837</v>
      </c>
      <c r="F624" s="364">
        <f>F184+F367</f>
        <v>11055746.4342</v>
      </c>
      <c r="G624" s="390"/>
      <c r="H624" s="390"/>
      <c r="I624" s="32"/>
      <c r="J624" s="32"/>
      <c r="K624" s="32"/>
    </row>
    <row r="625" spans="2:11" x14ac:dyDescent="0.2">
      <c r="B625" s="343" t="s">
        <v>839</v>
      </c>
      <c r="F625" s="364">
        <f>F229+F410</f>
        <v>8954009.3746199999</v>
      </c>
      <c r="G625" s="390"/>
      <c r="H625" s="390"/>
      <c r="I625" s="32"/>
      <c r="J625" s="32"/>
      <c r="K625" s="32"/>
    </row>
    <row r="626" spans="2:11" x14ac:dyDescent="0.2">
      <c r="B626" s="343" t="s">
        <v>841</v>
      </c>
      <c r="F626" s="364">
        <f>F257+F453</f>
        <v>18958581.948450003</v>
      </c>
      <c r="G626" s="390"/>
      <c r="H626" s="390"/>
      <c r="I626" s="32"/>
      <c r="J626" s="32"/>
      <c r="K626" s="32"/>
    </row>
    <row r="627" spans="2:11" x14ac:dyDescent="0.2">
      <c r="B627" s="32" t="s">
        <v>1184</v>
      </c>
      <c r="F627" s="364">
        <f>F151+F336</f>
        <v>5470.2017999999989</v>
      </c>
      <c r="G627" s="390"/>
      <c r="H627" s="390"/>
      <c r="I627" s="32"/>
      <c r="J627" s="32"/>
      <c r="K627" s="32"/>
    </row>
    <row r="628" spans="2:11" x14ac:dyDescent="0.2">
      <c r="B628" s="32" t="s">
        <v>1185</v>
      </c>
      <c r="F628" s="364">
        <f>F201+F383</f>
        <v>45434.118799999997</v>
      </c>
      <c r="G628" s="390"/>
      <c r="H628" s="390"/>
      <c r="I628" s="32"/>
      <c r="J628" s="32"/>
      <c r="K628" s="32"/>
    </row>
    <row r="629" spans="2:11" x14ac:dyDescent="0.2">
      <c r="B629" s="32" t="s">
        <v>1186</v>
      </c>
      <c r="F629" s="364">
        <f>F421</f>
        <v>50.94809999999999</v>
      </c>
      <c r="G629" s="390"/>
      <c r="H629" s="390"/>
      <c r="I629" s="32"/>
      <c r="J629" s="32"/>
      <c r="K629" s="32"/>
    </row>
    <row r="630" spans="2:11" x14ac:dyDescent="0.2">
      <c r="B630" s="32" t="s">
        <v>1187</v>
      </c>
      <c r="F630" s="364">
        <f>F275+F469</f>
        <v>69705.002500000017</v>
      </c>
      <c r="G630" s="390"/>
      <c r="H630" s="390"/>
      <c r="I630" s="32"/>
      <c r="J630" s="32"/>
      <c r="K630" s="32"/>
    </row>
    <row r="631" spans="2:11" x14ac:dyDescent="0.2">
      <c r="B631" s="343" t="s">
        <v>144</v>
      </c>
      <c r="F631" s="364">
        <v>0</v>
      </c>
      <c r="G631" s="390"/>
      <c r="H631" s="390"/>
      <c r="I631" s="32"/>
      <c r="J631" s="32"/>
      <c r="K631" s="32"/>
    </row>
    <row r="632" spans="2:11" x14ac:dyDescent="0.2">
      <c r="B632" s="343" t="s">
        <v>1188</v>
      </c>
      <c r="F632" s="365">
        <f>SUM(F618:F631)</f>
        <v>600935094.17895007</v>
      </c>
      <c r="G632" s="390"/>
      <c r="H632" s="390"/>
      <c r="I632" s="32"/>
      <c r="J632" s="32"/>
      <c r="K632" s="32"/>
    </row>
    <row r="633" spans="2:11" x14ac:dyDescent="0.2">
      <c r="B633" s="32" t="s">
        <v>131</v>
      </c>
      <c r="F633" s="364">
        <f>F632-F615</f>
        <v>0</v>
      </c>
      <c r="G633" s="390"/>
      <c r="H633" s="390"/>
      <c r="I633" s="32"/>
      <c r="J633" s="32"/>
      <c r="K633" s="32"/>
    </row>
    <row r="634" spans="2:11" x14ac:dyDescent="0.2">
      <c r="F634" s="364"/>
      <c r="G634" s="390"/>
      <c r="H634" s="390"/>
      <c r="I634" s="32"/>
      <c r="J634" s="32"/>
      <c r="K634" s="32"/>
    </row>
    <row r="635" spans="2:11" x14ac:dyDescent="0.2">
      <c r="B635" s="488" t="s">
        <v>1183</v>
      </c>
      <c r="G635" s="390"/>
      <c r="H635" s="390"/>
      <c r="I635" s="32"/>
      <c r="J635" s="32"/>
      <c r="K635" s="32"/>
    </row>
    <row r="636" spans="2:11" x14ac:dyDescent="0.2">
      <c r="B636" s="343" t="s">
        <v>827</v>
      </c>
      <c r="F636" s="364">
        <f>F47</f>
        <v>6368.64</v>
      </c>
      <c r="G636" s="390"/>
      <c r="H636" s="390"/>
      <c r="I636" s="32"/>
      <c r="J636" s="32"/>
      <c r="K636" s="32"/>
    </row>
    <row r="637" spans="2:11" x14ac:dyDescent="0.2">
      <c r="B637" s="343" t="s">
        <v>828</v>
      </c>
      <c r="F637" s="437">
        <f>F64+F65</f>
        <v>289221244.68772</v>
      </c>
      <c r="G637" s="390"/>
      <c r="H637" s="390"/>
      <c r="I637" s="32"/>
      <c r="J637" s="32"/>
      <c r="K637" s="32"/>
    </row>
    <row r="638" spans="2:11" x14ac:dyDescent="0.2">
      <c r="B638" s="343" t="s">
        <v>829</v>
      </c>
      <c r="F638" s="437">
        <f>+F78+F79</f>
        <v>1400.0440800000001</v>
      </c>
      <c r="G638" s="390"/>
      <c r="H638" s="390"/>
      <c r="I638" s="32"/>
      <c r="J638" s="32"/>
      <c r="K638" s="32"/>
    </row>
    <row r="639" spans="2:11" x14ac:dyDescent="0.2">
      <c r="B639" s="346" t="s">
        <v>830</v>
      </c>
      <c r="F639" s="364">
        <f>F101+F102+F287+F288</f>
        <v>85258901.259900004</v>
      </c>
      <c r="G639" s="390"/>
      <c r="H639" s="390"/>
      <c r="I639" s="32"/>
      <c r="J639" s="32"/>
      <c r="K639" s="32"/>
    </row>
    <row r="640" spans="2:11" x14ac:dyDescent="0.2">
      <c r="B640" s="343" t="s">
        <v>832</v>
      </c>
      <c r="F640" s="364">
        <f>F122+F123+F126+F129+F307+F308+F311+F314</f>
        <v>16561409.198699998</v>
      </c>
      <c r="G640" s="390"/>
      <c r="H640" s="390"/>
      <c r="I640" s="32"/>
      <c r="J640" s="32"/>
      <c r="K640" s="32"/>
    </row>
    <row r="641" spans="2:17" x14ac:dyDescent="0.2">
      <c r="B641" s="343" t="s">
        <v>836</v>
      </c>
      <c r="F641" s="364">
        <f>F88+F156+F340</f>
        <v>115311.6</v>
      </c>
      <c r="G641" s="390"/>
      <c r="H641" s="390"/>
      <c r="I641" s="32"/>
      <c r="J641" s="32"/>
      <c r="K641" s="32"/>
    </row>
    <row r="642" spans="2:17" x14ac:dyDescent="0.2">
      <c r="B642" s="343" t="s">
        <v>837</v>
      </c>
      <c r="F642" s="364">
        <f>F172+F173+F175+F177+F180+F355+F356+F358+F360+F363</f>
        <v>1891752.9895900001</v>
      </c>
      <c r="G642" s="390"/>
      <c r="H642" s="390"/>
      <c r="I642" s="32"/>
      <c r="J642" s="32"/>
      <c r="K642" s="32"/>
    </row>
    <row r="643" spans="2:17" x14ac:dyDescent="0.2">
      <c r="B643" s="343" t="s">
        <v>839</v>
      </c>
      <c r="F643" s="364">
        <f>F217+F218+F220+F222+F225+F398+F399+F401+F403+F406</f>
        <v>3029030.30504</v>
      </c>
      <c r="G643" s="390"/>
      <c r="H643" s="390"/>
      <c r="I643" s="32"/>
      <c r="J643" s="32"/>
      <c r="K643" s="32"/>
    </row>
    <row r="644" spans="2:17" x14ac:dyDescent="0.2">
      <c r="B644" s="343" t="s">
        <v>841</v>
      </c>
      <c r="F644" s="364">
        <f>F245+F246+F248+F250+F253+F441+F442+F444+F446+F449</f>
        <v>1723707.0254000004</v>
      </c>
      <c r="G644" s="390"/>
      <c r="H644" s="390"/>
      <c r="I644" s="32"/>
      <c r="J644" s="32"/>
      <c r="K644" s="32"/>
    </row>
    <row r="645" spans="2:17" x14ac:dyDescent="0.2">
      <c r="B645" s="32" t="s">
        <v>1184</v>
      </c>
      <c r="F645" s="364">
        <f>+F143+F144+F146+F147+F148+F328+F329+F331+F332+F333</f>
        <v>1630699.4059199996</v>
      </c>
      <c r="G645" s="390"/>
      <c r="H645" s="390"/>
      <c r="I645" s="32"/>
      <c r="J645" s="32"/>
      <c r="K645" s="32"/>
    </row>
    <row r="646" spans="2:17" x14ac:dyDescent="0.2">
      <c r="B646" s="32" t="s">
        <v>1185</v>
      </c>
      <c r="F646" s="364">
        <f>+F194+F195+F197+F198+F376+F377+F379+F380</f>
        <v>6671371.0279200003</v>
      </c>
      <c r="G646" s="390"/>
      <c r="H646" s="390"/>
      <c r="I646" s="32"/>
      <c r="J646" s="32"/>
      <c r="K646" s="32"/>
    </row>
    <row r="647" spans="2:17" x14ac:dyDescent="0.2">
      <c r="B647" s="32" t="s">
        <v>1186</v>
      </c>
      <c r="F647" s="364">
        <f>F419+F420+F422+F423</f>
        <v>16591.111940000003</v>
      </c>
      <c r="G647" s="390"/>
      <c r="H647" s="390"/>
      <c r="I647" s="32"/>
      <c r="J647" s="32"/>
      <c r="K647" s="32"/>
    </row>
    <row r="648" spans="2:17" x14ac:dyDescent="0.2">
      <c r="B648" s="32" t="s">
        <v>1187</v>
      </c>
      <c r="F648" s="364">
        <f>+F268+F269+F271+F272+F462+F463+F465+F466</f>
        <v>4120727.5233100005</v>
      </c>
      <c r="G648" s="390"/>
      <c r="H648" s="390"/>
      <c r="I648" s="32"/>
      <c r="J648" s="32"/>
      <c r="K648" s="32"/>
    </row>
    <row r="649" spans="2:17" x14ac:dyDescent="0.2">
      <c r="B649" s="343" t="s">
        <v>144</v>
      </c>
      <c r="F649" s="364">
        <f>F478+F479+F480</f>
        <v>1658615.8571499998</v>
      </c>
      <c r="G649" s="390"/>
      <c r="H649" s="390"/>
      <c r="I649" s="32"/>
      <c r="J649" s="32"/>
      <c r="K649" s="32"/>
    </row>
    <row r="650" spans="2:17" x14ac:dyDescent="0.2">
      <c r="B650" s="343" t="s">
        <v>1188</v>
      </c>
      <c r="F650" s="365">
        <f>SUM(F636:F649)</f>
        <v>411907130.67667013</v>
      </c>
      <c r="G650" s="390"/>
      <c r="H650" s="390"/>
      <c r="I650" s="32"/>
      <c r="J650" s="32"/>
      <c r="K650" s="32"/>
    </row>
    <row r="651" spans="2:17" x14ac:dyDescent="0.2">
      <c r="B651" s="32" t="s">
        <v>131</v>
      </c>
      <c r="F651" s="364">
        <f>F650-F611</f>
        <v>0</v>
      </c>
      <c r="G651" s="390"/>
      <c r="H651" s="390"/>
      <c r="I651" s="32"/>
      <c r="J651" s="32"/>
      <c r="K651" s="32"/>
    </row>
    <row r="652" spans="2:17" x14ac:dyDescent="0.2">
      <c r="F652" s="364"/>
      <c r="G652" s="390"/>
      <c r="H652" s="390"/>
      <c r="I652" s="32"/>
      <c r="J652" s="32"/>
      <c r="K652" s="32"/>
    </row>
    <row r="653" spans="2:17" x14ac:dyDescent="0.2">
      <c r="B653" s="488" t="s">
        <v>186</v>
      </c>
      <c r="G653" s="390"/>
      <c r="H653" s="390"/>
      <c r="I653" s="32"/>
      <c r="J653" s="32"/>
      <c r="K653" s="32"/>
    </row>
    <row r="654" spans="2:17" x14ac:dyDescent="0.2">
      <c r="B654" s="343" t="s">
        <v>827</v>
      </c>
      <c r="F654" s="364">
        <f>F48</f>
        <v>8782.56</v>
      </c>
      <c r="G654" s="390"/>
      <c r="H654" s="390"/>
      <c r="I654" s="336"/>
      <c r="J654" s="32"/>
      <c r="K654" s="32"/>
      <c r="M654" s="336"/>
      <c r="N654" s="336"/>
      <c r="O654" s="336"/>
      <c r="P654" s="336"/>
      <c r="Q654" s="336"/>
    </row>
    <row r="655" spans="2:17" x14ac:dyDescent="0.2">
      <c r="B655" s="343" t="s">
        <v>828</v>
      </c>
      <c r="F655" s="418">
        <f>F66</f>
        <v>394687569.71019995</v>
      </c>
      <c r="G655" s="390"/>
      <c r="H655" s="390"/>
      <c r="I655" s="32"/>
      <c r="J655" s="32"/>
      <c r="K655" s="32"/>
    </row>
    <row r="656" spans="2:17" x14ac:dyDescent="0.2">
      <c r="B656" s="343" t="s">
        <v>829</v>
      </c>
      <c r="F656" s="418">
        <f>+F80</f>
        <v>8469.5507400000006</v>
      </c>
      <c r="G656" s="390"/>
      <c r="H656" s="390"/>
      <c r="I656" s="32"/>
      <c r="J656" s="32"/>
      <c r="K656" s="32"/>
    </row>
    <row r="657" spans="2:17" x14ac:dyDescent="0.2">
      <c r="B657" s="346" t="s">
        <v>830</v>
      </c>
      <c r="F657" s="364">
        <f>F103+F289</f>
        <v>144583284.64950001</v>
      </c>
      <c r="G657" s="390"/>
      <c r="H657" s="390"/>
      <c r="I657" s="32"/>
      <c r="J657" s="32"/>
      <c r="K657" s="32"/>
    </row>
    <row r="658" spans="2:17" x14ac:dyDescent="0.2">
      <c r="B658" s="343" t="s">
        <v>832</v>
      </c>
      <c r="F658" s="364">
        <f>F124+F127+F309+F312</f>
        <v>48349338.333330005</v>
      </c>
      <c r="G658" s="417"/>
      <c r="H658" s="390"/>
      <c r="I658" s="32"/>
      <c r="J658" s="32"/>
      <c r="K658" s="32"/>
    </row>
    <row r="659" spans="2:17" x14ac:dyDescent="0.2">
      <c r="B659" s="343" t="s">
        <v>836</v>
      </c>
      <c r="F659" s="364">
        <v>0</v>
      </c>
      <c r="G659" s="417"/>
      <c r="H659" s="390"/>
      <c r="I659" s="32"/>
      <c r="J659" s="336"/>
      <c r="K659" s="336"/>
      <c r="L659" s="336"/>
    </row>
    <row r="660" spans="2:17" x14ac:dyDescent="0.2">
      <c r="B660" s="343" t="s">
        <v>837</v>
      </c>
      <c r="F660" s="364">
        <f>F174+F178+F357+F361</f>
        <v>11563377.142759999</v>
      </c>
      <c r="G660" s="417"/>
      <c r="H660" s="390"/>
      <c r="I660" s="32"/>
      <c r="J660" s="32"/>
      <c r="K660" s="32"/>
    </row>
    <row r="661" spans="2:17" x14ac:dyDescent="0.2">
      <c r="B661" s="343" t="s">
        <v>839</v>
      </c>
      <c r="F661" s="364">
        <f>F219+F223+F400+F404</f>
        <v>9365187.1980000008</v>
      </c>
      <c r="G661" s="417"/>
      <c r="H661" s="390"/>
      <c r="I661" s="32"/>
      <c r="J661" s="32"/>
      <c r="K661" s="32"/>
    </row>
    <row r="662" spans="2:17" x14ac:dyDescent="0.2">
      <c r="B662" s="343" t="s">
        <v>841</v>
      </c>
      <c r="F662" s="364">
        <f>F247+F251+F443+F447</f>
        <v>19828433.3607</v>
      </c>
      <c r="G662" s="417"/>
      <c r="H662" s="390"/>
      <c r="I662" s="32"/>
      <c r="J662" s="32"/>
      <c r="K662" s="32"/>
    </row>
    <row r="663" spans="2:17" x14ac:dyDescent="0.2">
      <c r="B663" s="32" t="s">
        <v>1184</v>
      </c>
      <c r="F663" s="364">
        <f>F145+F330</f>
        <v>5470.2017999999989</v>
      </c>
      <c r="G663" s="417"/>
      <c r="H663" s="390"/>
      <c r="I663" s="32"/>
      <c r="J663" s="32"/>
      <c r="K663" s="32"/>
    </row>
    <row r="664" spans="2:17" x14ac:dyDescent="0.2">
      <c r="B664" s="32" t="s">
        <v>1185</v>
      </c>
      <c r="F664" s="364">
        <f>F196+F378</f>
        <v>45434.118799999997</v>
      </c>
      <c r="G664" s="417"/>
      <c r="H664" s="390"/>
      <c r="I664" s="32"/>
      <c r="J664" s="32"/>
      <c r="K664" s="32"/>
    </row>
    <row r="665" spans="2:17" x14ac:dyDescent="0.2">
      <c r="B665" s="32" t="s">
        <v>1186</v>
      </c>
      <c r="F665" s="364">
        <f>F421</f>
        <v>50.94809999999999</v>
      </c>
      <c r="G665" s="417"/>
      <c r="H665" s="390"/>
      <c r="I665" s="32"/>
      <c r="J665" s="32"/>
      <c r="K665" s="32"/>
    </row>
    <row r="666" spans="2:17" x14ac:dyDescent="0.2">
      <c r="B666" s="32" t="s">
        <v>1187</v>
      </c>
      <c r="F666" s="364">
        <f>F270+F464</f>
        <v>69705.002500000017</v>
      </c>
      <c r="G666" s="417"/>
      <c r="H666" s="390"/>
      <c r="I666" s="32"/>
      <c r="J666" s="32"/>
      <c r="K666" s="32"/>
    </row>
    <row r="667" spans="2:17" x14ac:dyDescent="0.2">
      <c r="B667" s="343" t="s">
        <v>144</v>
      </c>
      <c r="F667" s="364">
        <v>0</v>
      </c>
      <c r="G667" s="417"/>
      <c r="H667" s="390"/>
      <c r="I667" s="32"/>
      <c r="J667" s="32"/>
      <c r="K667" s="32"/>
    </row>
    <row r="668" spans="2:17" x14ac:dyDescent="0.2">
      <c r="B668" s="343" t="s">
        <v>1189</v>
      </c>
      <c r="F668" s="365">
        <f>SUM(F654:F667)</f>
        <v>628515102.77643001</v>
      </c>
      <c r="G668" s="417"/>
      <c r="H668" s="390"/>
      <c r="I668" s="32"/>
      <c r="J668" s="32"/>
      <c r="K668" s="32"/>
    </row>
    <row r="669" spans="2:17" s="336" customFormat="1" x14ac:dyDescent="0.2">
      <c r="B669" s="336" t="s">
        <v>131</v>
      </c>
      <c r="F669" s="418">
        <f>F668-F609-F610</f>
        <v>3.6121309676673263E-7</v>
      </c>
      <c r="G669" s="417"/>
      <c r="H669" s="390"/>
      <c r="I669" s="32"/>
      <c r="J669" s="32"/>
      <c r="K669" s="32"/>
      <c r="L669" s="32"/>
      <c r="M669" s="32"/>
      <c r="N669" s="32"/>
      <c r="O669" s="32"/>
      <c r="P669" s="32"/>
      <c r="Q669" s="32"/>
    </row>
    <row r="670" spans="2:17" x14ac:dyDescent="0.2">
      <c r="G670" s="417"/>
      <c r="H670" s="390"/>
      <c r="I670" s="32"/>
      <c r="J670" s="32"/>
      <c r="K670" s="32"/>
    </row>
    <row r="671" spans="2:17" x14ac:dyDescent="0.2">
      <c r="B671" s="488" t="s">
        <v>1190</v>
      </c>
      <c r="G671" s="390"/>
      <c r="H671" s="390"/>
      <c r="I671" s="32"/>
      <c r="J671" s="32"/>
      <c r="K671" s="32"/>
    </row>
    <row r="672" spans="2:17" x14ac:dyDescent="0.2">
      <c r="B672" s="343" t="s">
        <v>827</v>
      </c>
      <c r="F672" s="364">
        <f t="shared" ref="F672:F685" si="2">F636+F654</f>
        <v>15151.2</v>
      </c>
      <c r="G672" s="390"/>
      <c r="H672" s="390"/>
      <c r="I672" s="336"/>
      <c r="J672" s="32"/>
      <c r="K672" s="32"/>
      <c r="M672" s="336"/>
      <c r="N672" s="336"/>
      <c r="O672" s="336"/>
      <c r="P672" s="336"/>
      <c r="Q672" s="336"/>
    </row>
    <row r="673" spans="2:17" x14ac:dyDescent="0.2">
      <c r="B673" s="343" t="s">
        <v>828</v>
      </c>
      <c r="F673" s="364">
        <f t="shared" si="2"/>
        <v>683908814.39791989</v>
      </c>
      <c r="G673" s="390"/>
      <c r="H673" s="412"/>
      <c r="I673" s="32"/>
      <c r="J673" s="336"/>
      <c r="K673" s="336"/>
      <c r="L673" s="336"/>
    </row>
    <row r="674" spans="2:17" x14ac:dyDescent="0.2">
      <c r="B674" s="343" t="s">
        <v>829</v>
      </c>
      <c r="F674" s="364">
        <f t="shared" si="2"/>
        <v>9869.5948200000003</v>
      </c>
      <c r="G674" s="390"/>
      <c r="H674" s="412"/>
      <c r="I674" s="32"/>
      <c r="J674" s="336"/>
      <c r="K674" s="336"/>
      <c r="L674" s="336"/>
    </row>
    <row r="675" spans="2:17" x14ac:dyDescent="0.2">
      <c r="B675" s="346" t="s">
        <v>830</v>
      </c>
      <c r="F675" s="364">
        <f t="shared" si="2"/>
        <v>229842185.90940002</v>
      </c>
      <c r="G675" s="390"/>
      <c r="H675" s="412"/>
      <c r="I675" s="32"/>
      <c r="J675" s="32"/>
      <c r="K675" s="32"/>
    </row>
    <row r="676" spans="2:17" x14ac:dyDescent="0.2">
      <c r="B676" s="343" t="s">
        <v>832</v>
      </c>
      <c r="F676" s="364">
        <f t="shared" si="2"/>
        <v>64910747.532030001</v>
      </c>
      <c r="G676" s="390"/>
      <c r="H676" s="412"/>
      <c r="I676" s="32"/>
      <c r="J676" s="32"/>
      <c r="K676" s="32"/>
    </row>
    <row r="677" spans="2:17" x14ac:dyDescent="0.2">
      <c r="B677" s="343" t="s">
        <v>836</v>
      </c>
      <c r="F677" s="364">
        <f t="shared" si="2"/>
        <v>115311.6</v>
      </c>
      <c r="G677" s="415"/>
      <c r="H677" s="412"/>
      <c r="I677" s="32"/>
      <c r="J677" s="32"/>
      <c r="K677" s="32"/>
    </row>
    <row r="678" spans="2:17" x14ac:dyDescent="0.2">
      <c r="B678" s="343" t="s">
        <v>837</v>
      </c>
      <c r="F678" s="364">
        <f t="shared" si="2"/>
        <v>13455130.13235</v>
      </c>
      <c r="G678" s="390"/>
      <c r="H678" s="390"/>
      <c r="I678" s="32"/>
      <c r="J678" s="32"/>
      <c r="K678" s="32"/>
    </row>
    <row r="679" spans="2:17" x14ac:dyDescent="0.2">
      <c r="B679" s="343" t="s">
        <v>839</v>
      </c>
      <c r="F679" s="364">
        <f t="shared" si="2"/>
        <v>12394217.503040001</v>
      </c>
      <c r="G679" s="390"/>
      <c r="H679" s="390"/>
      <c r="I679" s="32"/>
      <c r="J679" s="32"/>
      <c r="K679" s="32"/>
    </row>
    <row r="680" spans="2:17" x14ac:dyDescent="0.2">
      <c r="B680" s="343" t="s">
        <v>841</v>
      </c>
      <c r="F680" s="364">
        <f t="shared" si="2"/>
        <v>21552140.386100002</v>
      </c>
      <c r="G680" s="390"/>
      <c r="H680" s="390"/>
      <c r="I680" s="32"/>
      <c r="J680" s="32"/>
      <c r="K680" s="32"/>
    </row>
    <row r="681" spans="2:17" x14ac:dyDescent="0.2">
      <c r="B681" s="32" t="s">
        <v>1184</v>
      </c>
      <c r="F681" s="364">
        <f t="shared" si="2"/>
        <v>1636169.6077199995</v>
      </c>
      <c r="G681" s="415"/>
      <c r="H681" s="415"/>
      <c r="I681" s="32"/>
      <c r="J681" s="32"/>
      <c r="K681" s="32"/>
    </row>
    <row r="682" spans="2:17" x14ac:dyDescent="0.2">
      <c r="B682" s="32" t="s">
        <v>1185</v>
      </c>
      <c r="F682" s="364">
        <f>F646+F664</f>
        <v>6716805.1467200005</v>
      </c>
      <c r="G682" s="390"/>
      <c r="H682" s="390"/>
      <c r="I682" s="32"/>
      <c r="J682" s="32"/>
      <c r="K682" s="32"/>
    </row>
    <row r="683" spans="2:17" x14ac:dyDescent="0.2">
      <c r="B683" s="32" t="s">
        <v>1186</v>
      </c>
      <c r="F683" s="364">
        <f t="shared" si="2"/>
        <v>16642.060040000004</v>
      </c>
      <c r="G683" s="390"/>
      <c r="H683" s="390"/>
      <c r="I683" s="32"/>
      <c r="J683" s="32"/>
      <c r="K683" s="32"/>
    </row>
    <row r="684" spans="2:17" x14ac:dyDescent="0.2">
      <c r="B684" s="32" t="s">
        <v>1187</v>
      </c>
      <c r="F684" s="364">
        <f t="shared" si="2"/>
        <v>4190432.5258100005</v>
      </c>
      <c r="G684" s="390"/>
      <c r="H684" s="390"/>
      <c r="I684" s="32"/>
      <c r="J684" s="32"/>
      <c r="K684" s="32"/>
    </row>
    <row r="685" spans="2:17" x14ac:dyDescent="0.2">
      <c r="B685" s="343" t="s">
        <v>144</v>
      </c>
      <c r="F685" s="364">
        <f t="shared" si="2"/>
        <v>1658615.8571499998</v>
      </c>
      <c r="G685" s="390"/>
      <c r="H685" s="390"/>
      <c r="I685" s="32"/>
      <c r="J685" s="32"/>
      <c r="K685" s="32"/>
    </row>
    <row r="686" spans="2:17" x14ac:dyDescent="0.2">
      <c r="B686" s="343" t="s">
        <v>1191</v>
      </c>
      <c r="F686" s="365">
        <f>SUM(F672:F685)</f>
        <v>1040422233.4531</v>
      </c>
      <c r="G686" s="417"/>
      <c r="H686" s="390"/>
      <c r="I686" s="32"/>
      <c r="J686" s="32"/>
      <c r="K686" s="32"/>
    </row>
    <row r="687" spans="2:17" s="336" customFormat="1" x14ac:dyDescent="0.2">
      <c r="B687" s="336" t="s">
        <v>131</v>
      </c>
      <c r="F687" s="418">
        <f>F686-F650-F668</f>
        <v>0</v>
      </c>
      <c r="G687" s="390"/>
      <c r="H687" s="390"/>
      <c r="I687" s="32"/>
      <c r="J687" s="32"/>
      <c r="K687" s="32"/>
      <c r="L687" s="32"/>
      <c r="M687" s="32"/>
      <c r="N687" s="32"/>
      <c r="O687" s="32"/>
      <c r="P687" s="32"/>
      <c r="Q687" s="32"/>
    </row>
    <row r="688" spans="2:17" x14ac:dyDescent="0.2">
      <c r="F688" s="390"/>
      <c r="I688" s="32"/>
      <c r="J688" s="32"/>
      <c r="K688" s="32"/>
    </row>
    <row r="689" spans="3:11" x14ac:dyDescent="0.2">
      <c r="C689" s="276" t="s">
        <v>1321</v>
      </c>
      <c r="D689" s="718"/>
      <c r="E689" s="718"/>
      <c r="F689" s="276"/>
      <c r="I689" s="32"/>
      <c r="J689" s="32"/>
      <c r="K689" s="32"/>
    </row>
    <row r="690" spans="3:11" x14ac:dyDescent="0.2">
      <c r="C690" s="276"/>
      <c r="D690" s="276" t="s">
        <v>1310</v>
      </c>
      <c r="E690" s="711" t="s">
        <v>1227</v>
      </c>
      <c r="F690" s="719" t="s">
        <v>92</v>
      </c>
      <c r="G690" s="390"/>
      <c r="H690" s="390"/>
      <c r="I690" s="32"/>
      <c r="J690" s="32"/>
      <c r="K690" s="32"/>
    </row>
    <row r="691" spans="3:11" x14ac:dyDescent="0.2">
      <c r="C691" s="333" t="s">
        <v>69</v>
      </c>
      <c r="D691" s="333" t="s">
        <v>76</v>
      </c>
      <c r="E691" s="333" t="s">
        <v>1322</v>
      </c>
      <c r="F691" s="333" t="s">
        <v>1322</v>
      </c>
      <c r="G691" s="390"/>
      <c r="H691" s="390"/>
      <c r="I691" s="32"/>
      <c r="J691" s="32"/>
      <c r="K691" s="32"/>
    </row>
    <row r="692" spans="3:11" x14ac:dyDescent="0.2">
      <c r="C692" s="343" t="s">
        <v>827</v>
      </c>
      <c r="D692" s="398">
        <f>F44</f>
        <v>12198</v>
      </c>
      <c r="E692" s="720">
        <f>ROUND(D27-ROUND(D15*D7,2),6)</f>
        <v>0.01</v>
      </c>
      <c r="F692" s="364">
        <f>D692*$E$692/19</f>
        <v>6.42</v>
      </c>
      <c r="G692" s="390"/>
      <c r="H692" s="390"/>
      <c r="I692" s="32"/>
      <c r="J692" s="32"/>
      <c r="K692" s="32"/>
    </row>
    <row r="693" spans="3:11" x14ac:dyDescent="0.2">
      <c r="C693" s="343" t="s">
        <v>828</v>
      </c>
      <c r="D693" s="398">
        <f>F61</f>
        <v>548024951</v>
      </c>
      <c r="E693" s="720">
        <f>ROUND(D26-ROUND(D14*D7,5),6)</f>
        <v>4.6999999999999999E-4</v>
      </c>
      <c r="F693" s="364">
        <f>D693*$E$693</f>
        <v>257571.72696999999</v>
      </c>
      <c r="G693" s="390"/>
      <c r="H693" s="390"/>
      <c r="I693" s="32"/>
      <c r="J693" s="32"/>
      <c r="K693" s="32"/>
    </row>
    <row r="694" spans="3:11" x14ac:dyDescent="0.2">
      <c r="C694" s="343" t="s">
        <v>829</v>
      </c>
      <c r="D694" s="398">
        <f>F75</f>
        <v>2114</v>
      </c>
      <c r="E694" s="721">
        <v>0</v>
      </c>
      <c r="F694" s="364">
        <f>D694*$E$694</f>
        <v>0</v>
      </c>
      <c r="G694" s="390"/>
      <c r="H694" s="390"/>
      <c r="I694" s="32"/>
      <c r="J694" s="32"/>
      <c r="K694" s="32"/>
    </row>
    <row r="695" spans="3:11" x14ac:dyDescent="0.2">
      <c r="C695" s="346" t="s">
        <v>830</v>
      </c>
      <c r="D695" s="398">
        <f>F98+F284</f>
        <v>202387050</v>
      </c>
      <c r="E695" s="720">
        <f>ROUND(D28-ROUND(D16*D7,5),6)</f>
        <v>4.6000000000000001E-4</v>
      </c>
      <c r="F695" s="364">
        <f>D695*$E$695</f>
        <v>93098.043000000005</v>
      </c>
      <c r="G695" s="390"/>
      <c r="H695" s="390"/>
      <c r="I695" s="32"/>
      <c r="J695" s="32"/>
      <c r="K695" s="32"/>
    </row>
    <row r="696" spans="3:11" x14ac:dyDescent="0.2">
      <c r="C696" s="343" t="s">
        <v>832</v>
      </c>
      <c r="D696" s="398">
        <f>F118+F303</f>
        <v>69568257</v>
      </c>
      <c r="E696" s="720">
        <f>ROUND(D29-ROUND(D17*D7,5),6)</f>
        <v>4.0999999999999999E-4</v>
      </c>
      <c r="F696" s="364">
        <f>D696*$E$696</f>
        <v>28522.985369999999</v>
      </c>
      <c r="G696" s="390"/>
      <c r="H696" s="390"/>
      <c r="I696" s="32"/>
      <c r="J696" s="32"/>
      <c r="K696" s="32"/>
    </row>
    <row r="697" spans="3:11" x14ac:dyDescent="0.2">
      <c r="C697" s="343" t="s">
        <v>837</v>
      </c>
      <c r="D697" s="398">
        <f>F351+F168</f>
        <v>17284828</v>
      </c>
      <c r="E697" s="720">
        <f>ROUND(D30-ROUND(D18*D7,5),6)</f>
        <v>4.2000000000000002E-4</v>
      </c>
      <c r="F697" s="364">
        <f>D697*$E$697</f>
        <v>7259.6277600000003</v>
      </c>
      <c r="G697" s="390"/>
      <c r="H697" s="390"/>
      <c r="I697" s="32"/>
      <c r="J697" s="32"/>
      <c r="K697" s="32"/>
    </row>
    <row r="698" spans="3:11" x14ac:dyDescent="0.2">
      <c r="C698" s="343" t="s">
        <v>839</v>
      </c>
      <c r="D698" s="398">
        <f>F213+F394</f>
        <v>13889578</v>
      </c>
      <c r="E698" s="720">
        <f>ROUND(D31-ROUND(D19*D7,5),6)</f>
        <v>4.2999999999999999E-4</v>
      </c>
      <c r="F698" s="364">
        <f>D698*$E$698</f>
        <v>5972.51854</v>
      </c>
      <c r="G698" s="390"/>
      <c r="H698" s="390"/>
      <c r="I698" s="32"/>
      <c r="J698" s="32"/>
      <c r="K698" s="32"/>
    </row>
    <row r="699" spans="3:11" x14ac:dyDescent="0.2">
      <c r="C699" s="343" t="s">
        <v>841</v>
      </c>
      <c r="D699" s="398">
        <f>F241+F437</f>
        <v>30035655</v>
      </c>
      <c r="E699" s="720">
        <f>ROUND(D32-ROUND(D20*D7,5),6)</f>
        <v>4.2999999999999999E-4</v>
      </c>
      <c r="F699" s="364">
        <f>D699*$E$699</f>
        <v>12915.33165</v>
      </c>
      <c r="G699" s="390"/>
      <c r="H699" s="390"/>
      <c r="I699" s="32"/>
      <c r="J699" s="32"/>
      <c r="K699" s="32"/>
    </row>
    <row r="700" spans="3:11" x14ac:dyDescent="0.2">
      <c r="C700" s="357" t="s">
        <v>1286</v>
      </c>
      <c r="D700" s="357">
        <f>SUM(D692:D699)</f>
        <v>881204631</v>
      </c>
      <c r="E700" s="722"/>
      <c r="F700" s="365">
        <f>SUM(F692:F699)</f>
        <v>405346.65329000005</v>
      </c>
      <c r="G700" s="390"/>
      <c r="H700" s="390"/>
      <c r="I700" s="32"/>
      <c r="J700" s="32"/>
      <c r="K700" s="32"/>
    </row>
    <row r="701" spans="3:11" x14ac:dyDescent="0.2">
      <c r="D701" s="424"/>
    </row>
    <row r="702" spans="3:11" x14ac:dyDescent="0.2">
      <c r="C702" s="343" t="s">
        <v>131</v>
      </c>
    </row>
    <row r="703" spans="3:11" x14ac:dyDescent="0.2">
      <c r="C703" s="333" t="s">
        <v>69</v>
      </c>
      <c r="D703" s="432" t="s">
        <v>1323</v>
      </c>
      <c r="E703" s="333" t="s">
        <v>131</v>
      </c>
    </row>
    <row r="704" spans="3:11" x14ac:dyDescent="0.2">
      <c r="C704" s="343" t="s">
        <v>1324</v>
      </c>
      <c r="D704" s="364">
        <f>F654-'JKP-3.1c - Norm Rev Rates GTI10'!R947</f>
        <v>6.4199999999982538</v>
      </c>
      <c r="E704" s="364">
        <f t="shared" ref="E704:E711" si="3">D704-F692</f>
        <v>-1.7461587731304462E-12</v>
      </c>
    </row>
    <row r="705" spans="2:11" x14ac:dyDescent="0.2">
      <c r="C705" s="343" t="s">
        <v>1325</v>
      </c>
      <c r="D705" s="364">
        <f>F66-'JKP-3.1c - Norm Rev Rates GTI10'!R39</f>
        <v>257571.72696995735</v>
      </c>
      <c r="E705" s="364">
        <f t="shared" si="3"/>
        <v>-4.2637111619114876E-8</v>
      </c>
    </row>
    <row r="706" spans="2:11" x14ac:dyDescent="0.2">
      <c r="C706" s="343" t="s">
        <v>1326</v>
      </c>
      <c r="D706" s="364">
        <f>F80-'JKP-3.1c - Norm Rev Rates GTI10'!R57</f>
        <v>0</v>
      </c>
      <c r="E706" s="364">
        <f t="shared" si="3"/>
        <v>0</v>
      </c>
    </row>
    <row r="707" spans="2:11" x14ac:dyDescent="0.2">
      <c r="C707" s="346" t="s">
        <v>1327</v>
      </c>
      <c r="D707" s="364">
        <f>F657-'JKP-3.1c - Norm Rev Rates GTI10'!R950</f>
        <v>93098.043000042439</v>
      </c>
      <c r="E707" s="364">
        <f t="shared" si="3"/>
        <v>4.243338480591774E-8</v>
      </c>
    </row>
    <row r="708" spans="2:11" x14ac:dyDescent="0.2">
      <c r="C708" s="343" t="s">
        <v>832</v>
      </c>
      <c r="D708" s="364">
        <f>F658-'JKP-3.1c - Norm Rev Rates GTI10'!R951</f>
        <v>28522.985370002687</v>
      </c>
      <c r="E708" s="364">
        <f t="shared" si="3"/>
        <v>2.6884663384407759E-9</v>
      </c>
    </row>
    <row r="709" spans="2:11" x14ac:dyDescent="0.2">
      <c r="C709" s="343" t="s">
        <v>837</v>
      </c>
      <c r="D709" s="364">
        <f>F660-'JKP-3.1c - Norm Rev Rates GTI10'!R953</f>
        <v>7259.6277600005269</v>
      </c>
      <c r="E709" s="364">
        <f t="shared" si="3"/>
        <v>5.2659743232652545E-10</v>
      </c>
    </row>
    <row r="710" spans="2:11" x14ac:dyDescent="0.2">
      <c r="C710" s="343" t="s">
        <v>839</v>
      </c>
      <c r="D710" s="364">
        <f>F661-'JKP-3.1c - Norm Rev Rates GTI10'!R954</f>
        <v>5972.518540000543</v>
      </c>
      <c r="E710" s="364">
        <f t="shared" si="3"/>
        <v>5.4296833695843816E-10</v>
      </c>
    </row>
    <row r="711" spans="2:11" x14ac:dyDescent="0.2">
      <c r="C711" s="343" t="s">
        <v>841</v>
      </c>
      <c r="D711" s="364">
        <f>F662-'JKP-3.1c - Norm Rev Rates GTI10'!R955</f>
        <v>12915.33164999634</v>
      </c>
      <c r="E711" s="364">
        <f t="shared" si="3"/>
        <v>-3.6598066799342632E-9</v>
      </c>
    </row>
    <row r="712" spans="2:11" x14ac:dyDescent="0.2">
      <c r="C712" s="32" t="s">
        <v>1184</v>
      </c>
      <c r="D712" s="364">
        <f>F663-'JKP-3.1c - Norm Rev Rates GTI10'!R956</f>
        <v>0</v>
      </c>
      <c r="E712" s="364"/>
    </row>
    <row r="713" spans="2:11" x14ac:dyDescent="0.2">
      <c r="C713" s="32" t="s">
        <v>1185</v>
      </c>
      <c r="D713" s="364">
        <f>F664-'JKP-3.1c - Norm Rev Rates GTI10'!R957</f>
        <v>0</v>
      </c>
      <c r="E713" s="364"/>
    </row>
    <row r="714" spans="2:11" x14ac:dyDescent="0.2">
      <c r="C714" s="32" t="s">
        <v>1186</v>
      </c>
      <c r="D714" s="364">
        <f>F665-'JKP-3.1c - Norm Rev Rates GTI10'!R958</f>
        <v>0</v>
      </c>
      <c r="E714" s="364"/>
    </row>
    <row r="715" spans="2:11" x14ac:dyDescent="0.2">
      <c r="C715" s="32" t="s">
        <v>1187</v>
      </c>
      <c r="D715" s="364">
        <f>F666-'JKP-3.1c - Norm Rev Rates GTI10'!R959</f>
        <v>0</v>
      </c>
      <c r="E715" s="364"/>
    </row>
    <row r="716" spans="2:11" x14ac:dyDescent="0.2">
      <c r="C716" s="343" t="s">
        <v>144</v>
      </c>
      <c r="D716" s="364">
        <f>F667-'JKP-3.1c - Norm Rev Rates GTI10'!R960</f>
        <v>0</v>
      </c>
      <c r="E716" s="364"/>
    </row>
    <row r="717" spans="2:11" x14ac:dyDescent="0.2">
      <c r="C717" s="357" t="s">
        <v>1286</v>
      </c>
      <c r="D717" s="365">
        <f>F668-'JKP-3.1c - Norm Rev Rates GTI10'!R961</f>
        <v>405346.65329003334</v>
      </c>
      <c r="E717" s="365">
        <f>D717-F700</f>
        <v>3.3294782042503357E-8</v>
      </c>
    </row>
    <row r="718" spans="2:11" x14ac:dyDescent="0.2">
      <c r="C718" s="424"/>
      <c r="D718" s="364"/>
    </row>
    <row r="719" spans="2:11" ht="13.5" thickBot="1" x14ac:dyDescent="0.25">
      <c r="C719" s="424"/>
      <c r="D719" s="364"/>
      <c r="G719" s="391"/>
      <c r="H719" s="390"/>
      <c r="I719" s="390"/>
      <c r="J719" s="32"/>
      <c r="K719" s="32"/>
    </row>
    <row r="720" spans="2:11" x14ac:dyDescent="0.2">
      <c r="B720" s="401" t="s">
        <v>1281</v>
      </c>
      <c r="C720" s="402"/>
      <c r="D720" s="402"/>
      <c r="E720" s="402"/>
      <c r="F720" s="509">
        <f>'JKP-3.1c - Weather Adj'!P175</f>
        <v>1089556625</v>
      </c>
      <c r="G720" s="391"/>
      <c r="H720" s="390"/>
      <c r="I720" s="390"/>
      <c r="J720" s="32"/>
      <c r="K720" s="32"/>
    </row>
    <row r="721" spans="2:11" x14ac:dyDescent="0.2">
      <c r="B721" s="405" t="s">
        <v>131</v>
      </c>
      <c r="C721" s="390"/>
      <c r="D721" s="390"/>
      <c r="E721" s="390"/>
      <c r="F721" s="491">
        <f>F553-F720</f>
        <v>0</v>
      </c>
      <c r="G721" s="391"/>
      <c r="H721" s="390"/>
      <c r="I721" s="390"/>
      <c r="J721" s="32"/>
      <c r="K721" s="32"/>
    </row>
    <row r="722" spans="2:11" x14ac:dyDescent="0.2">
      <c r="B722" s="405"/>
      <c r="C722" s="390"/>
      <c r="D722" s="390"/>
      <c r="E722" s="390"/>
      <c r="F722" s="491"/>
      <c r="G722" s="391"/>
      <c r="H722" s="390"/>
      <c r="I722" s="390"/>
      <c r="J722" s="32"/>
      <c r="K722" s="32"/>
    </row>
    <row r="723" spans="2:11" x14ac:dyDescent="0.2">
      <c r="B723" s="492" t="s">
        <v>1193</v>
      </c>
      <c r="C723" s="390"/>
      <c r="D723" s="390"/>
      <c r="E723" s="390"/>
      <c r="F723" s="510">
        <f>'JKP-3.1c - Data'!O158</f>
        <v>9130330.0299999993</v>
      </c>
      <c r="G723" s="391"/>
      <c r="H723" s="390"/>
      <c r="I723" s="390"/>
      <c r="J723" s="32"/>
      <c r="K723" s="32"/>
    </row>
    <row r="724" spans="2:11" x14ac:dyDescent="0.2">
      <c r="B724" s="492" t="s">
        <v>131</v>
      </c>
      <c r="C724" s="390"/>
      <c r="D724" s="390"/>
      <c r="E724" s="390"/>
      <c r="F724" s="491">
        <f>F508-F723</f>
        <v>0</v>
      </c>
      <c r="G724" s="391"/>
      <c r="H724" s="390"/>
      <c r="I724" s="390"/>
      <c r="J724" s="32"/>
      <c r="K724" s="32"/>
    </row>
    <row r="725" spans="2:11" x14ac:dyDescent="0.2">
      <c r="B725" s="492"/>
      <c r="C725" s="390"/>
      <c r="D725" s="390"/>
      <c r="E725" s="390"/>
      <c r="F725" s="491"/>
      <c r="G725" s="391"/>
      <c r="H725" s="390"/>
      <c r="I725" s="390"/>
      <c r="J725" s="32"/>
      <c r="K725" s="32"/>
    </row>
    <row r="726" spans="2:11" x14ac:dyDescent="0.2">
      <c r="B726" s="492" t="s">
        <v>1194</v>
      </c>
      <c r="C726" s="390"/>
      <c r="D726" s="390"/>
      <c r="E726" s="390"/>
      <c r="F726" s="510">
        <f>'JKP-3.1c - Data'!O178+'JKP-3.1c - 41 Min Migration Adj'!N48+'JKP-3.1c - 41T 86T Migrat Adj'!N70</f>
        <v>6601020.6299999999</v>
      </c>
      <c r="G726" s="391"/>
      <c r="H726" s="390"/>
      <c r="I726" s="390"/>
      <c r="J726" s="32"/>
      <c r="K726" s="32"/>
    </row>
    <row r="727" spans="2:11" x14ac:dyDescent="0.2">
      <c r="B727" s="492" t="s">
        <v>131</v>
      </c>
      <c r="C727" s="390"/>
      <c r="D727" s="390"/>
      <c r="E727" s="390"/>
      <c r="F727" s="491">
        <f>F592-F726-SUM(F573:F575)</f>
        <v>0</v>
      </c>
      <c r="G727" s="391"/>
      <c r="H727" s="390"/>
      <c r="I727" s="390"/>
      <c r="J727" s="32"/>
      <c r="K727" s="32"/>
    </row>
    <row r="728" spans="2:11" x14ac:dyDescent="0.2">
      <c r="B728" s="492"/>
      <c r="C728" s="390"/>
      <c r="D728" s="390"/>
      <c r="E728" s="390"/>
      <c r="F728" s="491"/>
      <c r="G728" s="391"/>
      <c r="H728" s="390"/>
      <c r="I728" s="390"/>
      <c r="J728" s="32"/>
      <c r="K728" s="32"/>
    </row>
    <row r="729" spans="2:11" x14ac:dyDescent="0.2">
      <c r="B729" s="405"/>
      <c r="C729" s="390"/>
      <c r="D729" s="390"/>
      <c r="E729" s="390"/>
      <c r="F729" s="491"/>
      <c r="G729" s="391"/>
      <c r="H729" s="390"/>
      <c r="I729" s="390"/>
      <c r="J729" s="32"/>
      <c r="K729" s="32"/>
    </row>
    <row r="730" spans="2:11" ht="13.5" thickBot="1" x14ac:dyDescent="0.25">
      <c r="B730" s="493"/>
      <c r="C730" s="512"/>
      <c r="D730" s="512"/>
      <c r="E730" s="512"/>
      <c r="F730" s="723"/>
      <c r="G730" s="391"/>
      <c r="H730" s="390"/>
      <c r="I730" s="390"/>
      <c r="J730" s="32"/>
      <c r="K730" s="32"/>
    </row>
    <row r="731" spans="2:11" x14ac:dyDescent="0.2">
      <c r="C731" s="424"/>
      <c r="D731" s="364"/>
      <c r="G731" s="391"/>
      <c r="H731" s="390"/>
      <c r="I731" s="390"/>
      <c r="J731" s="32"/>
      <c r="K731" s="32"/>
    </row>
    <row r="732" spans="2:11" x14ac:dyDescent="0.2">
      <c r="C732" s="424"/>
      <c r="D732" s="364"/>
    </row>
    <row r="733" spans="2:11" x14ac:dyDescent="0.2">
      <c r="C733" s="424"/>
      <c r="D733" s="364"/>
    </row>
    <row r="734" spans="2:11" x14ac:dyDescent="0.2">
      <c r="C734" s="424"/>
      <c r="D734" s="364"/>
    </row>
    <row r="735" spans="2:11" x14ac:dyDescent="0.2">
      <c r="C735" s="424"/>
      <c r="D735" s="364"/>
    </row>
    <row r="736" spans="2:11" x14ac:dyDescent="0.2">
      <c r="C736" s="424"/>
      <c r="D736" s="364"/>
    </row>
    <row r="737" spans="2:8" x14ac:dyDescent="0.2">
      <c r="C737" s="424"/>
      <c r="D737" s="364"/>
    </row>
    <row r="738" spans="2:8" x14ac:dyDescent="0.2">
      <c r="C738" s="424"/>
      <c r="D738" s="364"/>
    </row>
    <row r="739" spans="2:8" x14ac:dyDescent="0.2">
      <c r="C739" s="424"/>
      <c r="D739" s="364"/>
    </row>
    <row r="740" spans="2:8" x14ac:dyDescent="0.2">
      <c r="C740" s="424"/>
      <c r="D740" s="364"/>
    </row>
    <row r="741" spans="2:8" x14ac:dyDescent="0.2">
      <c r="C741" s="424"/>
      <c r="D741" s="364"/>
    </row>
    <row r="742" spans="2:8" x14ac:dyDescent="0.2">
      <c r="C742" s="424"/>
      <c r="D742" s="364"/>
    </row>
    <row r="744" spans="2:8" ht="39" customHeight="1" x14ac:dyDescent="0.2">
      <c r="B744" s="1868"/>
      <c r="C744" s="1868"/>
      <c r="D744" s="1868"/>
      <c r="E744" s="1868"/>
      <c r="F744" s="1868"/>
      <c r="G744" s="367"/>
      <c r="H744" s="367"/>
    </row>
  </sheetData>
  <mergeCells count="1">
    <mergeCell ref="B744:F744"/>
  </mergeCells>
  <pageMargins left="0.7" right="0.7" top="0.75" bottom="0.75" header="0.3" footer="0.3"/>
  <pageSetup orientation="portrait" r:id="rId1"/>
  <rowBreaks count="12" manualBreakCount="12">
    <brk id="33" min="1" max="5" man="1"/>
    <brk id="85" max="16383" man="1"/>
    <brk id="153" max="16383" man="1"/>
    <brk id="203" max="16383" man="1"/>
    <brk id="276" max="16383" man="1"/>
    <brk id="337" max="16383" man="1"/>
    <brk id="384" min="1" max="5" man="1"/>
    <brk id="454" min="1" max="5" man="1"/>
    <brk id="482" max="16383" man="1"/>
    <brk id="554" min="1" max="5" man="1"/>
    <brk id="616" min="1" max="5" man="1"/>
    <brk id="688" max="16383" man="1"/>
  </rowBreaks>
  <colBreaks count="1" manualBreakCount="1">
    <brk id="8"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I48"/>
  <sheetViews>
    <sheetView workbookViewId="0">
      <selection activeCell="C35" sqref="C35"/>
    </sheetView>
  </sheetViews>
  <sheetFormatPr defaultRowHeight="12.75" x14ac:dyDescent="0.2"/>
  <cols>
    <col min="1" max="1" width="2.42578125" style="32" customWidth="1"/>
    <col min="2" max="2" width="4.85546875" style="32" customWidth="1"/>
    <col min="3" max="3" width="39.140625" style="32" customWidth="1"/>
    <col min="4" max="4" width="15.42578125" style="336" customWidth="1"/>
    <col min="5" max="5" width="14.85546875" style="32" bestFit="1" customWidth="1"/>
    <col min="6" max="6" width="13.42578125" style="32" bestFit="1" customWidth="1"/>
    <col min="7" max="7" width="14" style="32" bestFit="1" customWidth="1"/>
    <col min="8" max="8" width="12.5703125" style="32" customWidth="1"/>
    <col min="9" max="9" width="12.7109375" style="32" bestFit="1" customWidth="1"/>
    <col min="10" max="10" width="13.7109375" style="32" bestFit="1" customWidth="1"/>
    <col min="11" max="11" width="14" style="336" bestFit="1" customWidth="1"/>
    <col min="12" max="12" width="13" style="336" bestFit="1" customWidth="1"/>
    <col min="13" max="13" width="14.7109375" style="32" bestFit="1" customWidth="1"/>
    <col min="14" max="14" width="13.7109375" style="32" bestFit="1" customWidth="1"/>
    <col min="15" max="15" width="13.7109375" style="32" customWidth="1"/>
    <col min="16" max="16" width="14.140625" style="336" bestFit="1" customWidth="1"/>
    <col min="17" max="17" width="11.7109375" style="336" customWidth="1"/>
    <col min="18" max="18" width="14" style="32" bestFit="1" customWidth="1"/>
    <col min="19" max="19" width="10.5703125" style="32" bestFit="1" customWidth="1"/>
    <col min="20" max="20" width="13.5703125" style="336" bestFit="1" customWidth="1"/>
    <col min="21" max="21" width="14" style="32" bestFit="1" customWidth="1"/>
    <col min="22" max="22" width="16.85546875" style="32" bestFit="1" customWidth="1"/>
    <col min="23" max="23" width="1.28515625" style="32" customWidth="1"/>
    <col min="24" max="24" width="1" style="390" customWidth="1"/>
    <col min="25" max="25" width="14.5703125" style="390" customWidth="1"/>
    <col min="26" max="26" width="15.42578125" style="390" bestFit="1" customWidth="1"/>
    <col min="27" max="27" width="14.85546875" style="390" bestFit="1" customWidth="1"/>
    <col min="28" max="28" width="13.42578125" style="390" bestFit="1" customWidth="1"/>
    <col min="29" max="29" width="11" style="390" customWidth="1"/>
    <col min="30" max="30" width="10.42578125" style="32" bestFit="1" customWidth="1"/>
    <col min="31" max="31" width="10.42578125" style="277" bestFit="1" customWidth="1"/>
    <col min="32" max="32" width="15.140625" style="32" bestFit="1" customWidth="1"/>
    <col min="33" max="16384" width="9.140625" style="32"/>
  </cols>
  <sheetData>
    <row r="1" spans="1:35" x14ac:dyDescent="0.2">
      <c r="A1" s="386"/>
      <c r="B1" s="724" t="s">
        <v>70</v>
      </c>
      <c r="C1" s="386"/>
      <c r="D1" s="387"/>
      <c r="E1" s="386"/>
      <c r="F1" s="386"/>
      <c r="G1" s="386"/>
      <c r="H1" s="386"/>
      <c r="I1" s="386"/>
      <c r="J1" s="386"/>
      <c r="K1" s="387"/>
      <c r="L1" s="387"/>
      <c r="M1" s="386"/>
      <c r="N1" s="386"/>
      <c r="O1" s="386"/>
      <c r="P1" s="387"/>
      <c r="Q1" s="387"/>
      <c r="R1" s="386"/>
      <c r="S1" s="386"/>
      <c r="T1" s="387"/>
      <c r="U1" s="386"/>
      <c r="V1" s="386"/>
      <c r="W1" s="386"/>
      <c r="X1" s="348"/>
      <c r="Y1" s="348"/>
      <c r="Z1" s="348"/>
      <c r="AA1" s="348"/>
      <c r="AB1" s="348"/>
      <c r="AC1" s="348"/>
    </row>
    <row r="2" spans="1:35" x14ac:dyDescent="0.2">
      <c r="A2" s="386"/>
      <c r="B2" s="725" t="s">
        <v>1328</v>
      </c>
      <c r="C2" s="386"/>
      <c r="D2" s="387"/>
      <c r="E2" s="386"/>
      <c r="F2" s="386"/>
      <c r="G2" s="386"/>
      <c r="H2" s="386"/>
      <c r="I2" s="386"/>
      <c r="J2" s="386"/>
      <c r="K2" s="387"/>
      <c r="L2" s="387"/>
      <c r="M2" s="386"/>
      <c r="N2" s="386"/>
      <c r="O2" s="386"/>
      <c r="P2" s="387"/>
      <c r="Q2" s="387"/>
      <c r="R2" s="386"/>
      <c r="S2" s="386"/>
      <c r="T2" s="387"/>
      <c r="U2" s="386"/>
      <c r="V2" s="386"/>
      <c r="W2" s="386"/>
      <c r="X2" s="348"/>
      <c r="Y2" s="348"/>
      <c r="Z2" s="348"/>
      <c r="AA2" s="348"/>
      <c r="AB2" s="348"/>
      <c r="AC2" s="348"/>
    </row>
    <row r="3" spans="1:35" x14ac:dyDescent="0.2">
      <c r="B3" s="343" t="s">
        <v>1329</v>
      </c>
      <c r="C3" s="386"/>
      <c r="D3" s="387"/>
      <c r="E3" s="386"/>
      <c r="F3" s="726"/>
      <c r="G3" s="387"/>
      <c r="H3" s="387"/>
      <c r="I3" s="387"/>
      <c r="J3" s="387"/>
      <c r="K3" s="387"/>
      <c r="L3" s="387"/>
      <c r="N3" s="386"/>
      <c r="O3" s="386"/>
      <c r="P3" s="387"/>
      <c r="Q3" s="387"/>
      <c r="R3" s="386"/>
      <c r="S3" s="386"/>
      <c r="T3" s="387"/>
      <c r="U3" s="386"/>
      <c r="V3" s="386"/>
      <c r="W3" s="386"/>
      <c r="X3" s="348"/>
      <c r="Y3" s="348"/>
      <c r="Z3" s="348"/>
      <c r="AA3" s="348"/>
      <c r="AB3" s="348"/>
      <c r="AC3" s="348"/>
    </row>
    <row r="4" spans="1:35" x14ac:dyDescent="0.2">
      <c r="B4" s="724" t="s">
        <v>1330</v>
      </c>
      <c r="C4" s="386"/>
      <c r="D4" s="387"/>
      <c r="E4" s="386"/>
      <c r="F4" s="386"/>
      <c r="G4" s="386"/>
      <c r="H4" s="386"/>
      <c r="I4" s="386"/>
      <c r="J4" s="386"/>
      <c r="K4" s="387"/>
      <c r="L4" s="387"/>
      <c r="N4" s="387"/>
      <c r="O4" s="387"/>
      <c r="P4" s="387"/>
      <c r="Q4" s="387"/>
      <c r="R4" s="386"/>
      <c r="S4" s="386"/>
      <c r="T4" s="387"/>
      <c r="U4" s="386"/>
      <c r="V4" s="386"/>
      <c r="W4" s="386"/>
      <c r="X4" s="348"/>
      <c r="Y4" s="348"/>
      <c r="Z4" s="348"/>
      <c r="AA4" s="348"/>
      <c r="AB4" s="348"/>
      <c r="AC4" s="348"/>
    </row>
    <row r="5" spans="1:35" x14ac:dyDescent="0.2">
      <c r="B5" s="386"/>
      <c r="C5" s="386"/>
      <c r="D5" s="387"/>
      <c r="E5" s="386"/>
      <c r="F5" s="727"/>
      <c r="G5" s="387"/>
      <c r="H5" s="387"/>
      <c r="I5" s="387"/>
      <c r="J5" s="387"/>
      <c r="K5" s="387"/>
      <c r="L5" s="387"/>
      <c r="N5" s="387"/>
      <c r="O5" s="387"/>
      <c r="P5" s="387"/>
      <c r="Q5" s="387"/>
      <c r="S5" s="387"/>
      <c r="T5" s="387"/>
      <c r="U5" s="386"/>
      <c r="V5" s="386"/>
      <c r="W5" s="386"/>
      <c r="X5" s="728"/>
      <c r="Y5" s="728"/>
      <c r="Z5" s="728"/>
      <c r="AA5" s="728"/>
      <c r="AB5" s="728"/>
      <c r="AC5" s="728"/>
    </row>
    <row r="6" spans="1:35" ht="25.5" customHeight="1" x14ac:dyDescent="0.2">
      <c r="B6" s="488" t="s">
        <v>1331</v>
      </c>
      <c r="D6" s="387"/>
      <c r="E6" s="386"/>
      <c r="F6" s="524"/>
      <c r="G6" s="387"/>
      <c r="H6" s="387"/>
      <c r="I6" s="387"/>
      <c r="J6" s="387"/>
      <c r="K6" s="524"/>
      <c r="L6" s="524"/>
      <c r="M6" s="525"/>
      <c r="N6" s="524"/>
      <c r="O6" s="524"/>
      <c r="P6" s="524"/>
      <c r="Q6" s="524"/>
      <c r="S6" s="524"/>
      <c r="T6" s="524"/>
      <c r="U6" s="526"/>
      <c r="V6" s="526"/>
      <c r="W6" s="729"/>
      <c r="X6" s="728"/>
      <c r="Y6" s="1869" t="s">
        <v>1332</v>
      </c>
      <c r="Z6" s="1869"/>
      <c r="AA6" s="1869"/>
      <c r="AC6" s="728"/>
    </row>
    <row r="7" spans="1:35" x14ac:dyDescent="0.2">
      <c r="C7" s="336"/>
      <c r="D7" s="730"/>
      <c r="E7" s="711"/>
      <c r="F7" s="730" t="s">
        <v>1333</v>
      </c>
      <c r="G7" s="730"/>
      <c r="H7" s="730"/>
      <c r="I7" s="730"/>
      <c r="J7" s="730" t="s">
        <v>1334</v>
      </c>
      <c r="U7" s="364"/>
      <c r="W7" s="731"/>
    </row>
    <row r="8" spans="1:35" x14ac:dyDescent="0.2">
      <c r="C8" s="335"/>
      <c r="D8" s="335" t="s">
        <v>1335</v>
      </c>
      <c r="E8" s="391" t="s">
        <v>1334</v>
      </c>
      <c r="F8" s="335" t="s">
        <v>1336</v>
      </c>
      <c r="G8" s="730" t="s">
        <v>1334</v>
      </c>
      <c r="H8" s="730" t="s">
        <v>1334</v>
      </c>
      <c r="I8" s="730" t="s">
        <v>1334</v>
      </c>
      <c r="J8" s="335" t="s">
        <v>1337</v>
      </c>
      <c r="K8" s="335" t="s">
        <v>1338</v>
      </c>
      <c r="L8" s="732" t="s">
        <v>1339</v>
      </c>
      <c r="M8" s="335" t="s">
        <v>1340</v>
      </c>
      <c r="N8" s="732" t="s">
        <v>1341</v>
      </c>
      <c r="O8" s="335" t="s">
        <v>1342</v>
      </c>
      <c r="P8" s="335" t="s">
        <v>1343</v>
      </c>
      <c r="Q8" s="335" t="s">
        <v>1344</v>
      </c>
      <c r="R8" s="391" t="s">
        <v>1345</v>
      </c>
      <c r="S8" s="391"/>
      <c r="T8" s="733" t="s">
        <v>1334</v>
      </c>
      <c r="U8" s="734"/>
      <c r="V8" s="734"/>
      <c r="W8" s="735"/>
      <c r="X8" s="734"/>
      <c r="Y8" s="734" t="s">
        <v>77</v>
      </c>
      <c r="Z8" s="734" t="s">
        <v>77</v>
      </c>
      <c r="AA8" s="734"/>
      <c r="AC8" s="391"/>
      <c r="AE8" s="425"/>
      <c r="AF8" s="343"/>
    </row>
    <row r="9" spans="1:35" ht="13.5" thickBot="1" x14ac:dyDescent="0.25">
      <c r="B9" s="391"/>
      <c r="C9" s="335"/>
      <c r="D9" s="335" t="s">
        <v>1346</v>
      </c>
      <c r="E9" s="335" t="s">
        <v>1347</v>
      </c>
      <c r="F9" s="335" t="s">
        <v>1348</v>
      </c>
      <c r="G9" s="335" t="s">
        <v>1349</v>
      </c>
      <c r="H9" s="335" t="s">
        <v>1350</v>
      </c>
      <c r="I9" s="335" t="s">
        <v>1351</v>
      </c>
      <c r="J9" s="335" t="s">
        <v>1352</v>
      </c>
      <c r="K9" s="335" t="s">
        <v>1353</v>
      </c>
      <c r="L9" s="335" t="s">
        <v>1354</v>
      </c>
      <c r="M9" s="335" t="s">
        <v>1355</v>
      </c>
      <c r="N9" s="335" t="s">
        <v>1356</v>
      </c>
      <c r="O9" s="335" t="s">
        <v>1357</v>
      </c>
      <c r="P9" s="335" t="s">
        <v>1358</v>
      </c>
      <c r="Q9" s="335" t="s">
        <v>1358</v>
      </c>
      <c r="R9" s="391" t="s">
        <v>1359</v>
      </c>
      <c r="S9" s="391" t="s">
        <v>1360</v>
      </c>
      <c r="T9" s="733" t="s">
        <v>1361</v>
      </c>
      <c r="U9" s="734" t="s">
        <v>23</v>
      </c>
      <c r="V9" s="734" t="s">
        <v>77</v>
      </c>
      <c r="W9" s="735"/>
      <c r="X9" s="734"/>
      <c r="Y9" s="734" t="s">
        <v>1362</v>
      </c>
      <c r="Z9" s="734" t="s">
        <v>1362</v>
      </c>
      <c r="AA9" s="734" t="s">
        <v>77</v>
      </c>
      <c r="AC9" s="391"/>
      <c r="AE9" s="734"/>
      <c r="AF9" s="526"/>
      <c r="AI9" s="336"/>
    </row>
    <row r="10" spans="1:35" x14ac:dyDescent="0.2">
      <c r="B10" s="333" t="s">
        <v>95</v>
      </c>
      <c r="C10" s="333" t="s">
        <v>69</v>
      </c>
      <c r="D10" s="664" t="s">
        <v>92</v>
      </c>
      <c r="E10" s="333" t="s">
        <v>1363</v>
      </c>
      <c r="F10" s="664" t="s">
        <v>1364</v>
      </c>
      <c r="G10" s="664" t="s">
        <v>1365</v>
      </c>
      <c r="H10" s="664" t="s">
        <v>1366</v>
      </c>
      <c r="I10" s="664" t="s">
        <v>1367</v>
      </c>
      <c r="J10" s="664" t="s">
        <v>1368</v>
      </c>
      <c r="K10" s="664" t="s">
        <v>1220</v>
      </c>
      <c r="L10" s="664" t="s">
        <v>1322</v>
      </c>
      <c r="M10" s="664" t="s">
        <v>1322</v>
      </c>
      <c r="N10" s="664" t="s">
        <v>1322</v>
      </c>
      <c r="O10" s="664" t="s">
        <v>1322</v>
      </c>
      <c r="P10" s="664" t="s">
        <v>1322</v>
      </c>
      <c r="Q10" s="664" t="s">
        <v>1322</v>
      </c>
      <c r="R10" s="333" t="s">
        <v>1322</v>
      </c>
      <c r="S10" s="333" t="s">
        <v>1322</v>
      </c>
      <c r="T10" s="185" t="s">
        <v>92</v>
      </c>
      <c r="U10" s="736" t="s">
        <v>1220</v>
      </c>
      <c r="V10" s="736" t="s">
        <v>92</v>
      </c>
      <c r="W10" s="735"/>
      <c r="X10" s="734"/>
      <c r="Y10" s="736" t="s">
        <v>80</v>
      </c>
      <c r="Z10" s="736" t="s">
        <v>1226</v>
      </c>
      <c r="AA10" s="737" t="s">
        <v>87</v>
      </c>
      <c r="AC10" s="391"/>
      <c r="AD10" s="738" t="s">
        <v>131</v>
      </c>
      <c r="AE10" s="739" t="s">
        <v>131</v>
      </c>
      <c r="AF10" s="740" t="s">
        <v>131</v>
      </c>
      <c r="AI10" s="336"/>
    </row>
    <row r="11" spans="1:35" x14ac:dyDescent="0.2">
      <c r="B11" s="391"/>
      <c r="C11" s="391" t="s">
        <v>102</v>
      </c>
      <c r="D11" s="335" t="s">
        <v>103</v>
      </c>
      <c r="E11" s="335" t="s">
        <v>104</v>
      </c>
      <c r="F11" s="391" t="s">
        <v>105</v>
      </c>
      <c r="G11" s="391" t="s">
        <v>106</v>
      </c>
      <c r="H11" s="391" t="s">
        <v>107</v>
      </c>
      <c r="I11" s="391" t="s">
        <v>108</v>
      </c>
      <c r="J11" s="335" t="s">
        <v>109</v>
      </c>
      <c r="K11" s="391" t="s">
        <v>116</v>
      </c>
      <c r="L11" s="391" t="s">
        <v>110</v>
      </c>
      <c r="M11" s="391" t="s">
        <v>111</v>
      </c>
      <c r="N11" s="391" t="s">
        <v>112</v>
      </c>
      <c r="O11" s="335" t="s">
        <v>113</v>
      </c>
      <c r="P11" s="733" t="s">
        <v>114</v>
      </c>
      <c r="Q11" s="335" t="s">
        <v>115</v>
      </c>
      <c r="R11" s="734" t="s">
        <v>200</v>
      </c>
      <c r="S11" s="733" t="s">
        <v>1369</v>
      </c>
      <c r="T11" s="741" t="s">
        <v>1370</v>
      </c>
      <c r="U11" s="733" t="s">
        <v>1371</v>
      </c>
      <c r="V11" s="733" t="s">
        <v>1372</v>
      </c>
      <c r="W11" s="735"/>
      <c r="X11" s="734"/>
      <c r="Y11" s="741" t="s">
        <v>1373</v>
      </c>
      <c r="Z11" s="335" t="s">
        <v>1374</v>
      </c>
      <c r="AA11" s="335" t="s">
        <v>1375</v>
      </c>
      <c r="AC11" s="391"/>
      <c r="AD11" s="742"/>
      <c r="AE11" s="734"/>
      <c r="AF11" s="743"/>
    </row>
    <row r="12" spans="1:35" x14ac:dyDescent="0.2">
      <c r="B12" s="462">
        <v>1</v>
      </c>
      <c r="C12" s="343" t="s">
        <v>827</v>
      </c>
      <c r="D12" s="744">
        <v>2642.5699999999997</v>
      </c>
      <c r="E12" s="745">
        <f>-'JKP-3.1c - Data'!O39</f>
        <v>-448.14</v>
      </c>
      <c r="F12" s="745">
        <v>0</v>
      </c>
      <c r="G12" s="745">
        <f>-'JKP-3.1c - Data'!O20</f>
        <v>-167.80242999999996</v>
      </c>
      <c r="H12" s="745">
        <f>-'JKP-3.1c - Data'!O61</f>
        <v>0</v>
      </c>
      <c r="I12" s="745">
        <f>-'JKP-3.1c - Data'!O103</f>
        <v>24.814959999999981</v>
      </c>
      <c r="J12" s="745">
        <f>-'JKP-3.1c - Data'!O83</f>
        <v>-149.5387562692062</v>
      </c>
      <c r="K12" s="745">
        <f>'JKP-3.1c - Rev Actual Rates'!R976-(D12+SUM(E12:J12))</f>
        <v>14608.476226269207</v>
      </c>
      <c r="L12" s="745">
        <f>'JKP-3.1c - Rev Rates GRC09'!R965-'JKP-3.1c - Rev Actual Rates'!R976</f>
        <v>-1329.6599999999999</v>
      </c>
      <c r="M12" s="745">
        <f>'JKP-3.1c - Rev Rates PGA Nov10'!R965-'JKP-3.1c - Rev Rates GRC09'!R965</f>
        <v>-337.67999999999847</v>
      </c>
      <c r="N12" s="745">
        <f>'JKP-3.1c - Rev Rates GTI10'!R965-'JKP-3.1c - Rev Rates PGA Nov10'!R965</f>
        <v>301.73999999999796</v>
      </c>
      <c r="O12" s="745">
        <v>0</v>
      </c>
      <c r="P12" s="745">
        <v>0</v>
      </c>
      <c r="Q12" s="745">
        <v>0</v>
      </c>
      <c r="R12" s="745">
        <f>'JKP-3.1c - Norm Rev Rates GTI10'!R965-'JKP-3.1c - Rev Rates GTI10'!R965-P12</f>
        <v>0</v>
      </c>
      <c r="S12" s="745">
        <f>'JKP-3.1c - PF RevRAF GRC11'!F692</f>
        <v>6.42</v>
      </c>
      <c r="T12" s="745"/>
      <c r="U12" s="438">
        <f t="shared" ref="U12:U25" si="0">V12-D12</f>
        <v>12508.630000000001</v>
      </c>
      <c r="V12" s="745">
        <f>'JKP-3.1c - PF RevRAF GRC11'!F672</f>
        <v>15151.2</v>
      </c>
      <c r="W12" s="746"/>
      <c r="X12" s="747"/>
      <c r="Y12" s="745">
        <f>'JKP-3.1c - PF RevRAF GRC11'!F654</f>
        <v>8782.56</v>
      </c>
      <c r="Z12" s="747">
        <f>'JKP-3.1c - PF RevRAF GRC11'!F618</f>
        <v>8397.36</v>
      </c>
      <c r="AA12" s="463">
        <f t="shared" ref="AA12:AA25" si="1">V12-Y12</f>
        <v>6368.6400000000012</v>
      </c>
      <c r="AC12" s="747"/>
      <c r="AD12" s="748">
        <f>V12-(U12+D12)</f>
        <v>0</v>
      </c>
      <c r="AE12" s="412">
        <f t="shared" ref="AE12:AE33" si="2">U12-SUM(E12:T12)</f>
        <v>0</v>
      </c>
      <c r="AF12" s="491">
        <f>V12-Y12-AA12</f>
        <v>0</v>
      </c>
    </row>
    <row r="13" spans="1:35" x14ac:dyDescent="0.2">
      <c r="B13" s="32">
        <f t="shared" ref="B13:B26" si="3">B12+1</f>
        <v>2</v>
      </c>
      <c r="C13" s="343" t="s">
        <v>828</v>
      </c>
      <c r="D13" s="749">
        <v>648624933.80528879</v>
      </c>
      <c r="E13" s="750">
        <f>-'JKP-3.1c - Data'!O40</f>
        <v>-26077621.550000001</v>
      </c>
      <c r="F13" s="750">
        <f>-'JKP-3.1c - New Cust'!R19</f>
        <v>-905147.36</v>
      </c>
      <c r="G13" s="751">
        <f>-'JKP-3.1c - Data'!O33</f>
        <v>-9516052.6484699976</v>
      </c>
      <c r="H13" s="751">
        <f>-'JKP-3.1c - Data'!O62</f>
        <v>-2433458.2403744403</v>
      </c>
      <c r="I13" s="751">
        <f>-'JKP-3.1c - Data'!O104</f>
        <v>2384034.6975000002</v>
      </c>
      <c r="J13" s="751">
        <f>-'JKP-3.1c - Data'!O84</f>
        <v>36839900.092503712</v>
      </c>
      <c r="K13" s="751">
        <f>'JKP-3.1c - Rev Actual Rates'!R977-(D13+SUM(E13:J13))</f>
        <v>8378069.2035518885</v>
      </c>
      <c r="L13" s="751">
        <f>'JKP-3.1c - Rev Rates GRC09'!R966-'JKP-3.1c - Rev Actual Rates'!R977</f>
        <v>2436903</v>
      </c>
      <c r="M13" s="751">
        <f>'JKP-3.1c - Rev Rates PGA Nov10'!R966-'JKP-3.1c - Rev Rates GRC09'!R966</f>
        <v>-12400502</v>
      </c>
      <c r="N13" s="751">
        <f>'JKP-3.1c - Rev Rates GTI10'!R966-'JKP-3.1c - Rev Rates PGA Nov10'!R966</f>
        <v>13036599</v>
      </c>
      <c r="O13" s="751"/>
      <c r="P13" s="752">
        <v>0</v>
      </c>
      <c r="Q13" s="752">
        <v>0</v>
      </c>
      <c r="R13" s="751">
        <f>'JKP-3.1c - Norm Rev Rates GTI10'!R966-'JKP-3.1c - Rev Rates GTI10'!R966-P13</f>
        <v>23283584.670949817</v>
      </c>
      <c r="S13" s="751">
        <f>'JKP-3.1c - PF RevRAF GRC11'!F693</f>
        <v>257571.72696999999</v>
      </c>
      <c r="T13" s="753"/>
      <c r="U13" s="753">
        <f t="shared" si="0"/>
        <v>35283880.592631102</v>
      </c>
      <c r="V13" s="751">
        <f>'JKP-3.1c - PF RevRAF GRC11'!F673</f>
        <v>683908814.39791989</v>
      </c>
      <c r="W13" s="754"/>
      <c r="X13" s="752"/>
      <c r="Y13" s="750">
        <f>'JKP-3.1c - PF RevRAF GRC11'!F655</f>
        <v>394687569.71019995</v>
      </c>
      <c r="Z13" s="752">
        <f>'JKP-3.1c - PF RevRAF GRC11'!F619</f>
        <v>377375461.50811005</v>
      </c>
      <c r="AA13" s="755">
        <f t="shared" si="1"/>
        <v>289221244.68771994</v>
      </c>
      <c r="AC13" s="752"/>
      <c r="AD13" s="748">
        <f>V13-(U13+D13)</f>
        <v>0</v>
      </c>
      <c r="AE13" s="412">
        <f t="shared" si="2"/>
        <v>1.1920928955078125E-7</v>
      </c>
      <c r="AF13" s="491">
        <f>V13-Y13-AA13</f>
        <v>0</v>
      </c>
    </row>
    <row r="14" spans="1:35" x14ac:dyDescent="0.2">
      <c r="B14" s="32">
        <f t="shared" si="3"/>
        <v>3</v>
      </c>
      <c r="C14" s="343" t="s">
        <v>829</v>
      </c>
      <c r="D14" s="749">
        <v>16023.13</v>
      </c>
      <c r="E14" s="750">
        <v>0</v>
      </c>
      <c r="F14" s="750">
        <v>0</v>
      </c>
      <c r="G14" s="751">
        <v>0</v>
      </c>
      <c r="H14" s="751">
        <f>-'JKP-3.1c - Data'!O63</f>
        <v>-17.2059100906454</v>
      </c>
      <c r="I14" s="751">
        <f>-'JKP-3.1c - Data'!O108</f>
        <v>16.217000000000002</v>
      </c>
      <c r="J14" s="751">
        <v>0</v>
      </c>
      <c r="K14" s="751">
        <f>'JKP-3.1c - Rev Actual Rates'!R978-(D14+SUM(E14:J14))</f>
        <v>-6491.4459699093532</v>
      </c>
      <c r="L14" s="751">
        <f>'JKP-3.1c - Rev Rates GRC09'!R967-'JKP-3.1c - Rev Actual Rates'!R978</f>
        <v>9.3210200000012264</v>
      </c>
      <c r="M14" s="751">
        <f>'JKP-3.1c - Rev Rates PGA Nov10'!R967-'JKP-3.1c - Rev Rates GRC09'!R967</f>
        <v>277.2571799999987</v>
      </c>
      <c r="N14" s="751">
        <f>'JKP-3.1c - Rev Rates GTI10'!R967-'JKP-3.1c - Rev Rates PGA Nov10'!R967</f>
        <v>52.321500000000015</v>
      </c>
      <c r="O14" s="751"/>
      <c r="P14" s="752">
        <v>0</v>
      </c>
      <c r="Q14" s="752">
        <v>0</v>
      </c>
      <c r="R14" s="751">
        <f>'JKP-3.1c - Norm Rev Rates GTI10'!R967-'JKP-3.1c - Rev Rates GTI10'!R967-P14</f>
        <v>0</v>
      </c>
      <c r="S14" s="751">
        <f>'JKP-3.1c - PF RevRAF GRC11'!F694</f>
        <v>0</v>
      </c>
      <c r="T14" s="753"/>
      <c r="U14" s="753">
        <f t="shared" si="0"/>
        <v>-6153.5351799999989</v>
      </c>
      <c r="V14" s="751">
        <f>'JKP-3.1c - PF RevRAF GRC11'!F674</f>
        <v>9869.5948200000003</v>
      </c>
      <c r="W14" s="754"/>
      <c r="X14" s="752"/>
      <c r="Y14" s="750">
        <f>'JKP-3.1c - PF RevRAF GRC11'!F656</f>
        <v>8469.5507400000006</v>
      </c>
      <c r="Z14" s="752">
        <f>'JKP-3.1c - PF RevRAF GRC11'!F620</f>
        <v>8469.5507400000006</v>
      </c>
      <c r="AA14" s="755">
        <f t="shared" si="1"/>
        <v>1400.0440799999997</v>
      </c>
      <c r="AC14" s="752"/>
      <c r="AD14" s="748"/>
      <c r="AE14" s="412">
        <f t="shared" si="2"/>
        <v>0</v>
      </c>
      <c r="AF14" s="491"/>
    </row>
    <row r="15" spans="1:35" x14ac:dyDescent="0.2">
      <c r="B15" s="32">
        <f t="shared" si="3"/>
        <v>4</v>
      </c>
      <c r="C15" s="346" t="s">
        <v>830</v>
      </c>
      <c r="D15" s="749">
        <v>216058532.79465172</v>
      </c>
      <c r="E15" s="750">
        <f>-'JKP-3.1c - Data'!O42</f>
        <v>-10884100.799999999</v>
      </c>
      <c r="F15" s="750">
        <f>-'JKP-3.1c - New Cust'!R32-'JKP-3.1c - New Cust'!R54</f>
        <v>-227755.08500000002</v>
      </c>
      <c r="G15" s="751">
        <f>-'JKP-3.1c - Data'!O22</f>
        <v>-3482733.0757700005</v>
      </c>
      <c r="H15" s="751">
        <f>-'JKP-3.1c - Data'!O64</f>
        <v>-711188.21465575451</v>
      </c>
      <c r="I15" s="751">
        <f>-'JKP-3.1c - Data'!O105</f>
        <v>720468.79952000012</v>
      </c>
      <c r="J15" s="751">
        <f>-'JKP-3.1c - Data'!O86</f>
        <v>13564974.700840699</v>
      </c>
      <c r="K15" s="751">
        <f>'JKP-3.1c - Rev Actual Rates'!R979-(D15+SUM(E15:J15))</f>
        <v>2498314.9280833602</v>
      </c>
      <c r="L15" s="751">
        <f>'JKP-3.1c - Rev Rates GRC09'!R968-'JKP-3.1c - Rev Actual Rates'!R979</f>
        <v>636174.41225004196</v>
      </c>
      <c r="M15" s="751">
        <f>'JKP-3.1c - Rev Rates PGA Nov10'!R968-'JKP-3.1c - Rev Rates GRC09'!R968</f>
        <v>-4683388.1959200501</v>
      </c>
      <c r="N15" s="751">
        <f>'JKP-3.1c - Rev Rates GTI10'!R968-'JKP-3.1c - Rev Rates PGA Nov10'!R968</f>
        <v>3819257.426399976</v>
      </c>
      <c r="O15" s="751"/>
      <c r="P15" s="752">
        <f>'JKP-3.1c - 41T 86T Migrat Adj'!C7</f>
        <v>-449441.5683974399</v>
      </c>
      <c r="Q15" s="752">
        <f>'JKP-3.1c - 41 Min Migration Adj'!C7</f>
        <v>4604708.4533198765</v>
      </c>
      <c r="R15" s="751">
        <f>'JKP-3.1c - Norm Rev Rates GTI10'!R968-'JKP-3.1c - Rev Rates GTI10'!R968-P15-Q15</f>
        <v>8285263.2910775924</v>
      </c>
      <c r="S15" s="751">
        <f>'JKP-3.1c - PF RevRAF GRC11'!F695</f>
        <v>93098.043000000005</v>
      </c>
      <c r="T15" s="753"/>
      <c r="U15" s="753">
        <f t="shared" si="0"/>
        <v>13783653.114748299</v>
      </c>
      <c r="V15" s="751">
        <f>'JKP-3.1c - PF RevRAF GRC11'!F675</f>
        <v>229842185.90940002</v>
      </c>
      <c r="W15" s="754"/>
      <c r="X15" s="752"/>
      <c r="Y15" s="750">
        <f>'JKP-3.1c - PF RevRAF GRC11'!F657</f>
        <v>144583284.64950001</v>
      </c>
      <c r="Z15" s="752">
        <f>'JKP-3.1c - PF RevRAF GRC11'!F621</f>
        <v>138242498.373</v>
      </c>
      <c r="AA15" s="755">
        <f t="shared" si="1"/>
        <v>85258901.259900004</v>
      </c>
      <c r="AC15" s="752"/>
      <c r="AD15" s="748">
        <f>V15-(U15+D15)</f>
        <v>0</v>
      </c>
      <c r="AE15" s="412">
        <f t="shared" si="2"/>
        <v>0</v>
      </c>
      <c r="AF15" s="491">
        <f>V15-Y15-AA15</f>
        <v>0</v>
      </c>
    </row>
    <row r="16" spans="1:35" x14ac:dyDescent="0.2">
      <c r="B16" s="32">
        <f t="shared" si="3"/>
        <v>5</v>
      </c>
      <c r="C16" s="343" t="s">
        <v>832</v>
      </c>
      <c r="D16" s="749">
        <v>71683485.465980619</v>
      </c>
      <c r="E16" s="750">
        <f>-'JKP-3.1c - Data'!O44</f>
        <v>-3621856.7100000004</v>
      </c>
      <c r="F16" s="750">
        <f>-'JKP-3.1c - New Cust'!R43</f>
        <v>-23187.49</v>
      </c>
      <c r="G16" s="751">
        <f>-'JKP-3.1c - Data'!O24</f>
        <v>-1396552.76305</v>
      </c>
      <c r="H16" s="751">
        <f>-'JKP-3.1c - Data'!O66</f>
        <v>-159362.80396732903</v>
      </c>
      <c r="I16" s="751">
        <f>-'JKP-3.1c - Data'!O106</f>
        <v>119930.41885</v>
      </c>
      <c r="J16" s="751">
        <f>-'JKP-3.1c - Data'!O88</f>
        <v>6237980.1200764226</v>
      </c>
      <c r="K16" s="751">
        <f>'JKP-3.1c - Rev Actual Rates'!R980-(D16+SUM(E16:J16))</f>
        <v>-1051028.1260797232</v>
      </c>
      <c r="L16" s="751">
        <f>'JKP-3.1c - Rev Rates GRC09'!R969-'JKP-3.1c - Rev Actual Rates'!R980</f>
        <v>96441.99457000196</v>
      </c>
      <c r="M16" s="751">
        <f>'JKP-3.1c - Rev Rates PGA Nov10'!R969-'JKP-3.1c - Rev Rates GRC09'!R969</f>
        <v>-2444165.1319399774</v>
      </c>
      <c r="N16" s="751">
        <f>'JKP-3.1c - Rev Rates GTI10'!R969-'JKP-3.1c - Rev Rates PGA Nov10'!R969</f>
        <v>660646.69257998466</v>
      </c>
      <c r="O16" s="751"/>
      <c r="P16" s="752">
        <f>'JKP-3.1c - 41T 86T Migrat Adj'!C8</f>
        <v>-959438.46074683196</v>
      </c>
      <c r="Q16" s="752">
        <f>'JKP-3.1c - 41 Min Migration Adj'!C8</f>
        <v>-5020612.849079174</v>
      </c>
      <c r="R16" s="751">
        <f>'JKP-3.1c - Norm Rev Rates GTI10'!R969-'JKP-3.1c - Rev Rates GTI10'!R969-P16-Q16</f>
        <v>759944.18946600426</v>
      </c>
      <c r="S16" s="751">
        <f>'JKP-3.1c - PF RevRAF GRC11'!F696</f>
        <v>28522.985369999999</v>
      </c>
      <c r="T16" s="753"/>
      <c r="U16" s="753">
        <f t="shared" si="0"/>
        <v>-6772737.9339506179</v>
      </c>
      <c r="V16" s="751">
        <f>'JKP-3.1c - PF RevRAF GRC11'!F676</f>
        <v>64910747.532030001</v>
      </c>
      <c r="W16" s="754"/>
      <c r="X16" s="752"/>
      <c r="Y16" s="750">
        <f>'JKP-3.1c - PF RevRAF GRC11'!F658</f>
        <v>48349338.333330005</v>
      </c>
      <c r="Z16" s="752">
        <f>'JKP-3.1c - PF RevRAF GRC11'!F622</f>
        <v>46211269.358629994</v>
      </c>
      <c r="AA16" s="755">
        <f t="shared" si="1"/>
        <v>16561409.198699996</v>
      </c>
      <c r="AC16" s="752"/>
      <c r="AD16" s="748">
        <f>V16-(U16+D16)</f>
        <v>0</v>
      </c>
      <c r="AE16" s="412">
        <f t="shared" si="2"/>
        <v>0</v>
      </c>
      <c r="AF16" s="491">
        <f>V16-Y16-AA16</f>
        <v>0</v>
      </c>
    </row>
    <row r="17" spans="2:32" x14ac:dyDescent="0.2">
      <c r="B17" s="32">
        <f t="shared" si="3"/>
        <v>6</v>
      </c>
      <c r="C17" s="343" t="s">
        <v>1184</v>
      </c>
      <c r="D17" s="749">
        <v>1249750.9656922717</v>
      </c>
      <c r="E17" s="750">
        <f>-'JKP-3.1c - Data'!O45</f>
        <v>-57184.99412615598</v>
      </c>
      <c r="F17" s="750">
        <f>-'JKP-3.1c - Data'!O9</f>
        <v>-4567.33</v>
      </c>
      <c r="G17" s="751"/>
      <c r="H17" s="751">
        <f>-'JKP-3.1c - Data'!O67</f>
        <v>-12669.142137071776</v>
      </c>
      <c r="I17" s="751">
        <f>-'JKP-3.1c - Data'!O107</f>
        <v>9510.8103900000006</v>
      </c>
      <c r="J17" s="751">
        <f>-'JKP-3.1c - Data'!O95</f>
        <v>0</v>
      </c>
      <c r="K17" s="751">
        <f>'JKP-3.1c - Rev Actual Rates'!R985-(D17+SUM(E17:J17))</f>
        <v>-35514.348009043839</v>
      </c>
      <c r="L17" s="751">
        <f>'JKP-3.1c - Rev Rates GRC09'!R974-'JKP-3.1c - Rev Actual Rates'!R985</f>
        <v>4766.9454500002321</v>
      </c>
      <c r="M17" s="751">
        <f>'JKP-3.1c - Rev Rates PGA Nov10'!R974-'JKP-3.1c - Rev Rates GRC09'!R974</f>
        <v>0</v>
      </c>
      <c r="N17" s="751">
        <f>'JKP-3.1c - Rev Rates GTI10'!R974-'JKP-3.1c - Rev Rates PGA Nov10'!R974</f>
        <v>43114.429339999799</v>
      </c>
      <c r="O17" s="751"/>
      <c r="P17" s="752">
        <f>'JKP-3.1c - 41T 86T Migrat Adj'!C9</f>
        <v>436763.93581574393</v>
      </c>
      <c r="Q17" s="752">
        <v>0</v>
      </c>
      <c r="R17" s="751">
        <f>'JKP-3.1c - Norm Rev Rates GTI10'!R974-'JKP-3.1c - Rev Rates GTI10'!R974-P17</f>
        <v>2198.3353042562376</v>
      </c>
      <c r="S17" s="751">
        <v>0</v>
      </c>
      <c r="T17" s="753"/>
      <c r="U17" s="753">
        <f t="shared" si="0"/>
        <v>386418.64202772779</v>
      </c>
      <c r="V17" s="751">
        <f>'JKP-3.1c - PF RevRAF GRC11'!F681</f>
        <v>1636169.6077199995</v>
      </c>
      <c r="W17" s="754"/>
      <c r="X17" s="752"/>
      <c r="Y17" s="750">
        <f>'JKP-3.1c - PF RevRAF GRC11'!F663</f>
        <v>5470.2017999999989</v>
      </c>
      <c r="Z17" s="752">
        <f>'JKP-3.1c - PF RevRAF GRC11'!F627</f>
        <v>5470.2017999999989</v>
      </c>
      <c r="AA17" s="755">
        <f t="shared" si="1"/>
        <v>1630699.4059199996</v>
      </c>
      <c r="AC17" s="752"/>
      <c r="AD17" s="748"/>
      <c r="AE17" s="412">
        <f t="shared" si="2"/>
        <v>-8.149072527885437E-10</v>
      </c>
      <c r="AF17" s="491"/>
    </row>
    <row r="18" spans="2:32" x14ac:dyDescent="0.2">
      <c r="B18" s="32">
        <f t="shared" si="3"/>
        <v>7</v>
      </c>
      <c r="C18" s="343" t="s">
        <v>836</v>
      </c>
      <c r="D18" s="749">
        <v>119839.05458908268</v>
      </c>
      <c r="E18" s="750">
        <f>-'JKP-3.1c - Data'!O48</f>
        <v>-5089.13</v>
      </c>
      <c r="F18" s="750"/>
      <c r="G18" s="751"/>
      <c r="H18" s="751">
        <f>-'JKP-3.1c - Data'!O70</f>
        <v>0</v>
      </c>
      <c r="I18" s="751">
        <v>0</v>
      </c>
      <c r="J18" s="751">
        <f>-'JKP-3.1c - Data'!O91</f>
        <v>0</v>
      </c>
      <c r="K18" s="751">
        <f>'JKP-3.1c - Rev Actual Rates'!R981-(D18+SUM(E18:J18))</f>
        <v>561.67541091734893</v>
      </c>
      <c r="L18" s="751">
        <f>'JKP-3.1c - Rev Rates GRC09'!R970-'JKP-3.1c - Rev Actual Rates'!R981</f>
        <v>0</v>
      </c>
      <c r="M18" s="751">
        <f>'JKP-3.1c - Rev Rates PGA Nov10'!R970-'JKP-3.1c - Rev Rates GRC09'!R970</f>
        <v>0</v>
      </c>
      <c r="N18" s="751">
        <f>'JKP-3.1c - Rev Rates GTI10'!R970-'JKP-3.1c - Rev Rates PGA Nov10'!R970</f>
        <v>0</v>
      </c>
      <c r="O18" s="751"/>
      <c r="P18" s="752">
        <v>0</v>
      </c>
      <c r="Q18" s="752">
        <v>0</v>
      </c>
      <c r="R18" s="751">
        <f>'JKP-3.1c - Norm Rev Rates GTI10'!R970-'JKP-3.1c - Rev Rates GTI10'!R970-P18</f>
        <v>0</v>
      </c>
      <c r="S18" s="751">
        <v>0</v>
      </c>
      <c r="T18" s="753"/>
      <c r="U18" s="753">
        <f t="shared" si="0"/>
        <v>-4527.4545890826703</v>
      </c>
      <c r="V18" s="751">
        <f>'JKP-3.1c - PF RevRAF GRC11'!F677</f>
        <v>115311.6</v>
      </c>
      <c r="W18" s="754"/>
      <c r="X18" s="752"/>
      <c r="Y18" s="750">
        <f>'JKP-3.1c - PF RevRAF GRC11'!F659</f>
        <v>0</v>
      </c>
      <c r="Z18" s="752">
        <f>'JKP-3.1c - PF RevRAF GRC11'!F623</f>
        <v>0</v>
      </c>
      <c r="AA18" s="755">
        <f t="shared" si="1"/>
        <v>115311.6</v>
      </c>
      <c r="AC18" s="752"/>
      <c r="AD18" s="748">
        <f>V18-(U18+D18)</f>
        <v>0</v>
      </c>
      <c r="AE18" s="412">
        <f t="shared" si="2"/>
        <v>-1.9099388737231493E-11</v>
      </c>
      <c r="AF18" s="491">
        <f>V18-Y18-AA18</f>
        <v>0</v>
      </c>
    </row>
    <row r="19" spans="2:32" x14ac:dyDescent="0.2">
      <c r="B19" s="32">
        <f t="shared" si="3"/>
        <v>8</v>
      </c>
      <c r="C19" s="343" t="s">
        <v>837</v>
      </c>
      <c r="D19" s="749">
        <v>13142638.370200474</v>
      </c>
      <c r="E19" s="750">
        <f>-'JKP-3.1c - Data'!O49</f>
        <v>-510346.01000000007</v>
      </c>
      <c r="F19" s="750">
        <f>-'JKP-3.1c - Data'!O6</f>
        <v>0</v>
      </c>
      <c r="G19" s="751">
        <f>-'JKP-3.1c - Data'!O28</f>
        <v>-301283.13975000003</v>
      </c>
      <c r="H19" s="751">
        <f>-'JKP-3.1c - Data'!O71</f>
        <v>-19552.46</v>
      </c>
      <c r="I19" s="751">
        <f>-'JKP-3.1c - Data'!O109</f>
        <v>13983.982100000001</v>
      </c>
      <c r="J19" s="751">
        <f>-'JKP-3.1c - Data'!O92</f>
        <v>1353295.0150042786</v>
      </c>
      <c r="K19" s="751">
        <f>'JKP-3.1c - Rev Actual Rates'!R982-(D19+SUM(E19:J19))</f>
        <v>-11744.864844750613</v>
      </c>
      <c r="L19" s="751">
        <f>'JKP-3.1c - Rev Rates GRC09'!R971-'JKP-3.1c - Rev Actual Rates'!R982</f>
        <v>6865.4583000000566</v>
      </c>
      <c r="M19" s="751">
        <f>'JKP-3.1c - Rev Rates PGA Nov10'!R971-'JKP-3.1c - Rev Rates GRC09'!R971</f>
        <v>-521703.80142000131</v>
      </c>
      <c r="N19" s="751">
        <f>'JKP-3.1c - Rev Rates GTI10'!R971-'JKP-3.1c - Rev Rates PGA Nov10'!R971</f>
        <v>46068.265029998496</v>
      </c>
      <c r="O19" s="751">
        <f>'JKP-3.1c - 85&amp;T Min Charge Adj '!B5</f>
        <v>-3601.7799999999997</v>
      </c>
      <c r="P19" s="752">
        <v>0</v>
      </c>
      <c r="Q19" s="752">
        <v>0</v>
      </c>
      <c r="R19" s="751">
        <f>'JKP-3.1c - Norm Rev Rates GTI10'!R971-'JKP-3.1c - Rev Rates GTI10'!R971-P19-O19</f>
        <v>253251.46997000158</v>
      </c>
      <c r="S19" s="751">
        <f>'JKP-3.1c - PF RevRAF GRC11'!F697</f>
        <v>7259.6277600000003</v>
      </c>
      <c r="T19" s="753"/>
      <c r="U19" s="753">
        <f t="shared" si="0"/>
        <v>312491.76214952581</v>
      </c>
      <c r="V19" s="751">
        <f>'JKP-3.1c - PF RevRAF GRC11'!F678</f>
        <v>13455130.13235</v>
      </c>
      <c r="W19" s="754"/>
      <c r="X19" s="752"/>
      <c r="Y19" s="750">
        <f>'JKP-3.1c - PF RevRAF GRC11'!F660</f>
        <v>11563377.142759999</v>
      </c>
      <c r="Z19" s="752">
        <f>'JKP-3.1c - PF RevRAF GRC11'!F624</f>
        <v>11055746.4342</v>
      </c>
      <c r="AA19" s="755">
        <f t="shared" si="1"/>
        <v>1891752.9895900004</v>
      </c>
      <c r="AC19" s="752"/>
      <c r="AD19" s="748">
        <f>V19-(U19+D19)</f>
        <v>0</v>
      </c>
      <c r="AE19" s="412">
        <f t="shared" si="2"/>
        <v>-9.8953023552894592E-10</v>
      </c>
      <c r="AF19" s="491">
        <f>V19-Y19-AA19</f>
        <v>0</v>
      </c>
    </row>
    <row r="20" spans="2:32" x14ac:dyDescent="0.2">
      <c r="B20" s="32">
        <f t="shared" si="3"/>
        <v>9</v>
      </c>
      <c r="C20" s="343" t="s">
        <v>1228</v>
      </c>
      <c r="D20" s="749">
        <v>7467604.9590177173</v>
      </c>
      <c r="E20" s="750">
        <f>-'JKP-3.1c - Data'!O50</f>
        <v>-372627.75300359027</v>
      </c>
      <c r="F20" s="750">
        <f>-'JKP-3.1c - Data'!O10</f>
        <v>-10081.700000000001</v>
      </c>
      <c r="G20" s="751"/>
      <c r="H20" s="751">
        <f>-'JKP-3.1c - Data'!O72</f>
        <v>-71921.942686992683</v>
      </c>
      <c r="I20" s="751">
        <f>-'JKP-3.1c - Data'!O110</f>
        <v>53966.986980000001</v>
      </c>
      <c r="J20" s="751">
        <f>-'JKP-3.1c - Data'!O96</f>
        <v>0</v>
      </c>
      <c r="K20" s="751">
        <f>'JKP-3.1c - Rev Actual Rates'!R986-(D20+SUM(E20:J20))</f>
        <v>-82654.268027133308</v>
      </c>
      <c r="L20" s="751">
        <f>'JKP-3.1c - Rev Rates GRC09'!R975-'JKP-3.1c - Rev Actual Rates'!R986</f>
        <v>21820.781400000677</v>
      </c>
      <c r="M20" s="751">
        <f>'JKP-3.1c - Rev Rates PGA Nov10'!R975-'JKP-3.1c - Rev Rates GRC09'!R975</f>
        <v>0</v>
      </c>
      <c r="N20" s="751">
        <f>'JKP-3.1c - Rev Rates GTI10'!R975-'JKP-3.1c - Rev Rates PGA Nov10'!R975</f>
        <v>168728.1923299972</v>
      </c>
      <c r="O20" s="751">
        <f>SUM('JKP-3.1c - 85&amp;T Min Charge Adj '!B7:B8)</f>
        <v>-384886.69999999995</v>
      </c>
      <c r="P20" s="752">
        <f>'JKP-3.1c - 41T 86T Migrat Adj'!C11</f>
        <v>-73143.361187650007</v>
      </c>
      <c r="Q20" s="752">
        <v>0</v>
      </c>
      <c r="R20" s="751">
        <f>'JKP-3.1c - Norm Rev Rates GTI10'!R975-'JKP-3.1c - Rev Rates GTI10'!R975-P20-O20</f>
        <v>-4.8102349159307778E-2</v>
      </c>
      <c r="S20" s="751">
        <v>0</v>
      </c>
      <c r="T20" s="753"/>
      <c r="U20" s="753">
        <f t="shared" si="0"/>
        <v>-750799.81229771674</v>
      </c>
      <c r="V20" s="751">
        <f>'JKP-3.1c - PF RevRAF GRC11'!F682</f>
        <v>6716805.1467200005</v>
      </c>
      <c r="W20" s="754"/>
      <c r="X20" s="752"/>
      <c r="Y20" s="750">
        <f>'JKP-3.1c - PF RevRAF GRC11'!F664</f>
        <v>45434.118799999997</v>
      </c>
      <c r="Z20" s="752">
        <f>'JKP-3.1c - PF RevRAF GRC11'!F628</f>
        <v>45434.118799999997</v>
      </c>
      <c r="AA20" s="755">
        <f t="shared" si="1"/>
        <v>6671371.0279200003</v>
      </c>
      <c r="AC20" s="752"/>
      <c r="AD20" s="748"/>
      <c r="AE20" s="412">
        <f t="shared" si="2"/>
        <v>0</v>
      </c>
      <c r="AF20" s="491"/>
    </row>
    <row r="21" spans="2:32" x14ac:dyDescent="0.2">
      <c r="B21" s="32">
        <f t="shared" si="3"/>
        <v>10</v>
      </c>
      <c r="C21" s="343" t="s">
        <v>839</v>
      </c>
      <c r="D21" s="749">
        <v>11902949.430733029</v>
      </c>
      <c r="E21" s="750">
        <f>-'JKP-3.1c - Data'!O51</f>
        <v>-621833.04999999993</v>
      </c>
      <c r="F21" s="750">
        <f>-'JKP-3.1c - Data'!O7</f>
        <v>0</v>
      </c>
      <c r="G21" s="751">
        <f>-'JKP-3.1c - Data'!O29</f>
        <v>-227417.50805999999</v>
      </c>
      <c r="H21" s="751">
        <f>-'JKP-3.1c - Data'!O73</f>
        <v>-26666.853612165225</v>
      </c>
      <c r="I21" s="751">
        <f>-'JKP-3.1c - Data'!O111</f>
        <v>24501.838290000007</v>
      </c>
      <c r="J21" s="751">
        <f>-'JKP-3.1c - Data'!O93</f>
        <v>1032938.4223432078</v>
      </c>
      <c r="K21" s="751">
        <f>'JKP-3.1c - Rev Actual Rates'!R983-(D21+SUM(E21:J21))</f>
        <v>310086.01839593053</v>
      </c>
      <c r="L21" s="751">
        <f>'JKP-3.1c - Rev Rates GRC09'!R972-'JKP-3.1c - Rev Actual Rates'!R983</f>
        <v>12773.714999999851</v>
      </c>
      <c r="M21" s="751">
        <f>'JKP-3.1c - Rev Rates PGA Nov10'!R972-'JKP-3.1c - Rev Rates GRC09'!R972</f>
        <v>-392694.18651000038</v>
      </c>
      <c r="N21" s="751">
        <f>'JKP-3.1c - Rev Rates GTI10'!R972-'JKP-3.1c - Rev Rates PGA Nov10'!R972</f>
        <v>70812.786369999871</v>
      </c>
      <c r="O21" s="751"/>
      <c r="P21" s="752">
        <v>0</v>
      </c>
      <c r="Q21" s="752">
        <v>0</v>
      </c>
      <c r="R21" s="751">
        <f>'JKP-3.1c - Norm Rev Rates GTI10'!R972-'JKP-3.1c - Rev Rates GTI10'!R972-P21</f>
        <v>302794.3715500012</v>
      </c>
      <c r="S21" s="751">
        <f>'JKP-3.1c - PF RevRAF GRC11'!F698</f>
        <v>5972.51854</v>
      </c>
      <c r="T21" s="753"/>
      <c r="U21" s="753">
        <f t="shared" si="0"/>
        <v>491268.072306972</v>
      </c>
      <c r="V21" s="751">
        <f>'JKP-3.1c - PF RevRAF GRC11'!F679</f>
        <v>12394217.503040001</v>
      </c>
      <c r="W21" s="754"/>
      <c r="X21" s="752"/>
      <c r="Y21" s="750">
        <f>'JKP-3.1c - PF RevRAF GRC11'!F661</f>
        <v>9365187.1980000008</v>
      </c>
      <c r="Z21" s="752">
        <f>'JKP-3.1c - PF RevRAF GRC11'!F625</f>
        <v>8954009.3746199999</v>
      </c>
      <c r="AA21" s="755">
        <f t="shared" si="1"/>
        <v>3029030.30504</v>
      </c>
      <c r="AC21" s="752"/>
      <c r="AD21" s="748">
        <f>V21-(U21+D21)</f>
        <v>0</v>
      </c>
      <c r="AE21" s="412">
        <f t="shared" si="2"/>
        <v>-1.6880221664905548E-9</v>
      </c>
      <c r="AF21" s="491">
        <f>V21-Y21-AA21</f>
        <v>0</v>
      </c>
    </row>
    <row r="22" spans="2:32" x14ac:dyDescent="0.2">
      <c r="B22" s="32">
        <f t="shared" si="3"/>
        <v>11</v>
      </c>
      <c r="C22" s="343" t="s">
        <v>840</v>
      </c>
      <c r="D22" s="749">
        <v>6923.7635238233515</v>
      </c>
      <c r="E22" s="750">
        <f>-'JKP-3.1c - Data'!O52</f>
        <v>-396.48316629779589</v>
      </c>
      <c r="F22" s="750"/>
      <c r="G22" s="751"/>
      <c r="H22" s="751">
        <f>-'JKP-3.1c - Data'!O74</f>
        <v>-41.82</v>
      </c>
      <c r="I22" s="751">
        <f>-'JKP-3.1c - Data'!O112</f>
        <v>37.14</v>
      </c>
      <c r="J22" s="751">
        <f>-'JKP-3.1c - Data'!O97</f>
        <v>0</v>
      </c>
      <c r="K22" s="751">
        <f>'JKP-3.1c - Rev Actual Rates'!R987-(D22+SUM(E22:J22))</f>
        <v>-192.18315752555463</v>
      </c>
      <c r="L22" s="751">
        <f>'JKP-3.1c - Rev Rates GRC09'!R976-'JKP-3.1c - Rev Actual Rates'!R987</f>
        <v>0</v>
      </c>
      <c r="M22" s="751">
        <f>'JKP-3.1c - Rev Rates PGA Nov10'!R976-'JKP-3.1c - Rev Rates GRC09'!R976</f>
        <v>0</v>
      </c>
      <c r="N22" s="751">
        <f>'JKP-3.1c - Rev Rates GTI10'!R976-'JKP-3.1c - Rev Rates PGA Nov10'!R976</f>
        <v>153.33090999999877</v>
      </c>
      <c r="O22" s="751"/>
      <c r="P22" s="752">
        <f>'JKP-3.1c - 41T 86T Migrat Adj'!C13</f>
        <v>10158.292411397</v>
      </c>
      <c r="Q22" s="752">
        <v>0</v>
      </c>
      <c r="R22" s="751">
        <f>'JKP-3.1c - Norm Rev Rates GTI10'!R976-'JKP-3.1c - Rev Rates GTI10'!R976-P22</f>
        <v>1.9518602999596624E-2</v>
      </c>
      <c r="S22" s="751"/>
      <c r="T22" s="753"/>
      <c r="U22" s="753">
        <f t="shared" si="0"/>
        <v>9718.2965161766515</v>
      </c>
      <c r="V22" s="751">
        <f>'JKP-3.1c - PF RevRAF GRC11'!F683</f>
        <v>16642.060040000004</v>
      </c>
      <c r="W22" s="754"/>
      <c r="X22" s="752"/>
      <c r="Y22" s="750">
        <f>'JKP-3.1c - PF RevRAF GRC11'!F665</f>
        <v>50.94809999999999</v>
      </c>
      <c r="Z22" s="752">
        <f>'JKP-3.1c - PF RevRAF GRC11'!F629</f>
        <v>50.94809999999999</v>
      </c>
      <c r="AA22" s="755">
        <f t="shared" si="1"/>
        <v>16591.111940000003</v>
      </c>
      <c r="AC22" s="752"/>
      <c r="AD22" s="748">
        <f>V22-(U22+D22)</f>
        <v>0</v>
      </c>
      <c r="AE22" s="412">
        <f t="shared" si="2"/>
        <v>0</v>
      </c>
      <c r="AF22" s="491">
        <f>V22-Y22-AA22</f>
        <v>0</v>
      </c>
    </row>
    <row r="23" spans="2:32" x14ac:dyDescent="0.2">
      <c r="B23" s="32">
        <f t="shared" si="3"/>
        <v>12</v>
      </c>
      <c r="C23" s="343" t="s">
        <v>841</v>
      </c>
      <c r="D23" s="749">
        <v>20554073.977480181</v>
      </c>
      <c r="E23" s="750">
        <f>-'JKP-3.1c - Data'!O53</f>
        <v>-873287.60000000009</v>
      </c>
      <c r="F23" s="750">
        <f>-'JKP-3.1c - Data'!O8</f>
        <v>0</v>
      </c>
      <c r="G23" s="751">
        <f>-'JKP-3.1c - Data'!O30</f>
        <v>-514268.38449999993</v>
      </c>
      <c r="H23" s="751">
        <f>-'JKP-3.1c - Data'!O75</f>
        <v>-15765.59</v>
      </c>
      <c r="I23" s="751">
        <f>-'JKP-3.1c - Data'!O113</f>
        <v>19525.904840000003</v>
      </c>
      <c r="J23" s="751">
        <f>-'JKP-3.1c - Data'!O94</f>
        <v>2260853.815104011</v>
      </c>
      <c r="K23" s="751">
        <f>'JKP-3.1c - Rev Actual Rates'!R984-(D23+SUM(E23:J23))</f>
        <v>612359.00296581164</v>
      </c>
      <c r="L23" s="751">
        <f>'JKP-3.1c - Rev Rates GRC09'!R973-'JKP-3.1c - Rev Actual Rates'!R984</f>
        <v>6288.8174699991941</v>
      </c>
      <c r="M23" s="751">
        <f>'JKP-3.1c - Rev Rates PGA Nov10'!R973-'JKP-3.1c - Rev Rates GRC09'!R973</f>
        <v>-903480.43735999614</v>
      </c>
      <c r="N23" s="751">
        <f>'JKP-3.1c - Rev Rates GTI10'!R973-'JKP-3.1c - Rev Rates PGA Nov10'!R973</f>
        <v>39577.2384499982</v>
      </c>
      <c r="O23" s="751"/>
      <c r="P23" s="752">
        <v>0</v>
      </c>
      <c r="Q23" s="752">
        <v>0</v>
      </c>
      <c r="R23" s="751">
        <f>'JKP-3.1c - Norm Rev Rates GTI10'!R973-'JKP-3.1c - Rev Rates GTI10'!R973-P23</f>
        <v>353348.31000000238</v>
      </c>
      <c r="S23" s="751">
        <f>'JKP-3.1c - PF RevRAF GRC11'!F699</f>
        <v>12915.33165</v>
      </c>
      <c r="T23" s="753"/>
      <c r="U23" s="753">
        <f t="shared" si="0"/>
        <v>998066.40861982107</v>
      </c>
      <c r="V23" s="751">
        <f>'JKP-3.1c - PF RevRAF GRC11'!F680</f>
        <v>21552140.386100002</v>
      </c>
      <c r="W23" s="754"/>
      <c r="X23" s="752"/>
      <c r="Y23" s="750">
        <f>'JKP-3.1c - PF RevRAF GRC11'!F662</f>
        <v>19828433.3607</v>
      </c>
      <c r="Z23" s="752">
        <f>'JKP-3.1c - PF RevRAF GRC11'!F626</f>
        <v>18958581.948450003</v>
      </c>
      <c r="AA23" s="755">
        <f t="shared" si="1"/>
        <v>1723707.0254000016</v>
      </c>
      <c r="AC23" s="752"/>
      <c r="AD23" s="748">
        <f>V23-(U23+D23)</f>
        <v>0</v>
      </c>
      <c r="AE23" s="412">
        <f t="shared" si="2"/>
        <v>-5.005858838558197E-9</v>
      </c>
      <c r="AF23" s="491">
        <f>V23-Y23-AA23</f>
        <v>0</v>
      </c>
    </row>
    <row r="24" spans="2:32" x14ac:dyDescent="0.2">
      <c r="B24" s="32">
        <f t="shared" si="3"/>
        <v>13</v>
      </c>
      <c r="C24" s="343" t="s">
        <v>1230</v>
      </c>
      <c r="D24" s="749">
        <v>4354353.3662647102</v>
      </c>
      <c r="E24" s="750">
        <f>-'JKP-3.1c - Data'!O54</f>
        <v>-262337.48970395594</v>
      </c>
      <c r="F24" s="750">
        <f>-'JKP-3.1c - Data'!O12</f>
        <v>-36143.660000000003</v>
      </c>
      <c r="G24" s="751"/>
      <c r="H24" s="751">
        <f>-'JKP-3.1c - Data'!O76</f>
        <v>-37526.461259156102</v>
      </c>
      <c r="I24" s="751">
        <f>-'JKP-3.1c - Data'!O114</f>
        <v>67251.91915999999</v>
      </c>
      <c r="J24" s="751">
        <v>0</v>
      </c>
      <c r="K24" s="751">
        <f>'JKP-3.1c - Rev Actual Rates'!R988-(D24+SUM(E24:J24))</f>
        <v>-20001.042021598201</v>
      </c>
      <c r="L24" s="751">
        <f>'JKP-3.1c - Rev Rates GRC09'!R977-'JKP-3.1c - Rev Actual Rates'!R988</f>
        <v>13548.599409999792</v>
      </c>
      <c r="M24" s="751">
        <f>'JKP-3.1c - Rev Rates PGA Nov10'!R977-'JKP-3.1c - Rev Rates GRC09'!R977</f>
        <v>0</v>
      </c>
      <c r="N24" s="751">
        <f>'JKP-3.1c - Rev Rates GTI10'!R977-'JKP-3.1c - Rev Rates PGA Nov10'!R977</f>
        <v>99110.023600000422</v>
      </c>
      <c r="O24" s="751"/>
      <c r="P24" s="752">
        <v>0</v>
      </c>
      <c r="Q24" s="752">
        <v>0</v>
      </c>
      <c r="R24" s="751">
        <f>'JKP-3.1c - Norm Rev Rates GTI10'!R977-'JKP-3.1c - Rev Rates GTI10'!R977-P24</f>
        <v>12177.270360000432</v>
      </c>
      <c r="S24" s="751">
        <v>0</v>
      </c>
      <c r="T24" s="753"/>
      <c r="U24" s="753">
        <f t="shared" si="0"/>
        <v>-163920.84045470972</v>
      </c>
      <c r="V24" s="751">
        <f>'JKP-3.1c - PF RevRAF GRC11'!F684</f>
        <v>4190432.5258100005</v>
      </c>
      <c r="W24" s="754"/>
      <c r="X24" s="752"/>
      <c r="Y24" s="750">
        <f>'JKP-3.1c - PF RevRAF GRC11'!F666</f>
        <v>69705.002500000017</v>
      </c>
      <c r="Z24" s="752">
        <f>'JKP-3.1c - PF RevRAF GRC11'!F630</f>
        <v>69705.002500000017</v>
      </c>
      <c r="AA24" s="755">
        <f t="shared" si="1"/>
        <v>4120727.5233100005</v>
      </c>
      <c r="AC24" s="752"/>
      <c r="AD24" s="748"/>
      <c r="AE24" s="412">
        <f t="shared" si="2"/>
        <v>0</v>
      </c>
      <c r="AF24" s="491"/>
    </row>
    <row r="25" spans="2:32" x14ac:dyDescent="0.2">
      <c r="B25" s="32">
        <f t="shared" si="3"/>
        <v>14</v>
      </c>
      <c r="C25" s="343" t="s">
        <v>144</v>
      </c>
      <c r="D25" s="749">
        <v>1633825.8565776236</v>
      </c>
      <c r="E25" s="750">
        <f>-'JKP-3.1c - Data'!O56</f>
        <v>-84921.869999999981</v>
      </c>
      <c r="F25" s="750">
        <f>-'JKP-3.1c - Data'!O13</f>
        <v>0</v>
      </c>
      <c r="G25" s="751"/>
      <c r="H25" s="751">
        <f>-'JKP-3.1c - Data'!O78</f>
        <v>0</v>
      </c>
      <c r="I25" s="751">
        <f>-'JKP-3.1c - Data'!O115</f>
        <v>16759.323349999999</v>
      </c>
      <c r="J25" s="751">
        <f>-'JKP-3.1c - Data'!O99</f>
        <v>0</v>
      </c>
      <c r="K25" s="751">
        <f>'JKP-3.1c - Rev Actual Rates'!R989-(D25+SUM(E25:J25))</f>
        <v>28069.365072376328</v>
      </c>
      <c r="L25" s="751">
        <f>'JKP-3.1c - Rev Rates GRC09'!R978-'JKP-3.1c - Rev Actual Rates'!R989</f>
        <v>39035.608259999892</v>
      </c>
      <c r="M25" s="751">
        <f>'JKP-3.1c - Rev Rates PGA Nov10'!R978-'JKP-3.1c - Rev Rates GRC09'!R978</f>
        <v>0</v>
      </c>
      <c r="N25" s="751">
        <f>'JKP-3.1c - Rev Rates GTI10'!R978-'JKP-3.1c - Rev Rates PGA Nov10'!R978</f>
        <v>16967.159999999683</v>
      </c>
      <c r="O25" s="751"/>
      <c r="P25" s="752">
        <v>0</v>
      </c>
      <c r="Q25" s="752">
        <v>0</v>
      </c>
      <c r="R25" s="751">
        <f>'JKP-3.1c - Norm Rev Rates GTI10'!R978-'JKP-3.1c - Rev Rates GTI10'!R978-P25</f>
        <v>8880.4138899999671</v>
      </c>
      <c r="S25" s="751">
        <v>0</v>
      </c>
      <c r="T25" s="753"/>
      <c r="U25" s="753">
        <f t="shared" si="0"/>
        <v>24790.000572376186</v>
      </c>
      <c r="V25" s="751">
        <f>'JKP-3.1c - PF RevRAF GRC11'!F685</f>
        <v>1658615.8571499998</v>
      </c>
      <c r="W25" s="754"/>
      <c r="X25" s="752"/>
      <c r="Y25" s="756">
        <f>'JKP-3.1c - PF RevRAF GRC11'!F667</f>
        <v>0</v>
      </c>
      <c r="Z25" s="752">
        <f>'JKP-3.1c - PF RevRAF GRC11'!F631</f>
        <v>0</v>
      </c>
      <c r="AA25" s="755">
        <f t="shared" si="1"/>
        <v>1658615.8571499998</v>
      </c>
      <c r="AC25" s="752"/>
      <c r="AD25" s="748">
        <f>V25-(U25+D25)</f>
        <v>0</v>
      </c>
      <c r="AE25" s="412">
        <f t="shared" si="2"/>
        <v>2.9103830456733704E-10</v>
      </c>
      <c r="AF25" s="491">
        <f>V25-Y25-AA25</f>
        <v>0</v>
      </c>
    </row>
    <row r="26" spans="2:32" x14ac:dyDescent="0.2">
      <c r="B26" s="32">
        <f t="shared" si="3"/>
        <v>15</v>
      </c>
      <c r="C26" s="343" t="s">
        <v>845</v>
      </c>
      <c r="D26" s="339">
        <f t="shared" ref="D26:V26" si="4">SUM(D12:D25)</f>
        <v>996817577.51000023</v>
      </c>
      <c r="E26" s="339">
        <f t="shared" si="4"/>
        <v>-43372051.579999998</v>
      </c>
      <c r="F26" s="339">
        <f t="shared" si="4"/>
        <v>-1206882.625</v>
      </c>
      <c r="G26" s="339">
        <f t="shared" si="4"/>
        <v>-15438475.322029999</v>
      </c>
      <c r="H26" s="339">
        <f t="shared" si="4"/>
        <v>-3488170.7346030003</v>
      </c>
      <c r="I26" s="339">
        <f>SUM(I12:I25)</f>
        <v>3430012.8529400015</v>
      </c>
      <c r="J26" s="339">
        <f t="shared" si="4"/>
        <v>61289792.627116062</v>
      </c>
      <c r="K26" s="339">
        <f t="shared" si="4"/>
        <v>10634442.391596869</v>
      </c>
      <c r="L26" s="339">
        <f>SUM(L12:L25)</f>
        <v>3273298.9931300431</v>
      </c>
      <c r="M26" s="339">
        <f t="shared" si="4"/>
        <v>-21345994.175970029</v>
      </c>
      <c r="N26" s="339">
        <f t="shared" si="4"/>
        <v>18001388.606509957</v>
      </c>
      <c r="O26" s="339">
        <f>SUM(O12:O25)</f>
        <v>-388488.48</v>
      </c>
      <c r="P26" s="339">
        <f>SUM(P12:P25)</f>
        <v>-1035101.1621047809</v>
      </c>
      <c r="Q26" s="339">
        <f>SUM(Q12:Q25)</f>
        <v>-415904.39575929753</v>
      </c>
      <c r="R26" s="339">
        <f t="shared" si="4"/>
        <v>33261442.293983929</v>
      </c>
      <c r="S26" s="339">
        <f t="shared" si="4"/>
        <v>405346.65329000005</v>
      </c>
      <c r="T26" s="339">
        <f t="shared" si="4"/>
        <v>0</v>
      </c>
      <c r="U26" s="365">
        <f t="shared" si="4"/>
        <v>43604655.943099879</v>
      </c>
      <c r="V26" s="339">
        <f t="shared" si="4"/>
        <v>1040422233.4531</v>
      </c>
      <c r="W26" s="757"/>
      <c r="X26" s="417"/>
      <c r="Y26" s="339">
        <f>SUM(Y12:Y25)</f>
        <v>628515102.77643001</v>
      </c>
      <c r="Z26" s="344">
        <f>SUM(Z12:Z25)</f>
        <v>600935094.17895007</v>
      </c>
      <c r="AA26" s="365">
        <f>SUM(AA12:AA25)</f>
        <v>411907130.67667001</v>
      </c>
      <c r="AC26" s="417"/>
      <c r="AD26" s="748">
        <f>V26-(U26+D26)</f>
        <v>0</v>
      </c>
      <c r="AE26" s="412">
        <f t="shared" si="2"/>
        <v>1.2665987014770508E-7</v>
      </c>
      <c r="AF26" s="491">
        <f>V26-Y26-AA26</f>
        <v>0</v>
      </c>
    </row>
    <row r="27" spans="2:32" x14ac:dyDescent="0.2">
      <c r="C27" s="343"/>
      <c r="D27" s="418"/>
      <c r="E27" s="364"/>
      <c r="F27" s="364"/>
      <c r="G27" s="364"/>
      <c r="H27" s="364"/>
      <c r="I27" s="364"/>
      <c r="J27" s="364"/>
      <c r="K27" s="418"/>
      <c r="L27" s="418"/>
      <c r="M27" s="364"/>
      <c r="N27" s="364"/>
      <c r="O27" s="364"/>
      <c r="P27" s="418"/>
      <c r="Q27" s="418"/>
      <c r="R27" s="364"/>
      <c r="S27" s="364"/>
      <c r="T27" s="418"/>
      <c r="U27" s="364"/>
      <c r="V27" s="364"/>
      <c r="W27" s="758"/>
      <c r="X27" s="364"/>
      <c r="Y27" s="364"/>
      <c r="Z27" s="364"/>
      <c r="AA27" s="364"/>
      <c r="AB27" s="364"/>
      <c r="AC27" s="364"/>
      <c r="AD27" s="405"/>
      <c r="AE27" s="412">
        <f t="shared" si="2"/>
        <v>0</v>
      </c>
      <c r="AF27" s="759"/>
    </row>
    <row r="28" spans="2:32" x14ac:dyDescent="0.2">
      <c r="B28" s="32">
        <f>B26+1</f>
        <v>16</v>
      </c>
      <c r="C28" s="343" t="s">
        <v>90</v>
      </c>
      <c r="D28" s="749">
        <v>8029154.1999999993</v>
      </c>
      <c r="E28" s="442">
        <v>-389945.3</v>
      </c>
      <c r="F28" s="336"/>
      <c r="K28" s="751">
        <f>'JKP-3.1c - RentalActualRates'!R96-(D28+SUM(E28:J28))</f>
        <v>66948.070000001229</v>
      </c>
      <c r="L28" s="751">
        <f>'JKP-3.1c - Rentals Rates GRC09'!R96-'JKP-3.1c - RentalActualRates'!R96</f>
        <v>51274.660000000149</v>
      </c>
      <c r="M28" s="447"/>
      <c r="N28" s="447">
        <f>'JKP-3.1c - Rentals Rates GTI10'!R96-'JKP-3.1c - Rentals Rates GRC09'!R96</f>
        <v>381349.90999999829</v>
      </c>
      <c r="O28" s="447"/>
      <c r="R28" s="336"/>
      <c r="U28" s="753">
        <f>V28-D28</f>
        <v>109627.33999999985</v>
      </c>
      <c r="V28" s="447">
        <f>'JKP-3.1c - Rentals Rates GTI10'!R96</f>
        <v>8138781.5399999991</v>
      </c>
      <c r="W28" s="760"/>
      <c r="X28" s="340"/>
      <c r="Y28" s="340"/>
      <c r="Z28" s="340"/>
      <c r="AA28" s="340"/>
      <c r="AB28" s="340"/>
      <c r="AC28" s="340"/>
      <c r="AD28" s="748">
        <f>V28-(U28+D28)</f>
        <v>0</v>
      </c>
      <c r="AE28" s="412">
        <f t="shared" si="2"/>
        <v>1.7462298274040222E-10</v>
      </c>
      <c r="AF28" s="407"/>
    </row>
    <row r="29" spans="2:32" x14ac:dyDescent="0.2">
      <c r="B29" s="32">
        <f>B28+1</f>
        <v>17</v>
      </c>
      <c r="C29" s="343" t="s">
        <v>1376</v>
      </c>
      <c r="D29" s="749">
        <v>6683784.5399999991</v>
      </c>
      <c r="E29" s="337"/>
      <c r="F29" s="364">
        <f>-F26</f>
        <v>1206882.625</v>
      </c>
      <c r="K29" s="750"/>
      <c r="L29" s="750"/>
      <c r="M29" s="336"/>
      <c r="N29" s="336"/>
      <c r="O29" s="336"/>
      <c r="P29" s="749"/>
      <c r="Q29" s="749"/>
      <c r="T29" s="749">
        <v>-1130625</v>
      </c>
      <c r="U29" s="753">
        <f>V29-D29</f>
        <v>76257.625</v>
      </c>
      <c r="V29" s="341">
        <f>SUM(D29:T29)</f>
        <v>6760042.1649999991</v>
      </c>
      <c r="W29" s="758"/>
      <c r="X29" s="417"/>
      <c r="Y29" s="417"/>
      <c r="Z29" s="417"/>
      <c r="AA29" s="417"/>
      <c r="AB29" s="417"/>
      <c r="AC29" s="417"/>
      <c r="AD29" s="748">
        <f>V29-(U29+D29)</f>
        <v>0</v>
      </c>
      <c r="AE29" s="412">
        <f t="shared" si="2"/>
        <v>0</v>
      </c>
      <c r="AF29" s="407"/>
    </row>
    <row r="30" spans="2:32" x14ac:dyDescent="0.2">
      <c r="B30" s="32">
        <f>B29+1</f>
        <v>18</v>
      </c>
      <c r="C30" s="343" t="s">
        <v>1377</v>
      </c>
      <c r="D30" s="344">
        <f t="shared" ref="D30:R30" si="5">SUM(D28:D29)</f>
        <v>14712938.739999998</v>
      </c>
      <c r="E30" s="344">
        <f t="shared" si="5"/>
        <v>-389945.3</v>
      </c>
      <c r="F30" s="344">
        <f t="shared" si="5"/>
        <v>1206882.625</v>
      </c>
      <c r="G30" s="344">
        <f t="shared" si="5"/>
        <v>0</v>
      </c>
      <c r="H30" s="344">
        <f t="shared" si="5"/>
        <v>0</v>
      </c>
      <c r="I30" s="344">
        <f t="shared" si="5"/>
        <v>0</v>
      </c>
      <c r="J30" s="344">
        <f t="shared" si="5"/>
        <v>0</v>
      </c>
      <c r="K30" s="344">
        <f t="shared" si="5"/>
        <v>66948.070000001229</v>
      </c>
      <c r="L30" s="344">
        <f t="shared" si="5"/>
        <v>51274.660000000149</v>
      </c>
      <c r="M30" s="344">
        <f t="shared" si="5"/>
        <v>0</v>
      </c>
      <c r="N30" s="344">
        <f t="shared" si="5"/>
        <v>381349.90999999829</v>
      </c>
      <c r="O30" s="344">
        <f t="shared" si="5"/>
        <v>0</v>
      </c>
      <c r="P30" s="344">
        <f>SUM(P28:P29)</f>
        <v>0</v>
      </c>
      <c r="Q30" s="344">
        <f>SUM(Q28:Q29)</f>
        <v>0</v>
      </c>
      <c r="R30" s="344">
        <f t="shared" si="5"/>
        <v>0</v>
      </c>
      <c r="S30" s="344">
        <f>SUM(S28:S29)</f>
        <v>0</v>
      </c>
      <c r="T30" s="344">
        <f>SUM(T28:T29)</f>
        <v>-1130625</v>
      </c>
      <c r="U30" s="344">
        <f>SUM(U28:U29)</f>
        <v>185884.96499999985</v>
      </c>
      <c r="V30" s="344">
        <f>SUM(V28:V29)</f>
        <v>14898823.704999998</v>
      </c>
      <c r="W30" s="761"/>
      <c r="X30" s="417"/>
      <c r="Y30" s="417"/>
      <c r="Z30" s="417"/>
      <c r="AA30" s="417"/>
      <c r="AB30" s="417"/>
      <c r="AC30" s="417"/>
      <c r="AD30" s="748">
        <f>V30-(U30+D30)</f>
        <v>0</v>
      </c>
      <c r="AE30" s="412">
        <f t="shared" si="2"/>
        <v>2.3283064365386963E-10</v>
      </c>
      <c r="AF30" s="407"/>
    </row>
    <row r="31" spans="2:32" x14ac:dyDescent="0.2">
      <c r="B31" s="32">
        <f>B30+1</f>
        <v>19</v>
      </c>
      <c r="C31" s="343" t="s">
        <v>1378</v>
      </c>
      <c r="D31" s="339">
        <f t="shared" ref="D31:V31" si="6">D26+D30</f>
        <v>1011530516.2500002</v>
      </c>
      <c r="E31" s="339">
        <f t="shared" si="6"/>
        <v>-43761996.879999995</v>
      </c>
      <c r="F31" s="339">
        <f t="shared" si="6"/>
        <v>0</v>
      </c>
      <c r="G31" s="339">
        <f t="shared" si="6"/>
        <v>-15438475.322029999</v>
      </c>
      <c r="H31" s="339">
        <f t="shared" si="6"/>
        <v>-3488170.7346030003</v>
      </c>
      <c r="I31" s="339">
        <f t="shared" si="6"/>
        <v>3430012.8529400015</v>
      </c>
      <c r="J31" s="339">
        <f t="shared" si="6"/>
        <v>61289792.627116062</v>
      </c>
      <c r="K31" s="339">
        <f t="shared" si="6"/>
        <v>10701390.461596869</v>
      </c>
      <c r="L31" s="339">
        <f t="shared" si="6"/>
        <v>3324573.6531300433</v>
      </c>
      <c r="M31" s="339">
        <f t="shared" si="6"/>
        <v>-21345994.175970029</v>
      </c>
      <c r="N31" s="339">
        <f t="shared" si="6"/>
        <v>18382738.516509958</v>
      </c>
      <c r="O31" s="339">
        <f t="shared" si="6"/>
        <v>-388488.48</v>
      </c>
      <c r="P31" s="344">
        <f>P26+P30</f>
        <v>-1035101.1621047809</v>
      </c>
      <c r="Q31" s="344">
        <f>Q26+Q30</f>
        <v>-415904.39575929753</v>
      </c>
      <c r="R31" s="339">
        <f t="shared" si="6"/>
        <v>33261442.293983929</v>
      </c>
      <c r="S31" s="339">
        <f t="shared" si="6"/>
        <v>405346.65329000005</v>
      </c>
      <c r="T31" s="344">
        <f t="shared" si="6"/>
        <v>-1130625</v>
      </c>
      <c r="U31" s="344">
        <f t="shared" si="6"/>
        <v>43790540.908099875</v>
      </c>
      <c r="V31" s="344">
        <f t="shared" si="6"/>
        <v>1055321057.1581</v>
      </c>
      <c r="W31" s="757"/>
      <c r="X31" s="417"/>
      <c r="Y31" s="417"/>
      <c r="Z31" s="417"/>
      <c r="AA31" s="417"/>
      <c r="AB31" s="417"/>
      <c r="AC31" s="417"/>
      <c r="AD31" s="748">
        <f>V31-(U31+D31)</f>
        <v>0</v>
      </c>
      <c r="AE31" s="412">
        <f t="shared" si="2"/>
        <v>1.1920928955078125E-7</v>
      </c>
      <c r="AF31" s="407"/>
    </row>
    <row r="32" spans="2:32" x14ac:dyDescent="0.2">
      <c r="C32" s="343"/>
      <c r="D32" s="340"/>
      <c r="E32" s="417"/>
      <c r="F32" s="417"/>
      <c r="G32" s="417"/>
      <c r="H32" s="417"/>
      <c r="I32" s="417"/>
      <c r="J32" s="417"/>
      <c r="K32" s="340"/>
      <c r="L32" s="340"/>
      <c r="P32" s="340"/>
      <c r="Q32" s="340"/>
      <c r="R32" s="417"/>
      <c r="S32" s="417"/>
      <c r="T32" s="340"/>
      <c r="U32" s="417"/>
      <c r="V32" s="417"/>
      <c r="W32" s="758"/>
      <c r="X32" s="417"/>
      <c r="Y32" s="417"/>
      <c r="Z32" s="417"/>
      <c r="AA32" s="417"/>
      <c r="AB32" s="417"/>
      <c r="AC32" s="417"/>
      <c r="AD32" s="405"/>
      <c r="AE32" s="412">
        <f t="shared" si="2"/>
        <v>0</v>
      </c>
      <c r="AF32" s="762"/>
    </row>
    <row r="33" spans="2:32" ht="13.5" thickBot="1" x14ac:dyDescent="0.25">
      <c r="B33" s="32">
        <f>B31+1</f>
        <v>20</v>
      </c>
      <c r="C33" s="343" t="s">
        <v>1379</v>
      </c>
      <c r="D33" s="763">
        <v>594574954.27000034</v>
      </c>
      <c r="E33" s="417"/>
      <c r="F33" s="417"/>
      <c r="G33" s="417"/>
      <c r="H33" s="417"/>
      <c r="I33" s="417"/>
      <c r="J33" s="417"/>
      <c r="K33" s="745">
        <f>'JKP-3.1c - Rev Actual Rates'!R938-(D33+SUM(E33:J33))</f>
        <v>6264490.2048597336</v>
      </c>
      <c r="L33" s="745">
        <f>'JKP-3.1c - Rev Rates GRC09'!R927-'JKP-3.1c - Rev Actual Rates'!R938</f>
        <v>0</v>
      </c>
      <c r="M33" s="745">
        <f>'JKP-3.1c - Rev Rates PGA Nov10'!R927-'JKP-3.1c - Rev Rates GRC09'!R927</f>
        <v>-20443597.337499976</v>
      </c>
      <c r="N33" s="745">
        <f>'JKP-3.1c - Rev Rates GTI10'!R927-'JKP-3.1c - Rev Rates PGA Nov10'!R927</f>
        <v>0</v>
      </c>
      <c r="O33" s="745">
        <v>0</v>
      </c>
      <c r="P33" s="745">
        <f>'JKP-3.1c - 41T 86T Migrat Adj'!F17</f>
        <v>-991036.41113688773</v>
      </c>
      <c r="Q33" s="745">
        <f>'JKP-3.1c - 41 Min Migration Adj'!F17</f>
        <v>-39558.555377651472</v>
      </c>
      <c r="R33" s="745">
        <f>'JKP-3.1c - Norm Rev Rates GTI10'!R927-'JKP-3.1c - Rev Rates GTI10'!R927-P33-Q33</f>
        <v>21569842.008104395</v>
      </c>
      <c r="S33" s="745">
        <f>'JKP-3.1c - PF RevRAF GRC11'!F615-'JKP-3.1c - Norm Rev Rates GTI10'!R927</f>
        <v>0</v>
      </c>
      <c r="T33" s="745"/>
      <c r="U33" s="340">
        <f>V33-D33</f>
        <v>6360139.9089497328</v>
      </c>
      <c r="V33" s="676">
        <f>Z26</f>
        <v>600935094.17895007</v>
      </c>
      <c r="W33" s="761"/>
      <c r="X33" s="713"/>
      <c r="Y33" s="713"/>
      <c r="Z33" s="713"/>
      <c r="AA33" s="713"/>
      <c r="AB33" s="713"/>
      <c r="AC33" s="713"/>
      <c r="AD33" s="764">
        <f>V33-(U33+D33)</f>
        <v>0</v>
      </c>
      <c r="AE33" s="410">
        <f t="shared" si="2"/>
        <v>1.1920928955078125E-7</v>
      </c>
      <c r="AF33" s="765"/>
    </row>
    <row r="34" spans="2:32" x14ac:dyDescent="0.2">
      <c r="B34" s="32">
        <f>B33+1</f>
        <v>21</v>
      </c>
      <c r="C34" s="343" t="s">
        <v>1380</v>
      </c>
      <c r="D34" s="676"/>
      <c r="E34" s="417" t="s">
        <v>119</v>
      </c>
      <c r="F34" s="417"/>
      <c r="G34" s="417"/>
      <c r="H34" s="417"/>
      <c r="I34" s="417"/>
      <c r="J34" s="417"/>
      <c r="K34" s="340"/>
      <c r="L34" s="340"/>
      <c r="M34" s="364"/>
      <c r="N34" s="340"/>
      <c r="O34" s="340"/>
      <c r="P34" s="340"/>
      <c r="Q34" s="340"/>
      <c r="R34" s="417"/>
      <c r="S34" s="417"/>
      <c r="T34" s="340"/>
      <c r="U34" s="340"/>
      <c r="V34" s="676">
        <f>Y26</f>
        <v>628515102.77643001</v>
      </c>
      <c r="W34" s="761"/>
      <c r="X34" s="713"/>
      <c r="Y34" s="713"/>
      <c r="Z34" s="713"/>
      <c r="AA34" s="713"/>
      <c r="AB34" s="713"/>
      <c r="AC34" s="713"/>
      <c r="AE34" s="179"/>
      <c r="AF34" s="336"/>
    </row>
    <row r="35" spans="2:32" x14ac:dyDescent="0.2">
      <c r="C35" s="343"/>
      <c r="D35" s="340"/>
      <c r="E35" s="417"/>
      <c r="F35" s="417"/>
      <c r="G35" s="417"/>
      <c r="H35" s="417"/>
      <c r="I35" s="417"/>
      <c r="J35" s="417"/>
      <c r="K35" s="340"/>
      <c r="L35" s="340"/>
      <c r="M35" s="340"/>
      <c r="N35" s="340"/>
      <c r="O35" s="340"/>
      <c r="P35" s="340"/>
      <c r="Q35" s="340"/>
      <c r="R35" s="340"/>
      <c r="S35" s="417"/>
      <c r="T35" s="340"/>
      <c r="U35" s="417"/>
      <c r="V35" s="417"/>
      <c r="W35" s="417"/>
      <c r="X35" s="417"/>
      <c r="Y35" s="417"/>
      <c r="Z35" s="766"/>
      <c r="AA35" s="417"/>
      <c r="AB35" s="417"/>
      <c r="AC35" s="417"/>
    </row>
    <row r="36" spans="2:32" x14ac:dyDescent="0.2">
      <c r="D36" s="767"/>
      <c r="E36" s="768"/>
      <c r="F36" s="364"/>
      <c r="G36" s="364"/>
      <c r="H36" s="364"/>
      <c r="I36" s="364"/>
      <c r="J36" s="364"/>
      <c r="K36" s="418"/>
      <c r="L36" s="418"/>
      <c r="M36" s="364"/>
      <c r="N36" s="364"/>
      <c r="O36" s="364"/>
      <c r="P36" s="418"/>
      <c r="Q36" s="418"/>
      <c r="R36" s="364"/>
      <c r="S36" s="364"/>
      <c r="T36" s="418"/>
      <c r="U36" s="364"/>
      <c r="V36" s="768"/>
      <c r="W36" s="768"/>
      <c r="X36" s="769"/>
      <c r="Y36" s="769"/>
      <c r="Z36" s="769"/>
      <c r="AA36" s="769"/>
      <c r="AB36" s="769"/>
      <c r="AC36" s="769"/>
      <c r="AD36" s="770"/>
    </row>
    <row r="37" spans="2:32" ht="37.5" customHeight="1" x14ac:dyDescent="0.2">
      <c r="B37" s="771" t="s">
        <v>360</v>
      </c>
      <c r="C37" s="772" t="s">
        <v>1381</v>
      </c>
      <c r="V37" s="364"/>
      <c r="AA37" s="417"/>
    </row>
    <row r="38" spans="2:32" x14ac:dyDescent="0.2">
      <c r="B38" s="771" t="s">
        <v>362</v>
      </c>
      <c r="C38" s="773" t="s">
        <v>1382</v>
      </c>
      <c r="V38" s="364"/>
      <c r="AA38" s="417"/>
    </row>
    <row r="39" spans="2:32" x14ac:dyDescent="0.2">
      <c r="B39" s="771" t="s">
        <v>1383</v>
      </c>
      <c r="C39" s="774" t="s">
        <v>1384</v>
      </c>
      <c r="E39" s="336"/>
      <c r="F39" s="336"/>
      <c r="G39" s="336"/>
    </row>
    <row r="40" spans="2:32" x14ac:dyDescent="0.2">
      <c r="B40" s="771" t="s">
        <v>1385</v>
      </c>
      <c r="C40" s="773" t="s">
        <v>1386</v>
      </c>
      <c r="E40" s="336"/>
      <c r="F40" s="336"/>
      <c r="G40" s="336"/>
    </row>
    <row r="41" spans="2:32" ht="25.5" customHeight="1" x14ac:dyDescent="0.2">
      <c r="B41" s="771" t="s">
        <v>1387</v>
      </c>
      <c r="C41" s="774" t="s">
        <v>1388</v>
      </c>
    </row>
    <row r="42" spans="2:32" x14ac:dyDescent="0.2">
      <c r="M42" s="364"/>
      <c r="N42" s="364"/>
      <c r="O42" s="364"/>
    </row>
    <row r="43" spans="2:32" x14ac:dyDescent="0.2">
      <c r="M43" s="775"/>
      <c r="U43" s="364"/>
      <c r="V43" s="364"/>
      <c r="Y43" s="417"/>
      <c r="Z43" s="417"/>
    </row>
    <row r="45" spans="2:32" ht="13.5" thickBot="1" x14ac:dyDescent="0.25"/>
    <row r="46" spans="2:32" x14ac:dyDescent="0.2">
      <c r="C46" s="401" t="s">
        <v>131</v>
      </c>
      <c r="D46" s="776">
        <f>SUM(D12:D25)-D26</f>
        <v>0</v>
      </c>
      <c r="E46" s="776">
        <f>SUM(E12:E25)-E26</f>
        <v>0</v>
      </c>
      <c r="F46" s="776">
        <f>SUM(F12:F25)-F26</f>
        <v>0</v>
      </c>
      <c r="G46" s="776">
        <f>SUM(G12:G25)-G26</f>
        <v>0</v>
      </c>
      <c r="H46" s="776">
        <f>SUM(H12:H25)-H26</f>
        <v>0</v>
      </c>
      <c r="I46" s="776"/>
      <c r="J46" s="776">
        <f>SUM(J12:J25)-J26</f>
        <v>0</v>
      </c>
      <c r="K46" s="777">
        <f>SUM(K12:K25)-K26</f>
        <v>0</v>
      </c>
      <c r="L46" s="777"/>
      <c r="M46" s="776">
        <f>SUM(M12:M25)-M26</f>
        <v>0</v>
      </c>
      <c r="N46" s="776"/>
      <c r="O46" s="776"/>
      <c r="P46" s="777"/>
      <c r="Q46" s="777"/>
      <c r="R46" s="776">
        <f>SUM(R12:R25)-R26</f>
        <v>0</v>
      </c>
      <c r="S46" s="776">
        <f>SUM(S12:S25)-S26</f>
        <v>0</v>
      </c>
      <c r="T46" s="777"/>
      <c r="U46" s="776">
        <f>SUM(U12:U25)-U26</f>
        <v>0</v>
      </c>
      <c r="V46" s="778">
        <f>SUM(V12:V25)-V26</f>
        <v>0</v>
      </c>
      <c r="W46" s="412"/>
    </row>
    <row r="47" spans="2:32" x14ac:dyDescent="0.2">
      <c r="C47" s="405" t="s">
        <v>131</v>
      </c>
      <c r="D47" s="417">
        <f>SUM(D12:D25,D28:D29)-D31</f>
        <v>0</v>
      </c>
      <c r="E47" s="417">
        <f>Y26-'JKP-3.1c - PF RevRAF GRC11'!F668</f>
        <v>0</v>
      </c>
      <c r="F47" s="417">
        <f>SUM(Z12:Z25)-Z26</f>
        <v>0</v>
      </c>
      <c r="G47" s="417">
        <f>AA26-'JKP-3.1c - PF RevRAF GRC11'!F650</f>
        <v>0</v>
      </c>
      <c r="H47" s="417">
        <f t="shared" ref="H47:S47" si="7">SUM(H12:H25,H28:H29)-H31</f>
        <v>0</v>
      </c>
      <c r="I47" s="417"/>
      <c r="J47" s="417">
        <f t="shared" si="7"/>
        <v>0</v>
      </c>
      <c r="K47" s="417">
        <f t="shared" si="7"/>
        <v>0</v>
      </c>
      <c r="L47" s="417"/>
      <c r="M47" s="417">
        <f t="shared" si="7"/>
        <v>0</v>
      </c>
      <c r="N47" s="417"/>
      <c r="O47" s="417"/>
      <c r="P47" s="340"/>
      <c r="Q47" s="340"/>
      <c r="R47" s="417">
        <f t="shared" si="7"/>
        <v>0</v>
      </c>
      <c r="S47" s="417">
        <f t="shared" si="7"/>
        <v>0</v>
      </c>
      <c r="T47" s="340"/>
      <c r="U47" s="417">
        <f>SUM(U12:U25,U28:U29)-U31</f>
        <v>0</v>
      </c>
      <c r="V47" s="511">
        <f>SUM(V12:V25,V28:V29)-V31</f>
        <v>0</v>
      </c>
      <c r="W47" s="390"/>
    </row>
    <row r="48" spans="2:32" ht="13.5" thickBot="1" x14ac:dyDescent="0.25">
      <c r="C48" s="408" t="s">
        <v>1389</v>
      </c>
      <c r="D48" s="512"/>
      <c r="E48" s="409"/>
      <c r="F48" s="779"/>
      <c r="G48" s="409"/>
      <c r="H48" s="409"/>
      <c r="I48" s="409"/>
      <c r="J48" s="409"/>
      <c r="K48" s="512"/>
      <c r="L48" s="512"/>
      <c r="M48" s="409"/>
      <c r="N48" s="409"/>
      <c r="O48" s="409"/>
      <c r="P48" s="512"/>
      <c r="Q48" s="512"/>
      <c r="R48" s="409"/>
      <c r="S48" s="409"/>
      <c r="T48" s="512"/>
      <c r="U48" s="409"/>
      <c r="V48" s="780">
        <f>V34/V33</f>
        <v>1.0458951538437977</v>
      </c>
      <c r="W48" s="781"/>
    </row>
  </sheetData>
  <mergeCells count="1">
    <mergeCell ref="Y6:AA6"/>
  </mergeCells>
  <pageMargins left="0.7" right="0.7" top="0.75" bottom="0.75" header="0.3" footer="0.3"/>
  <pageSetup fitToWidth="2" orientation="portrait" r:id="rId1"/>
  <colBreaks count="1" manualBreakCount="1">
    <brk id="15" max="40"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P301"/>
  <sheetViews>
    <sheetView workbookViewId="0">
      <selection activeCell="C35" sqref="C35"/>
    </sheetView>
  </sheetViews>
  <sheetFormatPr defaultRowHeight="12.75" x14ac:dyDescent="0.2"/>
  <cols>
    <col min="1" max="1" width="2.42578125" style="390" customWidth="1"/>
    <col min="2" max="2" width="4.42578125" style="390" customWidth="1"/>
    <col min="3" max="3" width="41.7109375" style="390" bestFit="1" customWidth="1"/>
    <col min="4" max="4" width="14.85546875" style="390" bestFit="1" customWidth="1"/>
    <col min="5" max="7" width="13.42578125" style="390" bestFit="1" customWidth="1"/>
    <col min="8" max="9" width="13.85546875" style="390" bestFit="1" customWidth="1"/>
    <col min="10" max="10" width="14.85546875" style="390" bestFit="1" customWidth="1"/>
    <col min="11" max="11" width="3.5703125" style="390" customWidth="1"/>
    <col min="12" max="12" width="9.7109375" style="390" bestFit="1" customWidth="1"/>
    <col min="13" max="13" width="6.28515625" style="390" bestFit="1" customWidth="1"/>
    <col min="14" max="14" width="12.7109375" style="390" bestFit="1" customWidth="1"/>
    <col min="15" max="16384" width="9.140625" style="390"/>
  </cols>
  <sheetData>
    <row r="1" spans="2:16" s="32" customFormat="1" x14ac:dyDescent="0.2">
      <c r="B1" s="385" t="str">
        <f>'JKP-3.1c - Revenue'!$B$1</f>
        <v>Puget Sound Energy</v>
      </c>
      <c r="C1" s="386"/>
      <c r="D1" s="386"/>
      <c r="E1" s="386"/>
      <c r="F1" s="386"/>
      <c r="G1" s="386"/>
      <c r="H1" s="386"/>
      <c r="I1" s="386"/>
      <c r="J1" s="386"/>
    </row>
    <row r="2" spans="2:16" s="32" customFormat="1" x14ac:dyDescent="0.2">
      <c r="B2" s="385" t="str">
        <f>'JKP-3.1c - Revenue'!$B$2</f>
        <v>2011 General Rate Case - Gas</v>
      </c>
      <c r="C2" s="386"/>
      <c r="D2" s="386"/>
      <c r="E2" s="386"/>
      <c r="F2" s="386"/>
      <c r="G2" s="386"/>
      <c r="H2" s="386"/>
      <c r="I2" s="386"/>
      <c r="J2" s="386"/>
    </row>
    <row r="3" spans="2:16" s="32" customFormat="1" x14ac:dyDescent="0.2">
      <c r="B3" s="386" t="s">
        <v>1390</v>
      </c>
      <c r="C3" s="386"/>
      <c r="D3" s="386"/>
      <c r="E3" s="726"/>
      <c r="F3" s="726"/>
      <c r="G3" s="726"/>
      <c r="H3" s="386"/>
      <c r="I3" s="386"/>
      <c r="J3" s="386"/>
    </row>
    <row r="4" spans="2:16" s="32" customFormat="1" x14ac:dyDescent="0.2">
      <c r="B4" s="385" t="str">
        <f>'JKP-3.1c - Revenue'!$B$4</f>
        <v>Test Year Ended December 31, 2010</v>
      </c>
      <c r="C4" s="386"/>
      <c r="D4" s="386"/>
      <c r="E4" s="386"/>
      <c r="F4" s="386"/>
      <c r="G4" s="386"/>
      <c r="H4" s="386"/>
      <c r="I4" s="386"/>
      <c r="J4" s="386"/>
    </row>
    <row r="5" spans="2:16" s="32" customFormat="1" x14ac:dyDescent="0.2">
      <c r="C5" s="336"/>
      <c r="D5" s="711"/>
      <c r="E5" s="711"/>
      <c r="F5" s="711"/>
      <c r="G5" s="711"/>
    </row>
    <row r="6" spans="2:16" s="32" customFormat="1" x14ac:dyDescent="0.2">
      <c r="C6" s="335"/>
      <c r="D6" s="391" t="s">
        <v>76</v>
      </c>
      <c r="E6" s="730"/>
      <c r="F6" s="335" t="s">
        <v>1343</v>
      </c>
      <c r="G6" s="730" t="s">
        <v>1344</v>
      </c>
      <c r="H6" s="391" t="s">
        <v>1345</v>
      </c>
      <c r="I6" s="391"/>
      <c r="J6" s="391"/>
      <c r="K6" s="391"/>
    </row>
    <row r="7" spans="2:16" s="32" customFormat="1" ht="13.5" thickBot="1" x14ac:dyDescent="0.25">
      <c r="B7" s="391"/>
      <c r="C7" s="335"/>
      <c r="D7" s="335" t="s">
        <v>1391</v>
      </c>
      <c r="E7" s="335" t="s">
        <v>1353</v>
      </c>
      <c r="F7" s="335" t="s">
        <v>1299</v>
      </c>
      <c r="G7" s="335" t="s">
        <v>1358</v>
      </c>
      <c r="H7" s="391" t="s">
        <v>1359</v>
      </c>
      <c r="I7" s="391" t="s">
        <v>23</v>
      </c>
      <c r="J7" s="391" t="s">
        <v>77</v>
      </c>
      <c r="K7" s="391"/>
    </row>
    <row r="8" spans="2:16" s="32" customFormat="1" x14ac:dyDescent="0.2">
      <c r="B8" s="333" t="s">
        <v>95</v>
      </c>
      <c r="C8" s="333" t="s">
        <v>69</v>
      </c>
      <c r="D8" s="333" t="s">
        <v>368</v>
      </c>
      <c r="E8" s="664" t="s">
        <v>1220</v>
      </c>
      <c r="F8" s="664" t="s">
        <v>1322</v>
      </c>
      <c r="G8" s="664" t="s">
        <v>1322</v>
      </c>
      <c r="H8" s="333" t="s">
        <v>1322</v>
      </c>
      <c r="I8" s="333" t="s">
        <v>1220</v>
      </c>
      <c r="J8" s="333" t="s">
        <v>76</v>
      </c>
      <c r="K8" s="391"/>
      <c r="L8" s="782" t="s">
        <v>131</v>
      </c>
      <c r="M8" s="783" t="s">
        <v>131</v>
      </c>
    </row>
    <row r="9" spans="2:16" s="32" customFormat="1" x14ac:dyDescent="0.2">
      <c r="B9" s="391"/>
      <c r="C9" s="391" t="s">
        <v>102</v>
      </c>
      <c r="D9" s="391" t="s">
        <v>103</v>
      </c>
      <c r="E9" s="391" t="s">
        <v>104</v>
      </c>
      <c r="F9" s="391" t="s">
        <v>105</v>
      </c>
      <c r="G9" s="391" t="s">
        <v>106</v>
      </c>
      <c r="H9" s="391" t="s">
        <v>107</v>
      </c>
      <c r="I9" s="391" t="s">
        <v>108</v>
      </c>
      <c r="J9" s="391" t="s">
        <v>109</v>
      </c>
      <c r="K9" s="391"/>
      <c r="L9" s="742"/>
      <c r="M9" s="759"/>
    </row>
    <row r="10" spans="2:16" s="32" customFormat="1" x14ac:dyDescent="0.2">
      <c r="B10" s="32">
        <v>1</v>
      </c>
      <c r="C10" s="343" t="s">
        <v>89</v>
      </c>
      <c r="D10" s="784">
        <v>519526707</v>
      </c>
      <c r="E10" s="421">
        <f>SUM('JKP-3.1c - Therms Data'!Q55:Q59)+'JKP-3.1c - Weather Adj'!P9-D10</f>
        <v>7218866</v>
      </c>
      <c r="F10" s="421">
        <v>0</v>
      </c>
      <c r="G10" s="421">
        <v>0</v>
      </c>
      <c r="H10" s="397">
        <f>SUM('JKP-3.1c - Weather Adj'!P178:P179)</f>
        <v>21293690</v>
      </c>
      <c r="I10" s="279">
        <f t="shared" ref="I10:I20" si="0">SUM(E10:H10)</f>
        <v>28512556</v>
      </c>
      <c r="J10" s="397">
        <f>SUM('JKP-3.1c - Norm Rev Rates GTI10'!R840:R842)</f>
        <v>548039263</v>
      </c>
      <c r="K10" s="397"/>
      <c r="L10" s="785">
        <f>D10+I10-J10</f>
        <v>0</v>
      </c>
      <c r="M10" s="786"/>
      <c r="N10" s="279"/>
      <c r="P10" s="279"/>
    </row>
    <row r="11" spans="2:16" s="32" customFormat="1" x14ac:dyDescent="0.2">
      <c r="B11" s="32">
        <f t="shared" ref="B11:B21" si="1">B10+1</f>
        <v>2</v>
      </c>
      <c r="C11" s="346" t="s">
        <v>1038</v>
      </c>
      <c r="D11" s="784">
        <v>188479596</v>
      </c>
      <c r="E11" s="421">
        <f>'JKP-3.1c - Therms Data'!Q60+'JKP-3.1c - Therms Data'!Q69+'JKP-3.1c - Therms Data'!Q73+'JKP-3.1c - Therms Data'!Q86+'JKP-3.1c - Therms Data'!Q89-D11</f>
        <v>2000574</v>
      </c>
      <c r="F11" s="421">
        <f>'JKP-3.1c - 41T 86T Migrat Adj'!B7</f>
        <v>-435746</v>
      </c>
      <c r="G11" s="421">
        <f>'JKP-3.1c - 41 Min Migration Adj'!B7</f>
        <v>4292526</v>
      </c>
      <c r="H11" s="397">
        <f>SUM('JKP-3.1c - Weather Adj'!P180,'JKP-3.1c - Weather Adj'!P183)</f>
        <v>8050100</v>
      </c>
      <c r="I11" s="279">
        <f t="shared" si="0"/>
        <v>13907454</v>
      </c>
      <c r="J11" s="397">
        <f>'JKP-3.1c - Norm Rev Rates GTI10'!R843+'JKP-3.1c - Norm Rev Rates GTI10'!R848</f>
        <v>202387050</v>
      </c>
      <c r="K11" s="397"/>
      <c r="L11" s="785">
        <f>D11+I11-J11</f>
        <v>0</v>
      </c>
      <c r="M11" s="786"/>
      <c r="N11" s="279"/>
      <c r="P11" s="279"/>
    </row>
    <row r="12" spans="2:16" s="32" customFormat="1" x14ac:dyDescent="0.2">
      <c r="B12" s="32">
        <f t="shared" si="1"/>
        <v>3</v>
      </c>
      <c r="C12" s="343" t="s">
        <v>832</v>
      </c>
      <c r="D12" s="784">
        <v>74924329</v>
      </c>
      <c r="E12" s="421">
        <f>'JKP-3.1c - Therms Data'!Q70+'JKP-3.1c - Therms Data'!Q87-D12</f>
        <v>-1066748</v>
      </c>
      <c r="F12" s="421">
        <f>'JKP-3.1c - 41T 86T Migrat Adj'!B8</f>
        <v>-1016581</v>
      </c>
      <c r="G12" s="421">
        <f>'JKP-3.1c - 41 Min Migration Adj'!B8</f>
        <v>-4292526</v>
      </c>
      <c r="H12" s="397">
        <f>'JKP-3.1c - Weather Adj'!P181</f>
        <v>1019780</v>
      </c>
      <c r="I12" s="279">
        <f t="shared" si="0"/>
        <v>-5356075</v>
      </c>
      <c r="J12" s="397">
        <f>'JKP-3.1c - Norm Rev Rates GTI10'!R844+'JKP-3.1c - Norm Rev Rates GTI10'!R849</f>
        <v>69568257</v>
      </c>
      <c r="K12" s="397"/>
      <c r="L12" s="785">
        <f>D12+I12-J12</f>
        <v>-3</v>
      </c>
      <c r="M12" s="786"/>
      <c r="N12" s="279"/>
      <c r="P12" s="279"/>
    </row>
    <row r="13" spans="2:16" s="32" customFormat="1" x14ac:dyDescent="0.2">
      <c r="B13" s="32">
        <f t="shared" si="1"/>
        <v>4</v>
      </c>
      <c r="C13" s="343" t="s">
        <v>1184</v>
      </c>
      <c r="D13" s="784">
        <v>5931146</v>
      </c>
      <c r="E13" s="421">
        <f>'JKP-3.1c - Therms Data'!Q71+'JKP-3.1c - Therms Data'!Q88-D13</f>
        <v>145705</v>
      </c>
      <c r="F13" s="421">
        <f>'JKP-3.1c - 41T 86T Migrat Adj'!B9</f>
        <v>1737726</v>
      </c>
      <c r="G13" s="421">
        <v>0</v>
      </c>
      <c r="H13" s="397">
        <f>'JKP-3.1c - Weather Adj'!P187</f>
        <v>0</v>
      </c>
      <c r="I13" s="279">
        <f t="shared" si="0"/>
        <v>1883431</v>
      </c>
      <c r="J13" s="397">
        <f>'JKP-3.1c - Norm Rev Rates GTI10'!R856+'JKP-3.1c - Norm Rev Rates GTI10'!R859</f>
        <v>7814574</v>
      </c>
      <c r="K13" s="397"/>
      <c r="L13" s="785">
        <f t="shared" ref="L13:L19" si="2">D13+I13-J13</f>
        <v>3</v>
      </c>
      <c r="M13" s="786"/>
      <c r="N13" s="279"/>
      <c r="P13" s="279"/>
    </row>
    <row r="14" spans="2:16" s="32" customFormat="1" x14ac:dyDescent="0.2">
      <c r="B14" s="32">
        <f t="shared" si="1"/>
        <v>5</v>
      </c>
      <c r="C14" s="343" t="s">
        <v>837</v>
      </c>
      <c r="D14" s="784">
        <v>16974963</v>
      </c>
      <c r="E14" s="421">
        <f>'JKP-3.1c - Therms Data'!Q74+'JKP-3.1c - Therms Data'!Q90-D14</f>
        <v>-42054</v>
      </c>
      <c r="F14" s="421">
        <f>'JKP-3.1c - 41T 86T Migrat Adj'!B10</f>
        <v>0</v>
      </c>
      <c r="G14" s="421">
        <v>0</v>
      </c>
      <c r="H14" s="397">
        <f>'JKP-3.1c - Weather Adj'!P184</f>
        <v>351919</v>
      </c>
      <c r="I14" s="279">
        <f t="shared" si="0"/>
        <v>309865</v>
      </c>
      <c r="J14" s="397">
        <f>'JKP-3.1c - Norm Rev Rates GTI10'!R845+'JKP-3.1c - Norm Rev Rates GTI10'!R850</f>
        <v>17284828</v>
      </c>
      <c r="K14" s="397"/>
      <c r="L14" s="785">
        <f t="shared" si="2"/>
        <v>0</v>
      </c>
      <c r="M14" s="786"/>
      <c r="N14" s="279"/>
      <c r="P14" s="279"/>
    </row>
    <row r="15" spans="2:16" s="32" customFormat="1" x14ac:dyDescent="0.2">
      <c r="B15" s="32">
        <f t="shared" si="1"/>
        <v>6</v>
      </c>
      <c r="C15" s="343" t="s">
        <v>1228</v>
      </c>
      <c r="D15" s="784">
        <v>65473568</v>
      </c>
      <c r="E15" s="421">
        <f>'JKP-3.1c - Therms Data'!Q75+'JKP-3.1c - Therms Data'!Q91-D15</f>
        <v>-229981</v>
      </c>
      <c r="F15" s="421">
        <f>'JKP-3.1c - 41T 86T Migrat Adj'!B11</f>
        <v>-337703</v>
      </c>
      <c r="G15" s="421">
        <v>0</v>
      </c>
      <c r="H15" s="397">
        <f>'JKP-3.1c - Weather Adj'!P188</f>
        <v>0</v>
      </c>
      <c r="I15" s="279">
        <f t="shared" si="0"/>
        <v>-567684</v>
      </c>
      <c r="J15" s="397">
        <f>'JKP-3.1c - Norm Rev Rates GTI10'!R857+'JKP-3.1c - Norm Rev Rates GTI10'!R860</f>
        <v>64905884</v>
      </c>
      <c r="K15" s="397"/>
      <c r="L15" s="785">
        <f t="shared" si="2"/>
        <v>0</v>
      </c>
      <c r="M15" s="786"/>
      <c r="N15" s="279"/>
      <c r="P15" s="279"/>
    </row>
    <row r="16" spans="2:16" s="32" customFormat="1" x14ac:dyDescent="0.2">
      <c r="B16" s="32">
        <f t="shared" si="1"/>
        <v>7</v>
      </c>
      <c r="C16" s="343" t="s">
        <v>839</v>
      </c>
      <c r="D16" s="784">
        <v>13183080</v>
      </c>
      <c r="E16" s="421">
        <f>'JKP-3.1c - Therms Data'!Q76+'JKP-3.1c - Therms Data'!Q92-D16</f>
        <v>336293</v>
      </c>
      <c r="F16" s="421">
        <f>'JKP-3.1c - 41T 86T Migrat Adj'!B12</f>
        <v>0</v>
      </c>
      <c r="G16" s="421">
        <v>0</v>
      </c>
      <c r="H16" s="397">
        <f>'JKP-3.1c - Weather Adj'!P185</f>
        <v>370205</v>
      </c>
      <c r="I16" s="279">
        <f t="shared" si="0"/>
        <v>706498</v>
      </c>
      <c r="J16" s="397">
        <f>'JKP-3.1c - Norm Rev Rates GTI10'!R846+'JKP-3.1c - Norm Rev Rates GTI10'!R851</f>
        <v>13889578</v>
      </c>
      <c r="K16" s="397"/>
      <c r="L16" s="785">
        <f t="shared" si="2"/>
        <v>0</v>
      </c>
      <c r="M16" s="786"/>
      <c r="N16" s="279"/>
      <c r="P16" s="279"/>
    </row>
    <row r="17" spans="2:16" s="32" customFormat="1" x14ac:dyDescent="0.2">
      <c r="B17" s="32">
        <f t="shared" si="1"/>
        <v>8</v>
      </c>
      <c r="C17" s="343" t="s">
        <v>1229</v>
      </c>
      <c r="D17" s="784">
        <v>20291</v>
      </c>
      <c r="E17" s="421">
        <f>'JKP-3.1c - Therms Data'!Q93-D17</f>
        <v>188</v>
      </c>
      <c r="F17" s="421">
        <f>'JKP-3.1c - 41T 86T Migrat Adj'!B13</f>
        <v>52304</v>
      </c>
      <c r="G17" s="421">
        <v>0</v>
      </c>
      <c r="H17" s="397">
        <f>'JKP-3.1c - Weather Adj'!P189</f>
        <v>0</v>
      </c>
      <c r="I17" s="279">
        <f t="shared" si="0"/>
        <v>52492</v>
      </c>
      <c r="J17" s="397">
        <f>'JKP-3.1c - Norm Rev Rates GTI10'!R861</f>
        <v>72783</v>
      </c>
      <c r="K17" s="397"/>
      <c r="L17" s="785">
        <f t="shared" si="2"/>
        <v>0</v>
      </c>
      <c r="M17" s="786"/>
      <c r="N17" s="279"/>
      <c r="P17" s="279"/>
    </row>
    <row r="18" spans="2:16" s="32" customFormat="1" x14ac:dyDescent="0.2">
      <c r="B18" s="32">
        <f t="shared" si="1"/>
        <v>9</v>
      </c>
      <c r="C18" s="343" t="s">
        <v>841</v>
      </c>
      <c r="D18" s="784">
        <v>28714555</v>
      </c>
      <c r="E18" s="421">
        <f>'JKP-3.1c - Therms Data'!Q77+'JKP-3.1c - Therms Data'!Q94-D18</f>
        <v>806015</v>
      </c>
      <c r="F18" s="421">
        <f>'JKP-3.1c - 41T 86T Migrat Adj'!B14</f>
        <v>0</v>
      </c>
      <c r="G18" s="421">
        <v>0</v>
      </c>
      <c r="H18" s="397">
        <f>'JKP-3.1c - Weather Adj'!P186</f>
        <v>515085</v>
      </c>
      <c r="I18" s="279">
        <f t="shared" si="0"/>
        <v>1321100</v>
      </c>
      <c r="J18" s="397">
        <f>'JKP-3.1c - Norm Rev Rates GTI10'!R847+'JKP-3.1c - Norm Rev Rates GTI10'!R852</f>
        <v>30035655</v>
      </c>
      <c r="K18" s="397"/>
      <c r="L18" s="785">
        <f t="shared" si="2"/>
        <v>0</v>
      </c>
      <c r="M18" s="786"/>
      <c r="N18" s="279"/>
      <c r="P18" s="279"/>
    </row>
    <row r="19" spans="2:16" s="32" customFormat="1" x14ac:dyDescent="0.2">
      <c r="B19" s="32">
        <f t="shared" si="1"/>
        <v>10</v>
      </c>
      <c r="C19" s="343" t="s">
        <v>1230</v>
      </c>
      <c r="D19" s="784">
        <v>98899896</v>
      </c>
      <c r="E19" s="421">
        <f>'JKP-3.1c - Therms Data'!Q78+'JKP-3.1c - Therms Data'!Q95-D19</f>
        <v>124915</v>
      </c>
      <c r="F19" s="421">
        <f>'JKP-3.1c - 41T 86T Migrat Adj'!B15</f>
        <v>0</v>
      </c>
      <c r="G19" s="421">
        <v>0</v>
      </c>
      <c r="H19" s="397">
        <f>'JKP-3.1c - Weather Adj'!P190</f>
        <v>553764</v>
      </c>
      <c r="I19" s="279">
        <f t="shared" si="0"/>
        <v>678679</v>
      </c>
      <c r="J19" s="397">
        <f>'JKP-3.1c - Norm Rev Rates GTI10'!R858+'JKP-3.1c - Norm Rev Rates GTI10'!R862</f>
        <v>99578575</v>
      </c>
      <c r="K19" s="397"/>
      <c r="L19" s="785">
        <f t="shared" si="2"/>
        <v>0</v>
      </c>
      <c r="M19" s="786"/>
      <c r="N19" s="279"/>
      <c r="P19" s="279"/>
    </row>
    <row r="20" spans="2:16" s="32" customFormat="1" x14ac:dyDescent="0.2">
      <c r="B20" s="32">
        <f t="shared" si="1"/>
        <v>11</v>
      </c>
      <c r="C20" s="343" t="s">
        <v>844</v>
      </c>
      <c r="D20" s="784">
        <v>35190502</v>
      </c>
      <c r="E20" s="421">
        <f>'JKP-3.1c - Therms Data'!Q96-D20</f>
        <v>18137</v>
      </c>
      <c r="F20" s="421">
        <f>'JKP-3.1c - 41T 86T Migrat Adj'!B16</f>
        <v>0</v>
      </c>
      <c r="G20" s="421">
        <v>0</v>
      </c>
      <c r="H20" s="397">
        <f>'JKP-3.1c - Weather Adj'!P191</f>
        <v>771539</v>
      </c>
      <c r="I20" s="279">
        <f t="shared" si="0"/>
        <v>789676</v>
      </c>
      <c r="J20" s="397">
        <f>'JKP-3.1c - Norm Rev Rates GTI10'!R863</f>
        <v>35980178</v>
      </c>
      <c r="K20" s="397"/>
      <c r="L20" s="785">
        <f>D20+I20-J20</f>
        <v>0</v>
      </c>
      <c r="M20" s="786"/>
      <c r="N20" s="279"/>
      <c r="P20" s="279"/>
    </row>
    <row r="21" spans="2:16" s="32" customFormat="1" ht="13.5" thickBot="1" x14ac:dyDescent="0.25">
      <c r="B21" s="32">
        <f t="shared" si="1"/>
        <v>12</v>
      </c>
      <c r="C21" s="343" t="s">
        <v>1286</v>
      </c>
      <c r="D21" s="644">
        <f t="shared" ref="D21:J21" si="3">SUM(D10:D20)</f>
        <v>1047318633</v>
      </c>
      <c r="E21" s="357">
        <f t="shared" si="3"/>
        <v>9311910</v>
      </c>
      <c r="F21" s="357">
        <f t="shared" si="3"/>
        <v>0</v>
      </c>
      <c r="G21" s="357">
        <f>SUM(G10:G20)</f>
        <v>0</v>
      </c>
      <c r="H21" s="357">
        <f t="shared" si="3"/>
        <v>32926082</v>
      </c>
      <c r="I21" s="357">
        <f t="shared" si="3"/>
        <v>42237992</v>
      </c>
      <c r="J21" s="357">
        <f t="shared" si="3"/>
        <v>1089556625</v>
      </c>
      <c r="K21" s="424"/>
      <c r="L21" s="658">
        <f>D21+I21-J21</f>
        <v>0</v>
      </c>
      <c r="M21" s="660">
        <f>J21-'JKP-3.1c - Weather Adj'!P244</f>
        <v>0</v>
      </c>
      <c r="N21" s="390"/>
      <c r="P21" s="279"/>
    </row>
    <row r="22" spans="2:16" s="32" customFormat="1" x14ac:dyDescent="0.2">
      <c r="J22" s="279"/>
    </row>
    <row r="23" spans="2:16" s="32" customFormat="1" x14ac:dyDescent="0.2">
      <c r="B23" s="336"/>
      <c r="C23" s="336"/>
      <c r="E23" s="279"/>
      <c r="F23" s="279"/>
      <c r="G23" s="279"/>
      <c r="I23" s="279"/>
      <c r="J23" s="279"/>
    </row>
    <row r="24" spans="2:16" x14ac:dyDescent="0.2">
      <c r="B24" s="336"/>
      <c r="C24" s="415"/>
      <c r="E24" s="424"/>
      <c r="F24" s="424"/>
      <c r="G24" s="424"/>
      <c r="J24" s="424"/>
    </row>
    <row r="25" spans="2:16" x14ac:dyDescent="0.2">
      <c r="B25" s="415"/>
      <c r="C25" s="415"/>
      <c r="E25" s="424"/>
      <c r="F25" s="424"/>
      <c r="G25" s="424"/>
      <c r="H25" s="424"/>
      <c r="J25" s="424"/>
    </row>
    <row r="26" spans="2:16" x14ac:dyDescent="0.2">
      <c r="B26" s="415"/>
      <c r="C26" s="348"/>
      <c r="E26" s="424"/>
      <c r="F26" s="424"/>
      <c r="G26" s="424"/>
      <c r="J26" s="424"/>
    </row>
    <row r="27" spans="2:16" x14ac:dyDescent="0.2">
      <c r="C27" s="346"/>
      <c r="I27" s="32"/>
      <c r="J27" s="32"/>
      <c r="K27" s="32"/>
      <c r="L27" s="32"/>
    </row>
    <row r="28" spans="2:16" x14ac:dyDescent="0.2">
      <c r="D28" s="348"/>
      <c r="I28" s="32"/>
      <c r="J28" s="32"/>
      <c r="K28" s="32"/>
      <c r="L28" s="32"/>
    </row>
    <row r="29" spans="2:16" x14ac:dyDescent="0.2">
      <c r="D29" s="348"/>
      <c r="H29" s="429"/>
      <c r="I29" s="32"/>
      <c r="J29" s="32"/>
      <c r="K29" s="32"/>
      <c r="L29" s="32"/>
    </row>
    <row r="30" spans="2:16" x14ac:dyDescent="0.2">
      <c r="D30" s="348"/>
      <c r="H30" s="429"/>
      <c r="I30" s="32"/>
      <c r="J30" s="32"/>
      <c r="K30" s="32"/>
      <c r="L30" s="32"/>
    </row>
    <row r="31" spans="2:16" x14ac:dyDescent="0.2">
      <c r="D31" s="348"/>
      <c r="H31" s="429"/>
      <c r="I31" s="32"/>
      <c r="J31" s="32"/>
      <c r="K31" s="32"/>
      <c r="L31" s="32"/>
    </row>
    <row r="32" spans="2:16" x14ac:dyDescent="0.2">
      <c r="D32" s="348"/>
      <c r="H32" s="429"/>
      <c r="I32" s="32"/>
      <c r="J32" s="32"/>
      <c r="K32" s="32"/>
      <c r="L32" s="32"/>
    </row>
    <row r="33" spans="4:13" x14ac:dyDescent="0.2">
      <c r="D33" s="348"/>
      <c r="H33" s="429"/>
      <c r="I33" s="32"/>
      <c r="J33" s="32"/>
      <c r="K33" s="32"/>
      <c r="L33" s="32"/>
    </row>
    <row r="34" spans="4:13" x14ac:dyDescent="0.2">
      <c r="D34" s="348"/>
      <c r="H34" s="429"/>
      <c r="I34" s="32"/>
      <c r="J34" s="32"/>
      <c r="K34" s="32"/>
      <c r="L34" s="32"/>
    </row>
    <row r="35" spans="4:13" x14ac:dyDescent="0.2">
      <c r="D35" s="348"/>
      <c r="H35" s="429"/>
      <c r="I35" s="32"/>
      <c r="J35" s="32"/>
      <c r="K35" s="32"/>
      <c r="L35" s="32"/>
    </row>
    <row r="36" spans="4:13" x14ac:dyDescent="0.2">
      <c r="H36" s="429"/>
      <c r="I36" s="32"/>
      <c r="J36" s="32"/>
      <c r="K36" s="32"/>
      <c r="L36" s="32"/>
    </row>
    <row r="37" spans="4:13" x14ac:dyDescent="0.2">
      <c r="H37" s="429"/>
      <c r="I37" s="32"/>
      <c r="J37" s="32"/>
      <c r="K37" s="32"/>
      <c r="L37" s="32"/>
    </row>
    <row r="38" spans="4:13" x14ac:dyDescent="0.2">
      <c r="H38" s="429"/>
      <c r="I38" s="32"/>
      <c r="J38" s="32"/>
      <c r="K38" s="32"/>
      <c r="L38" s="32"/>
    </row>
    <row r="39" spans="4:13" x14ac:dyDescent="0.2">
      <c r="H39" s="429"/>
      <c r="I39" s="32"/>
      <c r="J39" s="32"/>
      <c r="K39" s="32"/>
      <c r="L39" s="32"/>
    </row>
    <row r="40" spans="4:13" x14ac:dyDescent="0.2">
      <c r="H40" s="429"/>
      <c r="I40" s="32"/>
      <c r="J40" s="32"/>
      <c r="K40" s="32"/>
      <c r="L40" s="32"/>
    </row>
    <row r="41" spans="4:13" x14ac:dyDescent="0.2">
      <c r="H41" s="429"/>
      <c r="I41" s="32"/>
      <c r="J41" s="32"/>
      <c r="K41" s="32"/>
      <c r="L41" s="32"/>
      <c r="M41" s="415"/>
    </row>
    <row r="42" spans="4:13" x14ac:dyDescent="0.2">
      <c r="H42" s="429"/>
      <c r="I42" s="32"/>
      <c r="J42" s="32"/>
      <c r="K42" s="32"/>
      <c r="L42" s="32"/>
      <c r="M42" s="415"/>
    </row>
    <row r="43" spans="4:13" x14ac:dyDescent="0.2">
      <c r="H43" s="429"/>
      <c r="I43" s="32"/>
      <c r="J43" s="32"/>
      <c r="K43" s="32"/>
      <c r="L43" s="32"/>
      <c r="M43" s="415"/>
    </row>
    <row r="44" spans="4:13" x14ac:dyDescent="0.2">
      <c r="I44" s="415"/>
      <c r="J44" s="506"/>
      <c r="K44" s="415"/>
      <c r="L44" s="415"/>
      <c r="M44" s="415"/>
    </row>
    <row r="45" spans="4:13" x14ac:dyDescent="0.2">
      <c r="I45" s="415"/>
      <c r="J45" s="506"/>
      <c r="K45" s="415"/>
      <c r="L45" s="415"/>
      <c r="M45" s="415"/>
    </row>
    <row r="46" spans="4:13" x14ac:dyDescent="0.2">
      <c r="I46" s="415"/>
      <c r="J46" s="506"/>
      <c r="K46" s="415"/>
      <c r="L46" s="415"/>
      <c r="M46" s="415"/>
    </row>
    <row r="47" spans="4:13" x14ac:dyDescent="0.2">
      <c r="I47" s="415"/>
      <c r="J47" s="787"/>
      <c r="K47" s="415"/>
      <c r="L47" s="415"/>
      <c r="M47" s="415"/>
    </row>
    <row r="48" spans="4:13" x14ac:dyDescent="0.2">
      <c r="I48" s="415"/>
      <c r="J48" s="787"/>
      <c r="K48" s="415"/>
      <c r="L48" s="415"/>
      <c r="M48" s="415"/>
    </row>
    <row r="49" spans="9:13" x14ac:dyDescent="0.2">
      <c r="I49" s="415"/>
      <c r="J49" s="506"/>
      <c r="K49" s="415"/>
      <c r="L49" s="415"/>
      <c r="M49" s="415"/>
    </row>
    <row r="50" spans="9:13" x14ac:dyDescent="0.2">
      <c r="I50" s="415"/>
      <c r="J50" s="506"/>
      <c r="K50" s="415"/>
      <c r="L50" s="415"/>
      <c r="M50" s="415"/>
    </row>
    <row r="51" spans="9:13" x14ac:dyDescent="0.2">
      <c r="I51" s="415"/>
      <c r="J51" s="787"/>
      <c r="K51" s="415"/>
      <c r="L51" s="415"/>
      <c r="M51" s="415"/>
    </row>
    <row r="52" spans="9:13" x14ac:dyDescent="0.2">
      <c r="I52" s="415"/>
      <c r="J52" s="506"/>
      <c r="K52" s="415"/>
      <c r="L52" s="415"/>
      <c r="M52" s="415"/>
    </row>
    <row r="53" spans="9:13" x14ac:dyDescent="0.2">
      <c r="I53" s="415"/>
      <c r="J53" s="506"/>
      <c r="K53" s="415"/>
      <c r="L53" s="415"/>
      <c r="M53" s="415"/>
    </row>
    <row r="54" spans="9:13" x14ac:dyDescent="0.2">
      <c r="I54" s="415"/>
      <c r="J54" s="506"/>
      <c r="K54" s="415"/>
      <c r="L54" s="415"/>
      <c r="M54" s="415"/>
    </row>
    <row r="55" spans="9:13" x14ac:dyDescent="0.2">
      <c r="I55" s="415"/>
      <c r="J55" s="506"/>
      <c r="K55" s="415"/>
      <c r="L55" s="415"/>
      <c r="M55" s="415"/>
    </row>
    <row r="56" spans="9:13" x14ac:dyDescent="0.2">
      <c r="I56" s="415"/>
      <c r="J56" s="506"/>
      <c r="K56" s="415"/>
      <c r="L56" s="415"/>
      <c r="M56" s="415"/>
    </row>
    <row r="57" spans="9:13" x14ac:dyDescent="0.2">
      <c r="I57" s="415"/>
      <c r="J57" s="787"/>
      <c r="K57" s="415"/>
      <c r="L57" s="415"/>
      <c r="M57" s="415"/>
    </row>
    <row r="58" spans="9:13" x14ac:dyDescent="0.2">
      <c r="I58" s="415"/>
      <c r="J58" s="787"/>
      <c r="K58" s="415"/>
      <c r="L58" s="415"/>
      <c r="M58" s="415"/>
    </row>
    <row r="59" spans="9:13" x14ac:dyDescent="0.2">
      <c r="I59" s="415"/>
      <c r="J59" s="787"/>
      <c r="K59" s="415"/>
      <c r="L59" s="415"/>
      <c r="M59" s="415"/>
    </row>
    <row r="60" spans="9:13" x14ac:dyDescent="0.2">
      <c r="I60" s="415"/>
      <c r="J60" s="787"/>
      <c r="K60" s="415"/>
      <c r="L60" s="415"/>
      <c r="M60" s="415"/>
    </row>
    <row r="61" spans="9:13" x14ac:dyDescent="0.2">
      <c r="I61" s="415"/>
      <c r="J61" s="787"/>
      <c r="K61" s="415"/>
      <c r="L61" s="415"/>
      <c r="M61" s="415"/>
    </row>
    <row r="62" spans="9:13" x14ac:dyDescent="0.2">
      <c r="I62" s="415"/>
      <c r="J62" s="787"/>
      <c r="K62" s="415"/>
      <c r="L62" s="415"/>
      <c r="M62" s="415"/>
    </row>
    <row r="63" spans="9:13" x14ac:dyDescent="0.2">
      <c r="I63" s="415"/>
      <c r="J63" s="787"/>
      <c r="K63" s="415"/>
      <c r="L63" s="415"/>
      <c r="M63" s="415"/>
    </row>
    <row r="64" spans="9:13" x14ac:dyDescent="0.2">
      <c r="I64" s="415"/>
      <c r="J64" s="506"/>
      <c r="K64" s="415"/>
      <c r="L64" s="415"/>
      <c r="M64" s="415"/>
    </row>
    <row r="65" spans="9:13" x14ac:dyDescent="0.2">
      <c r="I65" s="415"/>
      <c r="J65" s="787"/>
      <c r="K65" s="415"/>
      <c r="L65" s="415"/>
      <c r="M65" s="415"/>
    </row>
    <row r="66" spans="9:13" x14ac:dyDescent="0.2">
      <c r="I66" s="415"/>
      <c r="J66" s="787"/>
      <c r="K66" s="415"/>
      <c r="L66" s="415"/>
      <c r="M66" s="415"/>
    </row>
    <row r="67" spans="9:13" x14ac:dyDescent="0.2">
      <c r="I67" s="415"/>
      <c r="J67" s="787"/>
      <c r="K67" s="415"/>
      <c r="L67" s="415"/>
      <c r="M67" s="415"/>
    </row>
    <row r="68" spans="9:13" x14ac:dyDescent="0.2">
      <c r="I68" s="415"/>
      <c r="J68" s="787"/>
      <c r="K68" s="415"/>
      <c r="L68" s="415"/>
      <c r="M68" s="415"/>
    </row>
    <row r="69" spans="9:13" x14ac:dyDescent="0.2">
      <c r="I69" s="415"/>
      <c r="J69" s="506"/>
      <c r="K69" s="415"/>
      <c r="L69" s="415"/>
      <c r="M69" s="415"/>
    </row>
    <row r="70" spans="9:13" x14ac:dyDescent="0.2">
      <c r="I70" s="415"/>
      <c r="J70" s="506"/>
      <c r="K70" s="415"/>
      <c r="L70" s="415"/>
      <c r="M70" s="415"/>
    </row>
    <row r="71" spans="9:13" x14ac:dyDescent="0.2">
      <c r="I71" s="415"/>
      <c r="J71" s="506"/>
      <c r="K71" s="415"/>
      <c r="L71" s="415"/>
      <c r="M71" s="415"/>
    </row>
    <row r="72" spans="9:13" x14ac:dyDescent="0.2">
      <c r="I72" s="415"/>
      <c r="J72" s="506"/>
      <c r="K72" s="415"/>
      <c r="L72" s="415"/>
      <c r="M72" s="415"/>
    </row>
    <row r="73" spans="9:13" x14ac:dyDescent="0.2">
      <c r="I73" s="415"/>
      <c r="J73" s="506"/>
      <c r="K73" s="415"/>
      <c r="L73" s="415"/>
      <c r="M73" s="415"/>
    </row>
    <row r="74" spans="9:13" x14ac:dyDescent="0.2">
      <c r="I74" s="415"/>
      <c r="J74" s="506"/>
      <c r="K74" s="415"/>
      <c r="L74" s="415"/>
      <c r="M74" s="415"/>
    </row>
    <row r="75" spans="9:13" x14ac:dyDescent="0.2">
      <c r="I75" s="415"/>
      <c r="J75" s="506"/>
      <c r="K75" s="415"/>
      <c r="L75" s="415"/>
      <c r="M75" s="415"/>
    </row>
    <row r="76" spans="9:13" x14ac:dyDescent="0.2">
      <c r="I76" s="415"/>
      <c r="J76" s="787"/>
      <c r="K76" s="415"/>
      <c r="L76" s="415"/>
      <c r="M76" s="415"/>
    </row>
    <row r="77" spans="9:13" x14ac:dyDescent="0.2">
      <c r="I77" s="415"/>
      <c r="J77" s="787"/>
      <c r="K77" s="415"/>
      <c r="L77" s="415"/>
      <c r="M77" s="415"/>
    </row>
    <row r="78" spans="9:13" x14ac:dyDescent="0.2">
      <c r="I78" s="415"/>
      <c r="J78" s="787"/>
      <c r="K78" s="415"/>
      <c r="L78" s="415"/>
      <c r="M78" s="415"/>
    </row>
    <row r="79" spans="9:13" x14ac:dyDescent="0.2">
      <c r="I79" s="415"/>
      <c r="J79" s="506"/>
      <c r="K79" s="415"/>
      <c r="L79" s="415"/>
      <c r="M79" s="415"/>
    </row>
    <row r="80" spans="9:13" x14ac:dyDescent="0.2">
      <c r="I80" s="415"/>
      <c r="J80" s="787"/>
      <c r="K80" s="415"/>
      <c r="L80" s="415"/>
      <c r="M80" s="415"/>
    </row>
    <row r="81" spans="9:13" x14ac:dyDescent="0.2">
      <c r="I81" s="415"/>
      <c r="J81" s="787"/>
      <c r="K81" s="415"/>
      <c r="L81" s="415"/>
      <c r="M81" s="415"/>
    </row>
    <row r="82" spans="9:13" x14ac:dyDescent="0.2">
      <c r="I82" s="415"/>
      <c r="J82" s="787"/>
      <c r="K82" s="415"/>
      <c r="L82" s="415"/>
      <c r="M82" s="415"/>
    </row>
    <row r="83" spans="9:13" x14ac:dyDescent="0.2">
      <c r="I83" s="415"/>
      <c r="J83" s="787"/>
      <c r="K83" s="415"/>
      <c r="L83" s="415"/>
      <c r="M83" s="415"/>
    </row>
    <row r="84" spans="9:13" x14ac:dyDescent="0.2">
      <c r="I84" s="415"/>
      <c r="J84" s="787"/>
      <c r="K84" s="415"/>
      <c r="L84" s="415"/>
      <c r="M84" s="415"/>
    </row>
    <row r="85" spans="9:13" x14ac:dyDescent="0.2">
      <c r="I85" s="415"/>
      <c r="J85" s="506"/>
      <c r="K85" s="415"/>
      <c r="L85" s="415"/>
      <c r="M85" s="415"/>
    </row>
    <row r="86" spans="9:13" x14ac:dyDescent="0.2">
      <c r="I86" s="415"/>
      <c r="J86" s="506"/>
      <c r="K86" s="415"/>
      <c r="L86" s="415"/>
      <c r="M86" s="415"/>
    </row>
    <row r="87" spans="9:13" x14ac:dyDescent="0.2">
      <c r="I87" s="415"/>
      <c r="J87" s="506"/>
      <c r="K87" s="415"/>
      <c r="L87" s="415"/>
      <c r="M87" s="415"/>
    </row>
    <row r="88" spans="9:13" x14ac:dyDescent="0.2">
      <c r="I88" s="415"/>
      <c r="J88" s="506"/>
      <c r="K88" s="415"/>
      <c r="L88" s="415"/>
      <c r="M88" s="415"/>
    </row>
    <row r="89" spans="9:13" x14ac:dyDescent="0.2">
      <c r="I89" s="415"/>
      <c r="J89" s="506"/>
      <c r="K89" s="415"/>
      <c r="L89" s="415"/>
      <c r="M89" s="415"/>
    </row>
    <row r="90" spans="9:13" x14ac:dyDescent="0.2">
      <c r="I90" s="415"/>
      <c r="J90" s="506"/>
      <c r="K90" s="415"/>
      <c r="L90" s="415"/>
      <c r="M90" s="415"/>
    </row>
    <row r="91" spans="9:13" x14ac:dyDescent="0.2">
      <c r="I91" s="415"/>
      <c r="J91" s="506"/>
      <c r="K91" s="415"/>
      <c r="L91" s="415"/>
      <c r="M91" s="415"/>
    </row>
    <row r="92" spans="9:13" x14ac:dyDescent="0.2">
      <c r="I92" s="415"/>
      <c r="J92" s="415"/>
      <c r="K92" s="415"/>
      <c r="L92" s="415"/>
      <c r="M92" s="415"/>
    </row>
    <row r="93" spans="9:13" x14ac:dyDescent="0.2">
      <c r="I93" s="415"/>
      <c r="J93" s="506"/>
      <c r="K93" s="415"/>
      <c r="L93" s="415"/>
      <c r="M93" s="415"/>
    </row>
    <row r="94" spans="9:13" x14ac:dyDescent="0.2">
      <c r="I94" s="415"/>
      <c r="J94" s="415"/>
      <c r="K94" s="415"/>
      <c r="L94" s="415"/>
      <c r="M94" s="415"/>
    </row>
    <row r="95" spans="9:13" x14ac:dyDescent="0.2">
      <c r="I95" s="415"/>
      <c r="J95" s="415"/>
      <c r="K95" s="415"/>
      <c r="L95" s="415"/>
      <c r="M95" s="415"/>
    </row>
    <row r="96" spans="9:13" x14ac:dyDescent="0.2">
      <c r="I96" s="415"/>
      <c r="J96" s="415"/>
      <c r="K96" s="415"/>
      <c r="L96" s="415"/>
      <c r="M96" s="415"/>
    </row>
    <row r="97" spans="9:13" x14ac:dyDescent="0.2">
      <c r="I97" s="415"/>
      <c r="J97" s="415"/>
      <c r="K97" s="415"/>
      <c r="L97" s="415"/>
      <c r="M97" s="415"/>
    </row>
    <row r="98" spans="9:13" x14ac:dyDescent="0.2">
      <c r="I98" s="415"/>
      <c r="J98" s="415"/>
      <c r="K98" s="415"/>
      <c r="L98" s="415"/>
      <c r="M98" s="415"/>
    </row>
    <row r="99" spans="9:13" x14ac:dyDescent="0.2">
      <c r="I99" s="415"/>
      <c r="J99" s="415"/>
      <c r="K99" s="415"/>
      <c r="L99" s="415"/>
      <c r="M99" s="415"/>
    </row>
    <row r="100" spans="9:13" x14ac:dyDescent="0.2">
      <c r="I100" s="415"/>
      <c r="J100" s="415"/>
      <c r="K100" s="415"/>
      <c r="L100" s="415"/>
      <c r="M100" s="415"/>
    </row>
    <row r="101" spans="9:13" x14ac:dyDescent="0.2">
      <c r="I101" s="415"/>
      <c r="J101" s="415"/>
      <c r="K101" s="415"/>
      <c r="L101" s="415"/>
      <c r="M101" s="415"/>
    </row>
    <row r="102" spans="9:13" x14ac:dyDescent="0.2">
      <c r="I102" s="415"/>
      <c r="J102" s="415"/>
      <c r="K102" s="415"/>
      <c r="L102" s="415"/>
      <c r="M102" s="415"/>
    </row>
    <row r="103" spans="9:13" x14ac:dyDescent="0.2">
      <c r="I103" s="415"/>
      <c r="J103" s="415"/>
      <c r="K103" s="415"/>
      <c r="L103" s="415"/>
      <c r="M103" s="415"/>
    </row>
    <row r="104" spans="9:13" x14ac:dyDescent="0.2">
      <c r="I104" s="415"/>
      <c r="J104" s="415"/>
      <c r="K104" s="415"/>
      <c r="L104" s="415"/>
      <c r="M104" s="415"/>
    </row>
    <row r="105" spans="9:13" x14ac:dyDescent="0.2">
      <c r="I105" s="415"/>
      <c r="J105" s="415"/>
      <c r="K105" s="415"/>
      <c r="L105" s="415"/>
      <c r="M105" s="415"/>
    </row>
    <row r="106" spans="9:13" x14ac:dyDescent="0.2">
      <c r="I106" s="415"/>
      <c r="J106" s="415"/>
      <c r="K106" s="415"/>
      <c r="L106" s="415"/>
      <c r="M106" s="415"/>
    </row>
    <row r="107" spans="9:13" x14ac:dyDescent="0.2">
      <c r="I107" s="415"/>
      <c r="J107" s="415"/>
      <c r="K107" s="415"/>
      <c r="L107" s="415"/>
      <c r="M107" s="415"/>
    </row>
    <row r="108" spans="9:13" x14ac:dyDescent="0.2">
      <c r="I108" s="415"/>
      <c r="J108" s="415"/>
      <c r="K108" s="415"/>
      <c r="L108" s="415"/>
      <c r="M108" s="415"/>
    </row>
    <row r="109" spans="9:13" x14ac:dyDescent="0.2">
      <c r="I109" s="415"/>
      <c r="J109" s="415"/>
      <c r="K109" s="415"/>
      <c r="L109" s="415"/>
      <c r="M109" s="415"/>
    </row>
    <row r="110" spans="9:13" x14ac:dyDescent="0.2">
      <c r="I110" s="415"/>
      <c r="J110" s="415"/>
      <c r="K110" s="415"/>
      <c r="L110" s="415"/>
      <c r="M110" s="415"/>
    </row>
    <row r="111" spans="9:13" x14ac:dyDescent="0.2">
      <c r="I111" s="415"/>
      <c r="J111" s="415"/>
      <c r="K111" s="415"/>
      <c r="L111" s="415"/>
      <c r="M111" s="415"/>
    </row>
    <row r="112" spans="9:13" x14ac:dyDescent="0.2">
      <c r="I112" s="415"/>
      <c r="J112" s="415"/>
      <c r="K112" s="415"/>
      <c r="L112" s="415"/>
      <c r="M112" s="415"/>
    </row>
    <row r="113" spans="9:13" x14ac:dyDescent="0.2">
      <c r="I113" s="415"/>
      <c r="J113" s="415"/>
      <c r="K113" s="415"/>
      <c r="L113" s="415"/>
      <c r="M113" s="415"/>
    </row>
    <row r="114" spans="9:13" x14ac:dyDescent="0.2">
      <c r="I114" s="415"/>
      <c r="J114" s="415"/>
      <c r="K114" s="415"/>
      <c r="L114" s="415"/>
      <c r="M114" s="415"/>
    </row>
    <row r="115" spans="9:13" x14ac:dyDescent="0.2">
      <c r="I115" s="415"/>
      <c r="J115" s="415"/>
      <c r="K115" s="415"/>
      <c r="L115" s="415"/>
      <c r="M115" s="415"/>
    </row>
    <row r="116" spans="9:13" x14ac:dyDescent="0.2">
      <c r="I116" s="415"/>
      <c r="J116" s="415"/>
      <c r="K116" s="415"/>
      <c r="L116" s="415"/>
      <c r="M116" s="415"/>
    </row>
    <row r="117" spans="9:13" x14ac:dyDescent="0.2">
      <c r="I117" s="415"/>
      <c r="J117" s="415"/>
      <c r="K117" s="415"/>
      <c r="L117" s="415"/>
      <c r="M117" s="415"/>
    </row>
    <row r="118" spans="9:13" x14ac:dyDescent="0.2">
      <c r="I118" s="415"/>
      <c r="J118" s="415"/>
      <c r="K118" s="415"/>
      <c r="L118" s="415"/>
      <c r="M118" s="415"/>
    </row>
    <row r="119" spans="9:13" x14ac:dyDescent="0.2">
      <c r="I119" s="415"/>
      <c r="J119" s="415"/>
      <c r="K119" s="415"/>
      <c r="L119" s="415"/>
      <c r="M119" s="415"/>
    </row>
    <row r="120" spans="9:13" x14ac:dyDescent="0.2">
      <c r="I120" s="415"/>
      <c r="J120" s="415"/>
      <c r="K120" s="415"/>
      <c r="L120" s="415"/>
      <c r="M120" s="415"/>
    </row>
    <row r="121" spans="9:13" x14ac:dyDescent="0.2">
      <c r="I121" s="415"/>
      <c r="J121" s="415"/>
      <c r="K121" s="415"/>
      <c r="L121" s="415"/>
      <c r="M121" s="415"/>
    </row>
    <row r="122" spans="9:13" x14ac:dyDescent="0.2">
      <c r="I122" s="415"/>
      <c r="J122" s="415"/>
      <c r="K122" s="415"/>
      <c r="L122" s="415"/>
      <c r="M122" s="415"/>
    </row>
    <row r="123" spans="9:13" x14ac:dyDescent="0.2">
      <c r="I123" s="415"/>
      <c r="J123" s="415"/>
      <c r="K123" s="415"/>
      <c r="L123" s="415"/>
      <c r="M123" s="415"/>
    </row>
    <row r="124" spans="9:13" x14ac:dyDescent="0.2">
      <c r="I124" s="415"/>
      <c r="J124" s="415"/>
      <c r="K124" s="415"/>
      <c r="L124" s="415"/>
      <c r="M124" s="415"/>
    </row>
    <row r="125" spans="9:13" x14ac:dyDescent="0.2">
      <c r="I125" s="415"/>
      <c r="J125" s="415"/>
      <c r="K125" s="415"/>
      <c r="L125" s="415"/>
      <c r="M125" s="415"/>
    </row>
    <row r="126" spans="9:13" x14ac:dyDescent="0.2">
      <c r="I126" s="415"/>
      <c r="J126" s="415"/>
      <c r="K126" s="415"/>
      <c r="L126" s="415"/>
      <c r="M126" s="415"/>
    </row>
    <row r="127" spans="9:13" x14ac:dyDescent="0.2">
      <c r="I127" s="415"/>
      <c r="J127" s="415"/>
      <c r="K127" s="415"/>
      <c r="L127" s="415"/>
      <c r="M127" s="415"/>
    </row>
    <row r="128" spans="9:13" x14ac:dyDescent="0.2">
      <c r="I128" s="415"/>
      <c r="J128" s="415"/>
      <c r="K128" s="415"/>
      <c r="L128" s="415"/>
      <c r="M128" s="415"/>
    </row>
    <row r="129" spans="9:13" x14ac:dyDescent="0.2">
      <c r="I129" s="415"/>
      <c r="J129" s="415"/>
      <c r="K129" s="415"/>
      <c r="L129" s="415"/>
      <c r="M129" s="415"/>
    </row>
    <row r="130" spans="9:13" x14ac:dyDescent="0.2">
      <c r="I130" s="415"/>
      <c r="J130" s="415"/>
      <c r="K130" s="415"/>
      <c r="L130" s="415"/>
      <c r="M130" s="415"/>
    </row>
    <row r="131" spans="9:13" x14ac:dyDescent="0.2">
      <c r="I131" s="415"/>
      <c r="J131" s="415"/>
      <c r="K131" s="415"/>
      <c r="L131" s="415"/>
      <c r="M131" s="415"/>
    </row>
    <row r="132" spans="9:13" x14ac:dyDescent="0.2">
      <c r="I132" s="415"/>
      <c r="J132" s="415"/>
      <c r="K132" s="415"/>
      <c r="L132" s="415"/>
      <c r="M132" s="415"/>
    </row>
    <row r="133" spans="9:13" x14ac:dyDescent="0.2">
      <c r="I133" s="415"/>
      <c r="J133" s="415"/>
      <c r="K133" s="415"/>
      <c r="L133" s="415"/>
      <c r="M133" s="415"/>
    </row>
    <row r="134" spans="9:13" x14ac:dyDescent="0.2">
      <c r="I134" s="415"/>
      <c r="J134" s="415"/>
      <c r="K134" s="415"/>
      <c r="L134" s="415"/>
      <c r="M134" s="415"/>
    </row>
    <row r="135" spans="9:13" x14ac:dyDescent="0.2">
      <c r="I135" s="415"/>
      <c r="J135" s="415"/>
      <c r="K135" s="415"/>
      <c r="L135" s="415"/>
      <c r="M135" s="415"/>
    </row>
    <row r="136" spans="9:13" x14ac:dyDescent="0.2">
      <c r="I136" s="415"/>
      <c r="J136" s="415"/>
      <c r="K136" s="415"/>
      <c r="L136" s="415"/>
      <c r="M136" s="415"/>
    </row>
    <row r="137" spans="9:13" x14ac:dyDescent="0.2">
      <c r="I137" s="415"/>
      <c r="J137" s="415"/>
      <c r="K137" s="415"/>
      <c r="L137" s="415"/>
      <c r="M137" s="415"/>
    </row>
    <row r="138" spans="9:13" x14ac:dyDescent="0.2">
      <c r="I138" s="415"/>
      <c r="J138" s="415"/>
      <c r="K138" s="415"/>
      <c r="L138" s="415"/>
      <c r="M138" s="415"/>
    </row>
    <row r="139" spans="9:13" x14ac:dyDescent="0.2">
      <c r="I139" s="415"/>
      <c r="J139" s="415"/>
      <c r="K139" s="415"/>
      <c r="L139" s="415"/>
      <c r="M139" s="415"/>
    </row>
    <row r="140" spans="9:13" x14ac:dyDescent="0.2">
      <c r="I140" s="415"/>
      <c r="J140" s="415"/>
      <c r="K140" s="415"/>
      <c r="L140" s="415"/>
      <c r="M140" s="415"/>
    </row>
    <row r="141" spans="9:13" x14ac:dyDescent="0.2">
      <c r="I141" s="415"/>
      <c r="J141" s="415"/>
      <c r="K141" s="415"/>
      <c r="L141" s="415"/>
      <c r="M141" s="415"/>
    </row>
    <row r="142" spans="9:13" x14ac:dyDescent="0.2">
      <c r="I142" s="415"/>
      <c r="J142" s="415"/>
      <c r="K142" s="415"/>
      <c r="L142" s="415"/>
      <c r="M142" s="415"/>
    </row>
    <row r="143" spans="9:13" x14ac:dyDescent="0.2">
      <c r="I143" s="415"/>
      <c r="J143" s="415"/>
      <c r="K143" s="415"/>
      <c r="L143" s="415"/>
      <c r="M143" s="415"/>
    </row>
    <row r="144" spans="9:13" x14ac:dyDescent="0.2">
      <c r="I144" s="415"/>
      <c r="J144" s="415"/>
      <c r="K144" s="415"/>
      <c r="L144" s="415"/>
      <c r="M144" s="415"/>
    </row>
    <row r="145" spans="9:13" x14ac:dyDescent="0.2">
      <c r="I145" s="415"/>
      <c r="J145" s="415"/>
      <c r="K145" s="415"/>
      <c r="L145" s="415"/>
      <c r="M145" s="415"/>
    </row>
    <row r="146" spans="9:13" x14ac:dyDescent="0.2">
      <c r="I146" s="415"/>
      <c r="J146" s="415"/>
      <c r="K146" s="415"/>
      <c r="L146" s="415"/>
      <c r="M146" s="415"/>
    </row>
    <row r="147" spans="9:13" x14ac:dyDescent="0.2">
      <c r="I147" s="415"/>
      <c r="J147" s="415"/>
      <c r="K147" s="415"/>
      <c r="L147" s="415"/>
      <c r="M147" s="415"/>
    </row>
    <row r="148" spans="9:13" x14ac:dyDescent="0.2">
      <c r="I148" s="415"/>
      <c r="J148" s="415"/>
      <c r="K148" s="415"/>
      <c r="L148" s="415"/>
      <c r="M148" s="415"/>
    </row>
    <row r="149" spans="9:13" x14ac:dyDescent="0.2">
      <c r="I149" s="415"/>
      <c r="J149" s="415"/>
      <c r="K149" s="415"/>
      <c r="L149" s="415"/>
      <c r="M149" s="415"/>
    </row>
    <row r="150" spans="9:13" x14ac:dyDescent="0.2">
      <c r="I150" s="415"/>
      <c r="J150" s="415"/>
      <c r="K150" s="415"/>
      <c r="L150" s="415"/>
      <c r="M150" s="415"/>
    </row>
    <row r="151" spans="9:13" x14ac:dyDescent="0.2">
      <c r="I151" s="415"/>
      <c r="J151" s="415"/>
      <c r="K151" s="415"/>
      <c r="L151" s="415"/>
      <c r="M151" s="415"/>
    </row>
    <row r="152" spans="9:13" x14ac:dyDescent="0.2">
      <c r="I152" s="415"/>
      <c r="J152" s="415"/>
      <c r="K152" s="415"/>
      <c r="L152" s="415"/>
      <c r="M152" s="415"/>
    </row>
    <row r="153" spans="9:13" x14ac:dyDescent="0.2">
      <c r="I153" s="415"/>
      <c r="J153" s="415"/>
      <c r="K153" s="415"/>
      <c r="L153" s="415"/>
      <c r="M153" s="415"/>
    </row>
    <row r="154" spans="9:13" x14ac:dyDescent="0.2">
      <c r="I154" s="415"/>
      <c r="J154" s="415"/>
      <c r="K154" s="415"/>
      <c r="L154" s="415"/>
      <c r="M154" s="415"/>
    </row>
    <row r="155" spans="9:13" x14ac:dyDescent="0.2">
      <c r="I155" s="415"/>
      <c r="J155" s="415"/>
      <c r="K155" s="415"/>
      <c r="L155" s="415"/>
      <c r="M155" s="415"/>
    </row>
    <row r="156" spans="9:13" x14ac:dyDescent="0.2">
      <c r="I156" s="415"/>
      <c r="J156" s="415"/>
      <c r="K156" s="415"/>
      <c r="L156" s="415"/>
      <c r="M156" s="415"/>
    </row>
    <row r="157" spans="9:13" x14ac:dyDescent="0.2">
      <c r="I157" s="415"/>
      <c r="J157" s="415"/>
      <c r="K157" s="415"/>
      <c r="L157" s="415"/>
      <c r="M157" s="415"/>
    </row>
    <row r="158" spans="9:13" x14ac:dyDescent="0.2">
      <c r="I158" s="415"/>
      <c r="J158" s="415"/>
      <c r="K158" s="415"/>
      <c r="L158" s="415"/>
      <c r="M158" s="415"/>
    </row>
    <row r="159" spans="9:13" x14ac:dyDescent="0.2">
      <c r="I159" s="415"/>
      <c r="J159" s="415"/>
      <c r="K159" s="415"/>
      <c r="L159" s="415"/>
      <c r="M159" s="415"/>
    </row>
    <row r="160" spans="9:13" x14ac:dyDescent="0.2">
      <c r="I160" s="415"/>
      <c r="J160" s="415"/>
      <c r="K160" s="415"/>
      <c r="L160" s="415"/>
      <c r="M160" s="415"/>
    </row>
    <row r="161" spans="9:13" x14ac:dyDescent="0.2">
      <c r="I161" s="415"/>
      <c r="J161" s="415"/>
      <c r="K161" s="415"/>
      <c r="L161" s="415"/>
      <c r="M161" s="415"/>
    </row>
    <row r="162" spans="9:13" x14ac:dyDescent="0.2">
      <c r="I162" s="415"/>
      <c r="J162" s="415"/>
      <c r="K162" s="415"/>
      <c r="L162" s="415"/>
      <c r="M162" s="415"/>
    </row>
    <row r="163" spans="9:13" x14ac:dyDescent="0.2">
      <c r="I163" s="415"/>
      <c r="J163" s="415"/>
      <c r="K163" s="415"/>
      <c r="L163" s="415"/>
      <c r="M163" s="415"/>
    </row>
    <row r="164" spans="9:13" x14ac:dyDescent="0.2">
      <c r="I164" s="415"/>
      <c r="J164" s="415"/>
      <c r="K164" s="415"/>
      <c r="L164" s="415"/>
      <c r="M164" s="415"/>
    </row>
    <row r="165" spans="9:13" x14ac:dyDescent="0.2">
      <c r="I165" s="415"/>
      <c r="J165" s="415"/>
      <c r="K165" s="415"/>
      <c r="L165" s="415"/>
      <c r="M165" s="415"/>
    </row>
    <row r="166" spans="9:13" x14ac:dyDescent="0.2">
      <c r="I166" s="415"/>
      <c r="J166" s="415"/>
      <c r="K166" s="415"/>
      <c r="L166" s="415"/>
      <c r="M166" s="415"/>
    </row>
    <row r="167" spans="9:13" x14ac:dyDescent="0.2">
      <c r="I167" s="415"/>
      <c r="J167" s="415"/>
      <c r="K167" s="415"/>
      <c r="L167" s="415"/>
      <c r="M167" s="415"/>
    </row>
    <row r="168" spans="9:13" x14ac:dyDescent="0.2">
      <c r="I168" s="415"/>
      <c r="J168" s="415"/>
      <c r="K168" s="415"/>
      <c r="L168" s="415"/>
      <c r="M168" s="415"/>
    </row>
    <row r="169" spans="9:13" x14ac:dyDescent="0.2">
      <c r="I169" s="415"/>
      <c r="J169" s="415"/>
      <c r="K169" s="415"/>
      <c r="L169" s="415"/>
      <c r="M169" s="415"/>
    </row>
    <row r="170" spans="9:13" x14ac:dyDescent="0.2">
      <c r="I170" s="415"/>
      <c r="J170" s="415"/>
      <c r="K170" s="415"/>
      <c r="L170" s="415"/>
      <c r="M170" s="415"/>
    </row>
    <row r="171" spans="9:13" x14ac:dyDescent="0.2">
      <c r="I171" s="415"/>
      <c r="J171" s="415"/>
      <c r="K171" s="415"/>
      <c r="L171" s="415"/>
      <c r="M171" s="415"/>
    </row>
    <row r="172" spans="9:13" x14ac:dyDescent="0.2">
      <c r="I172" s="415"/>
      <c r="J172" s="415"/>
      <c r="K172" s="415"/>
      <c r="L172" s="415"/>
      <c r="M172" s="415"/>
    </row>
    <row r="173" spans="9:13" x14ac:dyDescent="0.2">
      <c r="I173" s="415"/>
      <c r="J173" s="415"/>
      <c r="K173" s="415"/>
      <c r="L173" s="415"/>
      <c r="M173" s="415"/>
    </row>
    <row r="174" spans="9:13" x14ac:dyDescent="0.2">
      <c r="I174" s="415"/>
      <c r="J174" s="415"/>
      <c r="K174" s="415"/>
      <c r="L174" s="415"/>
      <c r="M174" s="415"/>
    </row>
    <row r="175" spans="9:13" x14ac:dyDescent="0.2">
      <c r="I175" s="415"/>
      <c r="J175" s="415"/>
      <c r="K175" s="415"/>
      <c r="L175" s="415"/>
      <c r="M175" s="415"/>
    </row>
    <row r="176" spans="9:13" x14ac:dyDescent="0.2">
      <c r="I176" s="415"/>
      <c r="J176" s="415"/>
      <c r="K176" s="415"/>
      <c r="L176" s="415"/>
      <c r="M176" s="415"/>
    </row>
    <row r="177" spans="9:13" x14ac:dyDescent="0.2">
      <c r="I177" s="415"/>
      <c r="J177" s="415"/>
      <c r="K177" s="415"/>
      <c r="L177" s="415"/>
      <c r="M177" s="415"/>
    </row>
    <row r="178" spans="9:13" x14ac:dyDescent="0.2">
      <c r="I178" s="415"/>
      <c r="J178" s="415"/>
      <c r="K178" s="415"/>
      <c r="L178" s="415"/>
      <c r="M178" s="415"/>
    </row>
    <row r="179" spans="9:13" x14ac:dyDescent="0.2">
      <c r="I179" s="415"/>
      <c r="J179" s="415"/>
      <c r="K179" s="415"/>
      <c r="L179" s="415"/>
      <c r="M179" s="415"/>
    </row>
    <row r="180" spans="9:13" x14ac:dyDescent="0.2">
      <c r="I180" s="415"/>
      <c r="J180" s="415"/>
      <c r="K180" s="415"/>
      <c r="L180" s="415"/>
      <c r="M180" s="415"/>
    </row>
    <row r="181" spans="9:13" x14ac:dyDescent="0.2">
      <c r="I181" s="415"/>
      <c r="J181" s="415"/>
      <c r="K181" s="415"/>
      <c r="L181" s="415"/>
      <c r="M181" s="415"/>
    </row>
    <row r="182" spans="9:13" x14ac:dyDescent="0.2">
      <c r="I182" s="415"/>
      <c r="J182" s="415"/>
      <c r="K182" s="415"/>
      <c r="L182" s="415"/>
      <c r="M182" s="415"/>
    </row>
    <row r="183" spans="9:13" x14ac:dyDescent="0.2">
      <c r="I183" s="415"/>
      <c r="J183" s="415"/>
      <c r="K183" s="415"/>
      <c r="L183" s="415"/>
      <c r="M183" s="415"/>
    </row>
    <row r="184" spans="9:13" x14ac:dyDescent="0.2">
      <c r="I184" s="415"/>
      <c r="J184" s="415"/>
      <c r="K184" s="415"/>
      <c r="L184" s="415"/>
      <c r="M184" s="415"/>
    </row>
    <row r="185" spans="9:13" x14ac:dyDescent="0.2">
      <c r="I185" s="415"/>
      <c r="J185" s="415"/>
      <c r="K185" s="415"/>
      <c r="L185" s="415"/>
      <c r="M185" s="415"/>
    </row>
    <row r="186" spans="9:13" x14ac:dyDescent="0.2">
      <c r="I186" s="415"/>
      <c r="J186" s="415"/>
      <c r="K186" s="415"/>
      <c r="L186" s="415"/>
      <c r="M186" s="415"/>
    </row>
    <row r="187" spans="9:13" x14ac:dyDescent="0.2">
      <c r="I187" s="415"/>
      <c r="J187" s="415"/>
      <c r="K187" s="415"/>
      <c r="L187" s="415"/>
      <c r="M187" s="415"/>
    </row>
    <row r="188" spans="9:13" x14ac:dyDescent="0.2">
      <c r="I188" s="415"/>
      <c r="J188" s="415"/>
      <c r="K188" s="415"/>
      <c r="L188" s="415"/>
      <c r="M188" s="415"/>
    </row>
    <row r="189" spans="9:13" x14ac:dyDescent="0.2">
      <c r="I189" s="415"/>
      <c r="J189" s="415"/>
      <c r="K189" s="415"/>
      <c r="L189" s="415"/>
      <c r="M189" s="415"/>
    </row>
    <row r="190" spans="9:13" x14ac:dyDescent="0.2">
      <c r="I190" s="415"/>
      <c r="J190" s="415"/>
      <c r="K190" s="415"/>
      <c r="L190" s="415"/>
      <c r="M190" s="415"/>
    </row>
    <row r="191" spans="9:13" x14ac:dyDescent="0.2">
      <c r="I191" s="415"/>
      <c r="J191" s="415"/>
      <c r="K191" s="415"/>
      <c r="L191" s="415"/>
      <c r="M191" s="415"/>
    </row>
    <row r="192" spans="9:13" x14ac:dyDescent="0.2">
      <c r="I192" s="415"/>
      <c r="J192" s="415"/>
      <c r="K192" s="415"/>
      <c r="L192" s="415"/>
      <c r="M192" s="415"/>
    </row>
    <row r="193" spans="9:13" x14ac:dyDescent="0.2">
      <c r="I193" s="415"/>
      <c r="J193" s="415"/>
      <c r="K193" s="415"/>
      <c r="L193" s="415"/>
      <c r="M193" s="415"/>
    </row>
    <row r="194" spans="9:13" x14ac:dyDescent="0.2">
      <c r="I194" s="415"/>
      <c r="J194" s="415"/>
      <c r="K194" s="415"/>
      <c r="L194" s="415"/>
      <c r="M194" s="415"/>
    </row>
    <row r="195" spans="9:13" x14ac:dyDescent="0.2">
      <c r="I195" s="415"/>
      <c r="J195" s="415"/>
      <c r="K195" s="415"/>
      <c r="L195" s="415"/>
      <c r="M195" s="415"/>
    </row>
    <row r="196" spans="9:13" x14ac:dyDescent="0.2">
      <c r="I196" s="415"/>
      <c r="J196" s="415"/>
      <c r="K196" s="415"/>
      <c r="L196" s="415"/>
      <c r="M196" s="415"/>
    </row>
    <row r="197" spans="9:13" x14ac:dyDescent="0.2">
      <c r="I197" s="415"/>
      <c r="J197" s="415"/>
      <c r="K197" s="415"/>
      <c r="L197" s="415"/>
      <c r="M197" s="415"/>
    </row>
    <row r="198" spans="9:13" x14ac:dyDescent="0.2">
      <c r="I198" s="415"/>
      <c r="J198" s="415"/>
      <c r="K198" s="415"/>
      <c r="L198" s="415"/>
      <c r="M198" s="415"/>
    </row>
    <row r="199" spans="9:13" x14ac:dyDescent="0.2">
      <c r="I199" s="415"/>
      <c r="J199" s="415"/>
      <c r="K199" s="415"/>
      <c r="L199" s="415"/>
      <c r="M199" s="415"/>
    </row>
    <row r="200" spans="9:13" x14ac:dyDescent="0.2">
      <c r="I200" s="415"/>
      <c r="J200" s="415"/>
      <c r="K200" s="415"/>
      <c r="L200" s="415"/>
      <c r="M200" s="415"/>
    </row>
    <row r="201" spans="9:13" x14ac:dyDescent="0.2">
      <c r="I201" s="415"/>
      <c r="J201" s="415"/>
      <c r="K201" s="415"/>
      <c r="L201" s="415"/>
      <c r="M201" s="415"/>
    </row>
    <row r="202" spans="9:13" x14ac:dyDescent="0.2">
      <c r="I202" s="415"/>
      <c r="J202" s="415"/>
      <c r="K202" s="415"/>
      <c r="L202" s="415"/>
      <c r="M202" s="415"/>
    </row>
    <row r="203" spans="9:13" x14ac:dyDescent="0.2">
      <c r="I203" s="415"/>
      <c r="J203" s="415"/>
      <c r="K203" s="415"/>
      <c r="L203" s="415"/>
      <c r="M203" s="415"/>
    </row>
    <row r="204" spans="9:13" x14ac:dyDescent="0.2">
      <c r="I204" s="415"/>
      <c r="J204" s="415"/>
      <c r="K204" s="415"/>
      <c r="L204" s="415"/>
      <c r="M204" s="415"/>
    </row>
    <row r="205" spans="9:13" x14ac:dyDescent="0.2">
      <c r="I205" s="415"/>
      <c r="J205" s="415"/>
      <c r="K205" s="415"/>
      <c r="L205" s="415"/>
      <c r="M205" s="415"/>
    </row>
    <row r="206" spans="9:13" x14ac:dyDescent="0.2">
      <c r="I206" s="415"/>
      <c r="J206" s="415"/>
      <c r="K206" s="415"/>
      <c r="L206" s="415"/>
      <c r="M206" s="415"/>
    </row>
    <row r="207" spans="9:13" x14ac:dyDescent="0.2">
      <c r="I207" s="415"/>
      <c r="J207" s="415"/>
      <c r="K207" s="415"/>
      <c r="L207" s="415"/>
      <c r="M207" s="415"/>
    </row>
    <row r="208" spans="9:13" x14ac:dyDescent="0.2">
      <c r="I208" s="415"/>
      <c r="J208" s="415"/>
      <c r="K208" s="415"/>
      <c r="L208" s="415"/>
      <c r="M208" s="415"/>
    </row>
    <row r="209" spans="9:13" x14ac:dyDescent="0.2">
      <c r="I209" s="415"/>
      <c r="J209" s="415"/>
      <c r="K209" s="415"/>
      <c r="L209" s="415"/>
      <c r="M209" s="415"/>
    </row>
    <row r="210" spans="9:13" x14ac:dyDescent="0.2">
      <c r="I210" s="415"/>
      <c r="J210" s="415"/>
      <c r="K210" s="415"/>
      <c r="L210" s="415"/>
      <c r="M210" s="415"/>
    </row>
    <row r="211" spans="9:13" x14ac:dyDescent="0.2">
      <c r="I211" s="415"/>
      <c r="J211" s="415"/>
      <c r="K211" s="415"/>
      <c r="L211" s="415"/>
      <c r="M211" s="415"/>
    </row>
    <row r="212" spans="9:13" x14ac:dyDescent="0.2">
      <c r="I212" s="415"/>
      <c r="J212" s="415"/>
      <c r="K212" s="415"/>
      <c r="L212" s="415"/>
      <c r="M212" s="415"/>
    </row>
    <row r="213" spans="9:13" x14ac:dyDescent="0.2">
      <c r="I213" s="415"/>
      <c r="J213" s="415"/>
      <c r="K213" s="415"/>
      <c r="L213" s="415"/>
      <c r="M213" s="415"/>
    </row>
    <row r="214" spans="9:13" x14ac:dyDescent="0.2">
      <c r="I214" s="415"/>
      <c r="J214" s="415"/>
      <c r="K214" s="415"/>
      <c r="L214" s="415"/>
      <c r="M214" s="415"/>
    </row>
    <row r="215" spans="9:13" x14ac:dyDescent="0.2">
      <c r="I215" s="415"/>
      <c r="J215" s="415"/>
      <c r="K215" s="415"/>
      <c r="L215" s="415"/>
      <c r="M215" s="415"/>
    </row>
    <row r="216" spans="9:13" x14ac:dyDescent="0.2">
      <c r="I216" s="415"/>
      <c r="J216" s="415"/>
      <c r="K216" s="415"/>
      <c r="L216" s="415"/>
      <c r="M216" s="415"/>
    </row>
    <row r="217" spans="9:13" x14ac:dyDescent="0.2">
      <c r="I217" s="415"/>
      <c r="J217" s="415"/>
      <c r="K217" s="415"/>
      <c r="L217" s="415"/>
      <c r="M217" s="415"/>
    </row>
    <row r="218" spans="9:13" x14ac:dyDescent="0.2">
      <c r="I218" s="415"/>
      <c r="J218" s="415"/>
      <c r="K218" s="415"/>
      <c r="L218" s="415"/>
      <c r="M218" s="415"/>
    </row>
    <row r="219" spans="9:13" x14ac:dyDescent="0.2">
      <c r="I219" s="415"/>
      <c r="J219" s="415"/>
      <c r="K219" s="415"/>
      <c r="L219" s="415"/>
      <c r="M219" s="415"/>
    </row>
    <row r="220" spans="9:13" x14ac:dyDescent="0.2">
      <c r="I220" s="415"/>
      <c r="J220" s="415"/>
      <c r="K220" s="415"/>
      <c r="L220" s="415"/>
      <c r="M220" s="415"/>
    </row>
    <row r="221" spans="9:13" x14ac:dyDescent="0.2">
      <c r="I221" s="415"/>
      <c r="J221" s="415"/>
      <c r="K221" s="415"/>
      <c r="L221" s="415"/>
      <c r="M221" s="415"/>
    </row>
    <row r="222" spans="9:13" x14ac:dyDescent="0.2">
      <c r="I222" s="415"/>
      <c r="J222" s="415"/>
      <c r="K222" s="415"/>
      <c r="L222" s="415"/>
      <c r="M222" s="415"/>
    </row>
    <row r="223" spans="9:13" x14ac:dyDescent="0.2">
      <c r="I223" s="415"/>
      <c r="J223" s="415"/>
      <c r="K223" s="415"/>
      <c r="L223" s="415"/>
      <c r="M223" s="415"/>
    </row>
    <row r="224" spans="9:13" x14ac:dyDescent="0.2">
      <c r="I224" s="415"/>
      <c r="J224" s="415"/>
      <c r="K224" s="415"/>
      <c r="L224" s="415"/>
      <c r="M224" s="415"/>
    </row>
    <row r="225" spans="9:13" x14ac:dyDescent="0.2">
      <c r="I225" s="415"/>
      <c r="J225" s="415"/>
      <c r="K225" s="415"/>
      <c r="L225" s="415"/>
      <c r="M225" s="415"/>
    </row>
    <row r="226" spans="9:13" x14ac:dyDescent="0.2">
      <c r="I226" s="415"/>
      <c r="J226" s="415"/>
      <c r="K226" s="415"/>
      <c r="L226" s="415"/>
      <c r="M226" s="415"/>
    </row>
    <row r="227" spans="9:13" x14ac:dyDescent="0.2">
      <c r="I227" s="415"/>
      <c r="J227" s="415"/>
      <c r="K227" s="415"/>
      <c r="L227" s="415"/>
      <c r="M227" s="415"/>
    </row>
    <row r="228" spans="9:13" x14ac:dyDescent="0.2">
      <c r="I228" s="415"/>
      <c r="J228" s="415"/>
      <c r="K228" s="415"/>
      <c r="L228" s="415"/>
      <c r="M228" s="415"/>
    </row>
    <row r="229" spans="9:13" x14ac:dyDescent="0.2">
      <c r="I229" s="415"/>
      <c r="J229" s="415"/>
      <c r="K229" s="415"/>
      <c r="L229" s="415"/>
      <c r="M229" s="415"/>
    </row>
    <row r="230" spans="9:13" x14ac:dyDescent="0.2">
      <c r="I230" s="415"/>
      <c r="J230" s="415"/>
      <c r="K230" s="415"/>
      <c r="L230" s="415"/>
      <c r="M230" s="415"/>
    </row>
    <row r="231" spans="9:13" x14ac:dyDescent="0.2">
      <c r="I231" s="415"/>
      <c r="J231" s="415"/>
      <c r="K231" s="415"/>
      <c r="L231" s="415"/>
      <c r="M231" s="415"/>
    </row>
    <row r="232" spans="9:13" x14ac:dyDescent="0.2">
      <c r="I232" s="415"/>
      <c r="J232" s="415"/>
      <c r="K232" s="415"/>
      <c r="L232" s="415"/>
      <c r="M232" s="415"/>
    </row>
    <row r="233" spans="9:13" x14ac:dyDescent="0.2">
      <c r="I233" s="415"/>
      <c r="J233" s="415"/>
      <c r="K233" s="415"/>
      <c r="L233" s="415"/>
      <c r="M233" s="415"/>
    </row>
    <row r="234" spans="9:13" x14ac:dyDescent="0.2">
      <c r="I234" s="415"/>
      <c r="J234" s="415"/>
      <c r="K234" s="415"/>
      <c r="L234" s="415"/>
      <c r="M234" s="415"/>
    </row>
    <row r="235" spans="9:13" x14ac:dyDescent="0.2">
      <c r="I235" s="415"/>
      <c r="J235" s="415"/>
      <c r="K235" s="415"/>
      <c r="L235" s="415"/>
      <c r="M235" s="415"/>
    </row>
    <row r="236" spans="9:13" x14ac:dyDescent="0.2">
      <c r="I236" s="415"/>
      <c r="J236" s="415"/>
      <c r="K236" s="415"/>
      <c r="L236" s="415"/>
      <c r="M236" s="415"/>
    </row>
    <row r="237" spans="9:13" x14ac:dyDescent="0.2">
      <c r="I237" s="415"/>
      <c r="J237" s="415"/>
      <c r="K237" s="415"/>
      <c r="L237" s="415"/>
      <c r="M237" s="415"/>
    </row>
    <row r="238" spans="9:13" x14ac:dyDescent="0.2">
      <c r="I238" s="415"/>
      <c r="J238" s="415"/>
      <c r="K238" s="415"/>
      <c r="L238" s="415"/>
      <c r="M238" s="415"/>
    </row>
    <row r="239" spans="9:13" x14ac:dyDescent="0.2">
      <c r="I239" s="415"/>
      <c r="J239" s="415"/>
      <c r="K239" s="415"/>
      <c r="L239" s="415"/>
      <c r="M239" s="415"/>
    </row>
    <row r="240" spans="9:13" x14ac:dyDescent="0.2">
      <c r="I240" s="415"/>
      <c r="J240" s="415"/>
      <c r="K240" s="415"/>
      <c r="L240" s="415"/>
      <c r="M240" s="415"/>
    </row>
    <row r="241" spans="9:13" x14ac:dyDescent="0.2">
      <c r="I241" s="415"/>
      <c r="J241" s="415"/>
      <c r="K241" s="415"/>
      <c r="L241" s="415"/>
      <c r="M241" s="415"/>
    </row>
    <row r="242" spans="9:13" x14ac:dyDescent="0.2">
      <c r="I242" s="415"/>
      <c r="J242" s="415"/>
      <c r="K242" s="415"/>
      <c r="L242" s="415"/>
      <c r="M242" s="415"/>
    </row>
    <row r="243" spans="9:13" x14ac:dyDescent="0.2">
      <c r="I243" s="415"/>
      <c r="J243" s="415"/>
      <c r="K243" s="415"/>
      <c r="L243" s="415"/>
      <c r="M243" s="415"/>
    </row>
    <row r="244" spans="9:13" x14ac:dyDescent="0.2">
      <c r="I244" s="415"/>
      <c r="J244" s="415"/>
      <c r="K244" s="415"/>
      <c r="L244" s="415"/>
      <c r="M244" s="415"/>
    </row>
    <row r="245" spans="9:13" x14ac:dyDescent="0.2">
      <c r="I245" s="415"/>
      <c r="J245" s="415"/>
      <c r="K245" s="415"/>
      <c r="L245" s="415"/>
      <c r="M245" s="415"/>
    </row>
    <row r="246" spans="9:13" x14ac:dyDescent="0.2">
      <c r="I246" s="415"/>
      <c r="J246" s="415"/>
      <c r="K246" s="415"/>
      <c r="L246" s="415"/>
      <c r="M246" s="415"/>
    </row>
    <row r="247" spans="9:13" x14ac:dyDescent="0.2">
      <c r="I247" s="415"/>
      <c r="J247" s="415"/>
      <c r="K247" s="415"/>
      <c r="L247" s="415"/>
      <c r="M247" s="415"/>
    </row>
    <row r="248" spans="9:13" x14ac:dyDescent="0.2">
      <c r="I248" s="415"/>
      <c r="J248" s="415"/>
      <c r="K248" s="415"/>
      <c r="L248" s="415"/>
      <c r="M248" s="415"/>
    </row>
    <row r="249" spans="9:13" x14ac:dyDescent="0.2">
      <c r="I249" s="415"/>
      <c r="J249" s="415"/>
      <c r="K249" s="415"/>
      <c r="L249" s="415"/>
      <c r="M249" s="415"/>
    </row>
    <row r="250" spans="9:13" x14ac:dyDescent="0.2">
      <c r="I250" s="415"/>
      <c r="J250" s="415"/>
      <c r="K250" s="415"/>
      <c r="L250" s="415"/>
      <c r="M250" s="415"/>
    </row>
    <row r="251" spans="9:13" x14ac:dyDescent="0.2">
      <c r="I251" s="415"/>
      <c r="J251" s="415"/>
      <c r="K251" s="415"/>
      <c r="L251" s="415"/>
      <c r="M251" s="415"/>
    </row>
    <row r="252" spans="9:13" x14ac:dyDescent="0.2">
      <c r="I252" s="415"/>
      <c r="J252" s="415"/>
      <c r="K252" s="415"/>
      <c r="L252" s="415"/>
      <c r="M252" s="415"/>
    </row>
    <row r="253" spans="9:13" x14ac:dyDescent="0.2">
      <c r="I253" s="415"/>
      <c r="J253" s="415"/>
      <c r="K253" s="415"/>
      <c r="L253" s="415"/>
      <c r="M253" s="415"/>
    </row>
    <row r="254" spans="9:13" x14ac:dyDescent="0.2">
      <c r="I254" s="415"/>
      <c r="J254" s="415"/>
      <c r="K254" s="415"/>
      <c r="L254" s="415"/>
      <c r="M254" s="415"/>
    </row>
    <row r="255" spans="9:13" x14ac:dyDescent="0.2">
      <c r="I255" s="415"/>
      <c r="J255" s="415"/>
      <c r="K255" s="415"/>
      <c r="L255" s="415"/>
      <c r="M255" s="415"/>
    </row>
    <row r="256" spans="9:13" x14ac:dyDescent="0.2">
      <c r="I256" s="415"/>
      <c r="J256" s="415"/>
      <c r="K256" s="415"/>
      <c r="L256" s="415"/>
      <c r="M256" s="415"/>
    </row>
    <row r="257" spans="9:13" x14ac:dyDescent="0.2">
      <c r="I257" s="415"/>
      <c r="J257" s="415"/>
      <c r="K257" s="415"/>
      <c r="L257" s="415"/>
      <c r="M257" s="415"/>
    </row>
    <row r="258" spans="9:13" x14ac:dyDescent="0.2">
      <c r="I258" s="415"/>
      <c r="J258" s="415"/>
      <c r="K258" s="415"/>
      <c r="L258" s="415"/>
      <c r="M258" s="415"/>
    </row>
    <row r="259" spans="9:13" x14ac:dyDescent="0.2">
      <c r="I259" s="415"/>
      <c r="J259" s="415"/>
      <c r="K259" s="415"/>
      <c r="L259" s="415"/>
      <c r="M259" s="415"/>
    </row>
    <row r="260" spans="9:13" x14ac:dyDescent="0.2">
      <c r="I260" s="415"/>
      <c r="J260" s="415"/>
      <c r="K260" s="415"/>
      <c r="L260" s="415"/>
      <c r="M260" s="415"/>
    </row>
    <row r="261" spans="9:13" x14ac:dyDescent="0.2">
      <c r="I261" s="415"/>
      <c r="J261" s="415"/>
      <c r="K261" s="415"/>
      <c r="L261" s="415"/>
      <c r="M261" s="415"/>
    </row>
    <row r="262" spans="9:13" x14ac:dyDescent="0.2">
      <c r="I262" s="415"/>
      <c r="J262" s="415"/>
      <c r="K262" s="415"/>
      <c r="L262" s="415"/>
      <c r="M262" s="415"/>
    </row>
    <row r="263" spans="9:13" x14ac:dyDescent="0.2">
      <c r="I263" s="415"/>
      <c r="J263" s="415"/>
      <c r="K263" s="415"/>
      <c r="L263" s="415"/>
      <c r="M263" s="415"/>
    </row>
    <row r="264" spans="9:13" x14ac:dyDescent="0.2">
      <c r="I264" s="415"/>
      <c r="J264" s="415"/>
      <c r="K264" s="415"/>
      <c r="L264" s="415"/>
      <c r="M264" s="415"/>
    </row>
    <row r="265" spans="9:13" x14ac:dyDescent="0.2">
      <c r="I265" s="415"/>
      <c r="J265" s="415"/>
      <c r="K265" s="415"/>
      <c r="L265" s="415"/>
      <c r="M265" s="415"/>
    </row>
    <row r="266" spans="9:13" x14ac:dyDescent="0.2">
      <c r="I266" s="415"/>
      <c r="J266" s="415"/>
      <c r="K266" s="415"/>
      <c r="L266" s="415"/>
      <c r="M266" s="415"/>
    </row>
    <row r="267" spans="9:13" x14ac:dyDescent="0.2">
      <c r="I267" s="415"/>
      <c r="J267" s="415"/>
      <c r="K267" s="415"/>
      <c r="L267" s="415"/>
      <c r="M267" s="415"/>
    </row>
    <row r="268" spans="9:13" x14ac:dyDescent="0.2">
      <c r="I268" s="415"/>
      <c r="J268" s="415"/>
      <c r="K268" s="415"/>
      <c r="L268" s="415"/>
      <c r="M268" s="415"/>
    </row>
    <row r="269" spans="9:13" x14ac:dyDescent="0.2">
      <c r="I269" s="415"/>
      <c r="J269" s="415"/>
      <c r="K269" s="415"/>
      <c r="L269" s="415"/>
      <c r="M269" s="415"/>
    </row>
    <row r="270" spans="9:13" x14ac:dyDescent="0.2">
      <c r="I270" s="415"/>
      <c r="J270" s="415"/>
      <c r="K270" s="415"/>
      <c r="L270" s="415"/>
      <c r="M270" s="415"/>
    </row>
    <row r="271" spans="9:13" x14ac:dyDescent="0.2">
      <c r="I271" s="415"/>
      <c r="J271" s="415"/>
      <c r="K271" s="415"/>
      <c r="L271" s="415"/>
      <c r="M271" s="415"/>
    </row>
    <row r="272" spans="9:13" x14ac:dyDescent="0.2">
      <c r="I272" s="415"/>
      <c r="J272" s="415"/>
      <c r="K272" s="415"/>
      <c r="L272" s="415"/>
      <c r="M272" s="415"/>
    </row>
    <row r="273" spans="9:13" x14ac:dyDescent="0.2">
      <c r="I273" s="415"/>
      <c r="J273" s="415"/>
      <c r="K273" s="415"/>
      <c r="L273" s="415"/>
      <c r="M273" s="415"/>
    </row>
    <row r="274" spans="9:13" x14ac:dyDescent="0.2">
      <c r="I274" s="415"/>
      <c r="J274" s="415"/>
      <c r="K274" s="415"/>
      <c r="L274" s="415"/>
      <c r="M274" s="415"/>
    </row>
    <row r="275" spans="9:13" x14ac:dyDescent="0.2">
      <c r="I275" s="415"/>
      <c r="J275" s="415"/>
      <c r="K275" s="415"/>
      <c r="L275" s="415"/>
      <c r="M275" s="415"/>
    </row>
    <row r="276" spans="9:13" x14ac:dyDescent="0.2">
      <c r="I276" s="415"/>
      <c r="J276" s="415"/>
      <c r="K276" s="415"/>
      <c r="L276" s="415"/>
      <c r="M276" s="415"/>
    </row>
    <row r="277" spans="9:13" x14ac:dyDescent="0.2">
      <c r="I277" s="415"/>
      <c r="J277" s="415"/>
      <c r="K277" s="415"/>
      <c r="L277" s="415"/>
      <c r="M277" s="415"/>
    </row>
    <row r="278" spans="9:13" x14ac:dyDescent="0.2">
      <c r="I278" s="415"/>
      <c r="J278" s="415"/>
      <c r="K278" s="415"/>
      <c r="L278" s="415"/>
      <c r="M278" s="415"/>
    </row>
    <row r="279" spans="9:13" x14ac:dyDescent="0.2">
      <c r="I279" s="415"/>
      <c r="J279" s="415"/>
      <c r="K279" s="415"/>
      <c r="L279" s="415"/>
      <c r="M279" s="415"/>
    </row>
    <row r="280" spans="9:13" x14ac:dyDescent="0.2">
      <c r="I280" s="415"/>
      <c r="J280" s="415"/>
      <c r="K280" s="415"/>
      <c r="L280" s="415"/>
      <c r="M280" s="415"/>
    </row>
    <row r="281" spans="9:13" x14ac:dyDescent="0.2">
      <c r="I281" s="415"/>
      <c r="J281" s="415"/>
      <c r="K281" s="415"/>
      <c r="L281" s="415"/>
      <c r="M281" s="415"/>
    </row>
    <row r="282" spans="9:13" x14ac:dyDescent="0.2">
      <c r="I282" s="415"/>
      <c r="J282" s="415"/>
      <c r="K282" s="415"/>
      <c r="L282" s="415"/>
      <c r="M282" s="415"/>
    </row>
    <row r="283" spans="9:13" x14ac:dyDescent="0.2">
      <c r="I283" s="415"/>
      <c r="J283" s="415"/>
      <c r="K283" s="415"/>
      <c r="L283" s="415"/>
      <c r="M283" s="415"/>
    </row>
    <row r="284" spans="9:13" x14ac:dyDescent="0.2">
      <c r="I284" s="415"/>
      <c r="J284" s="415"/>
      <c r="K284" s="415"/>
      <c r="L284" s="415"/>
      <c r="M284" s="415"/>
    </row>
    <row r="285" spans="9:13" x14ac:dyDescent="0.2">
      <c r="I285" s="415"/>
      <c r="J285" s="415"/>
      <c r="K285" s="415"/>
      <c r="L285" s="415"/>
      <c r="M285" s="415"/>
    </row>
    <row r="286" spans="9:13" x14ac:dyDescent="0.2">
      <c r="I286" s="415"/>
      <c r="J286" s="415"/>
      <c r="K286" s="415"/>
      <c r="L286" s="415"/>
      <c r="M286" s="415"/>
    </row>
    <row r="287" spans="9:13" x14ac:dyDescent="0.2">
      <c r="I287" s="415"/>
      <c r="J287" s="415"/>
      <c r="K287" s="415"/>
      <c r="L287" s="415"/>
      <c r="M287" s="415"/>
    </row>
    <row r="288" spans="9:13" x14ac:dyDescent="0.2">
      <c r="I288" s="415"/>
      <c r="J288" s="415"/>
      <c r="K288" s="415"/>
      <c r="L288" s="415"/>
      <c r="M288" s="415"/>
    </row>
    <row r="289" spans="9:13" x14ac:dyDescent="0.2">
      <c r="I289" s="415"/>
      <c r="J289" s="415"/>
      <c r="K289" s="415"/>
      <c r="L289" s="415"/>
      <c r="M289" s="415"/>
    </row>
    <row r="290" spans="9:13" x14ac:dyDescent="0.2">
      <c r="I290" s="415"/>
      <c r="J290" s="415"/>
      <c r="K290" s="415"/>
      <c r="L290" s="415"/>
      <c r="M290" s="415"/>
    </row>
    <row r="291" spans="9:13" x14ac:dyDescent="0.2">
      <c r="I291" s="415"/>
      <c r="J291" s="415"/>
      <c r="K291" s="415"/>
      <c r="L291" s="415"/>
      <c r="M291" s="415"/>
    </row>
    <row r="292" spans="9:13" x14ac:dyDescent="0.2">
      <c r="I292" s="415"/>
      <c r="J292" s="415"/>
      <c r="K292" s="415"/>
      <c r="L292" s="415"/>
      <c r="M292" s="415"/>
    </row>
    <row r="293" spans="9:13" x14ac:dyDescent="0.2">
      <c r="I293" s="415"/>
      <c r="J293" s="415"/>
      <c r="K293" s="415"/>
      <c r="L293" s="415"/>
      <c r="M293" s="415"/>
    </row>
    <row r="294" spans="9:13" x14ac:dyDescent="0.2">
      <c r="I294" s="415"/>
      <c r="J294" s="415"/>
      <c r="K294" s="415"/>
      <c r="L294" s="415"/>
      <c r="M294" s="415"/>
    </row>
    <row r="295" spans="9:13" x14ac:dyDescent="0.2">
      <c r="I295" s="415"/>
      <c r="J295" s="415"/>
      <c r="K295" s="415"/>
      <c r="L295" s="415"/>
      <c r="M295" s="415"/>
    </row>
    <row r="296" spans="9:13" x14ac:dyDescent="0.2">
      <c r="I296" s="415"/>
      <c r="J296" s="415"/>
      <c r="K296" s="415"/>
      <c r="L296" s="415"/>
      <c r="M296" s="415"/>
    </row>
    <row r="297" spans="9:13" x14ac:dyDescent="0.2">
      <c r="I297" s="415"/>
      <c r="J297" s="415"/>
      <c r="K297" s="415"/>
      <c r="L297" s="415"/>
      <c r="M297" s="415"/>
    </row>
    <row r="298" spans="9:13" x14ac:dyDescent="0.2">
      <c r="I298" s="415"/>
      <c r="J298" s="415"/>
      <c r="K298" s="415"/>
      <c r="L298" s="415"/>
      <c r="M298" s="415"/>
    </row>
    <row r="299" spans="9:13" x14ac:dyDescent="0.2">
      <c r="I299" s="415"/>
      <c r="J299" s="415"/>
      <c r="K299" s="415"/>
      <c r="L299" s="415"/>
      <c r="M299" s="415"/>
    </row>
    <row r="300" spans="9:13" x14ac:dyDescent="0.2">
      <c r="I300" s="415"/>
      <c r="J300" s="415"/>
      <c r="K300" s="415"/>
      <c r="L300" s="415"/>
      <c r="M300" s="415"/>
    </row>
    <row r="301" spans="9:13" x14ac:dyDescent="0.2">
      <c r="I301" s="415"/>
      <c r="J301" s="415"/>
      <c r="K301" s="415"/>
      <c r="L301" s="415"/>
      <c r="M301" s="415"/>
    </row>
  </sheetData>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60"/>
  <sheetViews>
    <sheetView topLeftCell="B1" workbookViewId="0">
      <selection activeCell="C35" sqref="C35"/>
    </sheetView>
  </sheetViews>
  <sheetFormatPr defaultRowHeight="12.75" x14ac:dyDescent="0.2"/>
  <cols>
    <col min="1" max="1" width="2.42578125" style="32" customWidth="1"/>
    <col min="2" max="2" width="4.42578125" style="32" customWidth="1"/>
    <col min="3" max="3" width="40.28515625" style="32" customWidth="1"/>
    <col min="4" max="4" width="15" style="336" bestFit="1" customWidth="1"/>
    <col min="5" max="8" width="13.42578125" style="32" bestFit="1" customWidth="1"/>
    <col min="9" max="9" width="12.28515625" style="32" bestFit="1" customWidth="1"/>
    <col min="10" max="10" width="12.85546875" style="32" bestFit="1" customWidth="1"/>
    <col min="11" max="11" width="12.28515625" style="32" bestFit="1" customWidth="1"/>
    <col min="12" max="12" width="12.28515625" style="32" customWidth="1"/>
    <col min="13" max="13" width="12.28515625" style="336" bestFit="1" customWidth="1"/>
    <col min="14" max="14" width="12.28515625" style="32" bestFit="1" customWidth="1"/>
    <col min="15" max="15" width="10.42578125" style="32" bestFit="1" customWidth="1"/>
    <col min="16" max="16" width="13.42578125" style="336" bestFit="1" customWidth="1"/>
    <col min="17" max="17" width="13.42578125" style="32" bestFit="1" customWidth="1"/>
    <col min="18" max="18" width="15" style="32" bestFit="1" customWidth="1"/>
    <col min="19" max="19" width="1.140625" style="390" customWidth="1"/>
    <col min="20" max="20" width="12.85546875" style="32" bestFit="1" customWidth="1"/>
    <col min="21" max="21" width="10.28515625" style="32" bestFit="1" customWidth="1"/>
    <col min="22" max="22" width="12.85546875" style="390" customWidth="1"/>
    <col min="23" max="16384" width="9.140625" style="32"/>
  </cols>
  <sheetData>
    <row r="1" spans="1:22" x14ac:dyDescent="0.2">
      <c r="A1" s="386"/>
      <c r="B1" s="385" t="str">
        <f>'JKP-3.1c - Revenue'!$B$1</f>
        <v>Puget Sound Energy</v>
      </c>
      <c r="C1" s="386"/>
      <c r="D1" s="387"/>
      <c r="E1" s="386"/>
      <c r="F1" s="386"/>
      <c r="G1" s="386"/>
      <c r="H1" s="386"/>
      <c r="I1" s="386"/>
      <c r="J1" s="386"/>
      <c r="K1" s="386"/>
      <c r="L1" s="386"/>
      <c r="M1" s="387"/>
      <c r="N1" s="386"/>
      <c r="O1" s="386"/>
      <c r="P1" s="387"/>
      <c r="Q1" s="386"/>
      <c r="R1" s="386"/>
      <c r="S1" s="348"/>
    </row>
    <row r="2" spans="1:22" x14ac:dyDescent="0.2">
      <c r="A2" s="386"/>
      <c r="B2" s="385" t="str">
        <f>'JKP-3.1c - Revenue'!$B$2</f>
        <v>2011 General Rate Case - Gas</v>
      </c>
      <c r="C2" s="386"/>
      <c r="D2" s="387"/>
      <c r="E2" s="386"/>
      <c r="F2" s="386"/>
      <c r="G2" s="386"/>
      <c r="H2" s="386"/>
      <c r="I2" s="386"/>
      <c r="J2" s="386"/>
      <c r="K2" s="386"/>
      <c r="L2" s="386"/>
      <c r="M2" s="387"/>
      <c r="N2" s="386"/>
      <c r="O2" s="386"/>
      <c r="P2" s="387"/>
      <c r="Q2" s="386"/>
      <c r="R2" s="386"/>
      <c r="S2" s="348"/>
    </row>
    <row r="3" spans="1:22" x14ac:dyDescent="0.2">
      <c r="B3" s="386" t="s">
        <v>1329</v>
      </c>
      <c r="C3" s="386"/>
      <c r="D3" s="387"/>
      <c r="E3" s="386"/>
      <c r="F3" s="726"/>
      <c r="G3" s="387"/>
      <c r="H3" s="386"/>
      <c r="I3" s="386"/>
      <c r="J3" s="386"/>
      <c r="K3" s="386"/>
      <c r="L3" s="386"/>
      <c r="M3" s="387"/>
      <c r="N3" s="386"/>
      <c r="O3" s="386"/>
      <c r="P3" s="387"/>
      <c r="Q3" s="386"/>
      <c r="R3" s="386"/>
      <c r="S3" s="348"/>
    </row>
    <row r="4" spans="1:22" x14ac:dyDescent="0.2">
      <c r="B4" s="385" t="str">
        <f>'JKP-3.1c - Revenue'!$B$4</f>
        <v>Test Year Ended December 31, 2010</v>
      </c>
      <c r="C4" s="386"/>
      <c r="D4" s="387"/>
      <c r="E4" s="386"/>
      <c r="F4" s="386"/>
      <c r="G4" s="386"/>
      <c r="H4" s="387"/>
      <c r="I4" s="387"/>
      <c r="J4" s="387"/>
      <c r="K4" s="387"/>
      <c r="L4" s="387"/>
      <c r="M4" s="387"/>
      <c r="N4" s="386"/>
      <c r="O4" s="386"/>
      <c r="P4" s="387"/>
      <c r="Q4" s="386"/>
      <c r="R4" s="386"/>
      <c r="S4" s="348"/>
    </row>
    <row r="5" spans="1:22" x14ac:dyDescent="0.2">
      <c r="B5" s="386"/>
      <c r="C5" s="386"/>
      <c r="D5" s="387"/>
      <c r="E5" s="386"/>
      <c r="F5" s="727"/>
      <c r="G5" s="387"/>
      <c r="H5" s="387"/>
      <c r="I5" s="387"/>
      <c r="J5" s="387"/>
      <c r="K5" s="387"/>
      <c r="L5" s="387"/>
      <c r="M5" s="387"/>
      <c r="N5" s="386"/>
      <c r="O5" s="386"/>
      <c r="P5" s="387"/>
      <c r="Q5" s="386"/>
      <c r="R5" s="386"/>
      <c r="S5" s="728"/>
    </row>
    <row r="6" spans="1:22" x14ac:dyDescent="0.2">
      <c r="B6" s="488" t="s">
        <v>1331</v>
      </c>
      <c r="D6" s="387"/>
      <c r="E6" s="386"/>
      <c r="F6" s="524"/>
      <c r="G6" s="387"/>
      <c r="H6" s="524"/>
      <c r="I6" s="524"/>
      <c r="J6" s="335"/>
      <c r="K6" s="387"/>
      <c r="L6" s="387"/>
      <c r="M6" s="387"/>
      <c r="N6" s="386"/>
      <c r="O6" s="386"/>
      <c r="P6" s="387"/>
      <c r="Q6" s="386"/>
      <c r="R6" s="386"/>
      <c r="S6" s="728"/>
    </row>
    <row r="7" spans="1:22" s="277" customFormat="1" x14ac:dyDescent="0.2">
      <c r="C7" s="179"/>
      <c r="D7" s="193"/>
      <c r="E7" s="550"/>
      <c r="F7" s="193" t="s">
        <v>1333</v>
      </c>
      <c r="G7" s="193"/>
      <c r="H7" s="179"/>
      <c r="I7" s="179"/>
      <c r="J7" s="335"/>
      <c r="M7" s="179"/>
      <c r="P7" s="179"/>
      <c r="S7" s="425"/>
      <c r="V7" s="425"/>
    </row>
    <row r="8" spans="1:22" s="277" customFormat="1" x14ac:dyDescent="0.2">
      <c r="C8" s="733"/>
      <c r="D8" s="733" t="s">
        <v>1335</v>
      </c>
      <c r="E8" s="734" t="s">
        <v>1334</v>
      </c>
      <c r="F8" s="733" t="s">
        <v>1336</v>
      </c>
      <c r="G8" s="193"/>
      <c r="H8" s="733" t="s">
        <v>1338</v>
      </c>
      <c r="I8" s="788" t="s">
        <v>1339</v>
      </c>
      <c r="J8" s="335" t="s">
        <v>1340</v>
      </c>
      <c r="K8" s="732" t="s">
        <v>1341</v>
      </c>
      <c r="L8" s="335" t="s">
        <v>1342</v>
      </c>
      <c r="M8" s="335" t="s">
        <v>25</v>
      </c>
      <c r="N8" s="734" t="s">
        <v>1345</v>
      </c>
      <c r="O8" s="734"/>
      <c r="P8" s="733" t="s">
        <v>1334</v>
      </c>
      <c r="Q8" s="734"/>
      <c r="R8" s="734"/>
      <c r="S8" s="734"/>
      <c r="U8" s="425"/>
      <c r="V8" s="426"/>
    </row>
    <row r="9" spans="1:22" s="277" customFormat="1" x14ac:dyDescent="0.2">
      <c r="B9" s="734"/>
      <c r="C9" s="733"/>
      <c r="D9" s="733" t="s">
        <v>1346</v>
      </c>
      <c r="E9" s="733" t="s">
        <v>1347</v>
      </c>
      <c r="F9" s="733" t="s">
        <v>1348</v>
      </c>
      <c r="G9" s="193" t="s">
        <v>1334</v>
      </c>
      <c r="H9" s="733" t="s">
        <v>1353</v>
      </c>
      <c r="I9" s="335" t="s">
        <v>1354</v>
      </c>
      <c r="J9" s="335" t="s">
        <v>1355</v>
      </c>
      <c r="K9" s="335" t="s">
        <v>1356</v>
      </c>
      <c r="L9" s="335" t="s">
        <v>1357</v>
      </c>
      <c r="M9" s="335" t="s">
        <v>1358</v>
      </c>
      <c r="N9" s="734" t="s">
        <v>1359</v>
      </c>
      <c r="O9" s="391" t="s">
        <v>1392</v>
      </c>
      <c r="P9" s="733" t="s">
        <v>1361</v>
      </c>
      <c r="Q9" s="734" t="s">
        <v>23</v>
      </c>
      <c r="R9" s="734" t="s">
        <v>77</v>
      </c>
      <c r="S9" s="734"/>
      <c r="U9" s="734"/>
      <c r="V9" s="789"/>
    </row>
    <row r="10" spans="1:22" s="277" customFormat="1" x14ac:dyDescent="0.2">
      <c r="B10" s="736" t="s">
        <v>95</v>
      </c>
      <c r="C10" s="736" t="s">
        <v>69</v>
      </c>
      <c r="D10" s="185" t="s">
        <v>92</v>
      </c>
      <c r="E10" s="736" t="s">
        <v>1363</v>
      </c>
      <c r="F10" s="185" t="s">
        <v>1364</v>
      </c>
      <c r="G10" s="185" t="s">
        <v>1393</v>
      </c>
      <c r="H10" s="185" t="s">
        <v>1220</v>
      </c>
      <c r="I10" s="664" t="s">
        <v>1322</v>
      </c>
      <c r="J10" s="664" t="s">
        <v>1322</v>
      </c>
      <c r="K10" s="664" t="s">
        <v>1322</v>
      </c>
      <c r="L10" s="664" t="s">
        <v>1322</v>
      </c>
      <c r="M10" s="664" t="s">
        <v>1322</v>
      </c>
      <c r="N10" s="736" t="s">
        <v>1322</v>
      </c>
      <c r="O10" s="736" t="s">
        <v>1322</v>
      </c>
      <c r="P10" s="185" t="s">
        <v>92</v>
      </c>
      <c r="Q10" s="736" t="s">
        <v>1220</v>
      </c>
      <c r="R10" s="736" t="s">
        <v>92</v>
      </c>
      <c r="S10" s="734"/>
      <c r="T10" s="733" t="s">
        <v>131</v>
      </c>
      <c r="U10" s="733" t="s">
        <v>131</v>
      </c>
      <c r="V10" s="789"/>
    </row>
    <row r="11" spans="1:22" s="179" customFormat="1" x14ac:dyDescent="0.2">
      <c r="B11" s="733"/>
      <c r="C11" s="733" t="s">
        <v>102</v>
      </c>
      <c r="D11" s="733" t="s">
        <v>103</v>
      </c>
      <c r="E11" s="733" t="s">
        <v>104</v>
      </c>
      <c r="F11" s="733" t="s">
        <v>105</v>
      </c>
      <c r="G11" s="733" t="s">
        <v>106</v>
      </c>
      <c r="H11" s="733" t="s">
        <v>107</v>
      </c>
      <c r="I11" s="733" t="s">
        <v>1394</v>
      </c>
      <c r="J11" s="733" t="s">
        <v>109</v>
      </c>
      <c r="K11" s="733" t="s">
        <v>116</v>
      </c>
      <c r="L11" s="733" t="s">
        <v>110</v>
      </c>
      <c r="M11" s="733" t="s">
        <v>111</v>
      </c>
      <c r="N11" s="733" t="s">
        <v>112</v>
      </c>
      <c r="O11" s="733" t="s">
        <v>113</v>
      </c>
      <c r="P11" s="733" t="s">
        <v>114</v>
      </c>
      <c r="Q11" s="335" t="s">
        <v>115</v>
      </c>
      <c r="R11" s="335" t="s">
        <v>1395</v>
      </c>
      <c r="S11" s="733"/>
      <c r="T11" s="192"/>
      <c r="U11" s="192"/>
      <c r="V11" s="790"/>
    </row>
    <row r="12" spans="1:22" s="179" customFormat="1" x14ac:dyDescent="0.2">
      <c r="B12" s="179">
        <v>1</v>
      </c>
      <c r="C12" s="196" t="s">
        <v>89</v>
      </c>
      <c r="D12" s="745">
        <f>SUM('JKP-3.1c - Revenue'!D12:D14)</f>
        <v>648643599.50528884</v>
      </c>
      <c r="E12" s="745">
        <f>SUM('JKP-3.1c - Revenue'!E12:E14)</f>
        <v>-26078069.690000001</v>
      </c>
      <c r="F12" s="745">
        <f>SUM('JKP-3.1c - Revenue'!F12:F14)</f>
        <v>-905147.36</v>
      </c>
      <c r="G12" s="745">
        <f>SUM('JKP-3.1c - Revenue'!G12:J14)</f>
        <v>27274130.386022914</v>
      </c>
      <c r="H12" s="745">
        <f>SUM('JKP-3.1c - Revenue'!K12:K14)</f>
        <v>8386186.2338082474</v>
      </c>
      <c r="I12" s="745">
        <f>SUM('JKP-3.1c - Revenue'!L12:L14)</f>
        <v>2435582.66102</v>
      </c>
      <c r="J12" s="745">
        <f>SUM('JKP-3.1c - Revenue'!M12:M14)</f>
        <v>-12400562.42282</v>
      </c>
      <c r="K12" s="745">
        <f>SUM('JKP-3.1c - Revenue'!N12:N14)</f>
        <v>13036953.0615</v>
      </c>
      <c r="L12" s="745">
        <f>SUM('JKP-3.1c - Revenue'!O12:O14)</f>
        <v>0</v>
      </c>
      <c r="M12" s="745">
        <f>SUM('JKP-3.1c - Revenue'!P12:Q14)</f>
        <v>0</v>
      </c>
      <c r="N12" s="745">
        <f>SUM('JKP-3.1c - Revenue'!R12:R14)</f>
        <v>23283584.670949817</v>
      </c>
      <c r="O12" s="745">
        <f>SUM('JKP-3.1c - Revenue'!S12:S14)</f>
        <v>257578.14697</v>
      </c>
      <c r="P12" s="745">
        <v>0</v>
      </c>
      <c r="Q12" s="791">
        <f t="shared" ref="Q12:Q22" si="0">R12-D12</f>
        <v>35290235.687451124</v>
      </c>
      <c r="R12" s="745">
        <f>SUM('JKP-3.1c - Revenue'!V12:V14)</f>
        <v>683933835.19273996</v>
      </c>
      <c r="S12" s="751"/>
      <c r="T12" s="192">
        <f t="shared" ref="T12:T23" si="1">R12-(Q12+D12)</f>
        <v>0</v>
      </c>
      <c r="U12" s="192">
        <f t="shared" ref="U12:U23" si="2">Q12-SUM(E12:P12)</f>
        <v>1.4901161193847656E-7</v>
      </c>
      <c r="V12" s="792"/>
    </row>
    <row r="13" spans="1:22" s="179" customFormat="1" x14ac:dyDescent="0.2">
      <c r="B13" s="179">
        <f t="shared" ref="B13:B23" si="3">B12+1</f>
        <v>2</v>
      </c>
      <c r="C13" s="654" t="s">
        <v>1038</v>
      </c>
      <c r="D13" s="751">
        <f>SUM('JKP-3.1c - Revenue'!D15:D15,'JKP-3.1c - Revenue'!D18:D18)</f>
        <v>216178371.84924081</v>
      </c>
      <c r="E13" s="751">
        <f>SUM('JKP-3.1c - Revenue'!E15:E15,'JKP-3.1c - Revenue'!E18:E18)</f>
        <v>-10889189.93</v>
      </c>
      <c r="F13" s="751">
        <f>SUM('JKP-3.1c - Revenue'!F15:F15,'JKP-3.1c - Revenue'!F18:F18)</f>
        <v>-227755.08500000002</v>
      </c>
      <c r="G13" s="751">
        <f>SUM('JKP-3.1c - Revenue'!G15:J15,'JKP-3.1c - Revenue'!G18:J18)</f>
        <v>10091522.209934942</v>
      </c>
      <c r="H13" s="751">
        <f>SUM('JKP-3.1c - Revenue'!K15:K15,'JKP-3.1c - Revenue'!K18:K18)</f>
        <v>2498876.6034942777</v>
      </c>
      <c r="I13" s="751">
        <f>'JKP-3.1c - Revenue'!L15+'JKP-3.1c - Revenue'!L18</f>
        <v>636174.41225004196</v>
      </c>
      <c r="J13" s="751">
        <f>SUM('JKP-3.1c - Revenue'!M15:M15,'JKP-3.1c - Revenue'!M18:M18)</f>
        <v>-4683388.1959200501</v>
      </c>
      <c r="K13" s="751">
        <f>'JKP-3.1c - Revenue'!N15+'JKP-3.1c - Revenue'!N18</f>
        <v>3819257.426399976</v>
      </c>
      <c r="L13" s="751">
        <f>'JKP-3.1c - Revenue'!O15+'JKP-3.1c - Revenue'!O18</f>
        <v>0</v>
      </c>
      <c r="M13" s="751">
        <f>'JKP-3.1c - Revenue'!P15+'JKP-3.1c - Revenue'!P18+'JKP-3.1c - Revenue'!Q15</f>
        <v>4155266.8849224364</v>
      </c>
      <c r="N13" s="751">
        <f>SUM('JKP-3.1c - Revenue'!R15:R15,'JKP-3.1c - Revenue'!R18:R18)</f>
        <v>8285263.2910775924</v>
      </c>
      <c r="O13" s="751">
        <f>SUM('JKP-3.1c - Revenue'!S15:S15,'JKP-3.1c - Revenue'!S18:S18)</f>
        <v>93098.043000000005</v>
      </c>
      <c r="P13" s="751">
        <v>0</v>
      </c>
      <c r="Q13" s="793">
        <f t="shared" si="0"/>
        <v>13779125.6601592</v>
      </c>
      <c r="R13" s="751">
        <f>SUM('JKP-3.1c - Revenue'!V15:V15,'JKP-3.1c - Revenue'!V18:V18)</f>
        <v>229957497.50940001</v>
      </c>
      <c r="S13" s="751"/>
      <c r="T13" s="192">
        <f t="shared" si="1"/>
        <v>0</v>
      </c>
      <c r="U13" s="192">
        <f t="shared" si="2"/>
        <v>-1.6763806343078613E-8</v>
      </c>
      <c r="V13" s="792"/>
    </row>
    <row r="14" spans="1:22" s="179" customFormat="1" x14ac:dyDescent="0.2">
      <c r="B14" s="179">
        <f t="shared" si="3"/>
        <v>3</v>
      </c>
      <c r="C14" s="196" t="s">
        <v>832</v>
      </c>
      <c r="D14" s="751">
        <f>'JKP-3.1c - Revenue'!D16</f>
        <v>71683485.465980619</v>
      </c>
      <c r="E14" s="751">
        <f>'JKP-3.1c - Revenue'!E16</f>
        <v>-3621856.7100000004</v>
      </c>
      <c r="F14" s="751">
        <f>'JKP-3.1c - Revenue'!F16</f>
        <v>-23187.49</v>
      </c>
      <c r="G14" s="751">
        <f>SUM('JKP-3.1c - Revenue'!G16:J16)</f>
        <v>4801994.9719090937</v>
      </c>
      <c r="H14" s="751">
        <f>SUM('JKP-3.1c - Revenue'!K16:K16)</f>
        <v>-1051028.1260797232</v>
      </c>
      <c r="I14" s="751">
        <f>'JKP-3.1c - Revenue'!L16</f>
        <v>96441.99457000196</v>
      </c>
      <c r="J14" s="751">
        <f>'JKP-3.1c - Revenue'!M16</f>
        <v>-2444165.1319399774</v>
      </c>
      <c r="K14" s="751">
        <f>'JKP-3.1c - Revenue'!N16</f>
        <v>660646.69257998466</v>
      </c>
      <c r="L14" s="751">
        <f>'JKP-3.1c - Revenue'!O16</f>
        <v>0</v>
      </c>
      <c r="M14" s="751">
        <f>'JKP-3.1c - Revenue'!P16+'JKP-3.1c - Revenue'!Q16</f>
        <v>-5980051.3098260062</v>
      </c>
      <c r="N14" s="751">
        <f>'JKP-3.1c - Revenue'!R16</f>
        <v>759944.18946600426</v>
      </c>
      <c r="O14" s="751">
        <f>'JKP-3.1c - Revenue'!S16</f>
        <v>28522.985369999999</v>
      </c>
      <c r="P14" s="751">
        <v>0</v>
      </c>
      <c r="Q14" s="793">
        <f t="shared" si="0"/>
        <v>-6772737.9339506179</v>
      </c>
      <c r="R14" s="751">
        <f>'JKP-3.1c - Revenue'!V16</f>
        <v>64910747.532030001</v>
      </c>
      <c r="S14" s="751"/>
      <c r="T14" s="192">
        <f t="shared" si="1"/>
        <v>0</v>
      </c>
      <c r="U14" s="192">
        <f t="shared" si="2"/>
        <v>0</v>
      </c>
      <c r="V14" s="792"/>
    </row>
    <row r="15" spans="1:22" s="179" customFormat="1" x14ac:dyDescent="0.2">
      <c r="B15" s="179">
        <f t="shared" si="3"/>
        <v>4</v>
      </c>
      <c r="C15" s="794" t="s">
        <v>1184</v>
      </c>
      <c r="D15" s="751">
        <f>+'JKP-3.1c - Revenue'!D17</f>
        <v>1249750.9656922717</v>
      </c>
      <c r="E15" s="751">
        <f>+'JKP-3.1c - Revenue'!E17</f>
        <v>-57184.99412615598</v>
      </c>
      <c r="F15" s="751">
        <f>+'JKP-3.1c - Revenue'!F17</f>
        <v>-4567.33</v>
      </c>
      <c r="G15" s="751">
        <f>SUM('JKP-3.1c - Revenue'!G17:J17)</f>
        <v>-3158.3317470717757</v>
      </c>
      <c r="H15" s="751">
        <f>SUM('JKP-3.1c - Revenue'!K17:K17)</f>
        <v>-35514.348009043839</v>
      </c>
      <c r="I15" s="751">
        <f>'JKP-3.1c - Revenue'!L17</f>
        <v>4766.9454500002321</v>
      </c>
      <c r="J15" s="751">
        <f>+'JKP-3.1c - Revenue'!M17</f>
        <v>0</v>
      </c>
      <c r="K15" s="751">
        <f>'JKP-3.1c - Revenue'!N17</f>
        <v>43114.429339999799</v>
      </c>
      <c r="L15" s="751">
        <f>'JKP-3.1c - Revenue'!O17</f>
        <v>0</v>
      </c>
      <c r="M15" s="751">
        <f>'JKP-3.1c - Revenue'!P17</f>
        <v>436763.93581574393</v>
      </c>
      <c r="N15" s="751">
        <f>+'JKP-3.1c - Revenue'!R17</f>
        <v>2198.3353042562376</v>
      </c>
      <c r="O15" s="751">
        <v>0</v>
      </c>
      <c r="P15" s="751">
        <v>0</v>
      </c>
      <c r="Q15" s="793">
        <f t="shared" si="0"/>
        <v>386418.64202772779</v>
      </c>
      <c r="R15" s="751">
        <f>+'JKP-3.1c - Revenue'!V17</f>
        <v>1636169.6077199995</v>
      </c>
      <c r="S15" s="751"/>
      <c r="T15" s="192">
        <f t="shared" si="1"/>
        <v>0</v>
      </c>
      <c r="U15" s="192">
        <f t="shared" si="2"/>
        <v>-8.149072527885437E-10</v>
      </c>
      <c r="V15" s="792"/>
    </row>
    <row r="16" spans="1:22" s="179" customFormat="1" x14ac:dyDescent="0.2">
      <c r="B16" s="179">
        <f t="shared" si="3"/>
        <v>5</v>
      </c>
      <c r="C16" s="196" t="s">
        <v>837</v>
      </c>
      <c r="D16" s="751">
        <f>'JKP-3.1c - Revenue'!D19</f>
        <v>13142638.370200474</v>
      </c>
      <c r="E16" s="751">
        <f>'JKP-3.1c - Revenue'!E19</f>
        <v>-510346.01000000007</v>
      </c>
      <c r="F16" s="751">
        <f>'JKP-3.1c - Revenue'!F19</f>
        <v>0</v>
      </c>
      <c r="G16" s="751">
        <f>SUM('JKP-3.1c - Revenue'!G19:J19)</f>
        <v>1046443.3973542786</v>
      </c>
      <c r="H16" s="751">
        <f>SUM('JKP-3.1c - Revenue'!K19:K19)</f>
        <v>-11744.864844750613</v>
      </c>
      <c r="I16" s="751">
        <f>'JKP-3.1c - Revenue'!L19</f>
        <v>6865.4583000000566</v>
      </c>
      <c r="J16" s="751">
        <f>'JKP-3.1c - Revenue'!M19</f>
        <v>-521703.80142000131</v>
      </c>
      <c r="K16" s="751">
        <f>'JKP-3.1c - Revenue'!N19</f>
        <v>46068.265029998496</v>
      </c>
      <c r="L16" s="751">
        <f>'JKP-3.1c - Revenue'!O19</f>
        <v>-3601.7799999999997</v>
      </c>
      <c r="M16" s="751">
        <f>'JKP-3.1c - Revenue'!P19</f>
        <v>0</v>
      </c>
      <c r="N16" s="751">
        <f>'JKP-3.1c - Revenue'!R19</f>
        <v>253251.46997000158</v>
      </c>
      <c r="O16" s="751">
        <f>'JKP-3.1c - Revenue'!S19</f>
        <v>7259.6277600000003</v>
      </c>
      <c r="P16" s="751">
        <v>0</v>
      </c>
      <c r="Q16" s="793">
        <f t="shared" si="0"/>
        <v>312491.76214952581</v>
      </c>
      <c r="R16" s="751">
        <f>'JKP-3.1c - Revenue'!V19</f>
        <v>13455130.13235</v>
      </c>
      <c r="S16" s="751"/>
      <c r="T16" s="192">
        <f t="shared" si="1"/>
        <v>0</v>
      </c>
      <c r="U16" s="192">
        <f t="shared" si="2"/>
        <v>-8.7311491370201111E-10</v>
      </c>
      <c r="V16" s="792"/>
    </row>
    <row r="17" spans="2:22" s="179" customFormat="1" x14ac:dyDescent="0.2">
      <c r="B17" s="179">
        <f t="shared" si="3"/>
        <v>6</v>
      </c>
      <c r="C17" s="794" t="s">
        <v>1228</v>
      </c>
      <c r="D17" s="751">
        <f>+'JKP-3.1c - Revenue'!D20</f>
        <v>7467604.9590177173</v>
      </c>
      <c r="E17" s="751">
        <f>+'JKP-3.1c - Revenue'!E20</f>
        <v>-372627.75300359027</v>
      </c>
      <c r="F17" s="751">
        <f>+'JKP-3.1c - Revenue'!F20</f>
        <v>-10081.700000000001</v>
      </c>
      <c r="G17" s="751">
        <f>SUM('JKP-3.1c - Revenue'!G20:J20)</f>
        <v>-17954.955706992681</v>
      </c>
      <c r="H17" s="751">
        <f>+SUM('JKP-3.1c - Revenue'!K20:K20)</f>
        <v>-82654.268027133308</v>
      </c>
      <c r="I17" s="751">
        <f>'JKP-3.1c - Revenue'!L20</f>
        <v>21820.781400000677</v>
      </c>
      <c r="J17" s="751">
        <f>+'JKP-3.1c - Revenue'!M20</f>
        <v>0</v>
      </c>
      <c r="K17" s="751">
        <f>'JKP-3.1c - Revenue'!N20</f>
        <v>168728.1923299972</v>
      </c>
      <c r="L17" s="751">
        <f>'JKP-3.1c - Revenue'!O20</f>
        <v>-384886.69999999995</v>
      </c>
      <c r="M17" s="751">
        <f>'JKP-3.1c - Revenue'!P20</f>
        <v>-73143.361187650007</v>
      </c>
      <c r="N17" s="751">
        <f>+'JKP-3.1c - Revenue'!R20</f>
        <v>-4.8102349159307778E-2</v>
      </c>
      <c r="O17" s="751">
        <v>0</v>
      </c>
      <c r="P17" s="751">
        <v>0</v>
      </c>
      <c r="Q17" s="793">
        <f t="shared" si="0"/>
        <v>-750799.81229771674</v>
      </c>
      <c r="R17" s="751">
        <f>+'JKP-3.1c - Revenue'!V20</f>
        <v>6716805.1467200005</v>
      </c>
      <c r="S17" s="751"/>
      <c r="T17" s="192">
        <f t="shared" si="1"/>
        <v>0</v>
      </c>
      <c r="U17" s="192">
        <f t="shared" si="2"/>
        <v>0</v>
      </c>
      <c r="V17" s="792"/>
    </row>
    <row r="18" spans="2:22" s="179" customFormat="1" x14ac:dyDescent="0.2">
      <c r="B18" s="179">
        <f t="shared" si="3"/>
        <v>7</v>
      </c>
      <c r="C18" s="196" t="s">
        <v>839</v>
      </c>
      <c r="D18" s="751">
        <f>'JKP-3.1c - Revenue'!D21</f>
        <v>11902949.430733029</v>
      </c>
      <c r="E18" s="751">
        <f>'JKP-3.1c - Revenue'!E21</f>
        <v>-621833.04999999993</v>
      </c>
      <c r="F18" s="751">
        <f>'JKP-3.1c - Revenue'!F21</f>
        <v>0</v>
      </c>
      <c r="G18" s="751">
        <f>SUM('JKP-3.1c - Revenue'!G21:J21)</f>
        <v>803355.89896104252</v>
      </c>
      <c r="H18" s="751">
        <f>SUM('JKP-3.1c - Revenue'!K21:K21)</f>
        <v>310086.01839593053</v>
      </c>
      <c r="I18" s="751">
        <f>'JKP-3.1c - Revenue'!L21</f>
        <v>12773.714999999851</v>
      </c>
      <c r="J18" s="751">
        <f>'JKP-3.1c - Revenue'!M21</f>
        <v>-392694.18651000038</v>
      </c>
      <c r="K18" s="751">
        <f>'JKP-3.1c - Revenue'!N21</f>
        <v>70812.786369999871</v>
      </c>
      <c r="L18" s="751">
        <f>'JKP-3.1c - Revenue'!O21</f>
        <v>0</v>
      </c>
      <c r="M18" s="751">
        <f>'JKP-3.1c - Revenue'!P21</f>
        <v>0</v>
      </c>
      <c r="N18" s="751">
        <f>'JKP-3.1c - Revenue'!R21</f>
        <v>302794.3715500012</v>
      </c>
      <c r="O18" s="751">
        <f>'JKP-3.1c - Revenue'!S21</f>
        <v>5972.51854</v>
      </c>
      <c r="P18" s="751">
        <v>0</v>
      </c>
      <c r="Q18" s="793">
        <f t="shared" si="0"/>
        <v>491268.072306972</v>
      </c>
      <c r="R18" s="751">
        <f>'JKP-3.1c - Revenue'!V21</f>
        <v>12394217.503040001</v>
      </c>
      <c r="S18" s="751"/>
      <c r="T18" s="192">
        <f t="shared" si="1"/>
        <v>0</v>
      </c>
      <c r="U18" s="192">
        <f t="shared" si="2"/>
        <v>-1.6880221664905548E-9</v>
      </c>
      <c r="V18" s="792"/>
    </row>
    <row r="19" spans="2:22" s="179" customFormat="1" x14ac:dyDescent="0.2">
      <c r="B19" s="179">
        <f t="shared" si="3"/>
        <v>8</v>
      </c>
      <c r="C19" s="343" t="s">
        <v>840</v>
      </c>
      <c r="D19" s="751">
        <f>'JKP-3.1c - Revenue'!D22</f>
        <v>6923.7635238233515</v>
      </c>
      <c r="E19" s="751">
        <f>'JKP-3.1c - Revenue'!E22</f>
        <v>-396.48316629779589</v>
      </c>
      <c r="F19" s="751">
        <f>'JKP-3.1c - Revenue'!F22</f>
        <v>0</v>
      </c>
      <c r="G19" s="751">
        <f>SUM('JKP-3.1c - Revenue'!G22:J22)</f>
        <v>-4.68</v>
      </c>
      <c r="H19" s="751">
        <f>SUM('JKP-3.1c - Revenue'!K22:K22)</f>
        <v>-192.18315752555463</v>
      </c>
      <c r="I19" s="751">
        <f>'JKP-3.1c - Revenue'!L22</f>
        <v>0</v>
      </c>
      <c r="J19" s="751">
        <f>'JKP-3.1c - Revenue'!M22</f>
        <v>0</v>
      </c>
      <c r="K19" s="751">
        <f>'JKP-3.1c - Revenue'!N22</f>
        <v>153.33090999999877</v>
      </c>
      <c r="L19" s="751">
        <f>'JKP-3.1c - Revenue'!O22</f>
        <v>0</v>
      </c>
      <c r="M19" s="751">
        <f>'JKP-3.1c - Revenue'!P22</f>
        <v>10158.292411397</v>
      </c>
      <c r="N19" s="751">
        <f>'JKP-3.1c - Revenue'!R22</f>
        <v>1.9518602999596624E-2</v>
      </c>
      <c r="O19" s="751">
        <f>'JKP-3.1c - Revenue'!S22</f>
        <v>0</v>
      </c>
      <c r="P19" s="751">
        <v>0</v>
      </c>
      <c r="Q19" s="793">
        <f t="shared" si="0"/>
        <v>9718.2965161766515</v>
      </c>
      <c r="R19" s="751">
        <f>'JKP-3.1c - Revenue'!V22</f>
        <v>16642.060040000004</v>
      </c>
      <c r="S19" s="751"/>
      <c r="T19" s="192">
        <f t="shared" si="1"/>
        <v>0</v>
      </c>
      <c r="U19" s="192">
        <f t="shared" si="2"/>
        <v>0</v>
      </c>
      <c r="V19" s="792"/>
    </row>
    <row r="20" spans="2:22" s="179" customFormat="1" x14ac:dyDescent="0.2">
      <c r="B20" s="179">
        <f t="shared" si="3"/>
        <v>9</v>
      </c>
      <c r="C20" s="196" t="s">
        <v>841</v>
      </c>
      <c r="D20" s="751">
        <f>'JKP-3.1c - Revenue'!D23</f>
        <v>20554073.977480181</v>
      </c>
      <c r="E20" s="751">
        <f>'JKP-3.1c - Revenue'!E23</f>
        <v>-873287.60000000009</v>
      </c>
      <c r="F20" s="751">
        <f>'JKP-3.1c - Revenue'!F23</f>
        <v>0</v>
      </c>
      <c r="G20" s="751">
        <f>SUM('JKP-3.1c - Revenue'!G23:J23)</f>
        <v>1750345.7454440109</v>
      </c>
      <c r="H20" s="751">
        <f>SUM('JKP-3.1c - Revenue'!K23:K23)</f>
        <v>612359.00296581164</v>
      </c>
      <c r="I20" s="751">
        <f>'JKP-3.1c - Revenue'!L23</f>
        <v>6288.8174699991941</v>
      </c>
      <c r="J20" s="751">
        <f>'JKP-3.1c - Revenue'!M23</f>
        <v>-903480.43735999614</v>
      </c>
      <c r="K20" s="751">
        <f>'JKP-3.1c - Revenue'!N23</f>
        <v>39577.2384499982</v>
      </c>
      <c r="L20" s="751">
        <f>'JKP-3.1c - Revenue'!O23</f>
        <v>0</v>
      </c>
      <c r="M20" s="751">
        <f>'JKP-3.1c - Revenue'!P23</f>
        <v>0</v>
      </c>
      <c r="N20" s="751">
        <f>'JKP-3.1c - Revenue'!R23</f>
        <v>353348.31000000238</v>
      </c>
      <c r="O20" s="751">
        <f>'JKP-3.1c - Revenue'!S23</f>
        <v>12915.33165</v>
      </c>
      <c r="P20" s="751">
        <v>0</v>
      </c>
      <c r="Q20" s="793">
        <f t="shared" si="0"/>
        <v>998066.40861982107</v>
      </c>
      <c r="R20" s="751">
        <f>'JKP-3.1c - Revenue'!V23</f>
        <v>21552140.386100002</v>
      </c>
      <c r="S20" s="751"/>
      <c r="T20" s="192">
        <f t="shared" si="1"/>
        <v>0</v>
      </c>
      <c r="U20" s="192">
        <f t="shared" si="2"/>
        <v>-5.005858838558197E-9</v>
      </c>
      <c r="V20" s="792"/>
    </row>
    <row r="21" spans="2:22" s="179" customFormat="1" x14ac:dyDescent="0.2">
      <c r="B21" s="179">
        <f t="shared" si="3"/>
        <v>10</v>
      </c>
      <c r="C21" s="794" t="s">
        <v>1230</v>
      </c>
      <c r="D21" s="751">
        <f>+'JKP-3.1c - Revenue'!D24</f>
        <v>4354353.3662647102</v>
      </c>
      <c r="E21" s="751">
        <f>+'JKP-3.1c - Revenue'!E24</f>
        <v>-262337.48970395594</v>
      </c>
      <c r="F21" s="751">
        <f>+'JKP-3.1c - Revenue'!F24</f>
        <v>-36143.660000000003</v>
      </c>
      <c r="G21" s="751">
        <f>SUM('JKP-3.1c - Revenue'!G24:J24)</f>
        <v>29725.457900843889</v>
      </c>
      <c r="H21" s="751">
        <f>+SUM('JKP-3.1c - Revenue'!K24:K24)</f>
        <v>-20001.042021598201</v>
      </c>
      <c r="I21" s="751">
        <f>'JKP-3.1c - Revenue'!L24</f>
        <v>13548.599409999792</v>
      </c>
      <c r="J21" s="751">
        <f>+'JKP-3.1c - Revenue'!M24</f>
        <v>0</v>
      </c>
      <c r="K21" s="751">
        <f>'JKP-3.1c - Revenue'!N24</f>
        <v>99110.023600000422</v>
      </c>
      <c r="L21" s="751">
        <f>'JKP-3.1c - Revenue'!O24</f>
        <v>0</v>
      </c>
      <c r="M21" s="751">
        <f>'JKP-3.1c - Revenue'!P24</f>
        <v>0</v>
      </c>
      <c r="N21" s="751">
        <f>+'JKP-3.1c - Revenue'!R24</f>
        <v>12177.270360000432</v>
      </c>
      <c r="O21" s="751">
        <v>0</v>
      </c>
      <c r="P21" s="751">
        <v>0</v>
      </c>
      <c r="Q21" s="793">
        <f t="shared" si="0"/>
        <v>-163920.84045470972</v>
      </c>
      <c r="R21" s="751">
        <f>+'JKP-3.1c - Revenue'!V24</f>
        <v>4190432.5258100005</v>
      </c>
      <c r="S21" s="751"/>
      <c r="T21" s="192">
        <f t="shared" si="1"/>
        <v>0</v>
      </c>
      <c r="U21" s="192">
        <f t="shared" si="2"/>
        <v>0</v>
      </c>
      <c r="V21" s="792"/>
    </row>
    <row r="22" spans="2:22" s="179" customFormat="1" x14ac:dyDescent="0.2">
      <c r="B22" s="179">
        <f t="shared" si="3"/>
        <v>11</v>
      </c>
      <c r="C22" s="196" t="s">
        <v>844</v>
      </c>
      <c r="D22" s="751">
        <f>'JKP-3.1c - Revenue'!D25</f>
        <v>1633825.8565776236</v>
      </c>
      <c r="E22" s="751">
        <f>'JKP-3.1c - Revenue'!E25</f>
        <v>-84921.869999999981</v>
      </c>
      <c r="F22" s="751">
        <f>'JKP-3.1c - Revenue'!F25</f>
        <v>0</v>
      </c>
      <c r="G22" s="751">
        <f>SUM('JKP-3.1c - Revenue'!G25:J25)</f>
        <v>16759.323349999999</v>
      </c>
      <c r="H22" s="751">
        <f>SUM('JKP-3.1c - Revenue'!K25:K25)</f>
        <v>28069.365072376328</v>
      </c>
      <c r="I22" s="751">
        <f>'JKP-3.1c - Revenue'!L25</f>
        <v>39035.608259999892</v>
      </c>
      <c r="J22" s="751">
        <f>'JKP-3.1c - Revenue'!M25</f>
        <v>0</v>
      </c>
      <c r="K22" s="751">
        <f>'JKP-3.1c - Revenue'!N25</f>
        <v>16967.159999999683</v>
      </c>
      <c r="L22" s="751">
        <f>'JKP-3.1c - Revenue'!O25</f>
        <v>0</v>
      </c>
      <c r="M22" s="751">
        <f>'JKP-3.1c - Revenue'!P25</f>
        <v>0</v>
      </c>
      <c r="N22" s="751">
        <f>'JKP-3.1c - Revenue'!R25</f>
        <v>8880.4138899999671</v>
      </c>
      <c r="O22" s="751">
        <f>'JKP-3.1c - Revenue'!S25</f>
        <v>0</v>
      </c>
      <c r="P22" s="751">
        <v>0</v>
      </c>
      <c r="Q22" s="793">
        <f t="shared" si="0"/>
        <v>24790.000572376186</v>
      </c>
      <c r="R22" s="751">
        <f>'JKP-3.1c - Revenue'!V25</f>
        <v>1658615.8571499998</v>
      </c>
      <c r="S22" s="751"/>
      <c r="T22" s="192">
        <f t="shared" si="1"/>
        <v>0</v>
      </c>
      <c r="U22" s="192">
        <f t="shared" si="2"/>
        <v>2.9103830456733704E-10</v>
      </c>
      <c r="V22" s="792"/>
    </row>
    <row r="23" spans="2:22" s="179" customFormat="1" x14ac:dyDescent="0.2">
      <c r="B23" s="179">
        <f t="shared" si="3"/>
        <v>12</v>
      </c>
      <c r="C23" s="196" t="s">
        <v>845</v>
      </c>
      <c r="D23" s="344">
        <f t="shared" ref="D23:R23" si="4">SUM(D12:D22)</f>
        <v>996817577.51000023</v>
      </c>
      <c r="E23" s="344">
        <f t="shared" si="4"/>
        <v>-43372051.579999998</v>
      </c>
      <c r="F23" s="344">
        <f t="shared" si="4"/>
        <v>-1206882.625</v>
      </c>
      <c r="G23" s="344">
        <f t="shared" si="4"/>
        <v>45793159.423423059</v>
      </c>
      <c r="H23" s="344">
        <f t="shared" si="4"/>
        <v>10634442.391596869</v>
      </c>
      <c r="I23" s="344">
        <f>SUM(I12:I22)</f>
        <v>3273298.9931300431</v>
      </c>
      <c r="J23" s="344">
        <f t="shared" si="4"/>
        <v>-21345994.175970029</v>
      </c>
      <c r="K23" s="344">
        <f>SUM(K12:K22)</f>
        <v>18001388.606509957</v>
      </c>
      <c r="L23" s="344">
        <f>SUM(L12:L22)</f>
        <v>-388488.48</v>
      </c>
      <c r="M23" s="344">
        <f>SUM(M12:M22)</f>
        <v>-1451005.557864079</v>
      </c>
      <c r="N23" s="344">
        <f t="shared" si="4"/>
        <v>33261442.293983929</v>
      </c>
      <c r="O23" s="344">
        <f t="shared" si="4"/>
        <v>405346.65329000005</v>
      </c>
      <c r="P23" s="344">
        <f t="shared" si="4"/>
        <v>0</v>
      </c>
      <c r="Q23" s="344">
        <f t="shared" si="4"/>
        <v>43604655.943099879</v>
      </c>
      <c r="R23" s="344">
        <f t="shared" si="4"/>
        <v>1040422233.4531</v>
      </c>
      <c r="S23" s="676"/>
      <c r="T23" s="192">
        <f t="shared" si="1"/>
        <v>0</v>
      </c>
      <c r="U23" s="192">
        <f t="shared" si="2"/>
        <v>1.2665987014770508E-7</v>
      </c>
      <c r="V23" s="676"/>
    </row>
    <row r="24" spans="2:22" s="179" customFormat="1" x14ac:dyDescent="0.2">
      <c r="C24" s="196"/>
      <c r="D24" s="437"/>
      <c r="E24" s="437"/>
      <c r="F24" s="437"/>
      <c r="G24" s="437"/>
      <c r="H24" s="437"/>
      <c r="I24" s="437"/>
      <c r="J24" s="437"/>
      <c r="K24" s="437"/>
      <c r="L24" s="437"/>
      <c r="M24" s="437"/>
      <c r="N24" s="437"/>
      <c r="O24" s="437"/>
      <c r="P24" s="437"/>
      <c r="Q24" s="437"/>
      <c r="R24" s="437"/>
      <c r="S24" s="437">
        <f>SUM(S12:S22)-S23</f>
        <v>0</v>
      </c>
      <c r="U24" s="192"/>
      <c r="V24" s="195"/>
    </row>
    <row r="25" spans="2:22" s="179" customFormat="1" x14ac:dyDescent="0.2">
      <c r="B25" s="179">
        <f>B23+1</f>
        <v>13</v>
      </c>
      <c r="C25" s="196" t="s">
        <v>90</v>
      </c>
      <c r="D25" s="447">
        <f>'JKP-3.1c - Revenue'!D28</f>
        <v>8029154.1999999993</v>
      </c>
      <c r="E25" s="447">
        <f>'JKP-3.1c - Revenue'!E28</f>
        <v>-389945.3</v>
      </c>
      <c r="F25" s="447">
        <f>'JKP-3.1c - Revenue'!F28</f>
        <v>0</v>
      </c>
      <c r="G25" s="447">
        <f>SUM('JKP-3.1c - Revenue'!G28:J28)</f>
        <v>0</v>
      </c>
      <c r="H25" s="447">
        <f>'JKP-3.1c - Revenue'!K28</f>
        <v>66948.070000001229</v>
      </c>
      <c r="I25" s="447">
        <f>'JKP-3.1c - Revenue'!L28</f>
        <v>51274.660000000149</v>
      </c>
      <c r="J25" s="447">
        <f>'JKP-3.1c - Revenue'!M28</f>
        <v>0</v>
      </c>
      <c r="K25" s="447">
        <f>'JKP-3.1c - Revenue'!N28</f>
        <v>381349.90999999829</v>
      </c>
      <c r="L25" s="447">
        <v>0</v>
      </c>
      <c r="M25" s="447">
        <f>'JKP-3.1c - Revenue'!P28</f>
        <v>0</v>
      </c>
      <c r="N25" s="447">
        <f>'JKP-3.1c - Revenue'!R28</f>
        <v>0</v>
      </c>
      <c r="O25" s="447">
        <f>'JKP-3.1c - Revenue'!S28</f>
        <v>0</v>
      </c>
      <c r="P25" s="447">
        <v>0</v>
      </c>
      <c r="Q25" s="437">
        <f>R25-D25</f>
        <v>109627.33999999985</v>
      </c>
      <c r="R25" s="751">
        <f>'JKP-3.1c - Revenue'!V28</f>
        <v>8138781.5399999991</v>
      </c>
      <c r="S25" s="676"/>
      <c r="T25" s="192">
        <f>R25-(Q25+D25)</f>
        <v>0</v>
      </c>
      <c r="U25" s="192">
        <f>Q25-SUM(E25:P25)</f>
        <v>1.7462298274040222E-10</v>
      </c>
      <c r="V25" s="195"/>
    </row>
    <row r="26" spans="2:22" s="179" customFormat="1" x14ac:dyDescent="0.2">
      <c r="B26" s="179">
        <f>B25+1</f>
        <v>14</v>
      </c>
      <c r="C26" s="196" t="s">
        <v>1376</v>
      </c>
      <c r="D26" s="447">
        <f>'JKP-3.1c - Revenue'!D29</f>
        <v>6683784.5399999991</v>
      </c>
      <c r="E26" s="447">
        <f>'JKP-3.1c - Revenue'!E29</f>
        <v>0</v>
      </c>
      <c r="F26" s="437">
        <f>-F23</f>
        <v>1206882.625</v>
      </c>
      <c r="G26" s="745">
        <f>'JKP-3.1c - Revenue'!J29</f>
        <v>0</v>
      </c>
      <c r="H26" s="745">
        <f>'JKP-3.1c - Revenue'!K29</f>
        <v>0</v>
      </c>
      <c r="I26" s="745">
        <f>'JKP-3.1c - Revenue'!L29</f>
        <v>0</v>
      </c>
      <c r="J26" s="745">
        <f>'JKP-3.1c - Revenue'!M29</f>
        <v>0</v>
      </c>
      <c r="K26" s="447">
        <f>'JKP-3.1c - Revenue'!N29</f>
        <v>0</v>
      </c>
      <c r="L26" s="447">
        <v>0</v>
      </c>
      <c r="M26" s="447">
        <f>'JKP-3.1c - Revenue'!P29</f>
        <v>0</v>
      </c>
      <c r="N26" s="447">
        <f>'JKP-3.1c - Revenue'!R29</f>
        <v>0</v>
      </c>
      <c r="O26" s="447">
        <f>'JKP-3.1c - Revenue'!S29</f>
        <v>0</v>
      </c>
      <c r="P26" s="447">
        <f>'JKP-3.1c - Revenue'!T29</f>
        <v>-1130625</v>
      </c>
      <c r="Q26" s="437">
        <f>R26-D26</f>
        <v>76257.625</v>
      </c>
      <c r="R26" s="751">
        <f>'JKP-3.1c - Revenue'!V29</f>
        <v>6760042.1649999991</v>
      </c>
      <c r="S26" s="676"/>
      <c r="T26" s="192">
        <f>R26-(Q26+D26)</f>
        <v>0</v>
      </c>
      <c r="U26" s="192">
        <f>Q26-SUM(E26:P26)</f>
        <v>0</v>
      </c>
      <c r="V26" s="195"/>
    </row>
    <row r="27" spans="2:22" s="179" customFormat="1" x14ac:dyDescent="0.2">
      <c r="B27" s="179">
        <f>B26+1</f>
        <v>15</v>
      </c>
      <c r="C27" s="196" t="s">
        <v>1377</v>
      </c>
      <c r="D27" s="344">
        <f t="shared" ref="D27:R27" si="5">SUM(D25:D26)</f>
        <v>14712938.739999998</v>
      </c>
      <c r="E27" s="344">
        <f t="shared" si="5"/>
        <v>-389945.3</v>
      </c>
      <c r="F27" s="344">
        <f t="shared" si="5"/>
        <v>1206882.625</v>
      </c>
      <c r="G27" s="344">
        <f t="shared" si="5"/>
        <v>0</v>
      </c>
      <c r="H27" s="344">
        <f t="shared" si="5"/>
        <v>66948.070000001229</v>
      </c>
      <c r="I27" s="344">
        <f>SUM(I25:I26)</f>
        <v>51274.660000000149</v>
      </c>
      <c r="J27" s="344">
        <f t="shared" si="5"/>
        <v>0</v>
      </c>
      <c r="K27" s="344">
        <f t="shared" si="5"/>
        <v>381349.90999999829</v>
      </c>
      <c r="L27" s="344"/>
      <c r="M27" s="344">
        <f>SUM(M25:M26)</f>
        <v>0</v>
      </c>
      <c r="N27" s="344">
        <f t="shared" si="5"/>
        <v>0</v>
      </c>
      <c r="O27" s="344">
        <f t="shared" si="5"/>
        <v>0</v>
      </c>
      <c r="P27" s="344">
        <f t="shared" si="5"/>
        <v>-1130625</v>
      </c>
      <c r="Q27" s="344">
        <f t="shared" si="5"/>
        <v>185884.96499999985</v>
      </c>
      <c r="R27" s="344">
        <f t="shared" si="5"/>
        <v>14898823.704999998</v>
      </c>
      <c r="S27" s="676"/>
      <c r="T27" s="192">
        <f>R27-(Q27+D27)</f>
        <v>0</v>
      </c>
      <c r="U27" s="192">
        <f>Q27-SUM(E27:P27)</f>
        <v>2.3283064365386963E-10</v>
      </c>
      <c r="V27" s="195"/>
    </row>
    <row r="28" spans="2:22" s="179" customFormat="1" x14ac:dyDescent="0.2">
      <c r="B28" s="179">
        <f>B27+1</f>
        <v>16</v>
      </c>
      <c r="C28" s="196" t="s">
        <v>1378</v>
      </c>
      <c r="D28" s="344">
        <f t="shared" ref="D28:R28" si="6">D23+D27</f>
        <v>1011530516.2500002</v>
      </c>
      <c r="E28" s="344">
        <f t="shared" si="6"/>
        <v>-43761996.879999995</v>
      </c>
      <c r="F28" s="344">
        <f t="shared" si="6"/>
        <v>0</v>
      </c>
      <c r="G28" s="344">
        <f t="shared" si="6"/>
        <v>45793159.423423059</v>
      </c>
      <c r="H28" s="344">
        <f t="shared" si="6"/>
        <v>10701390.461596869</v>
      </c>
      <c r="I28" s="344">
        <f>I23+I27</f>
        <v>3324573.6531300433</v>
      </c>
      <c r="J28" s="344">
        <f t="shared" si="6"/>
        <v>-21345994.175970029</v>
      </c>
      <c r="K28" s="344">
        <f t="shared" si="6"/>
        <v>18382738.516509958</v>
      </c>
      <c r="L28" s="344">
        <f t="shared" si="6"/>
        <v>-388488.48</v>
      </c>
      <c r="M28" s="344">
        <f>M23+M27</f>
        <v>-1451005.557864079</v>
      </c>
      <c r="N28" s="344">
        <f t="shared" si="6"/>
        <v>33261442.293983929</v>
      </c>
      <c r="O28" s="344">
        <f t="shared" si="6"/>
        <v>405346.65329000005</v>
      </c>
      <c r="P28" s="344">
        <f t="shared" si="6"/>
        <v>-1130625</v>
      </c>
      <c r="Q28" s="344">
        <f t="shared" si="6"/>
        <v>43790540.908099875</v>
      </c>
      <c r="R28" s="344">
        <f t="shared" si="6"/>
        <v>1055321057.1581</v>
      </c>
      <c r="S28" s="676"/>
      <c r="T28" s="192">
        <f>R28-(Q28+D28)</f>
        <v>0</v>
      </c>
      <c r="U28" s="192">
        <f>Q28-SUM(E28:P28)</f>
        <v>1.1920928955078125E-7</v>
      </c>
      <c r="V28" s="195"/>
    </row>
    <row r="29" spans="2:22" s="179" customFormat="1" x14ac:dyDescent="0.2">
      <c r="C29" s="196"/>
      <c r="D29" s="676"/>
      <c r="E29" s="676"/>
      <c r="F29" s="676"/>
      <c r="G29" s="676"/>
      <c r="H29" s="676"/>
      <c r="I29" s="676"/>
      <c r="J29" s="676"/>
      <c r="K29" s="676"/>
      <c r="L29" s="676"/>
      <c r="M29" s="676"/>
      <c r="N29" s="676"/>
      <c r="O29" s="676"/>
      <c r="P29" s="676"/>
      <c r="Q29" s="676"/>
      <c r="R29" s="676"/>
      <c r="S29" s="676"/>
      <c r="U29" s="192"/>
      <c r="V29" s="195"/>
    </row>
    <row r="30" spans="2:22" s="179" customFormat="1" x14ac:dyDescent="0.2">
      <c r="B30" s="179">
        <f>B28+1</f>
        <v>17</v>
      </c>
      <c r="C30" s="196" t="s">
        <v>1379</v>
      </c>
      <c r="D30" s="447">
        <f>'JKP-3.1c - Revenue'!D33</f>
        <v>594574954.27000034</v>
      </c>
      <c r="E30" s="676"/>
      <c r="F30" s="676"/>
      <c r="G30" s="676"/>
      <c r="H30" s="795">
        <f>'JKP-3.1c - Revenue'!K33</f>
        <v>6264490.2048597336</v>
      </c>
      <c r="I30" s="795"/>
      <c r="J30" s="795">
        <f>'JKP-3.1c - Revenue'!M33</f>
        <v>-20443597.337499976</v>
      </c>
      <c r="K30" s="795"/>
      <c r="L30" s="795"/>
      <c r="M30" s="795">
        <f>SUM('JKP-3.1c - Revenue'!P33:Q33)</f>
        <v>-1030594.9665145392</v>
      </c>
      <c r="N30" s="795">
        <f>'JKP-3.1c - Revenue'!R33</f>
        <v>21569842.008104395</v>
      </c>
      <c r="O30" s="795"/>
      <c r="P30" s="795"/>
      <c r="Q30" s="437">
        <f>R30-D30</f>
        <v>6360139.9089497328</v>
      </c>
      <c r="R30" s="713">
        <f>'JKP-3.1c - Revenue'!V33</f>
        <v>600935094.17895007</v>
      </c>
      <c r="S30" s="713"/>
      <c r="T30" s="192">
        <f>R30-(Q30+D30)</f>
        <v>0</v>
      </c>
      <c r="U30" s="192">
        <f>Q30-SUM(E30:P30)</f>
        <v>1.1920928955078125E-7</v>
      </c>
      <c r="V30" s="195"/>
    </row>
    <row r="31" spans="2:22" s="179" customFormat="1" x14ac:dyDescent="0.2">
      <c r="B31" s="179">
        <f>B30+1</f>
        <v>18</v>
      </c>
      <c r="C31" s="196" t="s">
        <v>1380</v>
      </c>
      <c r="D31" s="447"/>
      <c r="E31" s="676"/>
      <c r="F31" s="676"/>
      <c r="G31" s="676"/>
      <c r="H31" s="676"/>
      <c r="I31" s="676"/>
      <c r="J31" s="676"/>
      <c r="K31" s="676"/>
      <c r="L31" s="676"/>
      <c r="M31" s="676"/>
      <c r="N31" s="676"/>
      <c r="O31" s="676"/>
      <c r="P31" s="676"/>
      <c r="Q31" s="676"/>
      <c r="R31" s="713">
        <f>'JKP-3.1c - Revenue'!V34</f>
        <v>628515102.77643001</v>
      </c>
      <c r="S31" s="713"/>
      <c r="T31" s="192"/>
      <c r="V31" s="195"/>
    </row>
    <row r="32" spans="2:22" s="336" customFormat="1" x14ac:dyDescent="0.2">
      <c r="C32" s="338"/>
      <c r="D32" s="447"/>
      <c r="E32" s="340"/>
      <c r="F32" s="340"/>
      <c r="G32" s="340"/>
      <c r="H32" s="340"/>
      <c r="I32" s="340"/>
      <c r="J32" s="340"/>
      <c r="K32" s="340"/>
      <c r="L32" s="340"/>
      <c r="M32" s="340"/>
      <c r="N32" s="340"/>
      <c r="O32" s="340"/>
      <c r="P32" s="340"/>
      <c r="Q32" s="340"/>
      <c r="R32" s="713"/>
      <c r="S32" s="713"/>
      <c r="V32" s="415"/>
    </row>
    <row r="33" spans="2:22" x14ac:dyDescent="0.2">
      <c r="C33" s="343"/>
      <c r="D33" s="340"/>
      <c r="E33" s="417"/>
      <c r="F33" s="417"/>
      <c r="G33" s="417"/>
      <c r="H33" s="417"/>
      <c r="I33" s="417"/>
      <c r="J33" s="417"/>
      <c r="K33" s="417"/>
      <c r="L33" s="417"/>
      <c r="M33" s="340"/>
      <c r="N33" s="417"/>
      <c r="O33" s="417"/>
      <c r="P33" s="340"/>
      <c r="Q33" s="417"/>
      <c r="R33" s="417"/>
      <c r="S33" s="417"/>
    </row>
    <row r="34" spans="2:22" x14ac:dyDescent="0.2">
      <c r="B34" s="360" t="s">
        <v>1396</v>
      </c>
      <c r="D34" s="340"/>
      <c r="E34" s="417"/>
      <c r="F34" s="417"/>
      <c r="G34" s="417"/>
      <c r="H34" s="417"/>
      <c r="I34" s="417"/>
      <c r="J34" s="417"/>
      <c r="K34" s="417"/>
      <c r="L34" s="417"/>
      <c r="M34" s="340"/>
      <c r="N34" s="417"/>
      <c r="O34" s="417"/>
      <c r="P34" s="340"/>
      <c r="Q34" s="417"/>
      <c r="R34" s="417"/>
      <c r="S34" s="417"/>
    </row>
    <row r="35" spans="2:22" s="277" customFormat="1" x14ac:dyDescent="0.2">
      <c r="C35" s="794"/>
      <c r="D35" s="179"/>
      <c r="E35" s="734" t="s">
        <v>77</v>
      </c>
      <c r="F35" s="734" t="s">
        <v>77</v>
      </c>
      <c r="G35" s="734"/>
      <c r="H35" s="463"/>
      <c r="I35" s="463"/>
      <c r="M35" s="676"/>
      <c r="N35" s="463"/>
      <c r="O35" s="463"/>
      <c r="P35" s="676"/>
      <c r="Q35" s="463"/>
      <c r="R35" s="463"/>
      <c r="S35" s="463"/>
      <c r="V35" s="425"/>
    </row>
    <row r="36" spans="2:22" s="277" customFormat="1" x14ac:dyDescent="0.2">
      <c r="C36" s="794"/>
      <c r="D36" s="179"/>
      <c r="E36" s="734" t="s">
        <v>1362</v>
      </c>
      <c r="F36" s="734" t="s">
        <v>1362</v>
      </c>
      <c r="G36" s="734" t="s">
        <v>77</v>
      </c>
      <c r="H36" s="463"/>
      <c r="I36" s="463"/>
      <c r="M36" s="676"/>
      <c r="N36" s="463"/>
      <c r="O36" s="463"/>
      <c r="P36" s="676"/>
      <c r="Q36" s="463"/>
      <c r="R36" s="463"/>
      <c r="S36" s="463"/>
      <c r="V36" s="425"/>
    </row>
    <row r="37" spans="2:22" s="277" customFormat="1" x14ac:dyDescent="0.2">
      <c r="C37" s="794"/>
      <c r="D37" s="179"/>
      <c r="E37" s="736" t="s">
        <v>80</v>
      </c>
      <c r="F37" s="736" t="s">
        <v>1226</v>
      </c>
      <c r="G37" s="737" t="s">
        <v>87</v>
      </c>
      <c r="H37" s="463"/>
      <c r="I37" s="463"/>
      <c r="M37" s="676"/>
      <c r="N37" s="463"/>
      <c r="O37" s="463"/>
      <c r="P37" s="676"/>
      <c r="Q37" s="463"/>
      <c r="R37" s="463"/>
      <c r="S37" s="463"/>
      <c r="V37" s="425"/>
    </row>
    <row r="38" spans="2:22" s="179" customFormat="1" x14ac:dyDescent="0.2">
      <c r="C38" s="196"/>
      <c r="E38" s="665" t="s">
        <v>1369</v>
      </c>
      <c r="F38" s="665" t="s">
        <v>1370</v>
      </c>
      <c r="G38" s="665" t="s">
        <v>1371</v>
      </c>
      <c r="H38" s="676"/>
      <c r="I38" s="676"/>
      <c r="M38" s="676"/>
      <c r="N38" s="676"/>
      <c r="O38" s="676"/>
      <c r="P38" s="676"/>
      <c r="Q38" s="676"/>
      <c r="R38" s="676"/>
      <c r="S38" s="676"/>
      <c r="V38" s="195"/>
    </row>
    <row r="39" spans="2:22" s="277" customFormat="1" x14ac:dyDescent="0.2">
      <c r="B39" s="277">
        <f>B31+1</f>
        <v>19</v>
      </c>
      <c r="C39" s="794" t="s">
        <v>89</v>
      </c>
      <c r="D39" s="179"/>
      <c r="E39" s="714">
        <f>SUM('JKP-3.1c - Revenue'!Y12:Y14)</f>
        <v>394704821.82093996</v>
      </c>
      <c r="F39" s="714">
        <f>SUM('JKP-3.1c - Revenue'!Z12:Z14)</f>
        <v>377392328.41885006</v>
      </c>
      <c r="G39" s="341">
        <f t="shared" ref="G39:G49" si="7">R12-E39</f>
        <v>289229013.37180001</v>
      </c>
      <c r="H39" s="463"/>
      <c r="I39" s="463"/>
      <c r="M39" s="676"/>
      <c r="N39" s="463"/>
      <c r="O39" s="463"/>
      <c r="P39" s="676"/>
      <c r="Q39" s="463"/>
      <c r="R39" s="463"/>
      <c r="S39" s="463"/>
      <c r="T39" s="796">
        <f t="shared" ref="T39:T50" si="8">R12-G39-E39</f>
        <v>0</v>
      </c>
      <c r="V39" s="425"/>
    </row>
    <row r="40" spans="2:22" s="277" customFormat="1" x14ac:dyDescent="0.2">
      <c r="B40" s="277">
        <f t="shared" ref="B40:B50" si="9">B39+1</f>
        <v>20</v>
      </c>
      <c r="C40" s="654" t="s">
        <v>1038</v>
      </c>
      <c r="D40" s="179"/>
      <c r="E40" s="797">
        <f>SUM('JKP-3.1c - Revenue'!Y15:Y15,'JKP-3.1c - Revenue'!Y18:Y18)</f>
        <v>144583284.64950001</v>
      </c>
      <c r="F40" s="797">
        <f>SUM('JKP-3.1c - Revenue'!Z15:Z15,'JKP-3.1c - Revenue'!Z18:Z18)</f>
        <v>138242498.373</v>
      </c>
      <c r="G40" s="798">
        <f t="shared" si="7"/>
        <v>85374212.859899998</v>
      </c>
      <c r="H40" s="463"/>
      <c r="I40" s="463"/>
      <c r="M40" s="676"/>
      <c r="N40" s="463"/>
      <c r="O40" s="463"/>
      <c r="P40" s="676"/>
      <c r="Q40" s="463"/>
      <c r="R40" s="463"/>
      <c r="S40" s="463"/>
      <c r="T40" s="796">
        <f t="shared" si="8"/>
        <v>0</v>
      </c>
      <c r="V40" s="425"/>
    </row>
    <row r="41" spans="2:22" s="277" customFormat="1" x14ac:dyDescent="0.2">
      <c r="B41" s="277">
        <f t="shared" si="9"/>
        <v>21</v>
      </c>
      <c r="C41" s="794" t="s">
        <v>832</v>
      </c>
      <c r="D41" s="179"/>
      <c r="E41" s="797">
        <f>'JKP-3.1c - Revenue'!Y16</f>
        <v>48349338.333330005</v>
      </c>
      <c r="F41" s="797">
        <f>'JKP-3.1c - Revenue'!Z16</f>
        <v>46211269.358629994</v>
      </c>
      <c r="G41" s="798">
        <f t="shared" si="7"/>
        <v>16561409.198699996</v>
      </c>
      <c r="H41" s="463"/>
      <c r="I41" s="463"/>
      <c r="M41" s="676"/>
      <c r="N41" s="463"/>
      <c r="O41" s="463"/>
      <c r="P41" s="676"/>
      <c r="Q41" s="463"/>
      <c r="R41" s="463"/>
      <c r="S41" s="463"/>
      <c r="T41" s="796">
        <f t="shared" si="8"/>
        <v>0</v>
      </c>
      <c r="V41" s="425"/>
    </row>
    <row r="42" spans="2:22" s="277" customFormat="1" x14ac:dyDescent="0.2">
      <c r="B42" s="277">
        <f t="shared" si="9"/>
        <v>22</v>
      </c>
      <c r="C42" s="794" t="s">
        <v>1184</v>
      </c>
      <c r="D42" s="179"/>
      <c r="E42" s="797">
        <f>+'JKP-3.1c - Revenue'!Y17</f>
        <v>5470.2017999999989</v>
      </c>
      <c r="F42" s="797">
        <f>+'JKP-3.1c - Revenue'!Z17</f>
        <v>5470.2017999999989</v>
      </c>
      <c r="G42" s="798">
        <f t="shared" si="7"/>
        <v>1630699.4059199996</v>
      </c>
      <c r="H42" s="463"/>
      <c r="I42" s="463"/>
      <c r="M42" s="676"/>
      <c r="N42" s="463"/>
      <c r="O42" s="463"/>
      <c r="P42" s="676"/>
      <c r="Q42" s="463"/>
      <c r="R42" s="463"/>
      <c r="S42" s="463"/>
      <c r="T42" s="796">
        <f t="shared" si="8"/>
        <v>-7.6397554948925972E-11</v>
      </c>
      <c r="V42" s="425"/>
    </row>
    <row r="43" spans="2:22" s="277" customFormat="1" x14ac:dyDescent="0.2">
      <c r="B43" s="277">
        <f t="shared" si="9"/>
        <v>23</v>
      </c>
      <c r="C43" s="794" t="s">
        <v>837</v>
      </c>
      <c r="D43" s="179"/>
      <c r="E43" s="797">
        <f>'JKP-3.1c - Revenue'!Y19</f>
        <v>11563377.142759999</v>
      </c>
      <c r="F43" s="797">
        <f>'JKP-3.1c - Revenue'!Z19</f>
        <v>11055746.4342</v>
      </c>
      <c r="G43" s="798">
        <f t="shared" si="7"/>
        <v>1891752.9895900004</v>
      </c>
      <c r="H43" s="463"/>
      <c r="I43" s="463"/>
      <c r="M43" s="676"/>
      <c r="N43" s="463"/>
      <c r="O43" s="463"/>
      <c r="P43" s="676"/>
      <c r="Q43" s="463"/>
      <c r="R43" s="463"/>
      <c r="S43" s="463"/>
      <c r="T43" s="796">
        <f t="shared" si="8"/>
        <v>0</v>
      </c>
      <c r="V43" s="425"/>
    </row>
    <row r="44" spans="2:22" s="277" customFormat="1" x14ac:dyDescent="0.2">
      <c r="B44" s="277">
        <f t="shared" si="9"/>
        <v>24</v>
      </c>
      <c r="C44" s="794" t="s">
        <v>1228</v>
      </c>
      <c r="D44" s="179"/>
      <c r="E44" s="797">
        <f>+'JKP-3.1c - Revenue'!Y20</f>
        <v>45434.118799999997</v>
      </c>
      <c r="F44" s="797">
        <f>+'JKP-3.1c - Revenue'!Z20</f>
        <v>45434.118799999997</v>
      </c>
      <c r="G44" s="798">
        <f t="shared" si="7"/>
        <v>6671371.0279200003</v>
      </c>
      <c r="H44" s="463"/>
      <c r="I44" s="463"/>
      <c r="M44" s="676"/>
      <c r="N44" s="463"/>
      <c r="O44" s="463"/>
      <c r="P44" s="676"/>
      <c r="Q44" s="463"/>
      <c r="R44" s="463"/>
      <c r="S44" s="463"/>
      <c r="T44" s="796">
        <f t="shared" si="8"/>
        <v>2.9103830456733704E-10</v>
      </c>
      <c r="V44" s="425"/>
    </row>
    <row r="45" spans="2:22" s="277" customFormat="1" x14ac:dyDescent="0.2">
      <c r="B45" s="277">
        <f t="shared" si="9"/>
        <v>25</v>
      </c>
      <c r="C45" s="794" t="s">
        <v>839</v>
      </c>
      <c r="D45" s="179"/>
      <c r="E45" s="797">
        <f>'JKP-3.1c - Revenue'!Y21</f>
        <v>9365187.1980000008</v>
      </c>
      <c r="F45" s="797">
        <f>'JKP-3.1c - Revenue'!Z21</f>
        <v>8954009.3746199999</v>
      </c>
      <c r="G45" s="798">
        <f t="shared" si="7"/>
        <v>3029030.30504</v>
      </c>
      <c r="H45" s="463"/>
      <c r="I45" s="463"/>
      <c r="M45" s="676"/>
      <c r="N45" s="463"/>
      <c r="O45" s="463"/>
      <c r="P45" s="676"/>
      <c r="Q45" s="463"/>
      <c r="R45" s="463"/>
      <c r="S45" s="463"/>
      <c r="T45" s="796">
        <f t="shared" si="8"/>
        <v>0</v>
      </c>
      <c r="V45" s="425"/>
    </row>
    <row r="46" spans="2:22" s="277" customFormat="1" x14ac:dyDescent="0.2">
      <c r="B46" s="277">
        <f t="shared" si="9"/>
        <v>26</v>
      </c>
      <c r="C46" s="343" t="s">
        <v>1229</v>
      </c>
      <c r="D46" s="179"/>
      <c r="E46" s="797">
        <f>'JKP-3.1c - Revenue'!Y22</f>
        <v>50.94809999999999</v>
      </c>
      <c r="F46" s="797">
        <f>'JKP-3.1c - Revenue'!Z22</f>
        <v>50.94809999999999</v>
      </c>
      <c r="G46" s="798">
        <f t="shared" si="7"/>
        <v>16591.111940000003</v>
      </c>
      <c r="H46" s="463"/>
      <c r="I46" s="463"/>
      <c r="M46" s="676"/>
      <c r="N46" s="463"/>
      <c r="O46" s="463"/>
      <c r="P46" s="676"/>
      <c r="Q46" s="463"/>
      <c r="R46" s="463"/>
      <c r="S46" s="463"/>
      <c r="T46" s="796">
        <f t="shared" si="8"/>
        <v>1.4424017535930034E-12</v>
      </c>
      <c r="V46" s="425"/>
    </row>
    <row r="47" spans="2:22" s="277" customFormat="1" x14ac:dyDescent="0.2">
      <c r="B47" s="277">
        <f t="shared" si="9"/>
        <v>27</v>
      </c>
      <c r="C47" s="794" t="s">
        <v>841</v>
      </c>
      <c r="D47" s="179"/>
      <c r="E47" s="797">
        <f>'JKP-3.1c - Revenue'!Y23</f>
        <v>19828433.3607</v>
      </c>
      <c r="F47" s="797">
        <f>'JKP-3.1c - Revenue'!Z23</f>
        <v>18958581.948450003</v>
      </c>
      <c r="G47" s="798">
        <f t="shared" si="7"/>
        <v>1723707.0254000016</v>
      </c>
      <c r="H47" s="463"/>
      <c r="I47" s="463"/>
      <c r="M47" s="676"/>
      <c r="N47" s="463"/>
      <c r="O47" s="463"/>
      <c r="P47" s="676"/>
      <c r="Q47" s="463"/>
      <c r="R47" s="463"/>
      <c r="S47" s="463"/>
      <c r="T47" s="796">
        <f t="shared" si="8"/>
        <v>0</v>
      </c>
      <c r="V47" s="425"/>
    </row>
    <row r="48" spans="2:22" s="277" customFormat="1" x14ac:dyDescent="0.2">
      <c r="B48" s="277">
        <f t="shared" si="9"/>
        <v>28</v>
      </c>
      <c r="C48" s="794" t="s">
        <v>1230</v>
      </c>
      <c r="D48" s="179"/>
      <c r="E48" s="797">
        <f>+'JKP-3.1c - Revenue'!Y24</f>
        <v>69705.002500000017</v>
      </c>
      <c r="F48" s="797">
        <f>+'JKP-3.1c - Revenue'!Z24</f>
        <v>69705.002500000017</v>
      </c>
      <c r="G48" s="798">
        <f t="shared" si="7"/>
        <v>4120727.5233100005</v>
      </c>
      <c r="H48" s="463"/>
      <c r="I48" s="463"/>
      <c r="M48" s="676"/>
      <c r="N48" s="463"/>
      <c r="O48" s="463"/>
      <c r="P48" s="676"/>
      <c r="Q48" s="463"/>
      <c r="R48" s="463"/>
      <c r="S48" s="463"/>
      <c r="T48" s="796">
        <f t="shared" si="8"/>
        <v>0</v>
      </c>
      <c r="V48" s="425"/>
    </row>
    <row r="49" spans="2:22" s="277" customFormat="1" x14ac:dyDescent="0.2">
      <c r="B49" s="277">
        <f t="shared" si="9"/>
        <v>29</v>
      </c>
      <c r="C49" s="794" t="s">
        <v>144</v>
      </c>
      <c r="D49" s="179"/>
      <c r="E49" s="797">
        <f>'JKP-3.1c - Revenue'!Y25</f>
        <v>0</v>
      </c>
      <c r="F49" s="797">
        <f>'JKP-3.1c - Revenue'!Z25</f>
        <v>0</v>
      </c>
      <c r="G49" s="798">
        <f t="shared" si="7"/>
        <v>1658615.8571499998</v>
      </c>
      <c r="H49" s="463"/>
      <c r="I49" s="463"/>
      <c r="M49" s="676"/>
      <c r="N49" s="463"/>
      <c r="O49" s="463"/>
      <c r="P49" s="676"/>
      <c r="Q49" s="463"/>
      <c r="R49" s="463"/>
      <c r="S49" s="463"/>
      <c r="T49" s="796">
        <f t="shared" si="8"/>
        <v>0</v>
      </c>
      <c r="V49" s="425"/>
    </row>
    <row r="50" spans="2:22" s="277" customFormat="1" x14ac:dyDescent="0.2">
      <c r="B50" s="277">
        <f t="shared" si="9"/>
        <v>30</v>
      </c>
      <c r="C50" s="794" t="s">
        <v>845</v>
      </c>
      <c r="D50" s="179"/>
      <c r="E50" s="342">
        <f>SUM(E39:E49)</f>
        <v>628515102.77643001</v>
      </c>
      <c r="F50" s="342">
        <f>SUM(F39:F49)</f>
        <v>600935094.17895007</v>
      </c>
      <c r="G50" s="342">
        <f>SUM(G39:G49)</f>
        <v>411907130.67667007</v>
      </c>
      <c r="H50" s="463"/>
      <c r="I50" s="463"/>
      <c r="M50" s="676"/>
      <c r="N50" s="463"/>
      <c r="O50" s="463"/>
      <c r="P50" s="676"/>
      <c r="Q50" s="463"/>
      <c r="R50" s="463"/>
      <c r="S50" s="463"/>
      <c r="T50" s="796">
        <f t="shared" si="8"/>
        <v>0</v>
      </c>
      <c r="V50" s="425"/>
    </row>
    <row r="51" spans="2:22" x14ac:dyDescent="0.2">
      <c r="D51" s="767"/>
      <c r="E51" s="768"/>
      <c r="F51" s="799"/>
      <c r="G51" s="768"/>
      <c r="H51" s="768"/>
      <c r="I51" s="768"/>
      <c r="J51" s="768"/>
      <c r="K51" s="768"/>
      <c r="L51" s="768"/>
      <c r="M51" s="767"/>
      <c r="N51" s="768"/>
      <c r="O51" s="768"/>
      <c r="P51" s="767"/>
      <c r="Q51" s="768"/>
      <c r="R51" s="768"/>
      <c r="S51" s="769"/>
      <c r="T51" s="768"/>
    </row>
    <row r="53" spans="2:22" x14ac:dyDescent="0.2">
      <c r="B53" s="32" t="s">
        <v>1397</v>
      </c>
    </row>
    <row r="54" spans="2:22" x14ac:dyDescent="0.2">
      <c r="B54" s="336" t="s">
        <v>1398</v>
      </c>
    </row>
    <row r="55" spans="2:22" s="336" customFormat="1" x14ac:dyDescent="0.2">
      <c r="B55" s="773" t="s">
        <v>1399</v>
      </c>
      <c r="S55" s="415"/>
      <c r="V55" s="415"/>
    </row>
    <row r="56" spans="2:22" s="336" customFormat="1" x14ac:dyDescent="0.2">
      <c r="B56" s="773" t="s">
        <v>1400</v>
      </c>
      <c r="S56" s="415"/>
      <c r="V56" s="415"/>
    </row>
    <row r="57" spans="2:22" x14ac:dyDescent="0.2">
      <c r="B57" s="336" t="s">
        <v>1401</v>
      </c>
    </row>
    <row r="58" spans="2:22" x14ac:dyDescent="0.2">
      <c r="B58" s="336"/>
    </row>
    <row r="59" spans="2:22" x14ac:dyDescent="0.2">
      <c r="B59" s="336"/>
    </row>
    <row r="60" spans="2:22" x14ac:dyDescent="0.2">
      <c r="C60" s="32" t="s">
        <v>131</v>
      </c>
      <c r="D60" s="364">
        <f t="shared" ref="D60:O60" si="10">SUM(D12:D22)-D23</f>
        <v>0</v>
      </c>
      <c r="E60" s="364">
        <f t="shared" si="10"/>
        <v>0</v>
      </c>
      <c r="F60" s="364">
        <f t="shared" si="10"/>
        <v>0</v>
      </c>
      <c r="G60" s="364">
        <f t="shared" si="10"/>
        <v>0</v>
      </c>
      <c r="H60" s="364">
        <f t="shared" si="10"/>
        <v>0</v>
      </c>
      <c r="I60" s="364"/>
      <c r="J60" s="364">
        <f t="shared" si="10"/>
        <v>0</v>
      </c>
      <c r="K60" s="364"/>
      <c r="L60" s="364"/>
      <c r="M60" s="418"/>
      <c r="N60" s="364">
        <f t="shared" si="10"/>
        <v>0</v>
      </c>
      <c r="O60" s="364">
        <f t="shared" si="10"/>
        <v>0</v>
      </c>
      <c r="P60" s="418"/>
      <c r="Q60" s="364">
        <f>SUM(Q12:Q22)-Q23</f>
        <v>0</v>
      </c>
      <c r="R60" s="364">
        <f>SUM(R12:R22)-R23</f>
        <v>0</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I41"/>
  <sheetViews>
    <sheetView workbookViewId="0">
      <selection activeCell="C35" sqref="C35"/>
    </sheetView>
  </sheetViews>
  <sheetFormatPr defaultRowHeight="12.75" x14ac:dyDescent="0.2"/>
  <cols>
    <col min="1" max="1" width="2.42578125" style="32" customWidth="1"/>
    <col min="2" max="2" width="4.42578125" style="32" customWidth="1"/>
    <col min="3" max="3" width="33.42578125" style="32" bestFit="1" customWidth="1"/>
    <col min="4" max="4" width="15.140625" style="32" bestFit="1" customWidth="1"/>
    <col min="5" max="5" width="15.7109375" style="32" bestFit="1" customWidth="1"/>
    <col min="6" max="6" width="16.140625" style="32" bestFit="1" customWidth="1"/>
    <col min="7" max="7" width="3.42578125" style="390" customWidth="1"/>
    <col min="8" max="8" width="14" style="390" bestFit="1" customWidth="1"/>
    <col min="9" max="9" width="14.42578125" style="32" bestFit="1" customWidth="1"/>
    <col min="10" max="16384" width="9.140625" style="32"/>
  </cols>
  <sheetData>
    <row r="1" spans="1:9" x14ac:dyDescent="0.2">
      <c r="A1" s="386"/>
      <c r="B1" s="385" t="str">
        <f>'JKP-3.1c - Revenue'!$B$1</f>
        <v>Puget Sound Energy</v>
      </c>
      <c r="C1" s="386"/>
      <c r="D1" s="386"/>
      <c r="E1" s="386"/>
      <c r="F1" s="386"/>
      <c r="G1" s="728"/>
      <c r="H1" s="728"/>
      <c r="I1" s="386"/>
    </row>
    <row r="2" spans="1:9" x14ac:dyDescent="0.2">
      <c r="A2" s="386"/>
      <c r="B2" s="385" t="str">
        <f>'JKP-3.1c - Revenue'!$B$2</f>
        <v>2011 General Rate Case - Gas</v>
      </c>
      <c r="C2" s="386"/>
      <c r="D2" s="386"/>
      <c r="E2" s="386"/>
      <c r="F2" s="386"/>
      <c r="G2" s="728"/>
      <c r="H2" s="728"/>
      <c r="I2" s="386"/>
    </row>
    <row r="3" spans="1:9" x14ac:dyDescent="0.2">
      <c r="B3" s="386" t="s">
        <v>1402</v>
      </c>
      <c r="C3" s="386"/>
      <c r="D3" s="386"/>
      <c r="E3" s="386"/>
      <c r="F3" s="386"/>
      <c r="G3" s="728"/>
      <c r="H3" s="728"/>
      <c r="I3" s="386"/>
    </row>
    <row r="4" spans="1:9" x14ac:dyDescent="0.2">
      <c r="B4" s="385" t="str">
        <f>'JKP-3.1c - Revenue'!$B$4</f>
        <v>Test Year Ended December 31, 2010</v>
      </c>
      <c r="C4" s="386"/>
      <c r="D4" s="386"/>
      <c r="E4" s="386"/>
      <c r="F4" s="386"/>
      <c r="G4" s="728"/>
      <c r="H4" s="728"/>
      <c r="I4" s="386"/>
    </row>
    <row r="5" spans="1:9" x14ac:dyDescent="0.2">
      <c r="B5" s="386"/>
      <c r="C5" s="386"/>
      <c r="D5" s="386"/>
      <c r="E5" s="386"/>
      <c r="F5" s="386"/>
      <c r="G5" s="728"/>
      <c r="H5" s="728"/>
    </row>
    <row r="6" spans="1:9" x14ac:dyDescent="0.2">
      <c r="B6" s="488" t="s">
        <v>1403</v>
      </c>
      <c r="E6" s="386"/>
      <c r="F6" s="386"/>
      <c r="G6" s="728"/>
      <c r="H6" s="728"/>
    </row>
    <row r="7" spans="1:9" x14ac:dyDescent="0.2">
      <c r="C7" s="335"/>
      <c r="D7" s="335" t="s">
        <v>1335</v>
      </c>
      <c r="E7" s="391"/>
      <c r="F7" s="391"/>
      <c r="G7" s="391"/>
      <c r="H7" s="391" t="s">
        <v>77</v>
      </c>
    </row>
    <row r="8" spans="1:9" x14ac:dyDescent="0.2">
      <c r="B8" s="391"/>
      <c r="C8" s="335"/>
      <c r="D8" s="335" t="s">
        <v>1346</v>
      </c>
      <c r="E8" s="391" t="s">
        <v>23</v>
      </c>
      <c r="F8" s="391" t="s">
        <v>77</v>
      </c>
      <c r="G8" s="391"/>
      <c r="H8" s="391" t="s">
        <v>1362</v>
      </c>
      <c r="I8" s="391" t="s">
        <v>77</v>
      </c>
    </row>
    <row r="9" spans="1:9" x14ac:dyDescent="0.2">
      <c r="B9" s="333" t="s">
        <v>95</v>
      </c>
      <c r="C9" s="333" t="s">
        <v>69</v>
      </c>
      <c r="D9" s="664" t="s">
        <v>92</v>
      </c>
      <c r="E9" s="333" t="s">
        <v>1220</v>
      </c>
      <c r="F9" s="333" t="s">
        <v>92</v>
      </c>
      <c r="G9" s="391"/>
      <c r="H9" s="333" t="s">
        <v>80</v>
      </c>
      <c r="I9" s="800" t="s">
        <v>87</v>
      </c>
    </row>
    <row r="10" spans="1:9" s="336" customFormat="1" x14ac:dyDescent="0.2">
      <c r="B10" s="335"/>
      <c r="C10" s="335" t="s">
        <v>102</v>
      </c>
      <c r="D10" s="335" t="s">
        <v>103</v>
      </c>
      <c r="E10" s="335" t="s">
        <v>104</v>
      </c>
      <c r="F10" s="335" t="s">
        <v>105</v>
      </c>
      <c r="G10" s="335"/>
      <c r="H10" s="665" t="s">
        <v>106</v>
      </c>
      <c r="I10" s="665" t="s">
        <v>107</v>
      </c>
    </row>
    <row r="11" spans="1:9" s="336" customFormat="1" x14ac:dyDescent="0.2">
      <c r="B11" s="336">
        <v>1</v>
      </c>
      <c r="C11" s="338" t="s">
        <v>89</v>
      </c>
      <c r="D11" s="801">
        <f>'JKP-3.1c - Revenue Exhibit'!D12</f>
        <v>648643599.50528884</v>
      </c>
      <c r="E11" s="745">
        <f>'JKP-3.1c - Revenue Exhibit'!Q12</f>
        <v>35290235.687451124</v>
      </c>
      <c r="F11" s="791">
        <f>D11+E11</f>
        <v>683933835.19273996</v>
      </c>
      <c r="G11" s="791"/>
      <c r="H11" s="745">
        <f>'JKP-3.1c - Revenue Exhibit'!E39</f>
        <v>394704821.82093996</v>
      </c>
      <c r="I11" s="791">
        <f>F11-H11</f>
        <v>289229013.37180001</v>
      </c>
    </row>
    <row r="12" spans="1:9" s="336" customFormat="1" x14ac:dyDescent="0.2">
      <c r="B12" s="336">
        <f t="shared" ref="B12:B18" si="0">B11+1</f>
        <v>2</v>
      </c>
      <c r="C12" s="346" t="s">
        <v>1038</v>
      </c>
      <c r="D12" s="802">
        <f>'JKP-3.1c - Revenue Exhibit'!D13</f>
        <v>216178371.84924081</v>
      </c>
      <c r="E12" s="745">
        <f>'JKP-3.1c - Revenue Exhibit'!Q13</f>
        <v>13779125.6601592</v>
      </c>
      <c r="F12" s="793">
        <f t="shared" ref="F12:F17" si="1">D12+E12</f>
        <v>229957497.50940001</v>
      </c>
      <c r="G12" s="793"/>
      <c r="H12" s="797">
        <f>'JKP-3.1c - Revenue Exhibit'!E40</f>
        <v>144583284.64950001</v>
      </c>
      <c r="I12" s="798">
        <f t="shared" ref="I12:I21" si="2">F12-H12</f>
        <v>85374212.859899998</v>
      </c>
    </row>
    <row r="13" spans="1:9" s="336" customFormat="1" x14ac:dyDescent="0.2">
      <c r="B13" s="336">
        <f t="shared" si="0"/>
        <v>3</v>
      </c>
      <c r="C13" s="338" t="s">
        <v>160</v>
      </c>
      <c r="D13" s="803">
        <f>'JKP-3.1c - Revenue Exhibit'!D14+'JKP-3.1c - Revenue Exhibit'!D15</f>
        <v>72933236.431672886</v>
      </c>
      <c r="E13" s="751">
        <f>'JKP-3.1c - Revenue Exhibit'!Q14+'JKP-3.1c - Revenue Exhibit'!Q15</f>
        <v>-6386319.2919228896</v>
      </c>
      <c r="F13" s="793">
        <f t="shared" si="1"/>
        <v>66546917.139749996</v>
      </c>
      <c r="G13" s="793"/>
      <c r="H13" s="797">
        <f>'JKP-3.1c - Revenue Exhibit'!E41+'JKP-3.1c - Revenue Exhibit'!E42</f>
        <v>48354808.535130009</v>
      </c>
      <c r="I13" s="798">
        <f t="shared" si="2"/>
        <v>18192108.604619987</v>
      </c>
    </row>
    <row r="14" spans="1:9" s="336" customFormat="1" x14ac:dyDescent="0.2">
      <c r="B14" s="336">
        <f t="shared" si="0"/>
        <v>4</v>
      </c>
      <c r="C14" s="338" t="s">
        <v>1404</v>
      </c>
      <c r="D14" s="803">
        <f>'JKP-3.1c - Revenue Exhibit'!D16+'JKP-3.1c - Revenue Exhibit'!D17</f>
        <v>20610243.32921819</v>
      </c>
      <c r="E14" s="751">
        <f>'JKP-3.1c - Revenue Exhibit'!Q16+'JKP-3.1c - Revenue Exhibit'!Q17</f>
        <v>-438308.05014819093</v>
      </c>
      <c r="F14" s="793">
        <f t="shared" si="1"/>
        <v>20171935.279069997</v>
      </c>
      <c r="G14" s="793"/>
      <c r="H14" s="797">
        <f>'JKP-3.1c - Revenue Exhibit'!E43+'JKP-3.1c - Revenue Exhibit'!E44</f>
        <v>11608811.261559999</v>
      </c>
      <c r="I14" s="798">
        <f t="shared" si="2"/>
        <v>8563124.0175099988</v>
      </c>
    </row>
    <row r="15" spans="1:9" s="336" customFormat="1" x14ac:dyDescent="0.2">
      <c r="B15" s="336">
        <f t="shared" si="0"/>
        <v>5</v>
      </c>
      <c r="C15" s="338" t="s">
        <v>1405</v>
      </c>
      <c r="D15" s="803">
        <f>'JKP-3.1c - Revenue Exhibit'!D18+'JKP-3.1c - Revenue Exhibit'!D19</f>
        <v>11909873.194256851</v>
      </c>
      <c r="E15" s="751">
        <f>'JKP-3.1c - Revenue Exhibit'!Q18+'JKP-3.1c - Revenue Exhibit'!Q19</f>
        <v>500986.36882314866</v>
      </c>
      <c r="F15" s="793">
        <f t="shared" si="1"/>
        <v>12410859.56308</v>
      </c>
      <c r="G15" s="793"/>
      <c r="H15" s="797">
        <f>'JKP-3.1c - Revenue Exhibit'!E45+'JKP-3.1c - Revenue Exhibit'!E46</f>
        <v>9365238.1461000014</v>
      </c>
      <c r="I15" s="798">
        <f t="shared" si="2"/>
        <v>3045621.4169799984</v>
      </c>
    </row>
    <row r="16" spans="1:9" s="336" customFormat="1" x14ac:dyDescent="0.2">
      <c r="B16" s="336">
        <f t="shared" si="0"/>
        <v>6</v>
      </c>
      <c r="C16" s="338" t="s">
        <v>161</v>
      </c>
      <c r="D16" s="803">
        <f>'JKP-3.1c - Revenue Exhibit'!D20+'JKP-3.1c - Revenue Exhibit'!D21</f>
        <v>24908427.343744889</v>
      </c>
      <c r="E16" s="751">
        <f>'JKP-3.1c - Revenue Exhibit'!Q20+'JKP-3.1c - Revenue Exhibit'!Q21</f>
        <v>834145.56816511136</v>
      </c>
      <c r="F16" s="793">
        <f t="shared" si="1"/>
        <v>25742572.911910001</v>
      </c>
      <c r="G16" s="793"/>
      <c r="H16" s="797">
        <f>'JKP-3.1c - Revenue Exhibit'!E47+'JKP-3.1c - Revenue Exhibit'!E48</f>
        <v>19898138.363200001</v>
      </c>
      <c r="I16" s="798">
        <f t="shared" si="2"/>
        <v>5844434.5487099998</v>
      </c>
    </row>
    <row r="17" spans="2:9" s="336" customFormat="1" x14ac:dyDescent="0.2">
      <c r="B17" s="336">
        <f t="shared" si="0"/>
        <v>7</v>
      </c>
      <c r="C17" s="338" t="s">
        <v>844</v>
      </c>
      <c r="D17" s="803">
        <f>'JKP-3.1c - Revenue Exhibit'!D22</f>
        <v>1633825.8565776236</v>
      </c>
      <c r="E17" s="751">
        <f>'JKP-3.1c - Revenue Exhibit'!Q22</f>
        <v>24790.000572376186</v>
      </c>
      <c r="F17" s="793">
        <f t="shared" si="1"/>
        <v>1658615.8571499998</v>
      </c>
      <c r="G17" s="793"/>
      <c r="H17" s="797">
        <f>'JKP-3.1c - Revenue Exhibit'!E49</f>
        <v>0</v>
      </c>
      <c r="I17" s="798">
        <f t="shared" si="2"/>
        <v>1658615.8571499998</v>
      </c>
    </row>
    <row r="18" spans="2:9" s="336" customFormat="1" x14ac:dyDescent="0.2">
      <c r="B18" s="336">
        <f t="shared" si="0"/>
        <v>8</v>
      </c>
      <c r="C18" s="338" t="s">
        <v>845</v>
      </c>
      <c r="D18" s="804">
        <f>SUM(D11:D17)</f>
        <v>996817577.51000011</v>
      </c>
      <c r="E18" s="804">
        <f>SUM(E11:E17)</f>
        <v>43604655.943099879</v>
      </c>
      <c r="F18" s="804">
        <f>SUM(F11:F17)</f>
        <v>1040422233.4531</v>
      </c>
      <c r="G18" s="805"/>
      <c r="H18" s="804">
        <f>SUM(H11:H17)</f>
        <v>628515102.77642989</v>
      </c>
      <c r="I18" s="804">
        <f>SUM(I11:I17)</f>
        <v>411907130.67667001</v>
      </c>
    </row>
    <row r="19" spans="2:9" s="336" customFormat="1" x14ac:dyDescent="0.2">
      <c r="C19" s="338"/>
      <c r="D19" s="806"/>
      <c r="E19" s="745"/>
      <c r="F19" s="745"/>
      <c r="G19" s="745"/>
      <c r="H19" s="714"/>
      <c r="I19" s="341"/>
    </row>
    <row r="20" spans="2:9" s="336" customFormat="1" x14ac:dyDescent="0.2">
      <c r="B20" s="336">
        <f>B18+1</f>
        <v>9</v>
      </c>
      <c r="C20" s="338" t="s">
        <v>90</v>
      </c>
      <c r="D20" s="803">
        <f>'JKP-3.1c - Revenue Exhibit'!D25</f>
        <v>8029154.1999999993</v>
      </c>
      <c r="E20" s="751">
        <f>'JKP-3.1c - Revenue Exhibit'!Q25</f>
        <v>109627.33999999985</v>
      </c>
      <c r="F20" s="793">
        <f>D20+E20</f>
        <v>8138781.5399999991</v>
      </c>
      <c r="G20" s="793"/>
      <c r="H20" s="798">
        <v>0</v>
      </c>
      <c r="I20" s="798">
        <f t="shared" si="2"/>
        <v>8138781.5399999991</v>
      </c>
    </row>
    <row r="21" spans="2:9" s="336" customFormat="1" x14ac:dyDescent="0.2">
      <c r="B21" s="336">
        <f>B20+1</f>
        <v>10</v>
      </c>
      <c r="C21" s="338" t="s">
        <v>1376</v>
      </c>
      <c r="D21" s="803">
        <f>'JKP-3.1c - Revenue Exhibit'!D26</f>
        <v>6683784.5399999991</v>
      </c>
      <c r="E21" s="751">
        <f>'JKP-3.1c - Revenue Exhibit'!Q26</f>
        <v>76257.625</v>
      </c>
      <c r="F21" s="793">
        <f>D21+E21</f>
        <v>6760042.1649999991</v>
      </c>
      <c r="G21" s="793"/>
      <c r="H21" s="798">
        <v>0</v>
      </c>
      <c r="I21" s="798">
        <f t="shared" si="2"/>
        <v>6760042.1649999991</v>
      </c>
    </row>
    <row r="22" spans="2:9" s="336" customFormat="1" x14ac:dyDescent="0.2">
      <c r="B22" s="336">
        <f>B21+1</f>
        <v>11</v>
      </c>
      <c r="C22" s="338" t="s">
        <v>1377</v>
      </c>
      <c r="D22" s="804">
        <f>SUM(D20:D21)</f>
        <v>14712938.739999998</v>
      </c>
      <c r="E22" s="804">
        <f>SUM(E20:E21)</f>
        <v>185884.96499999985</v>
      </c>
      <c r="F22" s="804">
        <f>SUM(F20:F21)</f>
        <v>14898823.704999998</v>
      </c>
      <c r="G22" s="805"/>
      <c r="H22" s="804">
        <f>SUM(H20:H21)</f>
        <v>0</v>
      </c>
      <c r="I22" s="804">
        <f>SUM(I20:I21)</f>
        <v>14898823.704999998</v>
      </c>
    </row>
    <row r="23" spans="2:9" x14ac:dyDescent="0.2">
      <c r="B23" s="336">
        <f>B22+1</f>
        <v>12</v>
      </c>
      <c r="C23" s="338" t="s">
        <v>1378</v>
      </c>
      <c r="D23" s="807">
        <f>D18+D22</f>
        <v>1011530516.2500001</v>
      </c>
      <c r="E23" s="807">
        <f>E18+E22</f>
        <v>43790540.908099875</v>
      </c>
      <c r="F23" s="807">
        <f>F18+F22</f>
        <v>1055321057.1581</v>
      </c>
      <c r="G23" s="808"/>
      <c r="H23" s="807">
        <f>H18+H22</f>
        <v>628515102.77642989</v>
      </c>
      <c r="I23" s="807">
        <f>I18+I22</f>
        <v>426805954.38167</v>
      </c>
    </row>
    <row r="24" spans="2:9" x14ac:dyDescent="0.2">
      <c r="C24" s="338"/>
      <c r="D24" s="343"/>
      <c r="E24" s="417"/>
      <c r="F24" s="417"/>
      <c r="G24" s="417"/>
      <c r="H24" s="417"/>
    </row>
    <row r="26" spans="2:9" x14ac:dyDescent="0.2">
      <c r="B26" s="488" t="s">
        <v>1406</v>
      </c>
    </row>
    <row r="27" spans="2:9" x14ac:dyDescent="0.2">
      <c r="D27" s="391" t="s">
        <v>76</v>
      </c>
      <c r="E27" s="386"/>
      <c r="F27" s="386"/>
      <c r="G27" s="728"/>
      <c r="H27" s="728"/>
    </row>
    <row r="28" spans="2:9" x14ac:dyDescent="0.2">
      <c r="B28" s="391"/>
      <c r="C28" s="335"/>
      <c r="D28" s="335" t="s">
        <v>1391</v>
      </c>
      <c r="E28" s="391" t="s">
        <v>23</v>
      </c>
      <c r="F28" s="391" t="s">
        <v>77</v>
      </c>
      <c r="G28" s="391"/>
      <c r="H28" s="32"/>
    </row>
    <row r="29" spans="2:9" x14ac:dyDescent="0.2">
      <c r="B29" s="333" t="s">
        <v>95</v>
      </c>
      <c r="C29" s="333" t="s">
        <v>69</v>
      </c>
      <c r="D29" s="333" t="s">
        <v>368</v>
      </c>
      <c r="E29" s="333" t="s">
        <v>1220</v>
      </c>
      <c r="F29" s="333" t="s">
        <v>76</v>
      </c>
      <c r="G29" s="391"/>
      <c r="H29" s="32"/>
    </row>
    <row r="30" spans="2:9" x14ac:dyDescent="0.2">
      <c r="B30" s="335"/>
      <c r="C30" s="335" t="s">
        <v>102</v>
      </c>
      <c r="D30" s="335" t="s">
        <v>103</v>
      </c>
      <c r="E30" s="335" t="s">
        <v>104</v>
      </c>
      <c r="F30" s="335" t="s">
        <v>105</v>
      </c>
      <c r="G30" s="335"/>
      <c r="H30" s="32"/>
    </row>
    <row r="31" spans="2:9" x14ac:dyDescent="0.2">
      <c r="B31" s="336">
        <v>1</v>
      </c>
      <c r="C31" s="338" t="s">
        <v>89</v>
      </c>
      <c r="D31" s="809">
        <f>'JKP-3.1c - Volume Exhibit '!D10</f>
        <v>519526707</v>
      </c>
      <c r="E31" s="809">
        <f>'JKP-3.1c - Volume Exhibit '!I10</f>
        <v>28512556</v>
      </c>
      <c r="F31" s="809">
        <f>'JKP-3.1c - Volume Exhibit '!J10</f>
        <v>548039263</v>
      </c>
      <c r="G31" s="809"/>
      <c r="H31" s="32"/>
      <c r="I31" s="639"/>
    </row>
    <row r="32" spans="2:9" x14ac:dyDescent="0.2">
      <c r="B32" s="336">
        <f t="shared" ref="B32:B39" si="3">B31+1</f>
        <v>2</v>
      </c>
      <c r="C32" s="346" t="s">
        <v>1038</v>
      </c>
      <c r="D32" s="809">
        <f>'JKP-3.1c - Volume Exhibit '!D11</f>
        <v>188479596</v>
      </c>
      <c r="E32" s="809">
        <f>'JKP-3.1c - Volume Exhibit '!I11</f>
        <v>13907454</v>
      </c>
      <c r="F32" s="809">
        <f>'JKP-3.1c - Volume Exhibit '!J11</f>
        <v>202387050</v>
      </c>
      <c r="G32" s="809"/>
      <c r="H32" s="32"/>
    </row>
    <row r="33" spans="2:8" x14ac:dyDescent="0.2">
      <c r="B33" s="336">
        <f t="shared" si="3"/>
        <v>3</v>
      </c>
      <c r="C33" s="338" t="s">
        <v>160</v>
      </c>
      <c r="D33" s="809">
        <f>'JKP-3.1c - Volume Exhibit '!D12+'JKP-3.1c - Volume Exhibit '!D13</f>
        <v>80855475</v>
      </c>
      <c r="E33" s="809">
        <f>'JKP-3.1c - Volume Exhibit '!I12+'JKP-3.1c - Volume Exhibit '!I13</f>
        <v>-3472644</v>
      </c>
      <c r="F33" s="809">
        <f>'JKP-3.1c - Volume Exhibit '!J12+'JKP-3.1c - Volume Exhibit '!J13</f>
        <v>77382831</v>
      </c>
      <c r="G33" s="809"/>
      <c r="H33" s="32"/>
    </row>
    <row r="34" spans="2:8" x14ac:dyDescent="0.2">
      <c r="B34" s="336">
        <f t="shared" si="3"/>
        <v>4</v>
      </c>
      <c r="C34" s="338" t="s">
        <v>1404</v>
      </c>
      <c r="D34" s="809">
        <f>'JKP-3.1c - Volume Exhibit '!D14+'JKP-3.1c - Volume Exhibit '!D15</f>
        <v>82448531</v>
      </c>
      <c r="E34" s="809">
        <f>SUM('JKP-3.1c - Volume Exhibit '!I14:I15)</f>
        <v>-257819</v>
      </c>
      <c r="F34" s="809">
        <f>SUM('JKP-3.1c - Volume Exhibit '!J14:J15)</f>
        <v>82190712</v>
      </c>
      <c r="G34" s="809"/>
      <c r="H34" s="32"/>
    </row>
    <row r="35" spans="2:8" x14ac:dyDescent="0.2">
      <c r="B35" s="336">
        <f t="shared" si="3"/>
        <v>5</v>
      </c>
      <c r="C35" s="338" t="s">
        <v>1405</v>
      </c>
      <c r="D35" s="809">
        <f>'JKP-3.1c - Volume Exhibit '!D16+'JKP-3.1c - Volume Exhibit '!D17</f>
        <v>13203371</v>
      </c>
      <c r="E35" s="809">
        <f>'JKP-3.1c - Volume Exhibit '!I16+'JKP-3.1c - Volume Exhibit '!I17</f>
        <v>758990</v>
      </c>
      <c r="F35" s="809">
        <f>SUM('JKP-3.1c - Volume Exhibit '!J16:J17)</f>
        <v>13962361</v>
      </c>
      <c r="G35" s="809"/>
      <c r="H35" s="32"/>
    </row>
    <row r="36" spans="2:8" x14ac:dyDescent="0.2">
      <c r="B36" s="336">
        <f t="shared" si="3"/>
        <v>6</v>
      </c>
      <c r="C36" s="338" t="s">
        <v>161</v>
      </c>
      <c r="D36" s="809">
        <f>'JKP-3.1c - Volume Exhibit '!D18+'JKP-3.1c - Volume Exhibit '!D19</f>
        <v>127614451</v>
      </c>
      <c r="E36" s="809">
        <f>SUM('JKP-3.1c - Volume Exhibit '!I18:I19)</f>
        <v>1999779</v>
      </c>
      <c r="F36" s="809">
        <f>SUM('JKP-3.1c - Volume Exhibit '!J18:J19)</f>
        <v>129614230</v>
      </c>
      <c r="G36" s="809"/>
      <c r="H36" s="32"/>
    </row>
    <row r="37" spans="2:8" x14ac:dyDescent="0.2">
      <c r="B37" s="336">
        <f t="shared" si="3"/>
        <v>7</v>
      </c>
      <c r="C37" s="338" t="s">
        <v>844</v>
      </c>
      <c r="D37" s="809">
        <f>'JKP-3.1c - Volume Exhibit '!D20</f>
        <v>35190502</v>
      </c>
      <c r="E37" s="809">
        <f>'JKP-3.1c - Volume Exhibit '!I20</f>
        <v>789676</v>
      </c>
      <c r="F37" s="809">
        <f>'JKP-3.1c - Volume Exhibit '!J20</f>
        <v>35980178</v>
      </c>
      <c r="G37" s="809"/>
      <c r="H37" s="32"/>
    </row>
    <row r="38" spans="2:8" x14ac:dyDescent="0.2">
      <c r="B38" s="336">
        <f t="shared" si="3"/>
        <v>8</v>
      </c>
      <c r="C38" s="338" t="s">
        <v>90</v>
      </c>
      <c r="D38" s="751">
        <v>0</v>
      </c>
      <c r="E38" s="751">
        <v>0</v>
      </c>
      <c r="F38" s="751">
        <v>0</v>
      </c>
      <c r="G38" s="751"/>
      <c r="H38" s="32"/>
    </row>
    <row r="39" spans="2:8" x14ac:dyDescent="0.2">
      <c r="B39" s="336">
        <f t="shared" si="3"/>
        <v>9</v>
      </c>
      <c r="C39" s="338" t="s">
        <v>23</v>
      </c>
      <c r="D39" s="810">
        <f>SUM(D31:D38)</f>
        <v>1047318633</v>
      </c>
      <c r="E39" s="810">
        <f>SUM(E31:E38)</f>
        <v>42237992</v>
      </c>
      <c r="F39" s="810">
        <f>SUM(F31:F38)</f>
        <v>1089556625</v>
      </c>
      <c r="G39" s="412"/>
      <c r="H39" s="32"/>
    </row>
    <row r="40" spans="2:8" x14ac:dyDescent="0.2">
      <c r="C40" s="343"/>
      <c r="D40" s="343"/>
      <c r="E40" s="417"/>
      <c r="F40" s="417"/>
      <c r="G40" s="417"/>
      <c r="H40" s="417"/>
    </row>
    <row r="41" spans="2:8" x14ac:dyDescent="0.2">
      <c r="B41" s="336"/>
    </row>
  </sheetData>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30"/>
  <sheetViews>
    <sheetView workbookViewId="0">
      <selection activeCell="C35" sqref="C35"/>
    </sheetView>
  </sheetViews>
  <sheetFormatPr defaultRowHeight="12.75" x14ac:dyDescent="0.2"/>
  <cols>
    <col min="1" max="1" width="9.140625" style="813"/>
    <col min="2" max="2" width="48" style="813" customWidth="1"/>
    <col min="3" max="3" width="3.28515625" style="813" customWidth="1"/>
    <col min="4" max="4" width="12.28515625" style="813" bestFit="1" customWidth="1"/>
    <col min="5" max="5" width="12.42578125" style="813" customWidth="1"/>
    <col min="6" max="6" width="14.42578125" style="813" customWidth="1"/>
    <col min="7" max="16384" width="9.140625" style="813"/>
  </cols>
  <sheetData>
    <row r="1" spans="1:5" x14ac:dyDescent="0.2">
      <c r="A1" s="1870" t="s">
        <v>70</v>
      </c>
      <c r="B1" s="1870"/>
      <c r="C1" s="1870"/>
      <c r="D1" s="1870"/>
      <c r="E1" s="1870"/>
    </row>
    <row r="2" spans="1:5" x14ac:dyDescent="0.2">
      <c r="A2" s="1870" t="s">
        <v>1423</v>
      </c>
      <c r="B2" s="1870"/>
      <c r="C2" s="1870"/>
      <c r="D2" s="1870"/>
      <c r="E2" s="1870"/>
    </row>
    <row r="3" spans="1:5" x14ac:dyDescent="0.2">
      <c r="A3" s="814" t="s">
        <v>1424</v>
      </c>
      <c r="B3" s="814"/>
      <c r="C3" s="814"/>
      <c r="D3" s="814"/>
      <c r="E3" s="814"/>
    </row>
    <row r="5" spans="1:5" x14ac:dyDescent="0.2">
      <c r="B5" s="815" t="s">
        <v>3</v>
      </c>
      <c r="D5" s="816" t="s">
        <v>83</v>
      </c>
      <c r="E5" s="816" t="s">
        <v>93</v>
      </c>
    </row>
    <row r="6" spans="1:5" x14ac:dyDescent="0.2">
      <c r="A6" s="816">
        <f t="shared" ref="A6:A27" si="0">+ROW(A6)-4</f>
        <v>2</v>
      </c>
      <c r="B6" s="813" t="s">
        <v>1425</v>
      </c>
      <c r="D6" s="817" t="e">
        <f>#REF!</f>
        <v>#REF!</v>
      </c>
      <c r="E6" s="818" t="e">
        <f>+D6</f>
        <v>#REF!</v>
      </c>
    </row>
    <row r="7" spans="1:5" x14ac:dyDescent="0.2">
      <c r="A7" s="816">
        <f t="shared" si="0"/>
        <v>3</v>
      </c>
      <c r="B7" s="813" t="s">
        <v>1426</v>
      </c>
      <c r="D7" s="817" t="e">
        <f>#REF!</f>
        <v>#REF!</v>
      </c>
      <c r="E7" s="818" t="e">
        <f>+D7</f>
        <v>#REF!</v>
      </c>
    </row>
    <row r="8" spans="1:5" x14ac:dyDescent="0.2">
      <c r="A8" s="816">
        <f t="shared" si="0"/>
        <v>4</v>
      </c>
      <c r="B8" s="813" t="s">
        <v>1427</v>
      </c>
      <c r="D8" s="817" t="e">
        <f>#REF!</f>
        <v>#REF!</v>
      </c>
      <c r="E8" s="818" t="e">
        <f>+D8</f>
        <v>#REF!</v>
      </c>
    </row>
    <row r="9" spans="1:5" x14ac:dyDescent="0.2">
      <c r="A9" s="816">
        <f t="shared" si="0"/>
        <v>5</v>
      </c>
      <c r="D9" s="819"/>
    </row>
    <row r="10" spans="1:5" x14ac:dyDescent="0.2">
      <c r="A10" s="816">
        <f t="shared" si="0"/>
        <v>6</v>
      </c>
      <c r="D10" s="819"/>
    </row>
    <row r="11" spans="1:5" x14ac:dyDescent="0.2">
      <c r="A11" s="816">
        <f t="shared" si="0"/>
        <v>7</v>
      </c>
      <c r="B11" s="820" t="s">
        <v>1423</v>
      </c>
      <c r="D11" s="819"/>
    </row>
    <row r="12" spans="1:5" x14ac:dyDescent="0.2">
      <c r="A12" s="816">
        <f t="shared" si="0"/>
        <v>8</v>
      </c>
      <c r="B12" s="813" t="s">
        <v>1428</v>
      </c>
      <c r="D12" s="821" t="e">
        <f>ROUND(+D6,6)</f>
        <v>#REF!</v>
      </c>
    </row>
    <row r="13" spans="1:5" x14ac:dyDescent="0.2">
      <c r="A13" s="816">
        <f t="shared" si="0"/>
        <v>9</v>
      </c>
      <c r="B13" s="813" t="s">
        <v>1429</v>
      </c>
      <c r="D13" s="821" t="e">
        <f>ROUND(+(1-D12)*D7,6)</f>
        <v>#REF!</v>
      </c>
    </row>
    <row r="14" spans="1:5" x14ac:dyDescent="0.2">
      <c r="A14" s="816">
        <f t="shared" si="0"/>
        <v>10</v>
      </c>
      <c r="B14" s="813" t="s">
        <v>1430</v>
      </c>
      <c r="D14" s="821" t="e">
        <f>ROUND(+D8,6)</f>
        <v>#REF!</v>
      </c>
    </row>
    <row r="15" spans="1:5" x14ac:dyDescent="0.2">
      <c r="A15" s="816">
        <f t="shared" si="0"/>
        <v>11</v>
      </c>
      <c r="B15" s="822" t="s">
        <v>1431</v>
      </c>
      <c r="D15" s="823" t="e">
        <f>ROUND(SUM(D12:D14),6)</f>
        <v>#REF!</v>
      </c>
    </row>
    <row r="16" spans="1:5" x14ac:dyDescent="0.2">
      <c r="A16" s="816">
        <f t="shared" si="0"/>
        <v>12</v>
      </c>
      <c r="B16" s="822" t="s">
        <v>1432</v>
      </c>
      <c r="D16" s="821" t="e">
        <f>ROUND(1-D15,6)</f>
        <v>#REF!</v>
      </c>
      <c r="E16" s="813" t="s">
        <v>1411</v>
      </c>
    </row>
    <row r="17" spans="1:6" ht="13.5" thickBot="1" x14ac:dyDescent="0.25">
      <c r="A17" s="816">
        <f t="shared" si="0"/>
        <v>13</v>
      </c>
      <c r="B17" s="822" t="s">
        <v>1433</v>
      </c>
      <c r="D17" s="824" t="e">
        <f>ROUND(1/D16,6)</f>
        <v>#REF!</v>
      </c>
    </row>
    <row r="18" spans="1:6" ht="13.5" thickTop="1" x14ac:dyDescent="0.2">
      <c r="A18" s="816">
        <f t="shared" si="0"/>
        <v>14</v>
      </c>
      <c r="D18" s="821"/>
    </row>
    <row r="19" spans="1:6" x14ac:dyDescent="0.2">
      <c r="A19" s="816">
        <f t="shared" si="0"/>
        <v>15</v>
      </c>
      <c r="D19" s="821"/>
    </row>
    <row r="20" spans="1:6" x14ac:dyDescent="0.2">
      <c r="A20" s="816">
        <f t="shared" si="0"/>
        <v>16</v>
      </c>
      <c r="B20" s="820" t="s">
        <v>1434</v>
      </c>
      <c r="D20" s="821"/>
    </row>
    <row r="21" spans="1:6" x14ac:dyDescent="0.2">
      <c r="A21" s="816">
        <f t="shared" si="0"/>
        <v>17</v>
      </c>
      <c r="B21" s="813" t="s">
        <v>1435</v>
      </c>
      <c r="D21" s="821" t="e">
        <f>+D17</f>
        <v>#REF!</v>
      </c>
    </row>
    <row r="22" spans="1:6" x14ac:dyDescent="0.2">
      <c r="A22" s="816">
        <f t="shared" si="0"/>
        <v>18</v>
      </c>
      <c r="B22" s="825" t="s">
        <v>204</v>
      </c>
      <c r="D22" s="821"/>
    </row>
    <row r="23" spans="1:6" x14ac:dyDescent="0.2">
      <c r="A23" s="816">
        <f t="shared" si="0"/>
        <v>19</v>
      </c>
      <c r="B23" s="813" t="s">
        <v>1436</v>
      </c>
      <c r="D23" s="821" t="e">
        <f>ROUND(+D12*D21,6)</f>
        <v>#REF!</v>
      </c>
      <c r="E23" s="826" t="e">
        <f>D23/$D$26</f>
        <v>#REF!</v>
      </c>
      <c r="F23" s="827" t="e">
        <f>$D$30*E23</f>
        <v>#REF!</v>
      </c>
    </row>
    <row r="24" spans="1:6" x14ac:dyDescent="0.2">
      <c r="A24" s="816">
        <f t="shared" si="0"/>
        <v>20</v>
      </c>
      <c r="B24" s="813" t="s">
        <v>1437</v>
      </c>
      <c r="D24" s="821" t="e">
        <f>ROUND(+D13*D21,6)</f>
        <v>#REF!</v>
      </c>
      <c r="E24" s="826" t="e">
        <f t="shared" ref="E24:E26" si="1">D24/$D$26</f>
        <v>#REF!</v>
      </c>
      <c r="F24" s="827" t="e">
        <f t="shared" ref="F24:F26" si="2">$D$30*E24</f>
        <v>#REF!</v>
      </c>
    </row>
    <row r="25" spans="1:6" x14ac:dyDescent="0.2">
      <c r="A25" s="816">
        <f t="shared" si="0"/>
        <v>21</v>
      </c>
      <c r="B25" s="813" t="s">
        <v>1438</v>
      </c>
      <c r="D25" s="821" t="e">
        <f>ROUND(+D14*D21,6)</f>
        <v>#REF!</v>
      </c>
      <c r="E25" s="826" t="e">
        <f t="shared" si="1"/>
        <v>#REF!</v>
      </c>
      <c r="F25" s="827" t="e">
        <f t="shared" si="2"/>
        <v>#REF!</v>
      </c>
    </row>
    <row r="26" spans="1:6" x14ac:dyDescent="0.2">
      <c r="A26" s="816">
        <f t="shared" si="0"/>
        <v>22</v>
      </c>
      <c r="B26" s="813" t="s">
        <v>1439</v>
      </c>
      <c r="D26" s="823" t="e">
        <f>ROUND(SUM(D23:D25),6)</f>
        <v>#REF!</v>
      </c>
      <c r="E26" s="828" t="e">
        <f t="shared" si="1"/>
        <v>#REF!</v>
      </c>
      <c r="F26" s="829" t="e">
        <f t="shared" si="2"/>
        <v>#REF!</v>
      </c>
    </row>
    <row r="27" spans="1:6" ht="13.5" thickBot="1" x14ac:dyDescent="0.25">
      <c r="A27" s="816">
        <f t="shared" si="0"/>
        <v>23</v>
      </c>
      <c r="B27" s="813" t="s">
        <v>1440</v>
      </c>
      <c r="D27" s="824" t="e">
        <f>+ROUND(D21-D26,6)</f>
        <v>#REF!</v>
      </c>
    </row>
    <row r="28" spans="1:6" ht="13.5" thickTop="1" x14ac:dyDescent="0.2">
      <c r="A28" s="816"/>
    </row>
    <row r="29" spans="1:6" x14ac:dyDescent="0.2">
      <c r="A29" s="816"/>
    </row>
    <row r="30" spans="1:6" x14ac:dyDescent="0.2">
      <c r="A30" s="816"/>
      <c r="B30" s="830" t="s">
        <v>1441</v>
      </c>
      <c r="D30" s="831">
        <f>628515103-600935094</f>
        <v>27580009</v>
      </c>
    </row>
  </sheetData>
  <mergeCells count="2">
    <mergeCell ref="A1:E1"/>
    <mergeCell ref="A2:E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pageSetUpPr fitToPage="1"/>
  </sheetPr>
  <dimension ref="A1:AG54"/>
  <sheetViews>
    <sheetView tabSelected="1" workbookViewId="0">
      <pane xSplit="2" ySplit="13" topLeftCell="G14" activePane="bottomRight" state="frozen"/>
      <selection activeCell="O4" sqref="O4"/>
      <selection pane="topRight" activeCell="O4" sqref="O4"/>
      <selection pane="bottomLeft" activeCell="O4" sqref="O4"/>
      <selection pane="bottomRight" activeCell="L34" sqref="L34"/>
    </sheetView>
  </sheetViews>
  <sheetFormatPr defaultRowHeight="12.75" x14ac:dyDescent="0.2"/>
  <cols>
    <col min="1" max="1" width="6" style="1431" customWidth="1"/>
    <col min="2" max="2" width="28.28515625" style="1431" customWidth="1"/>
    <col min="3" max="5" width="13.85546875" style="1431" customWidth="1"/>
    <col min="6" max="6" width="11.7109375" style="1431" customWidth="1"/>
    <col min="7" max="7" width="9.140625" style="1431" bestFit="1" customWidth="1"/>
    <col min="8" max="8" width="8.140625" style="1431" bestFit="1" customWidth="1"/>
    <col min="9" max="9" width="9" style="1431" bestFit="1" customWidth="1"/>
    <col min="10" max="10" width="11.42578125" style="1431" bestFit="1" customWidth="1"/>
    <col min="11" max="11" width="15.140625" style="1431" bestFit="1" customWidth="1"/>
    <col min="12" max="12" width="12" style="1431" customWidth="1"/>
    <col min="13" max="13" width="14.140625" style="1431" customWidth="1"/>
    <col min="14" max="14" width="12" style="1431" customWidth="1"/>
    <col min="15" max="15" width="7.42578125" style="1431" bestFit="1" customWidth="1"/>
    <col min="16" max="16" width="9" style="1431" bestFit="1" customWidth="1"/>
    <col min="17" max="17" width="10.28515625" style="1431" customWidth="1"/>
    <col min="18" max="18" width="3.85546875" style="1431" customWidth="1"/>
    <col min="19" max="19" width="8" style="1431" hidden="1" customWidth="1"/>
    <col min="20" max="20" width="3.85546875" style="1431" hidden="1" customWidth="1"/>
    <col min="21" max="21" width="13.42578125" style="1431" hidden="1" customWidth="1"/>
    <col min="22" max="22" width="0" style="1431" hidden="1" customWidth="1"/>
    <col min="23" max="23" width="3.85546875" style="1431" hidden="1" customWidth="1"/>
    <col min="24" max="24" width="8.28515625" style="1686" hidden="1" customWidth="1"/>
    <col min="25" max="25" width="15" style="1431" hidden="1" customWidth="1"/>
    <col min="26" max="26" width="0" style="1431" hidden="1" customWidth="1"/>
    <col min="27" max="27" width="3.42578125" style="1431" hidden="1" customWidth="1"/>
    <col min="28" max="28" width="15" style="1431" hidden="1" customWidth="1"/>
    <col min="29" max="29" width="0" style="1431" hidden="1" customWidth="1"/>
    <col min="30" max="30" width="3.85546875" style="1431" hidden="1" customWidth="1"/>
    <col min="31" max="31" width="14" style="1431" hidden="1" customWidth="1"/>
    <col min="32" max="16384" width="9.140625" style="1431"/>
  </cols>
  <sheetData>
    <row r="1" spans="1:33" hidden="1" x14ac:dyDescent="0.2">
      <c r="Q1" s="1431">
        <f>'Exhibit No._(CTM-4), Pg. 1'!K1+1</f>
        <v>2</v>
      </c>
    </row>
    <row r="2" spans="1:33" x14ac:dyDescent="0.2">
      <c r="A2" s="1831"/>
      <c r="B2" s="1831"/>
      <c r="C2" s="1831"/>
      <c r="D2" s="1831"/>
      <c r="E2" s="1831"/>
      <c r="F2" s="1831"/>
      <c r="G2" s="1831"/>
      <c r="H2" s="1831"/>
      <c r="I2" s="1831"/>
      <c r="J2" s="1831"/>
      <c r="L2" s="1683"/>
      <c r="M2" s="1683"/>
      <c r="N2" s="1474"/>
      <c r="O2" s="1683"/>
      <c r="P2" s="1683"/>
      <c r="Q2" s="1826" t="str">
        <f>'Exhibit No._(CTM-4), Pg. 1'!$K$2</f>
        <v>Exhibit No.__ (CTM-4)</v>
      </c>
    </row>
    <row r="3" spans="1:33" ht="13.5" thickBot="1" x14ac:dyDescent="0.25">
      <c r="A3" s="1831"/>
      <c r="B3" s="1831"/>
      <c r="C3" s="1831"/>
      <c r="D3" s="1831"/>
      <c r="E3" s="1831"/>
      <c r="F3" s="1831"/>
      <c r="G3" s="1831"/>
      <c r="H3" s="1831"/>
      <c r="I3" s="1831"/>
      <c r="J3" s="1831"/>
      <c r="L3" s="1683"/>
      <c r="M3" s="1683"/>
      <c r="N3" s="1474"/>
      <c r="O3" s="1683"/>
      <c r="P3" s="1683"/>
      <c r="Q3" s="1827" t="s">
        <v>2131</v>
      </c>
    </row>
    <row r="4" spans="1:33" ht="14.25" thickTop="1" thickBot="1" x14ac:dyDescent="0.25">
      <c r="A4" s="1831"/>
      <c r="B4" s="1831"/>
      <c r="C4" s="1831"/>
      <c r="D4" s="1831"/>
      <c r="E4" s="1831"/>
      <c r="F4" s="1831"/>
      <c r="G4" s="1831"/>
      <c r="H4" s="1831"/>
      <c r="I4" s="1831"/>
      <c r="J4" s="1831"/>
      <c r="L4" s="1683"/>
      <c r="M4" s="1683"/>
      <c r="N4" s="1474"/>
      <c r="O4" s="1683"/>
      <c r="P4" s="1683"/>
      <c r="Q4" s="1828" t="str">
        <f>"Page "&amp;Q1&amp;" of "&amp;'Exhibit No._(CTM-4), Pg. 6'!$K$1</f>
        <v>Page 2 of 6</v>
      </c>
    </row>
    <row r="5" spans="1:33" ht="13.5" thickTop="1" x14ac:dyDescent="0.2">
      <c r="A5" s="1863" t="s">
        <v>2132</v>
      </c>
      <c r="B5" s="1863"/>
      <c r="C5" s="1863"/>
      <c r="D5" s="1863"/>
      <c r="E5" s="1863"/>
      <c r="F5" s="1863"/>
      <c r="G5" s="1863"/>
      <c r="H5" s="1863"/>
      <c r="I5" s="1863"/>
      <c r="J5" s="1863"/>
      <c r="K5" s="1863"/>
      <c r="L5" s="1863"/>
      <c r="M5" s="1863"/>
      <c r="N5" s="1863"/>
      <c r="O5" s="1863"/>
      <c r="P5" s="1863"/>
      <c r="Q5" s="1863"/>
    </row>
    <row r="6" spans="1:33" x14ac:dyDescent="0.2">
      <c r="A6" s="1863" t="s">
        <v>2135</v>
      </c>
      <c r="B6" s="1863"/>
      <c r="C6" s="1863"/>
      <c r="D6" s="1863"/>
      <c r="E6" s="1863"/>
      <c r="F6" s="1863"/>
      <c r="G6" s="1863"/>
      <c r="H6" s="1863"/>
      <c r="I6" s="1863"/>
      <c r="J6" s="1863"/>
      <c r="K6" s="1863"/>
      <c r="L6" s="1863"/>
      <c r="M6" s="1863"/>
      <c r="N6" s="1863"/>
      <c r="O6" s="1863"/>
      <c r="P6" s="1863"/>
      <c r="Q6" s="1863"/>
    </row>
    <row r="7" spans="1:33" x14ac:dyDescent="0.2">
      <c r="A7" s="1863" t="s">
        <v>2134</v>
      </c>
      <c r="B7" s="1863"/>
      <c r="C7" s="1863"/>
      <c r="D7" s="1863"/>
      <c r="E7" s="1863"/>
      <c r="F7" s="1863"/>
      <c r="G7" s="1863"/>
      <c r="H7" s="1863"/>
      <c r="I7" s="1863"/>
      <c r="J7" s="1863"/>
      <c r="K7" s="1863"/>
      <c r="L7" s="1863"/>
      <c r="M7" s="1863"/>
      <c r="N7" s="1863"/>
      <c r="O7" s="1863"/>
      <c r="P7" s="1863"/>
      <c r="Q7" s="1863"/>
    </row>
    <row r="8" spans="1:33" x14ac:dyDescent="0.2">
      <c r="B8" s="1683"/>
      <c r="J8" s="1686"/>
    </row>
    <row r="9" spans="1:33" x14ac:dyDescent="0.2">
      <c r="B9" s="1683"/>
      <c r="G9" s="1753" t="s">
        <v>93</v>
      </c>
    </row>
    <row r="10" spans="1:33" x14ac:dyDescent="0.2">
      <c r="C10" s="1732" t="s">
        <v>77</v>
      </c>
      <c r="D10" s="1732" t="s">
        <v>77</v>
      </c>
      <c r="E10" s="1732" t="s">
        <v>77</v>
      </c>
      <c r="G10" s="1753" t="s">
        <v>165</v>
      </c>
      <c r="H10" s="1753" t="s">
        <v>93</v>
      </c>
      <c r="I10" s="1753"/>
      <c r="J10" s="1480" t="s">
        <v>1</v>
      </c>
      <c r="K10" s="1773"/>
      <c r="L10" s="1732" t="s">
        <v>77</v>
      </c>
      <c r="M10" s="1773"/>
      <c r="N10" s="1774"/>
      <c r="Q10" s="1480" t="s">
        <v>202</v>
      </c>
    </row>
    <row r="11" spans="1:33" x14ac:dyDescent="0.2">
      <c r="C11" s="1732" t="s">
        <v>78</v>
      </c>
      <c r="D11" s="1732" t="s">
        <v>80</v>
      </c>
      <c r="E11" s="1732" t="s">
        <v>87</v>
      </c>
      <c r="G11" s="1753" t="s">
        <v>87</v>
      </c>
      <c r="H11" s="1753" t="s">
        <v>205</v>
      </c>
      <c r="I11" s="1753" t="s">
        <v>1</v>
      </c>
      <c r="J11" s="1753" t="s">
        <v>87</v>
      </c>
      <c r="K11" s="1775" t="s">
        <v>125</v>
      </c>
      <c r="L11" s="1732" t="s">
        <v>80</v>
      </c>
      <c r="M11" s="1775" t="s">
        <v>125</v>
      </c>
      <c r="N11" s="1775" t="s">
        <v>125</v>
      </c>
      <c r="O11" s="1480" t="s">
        <v>93</v>
      </c>
      <c r="P11" s="1480" t="s">
        <v>93</v>
      </c>
      <c r="Q11" s="1753" t="s">
        <v>203</v>
      </c>
      <c r="X11" s="1753"/>
    </row>
    <row r="12" spans="1:33" x14ac:dyDescent="0.2">
      <c r="A12" s="1864" t="s">
        <v>2092</v>
      </c>
      <c r="C12" s="1732" t="s">
        <v>79</v>
      </c>
      <c r="D12" s="1732" t="s">
        <v>81</v>
      </c>
      <c r="E12" s="1732" t="s">
        <v>81</v>
      </c>
      <c r="F12" s="1753" t="s">
        <v>76</v>
      </c>
      <c r="G12" s="1753" t="s">
        <v>204</v>
      </c>
      <c r="H12" s="1753" t="s">
        <v>166</v>
      </c>
      <c r="I12" s="1753" t="s">
        <v>87</v>
      </c>
      <c r="J12" s="1753" t="s">
        <v>171</v>
      </c>
      <c r="K12" s="1753" t="s">
        <v>87</v>
      </c>
      <c r="L12" s="1732" t="s">
        <v>81</v>
      </c>
      <c r="M12" s="1753" t="s">
        <v>23</v>
      </c>
      <c r="N12" s="1753" t="s">
        <v>126</v>
      </c>
      <c r="O12" s="1753" t="s">
        <v>158</v>
      </c>
      <c r="P12" s="1753" t="s">
        <v>199</v>
      </c>
      <c r="Q12" s="1753" t="s">
        <v>117</v>
      </c>
      <c r="U12" s="1865" t="s">
        <v>1805</v>
      </c>
      <c r="V12" s="1865"/>
      <c r="W12" s="1480"/>
      <c r="X12" s="1753" t="str">
        <f>F12</f>
        <v>Volume</v>
      </c>
      <c r="Y12" s="1865" t="s">
        <v>1805</v>
      </c>
      <c r="Z12" s="1865"/>
      <c r="AB12" s="1865"/>
      <c r="AC12" s="1865"/>
      <c r="AD12" s="1480"/>
    </row>
    <row r="13" spans="1:33" x14ac:dyDescent="0.2">
      <c r="A13" s="1864"/>
      <c r="B13" s="1700" t="s">
        <v>69</v>
      </c>
      <c r="C13" s="1700" t="s">
        <v>5</v>
      </c>
      <c r="D13" s="1700" t="s">
        <v>157</v>
      </c>
      <c r="E13" s="1700" t="s">
        <v>5</v>
      </c>
      <c r="F13" s="1701" t="s">
        <v>88</v>
      </c>
      <c r="G13" s="1701" t="s">
        <v>144</v>
      </c>
      <c r="H13" s="1701" t="s">
        <v>65</v>
      </c>
      <c r="I13" s="1701" t="s">
        <v>65</v>
      </c>
      <c r="J13" s="1701" t="s">
        <v>144</v>
      </c>
      <c r="K13" s="1701" t="s">
        <v>92</v>
      </c>
      <c r="L13" s="1700" t="s">
        <v>157</v>
      </c>
      <c r="M13" s="1701" t="s">
        <v>92</v>
      </c>
      <c r="N13" s="1701" t="s">
        <v>87</v>
      </c>
      <c r="O13" s="1701" t="s">
        <v>65</v>
      </c>
      <c r="P13" s="1701" t="s">
        <v>65</v>
      </c>
      <c r="Q13" s="1701" t="s">
        <v>97</v>
      </c>
      <c r="S13" s="1480" t="s">
        <v>1808</v>
      </c>
      <c r="T13" s="1771"/>
      <c r="U13" s="1865" t="s">
        <v>1806</v>
      </c>
      <c r="V13" s="1865"/>
      <c r="W13" s="1480"/>
      <c r="X13" s="1753" t="str">
        <f>F13</f>
        <v>(Therms)</v>
      </c>
      <c r="Y13" s="1865" t="s">
        <v>1807</v>
      </c>
      <c r="Z13" s="1865"/>
      <c r="AB13" s="1865" t="s">
        <v>1809</v>
      </c>
      <c r="AC13" s="1865"/>
      <c r="AD13" s="1480"/>
      <c r="AE13" s="1480" t="s">
        <v>1810</v>
      </c>
      <c r="AF13" s="1771"/>
    </row>
    <row r="14" spans="1:33" x14ac:dyDescent="0.2">
      <c r="B14" s="1480" t="s">
        <v>102</v>
      </c>
      <c r="C14" s="1753" t="s">
        <v>103</v>
      </c>
      <c r="D14" s="1753" t="s">
        <v>104</v>
      </c>
      <c r="E14" s="1753" t="s">
        <v>105</v>
      </c>
      <c r="F14" s="1753" t="s">
        <v>106</v>
      </c>
      <c r="G14" s="1753" t="s">
        <v>107</v>
      </c>
      <c r="H14" s="1753" t="s">
        <v>108</v>
      </c>
      <c r="I14" s="1753" t="s">
        <v>109</v>
      </c>
      <c r="J14" s="1753" t="s">
        <v>116</v>
      </c>
      <c r="K14" s="1753" t="s">
        <v>110</v>
      </c>
      <c r="L14" s="1753" t="s">
        <v>111</v>
      </c>
      <c r="M14" s="1753" t="s">
        <v>112</v>
      </c>
      <c r="N14" s="1753" t="s">
        <v>113</v>
      </c>
      <c r="O14" s="1753" t="s">
        <v>114</v>
      </c>
      <c r="P14" s="1753" t="s">
        <v>115</v>
      </c>
      <c r="Q14" s="1753" t="s">
        <v>200</v>
      </c>
    </row>
    <row r="15" spans="1:33" x14ac:dyDescent="0.2">
      <c r="A15" s="1480">
        <v>1</v>
      </c>
      <c r="B15" s="1776" t="s">
        <v>89</v>
      </c>
      <c r="C15" s="1777">
        <v>683933835.19273996</v>
      </c>
      <c r="D15" s="1777">
        <v>394704821.82093996</v>
      </c>
      <c r="E15" s="1777">
        <f>C15-D15</f>
        <v>289229013.37180001</v>
      </c>
      <c r="F15" s="1782">
        <v>548039263</v>
      </c>
      <c r="G15" s="1778">
        <f>E15/SUM(E$15:E$21)</f>
        <v>0.69129492192627584</v>
      </c>
      <c r="H15" s="1792">
        <v>1</v>
      </c>
      <c r="I15" s="1779">
        <f>$J$31*$J$32*H15</f>
        <v>3.6441515586910305E-3</v>
      </c>
      <c r="J15" s="1780">
        <f>E15*I15</f>
        <v>1053994.3598975139</v>
      </c>
      <c r="K15" s="1777">
        <f>'Exhibit No._(CTM-4), Pg. 3'!J45</f>
        <v>290284603.95999998</v>
      </c>
      <c r="L15" s="1780">
        <f>D15</f>
        <v>394704821.82093996</v>
      </c>
      <c r="M15" s="1780">
        <f>SUM(K15:L15)</f>
        <v>684989425.78093994</v>
      </c>
      <c r="N15" s="1777">
        <f>K15-E15</f>
        <v>1055590.5881999731</v>
      </c>
      <c r="O15" s="1781">
        <f>N15/C15</f>
        <v>1.5434103913026854E-3</v>
      </c>
      <c r="P15" s="1781">
        <f>N15/E15</f>
        <v>3.6496704666451481E-3</v>
      </c>
      <c r="Q15" s="1777">
        <f t="shared" ref="Q15:Q21" si="0">N15-J15</f>
        <v>1596.2283024592325</v>
      </c>
      <c r="R15" s="1779"/>
      <c r="S15" s="1611">
        <f>K15/($K$23-$K$21)</f>
        <v>0.70210420019009467</v>
      </c>
      <c r="T15" s="1779"/>
      <c r="U15" s="1821">
        <v>308352819</v>
      </c>
      <c r="V15" s="1611">
        <f t="shared" ref="V15:V20" si="1">U15/($U$23-$U$21)</f>
        <v>0.70738194590903081</v>
      </c>
      <c r="W15" s="1611"/>
      <c r="X15" s="1792">
        <f t="shared" ref="X15:X23" si="2">F15/$F$23</f>
        <v>0.50299291512269961</v>
      </c>
      <c r="Y15" s="1821">
        <v>704222117.58406293</v>
      </c>
      <c r="Z15" s="1611">
        <f t="shared" ref="Z15:Z20" si="3">Y15/($Y$23-$Y$21)</f>
        <v>0.6616114022296572</v>
      </c>
      <c r="AA15" s="1782"/>
      <c r="AB15" s="1821">
        <f>X15*($Y$23-$Y$21)</f>
        <v>535387894.80313808</v>
      </c>
      <c r="AC15" s="1611">
        <f>AB15/($AB$23-$AB$21)</f>
        <v>0.50299291512269961</v>
      </c>
      <c r="AD15" s="1611"/>
      <c r="AE15" s="1821">
        <f>AB15-Y15</f>
        <v>-168834222.78092486</v>
      </c>
      <c r="AF15" s="1782"/>
      <c r="AG15" s="1782"/>
    </row>
    <row r="16" spans="1:33" x14ac:dyDescent="0.2">
      <c r="A16" s="1480">
        <v>2</v>
      </c>
      <c r="B16" s="1783" t="s">
        <v>191</v>
      </c>
      <c r="C16" s="1784">
        <v>229957497.50940001</v>
      </c>
      <c r="D16" s="1784">
        <v>144583284.64950001</v>
      </c>
      <c r="E16" s="1784">
        <f t="shared" ref="E16:E20" si="4">C16-D16</f>
        <v>85374212.859899998</v>
      </c>
      <c r="F16" s="1782">
        <v>202387050</v>
      </c>
      <c r="G16" s="1778">
        <f t="shared" ref="G16:G21" si="5">E16/SUM(E$15:E$21)</f>
        <v>0.20405546153709689</v>
      </c>
      <c r="H16" s="1792">
        <v>1</v>
      </c>
      <c r="I16" s="1779">
        <f t="shared" ref="I16:I22" si="6">$J$31*$J$32*H16</f>
        <v>3.6441515586910305E-3</v>
      </c>
      <c r="J16" s="1785">
        <f t="shared" ref="J16:J22" si="7">E16*I16</f>
        <v>311116.57086542441</v>
      </c>
      <c r="K16" s="1784">
        <f>'Exhibit No._(CTM-4), Pg. 4'!J118</f>
        <v>85684583.859999999</v>
      </c>
      <c r="L16" s="1785">
        <f t="shared" ref="L16:L22" si="8">D16</f>
        <v>144583284.64950001</v>
      </c>
      <c r="M16" s="1785">
        <f>SUM(K16:L16)</f>
        <v>230267868.50950003</v>
      </c>
      <c r="N16" s="1784">
        <f t="shared" ref="N16:N20" si="9">K16-E16</f>
        <v>310371.00010000169</v>
      </c>
      <c r="O16" s="1781">
        <f t="shared" ref="O16:O26" si="10">N16/C16</f>
        <v>1.34968854445511E-3</v>
      </c>
      <c r="P16" s="1781">
        <f t="shared" ref="P16:P23" si="11">N16/E16</f>
        <v>3.6354185848755508E-3</v>
      </c>
      <c r="Q16" s="1777">
        <f t="shared" si="0"/>
        <v>-745.57076542271534</v>
      </c>
      <c r="R16" s="1779"/>
      <c r="S16" s="1611">
        <f t="shared" ref="S16:S22" si="12">K16/($K$23-$K$21)</f>
        <v>0.20724318616613965</v>
      </c>
      <c r="T16" s="1779"/>
      <c r="U16" s="1821">
        <v>93378499</v>
      </c>
      <c r="V16" s="1611">
        <f t="shared" si="1"/>
        <v>0.21421650868281664</v>
      </c>
      <c r="W16" s="1611"/>
      <c r="X16" s="1792">
        <f t="shared" si="2"/>
        <v>0.18575175016718384</v>
      </c>
      <c r="Y16" s="1821">
        <v>237814115.4750827</v>
      </c>
      <c r="Z16" s="1611">
        <f t="shared" si="3"/>
        <v>0.22342457937739132</v>
      </c>
      <c r="AB16" s="1821">
        <f t="shared" ref="AB16:AB22" si="13">X16*($Y$23-$Y$21)</f>
        <v>197714988.59729955</v>
      </c>
      <c r="AC16" s="1611">
        <f t="shared" ref="AC16:AC22" si="14">AB16/($AB$23-$AB$21)</f>
        <v>0.18575175016718384</v>
      </c>
      <c r="AD16" s="1611"/>
      <c r="AE16" s="1821">
        <f t="shared" ref="AE16:AE23" si="15">AB16-Y16</f>
        <v>-40099126.877783149</v>
      </c>
    </row>
    <row r="17" spans="1:31" x14ac:dyDescent="0.2">
      <c r="A17" s="1480">
        <v>3</v>
      </c>
      <c r="B17" s="1786" t="s">
        <v>160</v>
      </c>
      <c r="C17" s="1784">
        <v>66546917.139749996</v>
      </c>
      <c r="D17" s="1784">
        <v>48354808.535130009</v>
      </c>
      <c r="E17" s="1784">
        <f t="shared" si="4"/>
        <v>18192108.604619987</v>
      </c>
      <c r="F17" s="1782">
        <v>77382831</v>
      </c>
      <c r="G17" s="1778">
        <f t="shared" si="5"/>
        <v>4.3481503293511851E-2</v>
      </c>
      <c r="H17" s="1792">
        <v>0.5</v>
      </c>
      <c r="I17" s="1779">
        <f t="shared" si="6"/>
        <v>1.8220757793455152E-3</v>
      </c>
      <c r="J17" s="1785">
        <f>E17*I17</f>
        <v>33147.400463701219</v>
      </c>
      <c r="K17" s="1784">
        <f>'Exhibit No._(CTM-4), Pg. 4'!J119</f>
        <v>18239443.4987</v>
      </c>
      <c r="L17" s="1785">
        <f t="shared" si="8"/>
        <v>48354808.535130009</v>
      </c>
      <c r="M17" s="1785">
        <f>SUM(K17:L17)</f>
        <v>66594252.033830009</v>
      </c>
      <c r="N17" s="1784">
        <f t="shared" si="9"/>
        <v>47334.894080013037</v>
      </c>
      <c r="O17" s="1781">
        <f t="shared" si="10"/>
        <v>7.1130108071886661E-4</v>
      </c>
      <c r="P17" s="1781">
        <f t="shared" si="11"/>
        <v>2.6019465422492077E-3</v>
      </c>
      <c r="Q17" s="1777">
        <f t="shared" si="0"/>
        <v>14187.493616311818</v>
      </c>
      <c r="R17" s="1779"/>
      <c r="S17" s="1611">
        <f t="shared" si="12"/>
        <v>4.4115291389452395E-2</v>
      </c>
      <c r="T17" s="1779"/>
      <c r="U17" s="1821">
        <v>15355289</v>
      </c>
      <c r="V17" s="1611">
        <f t="shared" si="1"/>
        <v>3.5226057760851977E-2</v>
      </c>
      <c r="W17" s="1611"/>
      <c r="X17" s="1792">
        <f t="shared" si="2"/>
        <v>7.1022312401615662E-2</v>
      </c>
      <c r="Y17" s="1821">
        <v>62751541.224709399</v>
      </c>
      <c r="Z17" s="1611">
        <f t="shared" si="3"/>
        <v>5.895460273838421E-2</v>
      </c>
      <c r="AB17" s="1821">
        <f t="shared" si="13"/>
        <v>75596465.034653932</v>
      </c>
      <c r="AC17" s="1611">
        <f t="shared" si="14"/>
        <v>7.1022312401615662E-2</v>
      </c>
      <c r="AD17" s="1611"/>
      <c r="AE17" s="1821">
        <f t="shared" si="15"/>
        <v>12844923.809944533</v>
      </c>
    </row>
    <row r="18" spans="1:31" x14ac:dyDescent="0.2">
      <c r="A18" s="1480">
        <v>4</v>
      </c>
      <c r="B18" s="1776" t="s">
        <v>163</v>
      </c>
      <c r="C18" s="1784">
        <v>20171935.279069997</v>
      </c>
      <c r="D18" s="1784">
        <v>11608811.261559999</v>
      </c>
      <c r="E18" s="1784">
        <f t="shared" si="4"/>
        <v>8563124.0175099988</v>
      </c>
      <c r="F18" s="1782">
        <v>82190712</v>
      </c>
      <c r="G18" s="1778">
        <f t="shared" si="5"/>
        <v>2.0466979021637671E-2</v>
      </c>
      <c r="H18" s="1792">
        <v>0.5</v>
      </c>
      <c r="I18" s="1779">
        <f t="shared" si="6"/>
        <v>1.8220757793455152E-3</v>
      </c>
      <c r="J18" s="1785">
        <f t="shared" si="7"/>
        <v>15602.66086783683</v>
      </c>
      <c r="K18" s="1784">
        <f>'Exhibit No._(CTM-4), Pg. 5'!J23+'Exhibit No._(CTM-4), Pg. 5'!J43</f>
        <v>8578533.0099999998</v>
      </c>
      <c r="L18" s="1785">
        <f t="shared" si="8"/>
        <v>11608811.261559999</v>
      </c>
      <c r="M18" s="1785">
        <f t="shared" ref="M18:M25" si="16">SUM(K18:L18)</f>
        <v>20187344.271559998</v>
      </c>
      <c r="N18" s="1784">
        <f t="shared" si="9"/>
        <v>15408.992490001023</v>
      </c>
      <c r="O18" s="1781">
        <f t="shared" si="10"/>
        <v>7.6388270519532598E-4</v>
      </c>
      <c r="P18" s="1781">
        <f t="shared" si="11"/>
        <v>1.7994592228832017E-3</v>
      </c>
      <c r="Q18" s="1777">
        <f t="shared" si="0"/>
        <v>-193.66837783580741</v>
      </c>
      <c r="R18" s="1779"/>
      <c r="S18" s="1611">
        <f t="shared" si="12"/>
        <v>2.0748685860791719E-2</v>
      </c>
      <c r="T18" s="1779"/>
      <c r="U18" s="1821">
        <v>7402534</v>
      </c>
      <c r="V18" s="1611">
        <f t="shared" si="1"/>
        <v>1.6981907032858231E-2</v>
      </c>
      <c r="W18" s="1611"/>
      <c r="X18" s="1792">
        <f t="shared" si="2"/>
        <v>7.5435007336126292E-2</v>
      </c>
      <c r="Y18" s="1821">
        <v>18914501.640231851</v>
      </c>
      <c r="Z18" s="1611">
        <f t="shared" si="3"/>
        <v>1.7770032551093717E-2</v>
      </c>
      <c r="AB18" s="1821">
        <f t="shared" si="13"/>
        <v>80293357.138630807</v>
      </c>
      <c r="AC18" s="1611">
        <f t="shared" si="14"/>
        <v>7.5435007336126292E-2</v>
      </c>
      <c r="AD18" s="1611"/>
      <c r="AE18" s="1821">
        <f t="shared" si="15"/>
        <v>61378855.49839896</v>
      </c>
    </row>
    <row r="19" spans="1:31" x14ac:dyDescent="0.2">
      <c r="A19" s="1480">
        <v>5</v>
      </c>
      <c r="B19" s="1786" t="s">
        <v>188</v>
      </c>
      <c r="C19" s="1784">
        <v>12410859.56308</v>
      </c>
      <c r="D19" s="1784">
        <v>9365238.1461000014</v>
      </c>
      <c r="E19" s="1784">
        <f t="shared" si="4"/>
        <v>3045621.4169799984</v>
      </c>
      <c r="F19" s="1782">
        <v>13962361</v>
      </c>
      <c r="G19" s="1778">
        <f t="shared" si="5"/>
        <v>7.2794309088268713E-3</v>
      </c>
      <c r="H19" s="1792">
        <v>0</v>
      </c>
      <c r="I19" s="1779">
        <f t="shared" si="6"/>
        <v>0</v>
      </c>
      <c r="J19" s="1785">
        <f>E19*I19</f>
        <v>0</v>
      </c>
      <c r="K19" s="1784">
        <f>'Exhibit No._(CTM-4), Pg. 5'!J114</f>
        <v>3046714</v>
      </c>
      <c r="L19" s="1785">
        <f t="shared" si="8"/>
        <v>9365238.1461000014</v>
      </c>
      <c r="M19" s="1785">
        <f>SUM(K19:L19)</f>
        <v>12411952.146100001</v>
      </c>
      <c r="N19" s="1784">
        <f t="shared" si="9"/>
        <v>1092.5830200016499</v>
      </c>
      <c r="O19" s="1781">
        <f t="shared" si="10"/>
        <v>8.8034435846158566E-5</v>
      </c>
      <c r="P19" s="1781">
        <f t="shared" si="11"/>
        <v>3.5873894697163055E-4</v>
      </c>
      <c r="Q19" s="1777">
        <f t="shared" si="0"/>
        <v>1092.5830200016499</v>
      </c>
      <c r="R19" s="1779"/>
      <c r="S19" s="1611">
        <f t="shared" si="12"/>
        <v>7.3690118834987359E-3</v>
      </c>
      <c r="T19" s="1779"/>
      <c r="U19" s="1821">
        <v>2036103</v>
      </c>
      <c r="V19" s="1611">
        <f t="shared" si="1"/>
        <v>4.6709561692420114E-3</v>
      </c>
      <c r="W19" s="1611"/>
      <c r="X19" s="1792">
        <f t="shared" si="2"/>
        <v>1.2814718096913962E-2</v>
      </c>
      <c r="Y19" s="1821">
        <v>11380764.29308085</v>
      </c>
      <c r="Z19" s="1611">
        <f t="shared" si="3"/>
        <v>1.0692142769133661E-2</v>
      </c>
      <c r="AB19" s="1821">
        <f t="shared" si="13"/>
        <v>13640042.907421099</v>
      </c>
      <c r="AC19" s="1611">
        <f t="shared" si="14"/>
        <v>1.281471809691396E-2</v>
      </c>
      <c r="AD19" s="1611"/>
      <c r="AE19" s="1821">
        <f t="shared" si="15"/>
        <v>2259278.6143402494</v>
      </c>
    </row>
    <row r="20" spans="1:31" x14ac:dyDescent="0.2">
      <c r="A20" s="1480">
        <v>6</v>
      </c>
      <c r="B20" s="1786" t="s">
        <v>161</v>
      </c>
      <c r="C20" s="1784">
        <v>25742572.911910001</v>
      </c>
      <c r="D20" s="1784">
        <v>19898138.363200001</v>
      </c>
      <c r="E20" s="1784">
        <f t="shared" si="4"/>
        <v>5844434.5487099998</v>
      </c>
      <c r="F20" s="1782">
        <v>129614230</v>
      </c>
      <c r="G20" s="1778">
        <f t="shared" si="5"/>
        <v>1.3968957947728603E-2</v>
      </c>
      <c r="H20" s="1792">
        <v>1.5</v>
      </c>
      <c r="I20" s="1779">
        <f>$J$31*$J$32*H20</f>
        <v>5.4662273380365455E-3</v>
      </c>
      <c r="J20" s="1785">
        <f>E20*I20</f>
        <v>31947.007905523882</v>
      </c>
      <c r="K20" s="1784">
        <f>'Exhibit No._(CTM-4), Pg. 5'!J138+'Exhibit No._(CTM-4), Pg. 5'!J160</f>
        <v>5876442.9900000002</v>
      </c>
      <c r="L20" s="1785">
        <f t="shared" si="8"/>
        <v>19898138.363200001</v>
      </c>
      <c r="M20" s="1785">
        <f t="shared" si="16"/>
        <v>25774581.353200004</v>
      </c>
      <c r="N20" s="1784">
        <f t="shared" si="9"/>
        <v>32008.441290000454</v>
      </c>
      <c r="O20" s="1781">
        <f t="shared" si="10"/>
        <v>1.2434048997173666E-3</v>
      </c>
      <c r="P20" s="1781">
        <f t="shared" si="11"/>
        <v>5.4767387714292131E-3</v>
      </c>
      <c r="Q20" s="1777">
        <f t="shared" si="0"/>
        <v>61.433384476571518</v>
      </c>
      <c r="R20" s="1779"/>
      <c r="S20" s="1611">
        <f t="shared" si="12"/>
        <v>1.4213207483870441E-2</v>
      </c>
      <c r="T20" s="1779"/>
      <c r="U20" s="1821">
        <v>6996005</v>
      </c>
      <c r="V20" s="1611">
        <f t="shared" si="1"/>
        <v>1.604930237556644E-2</v>
      </c>
      <c r="W20" s="1611"/>
      <c r="X20" s="1792">
        <f t="shared" si="2"/>
        <v>0.1189605267188385</v>
      </c>
      <c r="Y20" s="1821">
        <v>26905096.601884428</v>
      </c>
      <c r="Z20" s="1611">
        <f t="shared" si="3"/>
        <v>2.5277136638316773E-2</v>
      </c>
      <c r="AB20" s="1821">
        <f t="shared" si="13"/>
        <v>126622113.45290007</v>
      </c>
      <c r="AC20" s="1611">
        <f t="shared" si="14"/>
        <v>0.11896052671883849</v>
      </c>
      <c r="AD20" s="1611"/>
      <c r="AE20" s="1821">
        <f t="shared" si="15"/>
        <v>99717016.851015642</v>
      </c>
    </row>
    <row r="21" spans="1:31" x14ac:dyDescent="0.2">
      <c r="A21" s="1480">
        <v>7</v>
      </c>
      <c r="B21" s="1776" t="s">
        <v>90</v>
      </c>
      <c r="C21" s="1784">
        <v>8138781.5399999991</v>
      </c>
      <c r="D21" s="1784">
        <v>0</v>
      </c>
      <c r="E21" s="1785">
        <f>C21</f>
        <v>8138781.5399999991</v>
      </c>
      <c r="F21" s="1782">
        <v>0</v>
      </c>
      <c r="G21" s="1778">
        <f t="shared" si="5"/>
        <v>1.9452745364922235E-2</v>
      </c>
      <c r="H21" s="1792">
        <v>0</v>
      </c>
      <c r="I21" s="1779">
        <f t="shared" si="6"/>
        <v>0</v>
      </c>
      <c r="J21" s="1785">
        <f>E21*I21</f>
        <v>0</v>
      </c>
      <c r="K21" s="1784">
        <f>E21+'Exhibit No._(CTM-4), Pg. 6'!K30</f>
        <v>8138781.5399999991</v>
      </c>
      <c r="L21" s="1784">
        <f>D21</f>
        <v>0</v>
      </c>
      <c r="M21" s="1785">
        <f>SUM(K21:L21)</f>
        <v>8138781.5399999991</v>
      </c>
      <c r="N21" s="1784">
        <f>K21-E21</f>
        <v>0</v>
      </c>
      <c r="O21" s="1781">
        <f>N21/C21</f>
        <v>0</v>
      </c>
      <c r="P21" s="1781">
        <f t="shared" si="11"/>
        <v>0</v>
      </c>
      <c r="Q21" s="1777">
        <f t="shared" si="0"/>
        <v>0</v>
      </c>
      <c r="R21" s="1779"/>
      <c r="S21" s="1611">
        <f>(K21-K21)/($K$23-$K$21)</f>
        <v>0</v>
      </c>
      <c r="T21" s="1779"/>
      <c r="U21" s="1821">
        <v>4395553</v>
      </c>
      <c r="V21" s="1611">
        <f>(U21-U21)/($U$23-$U$21)</f>
        <v>0</v>
      </c>
      <c r="W21" s="1611"/>
      <c r="X21" s="1792">
        <f t="shared" si="2"/>
        <v>0</v>
      </c>
      <c r="Y21" s="1821">
        <v>4413319.525065056</v>
      </c>
      <c r="Z21" s="1611">
        <f>(Y21-Y21)/($Y$23-$Y$21)</f>
        <v>0</v>
      </c>
      <c r="AB21" s="1821">
        <f>$Y$21</f>
        <v>4413319.525065056</v>
      </c>
      <c r="AC21" s="1611">
        <f>(AB21-AB21)/($AB$23-$AB$21)</f>
        <v>0</v>
      </c>
      <c r="AD21" s="1611"/>
      <c r="AE21" s="1821">
        <f t="shared" si="15"/>
        <v>0</v>
      </c>
    </row>
    <row r="22" spans="1:31" s="1686" customFormat="1" x14ac:dyDescent="0.2">
      <c r="A22" s="1480">
        <v>8</v>
      </c>
      <c r="B22" s="1786" t="s">
        <v>144</v>
      </c>
      <c r="C22" s="1784">
        <v>1658615.8571500001</v>
      </c>
      <c r="D22" s="1784">
        <v>0</v>
      </c>
      <c r="E22" s="1784">
        <f>C22-D22</f>
        <v>1658615.8571500001</v>
      </c>
      <c r="F22" s="1782">
        <v>35980178</v>
      </c>
      <c r="G22" s="1778"/>
      <c r="H22" s="1611">
        <v>0</v>
      </c>
      <c r="I22" s="1611">
        <f t="shared" si="6"/>
        <v>0</v>
      </c>
      <c r="J22" s="1785">
        <f t="shared" si="7"/>
        <v>0</v>
      </c>
      <c r="K22" s="1784">
        <f>E22+80525</f>
        <v>1739140.8571500001</v>
      </c>
      <c r="L22" s="1785">
        <f t="shared" si="8"/>
        <v>0</v>
      </c>
      <c r="M22" s="1785">
        <f>SUM(K22:L22)</f>
        <v>1739140.8571500001</v>
      </c>
      <c r="N22" s="1784">
        <f>K22-E22</f>
        <v>80525</v>
      </c>
      <c r="O22" s="1787">
        <f t="shared" si="10"/>
        <v>4.8549517751727105E-2</v>
      </c>
      <c r="P22" s="1781">
        <f t="shared" si="11"/>
        <v>4.8549517751727105E-2</v>
      </c>
      <c r="Q22" s="1777"/>
      <c r="R22" s="1779"/>
      <c r="S22" s="1822">
        <f t="shared" si="12"/>
        <v>4.2064170261522831E-3</v>
      </c>
      <c r="T22" s="1779"/>
      <c r="U22" s="1823">
        <v>2385860</v>
      </c>
      <c r="V22" s="1822">
        <f>U22/($U$23-$U$21)</f>
        <v>5.4733220696338769E-3</v>
      </c>
      <c r="W22" s="1822"/>
      <c r="X22" s="1793">
        <f t="shared" si="2"/>
        <v>3.3022770156622194E-2</v>
      </c>
      <c r="Y22" s="1823">
        <v>2416308.4653034518</v>
      </c>
      <c r="Z22" s="1822">
        <f>Y22/($Y$23-$Y$21)</f>
        <v>2.2701036960231175E-3</v>
      </c>
      <c r="AB22" s="1823">
        <f t="shared" si="13"/>
        <v>35149583.350312218</v>
      </c>
      <c r="AC22" s="1822">
        <f t="shared" si="14"/>
        <v>3.3022770156622187E-2</v>
      </c>
      <c r="AD22" s="1612"/>
      <c r="AE22" s="1823">
        <f t="shared" si="15"/>
        <v>32733274.885008767</v>
      </c>
    </row>
    <row r="23" spans="1:31" x14ac:dyDescent="0.2">
      <c r="A23" s="1480">
        <v>9</v>
      </c>
      <c r="B23" s="1431" t="s">
        <v>175</v>
      </c>
      <c r="C23" s="1788">
        <f>SUM(C15:C22)</f>
        <v>1048561014.9930999</v>
      </c>
      <c r="D23" s="1788">
        <f>SUM(D15:D22)</f>
        <v>628515102.77642989</v>
      </c>
      <c r="E23" s="1788">
        <f>SUM(E15:E22)</f>
        <v>420045912.21667004</v>
      </c>
      <c r="F23" s="1709">
        <f>SUM(F15:F22)</f>
        <v>1089556625</v>
      </c>
      <c r="G23" s="1789">
        <f>SUM(G15:G22)</f>
        <v>0.99999999999999989</v>
      </c>
      <c r="H23" s="1611">
        <f>AVERAGE(H15,H16,H17,H18,H20)</f>
        <v>0.9</v>
      </c>
      <c r="I23" s="1611"/>
      <c r="J23" s="1788">
        <f>SUM(J15:J22)</f>
        <v>1445808.0000000002</v>
      </c>
      <c r="K23" s="1788">
        <f>SUM(K15:K22)</f>
        <v>421588243.71585006</v>
      </c>
      <c r="L23" s="1790">
        <f>SUM(L15:L22)</f>
        <v>628515102.77642989</v>
      </c>
      <c r="M23" s="1788">
        <f>SUM(M15:M22)</f>
        <v>1050103346.4922799</v>
      </c>
      <c r="N23" s="1790">
        <f>SUM(N15:N22)</f>
        <v>1542331.499179991</v>
      </c>
      <c r="O23" s="1781">
        <f t="shared" si="10"/>
        <v>1.4709029585561507E-3</v>
      </c>
      <c r="P23" s="1791">
        <f t="shared" si="11"/>
        <v>3.6718164713013999E-3</v>
      </c>
      <c r="Q23" s="1790">
        <f>SUM(Q15:Q22)</f>
        <v>15998.499179990749</v>
      </c>
      <c r="R23" s="1779"/>
      <c r="S23" s="1611">
        <f>(K23-K21)/($K$23-$K$21)</f>
        <v>1</v>
      </c>
      <c r="T23" s="1779"/>
      <c r="U23" s="1821">
        <f>SUM(U15:U22)</f>
        <v>440302662</v>
      </c>
      <c r="V23" s="1611">
        <f>(U23-U21)/($U$23-$U$21)</f>
        <v>1</v>
      </c>
      <c r="W23" s="1611"/>
      <c r="X23" s="1792">
        <f t="shared" si="2"/>
        <v>1</v>
      </c>
      <c r="Y23" s="1821">
        <f>SUM(Y15:Y22)</f>
        <v>1068817764.8094207</v>
      </c>
      <c r="Z23" s="1611">
        <f>(Y23-Y21)/($Y$23-$Y$21)</f>
        <v>1</v>
      </c>
      <c r="AB23" s="1821">
        <f>SUM(AB15:AB22)</f>
        <v>1068817764.8094208</v>
      </c>
      <c r="AC23" s="1611">
        <f>(AB23-AB21)/($AB$23-$AB$21)</f>
        <v>1</v>
      </c>
      <c r="AD23" s="1611"/>
      <c r="AE23" s="1821">
        <f t="shared" si="15"/>
        <v>0</v>
      </c>
    </row>
    <row r="24" spans="1:31" x14ac:dyDescent="0.2">
      <c r="A24" s="1480">
        <v>10</v>
      </c>
      <c r="B24" s="1776"/>
      <c r="C24" s="1785"/>
      <c r="D24" s="1785"/>
      <c r="E24" s="1785"/>
      <c r="F24" s="1782"/>
      <c r="G24" s="1778"/>
      <c r="H24" s="1611"/>
      <c r="I24" s="1611"/>
      <c r="J24" s="1785"/>
      <c r="K24" s="1785"/>
      <c r="L24" s="1784"/>
      <c r="M24" s="1785"/>
      <c r="N24" s="1784"/>
      <c r="O24" s="1792"/>
      <c r="P24" s="1792"/>
      <c r="Q24" s="1777"/>
    </row>
    <row r="25" spans="1:31" x14ac:dyDescent="0.2">
      <c r="A25" s="1480">
        <v>11</v>
      </c>
      <c r="B25" s="1776" t="s">
        <v>91</v>
      </c>
      <c r="C25" s="1785">
        <v>6760042.1649999991</v>
      </c>
      <c r="D25" s="1785"/>
      <c r="E25" s="1785">
        <f>C25</f>
        <v>6760042.1649999991</v>
      </c>
      <c r="F25" s="1782"/>
      <c r="G25" s="1778"/>
      <c r="H25" s="1612"/>
      <c r="I25" s="1612"/>
      <c r="J25" s="1785"/>
      <c r="K25" s="1785">
        <f>E25</f>
        <v>6760042.1649999991</v>
      </c>
      <c r="L25" s="1784"/>
      <c r="M25" s="1785">
        <f t="shared" si="16"/>
        <v>6760042.1649999991</v>
      </c>
      <c r="N25" s="1784"/>
      <c r="O25" s="1793">
        <f t="shared" si="10"/>
        <v>0</v>
      </c>
      <c r="P25" s="1741"/>
      <c r="Q25" s="1686"/>
    </row>
    <row r="26" spans="1:31" x14ac:dyDescent="0.2">
      <c r="A26" s="1480">
        <v>12</v>
      </c>
      <c r="B26" s="1776" t="s">
        <v>23</v>
      </c>
      <c r="C26" s="1788">
        <f>SUM(C23:C25)</f>
        <v>1055321057.1580999</v>
      </c>
      <c r="D26" s="1788">
        <f>SUM(D23:D25)</f>
        <v>628515102.77642989</v>
      </c>
      <c r="E26" s="1788">
        <f>SUM(E23:E25)</f>
        <v>426805954.38167006</v>
      </c>
      <c r="F26" s="1709">
        <f>SUM(F23:F25)</f>
        <v>1089556625</v>
      </c>
      <c r="G26" s="1794"/>
      <c r="H26" s="1612"/>
      <c r="I26" s="1611"/>
      <c r="J26" s="1788">
        <f>SUM(J23:J25)</f>
        <v>1445808.0000000002</v>
      </c>
      <c r="K26" s="1788">
        <f>SUM(K23:K25)</f>
        <v>428348285.88085008</v>
      </c>
      <c r="L26" s="1790">
        <f>SUM(L23:L25)</f>
        <v>628515102.77642989</v>
      </c>
      <c r="M26" s="1788">
        <f>SUM(M23:M25)</f>
        <v>1056863388.6572798</v>
      </c>
      <c r="N26" s="1790">
        <f>SUM(N23:N25)</f>
        <v>1542331.499179991</v>
      </c>
      <c r="O26" s="1792">
        <f t="shared" si="10"/>
        <v>1.4614808344044358E-3</v>
      </c>
      <c r="P26" s="1795">
        <f>N26/E26</f>
        <v>3.6136597518055366E-3</v>
      </c>
      <c r="Q26" s="1790">
        <f>SUM(Q23:Q25)</f>
        <v>15998.499179990749</v>
      </c>
      <c r="U26" s="1782"/>
      <c r="X26" s="1796"/>
      <c r="Y26" s="1782"/>
      <c r="Z26" s="1796"/>
      <c r="AB26" s="1782"/>
    </row>
    <row r="27" spans="1:31" x14ac:dyDescent="0.2">
      <c r="A27" s="1480">
        <v>13</v>
      </c>
      <c r="H27" s="1471"/>
      <c r="J27" s="1686"/>
      <c r="K27" s="1777"/>
      <c r="L27" s="1686"/>
      <c r="N27" s="1780"/>
      <c r="Q27" s="1797"/>
      <c r="U27" s="1782"/>
      <c r="Y27" s="1782"/>
      <c r="AB27" s="1782"/>
    </row>
    <row r="28" spans="1:31" x14ac:dyDescent="0.2">
      <c r="A28" s="1480">
        <v>14</v>
      </c>
      <c r="B28" s="1776" t="s">
        <v>94</v>
      </c>
      <c r="J28" s="1835">
        <f>'[15]Exhibit No._(CTM-2), Pg. 1-5'!$I$19</f>
        <v>1526333</v>
      </c>
      <c r="K28" s="1824"/>
      <c r="L28" s="1860"/>
      <c r="M28" s="1859"/>
      <c r="N28" s="1799"/>
      <c r="O28" s="1471"/>
      <c r="P28" s="1471"/>
      <c r="Q28" s="1780"/>
    </row>
    <row r="29" spans="1:31" x14ac:dyDescent="0.2">
      <c r="A29" s="1480">
        <v>15</v>
      </c>
      <c r="B29" s="1776" t="s">
        <v>167</v>
      </c>
      <c r="J29" s="1781">
        <f>$J$28/(SUM(E$15:E$21))</f>
        <v>3.6481341887790557E-3</v>
      </c>
      <c r="K29" s="1781"/>
      <c r="L29" s="1777"/>
      <c r="M29" s="1798"/>
      <c r="N29" s="1552"/>
      <c r="O29" s="1471"/>
      <c r="P29" s="1471"/>
    </row>
    <row r="30" spans="1:31" x14ac:dyDescent="0.2">
      <c r="A30" s="1480">
        <v>16</v>
      </c>
      <c r="B30" s="1776" t="s">
        <v>168</v>
      </c>
      <c r="E30" s="1780"/>
      <c r="J30" s="1781">
        <f>ROUND($J$28/(SUM(C$15:C$21)),4)</f>
        <v>1.5E-3</v>
      </c>
      <c r="L30" s="1777"/>
      <c r="N30" s="1799"/>
      <c r="O30" s="1471"/>
      <c r="P30" s="1471"/>
      <c r="Q30" s="1780"/>
    </row>
    <row r="31" spans="1:31" s="1686" customFormat="1" x14ac:dyDescent="0.2">
      <c r="A31" s="1480">
        <v>17</v>
      </c>
      <c r="B31" s="1786" t="s">
        <v>174</v>
      </c>
      <c r="E31" s="1777"/>
      <c r="J31" s="1781">
        <f>(J28-N22)/SUM(E15:E21)</f>
        <v>3.4556689760427569E-3</v>
      </c>
      <c r="L31" s="1777"/>
      <c r="N31" s="1800"/>
      <c r="O31" s="1704"/>
      <c r="P31" s="1704"/>
      <c r="Q31" s="1777"/>
    </row>
    <row r="32" spans="1:31" s="1686" customFormat="1" x14ac:dyDescent="0.2">
      <c r="A32" s="1480">
        <v>18</v>
      </c>
      <c r="B32" s="1786" t="s">
        <v>169</v>
      </c>
      <c r="E32" s="1777"/>
      <c r="J32" s="1801">
        <f>1/SUMPRODUCT($G$15:$G$21,$H$15:$H$21)</f>
        <v>1.054543008591093</v>
      </c>
      <c r="L32" s="1777"/>
      <c r="M32" s="1800"/>
      <c r="N32" s="1704"/>
      <c r="O32" s="1704"/>
      <c r="P32" s="1704"/>
      <c r="Q32" s="1777"/>
    </row>
    <row r="33" spans="1:17" s="1686" customFormat="1" x14ac:dyDescent="0.2">
      <c r="A33" s="1480">
        <v>19</v>
      </c>
      <c r="B33" s="1786"/>
      <c r="E33" s="1777"/>
      <c r="J33" s="1777"/>
      <c r="L33" s="1777"/>
      <c r="M33" s="1800"/>
      <c r="N33" s="1800"/>
      <c r="O33" s="1704"/>
      <c r="P33" s="1704"/>
      <c r="Q33" s="1777"/>
    </row>
    <row r="34" spans="1:17" s="1686" customFormat="1" x14ac:dyDescent="0.2">
      <c r="A34" s="1480">
        <v>20</v>
      </c>
      <c r="B34" s="1786" t="s">
        <v>172</v>
      </c>
      <c r="E34" s="1777"/>
      <c r="J34" s="1800">
        <f>Q26</f>
        <v>15998.499179990749</v>
      </c>
      <c r="L34" s="1777"/>
      <c r="M34" s="1800"/>
      <c r="O34" s="1704"/>
      <c r="P34" s="1704"/>
      <c r="Q34" s="1777"/>
    </row>
    <row r="35" spans="1:17" s="1686" customFormat="1" x14ac:dyDescent="0.2">
      <c r="A35" s="1480">
        <v>21</v>
      </c>
      <c r="E35" s="1777"/>
      <c r="J35" s="1777"/>
      <c r="L35" s="1777"/>
      <c r="M35" s="1800"/>
      <c r="N35" s="1704"/>
      <c r="O35" s="1704"/>
      <c r="P35" s="1704"/>
    </row>
    <row r="36" spans="1:17" s="1686" customFormat="1" x14ac:dyDescent="0.2">
      <c r="A36" s="1480">
        <v>22</v>
      </c>
      <c r="B36" s="1772" t="s">
        <v>190</v>
      </c>
      <c r="E36" s="1777"/>
      <c r="M36" s="1800"/>
      <c r="N36" s="1704"/>
      <c r="O36" s="1704"/>
      <c r="P36" s="1704"/>
    </row>
    <row r="37" spans="1:17" s="1686" customFormat="1" x14ac:dyDescent="0.2">
      <c r="A37" s="1480">
        <v>23</v>
      </c>
      <c r="B37" s="1772" t="s">
        <v>159</v>
      </c>
    </row>
    <row r="38" spans="1:17" s="1686" customFormat="1" x14ac:dyDescent="0.2">
      <c r="A38" s="1480">
        <v>24</v>
      </c>
      <c r="B38" s="1772" t="s">
        <v>201</v>
      </c>
    </row>
    <row r="39" spans="1:17" s="1686" customFormat="1" x14ac:dyDescent="0.2">
      <c r="J39" s="1777"/>
    </row>
    <row r="40" spans="1:17" s="1686" customFormat="1" x14ac:dyDescent="0.2"/>
    <row r="41" spans="1:17" s="1686" customFormat="1" x14ac:dyDescent="0.2">
      <c r="J41" s="1777"/>
      <c r="N41" s="1777"/>
    </row>
    <row r="42" spans="1:17" s="1686" customFormat="1" x14ac:dyDescent="0.2">
      <c r="C42" s="1777"/>
      <c r="J42" s="1798"/>
      <c r="K42" s="1800"/>
      <c r="L42" s="1800"/>
      <c r="M42" s="1800"/>
      <c r="N42" s="1800"/>
    </row>
    <row r="43" spans="1:17" s="1686" customFormat="1" x14ac:dyDescent="0.2"/>
    <row r="44" spans="1:17" s="1686" customFormat="1" x14ac:dyDescent="0.2"/>
    <row r="45" spans="1:17" s="1686" customFormat="1" x14ac:dyDescent="0.2"/>
    <row r="46" spans="1:17" s="1686" customFormat="1" x14ac:dyDescent="0.2">
      <c r="G46" s="1802"/>
      <c r="H46" s="1802"/>
      <c r="J46" s="1781"/>
    </row>
    <row r="47" spans="1:17" s="1686" customFormat="1" x14ac:dyDescent="0.2">
      <c r="G47" s="1802"/>
      <c r="H47" s="1802"/>
    </row>
    <row r="48" spans="1:17" s="1686" customFormat="1" x14ac:dyDescent="0.2">
      <c r="B48" s="1686" t="s">
        <v>119</v>
      </c>
      <c r="G48" s="1802"/>
      <c r="H48" s="1802"/>
    </row>
    <row r="49" spans="7:8" s="1686" customFormat="1" x14ac:dyDescent="0.2">
      <c r="G49" s="1802"/>
      <c r="H49" s="1802"/>
    </row>
    <row r="50" spans="7:8" s="1686" customFormat="1" x14ac:dyDescent="0.2">
      <c r="G50" s="1802"/>
      <c r="H50" s="1802"/>
    </row>
    <row r="51" spans="7:8" s="1686" customFormat="1" x14ac:dyDescent="0.2">
      <c r="G51" s="1802"/>
      <c r="H51" s="1802"/>
    </row>
    <row r="52" spans="7:8" s="1686" customFormat="1" x14ac:dyDescent="0.2">
      <c r="G52" s="1802"/>
      <c r="H52" s="1802"/>
    </row>
    <row r="53" spans="7:8" s="1686" customFormat="1" x14ac:dyDescent="0.2">
      <c r="G53" s="1802"/>
    </row>
    <row r="54" spans="7:8" s="1686" customFormat="1" x14ac:dyDescent="0.2"/>
  </sheetData>
  <mergeCells count="10">
    <mergeCell ref="A5:Q5"/>
    <mergeCell ref="A6:Q6"/>
    <mergeCell ref="A7:Q7"/>
    <mergeCell ref="A12:A13"/>
    <mergeCell ref="AB12:AC12"/>
    <mergeCell ref="AB13:AC13"/>
    <mergeCell ref="U12:V12"/>
    <mergeCell ref="U13:V13"/>
    <mergeCell ref="Y12:Z12"/>
    <mergeCell ref="Y13:Z13"/>
  </mergeCells>
  <phoneticPr fontId="19" type="noConversion"/>
  <pageMargins left="0.2" right="0.2" top="0.25" bottom="0.25" header="0" footer="0"/>
  <pageSetup scale="5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13"/>
  <sheetViews>
    <sheetView workbookViewId="0">
      <pane xSplit="2" ySplit="3" topLeftCell="C4"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1" width="4.7109375" style="832" customWidth="1"/>
    <col min="2" max="2" width="58" style="833" bestFit="1" customWidth="1"/>
    <col min="3" max="3" width="15.28515625" style="812" customWidth="1"/>
    <col min="4" max="5" width="14.28515625" style="812" customWidth="1"/>
    <col min="6" max="6" width="15.28515625" style="812" customWidth="1"/>
    <col min="7" max="7" width="23" style="812" bestFit="1" customWidth="1"/>
    <col min="8" max="8" width="2.28515625" style="835" customWidth="1"/>
    <col min="9" max="9" width="67.85546875" style="835" bestFit="1" customWidth="1"/>
    <col min="10" max="10" width="11.7109375" style="835" customWidth="1"/>
    <col min="11" max="11" width="12.28515625" style="835" bestFit="1" customWidth="1"/>
    <col min="12" max="12" width="11.85546875" style="835" bestFit="1" customWidth="1"/>
    <col min="13" max="13" width="12.28515625" style="835" bestFit="1" customWidth="1"/>
    <col min="14" max="16384" width="9.140625" style="835"/>
  </cols>
  <sheetData>
    <row r="1" spans="1:7" x14ac:dyDescent="0.2">
      <c r="A1" s="832" t="s">
        <v>1056</v>
      </c>
      <c r="C1" s="834" t="s">
        <v>1442</v>
      </c>
      <c r="D1" s="834"/>
      <c r="E1" s="834"/>
      <c r="F1" s="834"/>
      <c r="G1" s="834"/>
    </row>
    <row r="2" spans="1:7" x14ac:dyDescent="0.2">
      <c r="B2" s="836"/>
      <c r="C2" s="837" t="s">
        <v>119</v>
      </c>
      <c r="D2" s="837" t="s">
        <v>1443</v>
      </c>
      <c r="E2" s="837"/>
      <c r="F2" s="837" t="s">
        <v>92</v>
      </c>
      <c r="G2" s="837" t="s">
        <v>1444</v>
      </c>
    </row>
    <row r="3" spans="1:7" x14ac:dyDescent="0.2">
      <c r="A3" s="838"/>
      <c r="B3" s="839" t="s">
        <v>1445</v>
      </c>
      <c r="C3" s="840" t="s">
        <v>1446</v>
      </c>
      <c r="D3" s="840" t="s">
        <v>1447</v>
      </c>
      <c r="E3" s="840" t="s">
        <v>1220</v>
      </c>
      <c r="F3" s="840" t="s">
        <v>65</v>
      </c>
      <c r="G3" s="840" t="s">
        <v>1448</v>
      </c>
    </row>
    <row r="4" spans="1:7" x14ac:dyDescent="0.2">
      <c r="A4" s="841" t="s">
        <v>1449</v>
      </c>
      <c r="B4" s="842"/>
    </row>
    <row r="5" spans="1:7" x14ac:dyDescent="0.2">
      <c r="A5" s="843" t="s">
        <v>1450</v>
      </c>
      <c r="B5" s="842"/>
    </row>
    <row r="6" spans="1:7" x14ac:dyDescent="0.2">
      <c r="A6" s="844" t="s">
        <v>1451</v>
      </c>
      <c r="B6" s="842"/>
      <c r="C6" s="845"/>
      <c r="D6" s="845"/>
      <c r="E6" s="845"/>
      <c r="F6" s="845"/>
      <c r="G6" s="845"/>
    </row>
    <row r="7" spans="1:7" x14ac:dyDescent="0.2">
      <c r="B7" s="833" t="s">
        <v>1452</v>
      </c>
      <c r="C7" s="846">
        <v>648648511.54999995</v>
      </c>
      <c r="E7" s="812">
        <v>50921122.614239812</v>
      </c>
      <c r="F7" s="812">
        <v>31864884</v>
      </c>
      <c r="G7" s="812">
        <f>SUM(C7:F7)</f>
        <v>731434518.16423976</v>
      </c>
    </row>
    <row r="8" spans="1:7" x14ac:dyDescent="0.2">
      <c r="B8" s="833" t="s">
        <v>1453</v>
      </c>
      <c r="C8" s="846">
        <v>334086665.799999</v>
      </c>
      <c r="E8" s="812">
        <v>-8240235.8755664062</v>
      </c>
      <c r="G8" s="812">
        <f>SUM(C8:F8)</f>
        <v>325846429.92443258</v>
      </c>
    </row>
    <row r="9" spans="1:7" x14ac:dyDescent="0.2">
      <c r="B9" s="833" t="s">
        <v>1454</v>
      </c>
      <c r="C9" s="846">
        <v>14082400.16</v>
      </c>
      <c r="D9" s="845"/>
      <c r="E9" s="812">
        <v>923769.75718426181</v>
      </c>
      <c r="F9" s="845"/>
      <c r="G9" s="812">
        <f>SUM(C9:F9)</f>
        <v>15006169.917184262</v>
      </c>
    </row>
    <row r="10" spans="1:7" x14ac:dyDescent="0.2">
      <c r="B10" s="833" t="s">
        <v>1455</v>
      </c>
      <c r="C10" s="847">
        <f>SUM(C7:C9)</f>
        <v>996817577.50999892</v>
      </c>
      <c r="D10" s="847">
        <f>SUM(D7:D9)</f>
        <v>0</v>
      </c>
      <c r="E10" s="847">
        <f>SUM(E7:E9)</f>
        <v>43604656.495857663</v>
      </c>
      <c r="F10" s="847">
        <f>SUM(F7:F9)</f>
        <v>31864884</v>
      </c>
      <c r="G10" s="847">
        <f>SUM(G7:G9)</f>
        <v>1072287118.0058566</v>
      </c>
    </row>
    <row r="11" spans="1:7" x14ac:dyDescent="0.2">
      <c r="A11" s="844" t="s">
        <v>1456</v>
      </c>
      <c r="C11" s="845"/>
      <c r="D11" s="845"/>
      <c r="E11" s="845"/>
      <c r="F11" s="845"/>
    </row>
    <row r="12" spans="1:7" x14ac:dyDescent="0.2">
      <c r="A12" s="844"/>
      <c r="B12" s="833" t="s">
        <v>1457</v>
      </c>
      <c r="C12" s="848"/>
      <c r="D12" s="845"/>
      <c r="E12" s="845">
        <v>0</v>
      </c>
      <c r="F12" s="845"/>
      <c r="G12" s="812">
        <f t="shared" ref="G12:G17" si="0">SUM(C12:F12)</f>
        <v>0</v>
      </c>
    </row>
    <row r="13" spans="1:7" x14ac:dyDescent="0.2">
      <c r="B13" s="833" t="s">
        <v>1458</v>
      </c>
      <c r="C13" s="846">
        <v>1808599.49</v>
      </c>
      <c r="D13" s="845"/>
      <c r="E13" s="845">
        <v>0</v>
      </c>
      <c r="F13" s="845"/>
      <c r="G13" s="812">
        <f t="shared" si="0"/>
        <v>1808599.49</v>
      </c>
    </row>
    <row r="14" spans="1:7" x14ac:dyDescent="0.2">
      <c r="B14" s="833" t="s">
        <v>1459</v>
      </c>
      <c r="C14" s="846">
        <v>2832197.71</v>
      </c>
      <c r="D14" s="845"/>
      <c r="E14" s="845">
        <v>0</v>
      </c>
      <c r="G14" s="812">
        <f t="shared" si="0"/>
        <v>2832197.71</v>
      </c>
    </row>
    <row r="15" spans="1:7" x14ac:dyDescent="0.2">
      <c r="B15" s="833" t="s">
        <v>1460</v>
      </c>
      <c r="C15" s="846">
        <v>1130625</v>
      </c>
      <c r="D15" s="845"/>
      <c r="E15" s="845">
        <v>-1130625</v>
      </c>
      <c r="G15" s="812">
        <f t="shared" si="0"/>
        <v>0</v>
      </c>
    </row>
    <row r="16" spans="1:7" x14ac:dyDescent="0.2">
      <c r="B16" s="833" t="s">
        <v>1461</v>
      </c>
      <c r="C16" s="846">
        <v>8385534.4400000004</v>
      </c>
      <c r="D16" s="845"/>
      <c r="E16" s="845">
        <v>58352.700000000012</v>
      </c>
      <c r="F16" s="845"/>
      <c r="G16" s="812">
        <f t="shared" si="0"/>
        <v>8443887.1400000006</v>
      </c>
    </row>
    <row r="17" spans="1:7" x14ac:dyDescent="0.2">
      <c r="B17" s="833" t="s">
        <v>1462</v>
      </c>
      <c r="C17" s="846">
        <v>555982.1</v>
      </c>
      <c r="D17" s="845"/>
      <c r="E17" s="845">
        <v>1258158</v>
      </c>
      <c r="F17" s="845">
        <v>0</v>
      </c>
      <c r="G17" s="812">
        <f t="shared" si="0"/>
        <v>1814140.1</v>
      </c>
    </row>
    <row r="18" spans="1:7" x14ac:dyDescent="0.2">
      <c r="B18" s="833" t="s">
        <v>1455</v>
      </c>
      <c r="C18" s="847">
        <f>SUM(C11:C17)</f>
        <v>14712938.74</v>
      </c>
      <c r="D18" s="847">
        <f>SUM(D11:D17)</f>
        <v>0</v>
      </c>
      <c r="E18" s="847">
        <f>SUM(E11:E17)</f>
        <v>185885.69999999995</v>
      </c>
      <c r="F18" s="847">
        <f>SUM(F11:F17)</f>
        <v>0</v>
      </c>
      <c r="G18" s="847">
        <f>SUM(G11:G17)</f>
        <v>14898824.439999999</v>
      </c>
    </row>
    <row r="19" spans="1:7" x14ac:dyDescent="0.2">
      <c r="B19" s="833" t="s">
        <v>1463</v>
      </c>
      <c r="C19" s="376">
        <f>C18+C10</f>
        <v>1011530516.2499989</v>
      </c>
      <c r="D19" s="376">
        <f>D18+D10</f>
        <v>0</v>
      </c>
      <c r="E19" s="376">
        <f>E18+E10</f>
        <v>43790542.195857666</v>
      </c>
      <c r="F19" s="376">
        <f>F18+F10</f>
        <v>31864884</v>
      </c>
      <c r="G19" s="376">
        <f>G18+G10</f>
        <v>1087185942.4458566</v>
      </c>
    </row>
    <row r="20" spans="1:7" x14ac:dyDescent="0.2">
      <c r="C20" s="849"/>
      <c r="D20" s="849"/>
      <c r="E20" s="849"/>
      <c r="F20" s="849"/>
    </row>
    <row r="21" spans="1:7" x14ac:dyDescent="0.2">
      <c r="A21" s="844" t="s">
        <v>1464</v>
      </c>
      <c r="C21" s="849"/>
      <c r="D21" s="849"/>
      <c r="E21" s="849"/>
      <c r="F21" s="849"/>
    </row>
    <row r="22" spans="1:7" x14ac:dyDescent="0.2">
      <c r="A22" s="844" t="s">
        <v>1465</v>
      </c>
      <c r="C22" s="845"/>
      <c r="D22" s="845"/>
      <c r="E22" s="845"/>
      <c r="F22" s="845"/>
    </row>
    <row r="23" spans="1:7" x14ac:dyDescent="0.2">
      <c r="B23" s="833" t="s">
        <v>1466</v>
      </c>
      <c r="C23" s="846">
        <v>585772106.20999897</v>
      </c>
      <c r="D23" s="845"/>
      <c r="E23" s="845">
        <v>58642444</v>
      </c>
      <c r="F23" s="845"/>
      <c r="G23" s="812">
        <f>SUM(C23:F23)</f>
        <v>644414550.20999897</v>
      </c>
    </row>
    <row r="24" spans="1:7" x14ac:dyDescent="0.2">
      <c r="B24" s="833" t="s">
        <v>1467</v>
      </c>
      <c r="C24" s="846">
        <v>0</v>
      </c>
      <c r="D24" s="845"/>
      <c r="E24" s="845">
        <v>-15209702</v>
      </c>
      <c r="F24" s="845"/>
      <c r="G24" s="812">
        <f>SUM(C24:F24)</f>
        <v>-15209702</v>
      </c>
    </row>
    <row r="25" spans="1:7" x14ac:dyDescent="0.2">
      <c r="B25" s="833" t="s">
        <v>1468</v>
      </c>
      <c r="C25" s="846">
        <v>-55838313.020000003</v>
      </c>
      <c r="D25" s="845"/>
      <c r="E25" s="845">
        <v>21569842.008104395</v>
      </c>
      <c r="F25" s="845"/>
      <c r="G25" s="812">
        <f>SUM(C25:F25)</f>
        <v>-34268471.011895612</v>
      </c>
    </row>
    <row r="26" spans="1:7" x14ac:dyDescent="0.2">
      <c r="B26" s="833" t="s">
        <v>1469</v>
      </c>
      <c r="C26" s="846">
        <v>81633964.069999993</v>
      </c>
      <c r="D26" s="845"/>
      <c r="E26" s="845">
        <v>0</v>
      </c>
      <c r="F26" s="845"/>
      <c r="G26" s="812">
        <f>SUM(C26:F26)</f>
        <v>81633964.069999993</v>
      </c>
    </row>
    <row r="27" spans="1:7" x14ac:dyDescent="0.2">
      <c r="B27" s="833" t="s">
        <v>1470</v>
      </c>
      <c r="C27" s="846">
        <v>-75635246.989999995</v>
      </c>
      <c r="D27" s="845"/>
      <c r="E27" s="845">
        <v>0</v>
      </c>
      <c r="F27" s="845"/>
      <c r="G27" s="812">
        <f>SUM(C27:F27)</f>
        <v>-75635246.989999995</v>
      </c>
    </row>
    <row r="28" spans="1:7" x14ac:dyDescent="0.2">
      <c r="B28" s="833" t="s">
        <v>1455</v>
      </c>
      <c r="C28" s="847">
        <f>SUM(C23:C27)</f>
        <v>535932510.26999903</v>
      </c>
      <c r="D28" s="847">
        <f>SUM(D23:D27)</f>
        <v>0</v>
      </c>
      <c r="E28" s="847">
        <f>SUM(E23:E27)</f>
        <v>65002584.008104399</v>
      </c>
      <c r="F28" s="847">
        <f>SUM(F23:F27)</f>
        <v>0</v>
      </c>
      <c r="G28" s="847">
        <f>SUM(G23:G27)</f>
        <v>600935094.27810335</v>
      </c>
    </row>
    <row r="29" spans="1:7" x14ac:dyDescent="0.2">
      <c r="B29" s="833" t="s">
        <v>1471</v>
      </c>
      <c r="C29" s="376">
        <f>C28</f>
        <v>535932510.26999903</v>
      </c>
      <c r="D29" s="376">
        <f>D28</f>
        <v>0</v>
      </c>
      <c r="E29" s="376">
        <f>E28</f>
        <v>65002584.008104399</v>
      </c>
      <c r="F29" s="376">
        <f>F28</f>
        <v>0</v>
      </c>
      <c r="G29" s="376">
        <f>G28</f>
        <v>600935094.27810335</v>
      </c>
    </row>
    <row r="30" spans="1:7" x14ac:dyDescent="0.2">
      <c r="B30" s="833" t="s">
        <v>1472</v>
      </c>
      <c r="C30" s="812">
        <f>C19-C29</f>
        <v>475598005.9799999</v>
      </c>
      <c r="D30" s="812">
        <f>D19-D29</f>
        <v>0</v>
      </c>
      <c r="E30" s="812">
        <f>E19-E29</f>
        <v>-21212041.812246732</v>
      </c>
      <c r="F30" s="812">
        <f>F19-F29</f>
        <v>31864884</v>
      </c>
      <c r="G30" s="812">
        <f>G19-G29</f>
        <v>486250848.16775322</v>
      </c>
    </row>
    <row r="31" spans="1:7" x14ac:dyDescent="0.2">
      <c r="G31" s="376" t="s">
        <v>119</v>
      </c>
    </row>
    <row r="32" spans="1:7" x14ac:dyDescent="0.2">
      <c r="A32" s="844" t="s">
        <v>1473</v>
      </c>
      <c r="G32" s="376" t="s">
        <v>119</v>
      </c>
    </row>
    <row r="33" spans="1:7" x14ac:dyDescent="0.2">
      <c r="A33" s="844" t="s">
        <v>1474</v>
      </c>
      <c r="G33" s="376" t="s">
        <v>119</v>
      </c>
    </row>
    <row r="34" spans="1:7" x14ac:dyDescent="0.2">
      <c r="A34" s="844" t="s">
        <v>1475</v>
      </c>
      <c r="C34" s="845"/>
      <c r="D34" s="845"/>
      <c r="E34" s="845"/>
      <c r="F34" s="845"/>
      <c r="G34" s="376" t="s">
        <v>119</v>
      </c>
    </row>
    <row r="35" spans="1:7" x14ac:dyDescent="0.2">
      <c r="B35" s="833" t="s">
        <v>1476</v>
      </c>
      <c r="C35" s="845">
        <v>0</v>
      </c>
      <c r="D35" s="845"/>
      <c r="E35" s="845">
        <v>0</v>
      </c>
      <c r="F35" s="845"/>
      <c r="G35" s="812">
        <f t="shared" ref="G35:G70" si="1">SUM(C35:F35)</f>
        <v>0</v>
      </c>
    </row>
    <row r="36" spans="1:7" x14ac:dyDescent="0.2">
      <c r="B36" s="833" t="s">
        <v>1477</v>
      </c>
      <c r="C36" s="846">
        <v>220398.35</v>
      </c>
      <c r="D36" s="845"/>
      <c r="E36" s="845">
        <v>4720.125668644092</v>
      </c>
      <c r="F36" s="845"/>
      <c r="G36" s="812">
        <f t="shared" si="1"/>
        <v>225118.4756686441</v>
      </c>
    </row>
    <row r="37" spans="1:7" x14ac:dyDescent="0.2">
      <c r="B37" s="833" t="s">
        <v>1478</v>
      </c>
      <c r="C37" s="846">
        <v>0</v>
      </c>
      <c r="D37" s="845"/>
      <c r="E37" s="845">
        <v>0</v>
      </c>
      <c r="F37" s="845"/>
      <c r="G37" s="812">
        <f t="shared" si="1"/>
        <v>0</v>
      </c>
    </row>
    <row r="38" spans="1:7" x14ac:dyDescent="0.2">
      <c r="B38" s="833" t="s">
        <v>1479</v>
      </c>
      <c r="C38" s="846">
        <v>788.219999999999</v>
      </c>
      <c r="D38" s="845"/>
      <c r="E38" s="845">
        <v>0.41802078040154739</v>
      </c>
      <c r="F38" s="845"/>
      <c r="G38" s="812">
        <f t="shared" si="1"/>
        <v>788.63802078040055</v>
      </c>
    </row>
    <row r="39" spans="1:7" x14ac:dyDescent="0.2">
      <c r="B39" s="833" t="s">
        <v>1480</v>
      </c>
      <c r="C39" s="846">
        <v>36.97</v>
      </c>
      <c r="D39" s="845"/>
      <c r="E39" s="845">
        <v>0</v>
      </c>
      <c r="F39" s="845"/>
      <c r="G39" s="812">
        <f t="shared" si="1"/>
        <v>36.97</v>
      </c>
    </row>
    <row r="40" spans="1:7" x14ac:dyDescent="0.2">
      <c r="B40" s="833" t="s">
        <v>1481</v>
      </c>
      <c r="C40" s="846">
        <v>487248.45999999897</v>
      </c>
      <c r="D40" s="845"/>
      <c r="E40" s="845">
        <v>6338.0670696183251</v>
      </c>
      <c r="F40" s="845"/>
      <c r="G40" s="812">
        <f t="shared" si="1"/>
        <v>493586.5270696173</v>
      </c>
    </row>
    <row r="41" spans="1:7" x14ac:dyDescent="0.2">
      <c r="B41" s="833" t="s">
        <v>1482</v>
      </c>
      <c r="C41" s="846">
        <v>301863.31</v>
      </c>
      <c r="D41" s="845"/>
      <c r="E41" s="845">
        <v>6437.4852176703134</v>
      </c>
      <c r="F41" s="845"/>
      <c r="G41" s="812">
        <f t="shared" si="1"/>
        <v>308300.79521767033</v>
      </c>
    </row>
    <row r="42" spans="1:7" x14ac:dyDescent="0.2">
      <c r="B42" s="833" t="s">
        <v>1483</v>
      </c>
      <c r="C42" s="846">
        <v>-133460.53</v>
      </c>
      <c r="D42" s="845"/>
      <c r="E42" s="845">
        <v>0</v>
      </c>
      <c r="F42" s="845"/>
      <c r="G42" s="812">
        <f t="shared" si="1"/>
        <v>-133460.53</v>
      </c>
    </row>
    <row r="43" spans="1:7" x14ac:dyDescent="0.2">
      <c r="B43" s="833" t="s">
        <v>1484</v>
      </c>
      <c r="C43" s="846">
        <v>0</v>
      </c>
      <c r="D43" s="845"/>
      <c r="E43" s="845">
        <v>0</v>
      </c>
      <c r="F43" s="845"/>
      <c r="G43" s="812">
        <f t="shared" si="1"/>
        <v>0</v>
      </c>
    </row>
    <row r="44" spans="1:7" x14ac:dyDescent="0.2">
      <c r="B44" s="833" t="s">
        <v>1485</v>
      </c>
      <c r="C44" s="846">
        <v>138802.99</v>
      </c>
      <c r="D44" s="845"/>
      <c r="E44" s="845">
        <v>2678.3890571795569</v>
      </c>
      <c r="F44" s="845"/>
      <c r="G44" s="812">
        <f t="shared" si="1"/>
        <v>141481.37905717955</v>
      </c>
    </row>
    <row r="45" spans="1:7" x14ac:dyDescent="0.2">
      <c r="B45" s="833" t="s">
        <v>1486</v>
      </c>
      <c r="C45" s="846">
        <v>0</v>
      </c>
      <c r="D45" s="845"/>
      <c r="E45" s="845">
        <v>0</v>
      </c>
      <c r="F45" s="845"/>
      <c r="G45" s="812">
        <f t="shared" si="1"/>
        <v>0</v>
      </c>
    </row>
    <row r="46" spans="1:7" x14ac:dyDescent="0.2">
      <c r="B46" s="833" t="s">
        <v>1487</v>
      </c>
      <c r="C46" s="846">
        <v>10622.619999999901</v>
      </c>
      <c r="D46" s="845"/>
      <c r="E46" s="845">
        <v>0</v>
      </c>
      <c r="F46" s="845"/>
      <c r="G46" s="812">
        <f t="shared" si="1"/>
        <v>10622.619999999901</v>
      </c>
    </row>
    <row r="47" spans="1:7" x14ac:dyDescent="0.2">
      <c r="B47" s="833" t="s">
        <v>1488</v>
      </c>
      <c r="C47" s="846">
        <v>1983.31</v>
      </c>
      <c r="D47" s="845"/>
      <c r="E47" s="845">
        <v>0</v>
      </c>
      <c r="F47" s="845"/>
      <c r="G47" s="812">
        <f t="shared" si="1"/>
        <v>1983.31</v>
      </c>
    </row>
    <row r="48" spans="1:7" x14ac:dyDescent="0.2">
      <c r="B48" s="833" t="s">
        <v>1489</v>
      </c>
      <c r="C48" s="846">
        <v>141998.62</v>
      </c>
      <c r="D48" s="845"/>
      <c r="E48" s="845">
        <v>4754.3532940418418</v>
      </c>
      <c r="F48" s="845"/>
      <c r="G48" s="812">
        <f t="shared" si="1"/>
        <v>146752.97329404185</v>
      </c>
    </row>
    <row r="49" spans="2:7" x14ac:dyDescent="0.2">
      <c r="B49" s="833" t="s">
        <v>1490</v>
      </c>
      <c r="C49" s="846">
        <v>28297.219999999899</v>
      </c>
      <c r="D49" s="845"/>
      <c r="E49" s="845">
        <v>0</v>
      </c>
      <c r="F49" s="845"/>
      <c r="G49" s="812">
        <f t="shared" si="1"/>
        <v>28297.219999999899</v>
      </c>
    </row>
    <row r="50" spans="2:7" x14ac:dyDescent="0.2">
      <c r="B50" s="833" t="s">
        <v>1491</v>
      </c>
      <c r="C50" s="846">
        <v>9131.02</v>
      </c>
      <c r="D50" s="845"/>
      <c r="E50" s="845">
        <v>0</v>
      </c>
      <c r="F50" s="845"/>
      <c r="G50" s="812">
        <f t="shared" si="1"/>
        <v>9131.02</v>
      </c>
    </row>
    <row r="51" spans="2:7" x14ac:dyDescent="0.2">
      <c r="B51" s="833" t="s">
        <v>1492</v>
      </c>
      <c r="C51" s="846">
        <v>0</v>
      </c>
      <c r="D51" s="845"/>
      <c r="E51" s="845">
        <v>0</v>
      </c>
      <c r="F51" s="845"/>
      <c r="G51" s="812">
        <f t="shared" si="1"/>
        <v>0</v>
      </c>
    </row>
    <row r="52" spans="2:7" x14ac:dyDescent="0.2">
      <c r="B52" s="833" t="s">
        <v>1493</v>
      </c>
      <c r="C52" s="846">
        <v>0</v>
      </c>
      <c r="D52" s="845"/>
      <c r="E52" s="845">
        <v>0</v>
      </c>
      <c r="F52" s="845"/>
      <c r="G52" s="812">
        <f t="shared" si="1"/>
        <v>0</v>
      </c>
    </row>
    <row r="53" spans="2:7" x14ac:dyDescent="0.2">
      <c r="B53" s="833" t="s">
        <v>1494</v>
      </c>
      <c r="C53" s="846">
        <v>26565.68</v>
      </c>
      <c r="D53" s="845"/>
      <c r="E53" s="845">
        <v>76.690309281282822</v>
      </c>
      <c r="F53" s="845"/>
      <c r="G53" s="812">
        <f t="shared" si="1"/>
        <v>26642.370309281283</v>
      </c>
    </row>
    <row r="54" spans="2:7" x14ac:dyDescent="0.2">
      <c r="B54" s="833" t="s">
        <v>1495</v>
      </c>
      <c r="C54" s="846">
        <v>43695.360000000001</v>
      </c>
      <c r="D54" s="845"/>
      <c r="E54" s="845">
        <v>0</v>
      </c>
      <c r="F54" s="845"/>
      <c r="G54" s="812">
        <f t="shared" si="1"/>
        <v>43695.360000000001</v>
      </c>
    </row>
    <row r="55" spans="2:7" x14ac:dyDescent="0.2">
      <c r="B55" s="833" t="s">
        <v>1496</v>
      </c>
      <c r="C55" s="846">
        <v>-1515.5</v>
      </c>
      <c r="D55" s="845"/>
      <c r="E55" s="845">
        <v>0</v>
      </c>
      <c r="F55" s="845"/>
      <c r="G55" s="812">
        <f t="shared" si="1"/>
        <v>-1515.5</v>
      </c>
    </row>
    <row r="56" spans="2:7" x14ac:dyDescent="0.2">
      <c r="B56" s="833" t="s">
        <v>1497</v>
      </c>
      <c r="C56" s="846">
        <v>121471.08</v>
      </c>
      <c r="D56" s="845"/>
      <c r="E56" s="845">
        <v>2517.04683781109</v>
      </c>
      <c r="F56" s="845"/>
      <c r="G56" s="812">
        <f t="shared" si="1"/>
        <v>123988.1268378111</v>
      </c>
    </row>
    <row r="57" spans="2:7" x14ac:dyDescent="0.2">
      <c r="B57" s="833" t="s">
        <v>1498</v>
      </c>
      <c r="C57" s="846">
        <v>4456.6400000000003</v>
      </c>
      <c r="D57" s="845"/>
      <c r="E57" s="845">
        <v>0</v>
      </c>
      <c r="F57" s="845"/>
      <c r="G57" s="812">
        <f t="shared" si="1"/>
        <v>4456.6400000000003</v>
      </c>
    </row>
    <row r="58" spans="2:7" x14ac:dyDescent="0.2">
      <c r="B58" s="833" t="s">
        <v>1499</v>
      </c>
      <c r="C58" s="846">
        <v>11142.49</v>
      </c>
      <c r="D58" s="845"/>
      <c r="E58" s="845">
        <v>0</v>
      </c>
      <c r="F58" s="845"/>
      <c r="G58" s="812">
        <f t="shared" si="1"/>
        <v>11142.49</v>
      </c>
    </row>
    <row r="59" spans="2:7" x14ac:dyDescent="0.2">
      <c r="B59" s="833" t="s">
        <v>1500</v>
      </c>
      <c r="C59" s="846">
        <v>521.05999999999995</v>
      </c>
      <c r="D59" s="845"/>
      <c r="E59" s="845">
        <v>0</v>
      </c>
      <c r="F59" s="845"/>
      <c r="G59" s="812">
        <f t="shared" si="1"/>
        <v>521.05999999999995</v>
      </c>
    </row>
    <row r="60" spans="2:7" x14ac:dyDescent="0.2">
      <c r="B60" s="833" t="s">
        <v>1501</v>
      </c>
      <c r="C60" s="846">
        <v>241186.06999999899</v>
      </c>
      <c r="D60" s="845"/>
      <c r="E60" s="845">
        <v>5767.8282456010138</v>
      </c>
      <c r="F60" s="845"/>
      <c r="G60" s="812">
        <f t="shared" si="1"/>
        <v>246953.89824559999</v>
      </c>
    </row>
    <row r="61" spans="2:7" x14ac:dyDescent="0.2">
      <c r="B61" s="833" t="s">
        <v>1502</v>
      </c>
      <c r="C61" s="846">
        <v>0</v>
      </c>
      <c r="D61" s="845"/>
      <c r="E61" s="845">
        <v>0</v>
      </c>
      <c r="F61" s="845"/>
      <c r="G61" s="812">
        <f t="shared" si="1"/>
        <v>0</v>
      </c>
    </row>
    <row r="62" spans="2:7" x14ac:dyDescent="0.2">
      <c r="B62" s="833" t="s">
        <v>1503</v>
      </c>
      <c r="C62" s="846">
        <v>2050.8200000000002</v>
      </c>
      <c r="D62" s="845"/>
      <c r="E62" s="845">
        <v>0</v>
      </c>
      <c r="F62" s="845"/>
      <c r="G62" s="812">
        <f t="shared" si="1"/>
        <v>2050.8200000000002</v>
      </c>
    </row>
    <row r="63" spans="2:7" x14ac:dyDescent="0.2">
      <c r="B63" s="833" t="s">
        <v>1504</v>
      </c>
      <c r="C63" s="846">
        <v>9983.85</v>
      </c>
      <c r="D63" s="845"/>
      <c r="E63" s="845">
        <v>0</v>
      </c>
      <c r="F63" s="845"/>
      <c r="G63" s="812">
        <f t="shared" si="1"/>
        <v>9983.85</v>
      </c>
    </row>
    <row r="64" spans="2:7" x14ac:dyDescent="0.2">
      <c r="B64" s="833" t="s">
        <v>1505</v>
      </c>
      <c r="C64" s="846">
        <v>268369.3</v>
      </c>
      <c r="D64" s="845"/>
      <c r="E64" s="845">
        <v>5424.7185709551268</v>
      </c>
      <c r="F64" s="845"/>
      <c r="G64" s="812">
        <f t="shared" si="1"/>
        <v>273794.01857095514</v>
      </c>
    </row>
    <row r="65" spans="1:11" x14ac:dyDescent="0.2">
      <c r="B65" s="833" t="s">
        <v>1506</v>
      </c>
      <c r="C65" s="846">
        <v>1463.69</v>
      </c>
      <c r="D65" s="845"/>
      <c r="E65" s="845">
        <v>0</v>
      </c>
      <c r="F65" s="845"/>
      <c r="G65" s="812">
        <f t="shared" si="1"/>
        <v>1463.69</v>
      </c>
    </row>
    <row r="66" spans="1:11" x14ac:dyDescent="0.2">
      <c r="B66" s="833" t="s">
        <v>1507</v>
      </c>
      <c r="C66" s="846">
        <v>0</v>
      </c>
      <c r="D66" s="845"/>
      <c r="E66" s="845">
        <v>0</v>
      </c>
      <c r="F66" s="845"/>
      <c r="G66" s="812">
        <f t="shared" si="1"/>
        <v>0</v>
      </c>
    </row>
    <row r="67" spans="1:11" x14ac:dyDescent="0.2">
      <c r="B67" s="833" t="s">
        <v>1508</v>
      </c>
      <c r="C67" s="846">
        <v>0</v>
      </c>
      <c r="D67" s="845"/>
      <c r="E67" s="845">
        <v>0</v>
      </c>
      <c r="F67" s="845"/>
      <c r="G67" s="812">
        <f t="shared" si="1"/>
        <v>0</v>
      </c>
    </row>
    <row r="68" spans="1:11" x14ac:dyDescent="0.2">
      <c r="B68" s="833" t="s">
        <v>1509</v>
      </c>
      <c r="C68" s="846">
        <v>0</v>
      </c>
      <c r="D68" s="845"/>
      <c r="E68" s="845">
        <v>0</v>
      </c>
      <c r="F68" s="845"/>
      <c r="G68" s="812">
        <f t="shared" si="1"/>
        <v>0</v>
      </c>
    </row>
    <row r="69" spans="1:11" x14ac:dyDescent="0.2">
      <c r="B69" s="833" t="s">
        <v>1510</v>
      </c>
      <c r="C69" s="846">
        <v>20.7</v>
      </c>
      <c r="D69" s="845"/>
      <c r="E69" s="845">
        <v>0</v>
      </c>
      <c r="F69" s="845"/>
      <c r="G69" s="812">
        <f t="shared" si="1"/>
        <v>20.7</v>
      </c>
    </row>
    <row r="70" spans="1:11" x14ac:dyDescent="0.2">
      <c r="B70" s="843" t="s">
        <v>1511</v>
      </c>
      <c r="C70" s="845"/>
      <c r="D70" s="845"/>
      <c r="E70" s="845">
        <v>0</v>
      </c>
      <c r="F70" s="845"/>
      <c r="G70" s="812">
        <f t="shared" si="1"/>
        <v>0</v>
      </c>
    </row>
    <row r="71" spans="1:11" x14ac:dyDescent="0.2">
      <c r="B71" s="833" t="s">
        <v>1455</v>
      </c>
      <c r="C71" s="847">
        <f>SUM(C35:C70)</f>
        <v>1937121.799999998</v>
      </c>
      <c r="D71" s="847">
        <f>SUM(D35:D70)</f>
        <v>0</v>
      </c>
      <c r="E71" s="847">
        <f>SUM(E35:E70)</f>
        <v>38715.122291583044</v>
      </c>
      <c r="F71" s="847">
        <f>SUM(F35:F70)</f>
        <v>0</v>
      </c>
      <c r="G71" s="847">
        <f>SUM(G35:G70)</f>
        <v>1975836.9222915813</v>
      </c>
    </row>
    <row r="72" spans="1:11" x14ac:dyDescent="0.2">
      <c r="A72" s="844" t="s">
        <v>1512</v>
      </c>
      <c r="C72" s="845"/>
      <c r="D72" s="845"/>
      <c r="E72" s="845"/>
      <c r="F72" s="845"/>
    </row>
    <row r="73" spans="1:11" x14ac:dyDescent="0.2">
      <c r="B73" s="833" t="s">
        <v>1513</v>
      </c>
      <c r="C73" s="845">
        <v>0</v>
      </c>
      <c r="D73" s="845"/>
      <c r="E73" s="845">
        <v>0</v>
      </c>
      <c r="F73" s="845"/>
      <c r="G73" s="812">
        <f t="shared" ref="G73:G80" si="2">SUM(C73:F73)</f>
        <v>0</v>
      </c>
    </row>
    <row r="74" spans="1:11" x14ac:dyDescent="0.2">
      <c r="B74" s="833" t="s">
        <v>1514</v>
      </c>
      <c r="C74" s="846">
        <v>609.41</v>
      </c>
      <c r="D74" s="845"/>
      <c r="E74" s="845">
        <v>0</v>
      </c>
      <c r="F74" s="845"/>
      <c r="G74" s="812">
        <f t="shared" si="2"/>
        <v>609.41</v>
      </c>
      <c r="I74" s="850"/>
      <c r="K74" s="835" t="s">
        <v>119</v>
      </c>
    </row>
    <row r="75" spans="1:11" x14ac:dyDescent="0.2">
      <c r="B75" s="833" t="s">
        <v>1515</v>
      </c>
      <c r="C75" s="846">
        <v>0</v>
      </c>
      <c r="D75" s="845"/>
      <c r="E75" s="845">
        <v>0</v>
      </c>
      <c r="F75" s="845"/>
      <c r="G75" s="812">
        <f t="shared" si="2"/>
        <v>0</v>
      </c>
    </row>
    <row r="76" spans="1:11" x14ac:dyDescent="0.2">
      <c r="B76" s="833" t="s">
        <v>1516</v>
      </c>
      <c r="C76" s="846">
        <v>170097.91</v>
      </c>
      <c r="D76" s="845"/>
      <c r="E76" s="845">
        <v>2105.3009186236209</v>
      </c>
      <c r="F76" s="845"/>
      <c r="G76" s="812">
        <f t="shared" si="2"/>
        <v>172203.21091862363</v>
      </c>
    </row>
    <row r="77" spans="1:11" x14ac:dyDescent="0.2">
      <c r="B77" s="833" t="s">
        <v>1517</v>
      </c>
      <c r="C77" s="846">
        <v>-20911.740000000002</v>
      </c>
      <c r="D77" s="845"/>
      <c r="E77" s="845">
        <v>61.362374287800741</v>
      </c>
      <c r="F77" s="845"/>
      <c r="G77" s="812">
        <f t="shared" si="2"/>
        <v>-20850.377625712201</v>
      </c>
    </row>
    <row r="78" spans="1:11" x14ac:dyDescent="0.2">
      <c r="B78" s="833" t="s">
        <v>1518</v>
      </c>
      <c r="C78" s="846">
        <v>0</v>
      </c>
      <c r="D78" s="845"/>
      <c r="E78" s="845">
        <v>0</v>
      </c>
      <c r="F78" s="845"/>
      <c r="G78" s="812">
        <f t="shared" si="2"/>
        <v>0</v>
      </c>
    </row>
    <row r="79" spans="1:11" x14ac:dyDescent="0.2">
      <c r="B79" s="833" t="s">
        <v>1519</v>
      </c>
      <c r="C79" s="846">
        <v>77057.919999999998</v>
      </c>
      <c r="D79" s="845"/>
      <c r="E79" s="845">
        <v>1744.0765141583308</v>
      </c>
      <c r="F79" s="845"/>
      <c r="G79" s="812">
        <f t="shared" si="2"/>
        <v>78801.996514158323</v>
      </c>
    </row>
    <row r="80" spans="1:11" x14ac:dyDescent="0.2">
      <c r="B80" s="833" t="s">
        <v>1520</v>
      </c>
      <c r="C80" s="845">
        <v>0</v>
      </c>
      <c r="D80" s="845"/>
      <c r="E80" s="845">
        <v>0</v>
      </c>
      <c r="F80" s="845"/>
      <c r="G80" s="812">
        <f t="shared" si="2"/>
        <v>0</v>
      </c>
    </row>
    <row r="81" spans="1:9" x14ac:dyDescent="0.2">
      <c r="B81" s="833" t="s">
        <v>1455</v>
      </c>
      <c r="C81" s="847">
        <f>SUM(C73:C80)</f>
        <v>226853.5</v>
      </c>
      <c r="D81" s="847">
        <f>SUM(D73:D80)</f>
        <v>0</v>
      </c>
      <c r="E81" s="847">
        <f>SUM(E73:E80)</f>
        <v>3910.7398070697527</v>
      </c>
      <c r="F81" s="847">
        <f>SUM(F73:F80)</f>
        <v>0</v>
      </c>
      <c r="G81" s="847">
        <f>SUM(G73:G80)</f>
        <v>230764.23980706977</v>
      </c>
    </row>
    <row r="82" spans="1:9" x14ac:dyDescent="0.2">
      <c r="A82" s="844" t="s">
        <v>1521</v>
      </c>
      <c r="C82" s="845"/>
      <c r="D82" s="845"/>
      <c r="E82" s="845"/>
      <c r="F82" s="845"/>
    </row>
    <row r="83" spans="1:9" x14ac:dyDescent="0.2">
      <c r="B83" s="833" t="s">
        <v>1522</v>
      </c>
      <c r="C83" s="846">
        <v>1407001.91</v>
      </c>
      <c r="D83" s="845"/>
      <c r="E83" s="845">
        <v>22283.684930954565</v>
      </c>
      <c r="F83" s="845"/>
      <c r="G83" s="812">
        <f t="shared" ref="G83:G97" si="3">SUM(C83:F83)</f>
        <v>1429285.5949309545</v>
      </c>
    </row>
    <row r="84" spans="1:9" x14ac:dyDescent="0.2">
      <c r="B84" s="833" t="s">
        <v>1523</v>
      </c>
      <c r="C84" s="846">
        <v>337649.83</v>
      </c>
      <c r="D84" s="845"/>
      <c r="E84" s="845">
        <v>2330.4612183396248</v>
      </c>
      <c r="F84" s="845"/>
      <c r="G84" s="812">
        <f t="shared" si="3"/>
        <v>339980.29121833964</v>
      </c>
    </row>
    <row r="85" spans="1:9" x14ac:dyDescent="0.2">
      <c r="B85" s="833" t="s">
        <v>1524</v>
      </c>
      <c r="C85" s="846">
        <v>15172314.439999999</v>
      </c>
      <c r="D85" s="845"/>
      <c r="E85" s="845">
        <v>-8197.2582153823751</v>
      </c>
      <c r="F85" s="845"/>
      <c r="G85" s="812">
        <f t="shared" si="3"/>
        <v>15164117.181784617</v>
      </c>
      <c r="I85" s="850"/>
    </row>
    <row r="86" spans="1:9" x14ac:dyDescent="0.2">
      <c r="B86" s="833" t="s">
        <v>1525</v>
      </c>
      <c r="C86" s="846">
        <v>2062965.7</v>
      </c>
      <c r="D86" s="845"/>
      <c r="E86" s="845">
        <v>54199.375589135139</v>
      </c>
      <c r="F86" s="845"/>
      <c r="G86" s="812">
        <f t="shared" si="3"/>
        <v>2117165.0755891353</v>
      </c>
    </row>
    <row r="87" spans="1:9" x14ac:dyDescent="0.2">
      <c r="B87" s="833" t="s">
        <v>1526</v>
      </c>
      <c r="C87" s="846">
        <v>311236.03000000003</v>
      </c>
      <c r="D87" s="845"/>
      <c r="E87" s="845">
        <v>7933.1715677384682</v>
      </c>
      <c r="F87" s="845"/>
      <c r="G87" s="812">
        <f t="shared" si="3"/>
        <v>319169.20156773849</v>
      </c>
    </row>
    <row r="88" spans="1:9" x14ac:dyDescent="0.2">
      <c r="B88" s="833" t="s">
        <v>1527</v>
      </c>
      <c r="C88" s="846">
        <v>6925200.48999999</v>
      </c>
      <c r="D88" s="845"/>
      <c r="E88" s="845">
        <v>133845.83796608858</v>
      </c>
      <c r="F88" s="845"/>
      <c r="G88" s="812">
        <f t="shared" si="3"/>
        <v>7059046.3279660782</v>
      </c>
    </row>
    <row r="89" spans="1:9" x14ac:dyDescent="0.2">
      <c r="B89" s="833" t="s">
        <v>1528</v>
      </c>
      <c r="C89" s="846">
        <v>4478249.3999999901</v>
      </c>
      <c r="D89" s="845"/>
      <c r="E89" s="845">
        <v>153282.5140614282</v>
      </c>
      <c r="F89" s="845"/>
      <c r="G89" s="812">
        <f t="shared" si="3"/>
        <v>4631531.9140614187</v>
      </c>
    </row>
    <row r="90" spans="1:9" x14ac:dyDescent="0.2">
      <c r="B90" s="833" t="s">
        <v>1529</v>
      </c>
      <c r="C90" s="846">
        <v>3201054.42</v>
      </c>
      <c r="D90" s="845"/>
      <c r="E90" s="845">
        <v>24998.323179084116</v>
      </c>
      <c r="F90" s="845"/>
      <c r="G90" s="812">
        <f t="shared" si="3"/>
        <v>3226052.7431790843</v>
      </c>
    </row>
    <row r="91" spans="1:9" x14ac:dyDescent="0.2">
      <c r="B91" s="833" t="s">
        <v>1530</v>
      </c>
      <c r="C91" s="846">
        <v>263012.82</v>
      </c>
      <c r="D91" s="845"/>
      <c r="E91" s="845">
        <v>5.1735780288354043</v>
      </c>
      <c r="F91" s="845"/>
      <c r="G91" s="812">
        <f t="shared" si="3"/>
        <v>263017.99357802887</v>
      </c>
    </row>
    <row r="92" spans="1:9" x14ac:dyDescent="0.2">
      <c r="B92" s="833" t="s">
        <v>1531</v>
      </c>
      <c r="C92" s="846">
        <v>6177338.3399999999</v>
      </c>
      <c r="D92" s="845"/>
      <c r="E92" s="845">
        <v>-189208.99470228265</v>
      </c>
      <c r="F92" s="845"/>
      <c r="G92" s="812">
        <f t="shared" si="3"/>
        <v>5988129.3452977175</v>
      </c>
    </row>
    <row r="93" spans="1:9" x14ac:dyDescent="0.2">
      <c r="B93" s="833" t="s">
        <v>1532</v>
      </c>
      <c r="C93" s="846">
        <v>460366.61999999901</v>
      </c>
      <c r="D93" s="845"/>
      <c r="E93" s="845">
        <v>-1933.5915340185311</v>
      </c>
      <c r="F93" s="845"/>
      <c r="G93" s="812">
        <f t="shared" si="3"/>
        <v>458433.02846598049</v>
      </c>
    </row>
    <row r="94" spans="1:9" x14ac:dyDescent="0.2">
      <c r="B94" s="833" t="s">
        <v>1533</v>
      </c>
      <c r="C94" s="846">
        <v>399668.24999999901</v>
      </c>
      <c r="D94" s="845"/>
      <c r="E94" s="845">
        <v>12800.230529279199</v>
      </c>
      <c r="F94" s="845"/>
      <c r="G94" s="812">
        <f t="shared" si="3"/>
        <v>412468.48052927823</v>
      </c>
    </row>
    <row r="95" spans="1:9" x14ac:dyDescent="0.2">
      <c r="B95" s="833" t="s">
        <v>1534</v>
      </c>
      <c r="C95" s="846">
        <v>6268281.8500000099</v>
      </c>
      <c r="D95" s="845"/>
      <c r="E95" s="845">
        <v>-459700.20185114967</v>
      </c>
      <c r="F95" s="845"/>
      <c r="G95" s="812">
        <f t="shared" si="3"/>
        <v>5808581.6481488599</v>
      </c>
    </row>
    <row r="96" spans="1:9" x14ac:dyDescent="0.2">
      <c r="B96" s="833" t="s">
        <v>1535</v>
      </c>
      <c r="C96" s="846">
        <v>1817515.67</v>
      </c>
      <c r="D96" s="845"/>
      <c r="E96" s="845">
        <v>26188.87709532553</v>
      </c>
      <c r="F96" s="845"/>
      <c r="G96" s="812">
        <f t="shared" si="3"/>
        <v>1843704.5470953255</v>
      </c>
    </row>
    <row r="97" spans="1:9" x14ac:dyDescent="0.2">
      <c r="B97" s="833" t="s">
        <v>1536</v>
      </c>
      <c r="C97" s="846">
        <v>956549.7</v>
      </c>
      <c r="D97" s="845"/>
      <c r="E97" s="845">
        <v>28085.076638570034</v>
      </c>
      <c r="F97" s="845"/>
      <c r="G97" s="812">
        <f t="shared" si="3"/>
        <v>984634.77663857001</v>
      </c>
    </row>
    <row r="98" spans="1:9" x14ac:dyDescent="0.2">
      <c r="B98" s="833" t="s">
        <v>1455</v>
      </c>
      <c r="C98" s="851">
        <f>SUM(C83:C97)</f>
        <v>50238405.469999991</v>
      </c>
      <c r="D98" s="851">
        <f>SUM(D83:D97)</f>
        <v>0</v>
      </c>
      <c r="E98" s="851">
        <f>SUM(E83:E97)</f>
        <v>-193087.31994886094</v>
      </c>
      <c r="F98" s="851">
        <f>SUM(F83:F97)</f>
        <v>0</v>
      </c>
      <c r="G98" s="851">
        <f>SUM(G83:G97)</f>
        <v>50045318.150051124</v>
      </c>
    </row>
    <row r="99" spans="1:9" x14ac:dyDescent="0.2">
      <c r="A99" s="844" t="s">
        <v>1537</v>
      </c>
      <c r="C99" s="845"/>
      <c r="D99" s="845"/>
      <c r="E99" s="845"/>
      <c r="F99" s="845"/>
    </row>
    <row r="100" spans="1:9" x14ac:dyDescent="0.2">
      <c r="B100" s="833" t="s">
        <v>1538</v>
      </c>
      <c r="C100" s="376">
        <v>0</v>
      </c>
      <c r="D100" s="852">
        <v>168404.53737599999</v>
      </c>
      <c r="E100" s="812">
        <v>3549.6698348003847</v>
      </c>
      <c r="G100" s="812">
        <f>SUM(C100:F100)</f>
        <v>171954.20721080038</v>
      </c>
      <c r="I100" s="853"/>
    </row>
    <row r="101" spans="1:9" x14ac:dyDescent="0.2">
      <c r="B101" s="833" t="s">
        <v>1539</v>
      </c>
      <c r="C101" s="846">
        <v>12144541.640000001</v>
      </c>
      <c r="D101" s="852">
        <v>197333.81802000001</v>
      </c>
      <c r="E101" s="812">
        <v>11855.875354685126</v>
      </c>
      <c r="F101" s="845"/>
      <c r="G101" s="812">
        <f>SUM(C101:F101)</f>
        <v>12353731.333374685</v>
      </c>
      <c r="I101" s="853"/>
    </row>
    <row r="102" spans="1:9" x14ac:dyDescent="0.2">
      <c r="B102" s="833" t="s">
        <v>1540</v>
      </c>
      <c r="C102" s="846">
        <v>2031956.71</v>
      </c>
      <c r="D102" s="852">
        <v>12251542.675031999</v>
      </c>
      <c r="E102" s="812">
        <v>315713.89383821533</v>
      </c>
      <c r="F102" s="845"/>
      <c r="G102" s="812">
        <f>SUM(C102:F102)</f>
        <v>14599213.278870214</v>
      </c>
      <c r="I102" s="853"/>
    </row>
    <row r="103" spans="1:9" x14ac:dyDescent="0.2">
      <c r="B103" s="833" t="s">
        <v>1541</v>
      </c>
      <c r="C103" s="846">
        <v>5886142.1500000004</v>
      </c>
      <c r="D103" s="852">
        <v>0</v>
      </c>
      <c r="E103" s="812">
        <v>-2270028.3768978175</v>
      </c>
      <c r="F103" s="845">
        <v>110730.47189999999</v>
      </c>
      <c r="G103" s="812">
        <f>SUM(C103:F103)</f>
        <v>3726844.2450021827</v>
      </c>
      <c r="I103" s="853"/>
    </row>
    <row r="104" spans="1:9" x14ac:dyDescent="0.2">
      <c r="B104" s="833" t="s">
        <v>1542</v>
      </c>
      <c r="C104" s="854">
        <v>0</v>
      </c>
      <c r="D104" s="852">
        <v>-50327.179631999898</v>
      </c>
      <c r="E104" s="812">
        <v>0</v>
      </c>
      <c r="F104" s="845"/>
      <c r="G104" s="812">
        <f>SUM(C104:F104)</f>
        <v>-50327.179631999898</v>
      </c>
      <c r="I104" s="853"/>
    </row>
    <row r="105" spans="1:9" x14ac:dyDescent="0.2">
      <c r="B105" s="833" t="s">
        <v>1455</v>
      </c>
      <c r="C105" s="847">
        <f>SUM(C100:C104)</f>
        <v>20062640.5</v>
      </c>
      <c r="D105" s="847">
        <f t="shared" ref="D105:G105" si="4">SUM(D100:D104)</f>
        <v>12566953.850795999</v>
      </c>
      <c r="E105" s="847">
        <f t="shared" si="4"/>
        <v>-1938908.9378701167</v>
      </c>
      <c r="F105" s="847">
        <f t="shared" si="4"/>
        <v>110730.47189999999</v>
      </c>
      <c r="G105" s="847">
        <f t="shared" si="4"/>
        <v>30801415.884825882</v>
      </c>
    </row>
    <row r="106" spans="1:9" x14ac:dyDescent="0.2">
      <c r="A106" s="844" t="s">
        <v>1543</v>
      </c>
      <c r="C106" s="845"/>
      <c r="D106" s="845"/>
      <c r="E106" s="845"/>
      <c r="F106" s="845"/>
    </row>
    <row r="107" spans="1:9" x14ac:dyDescent="0.2">
      <c r="B107" s="833" t="s">
        <v>1544</v>
      </c>
      <c r="C107" s="846">
        <v>3288918.76</v>
      </c>
      <c r="D107" s="852">
        <v>485116.68117599899</v>
      </c>
      <c r="E107" s="812">
        <v>-3320827.4784914944</v>
      </c>
      <c r="G107" s="812">
        <f t="shared" ref="G107:G113" si="5">SUM(C107:F107)</f>
        <v>453207.96268450422</v>
      </c>
      <c r="I107" s="853"/>
    </row>
    <row r="108" spans="1:9" x14ac:dyDescent="0.2">
      <c r="B108" s="833" t="s">
        <v>1545</v>
      </c>
      <c r="C108" s="846">
        <v>10607.56</v>
      </c>
      <c r="D108" s="852">
        <v>457558.89573599998</v>
      </c>
      <c r="E108" s="812">
        <v>4389.0383314704422</v>
      </c>
      <c r="F108" s="845"/>
      <c r="G108" s="812">
        <f t="shared" si="5"/>
        <v>472555.49406747043</v>
      </c>
      <c r="I108" s="853"/>
    </row>
    <row r="109" spans="1:9" x14ac:dyDescent="0.2">
      <c r="B109" s="833" t="s">
        <v>1546</v>
      </c>
      <c r="C109" s="854">
        <v>0</v>
      </c>
      <c r="D109" s="852">
        <v>28927.524168</v>
      </c>
      <c r="E109" s="812">
        <v>538.03136602857194</v>
      </c>
      <c r="F109" s="845"/>
      <c r="G109" s="812">
        <f t="shared" si="5"/>
        <v>29465.555534028572</v>
      </c>
      <c r="I109" s="853"/>
    </row>
    <row r="110" spans="1:9" x14ac:dyDescent="0.2">
      <c r="B110" s="833" t="s">
        <v>1547</v>
      </c>
      <c r="C110" s="854">
        <v>0</v>
      </c>
      <c r="D110" s="852">
        <v>0</v>
      </c>
      <c r="E110" s="812">
        <v>0</v>
      </c>
      <c r="F110" s="845"/>
      <c r="G110" s="812">
        <f t="shared" si="5"/>
        <v>0</v>
      </c>
      <c r="I110" s="853"/>
    </row>
    <row r="111" spans="1:9" x14ac:dyDescent="0.2">
      <c r="B111" s="833" t="s">
        <v>1548</v>
      </c>
      <c r="C111" s="846">
        <v>183075.61</v>
      </c>
      <c r="D111" s="852">
        <v>0</v>
      </c>
      <c r="E111" s="812">
        <v>2926.5844918861249</v>
      </c>
      <c r="F111" s="845"/>
      <c r="G111" s="812">
        <f t="shared" si="5"/>
        <v>186002.1944918861</v>
      </c>
      <c r="I111" s="853"/>
    </row>
    <row r="112" spans="1:9" x14ac:dyDescent="0.2">
      <c r="B112" s="833" t="s">
        <v>1549</v>
      </c>
      <c r="C112" s="845">
        <v>0</v>
      </c>
      <c r="D112" s="852">
        <v>140.83696800000001</v>
      </c>
      <c r="E112" s="812">
        <v>0</v>
      </c>
      <c r="F112" s="845"/>
      <c r="G112" s="812">
        <f t="shared" si="5"/>
        <v>140.83696800000001</v>
      </c>
      <c r="I112" s="853"/>
    </row>
    <row r="113" spans="1:9" x14ac:dyDescent="0.2">
      <c r="B113" s="833" t="s">
        <v>1550</v>
      </c>
      <c r="C113" s="855">
        <v>0</v>
      </c>
      <c r="D113" s="845">
        <v>0</v>
      </c>
      <c r="E113" s="812">
        <v>0</v>
      </c>
      <c r="F113" s="845"/>
      <c r="G113" s="812">
        <f t="shared" si="5"/>
        <v>0</v>
      </c>
      <c r="I113" s="853"/>
    </row>
    <row r="114" spans="1:9" x14ac:dyDescent="0.2">
      <c r="B114" s="833" t="s">
        <v>1455</v>
      </c>
      <c r="C114" s="851">
        <f>SUM(C107:C113)</f>
        <v>3482601.9299999997</v>
      </c>
      <c r="D114" s="851">
        <f>SUM(D107:D113)</f>
        <v>971743.93804799893</v>
      </c>
      <c r="E114" s="851">
        <f>SUM(E107:E113)</f>
        <v>-3312973.8243021094</v>
      </c>
      <c r="F114" s="851">
        <f>SUM(F107:F113)</f>
        <v>0</v>
      </c>
      <c r="G114" s="851">
        <f>SUM(G107:G113)</f>
        <v>1141372.0437458893</v>
      </c>
    </row>
    <row r="115" spans="1:9" x14ac:dyDescent="0.2">
      <c r="A115" s="844" t="s">
        <v>1551</v>
      </c>
    </row>
    <row r="116" spans="1:9" x14ac:dyDescent="0.2">
      <c r="B116" s="833" t="s">
        <v>1552</v>
      </c>
      <c r="C116" s="846">
        <v>14771681.6299999</v>
      </c>
      <c r="D116" s="845"/>
      <c r="E116" s="845">
        <v>-14771682</v>
      </c>
      <c r="F116" s="845"/>
      <c r="G116" s="812">
        <f>SUM(C116:F116)</f>
        <v>-0.37000009976327419</v>
      </c>
      <c r="I116" s="853"/>
    </row>
    <row r="117" spans="1:9" x14ac:dyDescent="0.2">
      <c r="B117" s="833" t="s">
        <v>1455</v>
      </c>
      <c r="C117" s="851">
        <f>C116</f>
        <v>14771681.6299999</v>
      </c>
      <c r="D117" s="851">
        <f>D116</f>
        <v>0</v>
      </c>
      <c r="E117" s="851">
        <f>E116</f>
        <v>-14771682</v>
      </c>
      <c r="F117" s="851">
        <f>F116</f>
        <v>0</v>
      </c>
      <c r="G117" s="851">
        <f>G116</f>
        <v>-0.37000009976327419</v>
      </c>
    </row>
    <row r="118" spans="1:9" x14ac:dyDescent="0.2">
      <c r="A118" s="844" t="s">
        <v>1553</v>
      </c>
      <c r="C118" s="845"/>
      <c r="D118" s="845"/>
      <c r="E118" s="845"/>
      <c r="F118" s="845"/>
      <c r="I118" s="850"/>
    </row>
    <row r="119" spans="1:9" x14ac:dyDescent="0.2">
      <c r="B119" s="833" t="s">
        <v>1554</v>
      </c>
      <c r="C119" s="846">
        <v>1471278.25</v>
      </c>
      <c r="D119" s="852">
        <v>9180034.6043159999</v>
      </c>
      <c r="E119" s="812">
        <v>-21408.424908822519</v>
      </c>
      <c r="G119" s="812">
        <f t="shared" ref="G119:G132" si="6">SUM(C119:F119)</f>
        <v>10629904.429407177</v>
      </c>
      <c r="I119" s="853"/>
    </row>
    <row r="120" spans="1:9" x14ac:dyDescent="0.2">
      <c r="B120" s="833" t="s">
        <v>1555</v>
      </c>
      <c r="C120" s="846">
        <v>214151.44</v>
      </c>
      <c r="D120" s="852">
        <v>2120081.6904239999</v>
      </c>
      <c r="E120" s="812">
        <v>0</v>
      </c>
      <c r="F120" s="845"/>
      <c r="G120" s="812">
        <f t="shared" si="6"/>
        <v>2334233.1304239999</v>
      </c>
      <c r="I120" s="853"/>
    </row>
    <row r="121" spans="1:9" x14ac:dyDescent="0.2">
      <c r="B121" s="833" t="s">
        <v>1556</v>
      </c>
      <c r="C121" s="846">
        <v>0</v>
      </c>
      <c r="D121" s="852">
        <v>-84920.626489999995</v>
      </c>
      <c r="E121" s="812">
        <v>0</v>
      </c>
      <c r="F121" s="845"/>
      <c r="G121" s="812">
        <f t="shared" si="6"/>
        <v>-84920.626489999995</v>
      </c>
      <c r="I121" s="853"/>
    </row>
    <row r="122" spans="1:9" x14ac:dyDescent="0.2">
      <c r="B122" s="833" t="s">
        <v>1557</v>
      </c>
      <c r="C122" s="846">
        <v>601565.07999999996</v>
      </c>
      <c r="D122" s="852">
        <v>4995717.9116869997</v>
      </c>
      <c r="E122" s="812">
        <v>0</v>
      </c>
      <c r="F122" s="845"/>
      <c r="G122" s="812">
        <f t="shared" si="6"/>
        <v>5597282.9916869998</v>
      </c>
      <c r="I122" s="853"/>
    </row>
    <row r="123" spans="1:9" x14ac:dyDescent="0.2">
      <c r="B123" s="833" t="s">
        <v>1558</v>
      </c>
      <c r="C123" s="846">
        <v>307110.8</v>
      </c>
      <c r="D123" s="852">
        <v>1155537.0162889999</v>
      </c>
      <c r="E123" s="812">
        <v>-44773.19386343073</v>
      </c>
      <c r="F123" s="845"/>
      <c r="G123" s="812">
        <f t="shared" si="6"/>
        <v>1417874.6224255692</v>
      </c>
      <c r="I123" s="853"/>
    </row>
    <row r="124" spans="1:9" x14ac:dyDescent="0.2">
      <c r="B124" s="833" t="s">
        <v>1559</v>
      </c>
      <c r="C124" s="846">
        <v>491813.36</v>
      </c>
      <c r="D124" s="852">
        <v>1938533.0717519999</v>
      </c>
      <c r="E124" s="812">
        <v>52781.314640845449</v>
      </c>
      <c r="F124" s="845"/>
      <c r="G124" s="812">
        <f t="shared" si="6"/>
        <v>2483127.7463928456</v>
      </c>
      <c r="I124" s="853"/>
    </row>
    <row r="125" spans="1:9" x14ac:dyDescent="0.2">
      <c r="B125" s="833" t="s">
        <v>1560</v>
      </c>
      <c r="C125" s="846">
        <v>8062270.4199999999</v>
      </c>
      <c r="D125" s="852">
        <v>3956784.3932400001</v>
      </c>
      <c r="E125" s="812">
        <v>861122.80580284481</v>
      </c>
      <c r="F125" s="845"/>
      <c r="G125" s="812">
        <f t="shared" si="6"/>
        <v>12880177.619042844</v>
      </c>
      <c r="I125" s="853"/>
    </row>
    <row r="126" spans="1:9" x14ac:dyDescent="0.2">
      <c r="B126" s="833" t="s">
        <v>1561</v>
      </c>
      <c r="C126" s="846">
        <v>2148201.04</v>
      </c>
      <c r="D126" s="852">
        <v>286824.75335499999</v>
      </c>
      <c r="E126" s="812">
        <v>307156.20034658001</v>
      </c>
      <c r="F126" s="845">
        <v>63729.768000000004</v>
      </c>
      <c r="G126" s="812">
        <f t="shared" si="6"/>
        <v>2805911.7617015801</v>
      </c>
      <c r="I126" s="853"/>
    </row>
    <row r="127" spans="1:9" x14ac:dyDescent="0.2">
      <c r="B127" s="833" t="s">
        <v>1562</v>
      </c>
      <c r="C127" s="846">
        <v>0</v>
      </c>
      <c r="D127" s="852">
        <v>136648.969033</v>
      </c>
      <c r="E127" s="812">
        <v>10.19531313686007</v>
      </c>
      <c r="F127" s="845"/>
      <c r="G127" s="812">
        <f t="shared" si="6"/>
        <v>136659.16434613685</v>
      </c>
      <c r="I127" s="853"/>
    </row>
    <row r="128" spans="1:9" x14ac:dyDescent="0.2">
      <c r="B128" s="833" t="s">
        <v>1563</v>
      </c>
      <c r="C128" s="846">
        <v>365841.2</v>
      </c>
      <c r="D128" s="852">
        <v>472691.44019499997</v>
      </c>
      <c r="E128" s="812">
        <v>77821.329377634</v>
      </c>
      <c r="F128" s="845"/>
      <c r="G128" s="812">
        <f t="shared" si="6"/>
        <v>916353.96957263397</v>
      </c>
      <c r="I128" s="853"/>
    </row>
    <row r="129" spans="1:9" x14ac:dyDescent="0.2">
      <c r="B129" s="833" t="s">
        <v>1564</v>
      </c>
      <c r="C129" s="846">
        <v>0</v>
      </c>
      <c r="D129" s="852">
        <v>2400893.6089909999</v>
      </c>
      <c r="E129" s="812">
        <v>-5758.83</v>
      </c>
      <c r="F129" s="845"/>
      <c r="G129" s="812">
        <f t="shared" si="6"/>
        <v>2395134.7789909998</v>
      </c>
      <c r="I129" s="853"/>
    </row>
    <row r="130" spans="1:9" x14ac:dyDescent="0.2">
      <c r="B130" s="833" t="s">
        <v>1565</v>
      </c>
      <c r="C130" s="846">
        <v>273914.74</v>
      </c>
      <c r="D130" s="852">
        <v>0</v>
      </c>
      <c r="E130" s="812">
        <v>1399.6916826548782</v>
      </c>
      <c r="F130" s="845"/>
      <c r="G130" s="812">
        <f t="shared" si="6"/>
        <v>275314.43168265489</v>
      </c>
      <c r="I130" s="853"/>
    </row>
    <row r="131" spans="1:9" x14ac:dyDescent="0.2">
      <c r="B131" s="833" t="s">
        <v>1566</v>
      </c>
      <c r="C131" s="846">
        <v>0</v>
      </c>
      <c r="D131" s="852">
        <v>2323096.9585560001</v>
      </c>
      <c r="E131" s="812">
        <v>11929.223435330496</v>
      </c>
      <c r="F131" s="845"/>
      <c r="G131" s="812">
        <f t="shared" si="6"/>
        <v>2335026.1819913308</v>
      </c>
      <c r="I131" s="853"/>
    </row>
    <row r="132" spans="1:9" x14ac:dyDescent="0.2">
      <c r="B132" s="856" t="s">
        <v>1567</v>
      </c>
      <c r="C132" s="845"/>
      <c r="D132" s="845"/>
      <c r="E132" s="812">
        <v>0</v>
      </c>
      <c r="F132" s="845"/>
      <c r="G132" s="812">
        <f t="shared" si="6"/>
        <v>0</v>
      </c>
      <c r="I132" s="853"/>
    </row>
    <row r="133" spans="1:9" x14ac:dyDescent="0.2">
      <c r="B133" s="833" t="s">
        <v>1455</v>
      </c>
      <c r="C133" s="851">
        <f>SUM(C119:C132)</f>
        <v>13936146.33</v>
      </c>
      <c r="D133" s="851">
        <f>SUM(D119:D132)</f>
        <v>28881923.791348003</v>
      </c>
      <c r="E133" s="851">
        <f>SUM(E119:E132)</f>
        <v>1240280.311826773</v>
      </c>
      <c r="F133" s="851">
        <f>SUM(F119:F132)</f>
        <v>63729.768000000004</v>
      </c>
      <c r="G133" s="851">
        <f>SUM(G119:G132)</f>
        <v>44122080.201174773</v>
      </c>
    </row>
    <row r="134" spans="1:9" x14ac:dyDescent="0.2">
      <c r="B134" s="833" t="s">
        <v>1568</v>
      </c>
      <c r="C134" s="376">
        <f>C133+C117+C114+C105+C98+C81+C71</f>
        <v>104655451.15999989</v>
      </c>
      <c r="D134" s="376">
        <f>D133+D117+D114+D105+D98+D81+D71</f>
        <v>42420621.580192</v>
      </c>
      <c r="E134" s="376">
        <f>E133+E117+E114+E105+E98+E81+E71</f>
        <v>-18933745.90819566</v>
      </c>
      <c r="F134" s="376">
        <f>F133+F117+F114+F105+F98+F81+F71</f>
        <v>174460.23989999999</v>
      </c>
      <c r="G134" s="376">
        <f>G133+G117+G114+G105+G98+G81+G71</f>
        <v>128316787.07189623</v>
      </c>
    </row>
    <row r="136" spans="1:9" x14ac:dyDescent="0.2">
      <c r="A136" s="844" t="s">
        <v>1569</v>
      </c>
    </row>
    <row r="137" spans="1:9" x14ac:dyDescent="0.2">
      <c r="A137" s="844" t="s">
        <v>1570</v>
      </c>
      <c r="C137" s="845"/>
      <c r="D137" s="845"/>
      <c r="E137" s="845"/>
      <c r="F137" s="845"/>
    </row>
    <row r="138" spans="1:9" x14ac:dyDescent="0.2">
      <c r="B138" s="833" t="s">
        <v>1571</v>
      </c>
      <c r="C138" s="846">
        <v>95289007.259999901</v>
      </c>
      <c r="D138" s="852">
        <v>7057317.917343</v>
      </c>
      <c r="E138" s="812">
        <v>-6555171.5269017387</v>
      </c>
      <c r="G138" s="812">
        <f>SUM(C138:F138)</f>
        <v>95791153.65044117</v>
      </c>
    </row>
    <row r="139" spans="1:9" x14ac:dyDescent="0.2">
      <c r="B139" s="833" t="s">
        <v>1572</v>
      </c>
      <c r="C139" s="857">
        <v>48994.5099999999</v>
      </c>
      <c r="D139" s="852">
        <v>-8476.7074840000005</v>
      </c>
      <c r="E139" s="855">
        <v>0</v>
      </c>
      <c r="F139" s="855"/>
      <c r="G139" s="855">
        <f>SUM(C139:F139)</f>
        <v>40517.802515999902</v>
      </c>
    </row>
    <row r="140" spans="1:9" ht="21" customHeight="1" x14ac:dyDescent="0.2">
      <c r="B140" s="833" t="s">
        <v>1455</v>
      </c>
      <c r="C140" s="845">
        <f>SUM(C138:C139)</f>
        <v>95338001.769999906</v>
      </c>
      <c r="D140" s="847">
        <f>SUM(D138:D139)</f>
        <v>7048841.2098589996</v>
      </c>
      <c r="E140" s="845">
        <f>SUM(E138:E139)</f>
        <v>-6555171.5269017387</v>
      </c>
      <c r="F140" s="845">
        <f>SUM(F138:F139)</f>
        <v>0</v>
      </c>
      <c r="G140" s="845">
        <f>SUM(G138:G139)</f>
        <v>95831671.452957168</v>
      </c>
    </row>
    <row r="141" spans="1:9" x14ac:dyDescent="0.2">
      <c r="A141" s="844" t="s">
        <v>1573</v>
      </c>
      <c r="C141" s="845"/>
      <c r="D141" s="845"/>
      <c r="E141" s="845"/>
      <c r="F141" s="845"/>
    </row>
    <row r="142" spans="1:9" x14ac:dyDescent="0.2">
      <c r="B142" s="833" t="s">
        <v>1574</v>
      </c>
      <c r="C142" s="858">
        <v>1221829.71</v>
      </c>
      <c r="D142" s="852">
        <v>11336703.369564001</v>
      </c>
      <c r="E142" s="845">
        <v>0</v>
      </c>
      <c r="F142" s="845"/>
      <c r="G142" s="812">
        <f>SUM(C142:F142)</f>
        <v>12558533.079564001</v>
      </c>
    </row>
    <row r="143" spans="1:9" x14ac:dyDescent="0.2">
      <c r="B143" s="833" t="s">
        <v>1575</v>
      </c>
      <c r="C143" s="858">
        <v>0</v>
      </c>
      <c r="D143" s="852">
        <v>0</v>
      </c>
      <c r="E143" s="845">
        <v>0</v>
      </c>
      <c r="F143" s="845"/>
      <c r="G143" s="812">
        <f>SUM(C143:F143)</f>
        <v>0</v>
      </c>
    </row>
    <row r="144" spans="1:9" x14ac:dyDescent="0.2">
      <c r="B144" s="833" t="s">
        <v>1576</v>
      </c>
      <c r="C144" s="857">
        <v>219231.59</v>
      </c>
      <c r="D144" s="852">
        <v>355.606866999999</v>
      </c>
      <c r="E144" s="845">
        <v>0</v>
      </c>
      <c r="F144" s="845"/>
      <c r="G144" s="812">
        <f>SUM(C144:F144)</f>
        <v>219587.19686699999</v>
      </c>
    </row>
    <row r="145" spans="1:7" x14ac:dyDescent="0.2">
      <c r="B145" s="833" t="s">
        <v>1455</v>
      </c>
      <c r="C145" s="851">
        <f>SUM(C142:C144)</f>
        <v>1441061.3</v>
      </c>
      <c r="D145" s="851">
        <f>SUM(D142:D144)</f>
        <v>11337058.976431001</v>
      </c>
      <c r="E145" s="851">
        <f>SUM(E142:E144)</f>
        <v>0</v>
      </c>
      <c r="F145" s="851">
        <f>SUM(F142:F144)</f>
        <v>0</v>
      </c>
      <c r="G145" s="851">
        <f>SUM(G142:G144)</f>
        <v>12778120.276431002</v>
      </c>
    </row>
    <row r="146" spans="1:7" x14ac:dyDescent="0.2">
      <c r="A146" s="844" t="s">
        <v>1577</v>
      </c>
      <c r="G146" s="812">
        <f>SUM(C146:F146)</f>
        <v>0</v>
      </c>
    </row>
    <row r="147" spans="1:7" x14ac:dyDescent="0.2">
      <c r="B147" s="833" t="s">
        <v>1578</v>
      </c>
      <c r="C147" s="855">
        <v>0</v>
      </c>
      <c r="D147" s="845">
        <v>0</v>
      </c>
      <c r="E147" s="845">
        <v>0</v>
      </c>
      <c r="F147" s="845"/>
      <c r="G147" s="812">
        <f>SUM(C147:F147)</f>
        <v>0</v>
      </c>
    </row>
    <row r="148" spans="1:7" x14ac:dyDescent="0.2">
      <c r="B148" s="833" t="s">
        <v>1455</v>
      </c>
      <c r="C148" s="851">
        <f>C147</f>
        <v>0</v>
      </c>
      <c r="D148" s="851">
        <f>D147</f>
        <v>0</v>
      </c>
      <c r="E148" s="851">
        <f>E147</f>
        <v>0</v>
      </c>
      <c r="F148" s="851">
        <f>F147</f>
        <v>0</v>
      </c>
      <c r="G148" s="851">
        <f>G147</f>
        <v>0</v>
      </c>
    </row>
    <row r="149" spans="1:7" x14ac:dyDescent="0.2">
      <c r="A149" s="844" t="s">
        <v>1579</v>
      </c>
      <c r="C149" s="845"/>
      <c r="D149" s="845"/>
      <c r="E149" s="845"/>
      <c r="F149" s="845"/>
    </row>
    <row r="150" spans="1:7" x14ac:dyDescent="0.2">
      <c r="B150" s="833" t="s">
        <v>1580</v>
      </c>
      <c r="C150" s="848"/>
      <c r="D150" s="845"/>
      <c r="E150" s="845">
        <v>0</v>
      </c>
      <c r="F150" s="845"/>
      <c r="G150" s="812">
        <f t="shared" ref="G150:G157" si="7">SUM(C150:F150)</f>
        <v>0</v>
      </c>
    </row>
    <row r="151" spans="1:7" x14ac:dyDescent="0.2">
      <c r="B151" s="833" t="s">
        <v>1581</v>
      </c>
      <c r="C151" s="845">
        <v>0</v>
      </c>
      <c r="D151" s="845"/>
      <c r="E151" s="845">
        <v>0</v>
      </c>
      <c r="F151" s="845"/>
      <c r="G151" s="812">
        <f t="shared" si="7"/>
        <v>0</v>
      </c>
    </row>
    <row r="152" spans="1:7" x14ac:dyDescent="0.2">
      <c r="B152" s="833" t="s">
        <v>1582</v>
      </c>
      <c r="C152" s="859">
        <v>-256074.06</v>
      </c>
      <c r="D152" s="845"/>
      <c r="E152" s="845">
        <v>194224.96333333349</v>
      </c>
      <c r="F152" s="845"/>
      <c r="G152" s="812">
        <f t="shared" si="7"/>
        <v>-61849.096666666504</v>
      </c>
    </row>
    <row r="153" spans="1:7" x14ac:dyDescent="0.2">
      <c r="B153" s="833" t="s">
        <v>1583</v>
      </c>
      <c r="C153" s="859">
        <v>68250.559999999896</v>
      </c>
      <c r="D153" s="845"/>
      <c r="E153" s="845">
        <v>-51771.736666666635</v>
      </c>
      <c r="F153" s="845"/>
      <c r="G153" s="812">
        <f t="shared" si="7"/>
        <v>16478.823333333261</v>
      </c>
    </row>
    <row r="154" spans="1:7" x14ac:dyDescent="0.2">
      <c r="B154" s="833" t="s">
        <v>1584</v>
      </c>
      <c r="C154" s="845">
        <v>0</v>
      </c>
      <c r="D154" s="845"/>
      <c r="E154" s="845">
        <v>0</v>
      </c>
      <c r="F154" s="845"/>
      <c r="G154" s="812">
        <f t="shared" si="7"/>
        <v>0</v>
      </c>
    </row>
    <row r="155" spans="1:7" x14ac:dyDescent="0.2">
      <c r="B155" s="833" t="s">
        <v>1585</v>
      </c>
      <c r="C155" s="845">
        <v>0</v>
      </c>
      <c r="D155" s="845"/>
      <c r="E155" s="845">
        <v>0</v>
      </c>
      <c r="F155" s="845"/>
      <c r="G155" s="812">
        <f t="shared" si="7"/>
        <v>0</v>
      </c>
    </row>
    <row r="156" spans="1:7" x14ac:dyDescent="0.2">
      <c r="B156" s="833" t="s">
        <v>1586</v>
      </c>
      <c r="C156" s="845"/>
      <c r="D156" s="845"/>
      <c r="E156" s="845">
        <v>0</v>
      </c>
      <c r="F156" s="845"/>
      <c r="G156" s="812">
        <f t="shared" si="7"/>
        <v>0</v>
      </c>
    </row>
    <row r="157" spans="1:7" x14ac:dyDescent="0.2">
      <c r="B157" s="833" t="s">
        <v>1587</v>
      </c>
      <c r="C157" s="855"/>
      <c r="D157" s="845"/>
      <c r="E157" s="845">
        <v>0</v>
      </c>
      <c r="F157" s="845"/>
      <c r="G157" s="812">
        <f t="shared" si="7"/>
        <v>0</v>
      </c>
    </row>
    <row r="158" spans="1:7" x14ac:dyDescent="0.2">
      <c r="B158" s="833" t="s">
        <v>1455</v>
      </c>
      <c r="C158" s="851">
        <f>SUM(C150:C157)</f>
        <v>-187823.50000000012</v>
      </c>
      <c r="D158" s="851">
        <f>SUM(D150:D157)</f>
        <v>0</v>
      </c>
      <c r="E158" s="851">
        <f>SUM(E150:E157)</f>
        <v>142453.22666666686</v>
      </c>
      <c r="F158" s="851">
        <f>SUM(F150:F157)</f>
        <v>0</v>
      </c>
      <c r="G158" s="851">
        <f>SUM(G150:G157)</f>
        <v>-45370.273333333243</v>
      </c>
    </row>
    <row r="159" spans="1:7" x14ac:dyDescent="0.2">
      <c r="B159" s="833" t="s">
        <v>1588</v>
      </c>
      <c r="C159" s="812">
        <f>C140+C158+C148+C145</f>
        <v>96591239.569999903</v>
      </c>
      <c r="D159" s="812">
        <f>D140+D158+D148+D145</f>
        <v>18385900.18629</v>
      </c>
      <c r="E159" s="812">
        <f>E140+E158+E148+E145</f>
        <v>-6412718.3002350722</v>
      </c>
      <c r="F159" s="812">
        <f>F140+F158+F148+F145</f>
        <v>0</v>
      </c>
      <c r="G159" s="812">
        <f>G140+G158+G148+G145</f>
        <v>108564421.45605484</v>
      </c>
    </row>
    <row r="161" spans="1:7" x14ac:dyDescent="0.2">
      <c r="A161" s="844" t="s">
        <v>1589</v>
      </c>
      <c r="C161" s="845"/>
      <c r="D161" s="845"/>
      <c r="E161" s="845"/>
      <c r="F161" s="845"/>
      <c r="G161" s="812">
        <f>SUM(C161:F161)</f>
        <v>0</v>
      </c>
    </row>
    <row r="162" spans="1:7" x14ac:dyDescent="0.2">
      <c r="B162" s="833" t="s">
        <v>1590</v>
      </c>
      <c r="C162" s="852"/>
      <c r="D162" s="845"/>
      <c r="E162" s="845"/>
      <c r="F162" s="845">
        <v>0</v>
      </c>
      <c r="G162" s="812">
        <f>SUM(C162:F162)</f>
        <v>0</v>
      </c>
    </row>
    <row r="163" spans="1:7" x14ac:dyDescent="0.2">
      <c r="B163" s="833" t="s">
        <v>1455</v>
      </c>
      <c r="C163" s="851">
        <f>C162</f>
        <v>0</v>
      </c>
      <c r="D163" s="851">
        <f>D162</f>
        <v>0</v>
      </c>
      <c r="E163" s="851">
        <f>SUM(E162)</f>
        <v>0</v>
      </c>
      <c r="F163" s="851">
        <f>F162</f>
        <v>0</v>
      </c>
      <c r="G163" s="851">
        <f>G162</f>
        <v>0</v>
      </c>
    </row>
    <row r="165" spans="1:7" x14ac:dyDescent="0.2">
      <c r="A165" s="844" t="s">
        <v>1591</v>
      </c>
      <c r="G165" s="812">
        <f>SUM(C165:F165)</f>
        <v>0</v>
      </c>
    </row>
    <row r="166" spans="1:7" x14ac:dyDescent="0.2">
      <c r="B166" s="833" t="s">
        <v>1592</v>
      </c>
      <c r="C166" s="846">
        <v>97233457.069999993</v>
      </c>
      <c r="D166" s="852">
        <v>1513530.603014</v>
      </c>
      <c r="E166" s="845">
        <v>-37712763.063797742</v>
      </c>
      <c r="F166" s="845">
        <v>1223165.437224</v>
      </c>
      <c r="G166" s="812">
        <f>SUM(C166:F166)</f>
        <v>62257390.046440259</v>
      </c>
    </row>
    <row r="167" spans="1:7" x14ac:dyDescent="0.2">
      <c r="B167" s="856" t="s">
        <v>1593</v>
      </c>
      <c r="C167" s="845"/>
      <c r="D167" s="845"/>
      <c r="E167" s="845">
        <v>0</v>
      </c>
      <c r="F167" s="845">
        <v>0</v>
      </c>
      <c r="G167" s="812">
        <f>SUM(C167:F167)</f>
        <v>0</v>
      </c>
    </row>
    <row r="168" spans="1:7" x14ac:dyDescent="0.2">
      <c r="B168" s="833" t="s">
        <v>1455</v>
      </c>
      <c r="C168" s="851">
        <f>SUM(C166:C167)</f>
        <v>97233457.069999993</v>
      </c>
      <c r="D168" s="851">
        <f>SUM(D166:D167)</f>
        <v>1513530.603014</v>
      </c>
      <c r="E168" s="851">
        <f>SUM(E166:E167)</f>
        <v>-37712763.063797742</v>
      </c>
      <c r="F168" s="851">
        <f>SUM(F166:F167)</f>
        <v>1223165.437224</v>
      </c>
      <c r="G168" s="851">
        <f>SUM(G166:G167)</f>
        <v>62257390.046440259</v>
      </c>
    </row>
    <row r="169" spans="1:7" x14ac:dyDescent="0.2">
      <c r="A169" s="844" t="s">
        <v>1594</v>
      </c>
      <c r="C169" s="845"/>
      <c r="D169" s="845"/>
      <c r="E169" s="845"/>
      <c r="F169" s="845"/>
      <c r="G169" s="812">
        <f>SUM(C169:F169)</f>
        <v>0</v>
      </c>
    </row>
    <row r="170" spans="1:7" x14ac:dyDescent="0.2">
      <c r="B170" s="833" t="s">
        <v>1595</v>
      </c>
      <c r="C170" s="852">
        <v>15204117</v>
      </c>
      <c r="D170" s="845"/>
      <c r="E170" s="845">
        <v>-15869895.357343743</v>
      </c>
      <c r="F170" s="845">
        <v>10663551.565715998</v>
      </c>
      <c r="G170" s="812">
        <f>SUM(C170:F170)</f>
        <v>9997773.2083722558</v>
      </c>
    </row>
    <row r="171" spans="1:7" x14ac:dyDescent="0.2">
      <c r="B171" s="833" t="s">
        <v>1455</v>
      </c>
      <c r="C171" s="851">
        <f>C170</f>
        <v>15204117</v>
      </c>
      <c r="D171" s="851">
        <f>D170</f>
        <v>0</v>
      </c>
      <c r="E171" s="851">
        <f>SUM(E170)</f>
        <v>-15869895.357343743</v>
      </c>
      <c r="F171" s="851">
        <f>F170</f>
        <v>10663551.565715998</v>
      </c>
      <c r="G171" s="851">
        <f>G170</f>
        <v>9997773.2083722558</v>
      </c>
    </row>
    <row r="172" spans="1:7" x14ac:dyDescent="0.2">
      <c r="A172" s="844" t="s">
        <v>1596</v>
      </c>
      <c r="G172" s="812">
        <f>SUM(C172:F172)</f>
        <v>0</v>
      </c>
    </row>
    <row r="173" spans="1:7" x14ac:dyDescent="0.2">
      <c r="B173" s="833" t="s">
        <v>1597</v>
      </c>
      <c r="C173" s="852">
        <v>53614008</v>
      </c>
      <c r="D173" s="852">
        <v>5969050.2969000004</v>
      </c>
      <c r="E173" s="812">
        <v>0</v>
      </c>
      <c r="G173" s="812">
        <f>SUM(C173:F173)</f>
        <v>59583058.296900004</v>
      </c>
    </row>
    <row r="174" spans="1:7" x14ac:dyDescent="0.2">
      <c r="B174" s="833" t="s">
        <v>1598</v>
      </c>
      <c r="C174" s="852">
        <v>-60115430</v>
      </c>
      <c r="D174" s="852">
        <v>-2330834.0059000002</v>
      </c>
      <c r="E174" s="812">
        <v>40552922.810784996</v>
      </c>
      <c r="F174" s="845"/>
      <c r="G174" s="812">
        <f>SUM(C174:F174)</f>
        <v>-21893341.195115007</v>
      </c>
    </row>
    <row r="175" spans="1:7" x14ac:dyDescent="0.2">
      <c r="B175" s="833" t="s">
        <v>1599</v>
      </c>
      <c r="C175" s="852">
        <v>-204565</v>
      </c>
      <c r="D175" s="859">
        <v>0</v>
      </c>
      <c r="E175" s="812">
        <v>0</v>
      </c>
      <c r="F175" s="845"/>
      <c r="G175" s="812">
        <f>SUM(C175:F175)</f>
        <v>-204565</v>
      </c>
    </row>
    <row r="176" spans="1:7" x14ac:dyDescent="0.2">
      <c r="B176" s="833" t="s">
        <v>1455</v>
      </c>
      <c r="C176" s="851">
        <f>SUM(C173:C175)</f>
        <v>-6705987</v>
      </c>
      <c r="D176" s="851">
        <f>SUM(D173:D175)</f>
        <v>3638216.2910000002</v>
      </c>
      <c r="E176" s="851">
        <f>SUM(E173:E175)</f>
        <v>40552922.810784996</v>
      </c>
      <c r="F176" s="851">
        <f>SUM(F173:F175)</f>
        <v>0</v>
      </c>
      <c r="G176" s="851">
        <f>SUM(G173:G175)</f>
        <v>37485152.101784997</v>
      </c>
    </row>
    <row r="177" spans="1:7" x14ac:dyDescent="0.2">
      <c r="C177" s="376"/>
      <c r="D177" s="376"/>
      <c r="E177" s="376"/>
      <c r="F177" s="376"/>
      <c r="G177" s="376"/>
    </row>
    <row r="178" spans="1:7" ht="13.5" thickBot="1" x14ac:dyDescent="0.25">
      <c r="B178" s="833" t="s">
        <v>1600</v>
      </c>
      <c r="C178" s="860">
        <f>C30-C134-C159-C168-C171-C176</f>
        <v>168619728.18000013</v>
      </c>
      <c r="D178" s="860">
        <f>D30-D134-D159-D168-D171-D176</f>
        <v>-65958268.660495996</v>
      </c>
      <c r="E178" s="860">
        <f>E30-E134-E159-E168-E171-E176</f>
        <v>17164158.006540485</v>
      </c>
      <c r="F178" s="860">
        <f>F30-F134-F159-F168-F171-F176</f>
        <v>19803706.757160001</v>
      </c>
      <c r="G178" s="860">
        <f>G30-G134-G159-G168-G171-G176</f>
        <v>139629324.28320464</v>
      </c>
    </row>
    <row r="179" spans="1:7" ht="13.5" thickTop="1" x14ac:dyDescent="0.2"/>
    <row r="180" spans="1:7" x14ac:dyDescent="0.2">
      <c r="C180" s="835"/>
      <c r="D180" s="835"/>
      <c r="E180" s="835"/>
      <c r="F180" s="835"/>
      <c r="G180" s="835"/>
    </row>
    <row r="181" spans="1:7" x14ac:dyDescent="0.2">
      <c r="C181" s="835"/>
      <c r="D181" s="835"/>
      <c r="E181" s="835"/>
      <c r="F181" s="835"/>
      <c r="G181" s="835"/>
    </row>
    <row r="182" spans="1:7" x14ac:dyDescent="0.2">
      <c r="C182" s="835"/>
      <c r="D182" s="835"/>
      <c r="E182" s="835"/>
      <c r="F182" s="835"/>
      <c r="G182" s="835"/>
    </row>
    <row r="183" spans="1:7" x14ac:dyDescent="0.2">
      <c r="C183" s="835"/>
      <c r="D183" s="835"/>
      <c r="E183" s="835"/>
      <c r="F183" s="835"/>
      <c r="G183" s="835"/>
    </row>
    <row r="184" spans="1:7" x14ac:dyDescent="0.2">
      <c r="A184" s="835"/>
      <c r="B184" s="835"/>
      <c r="C184" s="835"/>
      <c r="D184" s="835"/>
      <c r="E184" s="835"/>
      <c r="F184" s="835"/>
      <c r="G184" s="835"/>
    </row>
    <row r="185" spans="1:7" x14ac:dyDescent="0.2">
      <c r="A185" s="835"/>
      <c r="B185" s="835"/>
      <c r="C185" s="835"/>
      <c r="D185" s="835"/>
      <c r="E185" s="835"/>
      <c r="F185" s="835"/>
      <c r="G185" s="835"/>
    </row>
    <row r="186" spans="1:7" x14ac:dyDescent="0.2">
      <c r="A186" s="835"/>
      <c r="B186" s="835"/>
      <c r="C186" s="835"/>
      <c r="D186" s="835"/>
      <c r="E186" s="835"/>
      <c r="F186" s="835"/>
      <c r="G186" s="835"/>
    </row>
    <row r="187" spans="1:7" x14ac:dyDescent="0.2">
      <c r="A187" s="835"/>
      <c r="B187" s="835"/>
      <c r="C187" s="835"/>
      <c r="D187" s="835"/>
      <c r="E187" s="835"/>
      <c r="F187" s="835"/>
      <c r="G187" s="835"/>
    </row>
    <row r="188" spans="1:7" x14ac:dyDescent="0.2">
      <c r="A188" s="835"/>
      <c r="B188" s="835"/>
      <c r="C188" s="835"/>
      <c r="D188" s="835"/>
      <c r="E188" s="835"/>
      <c r="F188" s="835"/>
      <c r="G188" s="835"/>
    </row>
    <row r="189" spans="1:7" x14ac:dyDescent="0.2">
      <c r="A189" s="835"/>
      <c r="B189" s="835"/>
      <c r="C189" s="835"/>
      <c r="D189" s="835"/>
      <c r="E189" s="835"/>
      <c r="F189" s="835"/>
      <c r="G189" s="835"/>
    </row>
    <row r="190" spans="1:7" x14ac:dyDescent="0.2">
      <c r="A190" s="835"/>
      <c r="B190" s="835"/>
      <c r="C190" s="835"/>
      <c r="D190" s="835"/>
      <c r="E190" s="835"/>
      <c r="F190" s="835"/>
      <c r="G190" s="835"/>
    </row>
    <row r="191" spans="1:7" x14ac:dyDescent="0.2">
      <c r="A191" s="835"/>
      <c r="B191" s="835"/>
      <c r="C191" s="835"/>
      <c r="D191" s="835"/>
      <c r="E191" s="835"/>
      <c r="F191" s="835"/>
      <c r="G191" s="835"/>
    </row>
    <row r="192" spans="1:7" x14ac:dyDescent="0.2">
      <c r="A192" s="835"/>
      <c r="B192" s="835"/>
      <c r="C192" s="835"/>
      <c r="D192" s="835"/>
      <c r="E192" s="835"/>
      <c r="F192" s="835"/>
      <c r="G192" s="835"/>
    </row>
    <row r="193" spans="1:7" x14ac:dyDescent="0.2">
      <c r="A193" s="835"/>
      <c r="B193" s="835"/>
      <c r="C193" s="835"/>
      <c r="D193" s="835"/>
      <c r="E193" s="835"/>
      <c r="F193" s="835"/>
      <c r="G193" s="835"/>
    </row>
    <row r="194" spans="1:7" x14ac:dyDescent="0.2">
      <c r="A194" s="835"/>
      <c r="B194" s="835"/>
      <c r="C194" s="835"/>
      <c r="D194" s="835"/>
      <c r="E194" s="835"/>
      <c r="F194" s="835"/>
      <c r="G194" s="835"/>
    </row>
    <row r="195" spans="1:7" x14ac:dyDescent="0.2">
      <c r="A195" s="835"/>
      <c r="B195" s="835"/>
      <c r="C195" s="835"/>
      <c r="D195" s="835"/>
      <c r="E195" s="835"/>
      <c r="F195" s="835"/>
      <c r="G195" s="835"/>
    </row>
    <row r="196" spans="1:7" x14ac:dyDescent="0.2">
      <c r="A196" s="835"/>
      <c r="B196" s="835"/>
      <c r="C196" s="835"/>
      <c r="D196" s="835"/>
      <c r="E196" s="835"/>
      <c r="F196" s="835"/>
      <c r="G196" s="835"/>
    </row>
    <row r="197" spans="1:7" x14ac:dyDescent="0.2">
      <c r="A197" s="835"/>
      <c r="B197" s="835"/>
      <c r="C197" s="835"/>
      <c r="D197" s="835"/>
      <c r="E197" s="835"/>
      <c r="F197" s="835"/>
      <c r="G197" s="835"/>
    </row>
    <row r="198" spans="1:7" x14ac:dyDescent="0.2">
      <c r="A198" s="835"/>
      <c r="B198" s="835"/>
      <c r="C198" s="835"/>
      <c r="D198" s="835"/>
      <c r="E198" s="835"/>
      <c r="F198" s="835"/>
      <c r="G198" s="835"/>
    </row>
    <row r="199" spans="1:7" x14ac:dyDescent="0.2">
      <c r="A199" s="835"/>
      <c r="B199" s="835"/>
      <c r="C199" s="835"/>
      <c r="D199" s="835"/>
      <c r="E199" s="835"/>
      <c r="F199" s="835"/>
      <c r="G199" s="835"/>
    </row>
    <row r="200" spans="1:7" x14ac:dyDescent="0.2">
      <c r="A200" s="835"/>
      <c r="B200" s="835"/>
      <c r="C200" s="835"/>
      <c r="D200" s="835"/>
      <c r="E200" s="835"/>
      <c r="F200" s="835"/>
      <c r="G200" s="835"/>
    </row>
    <row r="201" spans="1:7" x14ac:dyDescent="0.2">
      <c r="A201" s="835"/>
      <c r="B201" s="835"/>
      <c r="C201" s="835"/>
      <c r="D201" s="835"/>
      <c r="E201" s="835"/>
      <c r="F201" s="835"/>
      <c r="G201" s="835"/>
    </row>
    <row r="202" spans="1:7" x14ac:dyDescent="0.2">
      <c r="A202" s="835"/>
      <c r="B202" s="835"/>
      <c r="C202" s="835"/>
      <c r="D202" s="835"/>
      <c r="E202" s="835"/>
      <c r="F202" s="835"/>
      <c r="G202" s="835"/>
    </row>
    <row r="203" spans="1:7" x14ac:dyDescent="0.2">
      <c r="A203" s="835"/>
      <c r="B203" s="835"/>
      <c r="C203" s="835"/>
      <c r="D203" s="835"/>
      <c r="E203" s="835"/>
      <c r="F203" s="835"/>
      <c r="G203" s="835"/>
    </row>
    <row r="204" spans="1:7" x14ac:dyDescent="0.2">
      <c r="A204" s="835"/>
      <c r="B204" s="835"/>
      <c r="C204" s="835"/>
      <c r="D204" s="835"/>
      <c r="E204" s="835"/>
      <c r="F204" s="835"/>
      <c r="G204" s="835"/>
    </row>
    <row r="205" spans="1:7" x14ac:dyDescent="0.2">
      <c r="A205" s="835"/>
      <c r="B205" s="835"/>
      <c r="C205" s="835"/>
      <c r="D205" s="835"/>
      <c r="E205" s="835"/>
      <c r="F205" s="835"/>
      <c r="G205" s="835"/>
    </row>
    <row r="206" spans="1:7" x14ac:dyDescent="0.2">
      <c r="A206" s="835"/>
      <c r="B206" s="835"/>
      <c r="C206" s="835"/>
      <c r="D206" s="835"/>
      <c r="E206" s="835"/>
      <c r="F206" s="835"/>
      <c r="G206" s="835"/>
    </row>
    <row r="207" spans="1:7" x14ac:dyDescent="0.2">
      <c r="A207" s="835"/>
      <c r="B207" s="835"/>
      <c r="C207" s="835"/>
      <c r="D207" s="835"/>
      <c r="E207" s="835"/>
      <c r="F207" s="835"/>
      <c r="G207" s="835"/>
    </row>
    <row r="208" spans="1:7" x14ac:dyDescent="0.2">
      <c r="A208" s="835"/>
      <c r="B208" s="835"/>
      <c r="C208" s="835"/>
      <c r="D208" s="835"/>
      <c r="E208" s="835"/>
      <c r="F208" s="835"/>
      <c r="G208" s="835"/>
    </row>
    <row r="209" spans="1:7" x14ac:dyDescent="0.2">
      <c r="A209" s="835"/>
      <c r="B209" s="835"/>
      <c r="C209" s="835"/>
      <c r="D209" s="835"/>
      <c r="E209" s="835"/>
      <c r="F209" s="835"/>
      <c r="G209" s="835"/>
    </row>
    <row r="210" spans="1:7" x14ac:dyDescent="0.2">
      <c r="A210" s="835"/>
      <c r="B210" s="835"/>
      <c r="C210" s="835"/>
      <c r="D210" s="835"/>
      <c r="E210" s="835"/>
      <c r="F210" s="835"/>
      <c r="G210" s="835"/>
    </row>
    <row r="211" spans="1:7" x14ac:dyDescent="0.2">
      <c r="A211" s="835"/>
      <c r="B211" s="835"/>
      <c r="C211" s="835"/>
      <c r="D211" s="835"/>
      <c r="E211" s="835"/>
      <c r="F211" s="835"/>
      <c r="G211" s="835"/>
    </row>
    <row r="212" spans="1:7" x14ac:dyDescent="0.2">
      <c r="A212" s="835"/>
      <c r="B212" s="835"/>
      <c r="C212" s="835"/>
      <c r="D212" s="835"/>
      <c r="E212" s="835"/>
      <c r="F212" s="835"/>
      <c r="G212" s="835"/>
    </row>
    <row r="213" spans="1:7" x14ac:dyDescent="0.2">
      <c r="A213" s="835"/>
      <c r="B213" s="835"/>
      <c r="C213" s="835"/>
      <c r="D213" s="835"/>
      <c r="E213" s="835"/>
      <c r="F213" s="835"/>
      <c r="G213" s="835"/>
    </row>
  </sheetData>
  <pageMargins left="0.7" right="0.7" top="0.75" bottom="0.75" header="0.3" footer="0.3"/>
  <pageSetup fitToHeight="10" orientation="portrait" r:id="rId1"/>
  <rowBreaks count="2" manualBreakCount="2">
    <brk id="81" max="7" man="1"/>
    <brk id="160"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162"/>
  <sheetViews>
    <sheetView workbookViewId="0">
      <pane xSplit="1" ySplit="3" topLeftCell="B4" activePane="bottomRight" state="frozen"/>
      <selection activeCell="C35" sqref="C35"/>
      <selection pane="topRight" activeCell="C35" sqref="C35"/>
      <selection pane="bottomLeft" activeCell="C35" sqref="C35"/>
      <selection pane="bottomRight" activeCell="C35" sqref="C35"/>
    </sheetView>
  </sheetViews>
  <sheetFormatPr defaultRowHeight="15.75" x14ac:dyDescent="0.25"/>
  <cols>
    <col min="1" max="1" width="54" style="867" bestFit="1" customWidth="1"/>
    <col min="2" max="2" width="15.5703125" style="865" bestFit="1" customWidth="1"/>
    <col min="3" max="3" width="21.7109375" style="865" bestFit="1" customWidth="1"/>
    <col min="4" max="4" width="15.5703125" style="865" bestFit="1" customWidth="1"/>
    <col min="5" max="5" width="24.42578125" style="865" bestFit="1" customWidth="1"/>
    <col min="6" max="6" width="22.28515625" style="865" bestFit="1" customWidth="1"/>
    <col min="7" max="7" width="22" style="865" bestFit="1" customWidth="1"/>
    <col min="8" max="8" width="15.5703125" style="865" bestFit="1" customWidth="1"/>
    <col min="9" max="9" width="7.85546875" style="865" hidden="1" customWidth="1"/>
    <col min="10" max="10" width="38" style="865" hidden="1" customWidth="1"/>
    <col min="11" max="11" width="12.5703125" style="865" hidden="1" customWidth="1"/>
    <col min="12" max="13" width="0" style="865" hidden="1" customWidth="1"/>
    <col min="14" max="14" width="9.85546875" style="865" bestFit="1" customWidth="1"/>
    <col min="15" max="16" width="9.140625" style="865"/>
    <col min="17" max="17" width="13.28515625" style="865" bestFit="1" customWidth="1"/>
    <col min="18" max="16384" width="9.140625" style="865"/>
  </cols>
  <sheetData>
    <row r="1" spans="1:8" s="861" customFormat="1" ht="31.5" x14ac:dyDescent="0.25">
      <c r="B1" s="862" t="s">
        <v>1601</v>
      </c>
      <c r="C1" s="862" t="s">
        <v>1602</v>
      </c>
      <c r="D1" s="862" t="s">
        <v>1603</v>
      </c>
      <c r="E1" s="863" t="s">
        <v>1604</v>
      </c>
      <c r="F1" s="863" t="s">
        <v>1605</v>
      </c>
      <c r="G1" s="863" t="s">
        <v>1606</v>
      </c>
      <c r="H1" s="862"/>
    </row>
    <row r="2" spans="1:8" s="861" customFormat="1" ht="31.5" x14ac:dyDescent="0.25">
      <c r="A2" s="862" t="s">
        <v>1607</v>
      </c>
      <c r="B2" s="862" t="s">
        <v>1608</v>
      </c>
      <c r="C2" s="862" t="s">
        <v>1609</v>
      </c>
      <c r="D2" s="862" t="s">
        <v>1610</v>
      </c>
      <c r="E2" s="863" t="s">
        <v>1611</v>
      </c>
      <c r="F2" s="863" t="s">
        <v>1612</v>
      </c>
      <c r="G2" s="863" t="s">
        <v>1412</v>
      </c>
      <c r="H2" s="862"/>
    </row>
    <row r="3" spans="1:8" s="861" customFormat="1" x14ac:dyDescent="0.25">
      <c r="B3" s="862"/>
      <c r="C3" s="862"/>
      <c r="D3" s="862"/>
      <c r="E3" s="863" t="s">
        <v>1613</v>
      </c>
      <c r="F3" s="863" t="s">
        <v>1614</v>
      </c>
      <c r="G3" s="863" t="s">
        <v>1615</v>
      </c>
      <c r="H3" s="862" t="s">
        <v>23</v>
      </c>
    </row>
    <row r="4" spans="1:8" x14ac:dyDescent="0.25">
      <c r="A4" s="864" t="s">
        <v>1616</v>
      </c>
    </row>
    <row r="5" spans="1:8" x14ac:dyDescent="0.25">
      <c r="A5" s="864" t="s">
        <v>1617</v>
      </c>
    </row>
    <row r="7" spans="1:8" x14ac:dyDescent="0.25">
      <c r="A7" s="866" t="s">
        <v>1618</v>
      </c>
    </row>
    <row r="8" spans="1:8" x14ac:dyDescent="0.25">
      <c r="A8" s="866" t="s">
        <v>1619</v>
      </c>
    </row>
    <row r="9" spans="1:8" x14ac:dyDescent="0.25">
      <c r="A9" s="867" t="s">
        <v>1620</v>
      </c>
      <c r="B9" s="865">
        <v>153210.76999999999</v>
      </c>
      <c r="D9" s="865">
        <f>B9+C9</f>
        <v>153210.76999999999</v>
      </c>
      <c r="H9" s="865">
        <f>SUM(D9:G9)</f>
        <v>153210.76999999999</v>
      </c>
    </row>
    <row r="10" spans="1:8" x14ac:dyDescent="0.25">
      <c r="A10" s="867" t="s">
        <v>1621</v>
      </c>
      <c r="B10" s="865">
        <v>508737.32</v>
      </c>
      <c r="D10" s="865">
        <f>B10+C10</f>
        <v>508737.32</v>
      </c>
      <c r="H10" s="865">
        <f>SUM(D10:G10)</f>
        <v>508737.32</v>
      </c>
    </row>
    <row r="11" spans="1:8" x14ac:dyDescent="0.25">
      <c r="A11" s="867" t="s">
        <v>1622</v>
      </c>
      <c r="B11" s="865">
        <v>6099978.0300000003</v>
      </c>
      <c r="D11" s="865">
        <f>B11+C11</f>
        <v>6099978.0300000003</v>
      </c>
      <c r="H11" s="865">
        <f>SUM(D11:G11)</f>
        <v>6099978.0300000003</v>
      </c>
    </row>
    <row r="12" spans="1:8" x14ac:dyDescent="0.25">
      <c r="A12" s="867" t="s">
        <v>1623</v>
      </c>
      <c r="B12" s="868">
        <v>4852.88</v>
      </c>
      <c r="C12" s="868"/>
      <c r="D12" s="868">
        <f>B12+C12</f>
        <v>4852.88</v>
      </c>
      <c r="E12" s="868"/>
      <c r="F12" s="868"/>
      <c r="G12" s="868"/>
      <c r="H12" s="868">
        <f>SUM(D12:G12)</f>
        <v>4852.88</v>
      </c>
    </row>
    <row r="13" spans="1:8" x14ac:dyDescent="0.25">
      <c r="A13" s="866" t="s">
        <v>1624</v>
      </c>
      <c r="B13" s="865">
        <f t="shared" ref="B13:H13" si="0">SUM(B9:B12)</f>
        <v>6766779</v>
      </c>
      <c r="C13" s="865">
        <f t="shared" si="0"/>
        <v>0</v>
      </c>
      <c r="D13" s="865">
        <f t="shared" si="0"/>
        <v>6766779</v>
      </c>
      <c r="E13" s="865">
        <f t="shared" si="0"/>
        <v>0</v>
      </c>
      <c r="F13" s="865">
        <f t="shared" si="0"/>
        <v>0</v>
      </c>
      <c r="G13" s="865">
        <f t="shared" si="0"/>
        <v>0</v>
      </c>
      <c r="H13" s="865">
        <f t="shared" si="0"/>
        <v>6766779</v>
      </c>
    </row>
    <row r="14" spans="1:8" x14ac:dyDescent="0.25">
      <c r="A14" s="866" t="s">
        <v>1617</v>
      </c>
    </row>
    <row r="15" spans="1:8" x14ac:dyDescent="0.25">
      <c r="A15" s="866" t="s">
        <v>1625</v>
      </c>
    </row>
    <row r="16" spans="1:8" x14ac:dyDescent="0.25">
      <c r="A16" s="866" t="s">
        <v>1617</v>
      </c>
    </row>
    <row r="17" spans="1:8" x14ac:dyDescent="0.25">
      <c r="A17" s="866" t="s">
        <v>1626</v>
      </c>
    </row>
    <row r="18" spans="1:8" x14ac:dyDescent="0.25">
      <c r="A18" s="867" t="s">
        <v>1627</v>
      </c>
      <c r="B18" s="865">
        <v>14122702.1383333</v>
      </c>
      <c r="D18" s="865">
        <f t="shared" ref="D18:D30" si="1">B18+C18</f>
        <v>14122702.1383333</v>
      </c>
      <c r="H18" s="865">
        <f>SUM(D18:G18)</f>
        <v>14122702.1383333</v>
      </c>
    </row>
    <row r="19" spans="1:8" x14ac:dyDescent="0.25">
      <c r="A19" s="867" t="s">
        <v>1628</v>
      </c>
      <c r="B19" s="865">
        <v>8331609.4554166598</v>
      </c>
      <c r="D19" s="865">
        <f t="shared" si="1"/>
        <v>8331609.4554166598</v>
      </c>
      <c r="H19" s="865">
        <f t="shared" ref="H19:H30" si="2">SUM(D19:G19)</f>
        <v>8331609.4554166598</v>
      </c>
    </row>
    <row r="20" spans="1:8" x14ac:dyDescent="0.25">
      <c r="A20" s="867" t="s">
        <v>1629</v>
      </c>
      <c r="B20" s="865">
        <v>1340632645.60583</v>
      </c>
      <c r="D20" s="865">
        <f t="shared" si="1"/>
        <v>1340632645.60583</v>
      </c>
      <c r="H20" s="865">
        <f t="shared" si="2"/>
        <v>1340632645.60583</v>
      </c>
    </row>
    <row r="21" spans="1:8" x14ac:dyDescent="0.25">
      <c r="A21" s="867" t="s">
        <v>1630</v>
      </c>
      <c r="B21" s="865">
        <v>86726306.868333295</v>
      </c>
      <c r="D21" s="865">
        <f t="shared" si="1"/>
        <v>86726306.868333295</v>
      </c>
      <c r="H21" s="865">
        <f t="shared" si="2"/>
        <v>86726306.868333295</v>
      </c>
    </row>
    <row r="22" spans="1:8" x14ac:dyDescent="0.25">
      <c r="A22" s="867" t="s">
        <v>1631</v>
      </c>
      <c r="B22" s="865">
        <v>712592458.00374997</v>
      </c>
      <c r="D22" s="865">
        <f t="shared" si="1"/>
        <v>712592458.00374997</v>
      </c>
      <c r="H22" s="865">
        <f t="shared" si="2"/>
        <v>712592458.00374997</v>
      </c>
    </row>
    <row r="23" spans="1:8" x14ac:dyDescent="0.25">
      <c r="A23" s="867" t="s">
        <v>1632</v>
      </c>
      <c r="B23" s="865">
        <v>62021598.953749999</v>
      </c>
      <c r="D23" s="865">
        <f t="shared" si="1"/>
        <v>62021598.953749999</v>
      </c>
      <c r="H23" s="865">
        <f t="shared" si="2"/>
        <v>62021598.953749999</v>
      </c>
    </row>
    <row r="24" spans="1:8" x14ac:dyDescent="0.25">
      <c r="A24" s="867" t="s">
        <v>1633</v>
      </c>
      <c r="B24" s="865">
        <v>135654227.515416</v>
      </c>
      <c r="D24" s="865">
        <f t="shared" si="1"/>
        <v>135654227.515416</v>
      </c>
      <c r="H24" s="865">
        <f t="shared" si="2"/>
        <v>135654227.515416</v>
      </c>
    </row>
    <row r="25" spans="1:8" x14ac:dyDescent="0.25">
      <c r="A25" s="867" t="s">
        <v>1634</v>
      </c>
      <c r="B25" s="865">
        <v>13820461.8354166</v>
      </c>
      <c r="D25" s="865">
        <f t="shared" si="1"/>
        <v>13820461.8354166</v>
      </c>
      <c r="H25" s="865">
        <f t="shared" si="2"/>
        <v>13820461.8354166</v>
      </c>
    </row>
    <row r="26" spans="1:8" x14ac:dyDescent="0.25">
      <c r="A26" s="867" t="s">
        <v>1635</v>
      </c>
      <c r="B26" s="865">
        <v>74251825.864999995</v>
      </c>
      <c r="D26" s="865">
        <f t="shared" si="1"/>
        <v>74251825.864999995</v>
      </c>
      <c r="H26" s="865">
        <f t="shared" si="2"/>
        <v>74251825.864999995</v>
      </c>
    </row>
    <row r="27" spans="1:8" x14ac:dyDescent="0.25">
      <c r="A27" s="867" t="s">
        <v>1636</v>
      </c>
      <c r="B27" s="865">
        <v>38752668.894166604</v>
      </c>
      <c r="D27" s="865">
        <f t="shared" si="1"/>
        <v>38752668.894166604</v>
      </c>
      <c r="H27" s="865">
        <f t="shared" si="2"/>
        <v>38752668.894166604</v>
      </c>
    </row>
    <row r="28" spans="1:8" x14ac:dyDescent="0.25">
      <c r="A28" s="867" t="s">
        <v>1637</v>
      </c>
      <c r="B28" s="865">
        <v>35918724.1758333</v>
      </c>
      <c r="D28" s="865">
        <f t="shared" si="1"/>
        <v>35918724.1758333</v>
      </c>
      <c r="H28" s="865">
        <f t="shared" si="2"/>
        <v>35918724.1758333</v>
      </c>
    </row>
    <row r="29" spans="1:8" x14ac:dyDescent="0.25">
      <c r="A29" s="867" t="s">
        <v>1638</v>
      </c>
      <c r="B29" s="865">
        <v>4064497.9270833302</v>
      </c>
      <c r="D29" s="865">
        <f t="shared" si="1"/>
        <v>4064497.9270833302</v>
      </c>
      <c r="H29" s="865">
        <f t="shared" si="2"/>
        <v>4064497.9270833302</v>
      </c>
    </row>
    <row r="30" spans="1:8" x14ac:dyDescent="0.25">
      <c r="A30" s="867" t="s">
        <v>1639</v>
      </c>
      <c r="B30" s="868">
        <v>6637888.28083333</v>
      </c>
      <c r="C30" s="868"/>
      <c r="D30" s="868">
        <f t="shared" si="1"/>
        <v>6637888.28083333</v>
      </c>
      <c r="E30" s="868"/>
      <c r="F30" s="868"/>
      <c r="G30" s="868"/>
      <c r="H30" s="868">
        <f t="shared" si="2"/>
        <v>6637888.28083333</v>
      </c>
    </row>
    <row r="31" spans="1:8" x14ac:dyDescent="0.25">
      <c r="A31" s="866" t="s">
        <v>1640</v>
      </c>
      <c r="B31" s="865">
        <f t="shared" ref="B31:H31" si="3">SUM(B18:B30)</f>
        <v>2533527615.5191627</v>
      </c>
      <c r="C31" s="865">
        <f t="shared" si="3"/>
        <v>0</v>
      </c>
      <c r="D31" s="865">
        <f t="shared" si="3"/>
        <v>2533527615.5191627</v>
      </c>
      <c r="E31" s="865">
        <f t="shared" si="3"/>
        <v>0</v>
      </c>
      <c r="F31" s="865">
        <f t="shared" si="3"/>
        <v>0</v>
      </c>
      <c r="G31" s="865">
        <f t="shared" si="3"/>
        <v>0</v>
      </c>
      <c r="H31" s="865">
        <f t="shared" si="3"/>
        <v>2533527615.5191627</v>
      </c>
    </row>
    <row r="32" spans="1:8" x14ac:dyDescent="0.25">
      <c r="A32" s="866" t="s">
        <v>1617</v>
      </c>
    </row>
    <row r="33" spans="1:8" x14ac:dyDescent="0.25">
      <c r="A33" s="866" t="s">
        <v>1641</v>
      </c>
    </row>
    <row r="34" spans="1:8" x14ac:dyDescent="0.25">
      <c r="A34" s="867" t="s">
        <v>1642</v>
      </c>
      <c r="B34" s="865">
        <v>470432.41</v>
      </c>
      <c r="D34" s="865">
        <f t="shared" ref="D34:D46" si="4">B34+C34</f>
        <v>470432.41</v>
      </c>
      <c r="H34" s="865">
        <f>SUM(D34:G34)</f>
        <v>470432.41</v>
      </c>
    </row>
    <row r="35" spans="1:8" x14ac:dyDescent="0.25">
      <c r="A35" s="867" t="s">
        <v>1643</v>
      </c>
      <c r="B35" s="865">
        <v>691736.58666666597</v>
      </c>
      <c r="D35" s="865">
        <f t="shared" si="4"/>
        <v>691736.58666666597</v>
      </c>
      <c r="H35" s="865">
        <f t="shared" ref="H35:H46" si="5">SUM(D35:G35)</f>
        <v>691736.58666666597</v>
      </c>
    </row>
    <row r="36" spans="1:8" x14ac:dyDescent="0.25">
      <c r="A36" s="867" t="s">
        <v>1644</v>
      </c>
      <c r="B36" s="865">
        <v>16478439.38125</v>
      </c>
      <c r="D36" s="865">
        <f t="shared" si="4"/>
        <v>16478439.38125</v>
      </c>
      <c r="H36" s="865">
        <f t="shared" si="5"/>
        <v>16478439.38125</v>
      </c>
    </row>
    <row r="37" spans="1:8" x14ac:dyDescent="0.25">
      <c r="A37" s="867" t="s">
        <v>1645</v>
      </c>
      <c r="B37" s="865">
        <v>2583679.1695833299</v>
      </c>
      <c r="D37" s="865">
        <f t="shared" si="4"/>
        <v>2583679.1695833299</v>
      </c>
      <c r="H37" s="865">
        <f t="shared" si="5"/>
        <v>2583679.1695833299</v>
      </c>
    </row>
    <row r="38" spans="1:8" x14ac:dyDescent="0.25">
      <c r="A38" s="867" t="s">
        <v>1646</v>
      </c>
      <c r="B38" s="865">
        <v>16706119.3216666</v>
      </c>
      <c r="D38" s="865">
        <f t="shared" si="4"/>
        <v>16706119.3216666</v>
      </c>
      <c r="H38" s="865">
        <f t="shared" si="5"/>
        <v>16706119.3216666</v>
      </c>
    </row>
    <row r="39" spans="1:8" x14ac:dyDescent="0.25">
      <c r="A39" s="867" t="s">
        <v>1647</v>
      </c>
      <c r="B39" s="865">
        <v>466951.98</v>
      </c>
      <c r="D39" s="865">
        <f t="shared" si="4"/>
        <v>466951.98</v>
      </c>
      <c r="H39" s="865">
        <f t="shared" si="5"/>
        <v>466951.98</v>
      </c>
    </row>
    <row r="40" spans="1:8" x14ac:dyDescent="0.25">
      <c r="A40" s="867" t="s">
        <v>1648</v>
      </c>
      <c r="B40" s="865">
        <v>2640800.4833333301</v>
      </c>
      <c r="D40" s="865">
        <f t="shared" si="4"/>
        <v>2640800.4833333301</v>
      </c>
      <c r="H40" s="865">
        <f t="shared" si="5"/>
        <v>2640800.4833333301</v>
      </c>
    </row>
    <row r="41" spans="1:8" x14ac:dyDescent="0.25">
      <c r="A41" s="867" t="s">
        <v>1649</v>
      </c>
      <c r="B41" s="865">
        <v>271953.60499999998</v>
      </c>
      <c r="D41" s="865">
        <f t="shared" si="4"/>
        <v>271953.60499999998</v>
      </c>
      <c r="H41" s="865">
        <f t="shared" si="5"/>
        <v>271953.60499999998</v>
      </c>
    </row>
    <row r="42" spans="1:8" x14ac:dyDescent="0.25">
      <c r="A42" s="867" t="s">
        <v>1650</v>
      </c>
      <c r="B42" s="865">
        <v>1704569.3799999901</v>
      </c>
      <c r="D42" s="865">
        <f t="shared" si="4"/>
        <v>1704569.3799999901</v>
      </c>
      <c r="H42" s="865">
        <f t="shared" si="5"/>
        <v>1704569.3799999901</v>
      </c>
    </row>
    <row r="43" spans="1:8" x14ac:dyDescent="0.25">
      <c r="A43" s="867" t="s">
        <v>1651</v>
      </c>
      <c r="B43" s="865">
        <v>3973838.99</v>
      </c>
      <c r="D43" s="865">
        <f t="shared" si="4"/>
        <v>3973838.99</v>
      </c>
      <c r="H43" s="865">
        <f t="shared" si="5"/>
        <v>3973838.99</v>
      </c>
    </row>
    <row r="44" spans="1:8" x14ac:dyDescent="0.25">
      <c r="A44" s="867" t="s">
        <v>1652</v>
      </c>
      <c r="B44" s="865">
        <v>3683221.39</v>
      </c>
      <c r="D44" s="865">
        <f t="shared" si="4"/>
        <v>3683221.39</v>
      </c>
      <c r="H44" s="865">
        <f t="shared" si="5"/>
        <v>3683221.39</v>
      </c>
    </row>
    <row r="45" spans="1:8" x14ac:dyDescent="0.25">
      <c r="A45" s="867" t="s">
        <v>1653</v>
      </c>
      <c r="B45" s="865">
        <v>3978019.77</v>
      </c>
      <c r="D45" s="865">
        <f t="shared" si="4"/>
        <v>3978019.77</v>
      </c>
      <c r="H45" s="865">
        <f t="shared" si="5"/>
        <v>3978019.77</v>
      </c>
    </row>
    <row r="46" spans="1:8" x14ac:dyDescent="0.25">
      <c r="A46" s="867" t="s">
        <v>1654</v>
      </c>
      <c r="B46" s="868">
        <v>970580.63</v>
      </c>
      <c r="C46" s="868"/>
      <c r="D46" s="868">
        <f t="shared" si="4"/>
        <v>970580.63</v>
      </c>
      <c r="E46" s="868"/>
      <c r="F46" s="868"/>
      <c r="G46" s="868"/>
      <c r="H46" s="868">
        <f t="shared" si="5"/>
        <v>970580.63</v>
      </c>
    </row>
    <row r="47" spans="1:8" x14ac:dyDescent="0.25">
      <c r="A47" s="866" t="s">
        <v>1655</v>
      </c>
      <c r="B47" s="865">
        <f t="shared" ref="B47:H47" si="6">SUM(B34:B46)</f>
        <v>54620343.097499907</v>
      </c>
      <c r="C47" s="865">
        <f t="shared" si="6"/>
        <v>0</v>
      </c>
      <c r="D47" s="865">
        <f t="shared" si="6"/>
        <v>54620343.097499907</v>
      </c>
      <c r="E47" s="865">
        <f t="shared" si="6"/>
        <v>0</v>
      </c>
      <c r="F47" s="865">
        <f t="shared" si="6"/>
        <v>0</v>
      </c>
      <c r="G47" s="865">
        <f t="shared" si="6"/>
        <v>0</v>
      </c>
      <c r="H47" s="865">
        <f t="shared" si="6"/>
        <v>54620343.097499907</v>
      </c>
    </row>
    <row r="48" spans="1:8" x14ac:dyDescent="0.25">
      <c r="A48" s="866" t="s">
        <v>1617</v>
      </c>
    </row>
    <row r="49" spans="1:11" x14ac:dyDescent="0.25">
      <c r="A49" s="866" t="s">
        <v>1656</v>
      </c>
    </row>
    <row r="50" spans="1:11" x14ac:dyDescent="0.25">
      <c r="A50" s="867" t="s">
        <v>1657</v>
      </c>
      <c r="B50" s="865">
        <v>10899035.795892</v>
      </c>
      <c r="D50" s="865">
        <f t="shared" ref="D50:D60" si="7">B50+C50</f>
        <v>10899035.795892</v>
      </c>
      <c r="H50" s="865">
        <f>SUM(D50:G50)</f>
        <v>10899035.795892</v>
      </c>
    </row>
    <row r="51" spans="1:11" x14ac:dyDescent="0.25">
      <c r="A51" s="867" t="s">
        <v>1658</v>
      </c>
      <c r="B51" s="865">
        <v>50240750.502681501</v>
      </c>
      <c r="D51" s="865">
        <f t="shared" si="7"/>
        <v>50240750.502681501</v>
      </c>
      <c r="H51" s="865">
        <f t="shared" ref="H51:H59" si="8">SUM(D51:G51)</f>
        <v>50240750.502681501</v>
      </c>
    </row>
    <row r="52" spans="1:11" x14ac:dyDescent="0.25">
      <c r="A52" s="867" t="s">
        <v>1659</v>
      </c>
      <c r="B52" s="865">
        <v>30970347.4172672</v>
      </c>
      <c r="D52" s="865">
        <f t="shared" si="7"/>
        <v>30970347.4172672</v>
      </c>
      <c r="H52" s="865">
        <f t="shared" si="8"/>
        <v>30970347.4172672</v>
      </c>
    </row>
    <row r="53" spans="1:11" x14ac:dyDescent="0.25">
      <c r="A53" s="867" t="s">
        <v>1660</v>
      </c>
      <c r="B53" s="865">
        <v>8023290.0318351202</v>
      </c>
      <c r="D53" s="865">
        <f t="shared" si="7"/>
        <v>8023290.0318351202</v>
      </c>
      <c r="H53" s="865">
        <f t="shared" si="8"/>
        <v>8023290.0318351202</v>
      </c>
    </row>
    <row r="54" spans="1:11" x14ac:dyDescent="0.25">
      <c r="A54" s="867" t="s">
        <v>1661</v>
      </c>
      <c r="B54" s="865">
        <v>75451.475548083297</v>
      </c>
      <c r="D54" s="865">
        <f t="shared" si="7"/>
        <v>75451.475548083297</v>
      </c>
      <c r="H54" s="865">
        <f t="shared" si="8"/>
        <v>75451.475548083297</v>
      </c>
    </row>
    <row r="55" spans="1:11" x14ac:dyDescent="0.25">
      <c r="A55" s="867" t="s">
        <v>1662</v>
      </c>
      <c r="B55" s="865">
        <v>9550743.2801178303</v>
      </c>
      <c r="D55" s="865">
        <f t="shared" si="7"/>
        <v>9550743.2801178303</v>
      </c>
      <c r="H55" s="865">
        <f t="shared" si="8"/>
        <v>9550743.2801178303</v>
      </c>
    </row>
    <row r="56" spans="1:11" x14ac:dyDescent="0.25">
      <c r="A56" s="867" t="s">
        <v>1663</v>
      </c>
      <c r="B56" s="865">
        <v>2522746.6887500002</v>
      </c>
      <c r="D56" s="865">
        <f t="shared" si="7"/>
        <v>2522746.6887500002</v>
      </c>
      <c r="H56" s="865">
        <f t="shared" si="8"/>
        <v>2522746.6887500002</v>
      </c>
    </row>
    <row r="57" spans="1:11" x14ac:dyDescent="0.25">
      <c r="A57" s="867" t="s">
        <v>1664</v>
      </c>
      <c r="B57" s="865">
        <v>614888.63503266603</v>
      </c>
      <c r="D57" s="865">
        <f t="shared" si="7"/>
        <v>614888.63503266603</v>
      </c>
      <c r="H57" s="865">
        <f t="shared" si="8"/>
        <v>614888.63503266603</v>
      </c>
    </row>
    <row r="58" spans="1:11" x14ac:dyDescent="0.25">
      <c r="A58" s="867" t="s">
        <v>1665</v>
      </c>
      <c r="B58" s="865">
        <v>16431223.1679243</v>
      </c>
      <c r="D58" s="865">
        <f t="shared" si="7"/>
        <v>16431223.1679243</v>
      </c>
      <c r="H58" s="865">
        <f t="shared" si="8"/>
        <v>16431223.1679243</v>
      </c>
    </row>
    <row r="59" spans="1:11" x14ac:dyDescent="0.25">
      <c r="A59" s="867" t="s">
        <v>1666</v>
      </c>
      <c r="B59" s="865">
        <v>345284.51338020799</v>
      </c>
      <c r="D59" s="865">
        <f t="shared" si="7"/>
        <v>345284.51338020799</v>
      </c>
      <c r="H59" s="865">
        <f t="shared" si="8"/>
        <v>345284.51338020799</v>
      </c>
    </row>
    <row r="60" spans="1:11" x14ac:dyDescent="0.25">
      <c r="A60" s="867" t="s">
        <v>1667</v>
      </c>
      <c r="B60" s="868">
        <v>-643.92367241666705</v>
      </c>
      <c r="C60" s="868"/>
      <c r="D60" s="868">
        <f t="shared" si="7"/>
        <v>-643.92367241666705</v>
      </c>
      <c r="E60" s="868"/>
      <c r="F60" s="868"/>
      <c r="G60" s="868"/>
      <c r="H60" s="868">
        <f>SUM(D60:G60)</f>
        <v>-643.92367241666705</v>
      </c>
    </row>
    <row r="61" spans="1:11" x14ac:dyDescent="0.25">
      <c r="A61" s="866" t="s">
        <v>1668</v>
      </c>
      <c r="B61" s="865">
        <f t="shared" ref="B61:H61" si="9">SUM(B50:B60)</f>
        <v>129673117.58475649</v>
      </c>
      <c r="C61" s="865">
        <f t="shared" si="9"/>
        <v>0</v>
      </c>
      <c r="D61" s="865">
        <f t="shared" si="9"/>
        <v>129673117.58475649</v>
      </c>
      <c r="E61" s="865">
        <f t="shared" si="9"/>
        <v>0</v>
      </c>
      <c r="F61" s="865">
        <f t="shared" si="9"/>
        <v>0</v>
      </c>
      <c r="G61" s="865">
        <f t="shared" si="9"/>
        <v>0</v>
      </c>
      <c r="H61" s="865">
        <f t="shared" si="9"/>
        <v>129673117.58475649</v>
      </c>
    </row>
    <row r="62" spans="1:11" x14ac:dyDescent="0.25">
      <c r="A62" s="867" t="s">
        <v>1617</v>
      </c>
      <c r="I62" s="869">
        <v>23001013</v>
      </c>
      <c r="J62" s="870" t="s">
        <v>1669</v>
      </c>
      <c r="K62" s="871">
        <v>-27200.860416666663</v>
      </c>
    </row>
    <row r="63" spans="1:11" x14ac:dyDescent="0.25">
      <c r="A63" s="866" t="s">
        <v>1670</v>
      </c>
      <c r="I63" s="869">
        <v>23001092</v>
      </c>
      <c r="J63" s="870" t="s">
        <v>1671</v>
      </c>
      <c r="K63" s="871">
        <v>-668831.53041666665</v>
      </c>
    </row>
    <row r="64" spans="1:11" x14ac:dyDescent="0.25">
      <c r="A64" s="867" t="s">
        <v>1672</v>
      </c>
      <c r="B64" s="865">
        <v>158691.96</v>
      </c>
      <c r="D64" s="865">
        <f>B64+C64</f>
        <v>158691.96</v>
      </c>
      <c r="H64" s="865">
        <f>SUM(D64:G64)</f>
        <v>158691.96</v>
      </c>
      <c r="I64" s="869">
        <v>23002002</v>
      </c>
      <c r="J64" s="870" t="s">
        <v>1673</v>
      </c>
      <c r="K64" s="871">
        <v>0</v>
      </c>
    </row>
    <row r="65" spans="1:11" x14ac:dyDescent="0.25">
      <c r="A65" s="867" t="s">
        <v>1674</v>
      </c>
      <c r="B65" s="865">
        <v>165915.646313</v>
      </c>
      <c r="D65" s="865">
        <f>B65+C65</f>
        <v>165915.646313</v>
      </c>
      <c r="H65" s="865">
        <f>SUM(D65:G65)</f>
        <v>165915.646313</v>
      </c>
      <c r="I65" s="869">
        <v>23002012</v>
      </c>
      <c r="J65" s="870" t="s">
        <v>1675</v>
      </c>
      <c r="K65" s="871">
        <v>-2575852.8870833335</v>
      </c>
    </row>
    <row r="66" spans="1:11" x14ac:dyDescent="0.25">
      <c r="A66" s="867" t="s">
        <v>1676</v>
      </c>
      <c r="B66" s="868">
        <v>69760299.611814395</v>
      </c>
      <c r="C66" s="868"/>
      <c r="D66" s="868">
        <f>B66+C66</f>
        <v>69760299.611814395</v>
      </c>
      <c r="E66" s="868"/>
      <c r="F66" s="868"/>
      <c r="G66" s="868"/>
      <c r="H66" s="868">
        <f>SUM(D66:G66)</f>
        <v>69760299.611814395</v>
      </c>
      <c r="I66" s="869">
        <v>23002022</v>
      </c>
      <c r="J66" s="870" t="s">
        <v>1677</v>
      </c>
      <c r="K66" s="871">
        <v>0</v>
      </c>
    </row>
    <row r="67" spans="1:11" x14ac:dyDescent="0.25">
      <c r="A67" s="866" t="s">
        <v>1678</v>
      </c>
      <c r="B67" s="865">
        <f t="shared" ref="B67:H67" si="10">SUM(B64:B66)</f>
        <v>70084907.2181274</v>
      </c>
      <c r="C67" s="865">
        <f t="shared" si="10"/>
        <v>0</v>
      </c>
      <c r="D67" s="865">
        <f t="shared" si="10"/>
        <v>70084907.2181274</v>
      </c>
      <c r="E67" s="865">
        <f t="shared" si="10"/>
        <v>0</v>
      </c>
      <c r="F67" s="865">
        <f t="shared" si="10"/>
        <v>0</v>
      </c>
      <c r="G67" s="865">
        <f t="shared" si="10"/>
        <v>0</v>
      </c>
      <c r="H67" s="865">
        <f t="shared" si="10"/>
        <v>70084907.2181274</v>
      </c>
      <c r="I67" s="869">
        <v>23002032</v>
      </c>
      <c r="J67" s="870" t="s">
        <v>1679</v>
      </c>
      <c r="K67" s="871">
        <v>823793.87083333323</v>
      </c>
    </row>
    <row r="68" spans="1:11" x14ac:dyDescent="0.25">
      <c r="A68" s="866"/>
      <c r="I68" s="869">
        <v>23002052</v>
      </c>
      <c r="J68" s="870" t="s">
        <v>1680</v>
      </c>
      <c r="K68" s="871">
        <v>-278517.82708333334</v>
      </c>
    </row>
    <row r="69" spans="1:11" x14ac:dyDescent="0.25">
      <c r="A69" s="866" t="s">
        <v>1681</v>
      </c>
      <c r="B69" s="872">
        <f t="shared" ref="B69:H69" si="11">B13+B15+B31+B47+B61+B67</f>
        <v>2794672762.4195461</v>
      </c>
      <c r="C69" s="872">
        <f t="shared" si="11"/>
        <v>0</v>
      </c>
      <c r="D69" s="872">
        <f t="shared" si="11"/>
        <v>2794672762.4195461</v>
      </c>
      <c r="E69" s="872">
        <f t="shared" si="11"/>
        <v>0</v>
      </c>
      <c r="F69" s="872">
        <f t="shared" si="11"/>
        <v>0</v>
      </c>
      <c r="G69" s="872">
        <f t="shared" si="11"/>
        <v>0</v>
      </c>
      <c r="H69" s="872">
        <f t="shared" si="11"/>
        <v>2794672762.4195461</v>
      </c>
      <c r="I69" s="873">
        <v>23002062</v>
      </c>
      <c r="J69" s="874" t="s">
        <v>1682</v>
      </c>
      <c r="K69" s="871">
        <v>819428.02500000002</v>
      </c>
    </row>
    <row r="70" spans="1:11" x14ac:dyDescent="0.25">
      <c r="I70" s="869">
        <v>23002092</v>
      </c>
      <c r="J70" s="870" t="s">
        <v>1683</v>
      </c>
      <c r="K70" s="871">
        <v>-1643221.895833333</v>
      </c>
    </row>
    <row r="71" spans="1:11" x14ac:dyDescent="0.25">
      <c r="A71" s="875" t="s">
        <v>1684</v>
      </c>
      <c r="I71" s="869" t="s">
        <v>1685</v>
      </c>
      <c r="J71" s="870" t="s">
        <v>1686</v>
      </c>
      <c r="K71" s="871">
        <v>-257763.12291666667</v>
      </c>
    </row>
    <row r="72" spans="1:11" x14ac:dyDescent="0.25">
      <c r="A72" s="876" t="s">
        <v>1687</v>
      </c>
      <c r="B72" s="865">
        <v>152613.5399999998</v>
      </c>
      <c r="D72" s="865">
        <f>B72+C72</f>
        <v>152613.5399999998</v>
      </c>
      <c r="H72" s="865">
        <f>SUM(D72:G72)</f>
        <v>152613.5399999998</v>
      </c>
      <c r="I72" s="869">
        <v>25300353</v>
      </c>
      <c r="J72" s="870" t="s">
        <v>1688</v>
      </c>
      <c r="K72" s="871">
        <v>-5717733.5300000003</v>
      </c>
    </row>
    <row r="73" spans="1:11" x14ac:dyDescent="0.25">
      <c r="A73" s="876" t="s">
        <v>1689</v>
      </c>
      <c r="B73" s="865">
        <f>K63+K65+K67+K68+K69+K70</f>
        <v>-3523202.2445833334</v>
      </c>
      <c r="D73" s="865">
        <f>B73+C73</f>
        <v>-3523202.2445833334</v>
      </c>
      <c r="H73" s="865">
        <f>SUM(D73:G73)</f>
        <v>-3523202.2445833334</v>
      </c>
      <c r="I73" s="869">
        <v>25300363</v>
      </c>
      <c r="J73" s="870" t="s">
        <v>1690</v>
      </c>
      <c r="K73" s="871">
        <v>-1729968.24</v>
      </c>
    </row>
    <row r="74" spans="1:11" x14ac:dyDescent="0.25">
      <c r="A74" s="876" t="s">
        <v>1691</v>
      </c>
      <c r="B74" s="865">
        <f>K62*0.3349</f>
        <v>-9109.5681535416643</v>
      </c>
      <c r="D74" s="865">
        <f>B74+C74</f>
        <v>-9109.5681535416643</v>
      </c>
      <c r="H74" s="865">
        <f>SUM(D74:G74)</f>
        <v>-9109.5681535416643</v>
      </c>
      <c r="I74" s="869" t="s">
        <v>1692</v>
      </c>
      <c r="J74" s="870" t="s">
        <v>1693</v>
      </c>
      <c r="K74" s="871">
        <v>-1965617.6000000003</v>
      </c>
    </row>
    <row r="75" spans="1:11" x14ac:dyDescent="0.25">
      <c r="A75" s="876" t="s">
        <v>1694</v>
      </c>
      <c r="B75" s="865">
        <f>+((+K72+K73+K74+K75)*0.3349)</f>
        <v>-3381605.4085360002</v>
      </c>
      <c r="D75" s="865">
        <f>B75+C75</f>
        <v>-3381605.4085360002</v>
      </c>
      <c r="H75" s="865">
        <f>SUM(D75:G75)</f>
        <v>-3381605.4085360002</v>
      </c>
      <c r="I75" s="869">
        <v>25301203</v>
      </c>
      <c r="J75" s="870" t="s">
        <v>1695</v>
      </c>
      <c r="K75" s="871">
        <v>-684039.27</v>
      </c>
    </row>
    <row r="76" spans="1:11" x14ac:dyDescent="0.25">
      <c r="A76" s="877" t="s">
        <v>1696</v>
      </c>
      <c r="B76" s="878">
        <f t="shared" ref="B76:H76" si="12">SUM(B72:B75)</f>
        <v>-6761303.6812728755</v>
      </c>
      <c r="C76" s="878">
        <f t="shared" si="12"/>
        <v>0</v>
      </c>
      <c r="D76" s="878">
        <f t="shared" si="12"/>
        <v>-6761303.6812728755</v>
      </c>
      <c r="E76" s="878">
        <f t="shared" si="12"/>
        <v>0</v>
      </c>
      <c r="F76" s="878">
        <f t="shared" si="12"/>
        <v>0</v>
      </c>
      <c r="G76" s="878">
        <f t="shared" si="12"/>
        <v>0</v>
      </c>
      <c r="H76" s="878">
        <f t="shared" si="12"/>
        <v>-6761303.6812728755</v>
      </c>
    </row>
    <row r="77" spans="1:11" x14ac:dyDescent="0.25">
      <c r="A77" s="876"/>
      <c r="B77" s="878"/>
      <c r="C77" s="878"/>
      <c r="D77" s="878"/>
      <c r="E77" s="878"/>
      <c r="F77" s="878"/>
      <c r="G77" s="878"/>
      <c r="H77" s="878"/>
    </row>
    <row r="78" spans="1:11" x14ac:dyDescent="0.25">
      <c r="A78" s="877" t="s">
        <v>1697</v>
      </c>
      <c r="B78" s="868">
        <f t="shared" ref="B78:H78" si="13">B69+B76</f>
        <v>2787911458.7382731</v>
      </c>
      <c r="C78" s="868">
        <f t="shared" si="13"/>
        <v>0</v>
      </c>
      <c r="D78" s="868">
        <f t="shared" si="13"/>
        <v>2787911458.7382731</v>
      </c>
      <c r="E78" s="868">
        <f t="shared" si="13"/>
        <v>0</v>
      </c>
      <c r="F78" s="868">
        <f t="shared" si="13"/>
        <v>0</v>
      </c>
      <c r="G78" s="868">
        <f t="shared" si="13"/>
        <v>0</v>
      </c>
      <c r="H78" s="868">
        <f t="shared" si="13"/>
        <v>2787911458.7382731</v>
      </c>
    </row>
    <row r="80" spans="1:11" x14ac:dyDescent="0.25">
      <c r="A80" s="866" t="s">
        <v>1698</v>
      </c>
    </row>
    <row r="81" spans="1:13" x14ac:dyDescent="0.25">
      <c r="A81" s="866" t="s">
        <v>1619</v>
      </c>
    </row>
    <row r="82" spans="1:13" x14ac:dyDescent="0.25">
      <c r="A82" s="867" t="s">
        <v>1621</v>
      </c>
      <c r="B82" s="865">
        <v>-472906.27</v>
      </c>
      <c r="D82" s="865">
        <f>B82+C82</f>
        <v>-472906.27</v>
      </c>
      <c r="H82" s="865">
        <f>SUM(D82:G82)</f>
        <v>-472906.27</v>
      </c>
    </row>
    <row r="83" spans="1:13" x14ac:dyDescent="0.25">
      <c r="A83" s="867" t="s">
        <v>1622</v>
      </c>
      <c r="B83" s="865">
        <v>-5420027.2999999998</v>
      </c>
      <c r="D83" s="865">
        <f>B83+C83</f>
        <v>-5420027.2999999998</v>
      </c>
      <c r="H83" s="865">
        <f>SUM(D83:G83)</f>
        <v>-5420027.2999999998</v>
      </c>
    </row>
    <row r="84" spans="1:13" x14ac:dyDescent="0.25">
      <c r="A84" s="867" t="s">
        <v>1623</v>
      </c>
      <c r="B84" s="868">
        <v>-755.50999999999897</v>
      </c>
      <c r="C84" s="868"/>
      <c r="D84" s="868">
        <f>B84+C84</f>
        <v>-755.50999999999897</v>
      </c>
      <c r="E84" s="868"/>
      <c r="F84" s="868"/>
      <c r="G84" s="868"/>
      <c r="H84" s="868">
        <f>SUM(D84:G84)</f>
        <v>-755.50999999999897</v>
      </c>
    </row>
    <row r="85" spans="1:13" x14ac:dyDescent="0.25">
      <c r="A85" s="866" t="s">
        <v>1624</v>
      </c>
      <c r="B85" s="865">
        <f>SUM(B82:B84)</f>
        <v>-5893689.0800000001</v>
      </c>
      <c r="C85" s="865">
        <f>SUM(C82:C84)</f>
        <v>0</v>
      </c>
      <c r="D85" s="865">
        <f>SUM(D82:D84)</f>
        <v>-5893689.0800000001</v>
      </c>
      <c r="E85" s="865">
        <f t="shared" ref="E85:M85" si="14">SUM(E82:E84)</f>
        <v>0</v>
      </c>
      <c r="F85" s="865">
        <f t="shared" si="14"/>
        <v>0</v>
      </c>
      <c r="G85" s="865">
        <f t="shared" si="14"/>
        <v>0</v>
      </c>
      <c r="H85" s="865">
        <f t="shared" si="14"/>
        <v>-5893689.0800000001</v>
      </c>
      <c r="I85" s="865">
        <f t="shared" si="14"/>
        <v>0</v>
      </c>
      <c r="J85" s="865">
        <f t="shared" si="14"/>
        <v>0</v>
      </c>
      <c r="K85" s="865">
        <f t="shared" si="14"/>
        <v>0</v>
      </c>
      <c r="L85" s="865">
        <f t="shared" si="14"/>
        <v>0</v>
      </c>
      <c r="M85" s="865">
        <f t="shared" si="14"/>
        <v>0</v>
      </c>
    </row>
    <row r="86" spans="1:13" x14ac:dyDescent="0.25">
      <c r="A86" s="866" t="s">
        <v>1617</v>
      </c>
    </row>
    <row r="87" spans="1:13" x14ac:dyDescent="0.25">
      <c r="A87" s="866" t="s">
        <v>1625</v>
      </c>
    </row>
    <row r="88" spans="1:13" x14ac:dyDescent="0.25">
      <c r="A88" s="866" t="s">
        <v>1617</v>
      </c>
    </row>
    <row r="89" spans="1:13" x14ac:dyDescent="0.25">
      <c r="A89" s="866" t="s">
        <v>1626</v>
      </c>
    </row>
    <row r="90" spans="1:13" x14ac:dyDescent="0.25">
      <c r="A90" s="867" t="s">
        <v>1627</v>
      </c>
      <c r="B90" s="865">
        <v>-746929.09333333303</v>
      </c>
      <c r="D90" s="865">
        <f t="shared" ref="D90:D102" si="15">B90+C90</f>
        <v>-746929.09333333303</v>
      </c>
      <c r="H90" s="865">
        <f>SUM(D90:G90)</f>
        <v>-746929.09333333303</v>
      </c>
    </row>
    <row r="91" spans="1:13" x14ac:dyDescent="0.25">
      <c r="A91" s="867" t="s">
        <v>1628</v>
      </c>
      <c r="B91" s="865">
        <v>-3518158.2533333302</v>
      </c>
      <c r="D91" s="865">
        <f t="shared" si="15"/>
        <v>-3518158.2533333302</v>
      </c>
      <c r="H91" s="865">
        <f t="shared" ref="H91:H102" si="16">SUM(D91:G91)</f>
        <v>-3518158.2533333302</v>
      </c>
    </row>
    <row r="92" spans="1:13" x14ac:dyDescent="0.25">
      <c r="A92" s="867" t="s">
        <v>1629</v>
      </c>
      <c r="B92" s="865">
        <v>-389758019.82833302</v>
      </c>
      <c r="D92" s="865">
        <f t="shared" si="15"/>
        <v>-389758019.82833302</v>
      </c>
      <c r="F92" s="865">
        <v>-150266.85842400009</v>
      </c>
      <c r="H92" s="865">
        <f t="shared" si="16"/>
        <v>-389908286.68675703</v>
      </c>
    </row>
    <row r="93" spans="1:13" x14ac:dyDescent="0.25">
      <c r="A93" s="867" t="s">
        <v>1630</v>
      </c>
      <c r="B93" s="865">
        <v>-16662551.587083301</v>
      </c>
      <c r="D93" s="865">
        <f t="shared" si="15"/>
        <v>-16662551.587083301</v>
      </c>
      <c r="H93" s="865">
        <f t="shared" si="16"/>
        <v>-16662551.587083301</v>
      </c>
    </row>
    <row r="94" spans="1:13" x14ac:dyDescent="0.25">
      <c r="A94" s="867" t="s">
        <v>1631</v>
      </c>
      <c r="B94" s="865">
        <v>-301553024.319166</v>
      </c>
      <c r="D94" s="865">
        <f t="shared" si="15"/>
        <v>-301553024.319166</v>
      </c>
      <c r="H94" s="865">
        <f t="shared" si="16"/>
        <v>-301553024.319166</v>
      </c>
    </row>
    <row r="95" spans="1:13" x14ac:dyDescent="0.25">
      <c r="A95" s="867" t="s">
        <v>1632</v>
      </c>
      <c r="B95" s="865">
        <v>-18248898.44875</v>
      </c>
      <c r="D95" s="865">
        <f t="shared" si="15"/>
        <v>-18248898.44875</v>
      </c>
      <c r="H95" s="865">
        <f t="shared" si="16"/>
        <v>-18248898.44875</v>
      </c>
    </row>
    <row r="96" spans="1:13" x14ac:dyDescent="0.25">
      <c r="A96" s="867" t="s">
        <v>1633</v>
      </c>
      <c r="B96" s="865">
        <v>-27504494.223749898</v>
      </c>
      <c r="D96" s="865">
        <f t="shared" si="15"/>
        <v>-27504494.223749898</v>
      </c>
      <c r="H96" s="865">
        <f t="shared" si="16"/>
        <v>-27504494.223749898</v>
      </c>
    </row>
    <row r="97" spans="1:13" x14ac:dyDescent="0.25">
      <c r="A97" s="867" t="s">
        <v>1634</v>
      </c>
      <c r="B97" s="865">
        <v>-5791717.5891666599</v>
      </c>
      <c r="D97" s="865">
        <f t="shared" si="15"/>
        <v>-5791717.5891666599</v>
      </c>
      <c r="H97" s="865">
        <f t="shared" si="16"/>
        <v>-5791717.5891666599</v>
      </c>
    </row>
    <row r="98" spans="1:13" x14ac:dyDescent="0.25">
      <c r="A98" s="867" t="s">
        <v>1635</v>
      </c>
      <c r="B98" s="865">
        <v>-13815099.23625</v>
      </c>
      <c r="D98" s="865">
        <f t="shared" si="15"/>
        <v>-13815099.23625</v>
      </c>
      <c r="H98" s="865">
        <f t="shared" si="16"/>
        <v>-13815099.23625</v>
      </c>
    </row>
    <row r="99" spans="1:13" x14ac:dyDescent="0.25">
      <c r="A99" s="867" t="s">
        <v>1636</v>
      </c>
      <c r="B99" s="865">
        <v>-9630089.4116666596</v>
      </c>
      <c r="D99" s="865">
        <f t="shared" si="15"/>
        <v>-9630089.4116666596</v>
      </c>
      <c r="H99" s="865">
        <f t="shared" si="16"/>
        <v>-9630089.4116666596</v>
      </c>
    </row>
    <row r="100" spans="1:13" x14ac:dyDescent="0.25">
      <c r="A100" s="867" t="s">
        <v>1637</v>
      </c>
      <c r="B100" s="865">
        <v>-29356232.5620833</v>
      </c>
      <c r="D100" s="865">
        <f t="shared" si="15"/>
        <v>-29356232.5620833</v>
      </c>
      <c r="E100" s="865">
        <v>-2431349.2040442782</v>
      </c>
      <c r="H100" s="865">
        <f t="shared" si="16"/>
        <v>-31787581.766127579</v>
      </c>
    </row>
    <row r="101" spans="1:13" x14ac:dyDescent="0.25">
      <c r="A101" s="867" t="s">
        <v>1638</v>
      </c>
      <c r="B101" s="865">
        <v>-728720.41333333298</v>
      </c>
      <c r="D101" s="865">
        <f t="shared" si="15"/>
        <v>-728720.41333333298</v>
      </c>
      <c r="H101" s="865">
        <f t="shared" si="16"/>
        <v>-728720.41333333298</v>
      </c>
    </row>
    <row r="102" spans="1:13" x14ac:dyDescent="0.25">
      <c r="A102" s="867" t="s">
        <v>1639</v>
      </c>
      <c r="B102" s="868">
        <v>-6444984</v>
      </c>
      <c r="C102" s="868">
        <f>-486-37499</f>
        <v>-37985</v>
      </c>
      <c r="D102" s="868">
        <f t="shared" si="15"/>
        <v>-6482969</v>
      </c>
      <c r="E102" s="868"/>
      <c r="F102" s="868"/>
      <c r="G102" s="868"/>
      <c r="H102" s="868">
        <f t="shared" si="16"/>
        <v>-6482969</v>
      </c>
    </row>
    <row r="103" spans="1:13" x14ac:dyDescent="0.25">
      <c r="A103" s="866" t="s">
        <v>1640</v>
      </c>
      <c r="B103" s="865">
        <f>SUM(B90:B102)</f>
        <v>-823758918.96624875</v>
      </c>
      <c r="C103" s="865">
        <f>SUM(C90:C102)</f>
        <v>-37985</v>
      </c>
      <c r="D103" s="865">
        <f>SUM(D90:D102)</f>
        <v>-823796903.96624875</v>
      </c>
      <c r="E103" s="865">
        <f t="shared" ref="E103:M103" si="17">SUM(E90:E102)</f>
        <v>-2431349.2040442782</v>
      </c>
      <c r="F103" s="865">
        <f t="shared" si="17"/>
        <v>-150266.85842400009</v>
      </c>
      <c r="G103" s="865">
        <f t="shared" si="17"/>
        <v>0</v>
      </c>
      <c r="H103" s="865">
        <f t="shared" si="17"/>
        <v>-826378520.02871704</v>
      </c>
      <c r="I103" s="865">
        <f t="shared" si="17"/>
        <v>0</v>
      </c>
      <c r="J103" s="865">
        <f t="shared" si="17"/>
        <v>0</v>
      </c>
      <c r="K103" s="865">
        <f t="shared" si="17"/>
        <v>0</v>
      </c>
      <c r="L103" s="865">
        <f t="shared" si="17"/>
        <v>0</v>
      </c>
      <c r="M103" s="865">
        <f t="shared" si="17"/>
        <v>0</v>
      </c>
    </row>
    <row r="104" spans="1:13" x14ac:dyDescent="0.25">
      <c r="A104" s="866" t="s">
        <v>1617</v>
      </c>
    </row>
    <row r="105" spans="1:13" x14ac:dyDescent="0.25">
      <c r="A105" s="866" t="s">
        <v>1641</v>
      </c>
    </row>
    <row r="106" spans="1:13" x14ac:dyDescent="0.25">
      <c r="A106" s="867" t="s">
        <v>1643</v>
      </c>
      <c r="B106" s="865">
        <v>-406468.97249999997</v>
      </c>
      <c r="D106" s="865">
        <f t="shared" ref="D106:D116" si="18">B106+C106</f>
        <v>-406468.97249999997</v>
      </c>
      <c r="H106" s="865">
        <f>SUM(D106:G106)</f>
        <v>-406468.97249999997</v>
      </c>
    </row>
    <row r="107" spans="1:13" x14ac:dyDescent="0.25">
      <c r="A107" s="867" t="s">
        <v>1644</v>
      </c>
      <c r="B107" s="865">
        <v>-8782118.4874999896</v>
      </c>
      <c r="D107" s="865">
        <f t="shared" si="18"/>
        <v>-8782118.4874999896</v>
      </c>
      <c r="H107" s="865">
        <f t="shared" ref="H107:H116" si="19">SUM(D107:G107)</f>
        <v>-8782118.4874999896</v>
      </c>
    </row>
    <row r="108" spans="1:13" x14ac:dyDescent="0.25">
      <c r="A108" s="867" t="s">
        <v>1645</v>
      </c>
      <c r="B108" s="865">
        <v>-1296767.6920833299</v>
      </c>
      <c r="D108" s="865">
        <f t="shared" si="18"/>
        <v>-1296767.6920833299</v>
      </c>
      <c r="H108" s="865">
        <f t="shared" si="19"/>
        <v>-1296767.6920833299</v>
      </c>
    </row>
    <row r="109" spans="1:13" x14ac:dyDescent="0.25">
      <c r="A109" s="867" t="s">
        <v>1646</v>
      </c>
      <c r="B109" s="865">
        <v>-4330898.6520833299</v>
      </c>
      <c r="D109" s="865">
        <f t="shared" si="18"/>
        <v>-4330898.6520833299</v>
      </c>
      <c r="H109" s="865">
        <f t="shared" si="19"/>
        <v>-4330898.6520833299</v>
      </c>
    </row>
    <row r="110" spans="1:13" x14ac:dyDescent="0.25">
      <c r="A110" s="867" t="s">
        <v>1647</v>
      </c>
      <c r="B110" s="865">
        <v>258400.03</v>
      </c>
      <c r="D110" s="865">
        <f t="shared" si="18"/>
        <v>258400.03</v>
      </c>
      <c r="H110" s="865">
        <f t="shared" si="19"/>
        <v>258400.03</v>
      </c>
    </row>
    <row r="111" spans="1:13" x14ac:dyDescent="0.25">
      <c r="A111" s="867" t="s">
        <v>1648</v>
      </c>
      <c r="B111" s="865">
        <v>-747584.93291666603</v>
      </c>
      <c r="D111" s="865">
        <f t="shared" si="18"/>
        <v>-747584.93291666603</v>
      </c>
      <c r="H111" s="865">
        <f t="shared" si="19"/>
        <v>-747584.93291666603</v>
      </c>
    </row>
    <row r="112" spans="1:13" x14ac:dyDescent="0.25">
      <c r="A112" s="867" t="s">
        <v>1649</v>
      </c>
      <c r="B112" s="865">
        <v>-84655.9399999999</v>
      </c>
      <c r="D112" s="865">
        <f t="shared" si="18"/>
        <v>-84655.9399999999</v>
      </c>
      <c r="H112" s="865">
        <f t="shared" si="19"/>
        <v>-84655.9399999999</v>
      </c>
    </row>
    <row r="113" spans="1:8" x14ac:dyDescent="0.25">
      <c r="A113" s="867" t="s">
        <v>1651</v>
      </c>
      <c r="B113" s="865">
        <v>-715927.44999999902</v>
      </c>
      <c r="D113" s="865">
        <f t="shared" si="18"/>
        <v>-715927.44999999902</v>
      </c>
      <c r="H113" s="865">
        <f t="shared" si="19"/>
        <v>-715927.44999999902</v>
      </c>
    </row>
    <row r="114" spans="1:8" x14ac:dyDescent="0.25">
      <c r="A114" s="867" t="s">
        <v>1652</v>
      </c>
      <c r="B114" s="865">
        <v>-479947.69</v>
      </c>
      <c r="D114" s="865">
        <f t="shared" si="18"/>
        <v>-479947.69</v>
      </c>
      <c r="H114" s="865">
        <f t="shared" si="19"/>
        <v>-479947.69</v>
      </c>
    </row>
    <row r="115" spans="1:8" x14ac:dyDescent="0.25">
      <c r="A115" s="867" t="s">
        <v>1653</v>
      </c>
      <c r="B115" s="865">
        <v>-948121.83999999904</v>
      </c>
      <c r="D115" s="865">
        <f t="shared" si="18"/>
        <v>-948121.83999999904</v>
      </c>
      <c r="H115" s="865">
        <f t="shared" si="19"/>
        <v>-948121.83999999904</v>
      </c>
    </row>
    <row r="116" spans="1:8" x14ac:dyDescent="0.25">
      <c r="A116" s="867" t="s">
        <v>1654</v>
      </c>
      <c r="B116" s="868">
        <v>-389208.81125000003</v>
      </c>
      <c r="C116" s="868"/>
      <c r="D116" s="868">
        <f t="shared" si="18"/>
        <v>-389208.81125000003</v>
      </c>
      <c r="E116" s="868"/>
      <c r="F116" s="868"/>
      <c r="G116" s="868"/>
      <c r="H116" s="868">
        <f t="shared" si="19"/>
        <v>-389208.81125000003</v>
      </c>
    </row>
    <row r="117" spans="1:8" x14ac:dyDescent="0.25">
      <c r="A117" s="866" t="s">
        <v>1655</v>
      </c>
      <c r="B117" s="865">
        <f t="shared" ref="B117:H117" si="20">SUM(B106:B116)</f>
        <v>-17923300.438333314</v>
      </c>
      <c r="C117" s="865">
        <f t="shared" si="20"/>
        <v>0</v>
      </c>
      <c r="D117" s="865">
        <f t="shared" si="20"/>
        <v>-17923300.438333314</v>
      </c>
      <c r="E117" s="865">
        <f t="shared" si="20"/>
        <v>0</v>
      </c>
      <c r="F117" s="865">
        <f t="shared" si="20"/>
        <v>0</v>
      </c>
      <c r="G117" s="865">
        <f t="shared" si="20"/>
        <v>0</v>
      </c>
      <c r="H117" s="865">
        <f t="shared" si="20"/>
        <v>-17923300.438333314</v>
      </c>
    </row>
    <row r="118" spans="1:8" x14ac:dyDescent="0.25">
      <c r="A118" s="866" t="s">
        <v>1617</v>
      </c>
    </row>
    <row r="119" spans="1:8" x14ac:dyDescent="0.25">
      <c r="A119" s="866" t="s">
        <v>1656</v>
      </c>
    </row>
    <row r="120" spans="1:8" x14ac:dyDescent="0.25">
      <c r="A120" s="867" t="s">
        <v>1657</v>
      </c>
      <c r="B120" s="865">
        <v>-117.997968291666</v>
      </c>
      <c r="D120" s="865">
        <f t="shared" ref="D120:D130" si="21">B120+C120</f>
        <v>-117.997968291666</v>
      </c>
      <c r="H120" s="865">
        <f>SUM(D120:G120)</f>
        <v>-117.997968291666</v>
      </c>
    </row>
    <row r="121" spans="1:8" x14ac:dyDescent="0.25">
      <c r="A121" s="867" t="s">
        <v>1658</v>
      </c>
      <c r="B121" s="865">
        <f>-14275039.87199</f>
        <v>-14275039.871990001</v>
      </c>
      <c r="C121" s="865">
        <f>+(20401*0.3349)</f>
        <v>6832.2948999999999</v>
      </c>
      <c r="D121" s="865">
        <f t="shared" si="21"/>
        <v>-14268207.577090001</v>
      </c>
      <c r="H121" s="865">
        <f t="shared" ref="H121:H130" si="22">SUM(D121:G121)</f>
        <v>-14268207.577090001</v>
      </c>
    </row>
    <row r="122" spans="1:8" x14ac:dyDescent="0.25">
      <c r="A122" s="867" t="s">
        <v>1659</v>
      </c>
      <c r="B122" s="865">
        <f>-4170591.09826408</f>
        <v>-4170591.09826408</v>
      </c>
      <c r="C122" s="865">
        <f xml:space="preserve"> -(11101*0.3349)</f>
        <v>-3717.7248999999997</v>
      </c>
      <c r="D122" s="865">
        <f t="shared" si="21"/>
        <v>-4174308.8231640798</v>
      </c>
      <c r="G122" s="865">
        <f>-173949*0.93</f>
        <v>-161772.57</v>
      </c>
      <c r="H122" s="865">
        <f t="shared" si="22"/>
        <v>-4336081.3931640796</v>
      </c>
    </row>
    <row r="123" spans="1:8" x14ac:dyDescent="0.25">
      <c r="A123" s="867" t="s">
        <v>1660</v>
      </c>
      <c r="B123" s="865">
        <v>-1026029.78695916</v>
      </c>
      <c r="D123" s="865">
        <f t="shared" si="21"/>
        <v>-1026029.78695916</v>
      </c>
      <c r="H123" s="865">
        <f t="shared" si="22"/>
        <v>-1026029.78695916</v>
      </c>
    </row>
    <row r="124" spans="1:8" x14ac:dyDescent="0.25">
      <c r="A124" s="867" t="s">
        <v>1661</v>
      </c>
      <c r="B124" s="865">
        <v>-16973.5945832916</v>
      </c>
      <c r="D124" s="865">
        <f t="shared" si="21"/>
        <v>-16973.5945832916</v>
      </c>
      <c r="H124" s="865">
        <f t="shared" si="22"/>
        <v>-16973.5945832916</v>
      </c>
    </row>
    <row r="125" spans="1:8" x14ac:dyDescent="0.25">
      <c r="A125" s="867" t="s">
        <v>1662</v>
      </c>
      <c r="B125" s="865">
        <v>-3913075.3817031202</v>
      </c>
      <c r="D125" s="865">
        <f t="shared" si="21"/>
        <v>-3913075.3817031202</v>
      </c>
      <c r="H125" s="865">
        <f t="shared" si="22"/>
        <v>-3913075.3817031202</v>
      </c>
    </row>
    <row r="126" spans="1:8" x14ac:dyDescent="0.25">
      <c r="A126" s="867" t="s">
        <v>1663</v>
      </c>
      <c r="B126" s="865">
        <v>-337882.58583333303</v>
      </c>
      <c r="D126" s="865">
        <f t="shared" si="21"/>
        <v>-337882.58583333303</v>
      </c>
      <c r="H126" s="865">
        <f t="shared" si="22"/>
        <v>-337882.58583333303</v>
      </c>
    </row>
    <row r="127" spans="1:8" x14ac:dyDescent="0.25">
      <c r="A127" s="867" t="s">
        <v>1664</v>
      </c>
      <c r="B127" s="865">
        <v>-420993.43580270797</v>
      </c>
      <c r="D127" s="865">
        <f t="shared" si="21"/>
        <v>-420993.43580270797</v>
      </c>
      <c r="H127" s="865">
        <f t="shared" si="22"/>
        <v>-420993.43580270797</v>
      </c>
    </row>
    <row r="128" spans="1:8" x14ac:dyDescent="0.25">
      <c r="A128" s="867" t="s">
        <v>1665</v>
      </c>
      <c r="B128" s="865">
        <v>-3036820.0306387502</v>
      </c>
      <c r="D128" s="865">
        <f t="shared" si="21"/>
        <v>-3036820.0306387502</v>
      </c>
      <c r="G128" s="865">
        <f>-173949*0.07</f>
        <v>-12176.43</v>
      </c>
      <c r="H128" s="865">
        <f t="shared" si="22"/>
        <v>-3048996.4606387503</v>
      </c>
    </row>
    <row r="129" spans="1:17" x14ac:dyDescent="0.25">
      <c r="A129" s="867" t="s">
        <v>1666</v>
      </c>
      <c r="B129" s="865">
        <v>-33556.566630374997</v>
      </c>
      <c r="D129" s="865">
        <f t="shared" si="21"/>
        <v>-33556.566630374997</v>
      </c>
      <c r="H129" s="865">
        <f t="shared" si="22"/>
        <v>-33556.566630374997</v>
      </c>
    </row>
    <row r="130" spans="1:17" x14ac:dyDescent="0.25">
      <c r="A130" s="867" t="s">
        <v>1667</v>
      </c>
      <c r="B130" s="868">
        <v>-3991.1447952499998</v>
      </c>
      <c r="C130" s="868"/>
      <c r="D130" s="868">
        <f t="shared" si="21"/>
        <v>-3991.1447952499998</v>
      </c>
      <c r="E130" s="868"/>
      <c r="F130" s="868"/>
      <c r="G130" s="868"/>
      <c r="H130" s="868">
        <f t="shared" si="22"/>
        <v>-3991.1447952499998</v>
      </c>
    </row>
    <row r="131" spans="1:17" x14ac:dyDescent="0.25">
      <c r="A131" s="866" t="s">
        <v>1668</v>
      </c>
      <c r="B131" s="865">
        <f t="shared" ref="B131:H131" si="23">SUM(B120:B130)</f>
        <v>-27235071.495168362</v>
      </c>
      <c r="C131" s="865">
        <f t="shared" si="23"/>
        <v>3114.57</v>
      </c>
      <c r="D131" s="865">
        <f t="shared" si="23"/>
        <v>-27231956.925168362</v>
      </c>
      <c r="E131" s="865">
        <f t="shared" si="23"/>
        <v>0</v>
      </c>
      <c r="F131" s="865">
        <f t="shared" si="23"/>
        <v>0</v>
      </c>
      <c r="G131" s="865">
        <f t="shared" si="23"/>
        <v>-173949</v>
      </c>
      <c r="H131" s="865">
        <f t="shared" si="23"/>
        <v>-27405905.925168362</v>
      </c>
    </row>
    <row r="132" spans="1:17" x14ac:dyDescent="0.25">
      <c r="A132" s="867" t="s">
        <v>1617</v>
      </c>
    </row>
    <row r="133" spans="1:17" x14ac:dyDescent="0.25">
      <c r="A133" s="866" t="s">
        <v>1670</v>
      </c>
    </row>
    <row r="134" spans="1:17" x14ac:dyDescent="0.25">
      <c r="A134" s="867" t="s">
        <v>1674</v>
      </c>
      <c r="B134" s="865">
        <v>-42906.560120125003</v>
      </c>
      <c r="D134" s="865">
        <f>B134+C134</f>
        <v>-42906.560120125003</v>
      </c>
      <c r="H134" s="865">
        <f>SUM(D134:G134)</f>
        <v>-42906.560120125003</v>
      </c>
    </row>
    <row r="135" spans="1:17" x14ac:dyDescent="0.25">
      <c r="A135" s="867" t="s">
        <v>1676</v>
      </c>
      <c r="B135" s="868">
        <v>-50037361.091649897</v>
      </c>
      <c r="C135" s="868"/>
      <c r="D135" s="868">
        <f>B135+C135</f>
        <v>-50037361.091649897</v>
      </c>
      <c r="E135" s="868"/>
      <c r="F135" s="868"/>
      <c r="G135" s="868"/>
      <c r="H135" s="868">
        <f>SUM(D135:G135)</f>
        <v>-50037361.091649897</v>
      </c>
    </row>
    <row r="136" spans="1:17" x14ac:dyDescent="0.25">
      <c r="A136" s="866" t="s">
        <v>1678</v>
      </c>
      <c r="B136" s="865">
        <f t="shared" ref="B136:H136" si="24">SUM(B134:B135)</f>
        <v>-50080267.651770025</v>
      </c>
      <c r="C136" s="865">
        <f t="shared" si="24"/>
        <v>0</v>
      </c>
      <c r="D136" s="865">
        <f t="shared" si="24"/>
        <v>-50080267.651770025</v>
      </c>
      <c r="E136" s="865">
        <f t="shared" si="24"/>
        <v>0</v>
      </c>
      <c r="F136" s="865">
        <f t="shared" si="24"/>
        <v>0</v>
      </c>
      <c r="G136" s="865">
        <f t="shared" si="24"/>
        <v>0</v>
      </c>
      <c r="H136" s="865">
        <f t="shared" si="24"/>
        <v>-50080267.651770025</v>
      </c>
    </row>
    <row r="137" spans="1:17" x14ac:dyDescent="0.25">
      <c r="A137" s="866"/>
    </row>
    <row r="138" spans="1:17" x14ac:dyDescent="0.25">
      <c r="A138" s="866" t="s">
        <v>1699</v>
      </c>
      <c r="B138" s="872">
        <f t="shared" ref="B138:H138" si="25">B85+B103+B117+B131+B136</f>
        <v>-924891247.63152039</v>
      </c>
      <c r="C138" s="872">
        <f t="shared" si="25"/>
        <v>-34870.43</v>
      </c>
      <c r="D138" s="872">
        <f t="shared" si="25"/>
        <v>-924926118.06152046</v>
      </c>
      <c r="E138" s="872">
        <f t="shared" si="25"/>
        <v>-2431349.2040442782</v>
      </c>
      <c r="F138" s="872">
        <f t="shared" si="25"/>
        <v>-150266.85842400009</v>
      </c>
      <c r="G138" s="872">
        <f t="shared" si="25"/>
        <v>-173949</v>
      </c>
      <c r="H138" s="872">
        <f t="shared" si="25"/>
        <v>-927681683.12398875</v>
      </c>
    </row>
    <row r="140" spans="1:17" x14ac:dyDescent="0.25">
      <c r="A140" s="877" t="s">
        <v>1700</v>
      </c>
      <c r="J140" s="869">
        <v>10800543</v>
      </c>
      <c r="K140" s="879"/>
      <c r="L140" s="870" t="s">
        <v>1701</v>
      </c>
      <c r="M140" s="880"/>
      <c r="Q140" s="871"/>
    </row>
    <row r="141" spans="1:17" x14ac:dyDescent="0.25">
      <c r="A141" s="876" t="s">
        <v>1702</v>
      </c>
      <c r="B141" s="865">
        <v>859531.65875000006</v>
      </c>
      <c r="D141" s="865">
        <f>B141+C141</f>
        <v>859531.65875000006</v>
      </c>
      <c r="H141" s="865">
        <f>SUM(D141:G141)</f>
        <v>859531.65875000006</v>
      </c>
      <c r="J141" s="869">
        <v>10800552</v>
      </c>
      <c r="K141" s="879"/>
      <c r="L141" s="870" t="s">
        <v>1703</v>
      </c>
      <c r="M141" s="880"/>
      <c r="Q141" s="871"/>
    </row>
    <row r="142" spans="1:17" x14ac:dyDescent="0.25">
      <c r="A142" s="876" t="s">
        <v>1704</v>
      </c>
      <c r="B142" s="865">
        <f>85073.3491666667*0.3349</f>
        <v>28491.064635916675</v>
      </c>
      <c r="D142" s="865">
        <f>B142+C142</f>
        <v>28491.064635916675</v>
      </c>
      <c r="H142" s="865">
        <f>SUM(D142:G142)</f>
        <v>28491.064635916675</v>
      </c>
    </row>
    <row r="143" spans="1:17" x14ac:dyDescent="0.25">
      <c r="A143" s="877" t="s">
        <v>1705</v>
      </c>
      <c r="B143" s="872">
        <f t="shared" ref="B143:H143" si="26">B138+B141+B142</f>
        <v>-924003224.90813446</v>
      </c>
      <c r="C143" s="872">
        <f t="shared" si="26"/>
        <v>-34870.43</v>
      </c>
      <c r="D143" s="872">
        <f t="shared" si="26"/>
        <v>-924038095.33813453</v>
      </c>
      <c r="E143" s="872">
        <f t="shared" si="26"/>
        <v>-2431349.2040442782</v>
      </c>
      <c r="F143" s="872">
        <f t="shared" si="26"/>
        <v>-150266.85842400009</v>
      </c>
      <c r="G143" s="872">
        <f t="shared" si="26"/>
        <v>-173949</v>
      </c>
      <c r="H143" s="872">
        <f t="shared" si="26"/>
        <v>-926793660.40060282</v>
      </c>
    </row>
    <row r="145" spans="1:13" x14ac:dyDescent="0.25">
      <c r="A145" s="866" t="s">
        <v>1706</v>
      </c>
      <c r="B145" s="872">
        <f t="shared" ref="B145:H145" si="27">B78+B143</f>
        <v>1863908233.8301387</v>
      </c>
      <c r="C145" s="872">
        <f t="shared" si="27"/>
        <v>-34870.43</v>
      </c>
      <c r="D145" s="872">
        <f t="shared" si="27"/>
        <v>1863873363.4001386</v>
      </c>
      <c r="E145" s="872">
        <f t="shared" si="27"/>
        <v>-2431349.2040442782</v>
      </c>
      <c r="F145" s="872">
        <f t="shared" si="27"/>
        <v>-150266.85842400009</v>
      </c>
      <c r="G145" s="872">
        <f t="shared" si="27"/>
        <v>-173949</v>
      </c>
      <c r="H145" s="872">
        <f t="shared" si="27"/>
        <v>1861117798.3376703</v>
      </c>
    </row>
    <row r="147" spans="1:13" x14ac:dyDescent="0.25">
      <c r="A147" s="877" t="s">
        <v>1707</v>
      </c>
    </row>
    <row r="148" spans="1:13" x14ac:dyDescent="0.25">
      <c r="A148" s="876" t="s">
        <v>1413</v>
      </c>
      <c r="B148" s="865">
        <v>-31761381</v>
      </c>
      <c r="D148" s="865">
        <f>B148+C148</f>
        <v>-31761381</v>
      </c>
      <c r="H148" s="865">
        <f>SUM(D148:G148)</f>
        <v>-31761381</v>
      </c>
    </row>
    <row r="149" spans="1:13" x14ac:dyDescent="0.25">
      <c r="A149" s="876" t="s">
        <v>1708</v>
      </c>
      <c r="B149" s="865">
        <v>5164894</v>
      </c>
      <c r="D149" s="865">
        <f>B149+C149</f>
        <v>5164894</v>
      </c>
      <c r="H149" s="865">
        <f>SUM(D149:G149)</f>
        <v>5164894</v>
      </c>
    </row>
    <row r="150" spans="1:13" x14ac:dyDescent="0.25">
      <c r="A150" s="876" t="s">
        <v>1709</v>
      </c>
      <c r="B150" s="865">
        <v>-254856083.35497576</v>
      </c>
      <c r="D150" s="865">
        <f>B150+C150</f>
        <v>-254856083.35497576</v>
      </c>
      <c r="E150" s="865">
        <v>212502.75437810807</v>
      </c>
      <c r="F150" s="865">
        <v>52593.400448400032</v>
      </c>
      <c r="G150" s="865">
        <v>60882.187183520546</v>
      </c>
      <c r="H150" s="865">
        <f>SUM(D150:G150)</f>
        <v>-254530105.01296571</v>
      </c>
    </row>
    <row r="151" spans="1:13" x14ac:dyDescent="0.25">
      <c r="A151" s="876" t="s">
        <v>1710</v>
      </c>
      <c r="B151" s="881">
        <v>7815443</v>
      </c>
      <c r="C151" s="881"/>
      <c r="D151" s="881">
        <f>B151+C151</f>
        <v>7815443</v>
      </c>
      <c r="E151" s="881"/>
      <c r="F151" s="881"/>
      <c r="G151" s="881"/>
      <c r="H151" s="881">
        <f>SUM(D151:G151)</f>
        <v>7815443</v>
      </c>
    </row>
    <row r="152" spans="1:13" x14ac:dyDescent="0.25">
      <c r="A152" s="876" t="s">
        <v>1711</v>
      </c>
      <c r="B152" s="868">
        <v>-8348081</v>
      </c>
      <c r="C152" s="868"/>
      <c r="D152" s="868">
        <f>B152+C152</f>
        <v>-8348081</v>
      </c>
      <c r="E152" s="868"/>
      <c r="F152" s="868"/>
      <c r="G152" s="868"/>
      <c r="H152" s="868">
        <f>SUM(D152:G152)</f>
        <v>-8348081</v>
      </c>
    </row>
    <row r="153" spans="1:13" x14ac:dyDescent="0.25">
      <c r="A153" s="877" t="s">
        <v>1712</v>
      </c>
      <c r="B153" s="865">
        <f t="shared" ref="B153:H153" si="28">SUM(B148:B152)</f>
        <v>-281985208.35497576</v>
      </c>
      <c r="C153" s="865">
        <f t="shared" si="28"/>
        <v>0</v>
      </c>
      <c r="D153" s="865">
        <f t="shared" si="28"/>
        <v>-281985208.35497576</v>
      </c>
      <c r="E153" s="865">
        <f t="shared" si="28"/>
        <v>212502.75437810807</v>
      </c>
      <c r="F153" s="865">
        <f t="shared" si="28"/>
        <v>52593.400448400032</v>
      </c>
      <c r="G153" s="865">
        <f t="shared" si="28"/>
        <v>60882.187183520546</v>
      </c>
      <c r="H153" s="865">
        <f t="shared" si="28"/>
        <v>-281659230.01296568</v>
      </c>
    </row>
    <row r="154" spans="1:13" x14ac:dyDescent="0.25">
      <c r="A154" s="882"/>
    </row>
    <row r="155" spans="1:13" x14ac:dyDescent="0.25">
      <c r="A155" s="877" t="s">
        <v>1713</v>
      </c>
      <c r="B155" s="872">
        <f t="shared" ref="B155:M155" si="29">B145+B153</f>
        <v>1581923025.475163</v>
      </c>
      <c r="C155" s="872">
        <f t="shared" si="29"/>
        <v>-34870.43</v>
      </c>
      <c r="D155" s="872">
        <f t="shared" si="29"/>
        <v>1581888155.0451629</v>
      </c>
      <c r="E155" s="872">
        <f t="shared" si="29"/>
        <v>-2218846.4496661704</v>
      </c>
      <c r="F155" s="872">
        <f t="shared" si="29"/>
        <v>-97673.45797560006</v>
      </c>
      <c r="G155" s="872">
        <f t="shared" si="29"/>
        <v>-113066.81281647945</v>
      </c>
      <c r="H155" s="872">
        <f t="shared" si="29"/>
        <v>1579458568.3247046</v>
      </c>
      <c r="I155" s="872">
        <f t="shared" si="29"/>
        <v>0</v>
      </c>
      <c r="J155" s="872">
        <f t="shared" si="29"/>
        <v>0</v>
      </c>
      <c r="K155" s="872">
        <f t="shared" si="29"/>
        <v>0</v>
      </c>
      <c r="L155" s="872">
        <f t="shared" si="29"/>
        <v>0</v>
      </c>
      <c r="M155" s="872">
        <f t="shared" si="29"/>
        <v>0</v>
      </c>
    </row>
    <row r="157" spans="1:13" x14ac:dyDescent="0.25">
      <c r="A157" s="876" t="s">
        <v>1714</v>
      </c>
      <c r="B157" s="865">
        <v>78846955.643829688</v>
      </c>
      <c r="D157" s="865">
        <f>B157+C157</f>
        <v>78846955.643829688</v>
      </c>
      <c r="H157" s="865">
        <f>SUM(D157:G157)</f>
        <v>78846955.643829688</v>
      </c>
    </row>
    <row r="158" spans="1:13" x14ac:dyDescent="0.25">
      <c r="A158" s="867" t="s">
        <v>1715</v>
      </c>
      <c r="B158" s="865">
        <v>1</v>
      </c>
      <c r="D158" s="865">
        <f>B158+C158</f>
        <v>1</v>
      </c>
      <c r="H158" s="865">
        <f>SUM(D158:G158)</f>
        <v>1</v>
      </c>
    </row>
    <row r="159" spans="1:13" ht="16.5" thickBot="1" x14ac:dyDescent="0.3">
      <c r="A159" s="876" t="s">
        <v>1716</v>
      </c>
      <c r="B159" s="883">
        <f>B155+B157+B158</f>
        <v>1660769982.1189926</v>
      </c>
      <c r="C159" s="883">
        <f t="shared" ref="C159:H159" si="30">C155+C157+C158</f>
        <v>-34870.43</v>
      </c>
      <c r="D159" s="883">
        <f t="shared" si="30"/>
        <v>1660735111.6889925</v>
      </c>
      <c r="E159" s="883">
        <f t="shared" si="30"/>
        <v>-2218846.4496661704</v>
      </c>
      <c r="F159" s="883">
        <f t="shared" si="30"/>
        <v>-97673.45797560006</v>
      </c>
      <c r="G159" s="883">
        <f t="shared" si="30"/>
        <v>-113066.81281647945</v>
      </c>
      <c r="H159" s="883">
        <f t="shared" si="30"/>
        <v>1658305524.9685342</v>
      </c>
      <c r="I159" s="883">
        <f>I155+I157</f>
        <v>0</v>
      </c>
      <c r="J159" s="883">
        <f>J155+J157</f>
        <v>0</v>
      </c>
      <c r="K159" s="883">
        <f>K155+K157</f>
        <v>0</v>
      </c>
      <c r="L159" s="883">
        <f>L155+L157</f>
        <v>0</v>
      </c>
      <c r="M159" s="883">
        <f>M155+M157</f>
        <v>0</v>
      </c>
    </row>
    <row r="160" spans="1:13" ht="16.5" thickTop="1" x14ac:dyDescent="0.25"/>
    <row r="161" spans="3:8" x14ac:dyDescent="0.25">
      <c r="C161" s="881"/>
      <c r="D161" s="884"/>
      <c r="E161" s="881"/>
      <c r="F161" s="881"/>
      <c r="G161" s="881"/>
      <c r="H161" s="881"/>
    </row>
    <row r="162" spans="3:8" x14ac:dyDescent="0.25">
      <c r="C162" s="881"/>
      <c r="D162" s="881"/>
      <c r="E162" s="881"/>
      <c r="F162" s="881"/>
      <c r="G162" s="881"/>
      <c r="H162" s="881"/>
    </row>
  </sheetData>
  <pageMargins left="0.7" right="0.7" top="0.75" bottom="0.75" header="0.3" footer="0.3"/>
  <pageSetup fitToHeight="0" orientation="portrait" r:id="rId1"/>
  <rowBreaks count="3" manualBreakCount="3">
    <brk id="48" max="7" man="1"/>
    <brk id="79" max="7" man="1"/>
    <brk id="118" max="7"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B1:J120"/>
  <sheetViews>
    <sheetView zoomScaleNormal="100" workbookViewId="0">
      <pane xSplit="4" ySplit="9" topLeftCell="E21"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1" width="1.5703125" customWidth="1"/>
    <col min="2" max="2" width="5.140625" customWidth="1"/>
    <col min="3" max="3" width="2.5703125" customWidth="1"/>
    <col min="4" max="4" width="59.28515625" customWidth="1"/>
    <col min="5" max="5" width="10.5703125" customWidth="1"/>
    <col min="6" max="7" width="15.42578125" bestFit="1" customWidth="1"/>
    <col min="8" max="8" width="1.140625" style="8" customWidth="1"/>
    <col min="9" max="9" width="13.5703125" bestFit="1" customWidth="1"/>
    <col min="10" max="10" width="45.85546875" bestFit="1" customWidth="1"/>
    <col min="11" max="12" width="22" customWidth="1"/>
    <col min="257" max="257" width="1.5703125" customWidth="1"/>
    <col min="258" max="258" width="5.140625" customWidth="1"/>
    <col min="259" max="259" width="2.5703125" customWidth="1"/>
    <col min="260" max="260" width="59.28515625" customWidth="1"/>
    <col min="261" max="261" width="10.5703125" customWidth="1"/>
    <col min="262" max="263" width="15.42578125" bestFit="1" customWidth="1"/>
    <col min="264" max="264" width="1.140625" customWidth="1"/>
    <col min="265" max="265" width="13.5703125" bestFit="1" customWidth="1"/>
    <col min="266" max="266" width="45.85546875" bestFit="1" customWidth="1"/>
    <col min="267" max="268" width="22" customWidth="1"/>
    <col min="513" max="513" width="1.5703125" customWidth="1"/>
    <col min="514" max="514" width="5.140625" customWidth="1"/>
    <col min="515" max="515" width="2.5703125" customWidth="1"/>
    <col min="516" max="516" width="59.28515625" customWidth="1"/>
    <col min="517" max="517" width="10.5703125" customWidth="1"/>
    <col min="518" max="519" width="15.42578125" bestFit="1" customWidth="1"/>
    <col min="520" max="520" width="1.140625" customWidth="1"/>
    <col min="521" max="521" width="13.5703125" bestFit="1" customWidth="1"/>
    <col min="522" max="522" width="45.85546875" bestFit="1" customWidth="1"/>
    <col min="523" max="524" width="22" customWidth="1"/>
    <col min="769" max="769" width="1.5703125" customWidth="1"/>
    <col min="770" max="770" width="5.140625" customWidth="1"/>
    <col min="771" max="771" width="2.5703125" customWidth="1"/>
    <col min="772" max="772" width="59.28515625" customWidth="1"/>
    <col min="773" max="773" width="10.5703125" customWidth="1"/>
    <col min="774" max="775" width="15.42578125" bestFit="1" customWidth="1"/>
    <col min="776" max="776" width="1.140625" customWidth="1"/>
    <col min="777" max="777" width="13.5703125" bestFit="1" customWidth="1"/>
    <col min="778" max="778" width="45.85546875" bestFit="1" customWidth="1"/>
    <col min="779" max="780" width="22" customWidth="1"/>
    <col min="1025" max="1025" width="1.5703125" customWidth="1"/>
    <col min="1026" max="1026" width="5.140625" customWidth="1"/>
    <col min="1027" max="1027" width="2.5703125" customWidth="1"/>
    <col min="1028" max="1028" width="59.28515625" customWidth="1"/>
    <col min="1029" max="1029" width="10.5703125" customWidth="1"/>
    <col min="1030" max="1031" width="15.42578125" bestFit="1" customWidth="1"/>
    <col min="1032" max="1032" width="1.140625" customWidth="1"/>
    <col min="1033" max="1033" width="13.5703125" bestFit="1" customWidth="1"/>
    <col min="1034" max="1034" width="45.85546875" bestFit="1" customWidth="1"/>
    <col min="1035" max="1036" width="22" customWidth="1"/>
    <col min="1281" max="1281" width="1.5703125" customWidth="1"/>
    <col min="1282" max="1282" width="5.140625" customWidth="1"/>
    <col min="1283" max="1283" width="2.5703125" customWidth="1"/>
    <col min="1284" max="1284" width="59.28515625" customWidth="1"/>
    <col min="1285" max="1285" width="10.5703125" customWidth="1"/>
    <col min="1286" max="1287" width="15.42578125" bestFit="1" customWidth="1"/>
    <col min="1288" max="1288" width="1.140625" customWidth="1"/>
    <col min="1289" max="1289" width="13.5703125" bestFit="1" customWidth="1"/>
    <col min="1290" max="1290" width="45.85546875" bestFit="1" customWidth="1"/>
    <col min="1291" max="1292" width="22" customWidth="1"/>
    <col min="1537" max="1537" width="1.5703125" customWidth="1"/>
    <col min="1538" max="1538" width="5.140625" customWidth="1"/>
    <col min="1539" max="1539" width="2.5703125" customWidth="1"/>
    <col min="1540" max="1540" width="59.28515625" customWidth="1"/>
    <col min="1541" max="1541" width="10.5703125" customWidth="1"/>
    <col min="1542" max="1543" width="15.42578125" bestFit="1" customWidth="1"/>
    <col min="1544" max="1544" width="1.140625" customWidth="1"/>
    <col min="1545" max="1545" width="13.5703125" bestFit="1" customWidth="1"/>
    <col min="1546" max="1546" width="45.85546875" bestFit="1" customWidth="1"/>
    <col min="1547" max="1548" width="22" customWidth="1"/>
    <col min="1793" max="1793" width="1.5703125" customWidth="1"/>
    <col min="1794" max="1794" width="5.140625" customWidth="1"/>
    <col min="1795" max="1795" width="2.5703125" customWidth="1"/>
    <col min="1796" max="1796" width="59.28515625" customWidth="1"/>
    <col min="1797" max="1797" width="10.5703125" customWidth="1"/>
    <col min="1798" max="1799" width="15.42578125" bestFit="1" customWidth="1"/>
    <col min="1800" max="1800" width="1.140625" customWidth="1"/>
    <col min="1801" max="1801" width="13.5703125" bestFit="1" customWidth="1"/>
    <col min="1802" max="1802" width="45.85546875" bestFit="1" customWidth="1"/>
    <col min="1803" max="1804" width="22" customWidth="1"/>
    <col min="2049" max="2049" width="1.5703125" customWidth="1"/>
    <col min="2050" max="2050" width="5.140625" customWidth="1"/>
    <col min="2051" max="2051" width="2.5703125" customWidth="1"/>
    <col min="2052" max="2052" width="59.28515625" customWidth="1"/>
    <col min="2053" max="2053" width="10.5703125" customWidth="1"/>
    <col min="2054" max="2055" width="15.42578125" bestFit="1" customWidth="1"/>
    <col min="2056" max="2056" width="1.140625" customWidth="1"/>
    <col min="2057" max="2057" width="13.5703125" bestFit="1" customWidth="1"/>
    <col min="2058" max="2058" width="45.85546875" bestFit="1" customWidth="1"/>
    <col min="2059" max="2060" width="22" customWidth="1"/>
    <col min="2305" max="2305" width="1.5703125" customWidth="1"/>
    <col min="2306" max="2306" width="5.140625" customWidth="1"/>
    <col min="2307" max="2307" width="2.5703125" customWidth="1"/>
    <col min="2308" max="2308" width="59.28515625" customWidth="1"/>
    <col min="2309" max="2309" width="10.5703125" customWidth="1"/>
    <col min="2310" max="2311" width="15.42578125" bestFit="1" customWidth="1"/>
    <col min="2312" max="2312" width="1.140625" customWidth="1"/>
    <col min="2313" max="2313" width="13.5703125" bestFit="1" customWidth="1"/>
    <col min="2314" max="2314" width="45.85546875" bestFit="1" customWidth="1"/>
    <col min="2315" max="2316" width="22" customWidth="1"/>
    <col min="2561" max="2561" width="1.5703125" customWidth="1"/>
    <col min="2562" max="2562" width="5.140625" customWidth="1"/>
    <col min="2563" max="2563" width="2.5703125" customWidth="1"/>
    <col min="2564" max="2564" width="59.28515625" customWidth="1"/>
    <col min="2565" max="2565" width="10.5703125" customWidth="1"/>
    <col min="2566" max="2567" width="15.42578125" bestFit="1" customWidth="1"/>
    <col min="2568" max="2568" width="1.140625" customWidth="1"/>
    <col min="2569" max="2569" width="13.5703125" bestFit="1" customWidth="1"/>
    <col min="2570" max="2570" width="45.85546875" bestFit="1" customWidth="1"/>
    <col min="2571" max="2572" width="22" customWidth="1"/>
    <col min="2817" max="2817" width="1.5703125" customWidth="1"/>
    <col min="2818" max="2818" width="5.140625" customWidth="1"/>
    <col min="2819" max="2819" width="2.5703125" customWidth="1"/>
    <col min="2820" max="2820" width="59.28515625" customWidth="1"/>
    <col min="2821" max="2821" width="10.5703125" customWidth="1"/>
    <col min="2822" max="2823" width="15.42578125" bestFit="1" customWidth="1"/>
    <col min="2824" max="2824" width="1.140625" customWidth="1"/>
    <col min="2825" max="2825" width="13.5703125" bestFit="1" customWidth="1"/>
    <col min="2826" max="2826" width="45.85546875" bestFit="1" customWidth="1"/>
    <col min="2827" max="2828" width="22" customWidth="1"/>
    <col min="3073" max="3073" width="1.5703125" customWidth="1"/>
    <col min="3074" max="3074" width="5.140625" customWidth="1"/>
    <col min="3075" max="3075" width="2.5703125" customWidth="1"/>
    <col min="3076" max="3076" width="59.28515625" customWidth="1"/>
    <col min="3077" max="3077" width="10.5703125" customWidth="1"/>
    <col min="3078" max="3079" width="15.42578125" bestFit="1" customWidth="1"/>
    <col min="3080" max="3080" width="1.140625" customWidth="1"/>
    <col min="3081" max="3081" width="13.5703125" bestFit="1" customWidth="1"/>
    <col min="3082" max="3082" width="45.85546875" bestFit="1" customWidth="1"/>
    <col min="3083" max="3084" width="22" customWidth="1"/>
    <col min="3329" max="3329" width="1.5703125" customWidth="1"/>
    <col min="3330" max="3330" width="5.140625" customWidth="1"/>
    <col min="3331" max="3331" width="2.5703125" customWidth="1"/>
    <col min="3332" max="3332" width="59.28515625" customWidth="1"/>
    <col min="3333" max="3333" width="10.5703125" customWidth="1"/>
    <col min="3334" max="3335" width="15.42578125" bestFit="1" customWidth="1"/>
    <col min="3336" max="3336" width="1.140625" customWidth="1"/>
    <col min="3337" max="3337" width="13.5703125" bestFit="1" customWidth="1"/>
    <col min="3338" max="3338" width="45.85546875" bestFit="1" customWidth="1"/>
    <col min="3339" max="3340" width="22" customWidth="1"/>
    <col min="3585" max="3585" width="1.5703125" customWidth="1"/>
    <col min="3586" max="3586" width="5.140625" customWidth="1"/>
    <col min="3587" max="3587" width="2.5703125" customWidth="1"/>
    <col min="3588" max="3588" width="59.28515625" customWidth="1"/>
    <col min="3589" max="3589" width="10.5703125" customWidth="1"/>
    <col min="3590" max="3591" width="15.42578125" bestFit="1" customWidth="1"/>
    <col min="3592" max="3592" width="1.140625" customWidth="1"/>
    <col min="3593" max="3593" width="13.5703125" bestFit="1" customWidth="1"/>
    <col min="3594" max="3594" width="45.85546875" bestFit="1" customWidth="1"/>
    <col min="3595" max="3596" width="22" customWidth="1"/>
    <col min="3841" max="3841" width="1.5703125" customWidth="1"/>
    <col min="3842" max="3842" width="5.140625" customWidth="1"/>
    <col min="3843" max="3843" width="2.5703125" customWidth="1"/>
    <col min="3844" max="3844" width="59.28515625" customWidth="1"/>
    <col min="3845" max="3845" width="10.5703125" customWidth="1"/>
    <col min="3846" max="3847" width="15.42578125" bestFit="1" customWidth="1"/>
    <col min="3848" max="3848" width="1.140625" customWidth="1"/>
    <col min="3849" max="3849" width="13.5703125" bestFit="1" customWidth="1"/>
    <col min="3850" max="3850" width="45.85546875" bestFit="1" customWidth="1"/>
    <col min="3851" max="3852" width="22" customWidth="1"/>
    <col min="4097" max="4097" width="1.5703125" customWidth="1"/>
    <col min="4098" max="4098" width="5.140625" customWidth="1"/>
    <col min="4099" max="4099" width="2.5703125" customWidth="1"/>
    <col min="4100" max="4100" width="59.28515625" customWidth="1"/>
    <col min="4101" max="4101" width="10.5703125" customWidth="1"/>
    <col min="4102" max="4103" width="15.42578125" bestFit="1" customWidth="1"/>
    <col min="4104" max="4104" width="1.140625" customWidth="1"/>
    <col min="4105" max="4105" width="13.5703125" bestFit="1" customWidth="1"/>
    <col min="4106" max="4106" width="45.85546875" bestFit="1" customWidth="1"/>
    <col min="4107" max="4108" width="22" customWidth="1"/>
    <col min="4353" max="4353" width="1.5703125" customWidth="1"/>
    <col min="4354" max="4354" width="5.140625" customWidth="1"/>
    <col min="4355" max="4355" width="2.5703125" customWidth="1"/>
    <col min="4356" max="4356" width="59.28515625" customWidth="1"/>
    <col min="4357" max="4357" width="10.5703125" customWidth="1"/>
    <col min="4358" max="4359" width="15.42578125" bestFit="1" customWidth="1"/>
    <col min="4360" max="4360" width="1.140625" customWidth="1"/>
    <col min="4361" max="4361" width="13.5703125" bestFit="1" customWidth="1"/>
    <col min="4362" max="4362" width="45.85546875" bestFit="1" customWidth="1"/>
    <col min="4363" max="4364" width="22" customWidth="1"/>
    <col min="4609" max="4609" width="1.5703125" customWidth="1"/>
    <col min="4610" max="4610" width="5.140625" customWidth="1"/>
    <col min="4611" max="4611" width="2.5703125" customWidth="1"/>
    <col min="4612" max="4612" width="59.28515625" customWidth="1"/>
    <col min="4613" max="4613" width="10.5703125" customWidth="1"/>
    <col min="4614" max="4615" width="15.42578125" bestFit="1" customWidth="1"/>
    <col min="4616" max="4616" width="1.140625" customWidth="1"/>
    <col min="4617" max="4617" width="13.5703125" bestFit="1" customWidth="1"/>
    <col min="4618" max="4618" width="45.85546875" bestFit="1" customWidth="1"/>
    <col min="4619" max="4620" width="22" customWidth="1"/>
    <col min="4865" max="4865" width="1.5703125" customWidth="1"/>
    <col min="4866" max="4866" width="5.140625" customWidth="1"/>
    <col min="4867" max="4867" width="2.5703125" customWidth="1"/>
    <col min="4868" max="4868" width="59.28515625" customWidth="1"/>
    <col min="4869" max="4869" width="10.5703125" customWidth="1"/>
    <col min="4870" max="4871" width="15.42578125" bestFit="1" customWidth="1"/>
    <col min="4872" max="4872" width="1.140625" customWidth="1"/>
    <col min="4873" max="4873" width="13.5703125" bestFit="1" customWidth="1"/>
    <col min="4874" max="4874" width="45.85546875" bestFit="1" customWidth="1"/>
    <col min="4875" max="4876" width="22" customWidth="1"/>
    <col min="5121" max="5121" width="1.5703125" customWidth="1"/>
    <col min="5122" max="5122" width="5.140625" customWidth="1"/>
    <col min="5123" max="5123" width="2.5703125" customWidth="1"/>
    <col min="5124" max="5124" width="59.28515625" customWidth="1"/>
    <col min="5125" max="5125" width="10.5703125" customWidth="1"/>
    <col min="5126" max="5127" width="15.42578125" bestFit="1" customWidth="1"/>
    <col min="5128" max="5128" width="1.140625" customWidth="1"/>
    <col min="5129" max="5129" width="13.5703125" bestFit="1" customWidth="1"/>
    <col min="5130" max="5130" width="45.85546875" bestFit="1" customWidth="1"/>
    <col min="5131" max="5132" width="22" customWidth="1"/>
    <col min="5377" max="5377" width="1.5703125" customWidth="1"/>
    <col min="5378" max="5378" width="5.140625" customWidth="1"/>
    <col min="5379" max="5379" width="2.5703125" customWidth="1"/>
    <col min="5380" max="5380" width="59.28515625" customWidth="1"/>
    <col min="5381" max="5381" width="10.5703125" customWidth="1"/>
    <col min="5382" max="5383" width="15.42578125" bestFit="1" customWidth="1"/>
    <col min="5384" max="5384" width="1.140625" customWidth="1"/>
    <col min="5385" max="5385" width="13.5703125" bestFit="1" customWidth="1"/>
    <col min="5386" max="5386" width="45.85546875" bestFit="1" customWidth="1"/>
    <col min="5387" max="5388" width="22" customWidth="1"/>
    <col min="5633" max="5633" width="1.5703125" customWidth="1"/>
    <col min="5634" max="5634" width="5.140625" customWidth="1"/>
    <col min="5635" max="5635" width="2.5703125" customWidth="1"/>
    <col min="5636" max="5636" width="59.28515625" customWidth="1"/>
    <col min="5637" max="5637" width="10.5703125" customWidth="1"/>
    <col min="5638" max="5639" width="15.42578125" bestFit="1" customWidth="1"/>
    <col min="5640" max="5640" width="1.140625" customWidth="1"/>
    <col min="5641" max="5641" width="13.5703125" bestFit="1" customWidth="1"/>
    <col min="5642" max="5642" width="45.85546875" bestFit="1" customWidth="1"/>
    <col min="5643" max="5644" width="22" customWidth="1"/>
    <col min="5889" max="5889" width="1.5703125" customWidth="1"/>
    <col min="5890" max="5890" width="5.140625" customWidth="1"/>
    <col min="5891" max="5891" width="2.5703125" customWidth="1"/>
    <col min="5892" max="5892" width="59.28515625" customWidth="1"/>
    <col min="5893" max="5893" width="10.5703125" customWidth="1"/>
    <col min="5894" max="5895" width="15.42578125" bestFit="1" customWidth="1"/>
    <col min="5896" max="5896" width="1.140625" customWidth="1"/>
    <col min="5897" max="5897" width="13.5703125" bestFit="1" customWidth="1"/>
    <col min="5898" max="5898" width="45.85546875" bestFit="1" customWidth="1"/>
    <col min="5899" max="5900" width="22" customWidth="1"/>
    <col min="6145" max="6145" width="1.5703125" customWidth="1"/>
    <col min="6146" max="6146" width="5.140625" customWidth="1"/>
    <col min="6147" max="6147" width="2.5703125" customWidth="1"/>
    <col min="6148" max="6148" width="59.28515625" customWidth="1"/>
    <col min="6149" max="6149" width="10.5703125" customWidth="1"/>
    <col min="6150" max="6151" width="15.42578125" bestFit="1" customWidth="1"/>
    <col min="6152" max="6152" width="1.140625" customWidth="1"/>
    <col min="6153" max="6153" width="13.5703125" bestFit="1" customWidth="1"/>
    <col min="6154" max="6154" width="45.85546875" bestFit="1" customWidth="1"/>
    <col min="6155" max="6156" width="22" customWidth="1"/>
    <col min="6401" max="6401" width="1.5703125" customWidth="1"/>
    <col min="6402" max="6402" width="5.140625" customWidth="1"/>
    <col min="6403" max="6403" width="2.5703125" customWidth="1"/>
    <col min="6404" max="6404" width="59.28515625" customWidth="1"/>
    <col min="6405" max="6405" width="10.5703125" customWidth="1"/>
    <col min="6406" max="6407" width="15.42578125" bestFit="1" customWidth="1"/>
    <col min="6408" max="6408" width="1.140625" customWidth="1"/>
    <col min="6409" max="6409" width="13.5703125" bestFit="1" customWidth="1"/>
    <col min="6410" max="6410" width="45.85546875" bestFit="1" customWidth="1"/>
    <col min="6411" max="6412" width="22" customWidth="1"/>
    <col min="6657" max="6657" width="1.5703125" customWidth="1"/>
    <col min="6658" max="6658" width="5.140625" customWidth="1"/>
    <col min="6659" max="6659" width="2.5703125" customWidth="1"/>
    <col min="6660" max="6660" width="59.28515625" customWidth="1"/>
    <col min="6661" max="6661" width="10.5703125" customWidth="1"/>
    <col min="6662" max="6663" width="15.42578125" bestFit="1" customWidth="1"/>
    <col min="6664" max="6664" width="1.140625" customWidth="1"/>
    <col min="6665" max="6665" width="13.5703125" bestFit="1" customWidth="1"/>
    <col min="6666" max="6666" width="45.85546875" bestFit="1" customWidth="1"/>
    <col min="6667" max="6668" width="22" customWidth="1"/>
    <col min="6913" max="6913" width="1.5703125" customWidth="1"/>
    <col min="6914" max="6914" width="5.140625" customWidth="1"/>
    <col min="6915" max="6915" width="2.5703125" customWidth="1"/>
    <col min="6916" max="6916" width="59.28515625" customWidth="1"/>
    <col min="6917" max="6917" width="10.5703125" customWidth="1"/>
    <col min="6918" max="6919" width="15.42578125" bestFit="1" customWidth="1"/>
    <col min="6920" max="6920" width="1.140625" customWidth="1"/>
    <col min="6921" max="6921" width="13.5703125" bestFit="1" customWidth="1"/>
    <col min="6922" max="6922" width="45.85546875" bestFit="1" customWidth="1"/>
    <col min="6923" max="6924" width="22" customWidth="1"/>
    <col min="7169" max="7169" width="1.5703125" customWidth="1"/>
    <col min="7170" max="7170" width="5.140625" customWidth="1"/>
    <col min="7171" max="7171" width="2.5703125" customWidth="1"/>
    <col min="7172" max="7172" width="59.28515625" customWidth="1"/>
    <col min="7173" max="7173" width="10.5703125" customWidth="1"/>
    <col min="7174" max="7175" width="15.42578125" bestFit="1" customWidth="1"/>
    <col min="7176" max="7176" width="1.140625" customWidth="1"/>
    <col min="7177" max="7177" width="13.5703125" bestFit="1" customWidth="1"/>
    <col min="7178" max="7178" width="45.85546875" bestFit="1" customWidth="1"/>
    <col min="7179" max="7180" width="22" customWidth="1"/>
    <col min="7425" max="7425" width="1.5703125" customWidth="1"/>
    <col min="7426" max="7426" width="5.140625" customWidth="1"/>
    <col min="7427" max="7427" width="2.5703125" customWidth="1"/>
    <col min="7428" max="7428" width="59.28515625" customWidth="1"/>
    <col min="7429" max="7429" width="10.5703125" customWidth="1"/>
    <col min="7430" max="7431" width="15.42578125" bestFit="1" customWidth="1"/>
    <col min="7432" max="7432" width="1.140625" customWidth="1"/>
    <col min="7433" max="7433" width="13.5703125" bestFit="1" customWidth="1"/>
    <col min="7434" max="7434" width="45.85546875" bestFit="1" customWidth="1"/>
    <col min="7435" max="7436" width="22" customWidth="1"/>
    <col min="7681" max="7681" width="1.5703125" customWidth="1"/>
    <col min="7682" max="7682" width="5.140625" customWidth="1"/>
    <col min="7683" max="7683" width="2.5703125" customWidth="1"/>
    <col min="7684" max="7684" width="59.28515625" customWidth="1"/>
    <col min="7685" max="7685" width="10.5703125" customWidth="1"/>
    <col min="7686" max="7687" width="15.42578125" bestFit="1" customWidth="1"/>
    <col min="7688" max="7688" width="1.140625" customWidth="1"/>
    <col min="7689" max="7689" width="13.5703125" bestFit="1" customWidth="1"/>
    <col min="7690" max="7690" width="45.85546875" bestFit="1" customWidth="1"/>
    <col min="7691" max="7692" width="22" customWidth="1"/>
    <col min="7937" max="7937" width="1.5703125" customWidth="1"/>
    <col min="7938" max="7938" width="5.140625" customWidth="1"/>
    <col min="7939" max="7939" width="2.5703125" customWidth="1"/>
    <col min="7940" max="7940" width="59.28515625" customWidth="1"/>
    <col min="7941" max="7941" width="10.5703125" customWidth="1"/>
    <col min="7942" max="7943" width="15.42578125" bestFit="1" customWidth="1"/>
    <col min="7944" max="7944" width="1.140625" customWidth="1"/>
    <col min="7945" max="7945" width="13.5703125" bestFit="1" customWidth="1"/>
    <col min="7946" max="7946" width="45.85546875" bestFit="1" customWidth="1"/>
    <col min="7947" max="7948" width="22" customWidth="1"/>
    <col min="8193" max="8193" width="1.5703125" customWidth="1"/>
    <col min="8194" max="8194" width="5.140625" customWidth="1"/>
    <col min="8195" max="8195" width="2.5703125" customWidth="1"/>
    <col min="8196" max="8196" width="59.28515625" customWidth="1"/>
    <col min="8197" max="8197" width="10.5703125" customWidth="1"/>
    <col min="8198" max="8199" width="15.42578125" bestFit="1" customWidth="1"/>
    <col min="8200" max="8200" width="1.140625" customWidth="1"/>
    <col min="8201" max="8201" width="13.5703125" bestFit="1" customWidth="1"/>
    <col min="8202" max="8202" width="45.85546875" bestFit="1" customWidth="1"/>
    <col min="8203" max="8204" width="22" customWidth="1"/>
    <col min="8449" max="8449" width="1.5703125" customWidth="1"/>
    <col min="8450" max="8450" width="5.140625" customWidth="1"/>
    <col min="8451" max="8451" width="2.5703125" customWidth="1"/>
    <col min="8452" max="8452" width="59.28515625" customWidth="1"/>
    <col min="8453" max="8453" width="10.5703125" customWidth="1"/>
    <col min="8454" max="8455" width="15.42578125" bestFit="1" customWidth="1"/>
    <col min="8456" max="8456" width="1.140625" customWidth="1"/>
    <col min="8457" max="8457" width="13.5703125" bestFit="1" customWidth="1"/>
    <col min="8458" max="8458" width="45.85546875" bestFit="1" customWidth="1"/>
    <col min="8459" max="8460" width="22" customWidth="1"/>
    <col min="8705" max="8705" width="1.5703125" customWidth="1"/>
    <col min="8706" max="8706" width="5.140625" customWidth="1"/>
    <col min="8707" max="8707" width="2.5703125" customWidth="1"/>
    <col min="8708" max="8708" width="59.28515625" customWidth="1"/>
    <col min="8709" max="8709" width="10.5703125" customWidth="1"/>
    <col min="8710" max="8711" width="15.42578125" bestFit="1" customWidth="1"/>
    <col min="8712" max="8712" width="1.140625" customWidth="1"/>
    <col min="8713" max="8713" width="13.5703125" bestFit="1" customWidth="1"/>
    <col min="8714" max="8714" width="45.85546875" bestFit="1" customWidth="1"/>
    <col min="8715" max="8716" width="22" customWidth="1"/>
    <col min="8961" max="8961" width="1.5703125" customWidth="1"/>
    <col min="8962" max="8962" width="5.140625" customWidth="1"/>
    <col min="8963" max="8963" width="2.5703125" customWidth="1"/>
    <col min="8964" max="8964" width="59.28515625" customWidth="1"/>
    <col min="8965" max="8965" width="10.5703125" customWidth="1"/>
    <col min="8966" max="8967" width="15.42578125" bestFit="1" customWidth="1"/>
    <col min="8968" max="8968" width="1.140625" customWidth="1"/>
    <col min="8969" max="8969" width="13.5703125" bestFit="1" customWidth="1"/>
    <col min="8970" max="8970" width="45.85546875" bestFit="1" customWidth="1"/>
    <col min="8971" max="8972" width="22" customWidth="1"/>
    <col min="9217" max="9217" width="1.5703125" customWidth="1"/>
    <col min="9218" max="9218" width="5.140625" customWidth="1"/>
    <col min="9219" max="9219" width="2.5703125" customWidth="1"/>
    <col min="9220" max="9220" width="59.28515625" customWidth="1"/>
    <col min="9221" max="9221" width="10.5703125" customWidth="1"/>
    <col min="9222" max="9223" width="15.42578125" bestFit="1" customWidth="1"/>
    <col min="9224" max="9224" width="1.140625" customWidth="1"/>
    <col min="9225" max="9225" width="13.5703125" bestFit="1" customWidth="1"/>
    <col min="9226" max="9226" width="45.85546875" bestFit="1" customWidth="1"/>
    <col min="9227" max="9228" width="22" customWidth="1"/>
    <col min="9473" max="9473" width="1.5703125" customWidth="1"/>
    <col min="9474" max="9474" width="5.140625" customWidth="1"/>
    <col min="9475" max="9475" width="2.5703125" customWidth="1"/>
    <col min="9476" max="9476" width="59.28515625" customWidth="1"/>
    <col min="9477" max="9477" width="10.5703125" customWidth="1"/>
    <col min="9478" max="9479" width="15.42578125" bestFit="1" customWidth="1"/>
    <col min="9480" max="9480" width="1.140625" customWidth="1"/>
    <col min="9481" max="9481" width="13.5703125" bestFit="1" customWidth="1"/>
    <col min="9482" max="9482" width="45.85546875" bestFit="1" customWidth="1"/>
    <col min="9483" max="9484" width="22" customWidth="1"/>
    <col min="9729" max="9729" width="1.5703125" customWidth="1"/>
    <col min="9730" max="9730" width="5.140625" customWidth="1"/>
    <col min="9731" max="9731" width="2.5703125" customWidth="1"/>
    <col min="9732" max="9732" width="59.28515625" customWidth="1"/>
    <col min="9733" max="9733" width="10.5703125" customWidth="1"/>
    <col min="9734" max="9735" width="15.42578125" bestFit="1" customWidth="1"/>
    <col min="9736" max="9736" width="1.140625" customWidth="1"/>
    <col min="9737" max="9737" width="13.5703125" bestFit="1" customWidth="1"/>
    <col min="9738" max="9738" width="45.85546875" bestFit="1" customWidth="1"/>
    <col min="9739" max="9740" width="22" customWidth="1"/>
    <col min="9985" max="9985" width="1.5703125" customWidth="1"/>
    <col min="9986" max="9986" width="5.140625" customWidth="1"/>
    <col min="9987" max="9987" width="2.5703125" customWidth="1"/>
    <col min="9988" max="9988" width="59.28515625" customWidth="1"/>
    <col min="9989" max="9989" width="10.5703125" customWidth="1"/>
    <col min="9990" max="9991" width="15.42578125" bestFit="1" customWidth="1"/>
    <col min="9992" max="9992" width="1.140625" customWidth="1"/>
    <col min="9993" max="9993" width="13.5703125" bestFit="1" customWidth="1"/>
    <col min="9994" max="9994" width="45.85546875" bestFit="1" customWidth="1"/>
    <col min="9995" max="9996" width="22" customWidth="1"/>
    <col min="10241" max="10241" width="1.5703125" customWidth="1"/>
    <col min="10242" max="10242" width="5.140625" customWidth="1"/>
    <col min="10243" max="10243" width="2.5703125" customWidth="1"/>
    <col min="10244" max="10244" width="59.28515625" customWidth="1"/>
    <col min="10245" max="10245" width="10.5703125" customWidth="1"/>
    <col min="10246" max="10247" width="15.42578125" bestFit="1" customWidth="1"/>
    <col min="10248" max="10248" width="1.140625" customWidth="1"/>
    <col min="10249" max="10249" width="13.5703125" bestFit="1" customWidth="1"/>
    <col min="10250" max="10250" width="45.85546875" bestFit="1" customWidth="1"/>
    <col min="10251" max="10252" width="22" customWidth="1"/>
    <col min="10497" max="10497" width="1.5703125" customWidth="1"/>
    <col min="10498" max="10498" width="5.140625" customWidth="1"/>
    <col min="10499" max="10499" width="2.5703125" customWidth="1"/>
    <col min="10500" max="10500" width="59.28515625" customWidth="1"/>
    <col min="10501" max="10501" width="10.5703125" customWidth="1"/>
    <col min="10502" max="10503" width="15.42578125" bestFit="1" customWidth="1"/>
    <col min="10504" max="10504" width="1.140625" customWidth="1"/>
    <col min="10505" max="10505" width="13.5703125" bestFit="1" customWidth="1"/>
    <col min="10506" max="10506" width="45.85546875" bestFit="1" customWidth="1"/>
    <col min="10507" max="10508" width="22" customWidth="1"/>
    <col min="10753" max="10753" width="1.5703125" customWidth="1"/>
    <col min="10754" max="10754" width="5.140625" customWidth="1"/>
    <col min="10755" max="10755" width="2.5703125" customWidth="1"/>
    <col min="10756" max="10756" width="59.28515625" customWidth="1"/>
    <col min="10757" max="10757" width="10.5703125" customWidth="1"/>
    <col min="10758" max="10759" width="15.42578125" bestFit="1" customWidth="1"/>
    <col min="10760" max="10760" width="1.140625" customWidth="1"/>
    <col min="10761" max="10761" width="13.5703125" bestFit="1" customWidth="1"/>
    <col min="10762" max="10762" width="45.85546875" bestFit="1" customWidth="1"/>
    <col min="10763" max="10764" width="22" customWidth="1"/>
    <col min="11009" max="11009" width="1.5703125" customWidth="1"/>
    <col min="11010" max="11010" width="5.140625" customWidth="1"/>
    <col min="11011" max="11011" width="2.5703125" customWidth="1"/>
    <col min="11012" max="11012" width="59.28515625" customWidth="1"/>
    <col min="11013" max="11013" width="10.5703125" customWidth="1"/>
    <col min="11014" max="11015" width="15.42578125" bestFit="1" customWidth="1"/>
    <col min="11016" max="11016" width="1.140625" customWidth="1"/>
    <col min="11017" max="11017" width="13.5703125" bestFit="1" customWidth="1"/>
    <col min="11018" max="11018" width="45.85546875" bestFit="1" customWidth="1"/>
    <col min="11019" max="11020" width="22" customWidth="1"/>
    <col min="11265" max="11265" width="1.5703125" customWidth="1"/>
    <col min="11266" max="11266" width="5.140625" customWidth="1"/>
    <col min="11267" max="11267" width="2.5703125" customWidth="1"/>
    <col min="11268" max="11268" width="59.28515625" customWidth="1"/>
    <col min="11269" max="11269" width="10.5703125" customWidth="1"/>
    <col min="11270" max="11271" width="15.42578125" bestFit="1" customWidth="1"/>
    <col min="11272" max="11272" width="1.140625" customWidth="1"/>
    <col min="11273" max="11273" width="13.5703125" bestFit="1" customWidth="1"/>
    <col min="11274" max="11274" width="45.85546875" bestFit="1" customWidth="1"/>
    <col min="11275" max="11276" width="22" customWidth="1"/>
    <col min="11521" max="11521" width="1.5703125" customWidth="1"/>
    <col min="11522" max="11522" width="5.140625" customWidth="1"/>
    <col min="11523" max="11523" width="2.5703125" customWidth="1"/>
    <col min="11524" max="11524" width="59.28515625" customWidth="1"/>
    <col min="11525" max="11525" width="10.5703125" customWidth="1"/>
    <col min="11526" max="11527" width="15.42578125" bestFit="1" customWidth="1"/>
    <col min="11528" max="11528" width="1.140625" customWidth="1"/>
    <col min="11529" max="11529" width="13.5703125" bestFit="1" customWidth="1"/>
    <col min="11530" max="11530" width="45.85546875" bestFit="1" customWidth="1"/>
    <col min="11531" max="11532" width="22" customWidth="1"/>
    <col min="11777" max="11777" width="1.5703125" customWidth="1"/>
    <col min="11778" max="11778" width="5.140625" customWidth="1"/>
    <col min="11779" max="11779" width="2.5703125" customWidth="1"/>
    <col min="11780" max="11780" width="59.28515625" customWidth="1"/>
    <col min="11781" max="11781" width="10.5703125" customWidth="1"/>
    <col min="11782" max="11783" width="15.42578125" bestFit="1" customWidth="1"/>
    <col min="11784" max="11784" width="1.140625" customWidth="1"/>
    <col min="11785" max="11785" width="13.5703125" bestFit="1" customWidth="1"/>
    <col min="11786" max="11786" width="45.85546875" bestFit="1" customWidth="1"/>
    <col min="11787" max="11788" width="22" customWidth="1"/>
    <col min="12033" max="12033" width="1.5703125" customWidth="1"/>
    <col min="12034" max="12034" width="5.140625" customWidth="1"/>
    <col min="12035" max="12035" width="2.5703125" customWidth="1"/>
    <col min="12036" max="12036" width="59.28515625" customWidth="1"/>
    <col min="12037" max="12037" width="10.5703125" customWidth="1"/>
    <col min="12038" max="12039" width="15.42578125" bestFit="1" customWidth="1"/>
    <col min="12040" max="12040" width="1.140625" customWidth="1"/>
    <col min="12041" max="12041" width="13.5703125" bestFit="1" customWidth="1"/>
    <col min="12042" max="12042" width="45.85546875" bestFit="1" customWidth="1"/>
    <col min="12043" max="12044" width="22" customWidth="1"/>
    <col min="12289" max="12289" width="1.5703125" customWidth="1"/>
    <col min="12290" max="12290" width="5.140625" customWidth="1"/>
    <col min="12291" max="12291" width="2.5703125" customWidth="1"/>
    <col min="12292" max="12292" width="59.28515625" customWidth="1"/>
    <col min="12293" max="12293" width="10.5703125" customWidth="1"/>
    <col min="12294" max="12295" width="15.42578125" bestFit="1" customWidth="1"/>
    <col min="12296" max="12296" width="1.140625" customWidth="1"/>
    <col min="12297" max="12297" width="13.5703125" bestFit="1" customWidth="1"/>
    <col min="12298" max="12298" width="45.85546875" bestFit="1" customWidth="1"/>
    <col min="12299" max="12300" width="22" customWidth="1"/>
    <col min="12545" max="12545" width="1.5703125" customWidth="1"/>
    <col min="12546" max="12546" width="5.140625" customWidth="1"/>
    <col min="12547" max="12547" width="2.5703125" customWidth="1"/>
    <col min="12548" max="12548" width="59.28515625" customWidth="1"/>
    <col min="12549" max="12549" width="10.5703125" customWidth="1"/>
    <col min="12550" max="12551" width="15.42578125" bestFit="1" customWidth="1"/>
    <col min="12552" max="12552" width="1.140625" customWidth="1"/>
    <col min="12553" max="12553" width="13.5703125" bestFit="1" customWidth="1"/>
    <col min="12554" max="12554" width="45.85546875" bestFit="1" customWidth="1"/>
    <col min="12555" max="12556" width="22" customWidth="1"/>
    <col min="12801" max="12801" width="1.5703125" customWidth="1"/>
    <col min="12802" max="12802" width="5.140625" customWidth="1"/>
    <col min="12803" max="12803" width="2.5703125" customWidth="1"/>
    <col min="12804" max="12804" width="59.28515625" customWidth="1"/>
    <col min="12805" max="12805" width="10.5703125" customWidth="1"/>
    <col min="12806" max="12807" width="15.42578125" bestFit="1" customWidth="1"/>
    <col min="12808" max="12808" width="1.140625" customWidth="1"/>
    <col min="12809" max="12809" width="13.5703125" bestFit="1" customWidth="1"/>
    <col min="12810" max="12810" width="45.85546875" bestFit="1" customWidth="1"/>
    <col min="12811" max="12812" width="22" customWidth="1"/>
    <col min="13057" max="13057" width="1.5703125" customWidth="1"/>
    <col min="13058" max="13058" width="5.140625" customWidth="1"/>
    <col min="13059" max="13059" width="2.5703125" customWidth="1"/>
    <col min="13060" max="13060" width="59.28515625" customWidth="1"/>
    <col min="13061" max="13061" width="10.5703125" customWidth="1"/>
    <col min="13062" max="13063" width="15.42578125" bestFit="1" customWidth="1"/>
    <col min="13064" max="13064" width="1.140625" customWidth="1"/>
    <col min="13065" max="13065" width="13.5703125" bestFit="1" customWidth="1"/>
    <col min="13066" max="13066" width="45.85546875" bestFit="1" customWidth="1"/>
    <col min="13067" max="13068" width="22" customWidth="1"/>
    <col min="13313" max="13313" width="1.5703125" customWidth="1"/>
    <col min="13314" max="13314" width="5.140625" customWidth="1"/>
    <col min="13315" max="13315" width="2.5703125" customWidth="1"/>
    <col min="13316" max="13316" width="59.28515625" customWidth="1"/>
    <col min="13317" max="13317" width="10.5703125" customWidth="1"/>
    <col min="13318" max="13319" width="15.42578125" bestFit="1" customWidth="1"/>
    <col min="13320" max="13320" width="1.140625" customWidth="1"/>
    <col min="13321" max="13321" width="13.5703125" bestFit="1" customWidth="1"/>
    <col min="13322" max="13322" width="45.85546875" bestFit="1" customWidth="1"/>
    <col min="13323" max="13324" width="22" customWidth="1"/>
    <col min="13569" max="13569" width="1.5703125" customWidth="1"/>
    <col min="13570" max="13570" width="5.140625" customWidth="1"/>
    <col min="13571" max="13571" width="2.5703125" customWidth="1"/>
    <col min="13572" max="13572" width="59.28515625" customWidth="1"/>
    <col min="13573" max="13573" width="10.5703125" customWidth="1"/>
    <col min="13574" max="13575" width="15.42578125" bestFit="1" customWidth="1"/>
    <col min="13576" max="13576" width="1.140625" customWidth="1"/>
    <col min="13577" max="13577" width="13.5703125" bestFit="1" customWidth="1"/>
    <col min="13578" max="13578" width="45.85546875" bestFit="1" customWidth="1"/>
    <col min="13579" max="13580" width="22" customWidth="1"/>
    <col min="13825" max="13825" width="1.5703125" customWidth="1"/>
    <col min="13826" max="13826" width="5.140625" customWidth="1"/>
    <col min="13827" max="13827" width="2.5703125" customWidth="1"/>
    <col min="13828" max="13828" width="59.28515625" customWidth="1"/>
    <col min="13829" max="13829" width="10.5703125" customWidth="1"/>
    <col min="13830" max="13831" width="15.42578125" bestFit="1" customWidth="1"/>
    <col min="13832" max="13832" width="1.140625" customWidth="1"/>
    <col min="13833" max="13833" width="13.5703125" bestFit="1" customWidth="1"/>
    <col min="13834" max="13834" width="45.85546875" bestFit="1" customWidth="1"/>
    <col min="13835" max="13836" width="22" customWidth="1"/>
    <col min="14081" max="14081" width="1.5703125" customWidth="1"/>
    <col min="14082" max="14082" width="5.140625" customWidth="1"/>
    <col min="14083" max="14083" width="2.5703125" customWidth="1"/>
    <col min="14084" max="14084" width="59.28515625" customWidth="1"/>
    <col min="14085" max="14085" width="10.5703125" customWidth="1"/>
    <col min="14086" max="14087" width="15.42578125" bestFit="1" customWidth="1"/>
    <col min="14088" max="14088" width="1.140625" customWidth="1"/>
    <col min="14089" max="14089" width="13.5703125" bestFit="1" customWidth="1"/>
    <col min="14090" max="14090" width="45.85546875" bestFit="1" customWidth="1"/>
    <col min="14091" max="14092" width="22" customWidth="1"/>
    <col min="14337" max="14337" width="1.5703125" customWidth="1"/>
    <col min="14338" max="14338" width="5.140625" customWidth="1"/>
    <col min="14339" max="14339" width="2.5703125" customWidth="1"/>
    <col min="14340" max="14340" width="59.28515625" customWidth="1"/>
    <col min="14341" max="14341" width="10.5703125" customWidth="1"/>
    <col min="14342" max="14343" width="15.42578125" bestFit="1" customWidth="1"/>
    <col min="14344" max="14344" width="1.140625" customWidth="1"/>
    <col min="14345" max="14345" width="13.5703125" bestFit="1" customWidth="1"/>
    <col min="14346" max="14346" width="45.85546875" bestFit="1" customWidth="1"/>
    <col min="14347" max="14348" width="22" customWidth="1"/>
    <col min="14593" max="14593" width="1.5703125" customWidth="1"/>
    <col min="14594" max="14594" width="5.140625" customWidth="1"/>
    <col min="14595" max="14595" width="2.5703125" customWidth="1"/>
    <col min="14596" max="14596" width="59.28515625" customWidth="1"/>
    <col min="14597" max="14597" width="10.5703125" customWidth="1"/>
    <col min="14598" max="14599" width="15.42578125" bestFit="1" customWidth="1"/>
    <col min="14600" max="14600" width="1.140625" customWidth="1"/>
    <col min="14601" max="14601" width="13.5703125" bestFit="1" customWidth="1"/>
    <col min="14602" max="14602" width="45.85546875" bestFit="1" customWidth="1"/>
    <col min="14603" max="14604" width="22" customWidth="1"/>
    <col min="14849" max="14849" width="1.5703125" customWidth="1"/>
    <col min="14850" max="14850" width="5.140625" customWidth="1"/>
    <col min="14851" max="14851" width="2.5703125" customWidth="1"/>
    <col min="14852" max="14852" width="59.28515625" customWidth="1"/>
    <col min="14853" max="14853" width="10.5703125" customWidth="1"/>
    <col min="14854" max="14855" width="15.42578125" bestFit="1" customWidth="1"/>
    <col min="14856" max="14856" width="1.140625" customWidth="1"/>
    <col min="14857" max="14857" width="13.5703125" bestFit="1" customWidth="1"/>
    <col min="14858" max="14858" width="45.85546875" bestFit="1" customWidth="1"/>
    <col min="14859" max="14860" width="22" customWidth="1"/>
    <col min="15105" max="15105" width="1.5703125" customWidth="1"/>
    <col min="15106" max="15106" width="5.140625" customWidth="1"/>
    <col min="15107" max="15107" width="2.5703125" customWidth="1"/>
    <col min="15108" max="15108" width="59.28515625" customWidth="1"/>
    <col min="15109" max="15109" width="10.5703125" customWidth="1"/>
    <col min="15110" max="15111" width="15.42578125" bestFit="1" customWidth="1"/>
    <col min="15112" max="15112" width="1.140625" customWidth="1"/>
    <col min="15113" max="15113" width="13.5703125" bestFit="1" customWidth="1"/>
    <col min="15114" max="15114" width="45.85546875" bestFit="1" customWidth="1"/>
    <col min="15115" max="15116" width="22" customWidth="1"/>
    <col min="15361" max="15361" width="1.5703125" customWidth="1"/>
    <col min="15362" max="15362" width="5.140625" customWidth="1"/>
    <col min="15363" max="15363" width="2.5703125" customWidth="1"/>
    <col min="15364" max="15364" width="59.28515625" customWidth="1"/>
    <col min="15365" max="15365" width="10.5703125" customWidth="1"/>
    <col min="15366" max="15367" width="15.42578125" bestFit="1" customWidth="1"/>
    <col min="15368" max="15368" width="1.140625" customWidth="1"/>
    <col min="15369" max="15369" width="13.5703125" bestFit="1" customWidth="1"/>
    <col min="15370" max="15370" width="45.85546875" bestFit="1" customWidth="1"/>
    <col min="15371" max="15372" width="22" customWidth="1"/>
    <col min="15617" max="15617" width="1.5703125" customWidth="1"/>
    <col min="15618" max="15618" width="5.140625" customWidth="1"/>
    <col min="15619" max="15619" width="2.5703125" customWidth="1"/>
    <col min="15620" max="15620" width="59.28515625" customWidth="1"/>
    <col min="15621" max="15621" width="10.5703125" customWidth="1"/>
    <col min="15622" max="15623" width="15.42578125" bestFit="1" customWidth="1"/>
    <col min="15624" max="15624" width="1.140625" customWidth="1"/>
    <col min="15625" max="15625" width="13.5703125" bestFit="1" customWidth="1"/>
    <col min="15626" max="15626" width="45.85546875" bestFit="1" customWidth="1"/>
    <col min="15627" max="15628" width="22" customWidth="1"/>
    <col min="15873" max="15873" width="1.5703125" customWidth="1"/>
    <col min="15874" max="15874" width="5.140625" customWidth="1"/>
    <col min="15875" max="15875" width="2.5703125" customWidth="1"/>
    <col min="15876" max="15876" width="59.28515625" customWidth="1"/>
    <col min="15877" max="15877" width="10.5703125" customWidth="1"/>
    <col min="15878" max="15879" width="15.42578125" bestFit="1" customWidth="1"/>
    <col min="15880" max="15880" width="1.140625" customWidth="1"/>
    <col min="15881" max="15881" width="13.5703125" bestFit="1" customWidth="1"/>
    <col min="15882" max="15882" width="45.85546875" bestFit="1" customWidth="1"/>
    <col min="15883" max="15884" width="22" customWidth="1"/>
    <col min="16129" max="16129" width="1.5703125" customWidth="1"/>
    <col min="16130" max="16130" width="5.140625" customWidth="1"/>
    <col min="16131" max="16131" width="2.5703125" customWidth="1"/>
    <col min="16132" max="16132" width="59.28515625" customWidth="1"/>
    <col min="16133" max="16133" width="10.5703125" customWidth="1"/>
    <col min="16134" max="16135" width="15.42578125" bestFit="1" customWidth="1"/>
    <col min="16136" max="16136" width="1.140625" customWidth="1"/>
    <col min="16137" max="16137" width="13.5703125" bestFit="1" customWidth="1"/>
    <col min="16138" max="16138" width="45.85546875" bestFit="1" customWidth="1"/>
    <col min="16139" max="16140" width="22" customWidth="1"/>
  </cols>
  <sheetData>
    <row r="1" spans="2:10" x14ac:dyDescent="0.2">
      <c r="B1" s="12" t="s">
        <v>70</v>
      </c>
      <c r="C1" s="12"/>
      <c r="D1" s="12"/>
      <c r="E1" s="12"/>
      <c r="F1" s="12"/>
      <c r="G1" s="12"/>
      <c r="H1" s="37"/>
      <c r="I1" s="12"/>
      <c r="J1" s="12"/>
    </row>
    <row r="2" spans="2:10" x14ac:dyDescent="0.2">
      <c r="B2" s="12" t="s">
        <v>187</v>
      </c>
      <c r="C2" s="12"/>
      <c r="D2" s="12"/>
      <c r="E2" s="12"/>
      <c r="F2" s="12"/>
      <c r="G2" s="12"/>
      <c r="H2" s="37"/>
      <c r="I2" s="12"/>
      <c r="J2" s="12"/>
    </row>
    <row r="3" spans="2:10" x14ac:dyDescent="0.2">
      <c r="B3" s="12" t="s">
        <v>232</v>
      </c>
      <c r="C3" s="12"/>
      <c r="D3" s="12"/>
      <c r="E3" s="12"/>
      <c r="F3" s="12"/>
      <c r="G3" s="12"/>
      <c r="H3" s="37"/>
      <c r="I3" s="12"/>
      <c r="J3" s="12"/>
    </row>
    <row r="4" spans="2:10" x14ac:dyDescent="0.2">
      <c r="B4" s="12" t="s">
        <v>233</v>
      </c>
      <c r="C4" s="12"/>
      <c r="D4" s="12"/>
      <c r="E4" s="12"/>
      <c r="F4" s="12"/>
      <c r="G4" s="12"/>
      <c r="H4" s="37"/>
      <c r="I4" s="12"/>
      <c r="J4" s="12"/>
    </row>
    <row r="5" spans="2:10" x14ac:dyDescent="0.2">
      <c r="B5" s="12"/>
      <c r="C5" s="12"/>
      <c r="D5" s="12"/>
      <c r="E5" s="12"/>
      <c r="F5" s="12"/>
      <c r="G5" s="12"/>
      <c r="H5" s="37"/>
      <c r="I5" s="12"/>
      <c r="J5" s="12"/>
    </row>
    <row r="6" spans="2:10" x14ac:dyDescent="0.2">
      <c r="B6" s="12"/>
      <c r="C6" s="12"/>
      <c r="D6" s="12"/>
      <c r="E6" s="12"/>
      <c r="F6" s="12"/>
      <c r="G6" s="38"/>
      <c r="H6" s="37"/>
      <c r="I6" s="12"/>
      <c r="J6" s="12"/>
    </row>
    <row r="7" spans="2:10" x14ac:dyDescent="0.2">
      <c r="F7" s="8"/>
      <c r="G7" s="38" t="s">
        <v>234</v>
      </c>
      <c r="H7" s="38"/>
      <c r="I7" s="38"/>
    </row>
    <row r="8" spans="2:10" x14ac:dyDescent="0.2">
      <c r="F8" s="38">
        <v>2010</v>
      </c>
      <c r="G8" s="38" t="s">
        <v>92</v>
      </c>
      <c r="H8" s="38"/>
      <c r="I8" s="38" t="s">
        <v>234</v>
      </c>
      <c r="J8" s="39"/>
    </row>
    <row r="9" spans="2:10" x14ac:dyDescent="0.2">
      <c r="B9" s="40" t="s">
        <v>95</v>
      </c>
      <c r="C9" s="41" t="s">
        <v>3</v>
      </c>
      <c r="D9" s="41"/>
      <c r="E9" s="42" t="s">
        <v>93</v>
      </c>
      <c r="F9" s="40" t="s">
        <v>235</v>
      </c>
      <c r="G9" s="40" t="s">
        <v>236</v>
      </c>
      <c r="H9" s="38"/>
      <c r="I9" s="40" t="s">
        <v>237</v>
      </c>
      <c r="J9" s="40" t="s">
        <v>238</v>
      </c>
    </row>
    <row r="10" spans="2:10" x14ac:dyDescent="0.2">
      <c r="C10" s="7" t="s">
        <v>239</v>
      </c>
      <c r="E10" s="43"/>
      <c r="F10" s="44"/>
      <c r="G10" s="45"/>
      <c r="H10" s="46"/>
      <c r="I10" s="19"/>
      <c r="J10" s="8"/>
    </row>
    <row r="11" spans="2:10" x14ac:dyDescent="0.2">
      <c r="B11">
        <v>1</v>
      </c>
      <c r="C11" t="s">
        <v>240</v>
      </c>
      <c r="E11" s="43"/>
      <c r="F11" s="44"/>
      <c r="G11" s="45"/>
      <c r="H11" s="46"/>
      <c r="I11" s="19"/>
      <c r="J11" s="8"/>
    </row>
    <row r="12" spans="2:10" x14ac:dyDescent="0.2">
      <c r="B12">
        <f>B11+1</f>
        <v>2</v>
      </c>
      <c r="D12" t="s">
        <v>241</v>
      </c>
      <c r="E12" s="43"/>
      <c r="F12" s="47">
        <f>'JKP-7.6c - PGA-2.1'!J41</f>
        <v>743510</v>
      </c>
      <c r="G12" s="45">
        <f>F12</f>
        <v>743510</v>
      </c>
      <c r="H12" s="46"/>
      <c r="I12" s="19" t="s">
        <v>242</v>
      </c>
      <c r="J12" s="8" t="s">
        <v>243</v>
      </c>
    </row>
    <row r="13" spans="2:10" x14ac:dyDescent="0.2">
      <c r="B13">
        <f t="shared" ref="B13:B35" si="0">B12+1</f>
        <v>3</v>
      </c>
      <c r="D13" t="s">
        <v>244</v>
      </c>
      <c r="E13" s="43"/>
      <c r="F13" s="48">
        <f>SUM(F12:F12)</f>
        <v>743510</v>
      </c>
      <c r="G13" s="48">
        <f>SUM(G12:G12)</f>
        <v>743510</v>
      </c>
      <c r="H13" s="46"/>
      <c r="I13" s="19"/>
      <c r="J13" s="8"/>
    </row>
    <row r="14" spans="2:10" x14ac:dyDescent="0.2">
      <c r="E14" s="43"/>
      <c r="F14" s="44"/>
      <c r="G14" s="45"/>
      <c r="H14" s="46"/>
      <c r="I14" s="19"/>
      <c r="J14" s="8"/>
    </row>
    <row r="15" spans="2:10" x14ac:dyDescent="0.2">
      <c r="B15">
        <f>B13+1</f>
        <v>4</v>
      </c>
      <c r="C15" t="s">
        <v>245</v>
      </c>
      <c r="E15" s="43"/>
      <c r="F15" s="44"/>
      <c r="G15" s="45"/>
      <c r="H15" s="46"/>
      <c r="I15" s="19"/>
      <c r="J15" s="8"/>
    </row>
    <row r="16" spans="2:10" x14ac:dyDescent="0.2">
      <c r="B16">
        <f t="shared" si="0"/>
        <v>5</v>
      </c>
      <c r="D16" t="s">
        <v>246</v>
      </c>
      <c r="E16" s="43"/>
      <c r="F16" s="44">
        <f>'JKP-7.6c - PGA-2.1'!J29</f>
        <v>3826382.58</v>
      </c>
      <c r="G16" s="45">
        <f>F16</f>
        <v>3826382.58</v>
      </c>
      <c r="H16" s="46"/>
      <c r="I16" s="19" t="s">
        <v>247</v>
      </c>
      <c r="J16" s="8" t="s">
        <v>248</v>
      </c>
    </row>
    <row r="17" spans="2:10" x14ac:dyDescent="0.2">
      <c r="B17">
        <f t="shared" si="0"/>
        <v>6</v>
      </c>
      <c r="D17" t="s">
        <v>249</v>
      </c>
      <c r="E17" s="43"/>
      <c r="F17" s="49">
        <f>'JKP-7.6c - PGA-2.1'!J30</f>
        <v>3826677.5999999996</v>
      </c>
      <c r="G17" s="45">
        <f t="shared" ref="G17:G22" si="1">F17</f>
        <v>3826677.5999999996</v>
      </c>
      <c r="H17" s="46"/>
      <c r="I17" s="19" t="s">
        <v>247</v>
      </c>
      <c r="J17" s="8" t="s">
        <v>248</v>
      </c>
    </row>
    <row r="18" spans="2:10" x14ac:dyDescent="0.2">
      <c r="B18">
        <f t="shared" si="0"/>
        <v>7</v>
      </c>
      <c r="D18" t="s">
        <v>250</v>
      </c>
      <c r="E18" s="50">
        <f>1-E19</f>
        <v>0.8</v>
      </c>
      <c r="F18" s="44">
        <f>'JKP-7.6c - PGA-2.1'!J20*E18</f>
        <v>301295.46084000001</v>
      </c>
      <c r="G18" s="45">
        <f>F18</f>
        <v>301295.46084000001</v>
      </c>
      <c r="H18" s="46"/>
      <c r="I18" s="19" t="s">
        <v>251</v>
      </c>
      <c r="J18" s="8" t="s">
        <v>252</v>
      </c>
    </row>
    <row r="19" spans="2:10" x14ac:dyDescent="0.2">
      <c r="B19">
        <f t="shared" si="0"/>
        <v>8</v>
      </c>
      <c r="D19" t="s">
        <v>253</v>
      </c>
      <c r="E19" s="28">
        <v>0.2</v>
      </c>
      <c r="F19" s="44">
        <f>'JKP-7.6c - PGA-2.1'!J20-F18</f>
        <v>75323.86520999996</v>
      </c>
      <c r="G19" s="45">
        <f t="shared" si="1"/>
        <v>75323.86520999996</v>
      </c>
      <c r="H19" s="46"/>
      <c r="I19" s="19" t="s">
        <v>254</v>
      </c>
      <c r="J19" s="8" t="s">
        <v>255</v>
      </c>
    </row>
    <row r="20" spans="2:10" x14ac:dyDescent="0.2">
      <c r="B20">
        <f t="shared" si="0"/>
        <v>9</v>
      </c>
      <c r="D20" t="s">
        <v>256</v>
      </c>
      <c r="E20" s="50">
        <f>1-E21</f>
        <v>0.8</v>
      </c>
      <c r="F20" s="44">
        <f>'JKP-7.6c - PGA-2.1'!J21*E20</f>
        <v>239109.24575999999</v>
      </c>
      <c r="G20" s="45">
        <f t="shared" si="1"/>
        <v>239109.24575999999</v>
      </c>
      <c r="H20" s="46"/>
      <c r="I20" s="19" t="s">
        <v>251</v>
      </c>
      <c r="J20" s="8" t="s">
        <v>252</v>
      </c>
    </row>
    <row r="21" spans="2:10" x14ac:dyDescent="0.2">
      <c r="B21">
        <f t="shared" si="0"/>
        <v>10</v>
      </c>
      <c r="D21" t="s">
        <v>257</v>
      </c>
      <c r="E21" s="50">
        <f>E19</f>
        <v>0.2</v>
      </c>
      <c r="F21" s="44">
        <f>'JKP-7.6c - PGA-2.1'!J21-F20</f>
        <v>59777.31143999999</v>
      </c>
      <c r="G21" s="45">
        <f t="shared" si="1"/>
        <v>59777.31143999999</v>
      </c>
      <c r="H21" s="46"/>
      <c r="I21" s="19" t="s">
        <v>254</v>
      </c>
      <c r="J21" s="8" t="s">
        <v>255</v>
      </c>
    </row>
    <row r="22" spans="2:10" x14ac:dyDescent="0.2">
      <c r="B22">
        <f t="shared" si="0"/>
        <v>11</v>
      </c>
      <c r="D22" t="s">
        <v>258</v>
      </c>
      <c r="E22" s="43"/>
      <c r="F22" s="44">
        <f>'JKP-7.6c - PGA-2.1'!J23</f>
        <v>787929.15</v>
      </c>
      <c r="G22" s="45">
        <f t="shared" si="1"/>
        <v>787929.15</v>
      </c>
      <c r="H22" s="46"/>
      <c r="I22" s="19" t="s">
        <v>242</v>
      </c>
      <c r="J22" s="8" t="s">
        <v>243</v>
      </c>
    </row>
    <row r="23" spans="2:10" x14ac:dyDescent="0.2">
      <c r="B23">
        <f t="shared" si="0"/>
        <v>12</v>
      </c>
      <c r="D23" t="s">
        <v>259</v>
      </c>
      <c r="E23" s="43"/>
      <c r="F23" s="44">
        <f>'JKP-7.6c - PGA-2.1'!J24</f>
        <v>344942.15500000003</v>
      </c>
      <c r="G23" s="45">
        <f>F23</f>
        <v>344942.15500000003</v>
      </c>
      <c r="H23" s="46"/>
      <c r="I23" s="19" t="s">
        <v>242</v>
      </c>
      <c r="J23" s="8" t="s">
        <v>243</v>
      </c>
    </row>
    <row r="24" spans="2:10" x14ac:dyDescent="0.2">
      <c r="B24">
        <f>B23+1</f>
        <v>13</v>
      </c>
      <c r="D24" t="s">
        <v>260</v>
      </c>
      <c r="E24" s="43"/>
      <c r="F24" s="48">
        <f>SUM(F16:F23)</f>
        <v>9461437.3682499994</v>
      </c>
      <c r="G24" s="48">
        <f>SUM(G16:G23)</f>
        <v>9461437.3682499994</v>
      </c>
      <c r="H24" s="46"/>
      <c r="I24" s="19"/>
      <c r="J24" s="8"/>
    </row>
    <row r="25" spans="2:10" x14ac:dyDescent="0.2">
      <c r="E25" s="43"/>
      <c r="F25" s="44"/>
      <c r="G25" s="45"/>
      <c r="H25" s="46"/>
      <c r="I25" s="19"/>
      <c r="J25" s="8"/>
    </row>
    <row r="26" spans="2:10" x14ac:dyDescent="0.2">
      <c r="B26">
        <f>B24+1</f>
        <v>14</v>
      </c>
      <c r="C26" t="s">
        <v>261</v>
      </c>
      <c r="E26" s="43"/>
      <c r="F26" s="44"/>
      <c r="G26" s="45"/>
      <c r="H26" s="46"/>
      <c r="I26" s="19"/>
      <c r="J26" s="8"/>
    </row>
    <row r="27" spans="2:10" x14ac:dyDescent="0.2">
      <c r="B27">
        <f t="shared" si="0"/>
        <v>15</v>
      </c>
      <c r="D27" s="9" t="s">
        <v>262</v>
      </c>
      <c r="E27" s="51"/>
      <c r="F27" s="47">
        <f>'JKP-7.6c - PGA-2.1'!J13+'JKP-7.6c - PGA-2.1'!J15</f>
        <v>71190054.301615998</v>
      </c>
      <c r="G27" s="52">
        <f t="shared" ref="G27:G34" si="2">F27</f>
        <v>71190054.301615998</v>
      </c>
      <c r="H27" s="24"/>
      <c r="I27" s="25" t="s">
        <v>263</v>
      </c>
      <c r="J27" s="8" t="s">
        <v>264</v>
      </c>
    </row>
    <row r="28" spans="2:10" x14ac:dyDescent="0.2">
      <c r="B28">
        <f t="shared" si="0"/>
        <v>16</v>
      </c>
      <c r="D28" s="9" t="s">
        <v>265</v>
      </c>
      <c r="E28" s="51"/>
      <c r="F28" s="47">
        <f>'JKP-7.6c - PGA-2.1'!J17</f>
        <v>793200.00000000012</v>
      </c>
      <c r="G28" s="52">
        <f t="shared" si="2"/>
        <v>793200.00000000012</v>
      </c>
      <c r="H28" s="24"/>
      <c r="I28" s="25" t="s">
        <v>263</v>
      </c>
      <c r="J28" s="8" t="s">
        <v>264</v>
      </c>
    </row>
    <row r="29" spans="2:10" x14ac:dyDescent="0.2">
      <c r="B29">
        <f t="shared" si="0"/>
        <v>17</v>
      </c>
      <c r="D29" s="9" t="s">
        <v>266</v>
      </c>
      <c r="E29" s="51"/>
      <c r="F29" s="47">
        <f>'JKP-7.6c - PGA-2.1'!J32</f>
        <v>3577160.6</v>
      </c>
      <c r="G29" s="52">
        <f t="shared" si="2"/>
        <v>3577160.6</v>
      </c>
      <c r="H29" s="24"/>
      <c r="I29" s="25" t="s">
        <v>263</v>
      </c>
      <c r="J29" s="8" t="s">
        <v>264</v>
      </c>
    </row>
    <row r="30" spans="2:10" x14ac:dyDescent="0.2">
      <c r="B30">
        <f t="shared" si="0"/>
        <v>18</v>
      </c>
      <c r="D30" t="s">
        <v>267</v>
      </c>
      <c r="E30" s="43"/>
      <c r="F30" s="47">
        <f>'JKP-7.6c - PGA-2.1'!J33</f>
        <v>16793947.977750003</v>
      </c>
      <c r="G30" s="45">
        <f t="shared" si="2"/>
        <v>16793947.977750003</v>
      </c>
      <c r="H30" s="46"/>
      <c r="I30" s="25" t="s">
        <v>263</v>
      </c>
      <c r="J30" s="8" t="s">
        <v>264</v>
      </c>
    </row>
    <row r="31" spans="2:10" x14ac:dyDescent="0.2">
      <c r="B31">
        <f t="shared" si="0"/>
        <v>19</v>
      </c>
      <c r="D31" t="s">
        <v>268</v>
      </c>
      <c r="E31" s="43"/>
      <c r="F31" s="47">
        <f>'JKP-7.6c - PGA-2.1'!J34+'JKP-7.6c - PGA-2.1'!J35</f>
        <v>7794045.0253201388</v>
      </c>
      <c r="G31" s="45">
        <f t="shared" si="2"/>
        <v>7794045.0253201388</v>
      </c>
      <c r="H31" s="46"/>
      <c r="I31" s="25" t="s">
        <v>263</v>
      </c>
      <c r="J31" s="8" t="s">
        <v>264</v>
      </c>
    </row>
    <row r="32" spans="2:10" x14ac:dyDescent="0.2">
      <c r="B32">
        <f t="shared" si="0"/>
        <v>20</v>
      </c>
      <c r="D32" t="s">
        <v>269</v>
      </c>
      <c r="E32" s="50">
        <f>E18</f>
        <v>0.8</v>
      </c>
      <c r="F32" s="47">
        <f>'JKP-7.6c - Data GRC11'!B24-F33</f>
        <v>2750729.8700800007</v>
      </c>
      <c r="G32" s="45">
        <f t="shared" si="2"/>
        <v>2750729.8700800007</v>
      </c>
      <c r="H32" s="46"/>
      <c r="I32" s="19" t="s">
        <v>251</v>
      </c>
      <c r="J32" s="8" t="s">
        <v>252</v>
      </c>
    </row>
    <row r="33" spans="2:10" x14ac:dyDescent="0.2">
      <c r="B33">
        <f t="shared" si="0"/>
        <v>21</v>
      </c>
      <c r="D33" t="s">
        <v>270</v>
      </c>
      <c r="E33" s="50">
        <f>E19</f>
        <v>0.2</v>
      </c>
      <c r="F33" s="47">
        <f>'JKP-7.6c - Data GRC11'!B24*E33</f>
        <v>687682.46752000018</v>
      </c>
      <c r="G33" s="45">
        <f t="shared" si="2"/>
        <v>687682.46752000018</v>
      </c>
      <c r="H33" s="46"/>
      <c r="I33" s="19" t="s">
        <v>254</v>
      </c>
      <c r="J33" s="8" t="s">
        <v>255</v>
      </c>
    </row>
    <row r="34" spans="2:10" x14ac:dyDescent="0.2">
      <c r="B34">
        <f t="shared" si="0"/>
        <v>22</v>
      </c>
      <c r="D34" t="s">
        <v>271</v>
      </c>
      <c r="E34" s="43"/>
      <c r="F34" s="47">
        <f>'JKP-7.6c - Data GRC11'!B25</f>
        <v>91807.327999999994</v>
      </c>
      <c r="G34" s="45">
        <f t="shared" si="2"/>
        <v>91807.327999999994</v>
      </c>
      <c r="H34" s="46"/>
      <c r="I34" s="19" t="s">
        <v>242</v>
      </c>
      <c r="J34" s="8" t="s">
        <v>243</v>
      </c>
    </row>
    <row r="35" spans="2:10" x14ac:dyDescent="0.2">
      <c r="B35">
        <f t="shared" si="0"/>
        <v>23</v>
      </c>
      <c r="D35" t="s">
        <v>272</v>
      </c>
      <c r="E35" s="43"/>
      <c r="F35" s="48">
        <f>SUM(F27:F34)</f>
        <v>103678627.57028612</v>
      </c>
      <c r="G35" s="48">
        <f>SUM(G27:G34)</f>
        <v>103678627.57028612</v>
      </c>
      <c r="H35" s="46"/>
      <c r="I35" s="19"/>
      <c r="J35" s="8"/>
    </row>
    <row r="36" spans="2:10" x14ac:dyDescent="0.2">
      <c r="E36" s="43"/>
      <c r="F36" s="44"/>
      <c r="G36" s="45"/>
      <c r="H36" s="46"/>
      <c r="I36" s="19"/>
      <c r="J36" s="8"/>
    </row>
    <row r="37" spans="2:10" x14ac:dyDescent="0.2">
      <c r="B37">
        <f>B35+1</f>
        <v>24</v>
      </c>
      <c r="C37" t="s">
        <v>273</v>
      </c>
      <c r="E37" s="43"/>
      <c r="F37" s="47">
        <f>'JKP-7.6c - PGA-2.1'!J36+'JKP-7.6c - PGA-2.1'!J37</f>
        <v>-5013660.87</v>
      </c>
      <c r="G37" s="45">
        <f>F37</f>
        <v>-5013660.87</v>
      </c>
      <c r="H37" s="46"/>
      <c r="I37" s="25" t="s">
        <v>263</v>
      </c>
      <c r="J37" s="8" t="s">
        <v>264</v>
      </c>
    </row>
    <row r="38" spans="2:10" x14ac:dyDescent="0.2">
      <c r="B38">
        <f>B37+1</f>
        <v>25</v>
      </c>
      <c r="C38" t="s">
        <v>274</v>
      </c>
      <c r="E38" s="43"/>
      <c r="F38" s="48">
        <f>F13+F24+F35+F37</f>
        <v>108869914.06853612</v>
      </c>
      <c r="G38" s="48">
        <f>G13+G24+G35+G37</f>
        <v>108869914.06853612</v>
      </c>
      <c r="H38" s="46"/>
      <c r="I38" s="19"/>
      <c r="J38" s="8"/>
    </row>
    <row r="39" spans="2:10" x14ac:dyDescent="0.2">
      <c r="E39" s="43"/>
      <c r="F39" s="44"/>
      <c r="G39" s="45"/>
      <c r="H39" s="46"/>
      <c r="I39" s="19"/>
      <c r="J39" s="8"/>
    </row>
    <row r="40" spans="2:10" x14ac:dyDescent="0.2">
      <c r="C40" s="7" t="s">
        <v>275</v>
      </c>
      <c r="E40" s="43"/>
      <c r="F40" s="44"/>
      <c r="G40" s="45"/>
      <c r="H40" s="46"/>
      <c r="I40" s="19"/>
      <c r="J40" s="8"/>
    </row>
    <row r="41" spans="2:10" x14ac:dyDescent="0.2">
      <c r="B41">
        <f>B38+1</f>
        <v>26</v>
      </c>
      <c r="C41" t="s">
        <v>240</v>
      </c>
      <c r="E41" s="43"/>
      <c r="F41" s="44"/>
      <c r="G41" s="45"/>
      <c r="H41" s="46"/>
      <c r="I41" s="19"/>
      <c r="J41" s="8"/>
    </row>
    <row r="42" spans="2:10" x14ac:dyDescent="0.2">
      <c r="B42">
        <f t="shared" ref="B42:B79" si="3">B41+1</f>
        <v>27</v>
      </c>
      <c r="D42" t="s">
        <v>276</v>
      </c>
      <c r="E42" s="43"/>
      <c r="F42" s="47">
        <f>'JKP-7.6c - PGA-2.1'!G42-'JKP-7.6c - Gas Costs'!F43</f>
        <v>668497000</v>
      </c>
      <c r="G42" s="45">
        <f>F42</f>
        <v>668497000</v>
      </c>
      <c r="H42" s="46"/>
      <c r="I42" s="19" t="s">
        <v>277</v>
      </c>
      <c r="J42" s="8" t="s">
        <v>278</v>
      </c>
    </row>
    <row r="43" spans="2:10" x14ac:dyDescent="0.2">
      <c r="B43">
        <f>B42+1</f>
        <v>28</v>
      </c>
      <c r="D43" t="s">
        <v>241</v>
      </c>
      <c r="F43" s="47">
        <f>'JKP-7.6c - Data GRC11'!B12</f>
        <v>0</v>
      </c>
      <c r="G43" s="45">
        <f>F43</f>
        <v>0</v>
      </c>
      <c r="H43" s="46"/>
      <c r="I43" s="19" t="s">
        <v>242</v>
      </c>
      <c r="J43" s="8" t="s">
        <v>243</v>
      </c>
    </row>
    <row r="44" spans="2:10" x14ac:dyDescent="0.2">
      <c r="B44">
        <f>B43+1</f>
        <v>29</v>
      </c>
      <c r="D44" t="s">
        <v>279</v>
      </c>
      <c r="F44" s="44">
        <f>'JKP-7.6c - PGA-2.1'!G43</f>
        <v>96648491.83480598</v>
      </c>
      <c r="G44" s="45">
        <f>F44</f>
        <v>96648491.83480598</v>
      </c>
      <c r="H44" s="46"/>
      <c r="I44" s="19" t="s">
        <v>247</v>
      </c>
      <c r="J44" s="8" t="s">
        <v>248</v>
      </c>
    </row>
    <row r="45" spans="2:10" x14ac:dyDescent="0.2">
      <c r="B45">
        <f t="shared" si="3"/>
        <v>30</v>
      </c>
      <c r="D45" t="s">
        <v>280</v>
      </c>
      <c r="F45" s="44">
        <f>'JKP-7.6c - PGA-2.1'!G44</f>
        <v>-91741000</v>
      </c>
      <c r="G45" s="45">
        <f>F45</f>
        <v>-91741000</v>
      </c>
      <c r="H45" s="46"/>
      <c r="I45" s="19" t="s">
        <v>247</v>
      </c>
      <c r="J45" s="8" t="s">
        <v>248</v>
      </c>
    </row>
    <row r="46" spans="2:10" x14ac:dyDescent="0.2">
      <c r="B46">
        <f t="shared" si="3"/>
        <v>31</v>
      </c>
      <c r="D46" t="s">
        <v>281</v>
      </c>
      <c r="F46" s="44">
        <f>'JKP-7.6c - PGA-2.1'!G45</f>
        <v>-172606127.68622458</v>
      </c>
      <c r="G46" s="45">
        <f>F46</f>
        <v>-172606127.68622458</v>
      </c>
      <c r="H46" s="46"/>
      <c r="I46" s="19" t="s">
        <v>277</v>
      </c>
      <c r="J46" s="8" t="s">
        <v>278</v>
      </c>
    </row>
    <row r="47" spans="2:10" x14ac:dyDescent="0.2">
      <c r="B47">
        <f t="shared" si="3"/>
        <v>32</v>
      </c>
      <c r="D47" s="9" t="s">
        <v>282</v>
      </c>
      <c r="E47" s="9"/>
      <c r="F47" s="47"/>
      <c r="G47" s="45">
        <f>F79</f>
        <v>-10132257.655025108</v>
      </c>
      <c r="H47" s="46"/>
      <c r="I47" s="19" t="s">
        <v>277</v>
      </c>
      <c r="J47" s="8" t="s">
        <v>278</v>
      </c>
    </row>
    <row r="48" spans="2:10" x14ac:dyDescent="0.2">
      <c r="B48">
        <f t="shared" si="3"/>
        <v>33</v>
      </c>
      <c r="D48" s="9" t="s">
        <v>283</v>
      </c>
      <c r="E48" s="9"/>
      <c r="F48" s="47"/>
      <c r="G48" s="45">
        <f>G71-SUM(G38,G42:G47,G57,G67)</f>
        <v>-3292353.2351326942</v>
      </c>
      <c r="H48" s="46"/>
      <c r="I48" s="19" t="s">
        <v>277</v>
      </c>
      <c r="J48" s="8" t="s">
        <v>278</v>
      </c>
    </row>
    <row r="49" spans="2:10" x14ac:dyDescent="0.2">
      <c r="B49">
        <f t="shared" si="3"/>
        <v>34</v>
      </c>
      <c r="D49" t="s">
        <v>284</v>
      </c>
      <c r="F49" s="48">
        <f>SUM(F42:F47)</f>
        <v>500798364.14858139</v>
      </c>
      <c r="G49" s="48">
        <f>SUM(G42:G48)</f>
        <v>487373753.25842357</v>
      </c>
      <c r="H49" s="46"/>
      <c r="I49" s="19"/>
      <c r="J49" s="8"/>
    </row>
    <row r="50" spans="2:10" x14ac:dyDescent="0.2">
      <c r="F50" s="44"/>
      <c r="G50" s="45"/>
      <c r="H50" s="46"/>
      <c r="I50" s="19"/>
      <c r="J50" s="8"/>
    </row>
    <row r="51" spans="2:10" x14ac:dyDescent="0.2">
      <c r="B51">
        <f>B49+1</f>
        <v>35</v>
      </c>
      <c r="C51" t="s">
        <v>245</v>
      </c>
      <c r="F51" s="44"/>
      <c r="G51" s="18"/>
      <c r="H51" s="19"/>
      <c r="I51" s="19"/>
      <c r="J51" s="8"/>
    </row>
    <row r="52" spans="2:10" x14ac:dyDescent="0.2">
      <c r="B52">
        <f>B51+1</f>
        <v>36</v>
      </c>
      <c r="D52" t="s">
        <v>285</v>
      </c>
      <c r="E52" s="53">
        <f>E18</f>
        <v>0.8</v>
      </c>
      <c r="F52" s="44">
        <f>'JKP-7.6c - PGA-2.1'!G22-'JKP-7.6c - Gas Costs'!F53</f>
        <v>149600</v>
      </c>
      <c r="G52" s="18">
        <f>F52</f>
        <v>149600</v>
      </c>
      <c r="H52" s="19"/>
      <c r="I52" s="19" t="s">
        <v>251</v>
      </c>
      <c r="J52" s="8" t="s">
        <v>252</v>
      </c>
    </row>
    <row r="53" spans="2:10" x14ac:dyDescent="0.2">
      <c r="B53">
        <f>B52+1</f>
        <v>37</v>
      </c>
      <c r="D53" t="s">
        <v>286</v>
      </c>
      <c r="E53" s="53">
        <f>E19</f>
        <v>0.2</v>
      </c>
      <c r="F53" s="44">
        <f>'JKP-7.6c - PGA-2.1'!G22*'JKP-7.6c - Gas Costs'!E53</f>
        <v>37400</v>
      </c>
      <c r="G53" s="18">
        <f>F53</f>
        <v>37400</v>
      </c>
      <c r="H53" s="19"/>
      <c r="I53" s="19" t="s">
        <v>254</v>
      </c>
      <c r="J53" s="8" t="s">
        <v>255</v>
      </c>
    </row>
    <row r="54" spans="2:10" x14ac:dyDescent="0.2">
      <c r="B54">
        <f>B53+1</f>
        <v>38</v>
      </c>
      <c r="D54" t="s">
        <v>287</v>
      </c>
      <c r="F54" s="44">
        <f>'JKP-7.6c - PGA-2.1'!G25</f>
        <v>139118.70000000001</v>
      </c>
      <c r="G54" s="45">
        <f>F54</f>
        <v>139118.70000000001</v>
      </c>
      <c r="H54" s="19"/>
      <c r="I54" s="19" t="s">
        <v>242</v>
      </c>
      <c r="J54" s="8" t="s">
        <v>243</v>
      </c>
    </row>
    <row r="55" spans="2:10" x14ac:dyDescent="0.2">
      <c r="B55">
        <f t="shared" si="3"/>
        <v>39</v>
      </c>
      <c r="D55" t="s">
        <v>288</v>
      </c>
      <c r="F55" s="44">
        <f>'JKP-7.6c - PGA-2.1'!G26</f>
        <v>9246.6400000000012</v>
      </c>
      <c r="G55" s="45">
        <f>F55</f>
        <v>9246.6400000000012</v>
      </c>
      <c r="H55" s="19"/>
      <c r="I55" s="19" t="s">
        <v>242</v>
      </c>
      <c r="J55" s="8" t="s">
        <v>243</v>
      </c>
    </row>
    <row r="56" spans="2:10" x14ac:dyDescent="0.2">
      <c r="B56">
        <f t="shared" si="3"/>
        <v>40</v>
      </c>
      <c r="D56" t="s">
        <v>289</v>
      </c>
      <c r="F56" s="44">
        <f>'JKP-7.6c - PGA-2.1'!G31</f>
        <v>939000</v>
      </c>
      <c r="G56" s="45">
        <f>F56</f>
        <v>939000</v>
      </c>
      <c r="H56" s="19"/>
      <c r="I56" s="19" t="s">
        <v>247</v>
      </c>
      <c r="J56" s="8" t="s">
        <v>248</v>
      </c>
    </row>
    <row r="57" spans="2:10" x14ac:dyDescent="0.2">
      <c r="B57">
        <f t="shared" si="3"/>
        <v>41</v>
      </c>
      <c r="D57" t="s">
        <v>290</v>
      </c>
      <c r="F57" s="54">
        <f>SUM(F52:F56)</f>
        <v>1274365.3400000001</v>
      </c>
      <c r="G57" s="54">
        <f>SUM(G52:G56)</f>
        <v>1274365.3400000001</v>
      </c>
      <c r="H57" s="19"/>
      <c r="I57" s="19"/>
      <c r="J57" s="8"/>
    </row>
    <row r="58" spans="2:10" x14ac:dyDescent="0.2">
      <c r="F58" s="44"/>
      <c r="G58" s="18"/>
      <c r="H58" s="19"/>
      <c r="I58" s="19"/>
      <c r="J58" s="8"/>
    </row>
    <row r="59" spans="2:10" x14ac:dyDescent="0.2">
      <c r="B59">
        <f>B57+1</f>
        <v>42</v>
      </c>
      <c r="C59" t="s">
        <v>261</v>
      </c>
      <c r="F59" s="44"/>
      <c r="G59" s="18"/>
      <c r="H59" s="19"/>
      <c r="I59" s="19"/>
      <c r="J59" s="8"/>
    </row>
    <row r="60" spans="2:10" x14ac:dyDescent="0.2">
      <c r="B60">
        <f t="shared" si="3"/>
        <v>43</v>
      </c>
      <c r="D60" t="s">
        <v>291</v>
      </c>
      <c r="F60" s="47">
        <f>'JKP-7.6c - PGA-2.1'!G14+'JKP-7.6c - PGA-2.1'!G16</f>
        <v>2729511.5119903544</v>
      </c>
      <c r="G60" s="45">
        <f t="shared" ref="G60:G66" si="4">F60</f>
        <v>2729511.5119903544</v>
      </c>
      <c r="H60" s="19"/>
      <c r="I60" s="19" t="s">
        <v>263</v>
      </c>
      <c r="J60" s="8" t="s">
        <v>264</v>
      </c>
    </row>
    <row r="61" spans="2:10" x14ac:dyDescent="0.2">
      <c r="B61">
        <f t="shared" si="3"/>
        <v>44</v>
      </c>
      <c r="D61" t="s">
        <v>269</v>
      </c>
      <c r="E61" s="50">
        <f>E18</f>
        <v>0.8</v>
      </c>
      <c r="F61" s="47">
        <f>'JKP-7.6c - Data GRC11'!B20-F62</f>
        <v>247434.96000000002</v>
      </c>
      <c r="G61" s="45">
        <f t="shared" si="4"/>
        <v>247434.96000000002</v>
      </c>
      <c r="H61" s="19"/>
      <c r="I61" s="19" t="s">
        <v>251</v>
      </c>
      <c r="J61" s="8" t="s">
        <v>252</v>
      </c>
    </row>
    <row r="62" spans="2:10" x14ac:dyDescent="0.2">
      <c r="B62">
        <f t="shared" si="3"/>
        <v>45</v>
      </c>
      <c r="D62" t="s">
        <v>270</v>
      </c>
      <c r="E62" s="50">
        <f>E19</f>
        <v>0.2</v>
      </c>
      <c r="F62" s="47">
        <f>'JKP-7.6c - Data GRC11'!B20*E62</f>
        <v>61858.740000000005</v>
      </c>
      <c r="G62" s="45">
        <f t="shared" si="4"/>
        <v>61858.740000000005</v>
      </c>
      <c r="H62" s="19"/>
      <c r="I62" s="19" t="s">
        <v>254</v>
      </c>
      <c r="J62" s="8" t="s">
        <v>255</v>
      </c>
    </row>
    <row r="63" spans="2:10" x14ac:dyDescent="0.2">
      <c r="B63">
        <f t="shared" si="3"/>
        <v>46</v>
      </c>
      <c r="D63" t="s">
        <v>271</v>
      </c>
      <c r="E63" s="43"/>
      <c r="F63" s="47">
        <f>'JKP-7.6c - Data GRC11'!B21</f>
        <v>8256.2999999999993</v>
      </c>
      <c r="G63" s="45">
        <f t="shared" si="4"/>
        <v>8256.2999999999993</v>
      </c>
      <c r="H63" s="19"/>
      <c r="I63" s="19" t="s">
        <v>242</v>
      </c>
      <c r="J63" s="8" t="s">
        <v>243</v>
      </c>
    </row>
    <row r="64" spans="2:10" x14ac:dyDescent="0.2">
      <c r="B64">
        <f t="shared" si="3"/>
        <v>47</v>
      </c>
      <c r="D64" t="s">
        <v>266</v>
      </c>
      <c r="E64" s="43"/>
      <c r="F64" s="55">
        <f>'JKP-7.6c - PGA-2.1'!G32</f>
        <v>178000</v>
      </c>
      <c r="G64" s="45">
        <f t="shared" si="4"/>
        <v>178000</v>
      </c>
      <c r="H64" s="19"/>
      <c r="I64" s="19" t="s">
        <v>263</v>
      </c>
      <c r="J64" s="8" t="s">
        <v>264</v>
      </c>
    </row>
    <row r="65" spans="2:10" x14ac:dyDescent="0.2">
      <c r="B65">
        <f t="shared" si="3"/>
        <v>48</v>
      </c>
      <c r="D65" t="s">
        <v>267</v>
      </c>
      <c r="E65" s="43"/>
      <c r="F65" s="47">
        <f>'JKP-7.6c - PGA-2.1'!G33</f>
        <v>0</v>
      </c>
      <c r="G65" s="45">
        <f t="shared" si="4"/>
        <v>0</v>
      </c>
      <c r="H65" s="19"/>
      <c r="I65" s="19" t="s">
        <v>263</v>
      </c>
      <c r="J65" s="8" t="s">
        <v>264</v>
      </c>
    </row>
    <row r="66" spans="2:10" x14ac:dyDescent="0.2">
      <c r="B66">
        <f t="shared" si="3"/>
        <v>49</v>
      </c>
      <c r="D66" t="s">
        <v>292</v>
      </c>
      <c r="E66" s="43"/>
      <c r="F66" s="47">
        <f>'JKP-7.6c - PGA-2.1'!G34+'JKP-7.6c - PGA-2.1'!G35</f>
        <v>192000</v>
      </c>
      <c r="G66" s="45">
        <f t="shared" si="4"/>
        <v>192000</v>
      </c>
      <c r="H66" s="19"/>
      <c r="I66" s="19" t="s">
        <v>263</v>
      </c>
      <c r="J66" s="8" t="s">
        <v>264</v>
      </c>
    </row>
    <row r="67" spans="2:10" x14ac:dyDescent="0.2">
      <c r="B67">
        <f t="shared" si="3"/>
        <v>50</v>
      </c>
      <c r="D67" t="s">
        <v>293</v>
      </c>
      <c r="F67" s="48">
        <f>SUM(F60:F66)</f>
        <v>3417061.5119903544</v>
      </c>
      <c r="G67" s="48">
        <f>SUM(G60:G66)</f>
        <v>3417061.5119903544</v>
      </c>
      <c r="H67" s="19"/>
      <c r="I67" s="19"/>
      <c r="J67" s="8"/>
    </row>
    <row r="68" spans="2:10" x14ac:dyDescent="0.2">
      <c r="B68">
        <f t="shared" si="3"/>
        <v>51</v>
      </c>
      <c r="C68" t="s">
        <v>294</v>
      </c>
      <c r="F68" s="48">
        <f>F49+F57+F67</f>
        <v>505489791.00057173</v>
      </c>
      <c r="G68" s="48">
        <f>G49+G57+G67</f>
        <v>492065180.11041391</v>
      </c>
      <c r="H68" s="19"/>
      <c r="I68" s="19"/>
      <c r="J68" s="8"/>
    </row>
    <row r="69" spans="2:10" x14ac:dyDescent="0.2">
      <c r="F69" s="44"/>
      <c r="G69" s="44"/>
      <c r="H69" s="19"/>
      <c r="I69" s="19"/>
      <c r="J69" s="8"/>
    </row>
    <row r="70" spans="2:10" x14ac:dyDescent="0.2">
      <c r="B70">
        <f>B68+1</f>
        <v>52</v>
      </c>
      <c r="C70" t="s">
        <v>295</v>
      </c>
      <c r="F70" s="45">
        <f>F38+F68</f>
        <v>614359705.06910789</v>
      </c>
      <c r="G70" s="45">
        <f>G38+G68</f>
        <v>600935094.17895007</v>
      </c>
      <c r="H70" s="19"/>
      <c r="I70" s="19"/>
      <c r="J70" s="8"/>
    </row>
    <row r="71" spans="2:10" x14ac:dyDescent="0.2">
      <c r="B71">
        <f t="shared" si="3"/>
        <v>53</v>
      </c>
      <c r="C71" t="s">
        <v>296</v>
      </c>
      <c r="F71" s="44"/>
      <c r="G71" s="29">
        <v>600935094.17895007</v>
      </c>
      <c r="H71" s="19"/>
      <c r="I71" s="8"/>
      <c r="J71" s="8"/>
    </row>
    <row r="72" spans="2:10" x14ac:dyDescent="0.2">
      <c r="B72">
        <f t="shared" si="3"/>
        <v>54</v>
      </c>
      <c r="C72" t="s">
        <v>131</v>
      </c>
      <c r="F72" s="44"/>
      <c r="G72" s="18">
        <f>G66/G71</f>
        <v>3.1950205914055849E-4</v>
      </c>
      <c r="H72" s="19"/>
    </row>
    <row r="73" spans="2:10" x14ac:dyDescent="0.2">
      <c r="F73" s="44"/>
      <c r="G73" s="18"/>
      <c r="H73" s="19"/>
    </row>
    <row r="74" spans="2:10" x14ac:dyDescent="0.2">
      <c r="B74">
        <f>B72+1</f>
        <v>55</v>
      </c>
      <c r="C74" s="9" t="s">
        <v>297</v>
      </c>
      <c r="D74" s="9"/>
      <c r="E74" s="9"/>
      <c r="F74" s="56">
        <f>'JKP-7.6c - Vol PGA-3'!N14</f>
        <v>899229172.40101874</v>
      </c>
      <c r="G74" s="18"/>
      <c r="H74" s="19"/>
    </row>
    <row r="75" spans="2:10" x14ac:dyDescent="0.2">
      <c r="B75">
        <f t="shared" si="3"/>
        <v>56</v>
      </c>
      <c r="C75" s="1" t="s">
        <v>298</v>
      </c>
      <c r="F75" s="57">
        <v>881204631</v>
      </c>
      <c r="G75" s="18"/>
      <c r="H75" s="19"/>
    </row>
    <row r="76" spans="2:10" x14ac:dyDescent="0.2">
      <c r="B76">
        <f t="shared" si="3"/>
        <v>57</v>
      </c>
      <c r="C76" s="1" t="s">
        <v>299</v>
      </c>
      <c r="F76" s="58">
        <f>F75-F74</f>
        <v>-18024541.401018739</v>
      </c>
      <c r="G76" s="50"/>
      <c r="H76" s="59"/>
    </row>
    <row r="77" spans="2:10" x14ac:dyDescent="0.2">
      <c r="B77">
        <f t="shared" si="3"/>
        <v>58</v>
      </c>
      <c r="C77" t="s">
        <v>300</v>
      </c>
      <c r="F77" s="60">
        <f>F76/F74</f>
        <v>-2.0044435783696465E-2</v>
      </c>
      <c r="G77" s="18"/>
      <c r="H77" s="19"/>
    </row>
    <row r="78" spans="2:10" x14ac:dyDescent="0.2">
      <c r="B78">
        <f t="shared" si="3"/>
        <v>59</v>
      </c>
      <c r="C78" t="s">
        <v>301</v>
      </c>
      <c r="F78" s="61">
        <f>F68/F74</f>
        <v>0.56213677949400909</v>
      </c>
      <c r="G78" s="62"/>
      <c r="H78" s="19"/>
    </row>
    <row r="79" spans="2:10" x14ac:dyDescent="0.2">
      <c r="B79">
        <f t="shared" si="3"/>
        <v>60</v>
      </c>
      <c r="C79" t="s">
        <v>302</v>
      </c>
      <c r="F79" s="45">
        <f>F76*F78</f>
        <v>-10132257.655025108</v>
      </c>
      <c r="G79" s="18"/>
      <c r="H79" s="19"/>
    </row>
    <row r="80" spans="2:10" x14ac:dyDescent="0.2">
      <c r="F80" s="45"/>
      <c r="G80" s="18"/>
      <c r="H80" s="19"/>
    </row>
    <row r="81" spans="2:10" ht="25.5" customHeight="1" x14ac:dyDescent="0.2">
      <c r="B81" s="1871" t="s">
        <v>303</v>
      </c>
      <c r="C81" s="1872"/>
      <c r="D81" s="1872"/>
      <c r="E81" s="1872"/>
      <c r="F81" s="1872"/>
      <c r="G81" s="1872"/>
      <c r="H81" s="1872"/>
      <c r="I81" s="1872"/>
      <c r="J81" s="1872"/>
    </row>
    <row r="82" spans="2:10" x14ac:dyDescent="0.2">
      <c r="F82" s="44"/>
      <c r="G82" s="18"/>
      <c r="H82" s="19"/>
    </row>
    <row r="83" spans="2:10" x14ac:dyDescent="0.2">
      <c r="F83" s="44"/>
      <c r="G83" s="18"/>
      <c r="H83" s="19"/>
    </row>
    <row r="84" spans="2:10" x14ac:dyDescent="0.2">
      <c r="F84" s="44"/>
      <c r="G84" s="18"/>
      <c r="H84" s="19"/>
    </row>
    <row r="85" spans="2:10" x14ac:dyDescent="0.2">
      <c r="F85" s="44"/>
      <c r="G85" s="18"/>
      <c r="H85" s="19"/>
    </row>
    <row r="86" spans="2:10" x14ac:dyDescent="0.2">
      <c r="F86" s="44"/>
      <c r="G86" s="18"/>
      <c r="H86" s="19"/>
    </row>
    <row r="87" spans="2:10" x14ac:dyDescent="0.2">
      <c r="F87" s="44"/>
      <c r="G87" s="18"/>
      <c r="H87" s="19"/>
    </row>
    <row r="88" spans="2:10" x14ac:dyDescent="0.2">
      <c r="F88" s="44"/>
      <c r="G88" s="18"/>
      <c r="H88" s="19"/>
    </row>
    <row r="89" spans="2:10" x14ac:dyDescent="0.2">
      <c r="F89" s="44"/>
      <c r="G89" s="18"/>
      <c r="H89" s="19"/>
    </row>
    <row r="90" spans="2:10" x14ac:dyDescent="0.2">
      <c r="F90" s="44"/>
      <c r="G90" s="18"/>
      <c r="H90" s="19"/>
    </row>
    <row r="91" spans="2:10" x14ac:dyDescent="0.2">
      <c r="F91" s="44"/>
      <c r="G91" s="18"/>
      <c r="H91" s="19"/>
    </row>
    <row r="92" spans="2:10" x14ac:dyDescent="0.2">
      <c r="F92" s="44"/>
      <c r="G92" s="18"/>
      <c r="H92" s="19"/>
    </row>
    <row r="93" spans="2:10" x14ac:dyDescent="0.2">
      <c r="F93" s="44"/>
      <c r="G93" s="18"/>
      <c r="H93" s="19"/>
    </row>
    <row r="94" spans="2:10" x14ac:dyDescent="0.2">
      <c r="F94" s="44"/>
      <c r="G94" s="18"/>
      <c r="H94" s="19"/>
    </row>
    <row r="95" spans="2:10" x14ac:dyDescent="0.2">
      <c r="F95" s="44"/>
      <c r="G95" s="18"/>
      <c r="H95" s="19"/>
    </row>
    <row r="96" spans="2:10" x14ac:dyDescent="0.2">
      <c r="F96" s="44"/>
      <c r="G96" s="18"/>
      <c r="H96" s="19"/>
    </row>
    <row r="97" spans="6:8" x14ac:dyDescent="0.2">
      <c r="F97" s="44"/>
      <c r="G97" s="18"/>
      <c r="H97" s="19"/>
    </row>
    <row r="98" spans="6:8" x14ac:dyDescent="0.2">
      <c r="F98" s="44"/>
      <c r="G98" s="18"/>
      <c r="H98" s="19"/>
    </row>
    <row r="99" spans="6:8" x14ac:dyDescent="0.2">
      <c r="F99" s="44"/>
      <c r="G99" s="18"/>
      <c r="H99" s="19"/>
    </row>
    <row r="100" spans="6:8" x14ac:dyDescent="0.2">
      <c r="F100" s="44"/>
      <c r="G100" s="18"/>
      <c r="H100" s="19"/>
    </row>
    <row r="101" spans="6:8" x14ac:dyDescent="0.2">
      <c r="F101" s="44"/>
      <c r="G101" s="18"/>
      <c r="H101" s="19"/>
    </row>
    <row r="102" spans="6:8" x14ac:dyDescent="0.2">
      <c r="F102" s="44"/>
      <c r="G102" s="18"/>
      <c r="H102" s="19"/>
    </row>
    <row r="103" spans="6:8" x14ac:dyDescent="0.2">
      <c r="F103" s="44"/>
      <c r="G103" s="18"/>
      <c r="H103" s="19"/>
    </row>
    <row r="104" spans="6:8" x14ac:dyDescent="0.2">
      <c r="F104" s="44"/>
      <c r="G104" s="18"/>
      <c r="H104" s="19"/>
    </row>
    <row r="105" spans="6:8" x14ac:dyDescent="0.2">
      <c r="F105" s="44"/>
      <c r="G105" s="18"/>
      <c r="H105" s="19"/>
    </row>
    <row r="106" spans="6:8" x14ac:dyDescent="0.2">
      <c r="F106" s="44"/>
      <c r="G106" s="18"/>
      <c r="H106" s="19"/>
    </row>
    <row r="107" spans="6:8" x14ac:dyDescent="0.2">
      <c r="F107" s="44"/>
      <c r="G107" s="18"/>
      <c r="H107" s="19"/>
    </row>
    <row r="108" spans="6:8" x14ac:dyDescent="0.2">
      <c r="F108" s="44"/>
      <c r="G108" s="18"/>
      <c r="H108" s="19"/>
    </row>
    <row r="109" spans="6:8" x14ac:dyDescent="0.2">
      <c r="F109" s="44"/>
      <c r="G109" s="18"/>
      <c r="H109" s="19"/>
    </row>
    <row r="110" spans="6:8" x14ac:dyDescent="0.2">
      <c r="F110" s="44"/>
      <c r="G110" s="18"/>
      <c r="H110" s="19"/>
    </row>
    <row r="111" spans="6:8" x14ac:dyDescent="0.2">
      <c r="F111" s="44"/>
      <c r="G111" s="18"/>
      <c r="H111" s="19"/>
    </row>
    <row r="112" spans="6:8" x14ac:dyDescent="0.2">
      <c r="F112" s="44"/>
      <c r="G112" s="18"/>
      <c r="H112" s="19"/>
    </row>
    <row r="113" spans="6:8" x14ac:dyDescent="0.2">
      <c r="F113" s="18"/>
      <c r="G113" s="18"/>
      <c r="H113" s="19"/>
    </row>
    <row r="114" spans="6:8" x14ac:dyDescent="0.2">
      <c r="F114" s="18"/>
      <c r="G114" s="18"/>
      <c r="H114" s="19"/>
    </row>
    <row r="115" spans="6:8" x14ac:dyDescent="0.2">
      <c r="F115" s="18"/>
      <c r="G115" s="18"/>
      <c r="H115" s="19"/>
    </row>
    <row r="116" spans="6:8" x14ac:dyDescent="0.2">
      <c r="F116" s="18"/>
      <c r="G116" s="18"/>
      <c r="H116" s="19"/>
    </row>
    <row r="117" spans="6:8" x14ac:dyDescent="0.2">
      <c r="F117" s="18"/>
      <c r="G117" s="18"/>
      <c r="H117" s="19"/>
    </row>
    <row r="118" spans="6:8" x14ac:dyDescent="0.2">
      <c r="F118" s="18"/>
      <c r="G118" s="18"/>
      <c r="H118" s="19"/>
    </row>
    <row r="119" spans="6:8" x14ac:dyDescent="0.2">
      <c r="F119" s="18"/>
      <c r="G119" s="18"/>
      <c r="H119" s="19"/>
    </row>
    <row r="120" spans="6:8" x14ac:dyDescent="0.2">
      <c r="F120" s="18"/>
      <c r="G120" s="18"/>
      <c r="H120" s="19"/>
    </row>
  </sheetData>
  <mergeCells count="1">
    <mergeCell ref="B81:J81"/>
  </mergeCells>
  <pageMargins left="0.7" right="0.7" top="0.75" bottom="0.75" header="0.3" footer="0.3"/>
  <pageSetup fitToHeight="4" orientation="portrait" r:id="rId1"/>
  <rowBreaks count="1" manualBreakCount="1">
    <brk id="58" min="1" max="10"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U1489"/>
  <sheetViews>
    <sheetView zoomScaleNormal="100" workbookViewId="0">
      <selection activeCell="C35" sqref="C35"/>
    </sheetView>
  </sheetViews>
  <sheetFormatPr defaultRowHeight="12.75" x14ac:dyDescent="0.2"/>
  <cols>
    <col min="1" max="1" width="5.42578125" style="1" customWidth="1"/>
    <col min="2" max="2" width="34.140625" style="1" customWidth="1"/>
    <col min="3" max="3" width="19.28515625" style="1" bestFit="1" customWidth="1"/>
    <col min="4" max="4" width="12" style="1" bestFit="1" customWidth="1"/>
    <col min="5" max="5" width="10.7109375" style="1" bestFit="1" customWidth="1"/>
    <col min="6" max="6" width="1.85546875" style="1" customWidth="1"/>
    <col min="7" max="7" width="15" style="1" customWidth="1"/>
    <col min="8" max="8" width="14.140625" style="1" customWidth="1"/>
    <col min="9" max="9" width="9.28515625" style="1" customWidth="1"/>
    <col min="10" max="10" width="13.42578125" style="1" bestFit="1" customWidth="1"/>
    <col min="11" max="11" width="12.5703125" style="1" bestFit="1" customWidth="1"/>
    <col min="12" max="12" width="9.28515625" style="1" customWidth="1"/>
    <col min="13" max="16" width="3.28515625" style="1" bestFit="1" customWidth="1"/>
    <col min="17" max="17" width="15.85546875" style="1" bestFit="1" customWidth="1"/>
    <col min="18" max="18" width="2.28515625" style="1" customWidth="1"/>
    <col min="19" max="19" width="15.85546875" style="1" customWidth="1"/>
    <col min="20" max="20" width="3" style="1" customWidth="1"/>
    <col min="21" max="21" width="13.7109375" style="1" customWidth="1"/>
    <col min="22" max="256" width="9.140625" style="1"/>
    <col min="257" max="257" width="5.42578125" style="1" customWidth="1"/>
    <col min="258" max="258" width="34.140625" style="1" customWidth="1"/>
    <col min="259" max="259" width="19.28515625" style="1" bestFit="1" customWidth="1"/>
    <col min="260" max="260" width="12" style="1" bestFit="1" customWidth="1"/>
    <col min="261" max="261" width="10.7109375" style="1" bestFit="1" customWidth="1"/>
    <col min="262" max="262" width="1.85546875" style="1" customWidth="1"/>
    <col min="263" max="263" width="15" style="1" customWidth="1"/>
    <col min="264" max="264" width="14.140625" style="1" customWidth="1"/>
    <col min="265" max="265" width="9.28515625" style="1" customWidth="1"/>
    <col min="266" max="266" width="13.42578125" style="1" bestFit="1" customWidth="1"/>
    <col min="267" max="267" width="12.5703125" style="1" bestFit="1" customWidth="1"/>
    <col min="268" max="268" width="9.28515625" style="1" customWidth="1"/>
    <col min="269" max="272" width="3.28515625" style="1" bestFit="1" customWidth="1"/>
    <col min="273" max="273" width="15.85546875" style="1" bestFit="1" customWidth="1"/>
    <col min="274" max="274" width="2.28515625" style="1" customWidth="1"/>
    <col min="275" max="275" width="15.85546875" style="1" customWidth="1"/>
    <col min="276" max="276" width="3" style="1" customWidth="1"/>
    <col min="277" max="277" width="13.7109375" style="1" customWidth="1"/>
    <col min="278" max="512" width="9.140625" style="1"/>
    <col min="513" max="513" width="5.42578125" style="1" customWidth="1"/>
    <col min="514" max="514" width="34.140625" style="1" customWidth="1"/>
    <col min="515" max="515" width="19.28515625" style="1" bestFit="1" customWidth="1"/>
    <col min="516" max="516" width="12" style="1" bestFit="1" customWidth="1"/>
    <col min="517" max="517" width="10.7109375" style="1" bestFit="1" customWidth="1"/>
    <col min="518" max="518" width="1.85546875" style="1" customWidth="1"/>
    <col min="519" max="519" width="15" style="1" customWidth="1"/>
    <col min="520" max="520" width="14.140625" style="1" customWidth="1"/>
    <col min="521" max="521" width="9.28515625" style="1" customWidth="1"/>
    <col min="522" max="522" width="13.42578125" style="1" bestFit="1" customWidth="1"/>
    <col min="523" max="523" width="12.5703125" style="1" bestFit="1" customWidth="1"/>
    <col min="524" max="524" width="9.28515625" style="1" customWidth="1"/>
    <col min="525" max="528" width="3.28515625" style="1" bestFit="1" customWidth="1"/>
    <col min="529" max="529" width="15.85546875" style="1" bestFit="1" customWidth="1"/>
    <col min="530" max="530" width="2.28515625" style="1" customWidth="1"/>
    <col min="531" max="531" width="15.85546875" style="1" customWidth="1"/>
    <col min="532" max="532" width="3" style="1" customWidth="1"/>
    <col min="533" max="533" width="13.7109375" style="1" customWidth="1"/>
    <col min="534" max="768" width="9.140625" style="1"/>
    <col min="769" max="769" width="5.42578125" style="1" customWidth="1"/>
    <col min="770" max="770" width="34.140625" style="1" customWidth="1"/>
    <col min="771" max="771" width="19.28515625" style="1" bestFit="1" customWidth="1"/>
    <col min="772" max="772" width="12" style="1" bestFit="1" customWidth="1"/>
    <col min="773" max="773" width="10.7109375" style="1" bestFit="1" customWidth="1"/>
    <col min="774" max="774" width="1.85546875" style="1" customWidth="1"/>
    <col min="775" max="775" width="15" style="1" customWidth="1"/>
    <col min="776" max="776" width="14.140625" style="1" customWidth="1"/>
    <col min="777" max="777" width="9.28515625" style="1" customWidth="1"/>
    <col min="778" max="778" width="13.42578125" style="1" bestFit="1" customWidth="1"/>
    <col min="779" max="779" width="12.5703125" style="1" bestFit="1" customWidth="1"/>
    <col min="780" max="780" width="9.28515625" style="1" customWidth="1"/>
    <col min="781" max="784" width="3.28515625" style="1" bestFit="1" customWidth="1"/>
    <col min="785" max="785" width="15.85546875" style="1" bestFit="1" customWidth="1"/>
    <col min="786" max="786" width="2.28515625" style="1" customWidth="1"/>
    <col min="787" max="787" width="15.85546875" style="1" customWidth="1"/>
    <col min="788" max="788" width="3" style="1" customWidth="1"/>
    <col min="789" max="789" width="13.7109375" style="1" customWidth="1"/>
    <col min="790" max="1024" width="9.140625" style="1"/>
    <col min="1025" max="1025" width="5.42578125" style="1" customWidth="1"/>
    <col min="1026" max="1026" width="34.140625" style="1" customWidth="1"/>
    <col min="1027" max="1027" width="19.28515625" style="1" bestFit="1" customWidth="1"/>
    <col min="1028" max="1028" width="12" style="1" bestFit="1" customWidth="1"/>
    <col min="1029" max="1029" width="10.7109375" style="1" bestFit="1" customWidth="1"/>
    <col min="1030" max="1030" width="1.85546875" style="1" customWidth="1"/>
    <col min="1031" max="1031" width="15" style="1" customWidth="1"/>
    <col min="1032" max="1032" width="14.140625" style="1" customWidth="1"/>
    <col min="1033" max="1033" width="9.28515625" style="1" customWidth="1"/>
    <col min="1034" max="1034" width="13.42578125" style="1" bestFit="1" customWidth="1"/>
    <col min="1035" max="1035" width="12.5703125" style="1" bestFit="1" customWidth="1"/>
    <col min="1036" max="1036" width="9.28515625" style="1" customWidth="1"/>
    <col min="1037" max="1040" width="3.28515625" style="1" bestFit="1" customWidth="1"/>
    <col min="1041" max="1041" width="15.85546875" style="1" bestFit="1" customWidth="1"/>
    <col min="1042" max="1042" width="2.28515625" style="1" customWidth="1"/>
    <col min="1043" max="1043" width="15.85546875" style="1" customWidth="1"/>
    <col min="1044" max="1044" width="3" style="1" customWidth="1"/>
    <col min="1045" max="1045" width="13.7109375" style="1" customWidth="1"/>
    <col min="1046" max="1280" width="9.140625" style="1"/>
    <col min="1281" max="1281" width="5.42578125" style="1" customWidth="1"/>
    <col min="1282" max="1282" width="34.140625" style="1" customWidth="1"/>
    <col min="1283" max="1283" width="19.28515625" style="1" bestFit="1" customWidth="1"/>
    <col min="1284" max="1284" width="12" style="1" bestFit="1" customWidth="1"/>
    <col min="1285" max="1285" width="10.7109375" style="1" bestFit="1" customWidth="1"/>
    <col min="1286" max="1286" width="1.85546875" style="1" customWidth="1"/>
    <col min="1287" max="1287" width="15" style="1" customWidth="1"/>
    <col min="1288" max="1288" width="14.140625" style="1" customWidth="1"/>
    <col min="1289" max="1289" width="9.28515625" style="1" customWidth="1"/>
    <col min="1290" max="1290" width="13.42578125" style="1" bestFit="1" customWidth="1"/>
    <col min="1291" max="1291" width="12.5703125" style="1" bestFit="1" customWidth="1"/>
    <col min="1292" max="1292" width="9.28515625" style="1" customWidth="1"/>
    <col min="1293" max="1296" width="3.28515625" style="1" bestFit="1" customWidth="1"/>
    <col min="1297" max="1297" width="15.85546875" style="1" bestFit="1" customWidth="1"/>
    <col min="1298" max="1298" width="2.28515625" style="1" customWidth="1"/>
    <col min="1299" max="1299" width="15.85546875" style="1" customWidth="1"/>
    <col min="1300" max="1300" width="3" style="1" customWidth="1"/>
    <col min="1301" max="1301" width="13.7109375" style="1" customWidth="1"/>
    <col min="1302" max="1536" width="9.140625" style="1"/>
    <col min="1537" max="1537" width="5.42578125" style="1" customWidth="1"/>
    <col min="1538" max="1538" width="34.140625" style="1" customWidth="1"/>
    <col min="1539" max="1539" width="19.28515625" style="1" bestFit="1" customWidth="1"/>
    <col min="1540" max="1540" width="12" style="1" bestFit="1" customWidth="1"/>
    <col min="1541" max="1541" width="10.7109375" style="1" bestFit="1" customWidth="1"/>
    <col min="1542" max="1542" width="1.85546875" style="1" customWidth="1"/>
    <col min="1543" max="1543" width="15" style="1" customWidth="1"/>
    <col min="1544" max="1544" width="14.140625" style="1" customWidth="1"/>
    <col min="1545" max="1545" width="9.28515625" style="1" customWidth="1"/>
    <col min="1546" max="1546" width="13.42578125" style="1" bestFit="1" customWidth="1"/>
    <col min="1547" max="1547" width="12.5703125" style="1" bestFit="1" customWidth="1"/>
    <col min="1548" max="1548" width="9.28515625" style="1" customWidth="1"/>
    <col min="1549" max="1552" width="3.28515625" style="1" bestFit="1" customWidth="1"/>
    <col min="1553" max="1553" width="15.85546875" style="1" bestFit="1" customWidth="1"/>
    <col min="1554" max="1554" width="2.28515625" style="1" customWidth="1"/>
    <col min="1555" max="1555" width="15.85546875" style="1" customWidth="1"/>
    <col min="1556" max="1556" width="3" style="1" customWidth="1"/>
    <col min="1557" max="1557" width="13.7109375" style="1" customWidth="1"/>
    <col min="1558" max="1792" width="9.140625" style="1"/>
    <col min="1793" max="1793" width="5.42578125" style="1" customWidth="1"/>
    <col min="1794" max="1794" width="34.140625" style="1" customWidth="1"/>
    <col min="1795" max="1795" width="19.28515625" style="1" bestFit="1" customWidth="1"/>
    <col min="1796" max="1796" width="12" style="1" bestFit="1" customWidth="1"/>
    <col min="1797" max="1797" width="10.7109375" style="1" bestFit="1" customWidth="1"/>
    <col min="1798" max="1798" width="1.85546875" style="1" customWidth="1"/>
    <col min="1799" max="1799" width="15" style="1" customWidth="1"/>
    <col min="1800" max="1800" width="14.140625" style="1" customWidth="1"/>
    <col min="1801" max="1801" width="9.28515625" style="1" customWidth="1"/>
    <col min="1802" max="1802" width="13.42578125" style="1" bestFit="1" customWidth="1"/>
    <col min="1803" max="1803" width="12.5703125" style="1" bestFit="1" customWidth="1"/>
    <col min="1804" max="1804" width="9.28515625" style="1" customWidth="1"/>
    <col min="1805" max="1808" width="3.28515625" style="1" bestFit="1" customWidth="1"/>
    <col min="1809" max="1809" width="15.85546875" style="1" bestFit="1" customWidth="1"/>
    <col min="1810" max="1810" width="2.28515625" style="1" customWidth="1"/>
    <col min="1811" max="1811" width="15.85546875" style="1" customWidth="1"/>
    <col min="1812" max="1812" width="3" style="1" customWidth="1"/>
    <col min="1813" max="1813" width="13.7109375" style="1" customWidth="1"/>
    <col min="1814" max="2048" width="9.140625" style="1"/>
    <col min="2049" max="2049" width="5.42578125" style="1" customWidth="1"/>
    <col min="2050" max="2050" width="34.140625" style="1" customWidth="1"/>
    <col min="2051" max="2051" width="19.28515625" style="1" bestFit="1" customWidth="1"/>
    <col min="2052" max="2052" width="12" style="1" bestFit="1" customWidth="1"/>
    <col min="2053" max="2053" width="10.7109375" style="1" bestFit="1" customWidth="1"/>
    <col min="2054" max="2054" width="1.85546875" style="1" customWidth="1"/>
    <col min="2055" max="2055" width="15" style="1" customWidth="1"/>
    <col min="2056" max="2056" width="14.140625" style="1" customWidth="1"/>
    <col min="2057" max="2057" width="9.28515625" style="1" customWidth="1"/>
    <col min="2058" max="2058" width="13.42578125" style="1" bestFit="1" customWidth="1"/>
    <col min="2059" max="2059" width="12.5703125" style="1" bestFit="1" customWidth="1"/>
    <col min="2060" max="2060" width="9.28515625" style="1" customWidth="1"/>
    <col min="2061" max="2064" width="3.28515625" style="1" bestFit="1" customWidth="1"/>
    <col min="2065" max="2065" width="15.85546875" style="1" bestFit="1" customWidth="1"/>
    <col min="2066" max="2066" width="2.28515625" style="1" customWidth="1"/>
    <col min="2067" max="2067" width="15.85546875" style="1" customWidth="1"/>
    <col min="2068" max="2068" width="3" style="1" customWidth="1"/>
    <col min="2069" max="2069" width="13.7109375" style="1" customWidth="1"/>
    <col min="2070" max="2304" width="9.140625" style="1"/>
    <col min="2305" max="2305" width="5.42578125" style="1" customWidth="1"/>
    <col min="2306" max="2306" width="34.140625" style="1" customWidth="1"/>
    <col min="2307" max="2307" width="19.28515625" style="1" bestFit="1" customWidth="1"/>
    <col min="2308" max="2308" width="12" style="1" bestFit="1" customWidth="1"/>
    <col min="2309" max="2309" width="10.7109375" style="1" bestFit="1" customWidth="1"/>
    <col min="2310" max="2310" width="1.85546875" style="1" customWidth="1"/>
    <col min="2311" max="2311" width="15" style="1" customWidth="1"/>
    <col min="2312" max="2312" width="14.140625" style="1" customWidth="1"/>
    <col min="2313" max="2313" width="9.28515625" style="1" customWidth="1"/>
    <col min="2314" max="2314" width="13.42578125" style="1" bestFit="1" customWidth="1"/>
    <col min="2315" max="2315" width="12.5703125" style="1" bestFit="1" customWidth="1"/>
    <col min="2316" max="2316" width="9.28515625" style="1" customWidth="1"/>
    <col min="2317" max="2320" width="3.28515625" style="1" bestFit="1" customWidth="1"/>
    <col min="2321" max="2321" width="15.85546875" style="1" bestFit="1" customWidth="1"/>
    <col min="2322" max="2322" width="2.28515625" style="1" customWidth="1"/>
    <col min="2323" max="2323" width="15.85546875" style="1" customWidth="1"/>
    <col min="2324" max="2324" width="3" style="1" customWidth="1"/>
    <col min="2325" max="2325" width="13.7109375" style="1" customWidth="1"/>
    <col min="2326" max="2560" width="9.140625" style="1"/>
    <col min="2561" max="2561" width="5.42578125" style="1" customWidth="1"/>
    <col min="2562" max="2562" width="34.140625" style="1" customWidth="1"/>
    <col min="2563" max="2563" width="19.28515625" style="1" bestFit="1" customWidth="1"/>
    <col min="2564" max="2564" width="12" style="1" bestFit="1" customWidth="1"/>
    <col min="2565" max="2565" width="10.7109375" style="1" bestFit="1" customWidth="1"/>
    <col min="2566" max="2566" width="1.85546875" style="1" customWidth="1"/>
    <col min="2567" max="2567" width="15" style="1" customWidth="1"/>
    <col min="2568" max="2568" width="14.140625" style="1" customWidth="1"/>
    <col min="2569" max="2569" width="9.28515625" style="1" customWidth="1"/>
    <col min="2570" max="2570" width="13.42578125" style="1" bestFit="1" customWidth="1"/>
    <col min="2571" max="2571" width="12.5703125" style="1" bestFit="1" customWidth="1"/>
    <col min="2572" max="2572" width="9.28515625" style="1" customWidth="1"/>
    <col min="2573" max="2576" width="3.28515625" style="1" bestFit="1" customWidth="1"/>
    <col min="2577" max="2577" width="15.85546875" style="1" bestFit="1" customWidth="1"/>
    <col min="2578" max="2578" width="2.28515625" style="1" customWidth="1"/>
    <col min="2579" max="2579" width="15.85546875" style="1" customWidth="1"/>
    <col min="2580" max="2580" width="3" style="1" customWidth="1"/>
    <col min="2581" max="2581" width="13.7109375" style="1" customWidth="1"/>
    <col min="2582" max="2816" width="9.140625" style="1"/>
    <col min="2817" max="2817" width="5.42578125" style="1" customWidth="1"/>
    <col min="2818" max="2818" width="34.140625" style="1" customWidth="1"/>
    <col min="2819" max="2819" width="19.28515625" style="1" bestFit="1" customWidth="1"/>
    <col min="2820" max="2820" width="12" style="1" bestFit="1" customWidth="1"/>
    <col min="2821" max="2821" width="10.7109375" style="1" bestFit="1" customWidth="1"/>
    <col min="2822" max="2822" width="1.85546875" style="1" customWidth="1"/>
    <col min="2823" max="2823" width="15" style="1" customWidth="1"/>
    <col min="2824" max="2824" width="14.140625" style="1" customWidth="1"/>
    <col min="2825" max="2825" width="9.28515625" style="1" customWidth="1"/>
    <col min="2826" max="2826" width="13.42578125" style="1" bestFit="1" customWidth="1"/>
    <col min="2827" max="2827" width="12.5703125" style="1" bestFit="1" customWidth="1"/>
    <col min="2828" max="2828" width="9.28515625" style="1" customWidth="1"/>
    <col min="2829" max="2832" width="3.28515625" style="1" bestFit="1" customWidth="1"/>
    <col min="2833" max="2833" width="15.85546875" style="1" bestFit="1" customWidth="1"/>
    <col min="2834" max="2834" width="2.28515625" style="1" customWidth="1"/>
    <col min="2835" max="2835" width="15.85546875" style="1" customWidth="1"/>
    <col min="2836" max="2836" width="3" style="1" customWidth="1"/>
    <col min="2837" max="2837" width="13.7109375" style="1" customWidth="1"/>
    <col min="2838" max="3072" width="9.140625" style="1"/>
    <col min="3073" max="3073" width="5.42578125" style="1" customWidth="1"/>
    <col min="3074" max="3074" width="34.140625" style="1" customWidth="1"/>
    <col min="3075" max="3075" width="19.28515625" style="1" bestFit="1" customWidth="1"/>
    <col min="3076" max="3076" width="12" style="1" bestFit="1" customWidth="1"/>
    <col min="3077" max="3077" width="10.7109375" style="1" bestFit="1" customWidth="1"/>
    <col min="3078" max="3078" width="1.85546875" style="1" customWidth="1"/>
    <col min="3079" max="3079" width="15" style="1" customWidth="1"/>
    <col min="3080" max="3080" width="14.140625" style="1" customWidth="1"/>
    <col min="3081" max="3081" width="9.28515625" style="1" customWidth="1"/>
    <col min="3082" max="3082" width="13.42578125" style="1" bestFit="1" customWidth="1"/>
    <col min="3083" max="3083" width="12.5703125" style="1" bestFit="1" customWidth="1"/>
    <col min="3084" max="3084" width="9.28515625" style="1" customWidth="1"/>
    <col min="3085" max="3088" width="3.28515625" style="1" bestFit="1" customWidth="1"/>
    <col min="3089" max="3089" width="15.85546875" style="1" bestFit="1" customWidth="1"/>
    <col min="3090" max="3090" width="2.28515625" style="1" customWidth="1"/>
    <col min="3091" max="3091" width="15.85546875" style="1" customWidth="1"/>
    <col min="3092" max="3092" width="3" style="1" customWidth="1"/>
    <col min="3093" max="3093" width="13.7109375" style="1" customWidth="1"/>
    <col min="3094" max="3328" width="9.140625" style="1"/>
    <col min="3329" max="3329" width="5.42578125" style="1" customWidth="1"/>
    <col min="3330" max="3330" width="34.140625" style="1" customWidth="1"/>
    <col min="3331" max="3331" width="19.28515625" style="1" bestFit="1" customWidth="1"/>
    <col min="3332" max="3332" width="12" style="1" bestFit="1" customWidth="1"/>
    <col min="3333" max="3333" width="10.7109375" style="1" bestFit="1" customWidth="1"/>
    <col min="3334" max="3334" width="1.85546875" style="1" customWidth="1"/>
    <col min="3335" max="3335" width="15" style="1" customWidth="1"/>
    <col min="3336" max="3336" width="14.140625" style="1" customWidth="1"/>
    <col min="3337" max="3337" width="9.28515625" style="1" customWidth="1"/>
    <col min="3338" max="3338" width="13.42578125" style="1" bestFit="1" customWidth="1"/>
    <col min="3339" max="3339" width="12.5703125" style="1" bestFit="1" customWidth="1"/>
    <col min="3340" max="3340" width="9.28515625" style="1" customWidth="1"/>
    <col min="3341" max="3344" width="3.28515625" style="1" bestFit="1" customWidth="1"/>
    <col min="3345" max="3345" width="15.85546875" style="1" bestFit="1" customWidth="1"/>
    <col min="3346" max="3346" width="2.28515625" style="1" customWidth="1"/>
    <col min="3347" max="3347" width="15.85546875" style="1" customWidth="1"/>
    <col min="3348" max="3348" width="3" style="1" customWidth="1"/>
    <col min="3349" max="3349" width="13.7109375" style="1" customWidth="1"/>
    <col min="3350" max="3584" width="9.140625" style="1"/>
    <col min="3585" max="3585" width="5.42578125" style="1" customWidth="1"/>
    <col min="3586" max="3586" width="34.140625" style="1" customWidth="1"/>
    <col min="3587" max="3587" width="19.28515625" style="1" bestFit="1" customWidth="1"/>
    <col min="3588" max="3588" width="12" style="1" bestFit="1" customWidth="1"/>
    <col min="3589" max="3589" width="10.7109375" style="1" bestFit="1" customWidth="1"/>
    <col min="3590" max="3590" width="1.85546875" style="1" customWidth="1"/>
    <col min="3591" max="3591" width="15" style="1" customWidth="1"/>
    <col min="3592" max="3592" width="14.140625" style="1" customWidth="1"/>
    <col min="3593" max="3593" width="9.28515625" style="1" customWidth="1"/>
    <col min="3594" max="3594" width="13.42578125" style="1" bestFit="1" customWidth="1"/>
    <col min="3595" max="3595" width="12.5703125" style="1" bestFit="1" customWidth="1"/>
    <col min="3596" max="3596" width="9.28515625" style="1" customWidth="1"/>
    <col min="3597" max="3600" width="3.28515625" style="1" bestFit="1" customWidth="1"/>
    <col min="3601" max="3601" width="15.85546875" style="1" bestFit="1" customWidth="1"/>
    <col min="3602" max="3602" width="2.28515625" style="1" customWidth="1"/>
    <col min="3603" max="3603" width="15.85546875" style="1" customWidth="1"/>
    <col min="3604" max="3604" width="3" style="1" customWidth="1"/>
    <col min="3605" max="3605" width="13.7109375" style="1" customWidth="1"/>
    <col min="3606" max="3840" width="9.140625" style="1"/>
    <col min="3841" max="3841" width="5.42578125" style="1" customWidth="1"/>
    <col min="3842" max="3842" width="34.140625" style="1" customWidth="1"/>
    <col min="3843" max="3843" width="19.28515625" style="1" bestFit="1" customWidth="1"/>
    <col min="3844" max="3844" width="12" style="1" bestFit="1" customWidth="1"/>
    <col min="3845" max="3845" width="10.7109375" style="1" bestFit="1" customWidth="1"/>
    <col min="3846" max="3846" width="1.85546875" style="1" customWidth="1"/>
    <col min="3847" max="3847" width="15" style="1" customWidth="1"/>
    <col min="3848" max="3848" width="14.140625" style="1" customWidth="1"/>
    <col min="3849" max="3849" width="9.28515625" style="1" customWidth="1"/>
    <col min="3850" max="3850" width="13.42578125" style="1" bestFit="1" customWidth="1"/>
    <col min="3851" max="3851" width="12.5703125" style="1" bestFit="1" customWidth="1"/>
    <col min="3852" max="3852" width="9.28515625" style="1" customWidth="1"/>
    <col min="3853" max="3856" width="3.28515625" style="1" bestFit="1" customWidth="1"/>
    <col min="3857" max="3857" width="15.85546875" style="1" bestFit="1" customWidth="1"/>
    <col min="3858" max="3858" width="2.28515625" style="1" customWidth="1"/>
    <col min="3859" max="3859" width="15.85546875" style="1" customWidth="1"/>
    <col min="3860" max="3860" width="3" style="1" customWidth="1"/>
    <col min="3861" max="3861" width="13.7109375" style="1" customWidth="1"/>
    <col min="3862" max="4096" width="9.140625" style="1"/>
    <col min="4097" max="4097" width="5.42578125" style="1" customWidth="1"/>
    <col min="4098" max="4098" width="34.140625" style="1" customWidth="1"/>
    <col min="4099" max="4099" width="19.28515625" style="1" bestFit="1" customWidth="1"/>
    <col min="4100" max="4100" width="12" style="1" bestFit="1" customWidth="1"/>
    <col min="4101" max="4101" width="10.7109375" style="1" bestFit="1" customWidth="1"/>
    <col min="4102" max="4102" width="1.85546875" style="1" customWidth="1"/>
    <col min="4103" max="4103" width="15" style="1" customWidth="1"/>
    <col min="4104" max="4104" width="14.140625" style="1" customWidth="1"/>
    <col min="4105" max="4105" width="9.28515625" style="1" customWidth="1"/>
    <col min="4106" max="4106" width="13.42578125" style="1" bestFit="1" customWidth="1"/>
    <col min="4107" max="4107" width="12.5703125" style="1" bestFit="1" customWidth="1"/>
    <col min="4108" max="4108" width="9.28515625" style="1" customWidth="1"/>
    <col min="4109" max="4112" width="3.28515625" style="1" bestFit="1" customWidth="1"/>
    <col min="4113" max="4113" width="15.85546875" style="1" bestFit="1" customWidth="1"/>
    <col min="4114" max="4114" width="2.28515625" style="1" customWidth="1"/>
    <col min="4115" max="4115" width="15.85546875" style="1" customWidth="1"/>
    <col min="4116" max="4116" width="3" style="1" customWidth="1"/>
    <col min="4117" max="4117" width="13.7109375" style="1" customWidth="1"/>
    <col min="4118" max="4352" width="9.140625" style="1"/>
    <col min="4353" max="4353" width="5.42578125" style="1" customWidth="1"/>
    <col min="4354" max="4354" width="34.140625" style="1" customWidth="1"/>
    <col min="4355" max="4355" width="19.28515625" style="1" bestFit="1" customWidth="1"/>
    <col min="4356" max="4356" width="12" style="1" bestFit="1" customWidth="1"/>
    <col min="4357" max="4357" width="10.7109375" style="1" bestFit="1" customWidth="1"/>
    <col min="4358" max="4358" width="1.85546875" style="1" customWidth="1"/>
    <col min="4359" max="4359" width="15" style="1" customWidth="1"/>
    <col min="4360" max="4360" width="14.140625" style="1" customWidth="1"/>
    <col min="4361" max="4361" width="9.28515625" style="1" customWidth="1"/>
    <col min="4362" max="4362" width="13.42578125" style="1" bestFit="1" customWidth="1"/>
    <col min="4363" max="4363" width="12.5703125" style="1" bestFit="1" customWidth="1"/>
    <col min="4364" max="4364" width="9.28515625" style="1" customWidth="1"/>
    <col min="4365" max="4368" width="3.28515625" style="1" bestFit="1" customWidth="1"/>
    <col min="4369" max="4369" width="15.85546875" style="1" bestFit="1" customWidth="1"/>
    <col min="4370" max="4370" width="2.28515625" style="1" customWidth="1"/>
    <col min="4371" max="4371" width="15.85546875" style="1" customWidth="1"/>
    <col min="4372" max="4372" width="3" style="1" customWidth="1"/>
    <col min="4373" max="4373" width="13.7109375" style="1" customWidth="1"/>
    <col min="4374" max="4608" width="9.140625" style="1"/>
    <col min="4609" max="4609" width="5.42578125" style="1" customWidth="1"/>
    <col min="4610" max="4610" width="34.140625" style="1" customWidth="1"/>
    <col min="4611" max="4611" width="19.28515625" style="1" bestFit="1" customWidth="1"/>
    <col min="4612" max="4612" width="12" style="1" bestFit="1" customWidth="1"/>
    <col min="4613" max="4613" width="10.7109375" style="1" bestFit="1" customWidth="1"/>
    <col min="4614" max="4614" width="1.85546875" style="1" customWidth="1"/>
    <col min="4615" max="4615" width="15" style="1" customWidth="1"/>
    <col min="4616" max="4616" width="14.140625" style="1" customWidth="1"/>
    <col min="4617" max="4617" width="9.28515625" style="1" customWidth="1"/>
    <col min="4618" max="4618" width="13.42578125" style="1" bestFit="1" customWidth="1"/>
    <col min="4619" max="4619" width="12.5703125" style="1" bestFit="1" customWidth="1"/>
    <col min="4620" max="4620" width="9.28515625" style="1" customWidth="1"/>
    <col min="4621" max="4624" width="3.28515625" style="1" bestFit="1" customWidth="1"/>
    <col min="4625" max="4625" width="15.85546875" style="1" bestFit="1" customWidth="1"/>
    <col min="4626" max="4626" width="2.28515625" style="1" customWidth="1"/>
    <col min="4627" max="4627" width="15.85546875" style="1" customWidth="1"/>
    <col min="4628" max="4628" width="3" style="1" customWidth="1"/>
    <col min="4629" max="4629" width="13.7109375" style="1" customWidth="1"/>
    <col min="4630" max="4864" width="9.140625" style="1"/>
    <col min="4865" max="4865" width="5.42578125" style="1" customWidth="1"/>
    <col min="4866" max="4866" width="34.140625" style="1" customWidth="1"/>
    <col min="4867" max="4867" width="19.28515625" style="1" bestFit="1" customWidth="1"/>
    <col min="4868" max="4868" width="12" style="1" bestFit="1" customWidth="1"/>
    <col min="4869" max="4869" width="10.7109375" style="1" bestFit="1" customWidth="1"/>
    <col min="4870" max="4870" width="1.85546875" style="1" customWidth="1"/>
    <col min="4871" max="4871" width="15" style="1" customWidth="1"/>
    <col min="4872" max="4872" width="14.140625" style="1" customWidth="1"/>
    <col min="4873" max="4873" width="9.28515625" style="1" customWidth="1"/>
    <col min="4874" max="4874" width="13.42578125" style="1" bestFit="1" customWidth="1"/>
    <col min="4875" max="4875" width="12.5703125" style="1" bestFit="1" customWidth="1"/>
    <col min="4876" max="4876" width="9.28515625" style="1" customWidth="1"/>
    <col min="4877" max="4880" width="3.28515625" style="1" bestFit="1" customWidth="1"/>
    <col min="4881" max="4881" width="15.85546875" style="1" bestFit="1" customWidth="1"/>
    <col min="4882" max="4882" width="2.28515625" style="1" customWidth="1"/>
    <col min="4883" max="4883" width="15.85546875" style="1" customWidth="1"/>
    <col min="4884" max="4884" width="3" style="1" customWidth="1"/>
    <col min="4885" max="4885" width="13.7109375" style="1" customWidth="1"/>
    <col min="4886" max="5120" width="9.140625" style="1"/>
    <col min="5121" max="5121" width="5.42578125" style="1" customWidth="1"/>
    <col min="5122" max="5122" width="34.140625" style="1" customWidth="1"/>
    <col min="5123" max="5123" width="19.28515625" style="1" bestFit="1" customWidth="1"/>
    <col min="5124" max="5124" width="12" style="1" bestFit="1" customWidth="1"/>
    <col min="5125" max="5125" width="10.7109375" style="1" bestFit="1" customWidth="1"/>
    <col min="5126" max="5126" width="1.85546875" style="1" customWidth="1"/>
    <col min="5127" max="5127" width="15" style="1" customWidth="1"/>
    <col min="5128" max="5128" width="14.140625" style="1" customWidth="1"/>
    <col min="5129" max="5129" width="9.28515625" style="1" customWidth="1"/>
    <col min="5130" max="5130" width="13.42578125" style="1" bestFit="1" customWidth="1"/>
    <col min="5131" max="5131" width="12.5703125" style="1" bestFit="1" customWidth="1"/>
    <col min="5132" max="5132" width="9.28515625" style="1" customWidth="1"/>
    <col min="5133" max="5136" width="3.28515625" style="1" bestFit="1" customWidth="1"/>
    <col min="5137" max="5137" width="15.85546875" style="1" bestFit="1" customWidth="1"/>
    <col min="5138" max="5138" width="2.28515625" style="1" customWidth="1"/>
    <col min="5139" max="5139" width="15.85546875" style="1" customWidth="1"/>
    <col min="5140" max="5140" width="3" style="1" customWidth="1"/>
    <col min="5141" max="5141" width="13.7109375" style="1" customWidth="1"/>
    <col min="5142" max="5376" width="9.140625" style="1"/>
    <col min="5377" max="5377" width="5.42578125" style="1" customWidth="1"/>
    <col min="5378" max="5378" width="34.140625" style="1" customWidth="1"/>
    <col min="5379" max="5379" width="19.28515625" style="1" bestFit="1" customWidth="1"/>
    <col min="5380" max="5380" width="12" style="1" bestFit="1" customWidth="1"/>
    <col min="5381" max="5381" width="10.7109375" style="1" bestFit="1" customWidth="1"/>
    <col min="5382" max="5382" width="1.85546875" style="1" customWidth="1"/>
    <col min="5383" max="5383" width="15" style="1" customWidth="1"/>
    <col min="5384" max="5384" width="14.140625" style="1" customWidth="1"/>
    <col min="5385" max="5385" width="9.28515625" style="1" customWidth="1"/>
    <col min="5386" max="5386" width="13.42578125" style="1" bestFit="1" customWidth="1"/>
    <col min="5387" max="5387" width="12.5703125" style="1" bestFit="1" customWidth="1"/>
    <col min="5388" max="5388" width="9.28515625" style="1" customWidth="1"/>
    <col min="5389" max="5392" width="3.28515625" style="1" bestFit="1" customWidth="1"/>
    <col min="5393" max="5393" width="15.85546875" style="1" bestFit="1" customWidth="1"/>
    <col min="5394" max="5394" width="2.28515625" style="1" customWidth="1"/>
    <col min="5395" max="5395" width="15.85546875" style="1" customWidth="1"/>
    <col min="5396" max="5396" width="3" style="1" customWidth="1"/>
    <col min="5397" max="5397" width="13.7109375" style="1" customWidth="1"/>
    <col min="5398" max="5632" width="9.140625" style="1"/>
    <col min="5633" max="5633" width="5.42578125" style="1" customWidth="1"/>
    <col min="5634" max="5634" width="34.140625" style="1" customWidth="1"/>
    <col min="5635" max="5635" width="19.28515625" style="1" bestFit="1" customWidth="1"/>
    <col min="5636" max="5636" width="12" style="1" bestFit="1" customWidth="1"/>
    <col min="5637" max="5637" width="10.7109375" style="1" bestFit="1" customWidth="1"/>
    <col min="5638" max="5638" width="1.85546875" style="1" customWidth="1"/>
    <col min="5639" max="5639" width="15" style="1" customWidth="1"/>
    <col min="5640" max="5640" width="14.140625" style="1" customWidth="1"/>
    <col min="5641" max="5641" width="9.28515625" style="1" customWidth="1"/>
    <col min="5642" max="5642" width="13.42578125" style="1" bestFit="1" customWidth="1"/>
    <col min="5643" max="5643" width="12.5703125" style="1" bestFit="1" customWidth="1"/>
    <col min="5644" max="5644" width="9.28515625" style="1" customWidth="1"/>
    <col min="5645" max="5648" width="3.28515625" style="1" bestFit="1" customWidth="1"/>
    <col min="5649" max="5649" width="15.85546875" style="1" bestFit="1" customWidth="1"/>
    <col min="5650" max="5650" width="2.28515625" style="1" customWidth="1"/>
    <col min="5651" max="5651" width="15.85546875" style="1" customWidth="1"/>
    <col min="5652" max="5652" width="3" style="1" customWidth="1"/>
    <col min="5653" max="5653" width="13.7109375" style="1" customWidth="1"/>
    <col min="5654" max="5888" width="9.140625" style="1"/>
    <col min="5889" max="5889" width="5.42578125" style="1" customWidth="1"/>
    <col min="5890" max="5890" width="34.140625" style="1" customWidth="1"/>
    <col min="5891" max="5891" width="19.28515625" style="1" bestFit="1" customWidth="1"/>
    <col min="5892" max="5892" width="12" style="1" bestFit="1" customWidth="1"/>
    <col min="5893" max="5893" width="10.7109375" style="1" bestFit="1" customWidth="1"/>
    <col min="5894" max="5894" width="1.85546875" style="1" customWidth="1"/>
    <col min="5895" max="5895" width="15" style="1" customWidth="1"/>
    <col min="5896" max="5896" width="14.140625" style="1" customWidth="1"/>
    <col min="5897" max="5897" width="9.28515625" style="1" customWidth="1"/>
    <col min="5898" max="5898" width="13.42578125" style="1" bestFit="1" customWidth="1"/>
    <col min="5899" max="5899" width="12.5703125" style="1" bestFit="1" customWidth="1"/>
    <col min="5900" max="5900" width="9.28515625" style="1" customWidth="1"/>
    <col min="5901" max="5904" width="3.28515625" style="1" bestFit="1" customWidth="1"/>
    <col min="5905" max="5905" width="15.85546875" style="1" bestFit="1" customWidth="1"/>
    <col min="5906" max="5906" width="2.28515625" style="1" customWidth="1"/>
    <col min="5907" max="5907" width="15.85546875" style="1" customWidth="1"/>
    <col min="5908" max="5908" width="3" style="1" customWidth="1"/>
    <col min="5909" max="5909" width="13.7109375" style="1" customWidth="1"/>
    <col min="5910" max="6144" width="9.140625" style="1"/>
    <col min="6145" max="6145" width="5.42578125" style="1" customWidth="1"/>
    <col min="6146" max="6146" width="34.140625" style="1" customWidth="1"/>
    <col min="6147" max="6147" width="19.28515625" style="1" bestFit="1" customWidth="1"/>
    <col min="6148" max="6148" width="12" style="1" bestFit="1" customWidth="1"/>
    <col min="6149" max="6149" width="10.7109375" style="1" bestFit="1" customWidth="1"/>
    <col min="6150" max="6150" width="1.85546875" style="1" customWidth="1"/>
    <col min="6151" max="6151" width="15" style="1" customWidth="1"/>
    <col min="6152" max="6152" width="14.140625" style="1" customWidth="1"/>
    <col min="6153" max="6153" width="9.28515625" style="1" customWidth="1"/>
    <col min="6154" max="6154" width="13.42578125" style="1" bestFit="1" customWidth="1"/>
    <col min="6155" max="6155" width="12.5703125" style="1" bestFit="1" customWidth="1"/>
    <col min="6156" max="6156" width="9.28515625" style="1" customWidth="1"/>
    <col min="6157" max="6160" width="3.28515625" style="1" bestFit="1" customWidth="1"/>
    <col min="6161" max="6161" width="15.85546875" style="1" bestFit="1" customWidth="1"/>
    <col min="6162" max="6162" width="2.28515625" style="1" customWidth="1"/>
    <col min="6163" max="6163" width="15.85546875" style="1" customWidth="1"/>
    <col min="6164" max="6164" width="3" style="1" customWidth="1"/>
    <col min="6165" max="6165" width="13.7109375" style="1" customWidth="1"/>
    <col min="6166" max="6400" width="9.140625" style="1"/>
    <col min="6401" max="6401" width="5.42578125" style="1" customWidth="1"/>
    <col min="6402" max="6402" width="34.140625" style="1" customWidth="1"/>
    <col min="6403" max="6403" width="19.28515625" style="1" bestFit="1" customWidth="1"/>
    <col min="6404" max="6404" width="12" style="1" bestFit="1" customWidth="1"/>
    <col min="6405" max="6405" width="10.7109375" style="1" bestFit="1" customWidth="1"/>
    <col min="6406" max="6406" width="1.85546875" style="1" customWidth="1"/>
    <col min="6407" max="6407" width="15" style="1" customWidth="1"/>
    <col min="6408" max="6408" width="14.140625" style="1" customWidth="1"/>
    <col min="6409" max="6409" width="9.28515625" style="1" customWidth="1"/>
    <col min="6410" max="6410" width="13.42578125" style="1" bestFit="1" customWidth="1"/>
    <col min="6411" max="6411" width="12.5703125" style="1" bestFit="1" customWidth="1"/>
    <col min="6412" max="6412" width="9.28515625" style="1" customWidth="1"/>
    <col min="6413" max="6416" width="3.28515625" style="1" bestFit="1" customWidth="1"/>
    <col min="6417" max="6417" width="15.85546875" style="1" bestFit="1" customWidth="1"/>
    <col min="6418" max="6418" width="2.28515625" style="1" customWidth="1"/>
    <col min="6419" max="6419" width="15.85546875" style="1" customWidth="1"/>
    <col min="6420" max="6420" width="3" style="1" customWidth="1"/>
    <col min="6421" max="6421" width="13.7109375" style="1" customWidth="1"/>
    <col min="6422" max="6656" width="9.140625" style="1"/>
    <col min="6657" max="6657" width="5.42578125" style="1" customWidth="1"/>
    <col min="6658" max="6658" width="34.140625" style="1" customWidth="1"/>
    <col min="6659" max="6659" width="19.28515625" style="1" bestFit="1" customWidth="1"/>
    <col min="6660" max="6660" width="12" style="1" bestFit="1" customWidth="1"/>
    <col min="6661" max="6661" width="10.7109375" style="1" bestFit="1" customWidth="1"/>
    <col min="6662" max="6662" width="1.85546875" style="1" customWidth="1"/>
    <col min="6663" max="6663" width="15" style="1" customWidth="1"/>
    <col min="6664" max="6664" width="14.140625" style="1" customWidth="1"/>
    <col min="6665" max="6665" width="9.28515625" style="1" customWidth="1"/>
    <col min="6666" max="6666" width="13.42578125" style="1" bestFit="1" customWidth="1"/>
    <col min="6667" max="6667" width="12.5703125" style="1" bestFit="1" customWidth="1"/>
    <col min="6668" max="6668" width="9.28515625" style="1" customWidth="1"/>
    <col min="6669" max="6672" width="3.28515625" style="1" bestFit="1" customWidth="1"/>
    <col min="6673" max="6673" width="15.85546875" style="1" bestFit="1" customWidth="1"/>
    <col min="6674" max="6674" width="2.28515625" style="1" customWidth="1"/>
    <col min="6675" max="6675" width="15.85546875" style="1" customWidth="1"/>
    <col min="6676" max="6676" width="3" style="1" customWidth="1"/>
    <col min="6677" max="6677" width="13.7109375" style="1" customWidth="1"/>
    <col min="6678" max="6912" width="9.140625" style="1"/>
    <col min="6913" max="6913" width="5.42578125" style="1" customWidth="1"/>
    <col min="6914" max="6914" width="34.140625" style="1" customWidth="1"/>
    <col min="6915" max="6915" width="19.28515625" style="1" bestFit="1" customWidth="1"/>
    <col min="6916" max="6916" width="12" style="1" bestFit="1" customWidth="1"/>
    <col min="6917" max="6917" width="10.7109375" style="1" bestFit="1" customWidth="1"/>
    <col min="6918" max="6918" width="1.85546875" style="1" customWidth="1"/>
    <col min="6919" max="6919" width="15" style="1" customWidth="1"/>
    <col min="6920" max="6920" width="14.140625" style="1" customWidth="1"/>
    <col min="6921" max="6921" width="9.28515625" style="1" customWidth="1"/>
    <col min="6922" max="6922" width="13.42578125" style="1" bestFit="1" customWidth="1"/>
    <col min="6923" max="6923" width="12.5703125" style="1" bestFit="1" customWidth="1"/>
    <col min="6924" max="6924" width="9.28515625" style="1" customWidth="1"/>
    <col min="6925" max="6928" width="3.28515625" style="1" bestFit="1" customWidth="1"/>
    <col min="6929" max="6929" width="15.85546875" style="1" bestFit="1" customWidth="1"/>
    <col min="6930" max="6930" width="2.28515625" style="1" customWidth="1"/>
    <col min="6931" max="6931" width="15.85546875" style="1" customWidth="1"/>
    <col min="6932" max="6932" width="3" style="1" customWidth="1"/>
    <col min="6933" max="6933" width="13.7109375" style="1" customWidth="1"/>
    <col min="6934" max="7168" width="9.140625" style="1"/>
    <col min="7169" max="7169" width="5.42578125" style="1" customWidth="1"/>
    <col min="7170" max="7170" width="34.140625" style="1" customWidth="1"/>
    <col min="7171" max="7171" width="19.28515625" style="1" bestFit="1" customWidth="1"/>
    <col min="7172" max="7172" width="12" style="1" bestFit="1" customWidth="1"/>
    <col min="7173" max="7173" width="10.7109375" style="1" bestFit="1" customWidth="1"/>
    <col min="7174" max="7174" width="1.85546875" style="1" customWidth="1"/>
    <col min="7175" max="7175" width="15" style="1" customWidth="1"/>
    <col min="7176" max="7176" width="14.140625" style="1" customWidth="1"/>
    <col min="7177" max="7177" width="9.28515625" style="1" customWidth="1"/>
    <col min="7178" max="7178" width="13.42578125" style="1" bestFit="1" customWidth="1"/>
    <col min="7179" max="7179" width="12.5703125" style="1" bestFit="1" customWidth="1"/>
    <col min="7180" max="7180" width="9.28515625" style="1" customWidth="1"/>
    <col min="7181" max="7184" width="3.28515625" style="1" bestFit="1" customWidth="1"/>
    <col min="7185" max="7185" width="15.85546875" style="1" bestFit="1" customWidth="1"/>
    <col min="7186" max="7186" width="2.28515625" style="1" customWidth="1"/>
    <col min="7187" max="7187" width="15.85546875" style="1" customWidth="1"/>
    <col min="7188" max="7188" width="3" style="1" customWidth="1"/>
    <col min="7189" max="7189" width="13.7109375" style="1" customWidth="1"/>
    <col min="7190" max="7424" width="9.140625" style="1"/>
    <col min="7425" max="7425" width="5.42578125" style="1" customWidth="1"/>
    <col min="7426" max="7426" width="34.140625" style="1" customWidth="1"/>
    <col min="7427" max="7427" width="19.28515625" style="1" bestFit="1" customWidth="1"/>
    <col min="7428" max="7428" width="12" style="1" bestFit="1" customWidth="1"/>
    <col min="7429" max="7429" width="10.7109375" style="1" bestFit="1" customWidth="1"/>
    <col min="7430" max="7430" width="1.85546875" style="1" customWidth="1"/>
    <col min="7431" max="7431" width="15" style="1" customWidth="1"/>
    <col min="7432" max="7432" width="14.140625" style="1" customWidth="1"/>
    <col min="7433" max="7433" width="9.28515625" style="1" customWidth="1"/>
    <col min="7434" max="7434" width="13.42578125" style="1" bestFit="1" customWidth="1"/>
    <col min="7435" max="7435" width="12.5703125" style="1" bestFit="1" customWidth="1"/>
    <col min="7436" max="7436" width="9.28515625" style="1" customWidth="1"/>
    <col min="7437" max="7440" width="3.28515625" style="1" bestFit="1" customWidth="1"/>
    <col min="7441" max="7441" width="15.85546875" style="1" bestFit="1" customWidth="1"/>
    <col min="7442" max="7442" width="2.28515625" style="1" customWidth="1"/>
    <col min="7443" max="7443" width="15.85546875" style="1" customWidth="1"/>
    <col min="7444" max="7444" width="3" style="1" customWidth="1"/>
    <col min="7445" max="7445" width="13.7109375" style="1" customWidth="1"/>
    <col min="7446" max="7680" width="9.140625" style="1"/>
    <col min="7681" max="7681" width="5.42578125" style="1" customWidth="1"/>
    <col min="7682" max="7682" width="34.140625" style="1" customWidth="1"/>
    <col min="7683" max="7683" width="19.28515625" style="1" bestFit="1" customWidth="1"/>
    <col min="7684" max="7684" width="12" style="1" bestFit="1" customWidth="1"/>
    <col min="7685" max="7685" width="10.7109375" style="1" bestFit="1" customWidth="1"/>
    <col min="7686" max="7686" width="1.85546875" style="1" customWidth="1"/>
    <col min="7687" max="7687" width="15" style="1" customWidth="1"/>
    <col min="7688" max="7688" width="14.140625" style="1" customWidth="1"/>
    <col min="7689" max="7689" width="9.28515625" style="1" customWidth="1"/>
    <col min="7690" max="7690" width="13.42578125" style="1" bestFit="1" customWidth="1"/>
    <col min="7691" max="7691" width="12.5703125" style="1" bestFit="1" customWidth="1"/>
    <col min="7692" max="7692" width="9.28515625" style="1" customWidth="1"/>
    <col min="7693" max="7696" width="3.28515625" style="1" bestFit="1" customWidth="1"/>
    <col min="7697" max="7697" width="15.85546875" style="1" bestFit="1" customWidth="1"/>
    <col min="7698" max="7698" width="2.28515625" style="1" customWidth="1"/>
    <col min="7699" max="7699" width="15.85546875" style="1" customWidth="1"/>
    <col min="7700" max="7700" width="3" style="1" customWidth="1"/>
    <col min="7701" max="7701" width="13.7109375" style="1" customWidth="1"/>
    <col min="7702" max="7936" width="9.140625" style="1"/>
    <col min="7937" max="7937" width="5.42578125" style="1" customWidth="1"/>
    <col min="7938" max="7938" width="34.140625" style="1" customWidth="1"/>
    <col min="7939" max="7939" width="19.28515625" style="1" bestFit="1" customWidth="1"/>
    <col min="7940" max="7940" width="12" style="1" bestFit="1" customWidth="1"/>
    <col min="7941" max="7941" width="10.7109375" style="1" bestFit="1" customWidth="1"/>
    <col min="7942" max="7942" width="1.85546875" style="1" customWidth="1"/>
    <col min="7943" max="7943" width="15" style="1" customWidth="1"/>
    <col min="7944" max="7944" width="14.140625" style="1" customWidth="1"/>
    <col min="7945" max="7945" width="9.28515625" style="1" customWidth="1"/>
    <col min="7946" max="7946" width="13.42578125" style="1" bestFit="1" customWidth="1"/>
    <col min="7947" max="7947" width="12.5703125" style="1" bestFit="1" customWidth="1"/>
    <col min="7948" max="7948" width="9.28515625" style="1" customWidth="1"/>
    <col min="7949" max="7952" width="3.28515625" style="1" bestFit="1" customWidth="1"/>
    <col min="7953" max="7953" width="15.85546875" style="1" bestFit="1" customWidth="1"/>
    <col min="7954" max="7954" width="2.28515625" style="1" customWidth="1"/>
    <col min="7955" max="7955" width="15.85546875" style="1" customWidth="1"/>
    <col min="7956" max="7956" width="3" style="1" customWidth="1"/>
    <col min="7957" max="7957" width="13.7109375" style="1" customWidth="1"/>
    <col min="7958" max="8192" width="9.140625" style="1"/>
    <col min="8193" max="8193" width="5.42578125" style="1" customWidth="1"/>
    <col min="8194" max="8194" width="34.140625" style="1" customWidth="1"/>
    <col min="8195" max="8195" width="19.28515625" style="1" bestFit="1" customWidth="1"/>
    <col min="8196" max="8196" width="12" style="1" bestFit="1" customWidth="1"/>
    <col min="8197" max="8197" width="10.7109375" style="1" bestFit="1" customWidth="1"/>
    <col min="8198" max="8198" width="1.85546875" style="1" customWidth="1"/>
    <col min="8199" max="8199" width="15" style="1" customWidth="1"/>
    <col min="8200" max="8200" width="14.140625" style="1" customWidth="1"/>
    <col min="8201" max="8201" width="9.28515625" style="1" customWidth="1"/>
    <col min="8202" max="8202" width="13.42578125" style="1" bestFit="1" customWidth="1"/>
    <col min="8203" max="8203" width="12.5703125" style="1" bestFit="1" customWidth="1"/>
    <col min="8204" max="8204" width="9.28515625" style="1" customWidth="1"/>
    <col min="8205" max="8208" width="3.28515625" style="1" bestFit="1" customWidth="1"/>
    <col min="8209" max="8209" width="15.85546875" style="1" bestFit="1" customWidth="1"/>
    <col min="8210" max="8210" width="2.28515625" style="1" customWidth="1"/>
    <col min="8211" max="8211" width="15.85546875" style="1" customWidth="1"/>
    <col min="8212" max="8212" width="3" style="1" customWidth="1"/>
    <col min="8213" max="8213" width="13.7109375" style="1" customWidth="1"/>
    <col min="8214" max="8448" width="9.140625" style="1"/>
    <col min="8449" max="8449" width="5.42578125" style="1" customWidth="1"/>
    <col min="8450" max="8450" width="34.140625" style="1" customWidth="1"/>
    <col min="8451" max="8451" width="19.28515625" style="1" bestFit="1" customWidth="1"/>
    <col min="8452" max="8452" width="12" style="1" bestFit="1" customWidth="1"/>
    <col min="8453" max="8453" width="10.7109375" style="1" bestFit="1" customWidth="1"/>
    <col min="8454" max="8454" width="1.85546875" style="1" customWidth="1"/>
    <col min="8455" max="8455" width="15" style="1" customWidth="1"/>
    <col min="8456" max="8456" width="14.140625" style="1" customWidth="1"/>
    <col min="8457" max="8457" width="9.28515625" style="1" customWidth="1"/>
    <col min="8458" max="8458" width="13.42578125" style="1" bestFit="1" customWidth="1"/>
    <col min="8459" max="8459" width="12.5703125" style="1" bestFit="1" customWidth="1"/>
    <col min="8460" max="8460" width="9.28515625" style="1" customWidth="1"/>
    <col min="8461" max="8464" width="3.28515625" style="1" bestFit="1" customWidth="1"/>
    <col min="8465" max="8465" width="15.85546875" style="1" bestFit="1" customWidth="1"/>
    <col min="8466" max="8466" width="2.28515625" style="1" customWidth="1"/>
    <col min="8467" max="8467" width="15.85546875" style="1" customWidth="1"/>
    <col min="8468" max="8468" width="3" style="1" customWidth="1"/>
    <col min="8469" max="8469" width="13.7109375" style="1" customWidth="1"/>
    <col min="8470" max="8704" width="9.140625" style="1"/>
    <col min="8705" max="8705" width="5.42578125" style="1" customWidth="1"/>
    <col min="8706" max="8706" width="34.140625" style="1" customWidth="1"/>
    <col min="8707" max="8707" width="19.28515625" style="1" bestFit="1" customWidth="1"/>
    <col min="8708" max="8708" width="12" style="1" bestFit="1" customWidth="1"/>
    <col min="8709" max="8709" width="10.7109375" style="1" bestFit="1" customWidth="1"/>
    <col min="8710" max="8710" width="1.85546875" style="1" customWidth="1"/>
    <col min="8711" max="8711" width="15" style="1" customWidth="1"/>
    <col min="8712" max="8712" width="14.140625" style="1" customWidth="1"/>
    <col min="8713" max="8713" width="9.28515625" style="1" customWidth="1"/>
    <col min="8714" max="8714" width="13.42578125" style="1" bestFit="1" customWidth="1"/>
    <col min="8715" max="8715" width="12.5703125" style="1" bestFit="1" customWidth="1"/>
    <col min="8716" max="8716" width="9.28515625" style="1" customWidth="1"/>
    <col min="8717" max="8720" width="3.28515625" style="1" bestFit="1" customWidth="1"/>
    <col min="8721" max="8721" width="15.85546875" style="1" bestFit="1" customWidth="1"/>
    <col min="8722" max="8722" width="2.28515625" style="1" customWidth="1"/>
    <col min="8723" max="8723" width="15.85546875" style="1" customWidth="1"/>
    <col min="8724" max="8724" width="3" style="1" customWidth="1"/>
    <col min="8725" max="8725" width="13.7109375" style="1" customWidth="1"/>
    <col min="8726" max="8960" width="9.140625" style="1"/>
    <col min="8961" max="8961" width="5.42578125" style="1" customWidth="1"/>
    <col min="8962" max="8962" width="34.140625" style="1" customWidth="1"/>
    <col min="8963" max="8963" width="19.28515625" style="1" bestFit="1" customWidth="1"/>
    <col min="8964" max="8964" width="12" style="1" bestFit="1" customWidth="1"/>
    <col min="8965" max="8965" width="10.7109375" style="1" bestFit="1" customWidth="1"/>
    <col min="8966" max="8966" width="1.85546875" style="1" customWidth="1"/>
    <col min="8967" max="8967" width="15" style="1" customWidth="1"/>
    <col min="8968" max="8968" width="14.140625" style="1" customWidth="1"/>
    <col min="8969" max="8969" width="9.28515625" style="1" customWidth="1"/>
    <col min="8970" max="8970" width="13.42578125" style="1" bestFit="1" customWidth="1"/>
    <col min="8971" max="8971" width="12.5703125" style="1" bestFit="1" customWidth="1"/>
    <col min="8972" max="8972" width="9.28515625" style="1" customWidth="1"/>
    <col min="8973" max="8976" width="3.28515625" style="1" bestFit="1" customWidth="1"/>
    <col min="8977" max="8977" width="15.85546875" style="1" bestFit="1" customWidth="1"/>
    <col min="8978" max="8978" width="2.28515625" style="1" customWidth="1"/>
    <col min="8979" max="8979" width="15.85546875" style="1" customWidth="1"/>
    <col min="8980" max="8980" width="3" style="1" customWidth="1"/>
    <col min="8981" max="8981" width="13.7109375" style="1" customWidth="1"/>
    <col min="8982" max="9216" width="9.140625" style="1"/>
    <col min="9217" max="9217" width="5.42578125" style="1" customWidth="1"/>
    <col min="9218" max="9218" width="34.140625" style="1" customWidth="1"/>
    <col min="9219" max="9219" width="19.28515625" style="1" bestFit="1" customWidth="1"/>
    <col min="9220" max="9220" width="12" style="1" bestFit="1" customWidth="1"/>
    <col min="9221" max="9221" width="10.7109375" style="1" bestFit="1" customWidth="1"/>
    <col min="9222" max="9222" width="1.85546875" style="1" customWidth="1"/>
    <col min="9223" max="9223" width="15" style="1" customWidth="1"/>
    <col min="9224" max="9224" width="14.140625" style="1" customWidth="1"/>
    <col min="9225" max="9225" width="9.28515625" style="1" customWidth="1"/>
    <col min="9226" max="9226" width="13.42578125" style="1" bestFit="1" customWidth="1"/>
    <col min="9227" max="9227" width="12.5703125" style="1" bestFit="1" customWidth="1"/>
    <col min="9228" max="9228" width="9.28515625" style="1" customWidth="1"/>
    <col min="9229" max="9232" width="3.28515625" style="1" bestFit="1" customWidth="1"/>
    <col min="9233" max="9233" width="15.85546875" style="1" bestFit="1" customWidth="1"/>
    <col min="9234" max="9234" width="2.28515625" style="1" customWidth="1"/>
    <col min="9235" max="9235" width="15.85546875" style="1" customWidth="1"/>
    <col min="9236" max="9236" width="3" style="1" customWidth="1"/>
    <col min="9237" max="9237" width="13.7109375" style="1" customWidth="1"/>
    <col min="9238" max="9472" width="9.140625" style="1"/>
    <col min="9473" max="9473" width="5.42578125" style="1" customWidth="1"/>
    <col min="9474" max="9474" width="34.140625" style="1" customWidth="1"/>
    <col min="9475" max="9475" width="19.28515625" style="1" bestFit="1" customWidth="1"/>
    <col min="9476" max="9476" width="12" style="1" bestFit="1" customWidth="1"/>
    <col min="9477" max="9477" width="10.7109375" style="1" bestFit="1" customWidth="1"/>
    <col min="9478" max="9478" width="1.85546875" style="1" customWidth="1"/>
    <col min="9479" max="9479" width="15" style="1" customWidth="1"/>
    <col min="9480" max="9480" width="14.140625" style="1" customWidth="1"/>
    <col min="9481" max="9481" width="9.28515625" style="1" customWidth="1"/>
    <col min="9482" max="9482" width="13.42578125" style="1" bestFit="1" customWidth="1"/>
    <col min="9483" max="9483" width="12.5703125" style="1" bestFit="1" customWidth="1"/>
    <col min="9484" max="9484" width="9.28515625" style="1" customWidth="1"/>
    <col min="9485" max="9488" width="3.28515625" style="1" bestFit="1" customWidth="1"/>
    <col min="9489" max="9489" width="15.85546875" style="1" bestFit="1" customWidth="1"/>
    <col min="9490" max="9490" width="2.28515625" style="1" customWidth="1"/>
    <col min="9491" max="9491" width="15.85546875" style="1" customWidth="1"/>
    <col min="9492" max="9492" width="3" style="1" customWidth="1"/>
    <col min="9493" max="9493" width="13.7109375" style="1" customWidth="1"/>
    <col min="9494" max="9728" width="9.140625" style="1"/>
    <col min="9729" max="9729" width="5.42578125" style="1" customWidth="1"/>
    <col min="9730" max="9730" width="34.140625" style="1" customWidth="1"/>
    <col min="9731" max="9731" width="19.28515625" style="1" bestFit="1" customWidth="1"/>
    <col min="9732" max="9732" width="12" style="1" bestFit="1" customWidth="1"/>
    <col min="9733" max="9733" width="10.7109375" style="1" bestFit="1" customWidth="1"/>
    <col min="9734" max="9734" width="1.85546875" style="1" customWidth="1"/>
    <col min="9735" max="9735" width="15" style="1" customWidth="1"/>
    <col min="9736" max="9736" width="14.140625" style="1" customWidth="1"/>
    <col min="9737" max="9737" width="9.28515625" style="1" customWidth="1"/>
    <col min="9738" max="9738" width="13.42578125" style="1" bestFit="1" customWidth="1"/>
    <col min="9739" max="9739" width="12.5703125" style="1" bestFit="1" customWidth="1"/>
    <col min="9740" max="9740" width="9.28515625" style="1" customWidth="1"/>
    <col min="9741" max="9744" width="3.28515625" style="1" bestFit="1" customWidth="1"/>
    <col min="9745" max="9745" width="15.85546875" style="1" bestFit="1" customWidth="1"/>
    <col min="9746" max="9746" width="2.28515625" style="1" customWidth="1"/>
    <col min="9747" max="9747" width="15.85546875" style="1" customWidth="1"/>
    <col min="9748" max="9748" width="3" style="1" customWidth="1"/>
    <col min="9749" max="9749" width="13.7109375" style="1" customWidth="1"/>
    <col min="9750" max="9984" width="9.140625" style="1"/>
    <col min="9985" max="9985" width="5.42578125" style="1" customWidth="1"/>
    <col min="9986" max="9986" width="34.140625" style="1" customWidth="1"/>
    <col min="9987" max="9987" width="19.28515625" style="1" bestFit="1" customWidth="1"/>
    <col min="9988" max="9988" width="12" style="1" bestFit="1" customWidth="1"/>
    <col min="9989" max="9989" width="10.7109375" style="1" bestFit="1" customWidth="1"/>
    <col min="9990" max="9990" width="1.85546875" style="1" customWidth="1"/>
    <col min="9991" max="9991" width="15" style="1" customWidth="1"/>
    <col min="9992" max="9992" width="14.140625" style="1" customWidth="1"/>
    <col min="9993" max="9993" width="9.28515625" style="1" customWidth="1"/>
    <col min="9994" max="9994" width="13.42578125" style="1" bestFit="1" customWidth="1"/>
    <col min="9995" max="9995" width="12.5703125" style="1" bestFit="1" customWidth="1"/>
    <col min="9996" max="9996" width="9.28515625" style="1" customWidth="1"/>
    <col min="9997" max="10000" width="3.28515625" style="1" bestFit="1" customWidth="1"/>
    <col min="10001" max="10001" width="15.85546875" style="1" bestFit="1" customWidth="1"/>
    <col min="10002" max="10002" width="2.28515625" style="1" customWidth="1"/>
    <col min="10003" max="10003" width="15.85546875" style="1" customWidth="1"/>
    <col min="10004" max="10004" width="3" style="1" customWidth="1"/>
    <col min="10005" max="10005" width="13.7109375" style="1" customWidth="1"/>
    <col min="10006" max="10240" width="9.140625" style="1"/>
    <col min="10241" max="10241" width="5.42578125" style="1" customWidth="1"/>
    <col min="10242" max="10242" width="34.140625" style="1" customWidth="1"/>
    <col min="10243" max="10243" width="19.28515625" style="1" bestFit="1" customWidth="1"/>
    <col min="10244" max="10244" width="12" style="1" bestFit="1" customWidth="1"/>
    <col min="10245" max="10245" width="10.7109375" style="1" bestFit="1" customWidth="1"/>
    <col min="10246" max="10246" width="1.85546875" style="1" customWidth="1"/>
    <col min="10247" max="10247" width="15" style="1" customWidth="1"/>
    <col min="10248" max="10248" width="14.140625" style="1" customWidth="1"/>
    <col min="10249" max="10249" width="9.28515625" style="1" customWidth="1"/>
    <col min="10250" max="10250" width="13.42578125" style="1" bestFit="1" customWidth="1"/>
    <col min="10251" max="10251" width="12.5703125" style="1" bestFit="1" customWidth="1"/>
    <col min="10252" max="10252" width="9.28515625" style="1" customWidth="1"/>
    <col min="10253" max="10256" width="3.28515625" style="1" bestFit="1" customWidth="1"/>
    <col min="10257" max="10257" width="15.85546875" style="1" bestFit="1" customWidth="1"/>
    <col min="10258" max="10258" width="2.28515625" style="1" customWidth="1"/>
    <col min="10259" max="10259" width="15.85546875" style="1" customWidth="1"/>
    <col min="10260" max="10260" width="3" style="1" customWidth="1"/>
    <col min="10261" max="10261" width="13.7109375" style="1" customWidth="1"/>
    <col min="10262" max="10496" width="9.140625" style="1"/>
    <col min="10497" max="10497" width="5.42578125" style="1" customWidth="1"/>
    <col min="10498" max="10498" width="34.140625" style="1" customWidth="1"/>
    <col min="10499" max="10499" width="19.28515625" style="1" bestFit="1" customWidth="1"/>
    <col min="10500" max="10500" width="12" style="1" bestFit="1" customWidth="1"/>
    <col min="10501" max="10501" width="10.7109375" style="1" bestFit="1" customWidth="1"/>
    <col min="10502" max="10502" width="1.85546875" style="1" customWidth="1"/>
    <col min="10503" max="10503" width="15" style="1" customWidth="1"/>
    <col min="10504" max="10504" width="14.140625" style="1" customWidth="1"/>
    <col min="10505" max="10505" width="9.28515625" style="1" customWidth="1"/>
    <col min="10506" max="10506" width="13.42578125" style="1" bestFit="1" customWidth="1"/>
    <col min="10507" max="10507" width="12.5703125" style="1" bestFit="1" customWidth="1"/>
    <col min="10508" max="10508" width="9.28515625" style="1" customWidth="1"/>
    <col min="10509" max="10512" width="3.28515625" style="1" bestFit="1" customWidth="1"/>
    <col min="10513" max="10513" width="15.85546875" style="1" bestFit="1" customWidth="1"/>
    <col min="10514" max="10514" width="2.28515625" style="1" customWidth="1"/>
    <col min="10515" max="10515" width="15.85546875" style="1" customWidth="1"/>
    <col min="10516" max="10516" width="3" style="1" customWidth="1"/>
    <col min="10517" max="10517" width="13.7109375" style="1" customWidth="1"/>
    <col min="10518" max="10752" width="9.140625" style="1"/>
    <col min="10753" max="10753" width="5.42578125" style="1" customWidth="1"/>
    <col min="10754" max="10754" width="34.140625" style="1" customWidth="1"/>
    <col min="10755" max="10755" width="19.28515625" style="1" bestFit="1" customWidth="1"/>
    <col min="10756" max="10756" width="12" style="1" bestFit="1" customWidth="1"/>
    <col min="10757" max="10757" width="10.7109375" style="1" bestFit="1" customWidth="1"/>
    <col min="10758" max="10758" width="1.85546875" style="1" customWidth="1"/>
    <col min="10759" max="10759" width="15" style="1" customWidth="1"/>
    <col min="10760" max="10760" width="14.140625" style="1" customWidth="1"/>
    <col min="10761" max="10761" width="9.28515625" style="1" customWidth="1"/>
    <col min="10762" max="10762" width="13.42578125" style="1" bestFit="1" customWidth="1"/>
    <col min="10763" max="10763" width="12.5703125" style="1" bestFit="1" customWidth="1"/>
    <col min="10764" max="10764" width="9.28515625" style="1" customWidth="1"/>
    <col min="10765" max="10768" width="3.28515625" style="1" bestFit="1" customWidth="1"/>
    <col min="10769" max="10769" width="15.85546875" style="1" bestFit="1" customWidth="1"/>
    <col min="10770" max="10770" width="2.28515625" style="1" customWidth="1"/>
    <col min="10771" max="10771" width="15.85546875" style="1" customWidth="1"/>
    <col min="10772" max="10772" width="3" style="1" customWidth="1"/>
    <col min="10773" max="10773" width="13.7109375" style="1" customWidth="1"/>
    <col min="10774" max="11008" width="9.140625" style="1"/>
    <col min="11009" max="11009" width="5.42578125" style="1" customWidth="1"/>
    <col min="11010" max="11010" width="34.140625" style="1" customWidth="1"/>
    <col min="11011" max="11011" width="19.28515625" style="1" bestFit="1" customWidth="1"/>
    <col min="11012" max="11012" width="12" style="1" bestFit="1" customWidth="1"/>
    <col min="11013" max="11013" width="10.7109375" style="1" bestFit="1" customWidth="1"/>
    <col min="11014" max="11014" width="1.85546875" style="1" customWidth="1"/>
    <col min="11015" max="11015" width="15" style="1" customWidth="1"/>
    <col min="11016" max="11016" width="14.140625" style="1" customWidth="1"/>
    <col min="11017" max="11017" width="9.28515625" style="1" customWidth="1"/>
    <col min="11018" max="11018" width="13.42578125" style="1" bestFit="1" customWidth="1"/>
    <col min="11019" max="11019" width="12.5703125" style="1" bestFit="1" customWidth="1"/>
    <col min="11020" max="11020" width="9.28515625" style="1" customWidth="1"/>
    <col min="11021" max="11024" width="3.28515625" style="1" bestFit="1" customWidth="1"/>
    <col min="11025" max="11025" width="15.85546875" style="1" bestFit="1" customWidth="1"/>
    <col min="11026" max="11026" width="2.28515625" style="1" customWidth="1"/>
    <col min="11027" max="11027" width="15.85546875" style="1" customWidth="1"/>
    <col min="11028" max="11028" width="3" style="1" customWidth="1"/>
    <col min="11029" max="11029" width="13.7109375" style="1" customWidth="1"/>
    <col min="11030" max="11264" width="9.140625" style="1"/>
    <col min="11265" max="11265" width="5.42578125" style="1" customWidth="1"/>
    <col min="11266" max="11266" width="34.140625" style="1" customWidth="1"/>
    <col min="11267" max="11267" width="19.28515625" style="1" bestFit="1" customWidth="1"/>
    <col min="11268" max="11268" width="12" style="1" bestFit="1" customWidth="1"/>
    <col min="11269" max="11269" width="10.7109375" style="1" bestFit="1" customWidth="1"/>
    <col min="11270" max="11270" width="1.85546875" style="1" customWidth="1"/>
    <col min="11271" max="11271" width="15" style="1" customWidth="1"/>
    <col min="11272" max="11272" width="14.140625" style="1" customWidth="1"/>
    <col min="11273" max="11273" width="9.28515625" style="1" customWidth="1"/>
    <col min="11274" max="11274" width="13.42578125" style="1" bestFit="1" customWidth="1"/>
    <col min="11275" max="11275" width="12.5703125" style="1" bestFit="1" customWidth="1"/>
    <col min="11276" max="11276" width="9.28515625" style="1" customWidth="1"/>
    <col min="11277" max="11280" width="3.28515625" style="1" bestFit="1" customWidth="1"/>
    <col min="11281" max="11281" width="15.85546875" style="1" bestFit="1" customWidth="1"/>
    <col min="11282" max="11282" width="2.28515625" style="1" customWidth="1"/>
    <col min="11283" max="11283" width="15.85546875" style="1" customWidth="1"/>
    <col min="11284" max="11284" width="3" style="1" customWidth="1"/>
    <col min="11285" max="11285" width="13.7109375" style="1" customWidth="1"/>
    <col min="11286" max="11520" width="9.140625" style="1"/>
    <col min="11521" max="11521" width="5.42578125" style="1" customWidth="1"/>
    <col min="11522" max="11522" width="34.140625" style="1" customWidth="1"/>
    <col min="11523" max="11523" width="19.28515625" style="1" bestFit="1" customWidth="1"/>
    <col min="11524" max="11524" width="12" style="1" bestFit="1" customWidth="1"/>
    <col min="11525" max="11525" width="10.7109375" style="1" bestFit="1" customWidth="1"/>
    <col min="11526" max="11526" width="1.85546875" style="1" customWidth="1"/>
    <col min="11527" max="11527" width="15" style="1" customWidth="1"/>
    <col min="11528" max="11528" width="14.140625" style="1" customWidth="1"/>
    <col min="11529" max="11529" width="9.28515625" style="1" customWidth="1"/>
    <col min="11530" max="11530" width="13.42578125" style="1" bestFit="1" customWidth="1"/>
    <col min="11531" max="11531" width="12.5703125" style="1" bestFit="1" customWidth="1"/>
    <col min="11532" max="11532" width="9.28515625" style="1" customWidth="1"/>
    <col min="11533" max="11536" width="3.28515625" style="1" bestFit="1" customWidth="1"/>
    <col min="11537" max="11537" width="15.85546875" style="1" bestFit="1" customWidth="1"/>
    <col min="11538" max="11538" width="2.28515625" style="1" customWidth="1"/>
    <col min="11539" max="11539" width="15.85546875" style="1" customWidth="1"/>
    <col min="11540" max="11540" width="3" style="1" customWidth="1"/>
    <col min="11541" max="11541" width="13.7109375" style="1" customWidth="1"/>
    <col min="11542" max="11776" width="9.140625" style="1"/>
    <col min="11777" max="11777" width="5.42578125" style="1" customWidth="1"/>
    <col min="11778" max="11778" width="34.140625" style="1" customWidth="1"/>
    <col min="11779" max="11779" width="19.28515625" style="1" bestFit="1" customWidth="1"/>
    <col min="11780" max="11780" width="12" style="1" bestFit="1" customWidth="1"/>
    <col min="11781" max="11781" width="10.7109375" style="1" bestFit="1" customWidth="1"/>
    <col min="11782" max="11782" width="1.85546875" style="1" customWidth="1"/>
    <col min="11783" max="11783" width="15" style="1" customWidth="1"/>
    <col min="11784" max="11784" width="14.140625" style="1" customWidth="1"/>
    <col min="11785" max="11785" width="9.28515625" style="1" customWidth="1"/>
    <col min="11786" max="11786" width="13.42578125" style="1" bestFit="1" customWidth="1"/>
    <col min="11787" max="11787" width="12.5703125" style="1" bestFit="1" customWidth="1"/>
    <col min="11788" max="11788" width="9.28515625" style="1" customWidth="1"/>
    <col min="11789" max="11792" width="3.28515625" style="1" bestFit="1" customWidth="1"/>
    <col min="11793" max="11793" width="15.85546875" style="1" bestFit="1" customWidth="1"/>
    <col min="11794" max="11794" width="2.28515625" style="1" customWidth="1"/>
    <col min="11795" max="11795" width="15.85546875" style="1" customWidth="1"/>
    <col min="11796" max="11796" width="3" style="1" customWidth="1"/>
    <col min="11797" max="11797" width="13.7109375" style="1" customWidth="1"/>
    <col min="11798" max="12032" width="9.140625" style="1"/>
    <col min="12033" max="12033" width="5.42578125" style="1" customWidth="1"/>
    <col min="12034" max="12034" width="34.140625" style="1" customWidth="1"/>
    <col min="12035" max="12035" width="19.28515625" style="1" bestFit="1" customWidth="1"/>
    <col min="12036" max="12036" width="12" style="1" bestFit="1" customWidth="1"/>
    <col min="12037" max="12037" width="10.7109375" style="1" bestFit="1" customWidth="1"/>
    <col min="12038" max="12038" width="1.85546875" style="1" customWidth="1"/>
    <col min="12039" max="12039" width="15" style="1" customWidth="1"/>
    <col min="12040" max="12040" width="14.140625" style="1" customWidth="1"/>
    <col min="12041" max="12041" width="9.28515625" style="1" customWidth="1"/>
    <col min="12042" max="12042" width="13.42578125" style="1" bestFit="1" customWidth="1"/>
    <col min="12043" max="12043" width="12.5703125" style="1" bestFit="1" customWidth="1"/>
    <col min="12044" max="12044" width="9.28515625" style="1" customWidth="1"/>
    <col min="12045" max="12048" width="3.28515625" style="1" bestFit="1" customWidth="1"/>
    <col min="12049" max="12049" width="15.85546875" style="1" bestFit="1" customWidth="1"/>
    <col min="12050" max="12050" width="2.28515625" style="1" customWidth="1"/>
    <col min="12051" max="12051" width="15.85546875" style="1" customWidth="1"/>
    <col min="12052" max="12052" width="3" style="1" customWidth="1"/>
    <col min="12053" max="12053" width="13.7109375" style="1" customWidth="1"/>
    <col min="12054" max="12288" width="9.140625" style="1"/>
    <col min="12289" max="12289" width="5.42578125" style="1" customWidth="1"/>
    <col min="12290" max="12290" width="34.140625" style="1" customWidth="1"/>
    <col min="12291" max="12291" width="19.28515625" style="1" bestFit="1" customWidth="1"/>
    <col min="12292" max="12292" width="12" style="1" bestFit="1" customWidth="1"/>
    <col min="12293" max="12293" width="10.7109375" style="1" bestFit="1" customWidth="1"/>
    <col min="12294" max="12294" width="1.85546875" style="1" customWidth="1"/>
    <col min="12295" max="12295" width="15" style="1" customWidth="1"/>
    <col min="12296" max="12296" width="14.140625" style="1" customWidth="1"/>
    <col min="12297" max="12297" width="9.28515625" style="1" customWidth="1"/>
    <col min="12298" max="12298" width="13.42578125" style="1" bestFit="1" customWidth="1"/>
    <col min="12299" max="12299" width="12.5703125" style="1" bestFit="1" customWidth="1"/>
    <col min="12300" max="12300" width="9.28515625" style="1" customWidth="1"/>
    <col min="12301" max="12304" width="3.28515625" style="1" bestFit="1" customWidth="1"/>
    <col min="12305" max="12305" width="15.85546875" style="1" bestFit="1" customWidth="1"/>
    <col min="12306" max="12306" width="2.28515625" style="1" customWidth="1"/>
    <col min="12307" max="12307" width="15.85546875" style="1" customWidth="1"/>
    <col min="12308" max="12308" width="3" style="1" customWidth="1"/>
    <col min="12309" max="12309" width="13.7109375" style="1" customWidth="1"/>
    <col min="12310" max="12544" width="9.140625" style="1"/>
    <col min="12545" max="12545" width="5.42578125" style="1" customWidth="1"/>
    <col min="12546" max="12546" width="34.140625" style="1" customWidth="1"/>
    <col min="12547" max="12547" width="19.28515625" style="1" bestFit="1" customWidth="1"/>
    <col min="12548" max="12548" width="12" style="1" bestFit="1" customWidth="1"/>
    <col min="12549" max="12549" width="10.7109375" style="1" bestFit="1" customWidth="1"/>
    <col min="12550" max="12550" width="1.85546875" style="1" customWidth="1"/>
    <col min="12551" max="12551" width="15" style="1" customWidth="1"/>
    <col min="12552" max="12552" width="14.140625" style="1" customWidth="1"/>
    <col min="12553" max="12553" width="9.28515625" style="1" customWidth="1"/>
    <col min="12554" max="12554" width="13.42578125" style="1" bestFit="1" customWidth="1"/>
    <col min="12555" max="12555" width="12.5703125" style="1" bestFit="1" customWidth="1"/>
    <col min="12556" max="12556" width="9.28515625" style="1" customWidth="1"/>
    <col min="12557" max="12560" width="3.28515625" style="1" bestFit="1" customWidth="1"/>
    <col min="12561" max="12561" width="15.85546875" style="1" bestFit="1" customWidth="1"/>
    <col min="12562" max="12562" width="2.28515625" style="1" customWidth="1"/>
    <col min="12563" max="12563" width="15.85546875" style="1" customWidth="1"/>
    <col min="12564" max="12564" width="3" style="1" customWidth="1"/>
    <col min="12565" max="12565" width="13.7109375" style="1" customWidth="1"/>
    <col min="12566" max="12800" width="9.140625" style="1"/>
    <col min="12801" max="12801" width="5.42578125" style="1" customWidth="1"/>
    <col min="12802" max="12802" width="34.140625" style="1" customWidth="1"/>
    <col min="12803" max="12803" width="19.28515625" style="1" bestFit="1" customWidth="1"/>
    <col min="12804" max="12804" width="12" style="1" bestFit="1" customWidth="1"/>
    <col min="12805" max="12805" width="10.7109375" style="1" bestFit="1" customWidth="1"/>
    <col min="12806" max="12806" width="1.85546875" style="1" customWidth="1"/>
    <col min="12807" max="12807" width="15" style="1" customWidth="1"/>
    <col min="12808" max="12808" width="14.140625" style="1" customWidth="1"/>
    <col min="12809" max="12809" width="9.28515625" style="1" customWidth="1"/>
    <col min="12810" max="12810" width="13.42578125" style="1" bestFit="1" customWidth="1"/>
    <col min="12811" max="12811" width="12.5703125" style="1" bestFit="1" customWidth="1"/>
    <col min="12812" max="12812" width="9.28515625" style="1" customWidth="1"/>
    <col min="12813" max="12816" width="3.28515625" style="1" bestFit="1" customWidth="1"/>
    <col min="12817" max="12817" width="15.85546875" style="1" bestFit="1" customWidth="1"/>
    <col min="12818" max="12818" width="2.28515625" style="1" customWidth="1"/>
    <col min="12819" max="12819" width="15.85546875" style="1" customWidth="1"/>
    <col min="12820" max="12820" width="3" style="1" customWidth="1"/>
    <col min="12821" max="12821" width="13.7109375" style="1" customWidth="1"/>
    <col min="12822" max="13056" width="9.140625" style="1"/>
    <col min="13057" max="13057" width="5.42578125" style="1" customWidth="1"/>
    <col min="13058" max="13058" width="34.140625" style="1" customWidth="1"/>
    <col min="13059" max="13059" width="19.28515625" style="1" bestFit="1" customWidth="1"/>
    <col min="13060" max="13060" width="12" style="1" bestFit="1" customWidth="1"/>
    <col min="13061" max="13061" width="10.7109375" style="1" bestFit="1" customWidth="1"/>
    <col min="13062" max="13062" width="1.85546875" style="1" customWidth="1"/>
    <col min="13063" max="13063" width="15" style="1" customWidth="1"/>
    <col min="13064" max="13064" width="14.140625" style="1" customWidth="1"/>
    <col min="13065" max="13065" width="9.28515625" style="1" customWidth="1"/>
    <col min="13066" max="13066" width="13.42578125" style="1" bestFit="1" customWidth="1"/>
    <col min="13067" max="13067" width="12.5703125" style="1" bestFit="1" customWidth="1"/>
    <col min="13068" max="13068" width="9.28515625" style="1" customWidth="1"/>
    <col min="13069" max="13072" width="3.28515625" style="1" bestFit="1" customWidth="1"/>
    <col min="13073" max="13073" width="15.85546875" style="1" bestFit="1" customWidth="1"/>
    <col min="13074" max="13074" width="2.28515625" style="1" customWidth="1"/>
    <col min="13075" max="13075" width="15.85546875" style="1" customWidth="1"/>
    <col min="13076" max="13076" width="3" style="1" customWidth="1"/>
    <col min="13077" max="13077" width="13.7109375" style="1" customWidth="1"/>
    <col min="13078" max="13312" width="9.140625" style="1"/>
    <col min="13313" max="13313" width="5.42578125" style="1" customWidth="1"/>
    <col min="13314" max="13314" width="34.140625" style="1" customWidth="1"/>
    <col min="13315" max="13315" width="19.28515625" style="1" bestFit="1" customWidth="1"/>
    <col min="13316" max="13316" width="12" style="1" bestFit="1" customWidth="1"/>
    <col min="13317" max="13317" width="10.7109375" style="1" bestFit="1" customWidth="1"/>
    <col min="13318" max="13318" width="1.85546875" style="1" customWidth="1"/>
    <col min="13319" max="13319" width="15" style="1" customWidth="1"/>
    <col min="13320" max="13320" width="14.140625" style="1" customWidth="1"/>
    <col min="13321" max="13321" width="9.28515625" style="1" customWidth="1"/>
    <col min="13322" max="13322" width="13.42578125" style="1" bestFit="1" customWidth="1"/>
    <col min="13323" max="13323" width="12.5703125" style="1" bestFit="1" customWidth="1"/>
    <col min="13324" max="13324" width="9.28515625" style="1" customWidth="1"/>
    <col min="13325" max="13328" width="3.28515625" style="1" bestFit="1" customWidth="1"/>
    <col min="13329" max="13329" width="15.85546875" style="1" bestFit="1" customWidth="1"/>
    <col min="13330" max="13330" width="2.28515625" style="1" customWidth="1"/>
    <col min="13331" max="13331" width="15.85546875" style="1" customWidth="1"/>
    <col min="13332" max="13332" width="3" style="1" customWidth="1"/>
    <col min="13333" max="13333" width="13.7109375" style="1" customWidth="1"/>
    <col min="13334" max="13568" width="9.140625" style="1"/>
    <col min="13569" max="13569" width="5.42578125" style="1" customWidth="1"/>
    <col min="13570" max="13570" width="34.140625" style="1" customWidth="1"/>
    <col min="13571" max="13571" width="19.28515625" style="1" bestFit="1" customWidth="1"/>
    <col min="13572" max="13572" width="12" style="1" bestFit="1" customWidth="1"/>
    <col min="13573" max="13573" width="10.7109375" style="1" bestFit="1" customWidth="1"/>
    <col min="13574" max="13574" width="1.85546875" style="1" customWidth="1"/>
    <col min="13575" max="13575" width="15" style="1" customWidth="1"/>
    <col min="13576" max="13576" width="14.140625" style="1" customWidth="1"/>
    <col min="13577" max="13577" width="9.28515625" style="1" customWidth="1"/>
    <col min="13578" max="13578" width="13.42578125" style="1" bestFit="1" customWidth="1"/>
    <col min="13579" max="13579" width="12.5703125" style="1" bestFit="1" customWidth="1"/>
    <col min="13580" max="13580" width="9.28515625" style="1" customWidth="1"/>
    <col min="13581" max="13584" width="3.28515625" style="1" bestFit="1" customWidth="1"/>
    <col min="13585" max="13585" width="15.85546875" style="1" bestFit="1" customWidth="1"/>
    <col min="13586" max="13586" width="2.28515625" style="1" customWidth="1"/>
    <col min="13587" max="13587" width="15.85546875" style="1" customWidth="1"/>
    <col min="13588" max="13588" width="3" style="1" customWidth="1"/>
    <col min="13589" max="13589" width="13.7109375" style="1" customWidth="1"/>
    <col min="13590" max="13824" width="9.140625" style="1"/>
    <col min="13825" max="13825" width="5.42578125" style="1" customWidth="1"/>
    <col min="13826" max="13826" width="34.140625" style="1" customWidth="1"/>
    <col min="13827" max="13827" width="19.28515625" style="1" bestFit="1" customWidth="1"/>
    <col min="13828" max="13828" width="12" style="1" bestFit="1" customWidth="1"/>
    <col min="13829" max="13829" width="10.7109375" style="1" bestFit="1" customWidth="1"/>
    <col min="13830" max="13830" width="1.85546875" style="1" customWidth="1"/>
    <col min="13831" max="13831" width="15" style="1" customWidth="1"/>
    <col min="13832" max="13832" width="14.140625" style="1" customWidth="1"/>
    <col min="13833" max="13833" width="9.28515625" style="1" customWidth="1"/>
    <col min="13834" max="13834" width="13.42578125" style="1" bestFit="1" customWidth="1"/>
    <col min="13835" max="13835" width="12.5703125" style="1" bestFit="1" customWidth="1"/>
    <col min="13836" max="13836" width="9.28515625" style="1" customWidth="1"/>
    <col min="13837" max="13840" width="3.28515625" style="1" bestFit="1" customWidth="1"/>
    <col min="13841" max="13841" width="15.85546875" style="1" bestFit="1" customWidth="1"/>
    <col min="13842" max="13842" width="2.28515625" style="1" customWidth="1"/>
    <col min="13843" max="13843" width="15.85546875" style="1" customWidth="1"/>
    <col min="13844" max="13844" width="3" style="1" customWidth="1"/>
    <col min="13845" max="13845" width="13.7109375" style="1" customWidth="1"/>
    <col min="13846" max="14080" width="9.140625" style="1"/>
    <col min="14081" max="14081" width="5.42578125" style="1" customWidth="1"/>
    <col min="14082" max="14082" width="34.140625" style="1" customWidth="1"/>
    <col min="14083" max="14083" width="19.28515625" style="1" bestFit="1" customWidth="1"/>
    <col min="14084" max="14084" width="12" style="1" bestFit="1" customWidth="1"/>
    <col min="14085" max="14085" width="10.7109375" style="1" bestFit="1" customWidth="1"/>
    <col min="14086" max="14086" width="1.85546875" style="1" customWidth="1"/>
    <col min="14087" max="14087" width="15" style="1" customWidth="1"/>
    <col min="14088" max="14088" width="14.140625" style="1" customWidth="1"/>
    <col min="14089" max="14089" width="9.28515625" style="1" customWidth="1"/>
    <col min="14090" max="14090" width="13.42578125" style="1" bestFit="1" customWidth="1"/>
    <col min="14091" max="14091" width="12.5703125" style="1" bestFit="1" customWidth="1"/>
    <col min="14092" max="14092" width="9.28515625" style="1" customWidth="1"/>
    <col min="14093" max="14096" width="3.28515625" style="1" bestFit="1" customWidth="1"/>
    <col min="14097" max="14097" width="15.85546875" style="1" bestFit="1" customWidth="1"/>
    <col min="14098" max="14098" width="2.28515625" style="1" customWidth="1"/>
    <col min="14099" max="14099" width="15.85546875" style="1" customWidth="1"/>
    <col min="14100" max="14100" width="3" style="1" customWidth="1"/>
    <col min="14101" max="14101" width="13.7109375" style="1" customWidth="1"/>
    <col min="14102" max="14336" width="9.140625" style="1"/>
    <col min="14337" max="14337" width="5.42578125" style="1" customWidth="1"/>
    <col min="14338" max="14338" width="34.140625" style="1" customWidth="1"/>
    <col min="14339" max="14339" width="19.28515625" style="1" bestFit="1" customWidth="1"/>
    <col min="14340" max="14340" width="12" style="1" bestFit="1" customWidth="1"/>
    <col min="14341" max="14341" width="10.7109375" style="1" bestFit="1" customWidth="1"/>
    <col min="14342" max="14342" width="1.85546875" style="1" customWidth="1"/>
    <col min="14343" max="14343" width="15" style="1" customWidth="1"/>
    <col min="14344" max="14344" width="14.140625" style="1" customWidth="1"/>
    <col min="14345" max="14345" width="9.28515625" style="1" customWidth="1"/>
    <col min="14346" max="14346" width="13.42578125" style="1" bestFit="1" customWidth="1"/>
    <col min="14347" max="14347" width="12.5703125" style="1" bestFit="1" customWidth="1"/>
    <col min="14348" max="14348" width="9.28515625" style="1" customWidth="1"/>
    <col min="14349" max="14352" width="3.28515625" style="1" bestFit="1" customWidth="1"/>
    <col min="14353" max="14353" width="15.85546875" style="1" bestFit="1" customWidth="1"/>
    <col min="14354" max="14354" width="2.28515625" style="1" customWidth="1"/>
    <col min="14355" max="14355" width="15.85546875" style="1" customWidth="1"/>
    <col min="14356" max="14356" width="3" style="1" customWidth="1"/>
    <col min="14357" max="14357" width="13.7109375" style="1" customWidth="1"/>
    <col min="14358" max="14592" width="9.140625" style="1"/>
    <col min="14593" max="14593" width="5.42578125" style="1" customWidth="1"/>
    <col min="14594" max="14594" width="34.140625" style="1" customWidth="1"/>
    <col min="14595" max="14595" width="19.28515625" style="1" bestFit="1" customWidth="1"/>
    <col min="14596" max="14596" width="12" style="1" bestFit="1" customWidth="1"/>
    <col min="14597" max="14597" width="10.7109375" style="1" bestFit="1" customWidth="1"/>
    <col min="14598" max="14598" width="1.85546875" style="1" customWidth="1"/>
    <col min="14599" max="14599" width="15" style="1" customWidth="1"/>
    <col min="14600" max="14600" width="14.140625" style="1" customWidth="1"/>
    <col min="14601" max="14601" width="9.28515625" style="1" customWidth="1"/>
    <col min="14602" max="14602" width="13.42578125" style="1" bestFit="1" customWidth="1"/>
    <col min="14603" max="14603" width="12.5703125" style="1" bestFit="1" customWidth="1"/>
    <col min="14604" max="14604" width="9.28515625" style="1" customWidth="1"/>
    <col min="14605" max="14608" width="3.28515625" style="1" bestFit="1" customWidth="1"/>
    <col min="14609" max="14609" width="15.85546875" style="1" bestFit="1" customWidth="1"/>
    <col min="14610" max="14610" width="2.28515625" style="1" customWidth="1"/>
    <col min="14611" max="14611" width="15.85546875" style="1" customWidth="1"/>
    <col min="14612" max="14612" width="3" style="1" customWidth="1"/>
    <col min="14613" max="14613" width="13.7109375" style="1" customWidth="1"/>
    <col min="14614" max="14848" width="9.140625" style="1"/>
    <col min="14849" max="14849" width="5.42578125" style="1" customWidth="1"/>
    <col min="14850" max="14850" width="34.140625" style="1" customWidth="1"/>
    <col min="14851" max="14851" width="19.28515625" style="1" bestFit="1" customWidth="1"/>
    <col min="14852" max="14852" width="12" style="1" bestFit="1" customWidth="1"/>
    <col min="14853" max="14853" width="10.7109375" style="1" bestFit="1" customWidth="1"/>
    <col min="14854" max="14854" width="1.85546875" style="1" customWidth="1"/>
    <col min="14855" max="14855" width="15" style="1" customWidth="1"/>
    <col min="14856" max="14856" width="14.140625" style="1" customWidth="1"/>
    <col min="14857" max="14857" width="9.28515625" style="1" customWidth="1"/>
    <col min="14858" max="14858" width="13.42578125" style="1" bestFit="1" customWidth="1"/>
    <col min="14859" max="14859" width="12.5703125" style="1" bestFit="1" customWidth="1"/>
    <col min="14860" max="14860" width="9.28515625" style="1" customWidth="1"/>
    <col min="14861" max="14864" width="3.28515625" style="1" bestFit="1" customWidth="1"/>
    <col min="14865" max="14865" width="15.85546875" style="1" bestFit="1" customWidth="1"/>
    <col min="14866" max="14866" width="2.28515625" style="1" customWidth="1"/>
    <col min="14867" max="14867" width="15.85546875" style="1" customWidth="1"/>
    <col min="14868" max="14868" width="3" style="1" customWidth="1"/>
    <col min="14869" max="14869" width="13.7109375" style="1" customWidth="1"/>
    <col min="14870" max="15104" width="9.140625" style="1"/>
    <col min="15105" max="15105" width="5.42578125" style="1" customWidth="1"/>
    <col min="15106" max="15106" width="34.140625" style="1" customWidth="1"/>
    <col min="15107" max="15107" width="19.28515625" style="1" bestFit="1" customWidth="1"/>
    <col min="15108" max="15108" width="12" style="1" bestFit="1" customWidth="1"/>
    <col min="15109" max="15109" width="10.7109375" style="1" bestFit="1" customWidth="1"/>
    <col min="15110" max="15110" width="1.85546875" style="1" customWidth="1"/>
    <col min="15111" max="15111" width="15" style="1" customWidth="1"/>
    <col min="15112" max="15112" width="14.140625" style="1" customWidth="1"/>
    <col min="15113" max="15113" width="9.28515625" style="1" customWidth="1"/>
    <col min="15114" max="15114" width="13.42578125" style="1" bestFit="1" customWidth="1"/>
    <col min="15115" max="15115" width="12.5703125" style="1" bestFit="1" customWidth="1"/>
    <col min="15116" max="15116" width="9.28515625" style="1" customWidth="1"/>
    <col min="15117" max="15120" width="3.28515625" style="1" bestFit="1" customWidth="1"/>
    <col min="15121" max="15121" width="15.85546875" style="1" bestFit="1" customWidth="1"/>
    <col min="15122" max="15122" width="2.28515625" style="1" customWidth="1"/>
    <col min="15123" max="15123" width="15.85546875" style="1" customWidth="1"/>
    <col min="15124" max="15124" width="3" style="1" customWidth="1"/>
    <col min="15125" max="15125" width="13.7109375" style="1" customWidth="1"/>
    <col min="15126" max="15360" width="9.140625" style="1"/>
    <col min="15361" max="15361" width="5.42578125" style="1" customWidth="1"/>
    <col min="15362" max="15362" width="34.140625" style="1" customWidth="1"/>
    <col min="15363" max="15363" width="19.28515625" style="1" bestFit="1" customWidth="1"/>
    <col min="15364" max="15364" width="12" style="1" bestFit="1" customWidth="1"/>
    <col min="15365" max="15365" width="10.7109375" style="1" bestFit="1" customWidth="1"/>
    <col min="15366" max="15366" width="1.85546875" style="1" customWidth="1"/>
    <col min="15367" max="15367" width="15" style="1" customWidth="1"/>
    <col min="15368" max="15368" width="14.140625" style="1" customWidth="1"/>
    <col min="15369" max="15369" width="9.28515625" style="1" customWidth="1"/>
    <col min="15370" max="15370" width="13.42578125" style="1" bestFit="1" customWidth="1"/>
    <col min="15371" max="15371" width="12.5703125" style="1" bestFit="1" customWidth="1"/>
    <col min="15372" max="15372" width="9.28515625" style="1" customWidth="1"/>
    <col min="15373" max="15376" width="3.28515625" style="1" bestFit="1" customWidth="1"/>
    <col min="15377" max="15377" width="15.85546875" style="1" bestFit="1" customWidth="1"/>
    <col min="15378" max="15378" width="2.28515625" style="1" customWidth="1"/>
    <col min="15379" max="15379" width="15.85546875" style="1" customWidth="1"/>
    <col min="15380" max="15380" width="3" style="1" customWidth="1"/>
    <col min="15381" max="15381" width="13.7109375" style="1" customWidth="1"/>
    <col min="15382" max="15616" width="9.140625" style="1"/>
    <col min="15617" max="15617" width="5.42578125" style="1" customWidth="1"/>
    <col min="15618" max="15618" width="34.140625" style="1" customWidth="1"/>
    <col min="15619" max="15619" width="19.28515625" style="1" bestFit="1" customWidth="1"/>
    <col min="15620" max="15620" width="12" style="1" bestFit="1" customWidth="1"/>
    <col min="15621" max="15621" width="10.7109375" style="1" bestFit="1" customWidth="1"/>
    <col min="15622" max="15622" width="1.85546875" style="1" customWidth="1"/>
    <col min="15623" max="15623" width="15" style="1" customWidth="1"/>
    <col min="15624" max="15624" width="14.140625" style="1" customWidth="1"/>
    <col min="15625" max="15625" width="9.28515625" style="1" customWidth="1"/>
    <col min="15626" max="15626" width="13.42578125" style="1" bestFit="1" customWidth="1"/>
    <col min="15627" max="15627" width="12.5703125" style="1" bestFit="1" customWidth="1"/>
    <col min="15628" max="15628" width="9.28515625" style="1" customWidth="1"/>
    <col min="15629" max="15632" width="3.28515625" style="1" bestFit="1" customWidth="1"/>
    <col min="15633" max="15633" width="15.85546875" style="1" bestFit="1" customWidth="1"/>
    <col min="15634" max="15634" width="2.28515625" style="1" customWidth="1"/>
    <col min="15635" max="15635" width="15.85546875" style="1" customWidth="1"/>
    <col min="15636" max="15636" width="3" style="1" customWidth="1"/>
    <col min="15637" max="15637" width="13.7109375" style="1" customWidth="1"/>
    <col min="15638" max="15872" width="9.140625" style="1"/>
    <col min="15873" max="15873" width="5.42578125" style="1" customWidth="1"/>
    <col min="15874" max="15874" width="34.140625" style="1" customWidth="1"/>
    <col min="15875" max="15875" width="19.28515625" style="1" bestFit="1" customWidth="1"/>
    <col min="15876" max="15876" width="12" style="1" bestFit="1" customWidth="1"/>
    <col min="15877" max="15877" width="10.7109375" style="1" bestFit="1" customWidth="1"/>
    <col min="15878" max="15878" width="1.85546875" style="1" customWidth="1"/>
    <col min="15879" max="15879" width="15" style="1" customWidth="1"/>
    <col min="15880" max="15880" width="14.140625" style="1" customWidth="1"/>
    <col min="15881" max="15881" width="9.28515625" style="1" customWidth="1"/>
    <col min="15882" max="15882" width="13.42578125" style="1" bestFit="1" customWidth="1"/>
    <col min="15883" max="15883" width="12.5703125" style="1" bestFit="1" customWidth="1"/>
    <col min="15884" max="15884" width="9.28515625" style="1" customWidth="1"/>
    <col min="15885" max="15888" width="3.28515625" style="1" bestFit="1" customWidth="1"/>
    <col min="15889" max="15889" width="15.85546875" style="1" bestFit="1" customWidth="1"/>
    <col min="15890" max="15890" width="2.28515625" style="1" customWidth="1"/>
    <col min="15891" max="15891" width="15.85546875" style="1" customWidth="1"/>
    <col min="15892" max="15892" width="3" style="1" customWidth="1"/>
    <col min="15893" max="15893" width="13.7109375" style="1" customWidth="1"/>
    <col min="15894" max="16128" width="9.140625" style="1"/>
    <col min="16129" max="16129" width="5.42578125" style="1" customWidth="1"/>
    <col min="16130" max="16130" width="34.140625" style="1" customWidth="1"/>
    <col min="16131" max="16131" width="19.28515625" style="1" bestFit="1" customWidth="1"/>
    <col min="16132" max="16132" width="12" style="1" bestFit="1" customWidth="1"/>
    <col min="16133" max="16133" width="10.7109375" style="1" bestFit="1" customWidth="1"/>
    <col min="16134" max="16134" width="1.85546875" style="1" customWidth="1"/>
    <col min="16135" max="16135" width="15" style="1" customWidth="1"/>
    <col min="16136" max="16136" width="14.140625" style="1" customWidth="1"/>
    <col min="16137" max="16137" width="9.28515625" style="1" customWidth="1"/>
    <col min="16138" max="16138" width="13.42578125" style="1" bestFit="1" customWidth="1"/>
    <col min="16139" max="16139" width="12.5703125" style="1" bestFit="1" customWidth="1"/>
    <col min="16140" max="16140" width="9.28515625" style="1" customWidth="1"/>
    <col min="16141" max="16144" width="3.28515625" style="1" bestFit="1" customWidth="1"/>
    <col min="16145" max="16145" width="15.85546875" style="1" bestFit="1" customWidth="1"/>
    <col min="16146" max="16146" width="2.28515625" style="1" customWidth="1"/>
    <col min="16147" max="16147" width="15.85546875" style="1" customWidth="1"/>
    <col min="16148" max="16148" width="3" style="1" customWidth="1"/>
    <col min="16149" max="16149" width="13.7109375" style="1" customWidth="1"/>
    <col min="16150" max="16384" width="9.140625" style="1"/>
  </cols>
  <sheetData>
    <row r="1" spans="1:21" ht="12.75" customHeight="1" thickBot="1" x14ac:dyDescent="0.25">
      <c r="G1" s="6"/>
      <c r="H1" s="6"/>
      <c r="I1" s="6"/>
      <c r="M1" s="11"/>
      <c r="N1" s="2"/>
      <c r="O1" s="2"/>
      <c r="P1" s="2"/>
      <c r="R1" s="2"/>
      <c r="S1" s="11"/>
      <c r="T1" s="11"/>
      <c r="U1" s="63"/>
    </row>
    <row r="2" spans="1:21" ht="15.75" x14ac:dyDescent="0.25">
      <c r="A2" s="64" t="s">
        <v>304</v>
      </c>
      <c r="M2" s="2"/>
      <c r="N2" s="2"/>
      <c r="O2" s="2"/>
      <c r="P2" s="2"/>
      <c r="Q2" s="65" t="s">
        <v>305</v>
      </c>
      <c r="R2" s="2"/>
      <c r="S2" s="2"/>
      <c r="T2" s="2"/>
      <c r="U2" s="66"/>
    </row>
    <row r="3" spans="1:21" s="2" customFormat="1" ht="12.75" customHeight="1" thickBot="1" x14ac:dyDescent="0.25">
      <c r="A3" s="11"/>
      <c r="B3" s="16"/>
      <c r="Q3" s="67" t="s">
        <v>306</v>
      </c>
      <c r="U3" s="68"/>
    </row>
    <row r="4" spans="1:21" s="2" customFormat="1" ht="15.75" x14ac:dyDescent="0.25">
      <c r="A4" s="69" t="s">
        <v>70</v>
      </c>
      <c r="B4" s="70"/>
      <c r="C4" s="71"/>
      <c r="D4" s="72"/>
      <c r="E4" s="73"/>
      <c r="F4" s="73"/>
      <c r="G4" s="74"/>
      <c r="H4" s="74"/>
      <c r="I4" s="74"/>
      <c r="J4" s="71"/>
      <c r="K4" s="71"/>
      <c r="L4" s="30"/>
      <c r="M4" s="75"/>
      <c r="N4" s="76"/>
      <c r="O4" s="77"/>
      <c r="P4" s="78"/>
      <c r="Q4" s="79"/>
      <c r="R4" s="79"/>
      <c r="S4" s="80"/>
      <c r="T4" s="77"/>
      <c r="U4" s="77"/>
    </row>
    <row r="5" spans="1:21" s="2" customFormat="1" ht="15.75" x14ac:dyDescent="0.25">
      <c r="A5" s="81" t="str">
        <f>"PGA Filing Proposed Effective " &amp; Q3</f>
        <v>PGA Filing Proposed Effective November 1, 2010</v>
      </c>
      <c r="B5" s="81"/>
      <c r="C5" s="81"/>
      <c r="D5" s="81"/>
      <c r="E5" s="81"/>
      <c r="F5" s="81"/>
      <c r="G5" s="81"/>
      <c r="H5" s="81"/>
      <c r="I5" s="81"/>
      <c r="J5" s="81"/>
      <c r="K5" s="81"/>
      <c r="L5" s="30"/>
      <c r="M5" s="77"/>
      <c r="N5" s="77"/>
      <c r="O5" s="77"/>
      <c r="P5" s="79"/>
      <c r="Q5" s="79"/>
      <c r="R5" s="79"/>
      <c r="S5" s="80"/>
      <c r="T5" s="77"/>
      <c r="U5" s="77"/>
    </row>
    <row r="6" spans="1:21" s="2" customFormat="1" ht="15.75" x14ac:dyDescent="0.25">
      <c r="A6" s="81" t="s">
        <v>307</v>
      </c>
      <c r="B6" s="81"/>
      <c r="C6" s="81"/>
      <c r="D6" s="81"/>
      <c r="E6" s="81"/>
      <c r="F6" s="81"/>
      <c r="G6" s="81"/>
      <c r="H6" s="81"/>
      <c r="I6" s="81"/>
      <c r="J6" s="81"/>
      <c r="K6" s="81"/>
      <c r="L6" s="30"/>
      <c r="M6" s="82"/>
      <c r="N6" s="82"/>
      <c r="O6" s="82"/>
      <c r="P6" s="82"/>
      <c r="Q6" s="82"/>
      <c r="R6" s="82"/>
      <c r="S6" s="82"/>
      <c r="T6" s="82"/>
      <c r="U6" s="82"/>
    </row>
    <row r="7" spans="1:21" s="2" customFormat="1" x14ac:dyDescent="0.2">
      <c r="L7" s="26"/>
      <c r="M7" s="26"/>
      <c r="N7" s="26"/>
      <c r="O7" s="26"/>
      <c r="P7" s="26"/>
      <c r="Q7" s="26"/>
      <c r="R7" s="26"/>
      <c r="S7" s="26"/>
      <c r="T7" s="26"/>
      <c r="U7" s="26"/>
    </row>
    <row r="8" spans="1:21" s="2" customFormat="1" x14ac:dyDescent="0.2">
      <c r="D8" s="22" t="s">
        <v>308</v>
      </c>
      <c r="E8" s="22" t="s">
        <v>83</v>
      </c>
      <c r="F8" s="22"/>
      <c r="G8" s="22" t="s">
        <v>309</v>
      </c>
      <c r="H8" s="22" t="s">
        <v>132</v>
      </c>
      <c r="I8" s="22"/>
      <c r="J8" s="22" t="s">
        <v>309</v>
      </c>
      <c r="K8" s="22" t="s">
        <v>132</v>
      </c>
      <c r="L8" s="22"/>
      <c r="M8" s="26"/>
      <c r="N8" s="26"/>
      <c r="O8" s="26"/>
      <c r="P8" s="83"/>
      <c r="Q8" s="83"/>
      <c r="R8" s="83"/>
      <c r="S8" s="83"/>
      <c r="T8" s="83"/>
      <c r="U8" s="83"/>
    </row>
    <row r="9" spans="1:21" s="2" customFormat="1" x14ac:dyDescent="0.2">
      <c r="D9" s="22" t="s">
        <v>4</v>
      </c>
      <c r="E9" s="22" t="s">
        <v>310</v>
      </c>
      <c r="F9" s="22"/>
      <c r="G9" s="22" t="s">
        <v>311</v>
      </c>
      <c r="H9" s="22" t="s">
        <v>312</v>
      </c>
      <c r="I9" s="22" t="s">
        <v>93</v>
      </c>
      <c r="J9" s="22" t="s">
        <v>74</v>
      </c>
      <c r="K9" s="22" t="s">
        <v>312</v>
      </c>
      <c r="L9" s="22" t="s">
        <v>93</v>
      </c>
      <c r="P9" s="84"/>
      <c r="Q9" s="84"/>
      <c r="R9" s="84"/>
      <c r="S9" s="84"/>
      <c r="T9" s="84"/>
      <c r="U9" s="84"/>
    </row>
    <row r="10" spans="1:21" s="2" customFormat="1" x14ac:dyDescent="0.2">
      <c r="D10" s="22" t="s">
        <v>313</v>
      </c>
      <c r="E10" s="22" t="s">
        <v>314</v>
      </c>
      <c r="F10" s="22"/>
      <c r="G10" s="22" t="s">
        <v>315</v>
      </c>
      <c r="H10" s="22" t="s">
        <v>316</v>
      </c>
      <c r="I10" s="22" t="s">
        <v>132</v>
      </c>
      <c r="J10" s="22" t="s">
        <v>315</v>
      </c>
      <c r="K10" s="22" t="s">
        <v>316</v>
      </c>
      <c r="L10" s="22" t="s">
        <v>132</v>
      </c>
      <c r="P10" s="85"/>
      <c r="Q10" s="85"/>
      <c r="R10" s="85"/>
      <c r="S10" s="85"/>
      <c r="T10" s="84"/>
      <c r="U10" s="85"/>
    </row>
    <row r="11" spans="1:21" s="2" customFormat="1" x14ac:dyDescent="0.2">
      <c r="D11" s="4" t="s">
        <v>317</v>
      </c>
      <c r="E11" s="4" t="s">
        <v>318</v>
      </c>
      <c r="F11" s="4"/>
      <c r="G11" s="86" t="s">
        <v>319</v>
      </c>
      <c r="H11" s="4" t="s">
        <v>320</v>
      </c>
      <c r="I11" s="4" t="s">
        <v>321</v>
      </c>
      <c r="J11" s="4" t="s">
        <v>322</v>
      </c>
      <c r="K11" s="4" t="s">
        <v>323</v>
      </c>
      <c r="L11" s="4" t="s">
        <v>324</v>
      </c>
      <c r="P11" s="22"/>
      <c r="Q11" s="22"/>
      <c r="R11" s="22"/>
      <c r="S11" s="87"/>
      <c r="T11" s="87"/>
      <c r="U11" s="22"/>
    </row>
    <row r="12" spans="1:21" s="2" customFormat="1" ht="13.5" thickBot="1" x14ac:dyDescent="0.25">
      <c r="A12" s="22">
        <v>1</v>
      </c>
      <c r="B12" s="88" t="s">
        <v>325</v>
      </c>
      <c r="D12" s="5"/>
      <c r="M12" s="22"/>
      <c r="N12" s="88"/>
      <c r="S12" s="89"/>
      <c r="T12" s="89"/>
      <c r="U12" s="89"/>
    </row>
    <row r="13" spans="1:21" s="2" customFormat="1" x14ac:dyDescent="0.2">
      <c r="A13" s="22">
        <f>+A12+1</f>
        <v>2</v>
      </c>
      <c r="B13" s="90" t="s">
        <v>326</v>
      </c>
      <c r="C13" s="91" t="s">
        <v>327</v>
      </c>
      <c r="D13" s="92">
        <v>575757</v>
      </c>
      <c r="E13" s="93">
        <v>0.37984000000000001</v>
      </c>
      <c r="F13" s="94"/>
      <c r="G13" s="95"/>
      <c r="H13" s="96"/>
      <c r="I13" s="97"/>
      <c r="J13" s="96">
        <v>68285404.551615998</v>
      </c>
      <c r="K13" s="96">
        <v>3856205.0524159968</v>
      </c>
      <c r="L13" s="98">
        <v>5.9851823123518368E-2</v>
      </c>
      <c r="M13" s="22"/>
      <c r="N13" s="99"/>
      <c r="P13" s="100"/>
      <c r="Q13" s="101"/>
      <c r="R13" s="94"/>
      <c r="S13" s="102"/>
      <c r="T13" s="89"/>
      <c r="U13" s="102"/>
    </row>
    <row r="14" spans="1:21" s="2" customFormat="1" x14ac:dyDescent="0.2">
      <c r="A14" s="22">
        <f t="shared" ref="A14:A27" si="0">+A13+1</f>
        <v>3</v>
      </c>
      <c r="B14" s="103" t="s">
        <v>326</v>
      </c>
      <c r="C14" s="11" t="s">
        <v>311</v>
      </c>
      <c r="D14" s="104">
        <v>84155889.851400778</v>
      </c>
      <c r="E14" s="93">
        <v>3.1899999999999998E-2</v>
      </c>
      <c r="F14" s="105"/>
      <c r="G14" s="106">
        <v>2684572.8862596848</v>
      </c>
      <c r="H14" s="107">
        <v>141930.35295514017</v>
      </c>
      <c r="I14" s="108">
        <v>5.5820018384841706E-2</v>
      </c>
      <c r="J14" s="107"/>
      <c r="K14" s="107"/>
      <c r="L14" s="109"/>
      <c r="M14" s="22"/>
      <c r="P14" s="100"/>
      <c r="Q14" s="101"/>
      <c r="R14" s="105"/>
      <c r="S14" s="102"/>
      <c r="T14" s="89"/>
      <c r="U14" s="89"/>
    </row>
    <row r="15" spans="1:21" s="2" customFormat="1" x14ac:dyDescent="0.2">
      <c r="A15" s="22">
        <f t="shared" si="0"/>
        <v>4</v>
      </c>
      <c r="B15" s="103" t="s">
        <v>328</v>
      </c>
      <c r="C15" s="11" t="s">
        <v>327</v>
      </c>
      <c r="D15" s="104">
        <v>55000</v>
      </c>
      <c r="E15" s="93">
        <v>0.144689900373599</v>
      </c>
      <c r="F15" s="105"/>
      <c r="G15" s="106"/>
      <c r="H15" s="107"/>
      <c r="I15" s="108"/>
      <c r="J15" s="107">
        <v>2904649.75</v>
      </c>
      <c r="K15" s="107">
        <v>2904649.75</v>
      </c>
      <c r="L15" s="109"/>
      <c r="M15" s="22"/>
      <c r="P15" s="100"/>
      <c r="Q15" s="101"/>
      <c r="R15" s="105"/>
      <c r="S15" s="102"/>
      <c r="T15" s="89"/>
      <c r="U15" s="89"/>
    </row>
    <row r="16" spans="1:21" s="2" customFormat="1" x14ac:dyDescent="0.2">
      <c r="A16" s="22">
        <f t="shared" si="0"/>
        <v>5</v>
      </c>
      <c r="B16" s="103" t="s">
        <v>328</v>
      </c>
      <c r="C16" s="11" t="s">
        <v>311</v>
      </c>
      <c r="D16" s="104">
        <v>8039110.1485992232</v>
      </c>
      <c r="E16" s="93">
        <v>5.5900000000000004E-3</v>
      </c>
      <c r="F16" s="105"/>
      <c r="G16" s="106">
        <v>44938.625730669657</v>
      </c>
      <c r="H16" s="107">
        <v>-255877.1409647853</v>
      </c>
      <c r="I16" s="108">
        <v>-0.8506108033354336</v>
      </c>
      <c r="J16" s="107"/>
      <c r="K16" s="107"/>
      <c r="L16" s="109"/>
      <c r="M16" s="22"/>
      <c r="P16" s="100"/>
      <c r="Q16" s="101"/>
      <c r="R16" s="105"/>
      <c r="S16" s="102"/>
      <c r="T16" s="89"/>
      <c r="U16" s="89"/>
    </row>
    <row r="17" spans="1:21" s="2" customFormat="1" x14ac:dyDescent="0.2">
      <c r="A17" s="22">
        <f t="shared" si="0"/>
        <v>6</v>
      </c>
      <c r="B17" s="110" t="s">
        <v>265</v>
      </c>
      <c r="C17" s="11" t="s">
        <v>327</v>
      </c>
      <c r="D17" s="104">
        <v>36928</v>
      </c>
      <c r="E17" s="93"/>
      <c r="F17" s="101"/>
      <c r="G17" s="106"/>
      <c r="H17" s="107"/>
      <c r="I17" s="108"/>
      <c r="J17" s="107">
        <v>793200.00000000012</v>
      </c>
      <c r="K17" s="107">
        <f>+J17</f>
        <v>793200.00000000012</v>
      </c>
      <c r="L17" s="111"/>
      <c r="M17" s="22"/>
      <c r="N17" s="101"/>
      <c r="P17" s="100"/>
      <c r="Q17" s="101"/>
      <c r="R17" s="105"/>
      <c r="S17" s="102"/>
      <c r="T17" s="89"/>
      <c r="U17" s="89"/>
    </row>
    <row r="18" spans="1:21" s="2" customFormat="1" x14ac:dyDescent="0.2">
      <c r="A18" s="22">
        <f t="shared" si="0"/>
        <v>7</v>
      </c>
      <c r="B18" s="103" t="s">
        <v>329</v>
      </c>
      <c r="C18" s="11" t="s">
        <v>327</v>
      </c>
      <c r="D18" s="104">
        <v>25462.917808219183</v>
      </c>
      <c r="E18" s="93">
        <v>0.37984000000000001</v>
      </c>
      <c r="F18" s="94"/>
      <c r="G18" s="106"/>
      <c r="H18" s="107"/>
      <c r="I18" s="108"/>
      <c r="J18" s="107">
        <v>3530219.6656000009</v>
      </c>
      <c r="K18" s="107">
        <v>111467.84640000015</v>
      </c>
      <c r="L18" s="111">
        <v>3.2604837173025328E-2</v>
      </c>
      <c r="M18" s="22"/>
      <c r="O18" s="112"/>
      <c r="P18" s="100"/>
      <c r="Q18" s="101"/>
      <c r="R18" s="94"/>
      <c r="S18" s="102"/>
      <c r="T18" s="89"/>
      <c r="U18" s="102"/>
    </row>
    <row r="19" spans="1:21" s="2" customFormat="1" x14ac:dyDescent="0.2">
      <c r="A19" s="22">
        <f t="shared" si="0"/>
        <v>8</v>
      </c>
      <c r="B19" s="103" t="s">
        <v>329</v>
      </c>
      <c r="C19" s="11" t="s">
        <v>311</v>
      </c>
      <c r="D19" s="113">
        <v>10585000</v>
      </c>
      <c r="E19" s="93">
        <v>0.03</v>
      </c>
      <c r="F19" s="101"/>
      <c r="G19" s="106">
        <v>317550</v>
      </c>
      <c r="H19" s="107">
        <v>22590</v>
      </c>
      <c r="I19" s="108">
        <v>7.6586655817737992E-2</v>
      </c>
      <c r="J19" s="107"/>
      <c r="K19" s="107"/>
      <c r="L19" s="109"/>
      <c r="M19" s="22"/>
      <c r="P19" s="5"/>
      <c r="Q19" s="101"/>
      <c r="R19" s="101"/>
      <c r="S19" s="102"/>
      <c r="T19" s="89"/>
      <c r="U19" s="89"/>
    </row>
    <row r="20" spans="1:21" s="2" customFormat="1" x14ac:dyDescent="0.2">
      <c r="A20" s="22">
        <f t="shared" si="0"/>
        <v>9</v>
      </c>
      <c r="B20" s="103" t="s">
        <v>330</v>
      </c>
      <c r="C20" s="11" t="s">
        <v>331</v>
      </c>
      <c r="D20" s="104">
        <v>66527</v>
      </c>
      <c r="E20" s="93">
        <v>1.5509999999999999E-2</v>
      </c>
      <c r="F20" s="94"/>
      <c r="G20" s="106"/>
      <c r="H20" s="107"/>
      <c r="I20" s="108"/>
      <c r="J20" s="107">
        <v>376619.32604999997</v>
      </c>
      <c r="K20" s="107">
        <v>-10538.078641187982</v>
      </c>
      <c r="L20" s="111">
        <v>-2.7219106527469283E-2</v>
      </c>
      <c r="M20" s="22"/>
      <c r="P20" s="114"/>
      <c r="Q20" s="101"/>
      <c r="R20" s="94"/>
      <c r="S20" s="102"/>
      <c r="T20" s="89"/>
      <c r="U20" s="102"/>
    </row>
    <row r="21" spans="1:21" s="2" customFormat="1" x14ac:dyDescent="0.2">
      <c r="A21" s="22">
        <f t="shared" si="0"/>
        <v>10</v>
      </c>
      <c r="B21" s="103" t="s">
        <v>330</v>
      </c>
      <c r="C21" s="11" t="s">
        <v>332</v>
      </c>
      <c r="D21" s="104">
        <v>1462263</v>
      </c>
      <c r="E21" s="93">
        <v>5.5999999999999995E-4</v>
      </c>
      <c r="F21" s="94"/>
      <c r="G21" s="106"/>
      <c r="H21" s="107"/>
      <c r="I21" s="108"/>
      <c r="J21" s="107">
        <v>298886.55719999998</v>
      </c>
      <c r="K21" s="107">
        <v>0</v>
      </c>
      <c r="L21" s="111">
        <v>0</v>
      </c>
      <c r="M21" s="22"/>
      <c r="P21" s="114"/>
      <c r="Q21" s="101"/>
      <c r="R21" s="94"/>
      <c r="S21" s="102"/>
      <c r="T21" s="89"/>
      <c r="U21" s="102"/>
    </row>
    <row r="22" spans="1:21" s="2" customFormat="1" x14ac:dyDescent="0.2">
      <c r="A22" s="22">
        <f t="shared" si="0"/>
        <v>11</v>
      </c>
      <c r="B22" s="103" t="s">
        <v>330</v>
      </c>
      <c r="C22" s="11" t="s">
        <v>311</v>
      </c>
      <c r="D22" s="104">
        <v>1996995</v>
      </c>
      <c r="E22" s="115" t="s">
        <v>333</v>
      </c>
      <c r="F22" s="94"/>
      <c r="G22" s="106">
        <v>187000</v>
      </c>
      <c r="H22" s="107">
        <f>+G22</f>
        <v>187000</v>
      </c>
      <c r="I22" s="108"/>
      <c r="J22" s="107"/>
      <c r="K22" s="107"/>
      <c r="L22" s="111"/>
      <c r="M22" s="22"/>
      <c r="P22" s="114"/>
      <c r="Q22" s="101"/>
      <c r="R22" s="94"/>
      <c r="S22" s="102"/>
      <c r="T22" s="89"/>
      <c r="U22" s="102"/>
    </row>
    <row r="23" spans="1:21" s="2" customFormat="1" x14ac:dyDescent="0.2">
      <c r="A23" s="22">
        <f t="shared" si="0"/>
        <v>12</v>
      </c>
      <c r="B23" s="103" t="s">
        <v>334</v>
      </c>
      <c r="C23" s="11" t="s">
        <v>331</v>
      </c>
      <c r="D23" s="104">
        <v>70500</v>
      </c>
      <c r="E23" s="93">
        <v>3.0620000000000001E-2</v>
      </c>
      <c r="G23" s="106"/>
      <c r="H23" s="107"/>
      <c r="I23" s="108"/>
      <c r="J23" s="107">
        <v>787929.15</v>
      </c>
      <c r="K23" s="107">
        <v>0</v>
      </c>
      <c r="L23" s="111">
        <v>0</v>
      </c>
      <c r="M23" s="22"/>
      <c r="P23" s="114"/>
      <c r="Q23" s="101"/>
      <c r="S23" s="102"/>
      <c r="T23" s="89"/>
      <c r="U23" s="102"/>
    </row>
    <row r="24" spans="1:21" s="2" customFormat="1" x14ac:dyDescent="0.2">
      <c r="A24" s="22">
        <f t="shared" si="0"/>
        <v>13</v>
      </c>
      <c r="B24" s="103" t="s">
        <v>334</v>
      </c>
      <c r="C24" s="11" t="s">
        <v>332</v>
      </c>
      <c r="D24" s="104">
        <v>241700</v>
      </c>
      <c r="E24" s="93">
        <v>3.9100000000000003E-3</v>
      </c>
      <c r="G24" s="106"/>
      <c r="H24" s="107"/>
      <c r="I24" s="108"/>
      <c r="J24" s="107">
        <v>344942.15500000003</v>
      </c>
      <c r="K24" s="107">
        <v>45688.145000000019</v>
      </c>
      <c r="L24" s="111">
        <v>0.15267345958037459</v>
      </c>
      <c r="M24" s="22"/>
      <c r="P24" s="114"/>
      <c r="Q24" s="101"/>
      <c r="S24" s="102"/>
      <c r="T24" s="89"/>
      <c r="U24" s="102"/>
    </row>
    <row r="25" spans="1:21" s="2" customFormat="1" x14ac:dyDescent="0.2">
      <c r="A25" s="22">
        <f t="shared" si="0"/>
        <v>14</v>
      </c>
      <c r="B25" s="103" t="s">
        <v>334</v>
      </c>
      <c r="C25" s="11" t="s">
        <v>335</v>
      </c>
      <c r="D25" s="104">
        <v>217000</v>
      </c>
      <c r="E25" s="93">
        <v>0.6411</v>
      </c>
      <c r="F25" s="101"/>
      <c r="G25" s="106">
        <v>139118.70000000001</v>
      </c>
      <c r="H25" s="107">
        <v>2118.7000000000116</v>
      </c>
      <c r="I25" s="108">
        <v>1.5464963503649721E-2</v>
      </c>
      <c r="J25" s="107"/>
      <c r="K25" s="107"/>
      <c r="L25" s="109"/>
      <c r="M25" s="22"/>
      <c r="P25" s="114"/>
      <c r="Q25" s="101"/>
      <c r="R25" s="101"/>
      <c r="S25" s="102"/>
      <c r="T25" s="89"/>
      <c r="U25" s="89"/>
    </row>
    <row r="26" spans="1:21" s="2" customFormat="1" x14ac:dyDescent="0.2">
      <c r="A26" s="22">
        <f t="shared" si="0"/>
        <v>15</v>
      </c>
      <c r="B26" s="103" t="s">
        <v>334</v>
      </c>
      <c r="C26" s="11" t="s">
        <v>336</v>
      </c>
      <c r="D26" s="104">
        <v>221000</v>
      </c>
      <c r="E26" s="93">
        <v>4.1840000000000002E-2</v>
      </c>
      <c r="F26" s="101"/>
      <c r="G26" s="106">
        <v>9246.6400000000012</v>
      </c>
      <c r="H26" s="107">
        <v>-5753.3599999999988</v>
      </c>
      <c r="I26" s="108">
        <v>-0.38355733333333325</v>
      </c>
      <c r="J26" s="107"/>
      <c r="K26" s="107"/>
      <c r="L26" s="109"/>
      <c r="M26" s="22"/>
      <c r="P26" s="114"/>
      <c r="Q26" s="101"/>
      <c r="R26" s="101"/>
      <c r="S26" s="102"/>
      <c r="T26" s="89"/>
      <c r="U26" s="89"/>
    </row>
    <row r="27" spans="1:21" s="2" customFormat="1" ht="13.5" thickBot="1" x14ac:dyDescent="0.25">
      <c r="A27" s="22">
        <f t="shared" si="0"/>
        <v>16</v>
      </c>
      <c r="B27" s="116" t="s">
        <v>337</v>
      </c>
      <c r="C27" s="117"/>
      <c r="D27" s="118"/>
      <c r="E27" s="93"/>
      <c r="G27" s="119">
        <f>SUM(G13:G26)</f>
        <v>3382426.8519903547</v>
      </c>
      <c r="H27" s="120">
        <v>92008.551990354899</v>
      </c>
      <c r="I27" s="108">
        <v>2.7962569983991065E-2</v>
      </c>
      <c r="J27" s="120">
        <f>SUM(J13:J25)</f>
        <v>77321851.155466005</v>
      </c>
      <c r="K27" s="120">
        <v>7700672.7151748091</v>
      </c>
      <c r="L27" s="111">
        <v>0.11060819261741012</v>
      </c>
      <c r="M27" s="22"/>
      <c r="N27" s="121"/>
      <c r="S27" s="89"/>
      <c r="T27" s="89"/>
      <c r="U27" s="89"/>
    </row>
    <row r="28" spans="1:21" s="2" customFormat="1" ht="13.5" thickBot="1" x14ac:dyDescent="0.25">
      <c r="A28" s="22"/>
      <c r="B28" s="20"/>
      <c r="D28" s="5"/>
      <c r="E28" s="93"/>
      <c r="G28" s="106"/>
      <c r="H28" s="107"/>
      <c r="I28" s="108"/>
      <c r="J28" s="107"/>
      <c r="K28" s="107"/>
      <c r="L28" s="109"/>
      <c r="M28" s="22"/>
      <c r="N28" s="121"/>
      <c r="S28" s="89"/>
      <c r="T28" s="89"/>
      <c r="U28" s="89"/>
    </row>
    <row r="29" spans="1:21" s="2" customFormat="1" x14ac:dyDescent="0.2">
      <c r="A29" s="22">
        <f>A27+1</f>
        <v>17</v>
      </c>
      <c r="B29" s="90" t="s">
        <v>289</v>
      </c>
      <c r="C29" s="91" t="s">
        <v>331</v>
      </c>
      <c r="D29" s="92">
        <v>111750</v>
      </c>
      <c r="E29" s="122">
        <v>2.85338</v>
      </c>
      <c r="F29" s="123"/>
      <c r="G29" s="106"/>
      <c r="H29" s="107"/>
      <c r="I29" s="108"/>
      <c r="J29" s="107">
        <v>3826382.58</v>
      </c>
      <c r="K29" s="107">
        <v>-2568.0419999998994</v>
      </c>
      <c r="L29" s="111">
        <v>-6.706908115358557E-4</v>
      </c>
      <c r="M29" s="22"/>
      <c r="P29" s="123"/>
      <c r="Q29" s="123"/>
      <c r="R29" s="123"/>
      <c r="S29" s="102"/>
      <c r="T29" s="89"/>
      <c r="U29" s="102"/>
    </row>
    <row r="30" spans="1:21" s="2" customFormat="1" x14ac:dyDescent="0.2">
      <c r="A30" s="22">
        <f>A29+1</f>
        <v>18</v>
      </c>
      <c r="B30" s="103" t="s">
        <v>289</v>
      </c>
      <c r="C30" s="11" t="s">
        <v>332</v>
      </c>
      <c r="D30" s="104">
        <v>13410000</v>
      </c>
      <c r="E30" s="122">
        <v>2.3779999999999999E-2</v>
      </c>
      <c r="F30" s="123"/>
      <c r="G30" s="106"/>
      <c r="H30" s="107"/>
      <c r="I30" s="108"/>
      <c r="J30" s="107">
        <v>3826677.5999999996</v>
      </c>
      <c r="K30" s="107">
        <v>-2568.2400000002235</v>
      </c>
      <c r="L30" s="111">
        <v>-6.7069081153594038E-4</v>
      </c>
      <c r="M30" s="22"/>
      <c r="P30" s="123"/>
      <c r="Q30" s="123"/>
      <c r="R30" s="123"/>
      <c r="S30" s="102"/>
      <c r="T30" s="89"/>
      <c r="U30" s="102"/>
    </row>
    <row r="31" spans="1:21" s="2" customFormat="1" x14ac:dyDescent="0.2">
      <c r="A31" s="22">
        <f t="shared" ref="A31:A38" si="1">A30+1</f>
        <v>19</v>
      </c>
      <c r="B31" s="103" t="s">
        <v>289</v>
      </c>
      <c r="C31" s="11" t="s">
        <v>338</v>
      </c>
      <c r="D31" s="104">
        <v>9770759</v>
      </c>
      <c r="E31" s="115" t="s">
        <v>333</v>
      </c>
      <c r="F31" s="123"/>
      <c r="G31" s="106">
        <v>939000</v>
      </c>
      <c r="H31" s="107">
        <v>228000</v>
      </c>
      <c r="I31" s="108">
        <v>0.32067510548523209</v>
      </c>
      <c r="J31" s="107"/>
      <c r="K31" s="107"/>
      <c r="L31" s="109"/>
      <c r="M31" s="22"/>
      <c r="P31" s="123"/>
      <c r="Q31" s="123"/>
      <c r="R31" s="123"/>
      <c r="S31" s="102"/>
      <c r="T31" s="89"/>
      <c r="U31" s="102"/>
    </row>
    <row r="32" spans="1:21" s="2" customFormat="1" x14ac:dyDescent="0.2">
      <c r="A32" s="22">
        <f t="shared" si="1"/>
        <v>20</v>
      </c>
      <c r="B32" s="103" t="s">
        <v>339</v>
      </c>
      <c r="C32" s="11" t="s">
        <v>340</v>
      </c>
      <c r="D32" s="104">
        <v>90392</v>
      </c>
      <c r="E32" s="122">
        <v>0.10842154172935659</v>
      </c>
      <c r="F32" s="123"/>
      <c r="G32" s="106">
        <v>178000</v>
      </c>
      <c r="H32" s="107">
        <v>18000</v>
      </c>
      <c r="I32" s="108">
        <v>0.1125</v>
      </c>
      <c r="J32" s="107">
        <v>3577160.6</v>
      </c>
      <c r="K32" s="107">
        <v>-101775.39999999991</v>
      </c>
      <c r="L32" s="111">
        <v>-2.7664357303307234E-2</v>
      </c>
      <c r="M32" s="22"/>
      <c r="P32" s="123"/>
      <c r="Q32" s="123"/>
      <c r="R32" s="123"/>
      <c r="S32" s="102"/>
      <c r="T32" s="89"/>
      <c r="U32" s="102"/>
    </row>
    <row r="33" spans="1:21" s="2" customFormat="1" x14ac:dyDescent="0.2">
      <c r="A33" s="22">
        <f t="shared" si="1"/>
        <v>21</v>
      </c>
      <c r="B33" s="103" t="s">
        <v>267</v>
      </c>
      <c r="C33" s="11" t="s">
        <v>340</v>
      </c>
      <c r="D33" s="104">
        <v>129851</v>
      </c>
      <c r="E33" s="124">
        <v>0.35433547972212209</v>
      </c>
      <c r="F33" s="125"/>
      <c r="G33" s="106">
        <v>0</v>
      </c>
      <c r="H33" s="107">
        <v>0</v>
      </c>
      <c r="I33" s="108"/>
      <c r="J33" s="107">
        <v>16793947.977750003</v>
      </c>
      <c r="K33" s="107">
        <v>2926565.2077500038</v>
      </c>
      <c r="L33" s="111">
        <v>0.21103947704401643</v>
      </c>
      <c r="M33" s="22"/>
      <c r="N33" s="11"/>
      <c r="O33" s="11"/>
      <c r="P33" s="125"/>
      <c r="Q33" s="125"/>
      <c r="R33" s="125"/>
      <c r="S33" s="102"/>
      <c r="T33" s="89"/>
      <c r="U33" s="102"/>
    </row>
    <row r="34" spans="1:21" s="2" customFormat="1" x14ac:dyDescent="0.2">
      <c r="A34" s="22">
        <f t="shared" si="1"/>
        <v>22</v>
      </c>
      <c r="B34" s="103" t="s">
        <v>341</v>
      </c>
      <c r="C34" s="11" t="s">
        <v>340</v>
      </c>
      <c r="D34" s="104">
        <v>78630.897317298804</v>
      </c>
      <c r="E34" s="124">
        <v>0.19362452467856189</v>
      </c>
      <c r="F34" s="125"/>
      <c r="G34" s="106">
        <v>96000</v>
      </c>
      <c r="H34" s="107">
        <v>12000</v>
      </c>
      <c r="I34" s="108">
        <v>0.14285714285714285</v>
      </c>
      <c r="J34" s="107">
        <v>5557077.5931104375</v>
      </c>
      <c r="K34" s="107">
        <v>-176986.63188956305</v>
      </c>
      <c r="L34" s="111">
        <v>-3.0865826566419917E-2</v>
      </c>
      <c r="M34" s="22"/>
      <c r="N34" s="11"/>
      <c r="O34" s="11"/>
      <c r="P34" s="125"/>
      <c r="Q34" s="125"/>
      <c r="R34" s="125"/>
      <c r="S34" s="102"/>
      <c r="T34" s="89"/>
      <c r="U34" s="102"/>
    </row>
    <row r="35" spans="1:21" s="2" customFormat="1" x14ac:dyDescent="0.2">
      <c r="A35" s="22">
        <f t="shared" si="1"/>
        <v>23</v>
      </c>
      <c r="B35" s="103" t="s">
        <v>342</v>
      </c>
      <c r="C35" s="11" t="s">
        <v>340</v>
      </c>
      <c r="D35" s="104">
        <v>79744.582278097092</v>
      </c>
      <c r="E35" s="124">
        <v>7.6853846636152731E-2</v>
      </c>
      <c r="F35" s="125"/>
      <c r="G35" s="106">
        <v>96000</v>
      </c>
      <c r="H35" s="107"/>
      <c r="I35" s="108"/>
      <c r="J35" s="107">
        <v>2236967.4322097017</v>
      </c>
      <c r="K35" s="107">
        <f>+J35</f>
        <v>2236967.4322097017</v>
      </c>
      <c r="L35" s="111"/>
      <c r="M35" s="22"/>
      <c r="N35" s="11"/>
      <c r="O35" s="11"/>
      <c r="P35" s="125"/>
      <c r="Q35" s="125"/>
      <c r="R35" s="125"/>
      <c r="S35" s="102"/>
      <c r="T35" s="89"/>
      <c r="U35" s="102"/>
    </row>
    <row r="36" spans="1:21" s="2" customFormat="1" x14ac:dyDescent="0.2">
      <c r="A36" s="22">
        <f t="shared" si="1"/>
        <v>24</v>
      </c>
      <c r="B36" s="103" t="s">
        <v>343</v>
      </c>
      <c r="C36" s="11"/>
      <c r="D36" s="113"/>
      <c r="E36" s="93"/>
      <c r="G36" s="106"/>
      <c r="H36" s="107"/>
      <c r="I36" s="108"/>
      <c r="J36" s="107">
        <v>-2391561.87</v>
      </c>
      <c r="K36" s="107">
        <v>-11901.370000000112</v>
      </c>
      <c r="L36" s="111">
        <v>5.0012890494253743E-3</v>
      </c>
      <c r="M36" s="22"/>
      <c r="S36" s="102"/>
      <c r="T36" s="89"/>
      <c r="U36" s="102"/>
    </row>
    <row r="37" spans="1:21" s="2" customFormat="1" x14ac:dyDescent="0.2">
      <c r="A37" s="22">
        <f t="shared" si="1"/>
        <v>25</v>
      </c>
      <c r="B37" s="103" t="s">
        <v>344</v>
      </c>
      <c r="C37" s="11"/>
      <c r="D37" s="113"/>
      <c r="E37" s="93"/>
      <c r="G37" s="106"/>
      <c r="H37" s="107"/>
      <c r="I37" s="108"/>
      <c r="J37" s="107">
        <v>-2622099</v>
      </c>
      <c r="K37" s="107">
        <v>1312273</v>
      </c>
      <c r="L37" s="111">
        <v>-0.33354065146864609</v>
      </c>
      <c r="M37" s="22"/>
      <c r="S37" s="102"/>
      <c r="T37" s="89"/>
      <c r="U37" s="102"/>
    </row>
    <row r="38" spans="1:21" s="2" customFormat="1" ht="13.5" thickBot="1" x14ac:dyDescent="0.25">
      <c r="A38" s="22">
        <f t="shared" si="1"/>
        <v>26</v>
      </c>
      <c r="B38" s="116" t="s">
        <v>345</v>
      </c>
      <c r="C38" s="117"/>
      <c r="D38" s="118"/>
      <c r="E38" s="93"/>
      <c r="G38" s="119">
        <f>SUM(G27:G37)</f>
        <v>4691426.8519903552</v>
      </c>
      <c r="H38" s="120">
        <v>446008.55199035536</v>
      </c>
      <c r="I38" s="108">
        <v>0.10505644449461091</v>
      </c>
      <c r="J38" s="120">
        <f>SUM(J27:J37)</f>
        <v>108126404.06853613</v>
      </c>
      <c r="K38" s="120">
        <v>13880678.671244949</v>
      </c>
      <c r="L38" s="111">
        <v>0.14728178506485248</v>
      </c>
      <c r="M38" s="22"/>
      <c r="N38" s="121"/>
      <c r="S38" s="89"/>
      <c r="T38" s="89"/>
      <c r="U38" s="89"/>
    </row>
    <row r="39" spans="1:21" s="2" customFormat="1" x14ac:dyDescent="0.2">
      <c r="A39" s="22"/>
      <c r="B39" s="121"/>
      <c r="D39" s="5"/>
      <c r="E39" s="93"/>
      <c r="G39" s="106"/>
      <c r="H39" s="107"/>
      <c r="I39" s="108"/>
      <c r="J39" s="107"/>
      <c r="K39" s="107"/>
      <c r="L39" s="109"/>
      <c r="M39" s="22"/>
      <c r="N39" s="121"/>
      <c r="S39" s="89"/>
      <c r="T39" s="89"/>
      <c r="U39" s="89"/>
    </row>
    <row r="40" spans="1:21" s="2" customFormat="1" ht="13.5" thickBot="1" x14ac:dyDescent="0.25">
      <c r="A40" s="22">
        <f>A38+1</f>
        <v>27</v>
      </c>
      <c r="B40" s="88" t="s">
        <v>346</v>
      </c>
      <c r="D40" s="5"/>
      <c r="E40" s="93"/>
      <c r="G40" s="106"/>
      <c r="H40" s="107"/>
      <c r="I40" s="108"/>
      <c r="J40" s="107"/>
      <c r="K40" s="107"/>
      <c r="L40" s="109"/>
      <c r="M40" s="22"/>
      <c r="N40" s="1873" t="s">
        <v>347</v>
      </c>
      <c r="O40" s="1876" t="s">
        <v>348</v>
      </c>
      <c r="P40" s="1879" t="s">
        <v>349</v>
      </c>
      <c r="S40" s="89"/>
      <c r="T40" s="89"/>
      <c r="U40" s="89"/>
    </row>
    <row r="41" spans="1:21" s="2" customFormat="1" ht="12.75" customHeight="1" x14ac:dyDescent="0.2">
      <c r="A41" s="22">
        <f t="shared" ref="A41:A46" si="2">A40+1</f>
        <v>28</v>
      </c>
      <c r="B41" s="90" t="s">
        <v>350</v>
      </c>
      <c r="C41" s="91" t="s">
        <v>74</v>
      </c>
      <c r="D41" s="126"/>
      <c r="E41" s="127" t="s">
        <v>333</v>
      </c>
      <c r="F41" s="123"/>
      <c r="G41" s="106"/>
      <c r="H41" s="107"/>
      <c r="I41" s="108"/>
      <c r="J41" s="107">
        <v>743510</v>
      </c>
      <c r="K41" s="107">
        <v>743510</v>
      </c>
      <c r="L41" s="111" t="s">
        <v>119</v>
      </c>
      <c r="M41" s="22"/>
      <c r="N41" s="1874"/>
      <c r="O41" s="1877"/>
      <c r="P41" s="1880"/>
      <c r="Q41" s="123"/>
      <c r="R41" s="123"/>
      <c r="S41" s="102"/>
      <c r="T41" s="89"/>
      <c r="U41" s="102"/>
    </row>
    <row r="42" spans="1:21" s="2" customFormat="1" x14ac:dyDescent="0.2">
      <c r="A42" s="22">
        <f t="shared" si="2"/>
        <v>29</v>
      </c>
      <c r="B42" s="103" t="s">
        <v>350</v>
      </c>
      <c r="C42" s="11" t="s">
        <v>311</v>
      </c>
      <c r="D42" s="14">
        <v>130896000</v>
      </c>
      <c r="E42" s="128">
        <f>G42/D42</f>
        <v>5.1070850140569615</v>
      </c>
      <c r="F42" s="101"/>
      <c r="G42" s="106">
        <v>668497000</v>
      </c>
      <c r="H42" s="107">
        <v>-44508184</v>
      </c>
      <c r="I42" s="108">
        <v>-6.2423366616083401E-2</v>
      </c>
      <c r="J42" s="107"/>
      <c r="K42" s="107"/>
      <c r="L42" s="109"/>
      <c r="M42" s="22"/>
      <c r="N42" s="1874"/>
      <c r="O42" s="1877"/>
      <c r="P42" s="1880"/>
      <c r="Q42" s="101"/>
      <c r="R42" s="101"/>
      <c r="S42" s="102"/>
      <c r="T42" s="89"/>
      <c r="U42" s="89"/>
    </row>
    <row r="43" spans="1:21" s="2" customFormat="1" x14ac:dyDescent="0.2">
      <c r="A43" s="22">
        <f t="shared" si="2"/>
        <v>30</v>
      </c>
      <c r="B43" s="103" t="s">
        <v>351</v>
      </c>
      <c r="C43" s="11"/>
      <c r="D43" s="14">
        <v>20344000</v>
      </c>
      <c r="E43" s="128">
        <f>G43/D43</f>
        <v>4.7507123395008835</v>
      </c>
      <c r="F43" s="101"/>
      <c r="G43" s="106">
        <v>96648491.83480598</v>
      </c>
      <c r="H43" s="107">
        <v>7623239.7975919247</v>
      </c>
      <c r="I43" s="108">
        <v>8.5630083859861261E-2</v>
      </c>
      <c r="J43" s="107"/>
      <c r="K43" s="107"/>
      <c r="L43" s="109"/>
      <c r="M43" s="22"/>
      <c r="N43" s="1874"/>
      <c r="O43" s="1877"/>
      <c r="P43" s="1880"/>
      <c r="Q43" s="101"/>
      <c r="R43" s="101"/>
      <c r="S43" s="102"/>
      <c r="T43" s="89"/>
      <c r="U43" s="89"/>
    </row>
    <row r="44" spans="1:21" s="2" customFormat="1" ht="12.75" customHeight="1" x14ac:dyDescent="0.2">
      <c r="A44" s="22">
        <f t="shared" si="2"/>
        <v>31</v>
      </c>
      <c r="B44" s="103" t="s">
        <v>352</v>
      </c>
      <c r="C44" s="11"/>
      <c r="D44" s="14">
        <v>-20341000</v>
      </c>
      <c r="E44" s="128">
        <f>G44/D44</f>
        <v>4.5101519099355984</v>
      </c>
      <c r="F44" s="101"/>
      <c r="G44" s="106">
        <v>-91741000</v>
      </c>
      <c r="H44" s="107">
        <v>-8111000</v>
      </c>
      <c r="I44" s="108">
        <v>9.698672725098649E-2</v>
      </c>
      <c r="J44" s="107"/>
      <c r="K44" s="107"/>
      <c r="L44" s="109"/>
      <c r="M44" s="22"/>
      <c r="N44" s="1874"/>
      <c r="O44" s="1877"/>
      <c r="P44" s="1880"/>
      <c r="Q44" s="101"/>
      <c r="R44" s="101"/>
      <c r="S44" s="102"/>
      <c r="T44" s="89"/>
      <c r="U44" s="89"/>
    </row>
    <row r="45" spans="1:21" s="2" customFormat="1" x14ac:dyDescent="0.2">
      <c r="A45" s="22">
        <f t="shared" si="2"/>
        <v>32</v>
      </c>
      <c r="B45" s="103" t="s">
        <v>353</v>
      </c>
      <c r="C45" s="11"/>
      <c r="D45" s="14">
        <v>-37426547.11998605</v>
      </c>
      <c r="E45" s="128">
        <f>G45/D45</f>
        <v>4.611863529191333</v>
      </c>
      <c r="F45" s="101"/>
      <c r="G45" s="106">
        <v>-172606127.68622458</v>
      </c>
      <c r="H45" s="107">
        <v>16871290.64850381</v>
      </c>
      <c r="I45" s="108">
        <v>-8.9041168054650205E-2</v>
      </c>
      <c r="J45" s="107"/>
      <c r="K45" s="107"/>
      <c r="L45" s="109"/>
      <c r="M45" s="22"/>
      <c r="N45" s="1874"/>
      <c r="O45" s="1877"/>
      <c r="P45" s="1880"/>
      <c r="Q45" s="101"/>
      <c r="R45" s="101"/>
      <c r="S45" s="102"/>
      <c r="T45" s="89"/>
      <c r="U45" s="89"/>
    </row>
    <row r="46" spans="1:21" s="2" customFormat="1" ht="13.5" thickBot="1" x14ac:dyDescent="0.25">
      <c r="A46" s="22">
        <f t="shared" si="2"/>
        <v>33</v>
      </c>
      <c r="B46" s="116" t="s">
        <v>354</v>
      </c>
      <c r="C46" s="117"/>
      <c r="D46" s="129">
        <f>SUM(D42:D45)</f>
        <v>93472452.880013943</v>
      </c>
      <c r="E46" s="130">
        <f>G46/D46</f>
        <v>5.3577107342141961</v>
      </c>
      <c r="F46" s="101"/>
      <c r="G46" s="131">
        <f>SUM(G41:G45)</f>
        <v>500798364.14858139</v>
      </c>
      <c r="H46" s="132">
        <v>-28124653.553904295</v>
      </c>
      <c r="I46" s="133">
        <v>-5.3173434720370123E-2</v>
      </c>
      <c r="J46" s="132">
        <f>SUM(J41:J45)</f>
        <v>743510</v>
      </c>
      <c r="K46" s="132">
        <v>743510</v>
      </c>
      <c r="L46" s="134" t="s">
        <v>119</v>
      </c>
      <c r="M46" s="22"/>
      <c r="N46" s="1874"/>
      <c r="O46" s="1877"/>
      <c r="P46" s="1880"/>
      <c r="Q46" s="101"/>
      <c r="R46" s="101"/>
      <c r="S46" s="89"/>
      <c r="T46" s="89"/>
      <c r="U46" s="89"/>
    </row>
    <row r="47" spans="1:21" s="2" customFormat="1" x14ac:dyDescent="0.2">
      <c r="A47" s="22"/>
      <c r="B47" s="11"/>
      <c r="C47" s="11"/>
      <c r="D47" s="14"/>
      <c r="E47" s="135"/>
      <c r="F47" s="101"/>
      <c r="G47" s="107"/>
      <c r="H47" s="107"/>
      <c r="I47" s="136"/>
      <c r="J47" s="107"/>
      <c r="K47" s="107"/>
      <c r="L47" s="111"/>
      <c r="M47" s="22"/>
      <c r="N47" s="1874"/>
      <c r="O47" s="1877"/>
      <c r="P47" s="1880"/>
      <c r="Q47" s="101"/>
      <c r="R47" s="101"/>
      <c r="S47" s="89"/>
      <c r="T47" s="89"/>
      <c r="U47" s="89"/>
    </row>
    <row r="48" spans="1:21" s="2" customFormat="1" x14ac:dyDescent="0.2">
      <c r="A48" s="22">
        <f>+A46+1</f>
        <v>34</v>
      </c>
      <c r="B48" s="2" t="s">
        <v>355</v>
      </c>
      <c r="D48" s="5"/>
      <c r="G48" s="107">
        <f>G38+G46</f>
        <v>505489791.00057173</v>
      </c>
      <c r="H48" s="107">
        <v>-27678645.001913965</v>
      </c>
      <c r="I48" s="108">
        <v>-5.1913510127191635E-2</v>
      </c>
      <c r="J48" s="107">
        <f>J38+J46</f>
        <v>108869914.06853613</v>
      </c>
      <c r="K48" s="107">
        <v>14624188.671244949</v>
      </c>
      <c r="L48" s="111">
        <v>0.15517084312945698</v>
      </c>
      <c r="M48" s="22"/>
      <c r="N48" s="1874"/>
      <c r="O48" s="1877"/>
      <c r="P48" s="1880"/>
      <c r="S48" s="89"/>
      <c r="T48" s="89"/>
      <c r="U48" s="89"/>
    </row>
    <row r="49" spans="1:21" s="2" customFormat="1" ht="13.5" thickBot="1" x14ac:dyDescent="0.25">
      <c r="A49" s="22"/>
      <c r="D49" s="5"/>
      <c r="I49" s="137"/>
      <c r="L49" s="138"/>
      <c r="M49" s="22"/>
      <c r="N49" s="1874"/>
      <c r="O49" s="1877"/>
      <c r="P49" s="1880"/>
      <c r="S49" s="89"/>
      <c r="T49" s="89"/>
      <c r="U49" s="89"/>
    </row>
    <row r="50" spans="1:21" s="2" customFormat="1" x14ac:dyDescent="0.2">
      <c r="A50" s="22">
        <f>A48+1</f>
        <v>35</v>
      </c>
      <c r="B50" s="90" t="s">
        <v>356</v>
      </c>
      <c r="C50" s="91"/>
      <c r="D50" s="139"/>
      <c r="E50" s="140"/>
      <c r="F50" s="140"/>
      <c r="G50" s="141">
        <v>906483863.94612575</v>
      </c>
      <c r="H50" s="96">
        <v>20165742.013798475</v>
      </c>
      <c r="I50" s="142">
        <v>2.2752261873912338E-2</v>
      </c>
      <c r="J50" s="141"/>
      <c r="K50" s="141"/>
      <c r="L50" s="143"/>
      <c r="M50" s="22"/>
      <c r="N50" s="1874"/>
      <c r="O50" s="1877"/>
      <c r="P50" s="1880"/>
      <c r="Q50" s="144"/>
      <c r="R50" s="145"/>
      <c r="S50" s="146"/>
      <c r="T50" s="146"/>
      <c r="U50" s="146"/>
    </row>
    <row r="51" spans="1:21" s="2" customFormat="1" x14ac:dyDescent="0.2">
      <c r="A51" s="22">
        <f>A50+1</f>
        <v>36</v>
      </c>
      <c r="B51" s="103" t="s">
        <v>357</v>
      </c>
      <c r="C51" s="11"/>
      <c r="D51" s="147">
        <f>(D46-G50/10)/D46</f>
        <v>3.0212820979743406E-2</v>
      </c>
      <c r="E51" s="11"/>
      <c r="F51" s="147"/>
      <c r="G51" s="148"/>
      <c r="H51" s="148"/>
      <c r="I51" s="149"/>
      <c r="J51" s="148"/>
      <c r="K51" s="148"/>
      <c r="L51" s="109"/>
      <c r="M51" s="22"/>
      <c r="N51" s="1874"/>
      <c r="O51" s="1877"/>
      <c r="P51" s="1880"/>
      <c r="Q51" s="145"/>
      <c r="R51" s="145"/>
      <c r="S51" s="146"/>
      <c r="T51" s="146"/>
      <c r="U51" s="146"/>
    </row>
    <row r="52" spans="1:21" s="2" customFormat="1" x14ac:dyDescent="0.2">
      <c r="A52" s="22">
        <f>A51+1</f>
        <v>37</v>
      </c>
      <c r="B52" s="103" t="s">
        <v>358</v>
      </c>
      <c r="C52" s="11"/>
      <c r="D52" s="11"/>
      <c r="E52" s="11"/>
      <c r="F52" s="11"/>
      <c r="G52" s="150">
        <f>(G48/G50)</f>
        <v>0.5576379361018764</v>
      </c>
      <c r="H52" s="150">
        <v>-4.391631717242872E-2</v>
      </c>
      <c r="I52" s="108">
        <v>-7.300474883751365E-2</v>
      </c>
      <c r="J52" s="151">
        <f>(J48/G50)</f>
        <v>0.12010132601213792</v>
      </c>
      <c r="K52" s="151">
        <v>1.3767355099054079E-2</v>
      </c>
      <c r="L52" s="111">
        <v>0.12947278260027886</v>
      </c>
      <c r="M52" s="22"/>
      <c r="N52" s="1874"/>
      <c r="O52" s="1877"/>
      <c r="P52" s="1880"/>
      <c r="S52" s="152"/>
      <c r="T52" s="153"/>
      <c r="U52" s="152"/>
    </row>
    <row r="53" spans="1:21" s="2" customFormat="1" ht="13.5" thickBot="1" x14ac:dyDescent="0.25">
      <c r="A53" s="22">
        <f>A52+1</f>
        <v>38</v>
      </c>
      <c r="B53" s="116" t="s">
        <v>359</v>
      </c>
      <c r="C53" s="117"/>
      <c r="D53" s="117"/>
      <c r="E53" s="154"/>
      <c r="F53" s="117"/>
      <c r="G53" s="155"/>
      <c r="H53" s="155"/>
      <c r="I53" s="156"/>
      <c r="J53" s="157">
        <f>+G52+J52</f>
        <v>0.67773926211401436</v>
      </c>
      <c r="K53" s="157">
        <v>-3.0148962073374586E-2</v>
      </c>
      <c r="L53" s="158">
        <v>-4.2590003680289631E-2</v>
      </c>
      <c r="M53" s="22"/>
      <c r="N53" s="1875"/>
      <c r="O53" s="1878"/>
      <c r="P53" s="1881"/>
      <c r="Q53" s="159"/>
      <c r="S53" s="160"/>
      <c r="T53" s="161"/>
      <c r="U53" s="161"/>
    </row>
    <row r="54" spans="1:21" s="2" customFormat="1" x14ac:dyDescent="0.2">
      <c r="A54" s="22"/>
      <c r="G54" s="89"/>
      <c r="H54" s="89"/>
      <c r="I54" s="89"/>
      <c r="J54" s="162"/>
      <c r="K54" s="162"/>
      <c r="M54" s="22"/>
      <c r="S54" s="89"/>
      <c r="U54" s="162"/>
    </row>
    <row r="55" spans="1:21" x14ac:dyDescent="0.2">
      <c r="A55" s="163" t="s">
        <v>360</v>
      </c>
      <c r="B55" s="1" t="s">
        <v>361</v>
      </c>
      <c r="D55" s="164"/>
      <c r="G55" s="6"/>
      <c r="H55" s="6"/>
      <c r="I55" s="6"/>
      <c r="M55" s="22"/>
      <c r="N55" s="2"/>
      <c r="O55" s="2"/>
      <c r="P55" s="2"/>
      <c r="Q55" s="2"/>
      <c r="R55" s="2"/>
      <c r="S55" s="2"/>
      <c r="T55" s="2"/>
      <c r="U55" s="2"/>
    </row>
    <row r="56" spans="1:21" x14ac:dyDescent="0.2">
      <c r="A56" s="163" t="s">
        <v>362</v>
      </c>
      <c r="B56" s="1" t="s">
        <v>363</v>
      </c>
      <c r="J56" s="27"/>
      <c r="K56" s="6"/>
      <c r="L56" s="125"/>
      <c r="M56" s="125"/>
      <c r="N56" s="2"/>
      <c r="O56" s="2"/>
      <c r="P56" s="2"/>
      <c r="Q56" s="2"/>
      <c r="R56" s="2"/>
      <c r="S56" s="2"/>
      <c r="T56" s="2"/>
      <c r="U56" s="2"/>
    </row>
    <row r="57" spans="1:21" x14ac:dyDescent="0.2">
      <c r="A57" s="3"/>
      <c r="E57" s="165"/>
      <c r="M57" s="166"/>
      <c r="N57" s="166"/>
      <c r="O57" s="166"/>
      <c r="Q57" s="2"/>
      <c r="R57" s="2"/>
      <c r="S57" s="89"/>
      <c r="T57" s="2"/>
      <c r="U57" s="89"/>
    </row>
    <row r="58" spans="1:21" x14ac:dyDescent="0.2">
      <c r="A58" s="3"/>
      <c r="E58" s="167"/>
      <c r="K58" s="2"/>
      <c r="L58" s="168"/>
      <c r="M58" s="168"/>
      <c r="N58" s="2"/>
      <c r="O58" s="2"/>
      <c r="P58" s="2"/>
      <c r="Q58" s="2"/>
      <c r="R58" s="2"/>
      <c r="S58" s="2"/>
      <c r="T58" s="2"/>
      <c r="U58" s="2"/>
    </row>
    <row r="59" spans="1:21" x14ac:dyDescent="0.2">
      <c r="A59" s="3"/>
      <c r="K59" s="6"/>
      <c r="M59" s="2"/>
      <c r="N59" s="2"/>
      <c r="O59" s="2"/>
      <c r="P59" s="2"/>
      <c r="Q59" s="2"/>
      <c r="R59" s="2"/>
      <c r="S59" s="2"/>
      <c r="T59" s="2"/>
      <c r="U59" s="2"/>
    </row>
    <row r="60" spans="1:21" x14ac:dyDescent="0.2">
      <c r="A60" s="3"/>
      <c r="G60" s="27"/>
      <c r="H60" s="165"/>
      <c r="K60" s="125"/>
      <c r="L60" s="169"/>
      <c r="M60" s="168"/>
      <c r="N60" s="2"/>
      <c r="O60" s="2"/>
      <c r="P60" s="2"/>
      <c r="Q60" s="2"/>
      <c r="R60" s="2"/>
      <c r="S60" s="2"/>
      <c r="T60" s="2"/>
      <c r="U60" s="2"/>
    </row>
    <row r="61" spans="1:21" x14ac:dyDescent="0.2">
      <c r="A61" s="3"/>
      <c r="I61" s="170"/>
      <c r="J61" s="171"/>
      <c r="K61" s="172"/>
      <c r="N61" s="2"/>
      <c r="O61" s="2"/>
      <c r="P61" s="2"/>
      <c r="Q61" s="2"/>
      <c r="R61" s="2"/>
      <c r="S61" s="173"/>
      <c r="T61" s="173"/>
      <c r="U61" s="173"/>
    </row>
    <row r="62" spans="1:21" x14ac:dyDescent="0.2">
      <c r="G62" s="174"/>
      <c r="H62" s="174"/>
      <c r="I62" s="174"/>
      <c r="M62" s="2"/>
      <c r="N62" s="2"/>
      <c r="O62" s="2"/>
      <c r="P62" s="2"/>
      <c r="Q62" s="2"/>
      <c r="R62" s="2"/>
      <c r="S62" s="173"/>
      <c r="T62" s="173"/>
      <c r="U62" s="173"/>
    </row>
    <row r="63" spans="1:21" x14ac:dyDescent="0.2">
      <c r="G63" s="175"/>
      <c r="H63" s="175"/>
      <c r="I63" s="175"/>
      <c r="M63" s="2"/>
      <c r="N63" s="2"/>
      <c r="O63" s="2"/>
      <c r="P63" s="2"/>
      <c r="Q63" s="2"/>
      <c r="R63" s="2"/>
      <c r="S63" s="2"/>
      <c r="T63" s="2"/>
      <c r="U63" s="2"/>
    </row>
    <row r="64" spans="1:21" x14ac:dyDescent="0.2">
      <c r="M64" s="2"/>
      <c r="N64" s="2"/>
      <c r="O64" s="2"/>
      <c r="P64" s="2"/>
      <c r="Q64" s="2"/>
      <c r="R64" s="2"/>
      <c r="S64" s="176"/>
      <c r="T64" s="2"/>
      <c r="U64" s="176"/>
    </row>
    <row r="65" spans="13:21" x14ac:dyDescent="0.2">
      <c r="M65" s="2"/>
      <c r="N65" s="2"/>
      <c r="O65" s="2"/>
      <c r="P65" s="2"/>
      <c r="Q65" s="2"/>
      <c r="R65" s="2"/>
      <c r="S65" s="176"/>
      <c r="T65" s="2"/>
      <c r="U65" s="176"/>
    </row>
    <row r="66" spans="13:21" x14ac:dyDescent="0.2">
      <c r="M66" s="2"/>
      <c r="N66" s="2"/>
      <c r="O66" s="2"/>
      <c r="P66" s="2"/>
      <c r="Q66" s="2"/>
      <c r="R66" s="2"/>
      <c r="S66" s="177"/>
      <c r="T66" s="2"/>
      <c r="U66" s="2"/>
    </row>
    <row r="67" spans="13:21" x14ac:dyDescent="0.2">
      <c r="M67" s="2"/>
      <c r="N67" s="2"/>
      <c r="O67" s="2"/>
      <c r="P67" s="2"/>
      <c r="Q67" s="2"/>
      <c r="R67" s="2"/>
      <c r="S67" s="11"/>
      <c r="T67" s="2"/>
      <c r="U67" s="2"/>
    </row>
    <row r="68" spans="13:21" x14ac:dyDescent="0.2">
      <c r="M68" s="2"/>
      <c r="N68" s="2"/>
      <c r="O68" s="2"/>
      <c r="P68" s="2"/>
      <c r="Q68" s="2"/>
      <c r="R68" s="2"/>
      <c r="S68" s="2"/>
      <c r="T68" s="2"/>
      <c r="U68" s="2"/>
    </row>
    <row r="69" spans="13:21" x14ac:dyDescent="0.2">
      <c r="M69" s="2"/>
      <c r="N69" s="2"/>
      <c r="O69" s="2"/>
      <c r="P69" s="2"/>
      <c r="Q69" s="2"/>
      <c r="R69" s="2"/>
      <c r="S69" s="2"/>
      <c r="T69" s="2"/>
      <c r="U69" s="2"/>
    </row>
    <row r="70" spans="13:21" x14ac:dyDescent="0.2">
      <c r="M70" s="2"/>
      <c r="N70" s="2"/>
      <c r="O70" s="2"/>
      <c r="P70" s="2"/>
      <c r="Q70" s="2"/>
      <c r="R70" s="2"/>
      <c r="S70" s="2"/>
      <c r="T70" s="2"/>
      <c r="U70" s="2"/>
    </row>
    <row r="71" spans="13:21" x14ac:dyDescent="0.2">
      <c r="M71" s="2"/>
      <c r="N71" s="2"/>
      <c r="O71" s="2"/>
      <c r="P71" s="2"/>
      <c r="Q71" s="2"/>
      <c r="R71" s="2"/>
      <c r="S71" s="2"/>
      <c r="T71" s="2"/>
      <c r="U71" s="2"/>
    </row>
    <row r="72" spans="13:21" x14ac:dyDescent="0.2">
      <c r="M72" s="2"/>
      <c r="N72" s="2"/>
      <c r="O72" s="2"/>
      <c r="P72" s="2"/>
      <c r="Q72" s="2"/>
      <c r="R72" s="2"/>
      <c r="S72" s="2"/>
      <c r="T72" s="2"/>
      <c r="U72" s="2"/>
    </row>
    <row r="73" spans="13:21" x14ac:dyDescent="0.2">
      <c r="M73" s="2"/>
      <c r="N73" s="2"/>
      <c r="O73" s="2"/>
      <c r="P73" s="2"/>
      <c r="Q73" s="2"/>
      <c r="R73" s="2"/>
      <c r="S73" s="2"/>
      <c r="T73" s="2"/>
      <c r="U73" s="2"/>
    </row>
    <row r="74" spans="13:21" x14ac:dyDescent="0.2">
      <c r="M74" s="2"/>
      <c r="N74" s="2"/>
      <c r="O74" s="2"/>
      <c r="P74" s="2"/>
      <c r="Q74" s="2"/>
      <c r="R74" s="2"/>
      <c r="S74" s="2"/>
      <c r="T74" s="2"/>
      <c r="U74" s="2"/>
    </row>
    <row r="75" spans="13:21" x14ac:dyDescent="0.2">
      <c r="M75" s="2"/>
      <c r="N75" s="2"/>
      <c r="O75" s="2"/>
      <c r="P75" s="2"/>
      <c r="Q75" s="2"/>
      <c r="R75" s="2"/>
      <c r="S75" s="2"/>
      <c r="T75" s="2"/>
      <c r="U75" s="2"/>
    </row>
    <row r="76" spans="13:21" x14ac:dyDescent="0.2">
      <c r="M76" s="2"/>
      <c r="N76" s="2"/>
      <c r="O76" s="2"/>
      <c r="P76" s="2"/>
      <c r="Q76" s="2"/>
      <c r="R76" s="2"/>
      <c r="S76" s="2"/>
      <c r="T76" s="2"/>
      <c r="U76" s="2"/>
    </row>
    <row r="77" spans="13:21" x14ac:dyDescent="0.2">
      <c r="M77" s="2"/>
      <c r="N77" s="2"/>
      <c r="O77" s="2"/>
      <c r="P77" s="2"/>
      <c r="Q77" s="2"/>
      <c r="R77" s="2"/>
      <c r="S77" s="2"/>
      <c r="T77" s="2"/>
      <c r="U77" s="2"/>
    </row>
    <row r="78" spans="13:21" x14ac:dyDescent="0.2">
      <c r="M78" s="2"/>
      <c r="N78" s="2"/>
      <c r="O78" s="2"/>
      <c r="P78" s="2"/>
      <c r="Q78" s="2"/>
      <c r="R78" s="2"/>
      <c r="S78" s="2"/>
      <c r="T78" s="2"/>
      <c r="U78" s="2"/>
    </row>
    <row r="79" spans="13:21" x14ac:dyDescent="0.2">
      <c r="M79" s="2"/>
      <c r="N79" s="2"/>
      <c r="O79" s="2"/>
      <c r="P79" s="2"/>
      <c r="Q79" s="2"/>
      <c r="R79" s="2"/>
      <c r="S79" s="2"/>
      <c r="T79" s="2"/>
      <c r="U79" s="2"/>
    </row>
    <row r="80" spans="13:21" x14ac:dyDescent="0.2">
      <c r="M80" s="2"/>
      <c r="N80" s="2"/>
      <c r="O80" s="2"/>
      <c r="P80" s="2"/>
      <c r="Q80" s="2"/>
      <c r="R80" s="2"/>
      <c r="S80" s="2"/>
      <c r="T80" s="2"/>
      <c r="U80" s="2"/>
    </row>
    <row r="81" spans="13:21" x14ac:dyDescent="0.2">
      <c r="M81" s="2"/>
      <c r="N81" s="2"/>
      <c r="O81" s="2"/>
      <c r="P81" s="2"/>
      <c r="Q81" s="2"/>
      <c r="R81" s="2"/>
      <c r="S81" s="2"/>
      <c r="T81" s="2"/>
      <c r="U81" s="2"/>
    </row>
    <row r="82" spans="13:21" x14ac:dyDescent="0.2">
      <c r="M82" s="2"/>
      <c r="N82" s="2"/>
      <c r="O82" s="2"/>
      <c r="P82" s="2"/>
      <c r="Q82" s="2"/>
      <c r="R82" s="2"/>
      <c r="S82" s="2"/>
      <c r="T82" s="2"/>
      <c r="U82" s="2"/>
    </row>
    <row r="83" spans="13:21" x14ac:dyDescent="0.2">
      <c r="M83" s="2"/>
      <c r="N83" s="2"/>
      <c r="O83" s="2"/>
      <c r="P83" s="2"/>
      <c r="Q83" s="2"/>
      <c r="R83" s="2"/>
      <c r="S83" s="2"/>
      <c r="T83" s="2"/>
      <c r="U83" s="2"/>
    </row>
    <row r="84" spans="13:21" x14ac:dyDescent="0.2">
      <c r="M84" s="2"/>
      <c r="N84" s="2"/>
      <c r="O84" s="2"/>
      <c r="P84" s="2"/>
      <c r="Q84" s="2"/>
      <c r="R84" s="2"/>
      <c r="S84" s="2"/>
      <c r="T84" s="2"/>
      <c r="U84" s="2"/>
    </row>
    <row r="85" spans="13:21" x14ac:dyDescent="0.2">
      <c r="M85" s="2"/>
      <c r="N85" s="2"/>
      <c r="O85" s="2"/>
      <c r="P85" s="2"/>
      <c r="Q85" s="2"/>
      <c r="R85" s="2"/>
      <c r="S85" s="2"/>
      <c r="T85" s="2"/>
      <c r="U85" s="2"/>
    </row>
    <row r="86" spans="13:21" x14ac:dyDescent="0.2">
      <c r="M86" s="2"/>
      <c r="N86" s="2"/>
      <c r="O86" s="2"/>
      <c r="P86" s="2"/>
      <c r="Q86" s="2"/>
      <c r="R86" s="2"/>
      <c r="S86" s="2"/>
      <c r="T86" s="2"/>
      <c r="U86" s="2"/>
    </row>
    <row r="87" spans="13:21" x14ac:dyDescent="0.2">
      <c r="M87" s="2"/>
      <c r="N87" s="2"/>
      <c r="O87" s="2"/>
      <c r="P87" s="2"/>
      <c r="Q87" s="2"/>
      <c r="R87" s="2"/>
      <c r="S87" s="2"/>
      <c r="T87" s="2"/>
      <c r="U87" s="2"/>
    </row>
    <row r="88" spans="13:21" x14ac:dyDescent="0.2">
      <c r="M88" s="2"/>
      <c r="N88" s="2"/>
      <c r="O88" s="2"/>
      <c r="P88" s="2"/>
      <c r="Q88" s="2"/>
      <c r="R88" s="2"/>
      <c r="S88" s="2"/>
      <c r="T88" s="2"/>
      <c r="U88" s="2"/>
    </row>
    <row r="89" spans="13:21" x14ac:dyDescent="0.2">
      <c r="M89" s="2"/>
      <c r="N89" s="2"/>
      <c r="O89" s="2"/>
      <c r="P89" s="2"/>
      <c r="Q89" s="2"/>
      <c r="R89" s="2"/>
      <c r="S89" s="2"/>
      <c r="T89" s="2"/>
      <c r="U89" s="2"/>
    </row>
    <row r="90" spans="13:21" x14ac:dyDescent="0.2">
      <c r="M90" s="2"/>
      <c r="N90" s="2"/>
      <c r="O90" s="2"/>
      <c r="P90" s="2"/>
      <c r="Q90" s="2"/>
      <c r="R90" s="2"/>
      <c r="S90" s="2"/>
      <c r="T90" s="2"/>
      <c r="U90" s="2"/>
    </row>
    <row r="91" spans="13:21" x14ac:dyDescent="0.2">
      <c r="M91" s="2"/>
      <c r="N91" s="2"/>
      <c r="O91" s="2"/>
      <c r="P91" s="2"/>
      <c r="Q91" s="2"/>
      <c r="R91" s="2"/>
      <c r="S91" s="2"/>
      <c r="T91" s="2"/>
      <c r="U91" s="2"/>
    </row>
    <row r="92" spans="13:21" x14ac:dyDescent="0.2">
      <c r="M92" s="2"/>
      <c r="N92" s="2"/>
      <c r="O92" s="2"/>
      <c r="P92" s="2"/>
      <c r="Q92" s="2"/>
      <c r="R92" s="2"/>
      <c r="S92" s="2"/>
      <c r="T92" s="2"/>
      <c r="U92" s="2"/>
    </row>
    <row r="93" spans="13:21" x14ac:dyDescent="0.2">
      <c r="M93" s="2"/>
      <c r="N93" s="2"/>
      <c r="O93" s="2"/>
      <c r="P93" s="2"/>
      <c r="Q93" s="2"/>
      <c r="R93" s="2"/>
      <c r="S93" s="2"/>
      <c r="T93" s="2"/>
      <c r="U93" s="2"/>
    </row>
    <row r="94" spans="13:21" x14ac:dyDescent="0.2">
      <c r="M94" s="2"/>
      <c r="N94" s="2"/>
      <c r="O94" s="2"/>
      <c r="P94" s="2"/>
      <c r="Q94" s="2"/>
      <c r="R94" s="2"/>
      <c r="S94" s="2"/>
      <c r="T94" s="2"/>
      <c r="U94" s="2"/>
    </row>
    <row r="95" spans="13:21" x14ac:dyDescent="0.2">
      <c r="M95" s="2"/>
      <c r="N95" s="2"/>
      <c r="O95" s="2"/>
      <c r="P95" s="2"/>
      <c r="Q95" s="2"/>
      <c r="R95" s="2"/>
      <c r="S95" s="2"/>
      <c r="T95" s="2"/>
      <c r="U95" s="2"/>
    </row>
    <row r="96" spans="13:21" x14ac:dyDescent="0.2">
      <c r="M96" s="2"/>
      <c r="N96" s="2"/>
      <c r="O96" s="2"/>
      <c r="P96" s="2"/>
      <c r="Q96" s="2"/>
      <c r="R96" s="2"/>
      <c r="S96" s="2"/>
      <c r="T96" s="2"/>
      <c r="U96" s="2"/>
    </row>
    <row r="97" spans="13:21" x14ac:dyDescent="0.2">
      <c r="M97" s="2"/>
      <c r="N97" s="2"/>
      <c r="O97" s="2"/>
      <c r="P97" s="2"/>
      <c r="Q97" s="2"/>
      <c r="R97" s="2"/>
      <c r="S97" s="2"/>
      <c r="T97" s="2"/>
      <c r="U97" s="2"/>
    </row>
    <row r="98" spans="13:21" x14ac:dyDescent="0.2">
      <c r="M98" s="2"/>
      <c r="N98" s="2"/>
      <c r="O98" s="2"/>
      <c r="P98" s="2"/>
      <c r="Q98" s="2"/>
      <c r="R98" s="2"/>
      <c r="S98" s="2"/>
      <c r="T98" s="2"/>
      <c r="U98" s="2"/>
    </row>
    <row r="99" spans="13:21" x14ac:dyDescent="0.2">
      <c r="M99" s="2"/>
      <c r="N99" s="2"/>
      <c r="O99" s="2"/>
      <c r="P99" s="2"/>
      <c r="Q99" s="2"/>
      <c r="R99" s="2"/>
      <c r="S99" s="2"/>
      <c r="T99" s="2"/>
      <c r="U99" s="2"/>
    </row>
    <row r="100" spans="13:21" x14ac:dyDescent="0.2">
      <c r="M100" s="2"/>
      <c r="N100" s="2"/>
      <c r="O100" s="2"/>
      <c r="P100" s="2"/>
      <c r="Q100" s="2"/>
      <c r="R100" s="2"/>
      <c r="S100" s="2"/>
      <c r="T100" s="2"/>
      <c r="U100" s="2"/>
    </row>
    <row r="101" spans="13:21" x14ac:dyDescent="0.2">
      <c r="M101" s="2"/>
      <c r="N101" s="2"/>
      <c r="O101" s="2"/>
      <c r="P101" s="2"/>
      <c r="Q101" s="2"/>
      <c r="R101" s="2"/>
      <c r="S101" s="2"/>
      <c r="T101" s="2"/>
      <c r="U101" s="2"/>
    </row>
    <row r="102" spans="13:21" x14ac:dyDescent="0.2">
      <c r="M102" s="2"/>
      <c r="N102" s="2"/>
      <c r="O102" s="2"/>
      <c r="P102" s="2"/>
      <c r="Q102" s="2"/>
      <c r="R102" s="2"/>
      <c r="S102" s="2"/>
      <c r="T102" s="2"/>
      <c r="U102" s="2"/>
    </row>
    <row r="103" spans="13:21" x14ac:dyDescent="0.2">
      <c r="M103" s="2"/>
      <c r="N103" s="2"/>
      <c r="O103" s="2"/>
      <c r="P103" s="2"/>
      <c r="Q103" s="2"/>
      <c r="R103" s="2"/>
      <c r="S103" s="2"/>
      <c r="T103" s="2"/>
      <c r="U103" s="2"/>
    </row>
    <row r="104" spans="13:21" x14ac:dyDescent="0.2">
      <c r="M104" s="2"/>
      <c r="N104" s="2"/>
      <c r="O104" s="2"/>
      <c r="P104" s="2"/>
      <c r="Q104" s="2"/>
      <c r="R104" s="2"/>
      <c r="S104" s="2"/>
      <c r="T104" s="2"/>
      <c r="U104" s="2"/>
    </row>
    <row r="105" spans="13:21" x14ac:dyDescent="0.2">
      <c r="M105" s="2"/>
      <c r="N105" s="2"/>
      <c r="O105" s="2"/>
      <c r="P105" s="2"/>
      <c r="Q105" s="2"/>
      <c r="R105" s="2"/>
      <c r="S105" s="2"/>
      <c r="T105" s="2"/>
      <c r="U105" s="2"/>
    </row>
    <row r="106" spans="13:21" x14ac:dyDescent="0.2">
      <c r="M106" s="2"/>
      <c r="N106" s="2"/>
      <c r="O106" s="2"/>
      <c r="P106" s="2"/>
      <c r="Q106" s="2"/>
      <c r="R106" s="2"/>
      <c r="S106" s="2"/>
      <c r="T106" s="2"/>
      <c r="U106" s="2"/>
    </row>
    <row r="107" spans="13:21" x14ac:dyDescent="0.2">
      <c r="M107" s="2"/>
      <c r="N107" s="2"/>
      <c r="O107" s="2"/>
      <c r="P107" s="2"/>
      <c r="Q107" s="2"/>
      <c r="R107" s="2"/>
      <c r="S107" s="2"/>
      <c r="T107" s="2"/>
      <c r="U107" s="2"/>
    </row>
    <row r="108" spans="13:21" x14ac:dyDescent="0.2">
      <c r="M108" s="2"/>
      <c r="N108" s="2"/>
      <c r="O108" s="2"/>
      <c r="P108" s="2"/>
      <c r="Q108" s="2"/>
      <c r="R108" s="2"/>
      <c r="S108" s="2"/>
      <c r="T108" s="2"/>
      <c r="U108" s="2"/>
    </row>
    <row r="109" spans="13:21" x14ac:dyDescent="0.2">
      <c r="M109" s="2"/>
      <c r="N109" s="2"/>
      <c r="O109" s="2"/>
      <c r="P109" s="2"/>
      <c r="Q109" s="2"/>
      <c r="R109" s="2"/>
      <c r="S109" s="2"/>
      <c r="T109" s="2"/>
      <c r="U109" s="2"/>
    </row>
    <row r="110" spans="13:21" x14ac:dyDescent="0.2">
      <c r="M110" s="2"/>
      <c r="N110" s="2"/>
      <c r="O110" s="2"/>
      <c r="P110" s="2"/>
      <c r="Q110" s="2"/>
      <c r="R110" s="2"/>
      <c r="S110" s="2"/>
      <c r="T110" s="2"/>
      <c r="U110" s="2"/>
    </row>
    <row r="111" spans="13:21" x14ac:dyDescent="0.2">
      <c r="M111" s="2"/>
      <c r="N111" s="2"/>
      <c r="O111" s="2"/>
      <c r="P111" s="2"/>
      <c r="Q111" s="2"/>
      <c r="R111" s="2"/>
      <c r="S111" s="2"/>
      <c r="T111" s="2"/>
      <c r="U111" s="2"/>
    </row>
    <row r="112" spans="13:21" x14ac:dyDescent="0.2">
      <c r="M112" s="2"/>
      <c r="N112" s="2"/>
      <c r="O112" s="2"/>
      <c r="P112" s="2"/>
      <c r="Q112" s="2"/>
      <c r="R112" s="2"/>
      <c r="S112" s="2"/>
      <c r="T112" s="2"/>
      <c r="U112" s="2"/>
    </row>
    <row r="113" spans="13:21" x14ac:dyDescent="0.2">
      <c r="M113" s="2"/>
      <c r="N113" s="2"/>
      <c r="O113" s="2"/>
      <c r="P113" s="2"/>
      <c r="Q113" s="2"/>
      <c r="R113" s="2"/>
      <c r="S113" s="2"/>
      <c r="T113" s="2"/>
      <c r="U113" s="2"/>
    </row>
    <row r="114" spans="13:21" x14ac:dyDescent="0.2">
      <c r="M114" s="2"/>
      <c r="N114" s="2"/>
      <c r="O114" s="2"/>
      <c r="P114" s="2"/>
      <c r="Q114" s="2"/>
      <c r="R114" s="2"/>
      <c r="S114" s="2"/>
      <c r="T114" s="2"/>
      <c r="U114" s="2"/>
    </row>
    <row r="115" spans="13:21" x14ac:dyDescent="0.2">
      <c r="M115" s="2"/>
      <c r="N115" s="2"/>
      <c r="O115" s="2"/>
      <c r="P115" s="2"/>
      <c r="Q115" s="2"/>
      <c r="R115" s="2"/>
      <c r="S115" s="2"/>
      <c r="T115" s="2"/>
      <c r="U115" s="2"/>
    </row>
    <row r="116" spans="13:21" x14ac:dyDescent="0.2">
      <c r="M116" s="2"/>
      <c r="N116" s="2"/>
      <c r="O116" s="2"/>
      <c r="P116" s="2"/>
      <c r="Q116" s="2"/>
      <c r="R116" s="2"/>
      <c r="S116" s="2"/>
      <c r="T116" s="2"/>
      <c r="U116" s="2"/>
    </row>
    <row r="117" spans="13:21" x14ac:dyDescent="0.2">
      <c r="M117" s="2"/>
      <c r="N117" s="2"/>
      <c r="O117" s="2"/>
      <c r="P117" s="2"/>
      <c r="Q117" s="2"/>
      <c r="R117" s="2"/>
      <c r="S117" s="2"/>
      <c r="T117" s="2"/>
      <c r="U117" s="2"/>
    </row>
    <row r="118" spans="13:21" x14ac:dyDescent="0.2">
      <c r="M118" s="2"/>
      <c r="N118" s="2"/>
      <c r="O118" s="2"/>
      <c r="P118" s="2"/>
      <c r="Q118" s="2"/>
      <c r="R118" s="2"/>
      <c r="S118" s="2"/>
      <c r="T118" s="2"/>
      <c r="U118" s="2"/>
    </row>
    <row r="119" spans="13:21" x14ac:dyDescent="0.2">
      <c r="M119" s="2"/>
      <c r="N119" s="2"/>
      <c r="O119" s="2"/>
      <c r="P119" s="2"/>
      <c r="Q119" s="2"/>
      <c r="R119" s="2"/>
      <c r="S119" s="2"/>
      <c r="T119" s="2"/>
      <c r="U119" s="2"/>
    </row>
    <row r="120" spans="13:21" x14ac:dyDescent="0.2">
      <c r="M120" s="2"/>
      <c r="N120" s="2"/>
      <c r="O120" s="2"/>
      <c r="P120" s="2"/>
      <c r="Q120" s="2"/>
      <c r="R120" s="2"/>
      <c r="S120" s="2"/>
      <c r="T120" s="2"/>
      <c r="U120" s="2"/>
    </row>
    <row r="121" spans="13:21" x14ac:dyDescent="0.2">
      <c r="M121" s="2"/>
      <c r="N121" s="2"/>
      <c r="O121" s="2"/>
      <c r="P121" s="2"/>
      <c r="Q121" s="2"/>
      <c r="R121" s="2"/>
      <c r="S121" s="2"/>
      <c r="T121" s="2"/>
      <c r="U121" s="2"/>
    </row>
    <row r="122" spans="13:21" x14ac:dyDescent="0.2">
      <c r="M122" s="2"/>
      <c r="N122" s="2"/>
      <c r="O122" s="2"/>
      <c r="P122" s="2"/>
      <c r="Q122" s="2"/>
      <c r="R122" s="2"/>
      <c r="S122" s="2"/>
      <c r="T122" s="2"/>
      <c r="U122" s="2"/>
    </row>
    <row r="123" spans="13:21" x14ac:dyDescent="0.2">
      <c r="M123" s="2"/>
      <c r="N123" s="2"/>
      <c r="O123" s="2"/>
      <c r="P123" s="2"/>
      <c r="Q123" s="2"/>
      <c r="R123" s="2"/>
      <c r="S123" s="2"/>
      <c r="T123" s="2"/>
      <c r="U123" s="2"/>
    </row>
    <row r="124" spans="13:21" x14ac:dyDescent="0.2">
      <c r="M124" s="2"/>
      <c r="N124" s="2"/>
      <c r="O124" s="2"/>
      <c r="P124" s="2"/>
      <c r="Q124" s="2"/>
      <c r="R124" s="2"/>
      <c r="S124" s="2"/>
      <c r="T124" s="2"/>
      <c r="U124" s="2"/>
    </row>
    <row r="125" spans="13:21" x14ac:dyDescent="0.2">
      <c r="M125" s="2"/>
      <c r="N125" s="2"/>
      <c r="O125" s="2"/>
      <c r="P125" s="2"/>
      <c r="Q125" s="2"/>
      <c r="R125" s="2"/>
      <c r="S125" s="2"/>
      <c r="T125" s="2"/>
      <c r="U125" s="2"/>
    </row>
    <row r="126" spans="13:21" x14ac:dyDescent="0.2">
      <c r="M126" s="2"/>
      <c r="N126" s="2"/>
      <c r="O126" s="2"/>
      <c r="P126" s="2"/>
      <c r="Q126" s="2"/>
      <c r="R126" s="2"/>
      <c r="S126" s="2"/>
      <c r="T126" s="2"/>
      <c r="U126" s="2"/>
    </row>
    <row r="127" spans="13:21" x14ac:dyDescent="0.2">
      <c r="M127" s="2"/>
      <c r="N127" s="2"/>
      <c r="O127" s="2"/>
      <c r="P127" s="2"/>
      <c r="Q127" s="2"/>
      <c r="R127" s="2"/>
      <c r="S127" s="2"/>
      <c r="T127" s="2"/>
      <c r="U127" s="2"/>
    </row>
    <row r="128" spans="13:21" x14ac:dyDescent="0.2">
      <c r="M128" s="2"/>
      <c r="N128" s="2"/>
      <c r="O128" s="2"/>
      <c r="P128" s="2"/>
      <c r="Q128" s="2"/>
      <c r="R128" s="2"/>
      <c r="S128" s="2"/>
      <c r="T128" s="2"/>
      <c r="U128" s="2"/>
    </row>
    <row r="129" spans="13:21" x14ac:dyDescent="0.2">
      <c r="M129" s="2"/>
      <c r="N129" s="2"/>
      <c r="O129" s="2"/>
      <c r="P129" s="2"/>
      <c r="Q129" s="2"/>
      <c r="R129" s="2"/>
      <c r="S129" s="2"/>
      <c r="T129" s="2"/>
      <c r="U129" s="2"/>
    </row>
    <row r="130" spans="13:21" x14ac:dyDescent="0.2">
      <c r="M130" s="2"/>
      <c r="N130" s="2"/>
      <c r="O130" s="2"/>
      <c r="P130" s="2"/>
      <c r="Q130" s="2"/>
      <c r="R130" s="2"/>
      <c r="S130" s="2"/>
      <c r="T130" s="2"/>
      <c r="U130" s="2"/>
    </row>
    <row r="131" spans="13:21" x14ac:dyDescent="0.2">
      <c r="M131" s="2"/>
      <c r="N131" s="2"/>
      <c r="O131" s="2"/>
      <c r="P131" s="2"/>
      <c r="Q131" s="2"/>
      <c r="R131" s="2"/>
      <c r="S131" s="2"/>
      <c r="T131" s="2"/>
      <c r="U131" s="2"/>
    </row>
    <row r="132" spans="13:21" x14ac:dyDescent="0.2">
      <c r="M132" s="2"/>
      <c r="N132" s="2"/>
      <c r="O132" s="2"/>
      <c r="P132" s="2"/>
      <c r="Q132" s="2"/>
      <c r="R132" s="2"/>
      <c r="S132" s="2"/>
      <c r="T132" s="2"/>
      <c r="U132" s="2"/>
    </row>
    <row r="133" spans="13:21" x14ac:dyDescent="0.2">
      <c r="M133" s="2"/>
      <c r="N133" s="2"/>
      <c r="O133" s="2"/>
      <c r="P133" s="2"/>
      <c r="Q133" s="2"/>
      <c r="R133" s="2"/>
      <c r="S133" s="2"/>
      <c r="T133" s="2"/>
      <c r="U133" s="2"/>
    </row>
    <row r="134" spans="13:21" x14ac:dyDescent="0.2">
      <c r="M134" s="2"/>
      <c r="N134" s="2"/>
      <c r="O134" s="2"/>
      <c r="P134" s="2"/>
      <c r="Q134" s="2"/>
      <c r="R134" s="2"/>
      <c r="S134" s="2"/>
      <c r="T134" s="2"/>
      <c r="U134" s="2"/>
    </row>
    <row r="135" spans="13:21" x14ac:dyDescent="0.2">
      <c r="M135" s="2"/>
      <c r="N135" s="2"/>
      <c r="O135" s="2"/>
      <c r="P135" s="2"/>
      <c r="Q135" s="2"/>
      <c r="R135" s="2"/>
      <c r="S135" s="2"/>
      <c r="T135" s="2"/>
      <c r="U135" s="2"/>
    </row>
    <row r="136" spans="13:21" x14ac:dyDescent="0.2">
      <c r="M136" s="2"/>
      <c r="N136" s="2"/>
      <c r="O136" s="2"/>
      <c r="P136" s="2"/>
      <c r="Q136" s="2"/>
      <c r="R136" s="2"/>
      <c r="S136" s="2"/>
      <c r="T136" s="2"/>
      <c r="U136" s="2"/>
    </row>
    <row r="137" spans="13:21" x14ac:dyDescent="0.2">
      <c r="M137" s="2"/>
      <c r="N137" s="2"/>
      <c r="O137" s="2"/>
      <c r="P137" s="2"/>
      <c r="Q137" s="2"/>
      <c r="R137" s="2"/>
      <c r="S137" s="2"/>
      <c r="T137" s="2"/>
      <c r="U137" s="2"/>
    </row>
    <row r="138" spans="13:21" x14ac:dyDescent="0.2">
      <c r="M138" s="2"/>
      <c r="N138" s="2"/>
      <c r="O138" s="2"/>
      <c r="P138" s="2"/>
      <c r="Q138" s="2"/>
      <c r="R138" s="2"/>
      <c r="S138" s="2"/>
      <c r="T138" s="2"/>
      <c r="U138" s="2"/>
    </row>
    <row r="139" spans="13:21" x14ac:dyDescent="0.2">
      <c r="M139" s="2"/>
      <c r="N139" s="2"/>
      <c r="O139" s="2"/>
      <c r="P139" s="2"/>
      <c r="Q139" s="2"/>
      <c r="R139" s="2"/>
      <c r="S139" s="2"/>
      <c r="T139" s="2"/>
      <c r="U139" s="2"/>
    </row>
    <row r="140" spans="13:21" x14ac:dyDescent="0.2">
      <c r="M140" s="2"/>
      <c r="N140" s="2"/>
      <c r="O140" s="2"/>
      <c r="P140" s="2"/>
      <c r="Q140" s="2"/>
      <c r="R140" s="2"/>
      <c r="S140" s="2"/>
      <c r="T140" s="2"/>
      <c r="U140" s="2"/>
    </row>
    <row r="141" spans="13:21" x14ac:dyDescent="0.2">
      <c r="M141" s="2"/>
      <c r="N141" s="2"/>
      <c r="O141" s="2"/>
      <c r="P141" s="2"/>
      <c r="Q141" s="2"/>
      <c r="R141" s="2"/>
      <c r="S141" s="2"/>
      <c r="T141" s="2"/>
      <c r="U141" s="2"/>
    </row>
    <row r="142" spans="13:21" x14ac:dyDescent="0.2">
      <c r="M142" s="2"/>
      <c r="N142" s="2"/>
      <c r="O142" s="2"/>
      <c r="P142" s="2"/>
      <c r="Q142" s="2"/>
      <c r="R142" s="2"/>
      <c r="S142" s="2"/>
      <c r="T142" s="2"/>
      <c r="U142" s="2"/>
    </row>
    <row r="143" spans="13:21" x14ac:dyDescent="0.2">
      <c r="M143" s="2"/>
      <c r="N143" s="2"/>
      <c r="O143" s="2"/>
      <c r="P143" s="2"/>
      <c r="Q143" s="2"/>
      <c r="R143" s="2"/>
      <c r="S143" s="2"/>
      <c r="T143" s="2"/>
      <c r="U143" s="2"/>
    </row>
    <row r="144" spans="13:21" x14ac:dyDescent="0.2">
      <c r="M144" s="2"/>
      <c r="N144" s="2"/>
      <c r="O144" s="2"/>
      <c r="P144" s="2"/>
      <c r="Q144" s="2"/>
      <c r="R144" s="2"/>
      <c r="S144" s="2"/>
      <c r="T144" s="2"/>
      <c r="U144" s="2"/>
    </row>
    <row r="145" spans="13:21" x14ac:dyDescent="0.2">
      <c r="M145" s="2"/>
      <c r="N145" s="2"/>
      <c r="O145" s="2"/>
      <c r="P145" s="2"/>
      <c r="Q145" s="2"/>
      <c r="R145" s="2"/>
      <c r="S145" s="2"/>
      <c r="T145" s="2"/>
      <c r="U145" s="2"/>
    </row>
    <row r="146" spans="13:21" x14ac:dyDescent="0.2">
      <c r="M146" s="2"/>
      <c r="N146" s="2"/>
      <c r="O146" s="2"/>
      <c r="P146" s="2"/>
      <c r="Q146" s="2"/>
      <c r="R146" s="2"/>
      <c r="S146" s="2"/>
      <c r="T146" s="2"/>
      <c r="U146" s="2"/>
    </row>
    <row r="147" spans="13:21" x14ac:dyDescent="0.2">
      <c r="M147" s="2"/>
      <c r="N147" s="2"/>
      <c r="O147" s="2"/>
      <c r="P147" s="2"/>
      <c r="Q147" s="2"/>
      <c r="R147" s="2"/>
      <c r="S147" s="2"/>
      <c r="T147" s="2"/>
      <c r="U147" s="2"/>
    </row>
    <row r="148" spans="13:21" x14ac:dyDescent="0.2">
      <c r="M148" s="2"/>
      <c r="N148" s="2"/>
      <c r="O148" s="2"/>
      <c r="P148" s="2"/>
      <c r="Q148" s="2"/>
      <c r="R148" s="2"/>
      <c r="S148" s="2"/>
      <c r="T148" s="2"/>
      <c r="U148" s="2"/>
    </row>
    <row r="149" spans="13:21" x14ac:dyDescent="0.2">
      <c r="M149" s="2"/>
      <c r="N149" s="2"/>
      <c r="O149" s="2"/>
      <c r="P149" s="2"/>
      <c r="Q149" s="2"/>
      <c r="R149" s="2"/>
      <c r="S149" s="2"/>
      <c r="T149" s="2"/>
      <c r="U149" s="2"/>
    </row>
    <row r="150" spans="13:21" x14ac:dyDescent="0.2">
      <c r="M150" s="2"/>
      <c r="N150" s="2"/>
      <c r="O150" s="2"/>
      <c r="P150" s="2"/>
      <c r="Q150" s="2"/>
      <c r="R150" s="2"/>
      <c r="S150" s="2"/>
      <c r="T150" s="2"/>
      <c r="U150" s="2"/>
    </row>
    <row r="151" spans="13:21" x14ac:dyDescent="0.2">
      <c r="M151" s="2"/>
      <c r="N151" s="2"/>
      <c r="O151" s="2"/>
      <c r="P151" s="2"/>
      <c r="Q151" s="2"/>
      <c r="R151" s="2"/>
      <c r="S151" s="2"/>
      <c r="T151" s="2"/>
      <c r="U151" s="2"/>
    </row>
    <row r="152" spans="13:21" x14ac:dyDescent="0.2">
      <c r="M152" s="2"/>
      <c r="N152" s="2"/>
      <c r="O152" s="2"/>
      <c r="P152" s="2"/>
      <c r="Q152" s="2"/>
      <c r="R152" s="2"/>
      <c r="S152" s="2"/>
      <c r="T152" s="2"/>
      <c r="U152" s="2"/>
    </row>
    <row r="153" spans="13:21" x14ac:dyDescent="0.2">
      <c r="M153" s="2"/>
      <c r="N153" s="2"/>
      <c r="O153" s="2"/>
      <c r="P153" s="2"/>
      <c r="Q153" s="2"/>
      <c r="R153" s="2"/>
      <c r="S153" s="2"/>
      <c r="T153" s="2"/>
      <c r="U153" s="2"/>
    </row>
    <row r="154" spans="13:21" x14ac:dyDescent="0.2">
      <c r="M154" s="2"/>
      <c r="N154" s="2"/>
      <c r="O154" s="2"/>
      <c r="P154" s="2"/>
      <c r="Q154" s="2"/>
      <c r="R154" s="2"/>
      <c r="S154" s="2"/>
      <c r="T154" s="2"/>
      <c r="U154" s="2"/>
    </row>
    <row r="155" spans="13:21" x14ac:dyDescent="0.2">
      <c r="M155" s="2"/>
      <c r="N155" s="2"/>
      <c r="O155" s="2"/>
      <c r="P155" s="2"/>
      <c r="Q155" s="2"/>
      <c r="R155" s="2"/>
      <c r="S155" s="2"/>
      <c r="T155" s="2"/>
      <c r="U155" s="2"/>
    </row>
    <row r="156" spans="13:21" x14ac:dyDescent="0.2">
      <c r="M156" s="2"/>
      <c r="N156" s="2"/>
      <c r="O156" s="2"/>
      <c r="P156" s="2"/>
      <c r="Q156" s="2"/>
      <c r="R156" s="2"/>
      <c r="S156" s="2"/>
      <c r="T156" s="2"/>
      <c r="U156" s="2"/>
    </row>
    <row r="157" spans="13:21" x14ac:dyDescent="0.2">
      <c r="M157" s="2"/>
      <c r="N157" s="2"/>
      <c r="O157" s="2"/>
      <c r="P157" s="2"/>
      <c r="Q157" s="2"/>
      <c r="R157" s="2"/>
      <c r="S157" s="2"/>
      <c r="T157" s="2"/>
      <c r="U157" s="2"/>
    </row>
    <row r="158" spans="13:21" x14ac:dyDescent="0.2">
      <c r="M158" s="2"/>
      <c r="N158" s="2"/>
      <c r="O158" s="2"/>
      <c r="P158" s="2"/>
      <c r="Q158" s="2"/>
      <c r="R158" s="2"/>
      <c r="S158" s="2"/>
      <c r="T158" s="2"/>
      <c r="U158" s="2"/>
    </row>
    <row r="159" spans="13:21" x14ac:dyDescent="0.2">
      <c r="M159" s="2"/>
      <c r="N159" s="2"/>
      <c r="O159" s="2"/>
      <c r="P159" s="2"/>
      <c r="Q159" s="2"/>
      <c r="R159" s="2"/>
      <c r="S159" s="2"/>
      <c r="T159" s="2"/>
      <c r="U159" s="2"/>
    </row>
    <row r="160" spans="13:21" x14ac:dyDescent="0.2">
      <c r="M160" s="2"/>
      <c r="N160" s="2"/>
      <c r="O160" s="2"/>
      <c r="P160" s="2"/>
      <c r="Q160" s="2"/>
      <c r="R160" s="2"/>
      <c r="S160" s="2"/>
      <c r="T160" s="2"/>
      <c r="U160" s="2"/>
    </row>
    <row r="161" spans="13:21" x14ac:dyDescent="0.2">
      <c r="M161" s="2"/>
      <c r="N161" s="2"/>
      <c r="O161" s="2"/>
      <c r="P161" s="2"/>
      <c r="Q161" s="2"/>
      <c r="R161" s="2"/>
      <c r="S161" s="2"/>
      <c r="T161" s="2"/>
      <c r="U161" s="2"/>
    </row>
    <row r="162" spans="13:21" x14ac:dyDescent="0.2">
      <c r="M162" s="2"/>
      <c r="N162" s="2"/>
      <c r="O162" s="2"/>
      <c r="P162" s="2"/>
      <c r="Q162" s="2"/>
      <c r="R162" s="2"/>
      <c r="S162" s="2"/>
      <c r="T162" s="2"/>
      <c r="U162" s="2"/>
    </row>
    <row r="163" spans="13:21" x14ac:dyDescent="0.2">
      <c r="M163" s="2"/>
      <c r="N163" s="2"/>
      <c r="O163" s="2"/>
      <c r="P163" s="2"/>
      <c r="Q163" s="2"/>
      <c r="R163" s="2"/>
      <c r="S163" s="2"/>
      <c r="T163" s="2"/>
      <c r="U163" s="2"/>
    </row>
    <row r="164" spans="13:21" x14ac:dyDescent="0.2">
      <c r="M164" s="2"/>
      <c r="N164" s="2"/>
      <c r="O164" s="2"/>
      <c r="P164" s="2"/>
      <c r="Q164" s="2"/>
      <c r="R164" s="2"/>
      <c r="S164" s="2"/>
      <c r="T164" s="2"/>
      <c r="U164" s="2"/>
    </row>
    <row r="165" spans="13:21" x14ac:dyDescent="0.2">
      <c r="M165" s="2"/>
      <c r="N165" s="2"/>
      <c r="O165" s="2"/>
      <c r="P165" s="2"/>
      <c r="Q165" s="2"/>
      <c r="R165" s="2"/>
      <c r="S165" s="2"/>
      <c r="T165" s="2"/>
      <c r="U165" s="2"/>
    </row>
    <row r="166" spans="13:21" x14ac:dyDescent="0.2">
      <c r="M166" s="2"/>
      <c r="N166" s="2"/>
      <c r="O166" s="2"/>
      <c r="P166" s="2"/>
      <c r="Q166" s="2"/>
      <c r="R166" s="2"/>
      <c r="S166" s="2"/>
      <c r="T166" s="2"/>
      <c r="U166" s="2"/>
    </row>
    <row r="167" spans="13:21" x14ac:dyDescent="0.2">
      <c r="M167" s="2"/>
      <c r="N167" s="2"/>
      <c r="O167" s="2"/>
      <c r="P167" s="2"/>
      <c r="Q167" s="2"/>
      <c r="R167" s="2"/>
      <c r="S167" s="2"/>
      <c r="T167" s="2"/>
      <c r="U167" s="2"/>
    </row>
    <row r="168" spans="13:21" x14ac:dyDescent="0.2">
      <c r="M168" s="2"/>
      <c r="N168" s="2"/>
      <c r="O168" s="2"/>
      <c r="P168" s="2"/>
      <c r="Q168" s="2"/>
      <c r="R168" s="2"/>
      <c r="S168" s="2"/>
      <c r="T168" s="2"/>
      <c r="U168" s="2"/>
    </row>
    <row r="169" spans="13:21" x14ac:dyDescent="0.2">
      <c r="M169" s="2"/>
      <c r="N169" s="2"/>
      <c r="O169" s="2"/>
      <c r="P169" s="2"/>
      <c r="Q169" s="2"/>
      <c r="R169" s="2"/>
      <c r="S169" s="2"/>
      <c r="T169" s="2"/>
      <c r="U169" s="2"/>
    </row>
    <row r="170" spans="13:21" x14ac:dyDescent="0.2">
      <c r="M170" s="2"/>
      <c r="N170" s="2"/>
      <c r="O170" s="2"/>
      <c r="P170" s="2"/>
      <c r="Q170" s="2"/>
      <c r="R170" s="2"/>
      <c r="S170" s="2"/>
      <c r="T170" s="2"/>
      <c r="U170" s="2"/>
    </row>
    <row r="171" spans="13:21" x14ac:dyDescent="0.2">
      <c r="M171" s="2"/>
      <c r="N171" s="2"/>
      <c r="O171" s="2"/>
      <c r="P171" s="2"/>
      <c r="Q171" s="2"/>
      <c r="R171" s="2"/>
      <c r="S171" s="2"/>
      <c r="T171" s="2"/>
      <c r="U171" s="2"/>
    </row>
    <row r="172" spans="13:21" x14ac:dyDescent="0.2">
      <c r="M172" s="2"/>
      <c r="N172" s="2"/>
      <c r="O172" s="2"/>
      <c r="P172" s="2"/>
      <c r="Q172" s="2"/>
      <c r="R172" s="2"/>
      <c r="S172" s="2"/>
      <c r="T172" s="2"/>
      <c r="U172" s="2"/>
    </row>
    <row r="173" spans="13:21" x14ac:dyDescent="0.2">
      <c r="M173" s="2"/>
      <c r="N173" s="2"/>
      <c r="O173" s="2"/>
      <c r="P173" s="2"/>
      <c r="Q173" s="2"/>
      <c r="R173" s="2"/>
      <c r="S173" s="2"/>
      <c r="T173" s="2"/>
      <c r="U173" s="2"/>
    </row>
    <row r="174" spans="13:21" x14ac:dyDescent="0.2">
      <c r="M174" s="2"/>
      <c r="N174" s="2"/>
      <c r="O174" s="2"/>
      <c r="P174" s="2"/>
      <c r="Q174" s="2"/>
      <c r="R174" s="2"/>
      <c r="S174" s="2"/>
      <c r="T174" s="2"/>
      <c r="U174" s="2"/>
    </row>
    <row r="175" spans="13:21" x14ac:dyDescent="0.2">
      <c r="M175" s="2"/>
      <c r="N175" s="2"/>
      <c r="O175" s="2"/>
      <c r="P175" s="2"/>
      <c r="Q175" s="2"/>
      <c r="R175" s="2"/>
      <c r="S175" s="2"/>
      <c r="T175" s="2"/>
      <c r="U175" s="2"/>
    </row>
    <row r="176" spans="13:21" x14ac:dyDescent="0.2">
      <c r="M176" s="2"/>
      <c r="N176" s="2"/>
      <c r="O176" s="2"/>
      <c r="P176" s="2"/>
      <c r="Q176" s="2"/>
      <c r="R176" s="2"/>
      <c r="S176" s="2"/>
      <c r="T176" s="2"/>
      <c r="U176" s="2"/>
    </row>
    <row r="177" spans="13:21" x14ac:dyDescent="0.2">
      <c r="M177" s="2"/>
      <c r="N177" s="2"/>
      <c r="O177" s="2"/>
      <c r="P177" s="2"/>
      <c r="Q177" s="2"/>
      <c r="R177" s="2"/>
      <c r="S177" s="2"/>
      <c r="T177" s="2"/>
      <c r="U177" s="2"/>
    </row>
    <row r="178" spans="13:21" x14ac:dyDescent="0.2">
      <c r="M178" s="2"/>
      <c r="N178" s="2"/>
      <c r="O178" s="2"/>
      <c r="P178" s="2"/>
      <c r="Q178" s="2"/>
      <c r="R178" s="2"/>
      <c r="S178" s="2"/>
      <c r="T178" s="2"/>
      <c r="U178" s="2"/>
    </row>
    <row r="179" spans="13:21" x14ac:dyDescent="0.2">
      <c r="M179" s="2"/>
      <c r="N179" s="2"/>
      <c r="O179" s="2"/>
      <c r="P179" s="2"/>
      <c r="Q179" s="2"/>
      <c r="R179" s="2"/>
      <c r="S179" s="2"/>
      <c r="T179" s="2"/>
      <c r="U179" s="2"/>
    </row>
    <row r="180" spans="13:21" x14ac:dyDescent="0.2">
      <c r="M180" s="2"/>
      <c r="N180" s="2"/>
      <c r="O180" s="2"/>
      <c r="P180" s="2"/>
      <c r="Q180" s="2"/>
      <c r="R180" s="2"/>
      <c r="S180" s="2"/>
      <c r="T180" s="2"/>
      <c r="U180" s="2"/>
    </row>
    <row r="181" spans="13:21" x14ac:dyDescent="0.2">
      <c r="M181" s="2"/>
      <c r="N181" s="2"/>
      <c r="O181" s="2"/>
      <c r="P181" s="2"/>
      <c r="Q181" s="2"/>
      <c r="R181" s="2"/>
      <c r="S181" s="2"/>
      <c r="T181" s="2"/>
      <c r="U181" s="2"/>
    </row>
    <row r="182" spans="13:21" x14ac:dyDescent="0.2">
      <c r="M182" s="2"/>
      <c r="N182" s="2"/>
      <c r="O182" s="2"/>
      <c r="P182" s="2"/>
      <c r="Q182" s="2"/>
      <c r="R182" s="2"/>
      <c r="S182" s="2"/>
      <c r="T182" s="2"/>
      <c r="U182" s="2"/>
    </row>
    <row r="183" spans="13:21" x14ac:dyDescent="0.2">
      <c r="M183" s="2"/>
      <c r="N183" s="2"/>
      <c r="O183" s="2"/>
      <c r="P183" s="2"/>
      <c r="Q183" s="2"/>
      <c r="R183" s="2"/>
      <c r="S183" s="2"/>
      <c r="T183" s="2"/>
      <c r="U183" s="2"/>
    </row>
    <row r="184" spans="13:21" x14ac:dyDescent="0.2">
      <c r="M184" s="2"/>
      <c r="N184" s="2"/>
      <c r="O184" s="2"/>
      <c r="P184" s="2"/>
      <c r="Q184" s="2"/>
      <c r="R184" s="2"/>
      <c r="S184" s="2"/>
      <c r="T184" s="2"/>
      <c r="U184" s="2"/>
    </row>
    <row r="185" spans="13:21" x14ac:dyDescent="0.2">
      <c r="M185" s="2"/>
      <c r="N185" s="2"/>
      <c r="O185" s="2"/>
      <c r="P185" s="2"/>
      <c r="Q185" s="2"/>
      <c r="R185" s="2"/>
      <c r="S185" s="2"/>
      <c r="T185" s="2"/>
      <c r="U185" s="2"/>
    </row>
    <row r="186" spans="13:21" x14ac:dyDescent="0.2">
      <c r="M186" s="2"/>
      <c r="N186" s="2"/>
      <c r="O186" s="2"/>
      <c r="P186" s="2"/>
      <c r="Q186" s="2"/>
      <c r="R186" s="2"/>
      <c r="S186" s="2"/>
      <c r="T186" s="2"/>
      <c r="U186" s="2"/>
    </row>
    <row r="187" spans="13:21" x14ac:dyDescent="0.2">
      <c r="M187" s="2"/>
      <c r="N187" s="2"/>
      <c r="O187" s="2"/>
      <c r="P187" s="2"/>
      <c r="Q187" s="2"/>
      <c r="R187" s="2"/>
      <c r="S187" s="2"/>
      <c r="T187" s="2"/>
      <c r="U187" s="2"/>
    </row>
    <row r="188" spans="13:21" x14ac:dyDescent="0.2">
      <c r="M188" s="2"/>
      <c r="N188" s="2"/>
      <c r="O188" s="2"/>
      <c r="P188" s="2"/>
      <c r="Q188" s="2"/>
      <c r="R188" s="2"/>
      <c r="S188" s="2"/>
      <c r="T188" s="2"/>
      <c r="U188" s="2"/>
    </row>
    <row r="189" spans="13:21" x14ac:dyDescent="0.2">
      <c r="M189" s="2"/>
      <c r="N189" s="2"/>
      <c r="O189" s="2"/>
      <c r="P189" s="2"/>
      <c r="Q189" s="2"/>
      <c r="R189" s="2"/>
      <c r="S189" s="2"/>
      <c r="T189" s="2"/>
      <c r="U189" s="2"/>
    </row>
    <row r="190" spans="13:21" x14ac:dyDescent="0.2">
      <c r="M190" s="2"/>
      <c r="N190" s="2"/>
      <c r="O190" s="2"/>
      <c r="P190" s="2"/>
      <c r="Q190" s="2"/>
      <c r="R190" s="2"/>
      <c r="S190" s="2"/>
      <c r="T190" s="2"/>
      <c r="U190" s="2"/>
    </row>
    <row r="191" spans="13:21" x14ac:dyDescent="0.2">
      <c r="M191" s="2"/>
      <c r="N191" s="2"/>
      <c r="O191" s="2"/>
      <c r="P191" s="2"/>
      <c r="Q191" s="2"/>
      <c r="R191" s="2"/>
      <c r="S191" s="2"/>
      <c r="T191" s="2"/>
      <c r="U191" s="2"/>
    </row>
    <row r="192" spans="13:21" x14ac:dyDescent="0.2">
      <c r="M192" s="2"/>
      <c r="N192" s="2"/>
      <c r="O192" s="2"/>
      <c r="P192" s="2"/>
      <c r="Q192" s="2"/>
      <c r="R192" s="2"/>
      <c r="S192" s="2"/>
      <c r="T192" s="2"/>
      <c r="U192" s="2"/>
    </row>
    <row r="193" spans="13:21" x14ac:dyDescent="0.2">
      <c r="M193" s="2"/>
      <c r="N193" s="2"/>
      <c r="O193" s="2"/>
      <c r="P193" s="2"/>
      <c r="Q193" s="2"/>
      <c r="R193" s="2"/>
      <c r="S193" s="2"/>
      <c r="T193" s="2"/>
      <c r="U193" s="2"/>
    </row>
    <row r="194" spans="13:21" x14ac:dyDescent="0.2">
      <c r="M194" s="2"/>
      <c r="N194" s="2"/>
      <c r="O194" s="2"/>
      <c r="P194" s="2"/>
      <c r="Q194" s="2"/>
      <c r="R194" s="2"/>
      <c r="S194" s="2"/>
      <c r="T194" s="2"/>
      <c r="U194" s="2"/>
    </row>
    <row r="195" spans="13:21" x14ac:dyDescent="0.2">
      <c r="M195" s="2"/>
      <c r="N195" s="2"/>
      <c r="O195" s="2"/>
      <c r="P195" s="2"/>
      <c r="Q195" s="2"/>
      <c r="R195" s="2"/>
      <c r="S195" s="2"/>
      <c r="T195" s="2"/>
      <c r="U195" s="2"/>
    </row>
    <row r="196" spans="13:21" x14ac:dyDescent="0.2">
      <c r="M196" s="2"/>
      <c r="N196" s="2"/>
      <c r="O196" s="2"/>
      <c r="P196" s="2"/>
      <c r="Q196" s="2"/>
      <c r="R196" s="2"/>
      <c r="S196" s="2"/>
      <c r="T196" s="2"/>
      <c r="U196" s="2"/>
    </row>
    <row r="197" spans="13:21" x14ac:dyDescent="0.2">
      <c r="M197" s="2"/>
      <c r="N197" s="2"/>
      <c r="O197" s="2"/>
      <c r="P197" s="2"/>
      <c r="Q197" s="2"/>
      <c r="R197" s="2"/>
      <c r="S197" s="2"/>
      <c r="T197" s="2"/>
      <c r="U197" s="2"/>
    </row>
    <row r="198" spans="13:21" x14ac:dyDescent="0.2">
      <c r="M198" s="2"/>
      <c r="N198" s="2"/>
      <c r="O198" s="2"/>
      <c r="P198" s="2"/>
      <c r="Q198" s="2"/>
      <c r="R198" s="2"/>
      <c r="S198" s="2"/>
      <c r="T198" s="2"/>
      <c r="U198" s="2"/>
    </row>
    <row r="199" spans="13:21" x14ac:dyDescent="0.2">
      <c r="M199" s="2"/>
      <c r="N199" s="2"/>
      <c r="O199" s="2"/>
      <c r="P199" s="2"/>
      <c r="Q199" s="2"/>
      <c r="R199" s="2"/>
      <c r="S199" s="2"/>
      <c r="T199" s="2"/>
      <c r="U199" s="2"/>
    </row>
    <row r="200" spans="13:21" x14ac:dyDescent="0.2">
      <c r="M200" s="2"/>
      <c r="N200" s="2"/>
      <c r="O200" s="2"/>
      <c r="P200" s="2"/>
      <c r="Q200" s="2"/>
      <c r="R200" s="2"/>
      <c r="S200" s="2"/>
      <c r="T200" s="2"/>
      <c r="U200" s="2"/>
    </row>
    <row r="201" spans="13:21" x14ac:dyDescent="0.2">
      <c r="M201" s="2"/>
      <c r="N201" s="2"/>
      <c r="O201" s="2"/>
      <c r="P201" s="2"/>
      <c r="Q201" s="2"/>
      <c r="R201" s="2"/>
      <c r="S201" s="2"/>
      <c r="T201" s="2"/>
      <c r="U201" s="2"/>
    </row>
    <row r="202" spans="13:21" x14ac:dyDescent="0.2">
      <c r="M202" s="2"/>
      <c r="N202" s="2"/>
      <c r="O202" s="2"/>
      <c r="P202" s="2"/>
      <c r="Q202" s="2"/>
      <c r="R202" s="2"/>
      <c r="S202" s="2"/>
      <c r="T202" s="2"/>
      <c r="U202" s="2"/>
    </row>
    <row r="203" spans="13:21" x14ac:dyDescent="0.2">
      <c r="M203" s="2"/>
      <c r="N203" s="2"/>
      <c r="O203" s="2"/>
      <c r="P203" s="2"/>
      <c r="Q203" s="2"/>
      <c r="R203" s="2"/>
      <c r="S203" s="2"/>
      <c r="T203" s="2"/>
      <c r="U203" s="2"/>
    </row>
    <row r="204" spans="13:21" x14ac:dyDescent="0.2">
      <c r="M204" s="2"/>
      <c r="N204" s="2"/>
      <c r="O204" s="2"/>
      <c r="P204" s="2"/>
      <c r="Q204" s="2"/>
      <c r="R204" s="2"/>
      <c r="S204" s="2"/>
      <c r="T204" s="2"/>
      <c r="U204" s="2"/>
    </row>
    <row r="205" spans="13:21" x14ac:dyDescent="0.2">
      <c r="M205" s="2"/>
      <c r="N205" s="2"/>
      <c r="O205" s="2"/>
      <c r="P205" s="2"/>
      <c r="Q205" s="2"/>
      <c r="R205" s="2"/>
      <c r="S205" s="2"/>
      <c r="T205" s="2"/>
      <c r="U205" s="2"/>
    </row>
    <row r="206" spans="13:21" x14ac:dyDescent="0.2">
      <c r="M206" s="2"/>
      <c r="N206" s="2"/>
      <c r="O206" s="2"/>
      <c r="P206" s="2"/>
      <c r="Q206" s="2"/>
      <c r="R206" s="2"/>
      <c r="S206" s="2"/>
      <c r="T206" s="2"/>
      <c r="U206" s="2"/>
    </row>
    <row r="207" spans="13:21" x14ac:dyDescent="0.2">
      <c r="M207" s="2"/>
      <c r="N207" s="2"/>
      <c r="O207" s="2"/>
      <c r="P207" s="2"/>
      <c r="Q207" s="2"/>
      <c r="R207" s="2"/>
      <c r="S207" s="2"/>
      <c r="T207" s="2"/>
      <c r="U207" s="2"/>
    </row>
    <row r="208" spans="13:21" x14ac:dyDescent="0.2">
      <c r="M208" s="2"/>
      <c r="N208" s="2"/>
      <c r="O208" s="2"/>
      <c r="P208" s="2"/>
      <c r="Q208" s="2"/>
      <c r="R208" s="2"/>
      <c r="S208" s="2"/>
      <c r="T208" s="2"/>
      <c r="U208" s="2"/>
    </row>
    <row r="209" spans="13:21" x14ac:dyDescent="0.2">
      <c r="M209" s="2"/>
      <c r="N209" s="2"/>
      <c r="O209" s="2"/>
      <c r="P209" s="2"/>
      <c r="Q209" s="2"/>
      <c r="R209" s="2"/>
      <c r="S209" s="2"/>
      <c r="T209" s="2"/>
      <c r="U209" s="2"/>
    </row>
    <row r="210" spans="13:21" x14ac:dyDescent="0.2">
      <c r="M210" s="2"/>
      <c r="N210" s="2"/>
      <c r="O210" s="2"/>
      <c r="P210" s="2"/>
      <c r="Q210" s="2"/>
      <c r="R210" s="2"/>
      <c r="S210" s="2"/>
      <c r="T210" s="2"/>
      <c r="U210" s="2"/>
    </row>
    <row r="211" spans="13:21" x14ac:dyDescent="0.2">
      <c r="M211" s="2"/>
      <c r="N211" s="2"/>
      <c r="O211" s="2"/>
      <c r="P211" s="2"/>
      <c r="Q211" s="2"/>
      <c r="R211" s="2"/>
      <c r="S211" s="2"/>
      <c r="T211" s="2"/>
      <c r="U211" s="2"/>
    </row>
    <row r="212" spans="13:21" x14ac:dyDescent="0.2">
      <c r="M212" s="2"/>
      <c r="N212" s="2"/>
      <c r="O212" s="2"/>
      <c r="P212" s="2"/>
      <c r="Q212" s="2"/>
      <c r="R212" s="2"/>
      <c r="S212" s="2"/>
      <c r="T212" s="2"/>
      <c r="U212" s="2"/>
    </row>
    <row r="213" spans="13:21" x14ac:dyDescent="0.2">
      <c r="M213" s="2"/>
      <c r="N213" s="2"/>
      <c r="O213" s="2"/>
      <c r="P213" s="2"/>
      <c r="Q213" s="2"/>
      <c r="R213" s="2"/>
      <c r="S213" s="2"/>
      <c r="T213" s="2"/>
      <c r="U213" s="2"/>
    </row>
    <row r="214" spans="13:21" x14ac:dyDescent="0.2">
      <c r="M214" s="2"/>
      <c r="N214" s="2"/>
      <c r="O214" s="2"/>
      <c r="P214" s="2"/>
      <c r="Q214" s="2"/>
      <c r="R214" s="2"/>
      <c r="S214" s="2"/>
      <c r="T214" s="2"/>
      <c r="U214" s="2"/>
    </row>
    <row r="215" spans="13:21" x14ac:dyDescent="0.2">
      <c r="M215" s="2"/>
      <c r="N215" s="2"/>
      <c r="O215" s="2"/>
      <c r="P215" s="2"/>
      <c r="Q215" s="2"/>
      <c r="R215" s="2"/>
      <c r="S215" s="2"/>
      <c r="T215" s="2"/>
      <c r="U215" s="2"/>
    </row>
    <row r="216" spans="13:21" x14ac:dyDescent="0.2">
      <c r="M216" s="2"/>
      <c r="N216" s="2"/>
      <c r="O216" s="2"/>
      <c r="P216" s="2"/>
      <c r="Q216" s="2"/>
      <c r="R216" s="2"/>
      <c r="S216" s="2"/>
      <c r="T216" s="2"/>
      <c r="U216" s="2"/>
    </row>
    <row r="217" spans="13:21" x14ac:dyDescent="0.2">
      <c r="M217" s="2"/>
      <c r="N217" s="2"/>
      <c r="O217" s="2"/>
      <c r="P217" s="2"/>
      <c r="Q217" s="2"/>
      <c r="R217" s="2"/>
      <c r="S217" s="2"/>
      <c r="T217" s="2"/>
      <c r="U217" s="2"/>
    </row>
    <row r="218" spans="13:21" x14ac:dyDescent="0.2">
      <c r="M218" s="2"/>
      <c r="N218" s="2"/>
      <c r="O218" s="2"/>
      <c r="P218" s="2"/>
      <c r="Q218" s="2"/>
      <c r="R218" s="2"/>
      <c r="S218" s="2"/>
      <c r="T218" s="2"/>
      <c r="U218" s="2"/>
    </row>
    <row r="219" spans="13:21" x14ac:dyDescent="0.2">
      <c r="M219" s="2"/>
      <c r="N219" s="2"/>
      <c r="O219" s="2"/>
      <c r="P219" s="2"/>
      <c r="Q219" s="2"/>
      <c r="R219" s="2"/>
      <c r="S219" s="2"/>
      <c r="T219" s="2"/>
      <c r="U219" s="2"/>
    </row>
    <row r="220" spans="13:21" x14ac:dyDescent="0.2">
      <c r="M220" s="2"/>
      <c r="N220" s="2"/>
      <c r="O220" s="2"/>
      <c r="P220" s="2"/>
      <c r="Q220" s="2"/>
      <c r="R220" s="2"/>
      <c r="S220" s="2"/>
      <c r="T220" s="2"/>
      <c r="U220" s="2"/>
    </row>
    <row r="221" spans="13:21" x14ac:dyDescent="0.2">
      <c r="M221" s="2"/>
      <c r="N221" s="2"/>
      <c r="O221" s="2"/>
      <c r="P221" s="2"/>
      <c r="Q221" s="2"/>
      <c r="R221" s="2"/>
      <c r="S221" s="2"/>
      <c r="T221" s="2"/>
      <c r="U221" s="2"/>
    </row>
    <row r="222" spans="13:21" x14ac:dyDescent="0.2">
      <c r="M222" s="2"/>
      <c r="N222" s="2"/>
      <c r="O222" s="2"/>
      <c r="P222" s="2"/>
      <c r="Q222" s="2"/>
      <c r="R222" s="2"/>
      <c r="S222" s="2"/>
      <c r="T222" s="2"/>
      <c r="U222" s="2"/>
    </row>
    <row r="223" spans="13:21" x14ac:dyDescent="0.2">
      <c r="M223" s="2"/>
      <c r="N223" s="2"/>
      <c r="O223" s="2"/>
      <c r="P223" s="2"/>
      <c r="Q223" s="2"/>
      <c r="R223" s="2"/>
      <c r="S223" s="2"/>
      <c r="T223" s="2"/>
      <c r="U223" s="2"/>
    </row>
    <row r="224" spans="13:21" x14ac:dyDescent="0.2">
      <c r="M224" s="2"/>
      <c r="N224" s="2"/>
      <c r="O224" s="2"/>
      <c r="P224" s="2"/>
      <c r="Q224" s="2"/>
      <c r="R224" s="2"/>
      <c r="S224" s="2"/>
      <c r="T224" s="2"/>
      <c r="U224" s="2"/>
    </row>
    <row r="225" spans="13:21" x14ac:dyDescent="0.2">
      <c r="M225" s="2"/>
      <c r="N225" s="2"/>
      <c r="O225" s="2"/>
      <c r="P225" s="2"/>
      <c r="Q225" s="2"/>
      <c r="R225" s="2"/>
      <c r="S225" s="2"/>
      <c r="T225" s="2"/>
      <c r="U225" s="2"/>
    </row>
    <row r="226" spans="13:21" x14ac:dyDescent="0.2">
      <c r="M226" s="2"/>
      <c r="N226" s="2"/>
      <c r="O226" s="2"/>
      <c r="P226" s="2"/>
      <c r="Q226" s="2"/>
      <c r="R226" s="2"/>
      <c r="S226" s="2"/>
      <c r="T226" s="2"/>
      <c r="U226" s="2"/>
    </row>
    <row r="227" spans="13:21" x14ac:dyDescent="0.2">
      <c r="M227" s="2"/>
      <c r="N227" s="2"/>
      <c r="O227" s="2"/>
      <c r="P227" s="2"/>
      <c r="Q227" s="2"/>
      <c r="R227" s="2"/>
      <c r="S227" s="2"/>
      <c r="T227" s="2"/>
      <c r="U227" s="2"/>
    </row>
    <row r="228" spans="13:21" x14ac:dyDescent="0.2">
      <c r="M228" s="2"/>
      <c r="N228" s="2"/>
      <c r="O228" s="2"/>
      <c r="P228" s="2"/>
      <c r="Q228" s="2"/>
      <c r="R228" s="2"/>
      <c r="S228" s="2"/>
      <c r="T228" s="2"/>
      <c r="U228" s="2"/>
    </row>
    <row r="229" spans="13:21" x14ac:dyDescent="0.2">
      <c r="M229" s="2"/>
      <c r="N229" s="2"/>
      <c r="O229" s="2"/>
      <c r="P229" s="2"/>
      <c r="Q229" s="2"/>
      <c r="R229" s="2"/>
      <c r="S229" s="2"/>
      <c r="T229" s="2"/>
      <c r="U229" s="2"/>
    </row>
    <row r="230" spans="13:21" x14ac:dyDescent="0.2">
      <c r="M230" s="2"/>
      <c r="N230" s="2"/>
      <c r="O230" s="2"/>
      <c r="P230" s="2"/>
      <c r="Q230" s="2"/>
      <c r="R230" s="2"/>
      <c r="S230" s="2"/>
      <c r="T230" s="2"/>
      <c r="U230" s="2"/>
    </row>
    <row r="231" spans="13:21" x14ac:dyDescent="0.2">
      <c r="M231" s="2"/>
      <c r="N231" s="2"/>
      <c r="O231" s="2"/>
      <c r="P231" s="2"/>
      <c r="Q231" s="2"/>
      <c r="R231" s="2"/>
      <c r="S231" s="2"/>
      <c r="T231" s="2"/>
      <c r="U231" s="2"/>
    </row>
    <row r="232" spans="13:21" x14ac:dyDescent="0.2">
      <c r="M232" s="2"/>
      <c r="N232" s="2"/>
      <c r="O232" s="2"/>
      <c r="P232" s="2"/>
      <c r="Q232" s="2"/>
      <c r="R232" s="2"/>
      <c r="S232" s="2"/>
      <c r="T232" s="2"/>
      <c r="U232" s="2"/>
    </row>
    <row r="233" spans="13:21" x14ac:dyDescent="0.2">
      <c r="M233" s="2"/>
      <c r="N233" s="2"/>
      <c r="O233" s="2"/>
      <c r="P233" s="2"/>
      <c r="Q233" s="2"/>
      <c r="R233" s="2"/>
      <c r="S233" s="2"/>
      <c r="T233" s="2"/>
      <c r="U233" s="2"/>
    </row>
    <row r="234" spans="13:21" x14ac:dyDescent="0.2">
      <c r="M234" s="2"/>
      <c r="N234" s="2"/>
      <c r="O234" s="2"/>
      <c r="P234" s="2"/>
      <c r="Q234" s="2"/>
      <c r="R234" s="2"/>
      <c r="S234" s="2"/>
      <c r="T234" s="2"/>
      <c r="U234" s="2"/>
    </row>
    <row r="235" spans="13:21" x14ac:dyDescent="0.2">
      <c r="M235" s="2"/>
      <c r="N235" s="2"/>
      <c r="O235" s="2"/>
      <c r="P235" s="2"/>
      <c r="Q235" s="2"/>
      <c r="R235" s="2"/>
      <c r="S235" s="2"/>
      <c r="T235" s="2"/>
      <c r="U235" s="2"/>
    </row>
    <row r="236" spans="13:21" x14ac:dyDescent="0.2">
      <c r="M236" s="2"/>
      <c r="N236" s="2"/>
      <c r="O236" s="2"/>
      <c r="P236" s="2"/>
      <c r="Q236" s="2"/>
      <c r="R236" s="2"/>
      <c r="S236" s="2"/>
      <c r="T236" s="2"/>
      <c r="U236" s="2"/>
    </row>
    <row r="237" spans="13:21" x14ac:dyDescent="0.2">
      <c r="M237" s="2"/>
      <c r="N237" s="2"/>
      <c r="O237" s="2"/>
      <c r="P237" s="2"/>
      <c r="Q237" s="2"/>
      <c r="R237" s="2"/>
      <c r="S237" s="2"/>
      <c r="T237" s="2"/>
      <c r="U237" s="2"/>
    </row>
    <row r="238" spans="13:21" x14ac:dyDescent="0.2">
      <c r="M238" s="2"/>
      <c r="N238" s="2"/>
      <c r="O238" s="2"/>
      <c r="P238" s="2"/>
      <c r="Q238" s="2"/>
      <c r="R238" s="2"/>
      <c r="S238" s="2"/>
      <c r="T238" s="2"/>
      <c r="U238" s="2"/>
    </row>
    <row r="239" spans="13:21" x14ac:dyDescent="0.2">
      <c r="M239" s="2"/>
      <c r="N239" s="2"/>
      <c r="O239" s="2"/>
      <c r="P239" s="2"/>
      <c r="Q239" s="2"/>
      <c r="R239" s="2"/>
      <c r="S239" s="2"/>
      <c r="T239" s="2"/>
      <c r="U239" s="2"/>
    </row>
    <row r="240" spans="13:21" x14ac:dyDescent="0.2">
      <c r="M240" s="2"/>
      <c r="N240" s="2"/>
      <c r="O240" s="2"/>
      <c r="P240" s="2"/>
      <c r="Q240" s="2"/>
      <c r="R240" s="2"/>
      <c r="S240" s="2"/>
      <c r="T240" s="2"/>
      <c r="U240" s="2"/>
    </row>
    <row r="241" spans="13:21" x14ac:dyDescent="0.2">
      <c r="M241" s="2"/>
      <c r="N241" s="2"/>
      <c r="O241" s="2"/>
      <c r="P241" s="2"/>
      <c r="Q241" s="2"/>
      <c r="R241" s="2"/>
      <c r="S241" s="2"/>
      <c r="T241" s="2"/>
      <c r="U241" s="2"/>
    </row>
    <row r="242" spans="13:21" x14ac:dyDescent="0.2">
      <c r="M242" s="2"/>
      <c r="N242" s="2"/>
      <c r="O242" s="2"/>
      <c r="P242" s="2"/>
      <c r="Q242" s="2"/>
      <c r="R242" s="2"/>
      <c r="S242" s="2"/>
      <c r="T242" s="2"/>
      <c r="U242" s="2"/>
    </row>
    <row r="243" spans="13:21" x14ac:dyDescent="0.2">
      <c r="M243" s="2"/>
      <c r="N243" s="2"/>
      <c r="O243" s="2"/>
      <c r="P243" s="2"/>
      <c r="Q243" s="2"/>
      <c r="R243" s="2"/>
      <c r="S243" s="2"/>
      <c r="T243" s="2"/>
      <c r="U243" s="2"/>
    </row>
    <row r="244" spans="13:21" x14ac:dyDescent="0.2">
      <c r="M244" s="2"/>
      <c r="N244" s="2"/>
      <c r="O244" s="2"/>
      <c r="P244" s="2"/>
      <c r="Q244" s="2"/>
      <c r="R244" s="2"/>
      <c r="S244" s="2"/>
      <c r="T244" s="2"/>
      <c r="U244" s="2"/>
    </row>
    <row r="245" spans="13:21" x14ac:dyDescent="0.2">
      <c r="M245" s="2"/>
      <c r="N245" s="2"/>
      <c r="O245" s="2"/>
      <c r="P245" s="2"/>
      <c r="Q245" s="2"/>
      <c r="R245" s="2"/>
      <c r="S245" s="2"/>
      <c r="T245" s="2"/>
      <c r="U245" s="2"/>
    </row>
    <row r="246" spans="13:21" x14ac:dyDescent="0.2">
      <c r="M246" s="2"/>
      <c r="N246" s="2"/>
      <c r="O246" s="2"/>
      <c r="P246" s="2"/>
      <c r="Q246" s="2"/>
      <c r="R246" s="2"/>
      <c r="S246" s="2"/>
      <c r="T246" s="2"/>
      <c r="U246" s="2"/>
    </row>
    <row r="247" spans="13:21" x14ac:dyDescent="0.2">
      <c r="M247" s="2"/>
      <c r="N247" s="2"/>
      <c r="O247" s="2"/>
      <c r="P247" s="2"/>
      <c r="Q247" s="2"/>
      <c r="R247" s="2"/>
      <c r="S247" s="2"/>
      <c r="T247" s="2"/>
      <c r="U247" s="2"/>
    </row>
    <row r="248" spans="13:21" x14ac:dyDescent="0.2">
      <c r="M248" s="2"/>
      <c r="N248" s="2"/>
      <c r="O248" s="2"/>
      <c r="P248" s="2"/>
      <c r="Q248" s="2"/>
      <c r="R248" s="2"/>
      <c r="S248" s="2"/>
      <c r="T248" s="2"/>
      <c r="U248" s="2"/>
    </row>
    <row r="249" spans="13:21" x14ac:dyDescent="0.2">
      <c r="M249" s="2"/>
      <c r="N249" s="2"/>
      <c r="O249" s="2"/>
      <c r="P249" s="2"/>
      <c r="Q249" s="2"/>
      <c r="R249" s="2"/>
      <c r="S249" s="2"/>
      <c r="T249" s="2"/>
      <c r="U249" s="2"/>
    </row>
    <row r="250" spans="13:21" x14ac:dyDescent="0.2">
      <c r="M250" s="2"/>
      <c r="N250" s="2"/>
      <c r="O250" s="2"/>
      <c r="P250" s="2"/>
      <c r="Q250" s="2"/>
      <c r="R250" s="2"/>
      <c r="S250" s="2"/>
      <c r="T250" s="2"/>
      <c r="U250" s="2"/>
    </row>
    <row r="251" spans="13:21" x14ac:dyDescent="0.2">
      <c r="M251" s="2"/>
      <c r="N251" s="2"/>
      <c r="O251" s="2"/>
      <c r="P251" s="2"/>
      <c r="Q251" s="2"/>
      <c r="R251" s="2"/>
      <c r="S251" s="2"/>
      <c r="T251" s="2"/>
      <c r="U251" s="2"/>
    </row>
    <row r="252" spans="13:21" x14ac:dyDescent="0.2">
      <c r="M252" s="2"/>
      <c r="N252" s="2"/>
      <c r="O252" s="2"/>
      <c r="P252" s="2"/>
      <c r="Q252" s="2"/>
      <c r="R252" s="2"/>
      <c r="S252" s="2"/>
      <c r="T252" s="2"/>
      <c r="U252" s="2"/>
    </row>
    <row r="253" spans="13:21" x14ac:dyDescent="0.2">
      <c r="M253" s="2"/>
      <c r="N253" s="2"/>
      <c r="O253" s="2"/>
      <c r="P253" s="2"/>
      <c r="Q253" s="2"/>
      <c r="R253" s="2"/>
      <c r="S253" s="2"/>
      <c r="T253" s="2"/>
      <c r="U253" s="2"/>
    </row>
    <row r="254" spans="13:21" x14ac:dyDescent="0.2">
      <c r="M254" s="2"/>
      <c r="N254" s="2"/>
      <c r="O254" s="2"/>
      <c r="P254" s="2"/>
      <c r="Q254" s="2"/>
      <c r="R254" s="2"/>
      <c r="S254" s="2"/>
      <c r="T254" s="2"/>
      <c r="U254" s="2"/>
    </row>
    <row r="255" spans="13:21" x14ac:dyDescent="0.2">
      <c r="M255" s="2"/>
      <c r="N255" s="2"/>
      <c r="O255" s="2"/>
      <c r="P255" s="2"/>
      <c r="Q255" s="2"/>
      <c r="R255" s="2"/>
      <c r="S255" s="2"/>
      <c r="T255" s="2"/>
      <c r="U255" s="2"/>
    </row>
    <row r="256" spans="13:21" x14ac:dyDescent="0.2">
      <c r="M256" s="2"/>
      <c r="N256" s="2"/>
      <c r="O256" s="2"/>
      <c r="P256" s="2"/>
      <c r="Q256" s="2"/>
      <c r="R256" s="2"/>
      <c r="S256" s="2"/>
      <c r="T256" s="2"/>
      <c r="U256" s="2"/>
    </row>
    <row r="257" spans="13:21" x14ac:dyDescent="0.2">
      <c r="M257" s="2"/>
      <c r="N257" s="2"/>
      <c r="O257" s="2"/>
      <c r="P257" s="2"/>
      <c r="Q257" s="2"/>
      <c r="R257" s="2"/>
      <c r="S257" s="2"/>
      <c r="T257" s="2"/>
      <c r="U257" s="2"/>
    </row>
    <row r="258" spans="13:21" x14ac:dyDescent="0.2">
      <c r="M258" s="2"/>
      <c r="N258" s="2"/>
      <c r="O258" s="2"/>
      <c r="P258" s="2"/>
      <c r="Q258" s="2"/>
      <c r="R258" s="2"/>
      <c r="S258" s="2"/>
      <c r="T258" s="2"/>
      <c r="U258" s="2"/>
    </row>
    <row r="259" spans="13:21" x14ac:dyDescent="0.2">
      <c r="M259" s="2"/>
      <c r="N259" s="2"/>
      <c r="O259" s="2"/>
      <c r="P259" s="2"/>
      <c r="Q259" s="2"/>
      <c r="R259" s="2"/>
      <c r="S259" s="2"/>
      <c r="T259" s="2"/>
      <c r="U259" s="2"/>
    </row>
    <row r="260" spans="13:21" x14ac:dyDescent="0.2">
      <c r="M260" s="2"/>
      <c r="N260" s="2"/>
      <c r="O260" s="2"/>
      <c r="P260" s="2"/>
      <c r="Q260" s="2"/>
      <c r="R260" s="2"/>
      <c r="S260" s="2"/>
      <c r="T260" s="2"/>
      <c r="U260" s="2"/>
    </row>
    <row r="261" spans="13:21" x14ac:dyDescent="0.2">
      <c r="M261" s="2"/>
      <c r="N261" s="2"/>
      <c r="O261" s="2"/>
      <c r="P261" s="2"/>
      <c r="Q261" s="2"/>
      <c r="R261" s="2"/>
      <c r="S261" s="2"/>
      <c r="T261" s="2"/>
      <c r="U261" s="2"/>
    </row>
    <row r="262" spans="13:21" x14ac:dyDescent="0.2">
      <c r="M262" s="2"/>
      <c r="N262" s="2"/>
      <c r="O262" s="2"/>
      <c r="P262" s="2"/>
      <c r="Q262" s="2"/>
      <c r="R262" s="2"/>
      <c r="S262" s="2"/>
      <c r="T262" s="2"/>
      <c r="U262" s="2"/>
    </row>
    <row r="263" spans="13:21" x14ac:dyDescent="0.2">
      <c r="M263" s="2"/>
      <c r="N263" s="2"/>
      <c r="O263" s="2"/>
      <c r="P263" s="2"/>
      <c r="Q263" s="2"/>
      <c r="R263" s="2"/>
      <c r="S263" s="2"/>
      <c r="T263" s="2"/>
      <c r="U263" s="2"/>
    </row>
    <row r="264" spans="13:21" x14ac:dyDescent="0.2">
      <c r="M264" s="2"/>
      <c r="N264" s="2"/>
      <c r="O264" s="2"/>
      <c r="P264" s="2"/>
      <c r="Q264" s="2"/>
      <c r="R264" s="2"/>
      <c r="S264" s="2"/>
      <c r="T264" s="2"/>
      <c r="U264" s="2"/>
    </row>
    <row r="265" spans="13:21" x14ac:dyDescent="0.2">
      <c r="M265" s="2"/>
      <c r="N265" s="2"/>
      <c r="O265" s="2"/>
      <c r="P265" s="2"/>
      <c r="Q265" s="2"/>
      <c r="R265" s="2"/>
      <c r="S265" s="2"/>
      <c r="T265" s="2"/>
      <c r="U265" s="2"/>
    </row>
    <row r="266" spans="13:21" x14ac:dyDescent="0.2">
      <c r="M266" s="2"/>
      <c r="N266" s="2"/>
      <c r="O266" s="2"/>
      <c r="P266" s="2"/>
      <c r="Q266" s="2"/>
      <c r="R266" s="2"/>
      <c r="S266" s="2"/>
      <c r="T266" s="2"/>
      <c r="U266" s="2"/>
    </row>
    <row r="267" spans="13:21" x14ac:dyDescent="0.2">
      <c r="M267" s="2"/>
      <c r="N267" s="2"/>
      <c r="O267" s="2"/>
      <c r="P267" s="2"/>
      <c r="Q267" s="2"/>
      <c r="R267" s="2"/>
      <c r="S267" s="2"/>
      <c r="T267" s="2"/>
      <c r="U267" s="2"/>
    </row>
    <row r="268" spans="13:21" x14ac:dyDescent="0.2">
      <c r="M268" s="2"/>
      <c r="N268" s="2"/>
      <c r="O268" s="2"/>
      <c r="P268" s="2"/>
      <c r="Q268" s="2"/>
      <c r="R268" s="2"/>
      <c r="S268" s="2"/>
      <c r="T268" s="2"/>
      <c r="U268" s="2"/>
    </row>
    <row r="269" spans="13:21" x14ac:dyDescent="0.2">
      <c r="M269" s="2"/>
      <c r="N269" s="2"/>
      <c r="O269" s="2"/>
      <c r="P269" s="2"/>
      <c r="Q269" s="2"/>
      <c r="R269" s="2"/>
      <c r="S269" s="2"/>
      <c r="T269" s="2"/>
      <c r="U269" s="2"/>
    </row>
    <row r="270" spans="13:21" x14ac:dyDescent="0.2">
      <c r="M270" s="2"/>
      <c r="N270" s="2"/>
      <c r="O270" s="2"/>
      <c r="P270" s="2"/>
      <c r="Q270" s="2"/>
      <c r="R270" s="2"/>
      <c r="S270" s="2"/>
      <c r="T270" s="2"/>
      <c r="U270" s="2"/>
    </row>
    <row r="271" spans="13:21" x14ac:dyDescent="0.2">
      <c r="M271" s="2"/>
      <c r="N271" s="2"/>
      <c r="O271" s="2"/>
      <c r="P271" s="2"/>
      <c r="Q271" s="2"/>
      <c r="R271" s="2"/>
      <c r="S271" s="2"/>
      <c r="T271" s="2"/>
      <c r="U271" s="2"/>
    </row>
    <row r="272" spans="13:21" x14ac:dyDescent="0.2">
      <c r="M272" s="2"/>
      <c r="N272" s="2"/>
      <c r="O272" s="2"/>
      <c r="P272" s="2"/>
      <c r="Q272" s="2"/>
      <c r="R272" s="2"/>
      <c r="S272" s="2"/>
      <c r="T272" s="2"/>
      <c r="U272" s="2"/>
    </row>
    <row r="273" spans="13:21" x14ac:dyDescent="0.2">
      <c r="M273" s="2"/>
      <c r="N273" s="2"/>
      <c r="O273" s="2"/>
      <c r="P273" s="2"/>
      <c r="Q273" s="2"/>
      <c r="R273" s="2"/>
      <c r="S273" s="2"/>
      <c r="T273" s="2"/>
      <c r="U273" s="2"/>
    </row>
    <row r="274" spans="13:21" x14ac:dyDescent="0.2">
      <c r="M274" s="2"/>
      <c r="N274" s="2"/>
      <c r="O274" s="2"/>
      <c r="P274" s="2"/>
      <c r="Q274" s="2"/>
      <c r="R274" s="2"/>
      <c r="S274" s="2"/>
      <c r="T274" s="2"/>
      <c r="U274" s="2"/>
    </row>
    <row r="275" spans="13:21" x14ac:dyDescent="0.2">
      <c r="M275" s="2"/>
      <c r="N275" s="2"/>
      <c r="O275" s="2"/>
      <c r="P275" s="2"/>
      <c r="Q275" s="2"/>
      <c r="R275" s="2"/>
      <c r="S275" s="2"/>
      <c r="T275" s="2"/>
      <c r="U275" s="2"/>
    </row>
    <row r="276" spans="13:21" x14ac:dyDescent="0.2">
      <c r="M276" s="2"/>
      <c r="N276" s="2"/>
      <c r="O276" s="2"/>
      <c r="P276" s="2"/>
      <c r="Q276" s="2"/>
      <c r="R276" s="2"/>
      <c r="S276" s="2"/>
      <c r="T276" s="2"/>
      <c r="U276" s="2"/>
    </row>
    <row r="277" spans="13:21" x14ac:dyDescent="0.2">
      <c r="M277" s="2"/>
      <c r="N277" s="2"/>
      <c r="O277" s="2"/>
      <c r="P277" s="2"/>
      <c r="Q277" s="2"/>
      <c r="R277" s="2"/>
      <c r="S277" s="2"/>
      <c r="T277" s="2"/>
      <c r="U277" s="2"/>
    </row>
    <row r="278" spans="13:21" x14ac:dyDescent="0.2">
      <c r="M278" s="2"/>
      <c r="N278" s="2"/>
      <c r="O278" s="2"/>
      <c r="P278" s="2"/>
      <c r="Q278" s="2"/>
      <c r="R278" s="2"/>
      <c r="S278" s="2"/>
      <c r="T278" s="2"/>
      <c r="U278" s="2"/>
    </row>
    <row r="279" spans="13:21" x14ac:dyDescent="0.2">
      <c r="M279" s="2"/>
      <c r="N279" s="2"/>
      <c r="O279" s="2"/>
      <c r="P279" s="2"/>
      <c r="Q279" s="2"/>
      <c r="R279" s="2"/>
      <c r="S279" s="2"/>
      <c r="T279" s="2"/>
      <c r="U279" s="2"/>
    </row>
    <row r="280" spans="13:21" x14ac:dyDescent="0.2">
      <c r="M280" s="2"/>
      <c r="N280" s="2"/>
      <c r="O280" s="2"/>
      <c r="P280" s="2"/>
      <c r="Q280" s="2"/>
      <c r="R280" s="2"/>
      <c r="S280" s="2"/>
      <c r="T280" s="2"/>
      <c r="U280" s="2"/>
    </row>
    <row r="281" spans="13:21" x14ac:dyDescent="0.2">
      <c r="M281" s="2"/>
      <c r="N281" s="2"/>
      <c r="O281" s="2"/>
      <c r="P281" s="2"/>
      <c r="Q281" s="2"/>
      <c r="R281" s="2"/>
      <c r="S281" s="2"/>
      <c r="T281" s="2"/>
      <c r="U281" s="2"/>
    </row>
    <row r="282" spans="13:21" x14ac:dyDescent="0.2">
      <c r="M282" s="2"/>
      <c r="N282" s="2"/>
      <c r="O282" s="2"/>
      <c r="P282" s="2"/>
      <c r="Q282" s="2"/>
      <c r="R282" s="2"/>
      <c r="S282" s="2"/>
      <c r="T282" s="2"/>
      <c r="U282" s="2"/>
    </row>
    <row r="283" spans="13:21" x14ac:dyDescent="0.2">
      <c r="M283" s="2"/>
      <c r="N283" s="2"/>
      <c r="O283" s="2"/>
      <c r="P283" s="2"/>
      <c r="Q283" s="2"/>
      <c r="R283" s="2"/>
      <c r="S283" s="2"/>
      <c r="T283" s="2"/>
      <c r="U283" s="2"/>
    </row>
    <row r="284" spans="13:21" x14ac:dyDescent="0.2">
      <c r="M284" s="2"/>
      <c r="N284" s="2"/>
      <c r="O284" s="2"/>
      <c r="P284" s="2"/>
      <c r="Q284" s="2"/>
      <c r="R284" s="2"/>
      <c r="S284" s="2"/>
      <c r="T284" s="2"/>
      <c r="U284" s="2"/>
    </row>
    <row r="285" spans="13:21" x14ac:dyDescent="0.2">
      <c r="M285" s="2"/>
      <c r="N285" s="2"/>
      <c r="O285" s="2"/>
      <c r="P285" s="2"/>
      <c r="Q285" s="2"/>
      <c r="R285" s="2"/>
      <c r="S285" s="2"/>
      <c r="T285" s="2"/>
      <c r="U285" s="2"/>
    </row>
    <row r="286" spans="13:21" x14ac:dyDescent="0.2">
      <c r="M286" s="2"/>
      <c r="N286" s="2"/>
      <c r="O286" s="2"/>
      <c r="P286" s="2"/>
      <c r="Q286" s="2"/>
      <c r="R286" s="2"/>
      <c r="S286" s="2"/>
      <c r="T286" s="2"/>
      <c r="U286" s="2"/>
    </row>
    <row r="287" spans="13:21" x14ac:dyDescent="0.2">
      <c r="M287" s="2"/>
      <c r="N287" s="2"/>
      <c r="O287" s="2"/>
      <c r="P287" s="2"/>
      <c r="Q287" s="2"/>
      <c r="R287" s="2"/>
      <c r="S287" s="2"/>
      <c r="T287" s="2"/>
      <c r="U287" s="2"/>
    </row>
    <row r="288" spans="13:21" x14ac:dyDescent="0.2">
      <c r="M288" s="2"/>
      <c r="N288" s="2"/>
      <c r="O288" s="2"/>
      <c r="P288" s="2"/>
      <c r="Q288" s="2"/>
      <c r="R288" s="2"/>
      <c r="S288" s="2"/>
      <c r="T288" s="2"/>
      <c r="U288" s="2"/>
    </row>
    <row r="289" spans="13:21" x14ac:dyDescent="0.2">
      <c r="M289" s="2"/>
      <c r="N289" s="2"/>
      <c r="O289" s="2"/>
      <c r="P289" s="2"/>
      <c r="Q289" s="2"/>
      <c r="R289" s="2"/>
      <c r="S289" s="2"/>
      <c r="T289" s="2"/>
      <c r="U289" s="2"/>
    </row>
    <row r="290" spans="13:21" x14ac:dyDescent="0.2">
      <c r="M290" s="2"/>
      <c r="N290" s="2"/>
      <c r="O290" s="2"/>
      <c r="P290" s="2"/>
      <c r="Q290" s="2"/>
      <c r="R290" s="2"/>
      <c r="S290" s="2"/>
      <c r="T290" s="2"/>
      <c r="U290" s="2"/>
    </row>
    <row r="291" spans="13:21" x14ac:dyDescent="0.2">
      <c r="M291" s="2"/>
      <c r="N291" s="2"/>
      <c r="O291" s="2"/>
      <c r="P291" s="2"/>
      <c r="Q291" s="2"/>
      <c r="R291" s="2"/>
      <c r="S291" s="2"/>
      <c r="T291" s="2"/>
      <c r="U291" s="2"/>
    </row>
    <row r="292" spans="13:21" x14ac:dyDescent="0.2">
      <c r="M292" s="2"/>
      <c r="N292" s="2"/>
      <c r="O292" s="2"/>
      <c r="P292" s="2"/>
      <c r="Q292" s="2"/>
      <c r="R292" s="2"/>
      <c r="S292" s="2"/>
      <c r="T292" s="2"/>
      <c r="U292" s="2"/>
    </row>
    <row r="293" spans="13:21" x14ac:dyDescent="0.2">
      <c r="M293" s="2"/>
      <c r="N293" s="2"/>
      <c r="O293" s="2"/>
      <c r="P293" s="2"/>
      <c r="Q293" s="2"/>
      <c r="R293" s="2"/>
      <c r="S293" s="2"/>
      <c r="T293" s="2"/>
      <c r="U293" s="2"/>
    </row>
    <row r="294" spans="13:21" x14ac:dyDescent="0.2">
      <c r="M294" s="2"/>
      <c r="N294" s="2"/>
      <c r="O294" s="2"/>
      <c r="P294" s="2"/>
      <c r="Q294" s="2"/>
      <c r="R294" s="2"/>
      <c r="S294" s="2"/>
      <c r="T294" s="2"/>
      <c r="U294" s="2"/>
    </row>
    <row r="295" spans="13:21" x14ac:dyDescent="0.2">
      <c r="M295" s="2"/>
      <c r="N295" s="2"/>
      <c r="O295" s="2"/>
      <c r="P295" s="2"/>
      <c r="Q295" s="2"/>
      <c r="R295" s="2"/>
      <c r="S295" s="2"/>
      <c r="T295" s="2"/>
      <c r="U295" s="2"/>
    </row>
    <row r="296" spans="13:21" x14ac:dyDescent="0.2">
      <c r="M296" s="2"/>
      <c r="N296" s="2"/>
      <c r="O296" s="2"/>
      <c r="P296" s="2"/>
      <c r="Q296" s="2"/>
      <c r="R296" s="2"/>
      <c r="S296" s="2"/>
      <c r="T296" s="2"/>
      <c r="U296" s="2"/>
    </row>
    <row r="297" spans="13:21" x14ac:dyDescent="0.2">
      <c r="M297" s="2"/>
      <c r="N297" s="2"/>
      <c r="O297" s="2"/>
      <c r="P297" s="2"/>
      <c r="Q297" s="2"/>
      <c r="R297" s="2"/>
      <c r="S297" s="2"/>
      <c r="T297" s="2"/>
      <c r="U297" s="2"/>
    </row>
    <row r="298" spans="13:21" x14ac:dyDescent="0.2">
      <c r="M298" s="2"/>
      <c r="N298" s="2"/>
      <c r="O298" s="2"/>
      <c r="P298" s="2"/>
      <c r="Q298" s="2"/>
      <c r="R298" s="2"/>
      <c r="S298" s="2"/>
      <c r="T298" s="2"/>
      <c r="U298" s="2"/>
    </row>
    <row r="299" spans="13:21" x14ac:dyDescent="0.2">
      <c r="M299" s="2"/>
      <c r="N299" s="2"/>
      <c r="O299" s="2"/>
      <c r="P299" s="2"/>
      <c r="Q299" s="2"/>
      <c r="R299" s="2"/>
      <c r="S299" s="2"/>
      <c r="T299" s="2"/>
      <c r="U299" s="2"/>
    </row>
    <row r="300" spans="13:21" x14ac:dyDescent="0.2">
      <c r="M300" s="2"/>
      <c r="N300" s="2"/>
      <c r="O300" s="2"/>
      <c r="P300" s="2"/>
      <c r="Q300" s="2"/>
      <c r="R300" s="2"/>
      <c r="S300" s="2"/>
      <c r="T300" s="2"/>
      <c r="U300" s="2"/>
    </row>
    <row r="301" spans="13:21" x14ac:dyDescent="0.2">
      <c r="M301" s="2"/>
      <c r="N301" s="2"/>
      <c r="O301" s="2"/>
      <c r="P301" s="2"/>
      <c r="Q301" s="2"/>
      <c r="R301" s="2"/>
      <c r="S301" s="2"/>
      <c r="T301" s="2"/>
      <c r="U301" s="2"/>
    </row>
    <row r="302" spans="13:21" x14ac:dyDescent="0.2">
      <c r="M302" s="2"/>
      <c r="N302" s="2"/>
      <c r="O302" s="2"/>
      <c r="P302" s="2"/>
      <c r="Q302" s="2"/>
      <c r="R302" s="2"/>
      <c r="S302" s="2"/>
      <c r="T302" s="2"/>
      <c r="U302" s="2"/>
    </row>
    <row r="303" spans="13:21" x14ac:dyDescent="0.2">
      <c r="M303" s="2"/>
      <c r="N303" s="2"/>
      <c r="O303" s="2"/>
      <c r="P303" s="2"/>
      <c r="Q303" s="2"/>
      <c r="R303" s="2"/>
      <c r="S303" s="2"/>
      <c r="T303" s="2"/>
      <c r="U303" s="2"/>
    </row>
    <row r="304" spans="13:21" x14ac:dyDescent="0.2">
      <c r="M304" s="2"/>
      <c r="N304" s="2"/>
      <c r="O304" s="2"/>
      <c r="P304" s="2"/>
      <c r="Q304" s="2"/>
      <c r="R304" s="2"/>
      <c r="S304" s="2"/>
      <c r="T304" s="2"/>
      <c r="U304" s="2"/>
    </row>
    <row r="305" spans="13:21" x14ac:dyDescent="0.2">
      <c r="M305" s="2"/>
      <c r="N305" s="2"/>
      <c r="O305" s="2"/>
      <c r="P305" s="2"/>
      <c r="Q305" s="2"/>
      <c r="R305" s="2"/>
      <c r="S305" s="2"/>
      <c r="T305" s="2"/>
      <c r="U305" s="2"/>
    </row>
    <row r="306" spans="13:21" x14ac:dyDescent="0.2">
      <c r="M306" s="2"/>
      <c r="N306" s="2"/>
      <c r="O306" s="2"/>
      <c r="P306" s="2"/>
      <c r="Q306" s="2"/>
      <c r="R306" s="2"/>
      <c r="S306" s="2"/>
      <c r="T306" s="2"/>
      <c r="U306" s="2"/>
    </row>
    <row r="307" spans="13:21" x14ac:dyDescent="0.2">
      <c r="M307" s="2"/>
      <c r="N307" s="2"/>
      <c r="O307" s="2"/>
      <c r="P307" s="2"/>
      <c r="Q307" s="2"/>
      <c r="R307" s="2"/>
      <c r="S307" s="2"/>
      <c r="T307" s="2"/>
      <c r="U307" s="2"/>
    </row>
    <row r="308" spans="13:21" x14ac:dyDescent="0.2">
      <c r="M308" s="2"/>
      <c r="N308" s="2"/>
      <c r="O308" s="2"/>
      <c r="P308" s="2"/>
      <c r="Q308" s="2"/>
      <c r="R308" s="2"/>
      <c r="S308" s="2"/>
      <c r="T308" s="2"/>
      <c r="U308" s="2"/>
    </row>
    <row r="309" spans="13:21" x14ac:dyDescent="0.2">
      <c r="M309" s="2"/>
      <c r="N309" s="2"/>
      <c r="O309" s="2"/>
      <c r="P309" s="2"/>
      <c r="Q309" s="2"/>
      <c r="R309" s="2"/>
      <c r="S309" s="2"/>
      <c r="T309" s="2"/>
      <c r="U309" s="2"/>
    </row>
    <row r="310" spans="13:21" x14ac:dyDescent="0.2">
      <c r="M310" s="2"/>
      <c r="N310" s="2"/>
      <c r="O310" s="2"/>
      <c r="P310" s="2"/>
      <c r="Q310" s="2"/>
      <c r="R310" s="2"/>
      <c r="S310" s="2"/>
      <c r="T310" s="2"/>
      <c r="U310" s="2"/>
    </row>
    <row r="311" spans="13:21" x14ac:dyDescent="0.2">
      <c r="M311" s="2"/>
      <c r="N311" s="2"/>
      <c r="O311" s="2"/>
      <c r="P311" s="2"/>
      <c r="Q311" s="2"/>
      <c r="R311" s="2"/>
      <c r="S311" s="2"/>
      <c r="T311" s="2"/>
      <c r="U311" s="2"/>
    </row>
    <row r="312" spans="13:21" x14ac:dyDescent="0.2">
      <c r="M312" s="2"/>
      <c r="N312" s="2"/>
      <c r="O312" s="2"/>
      <c r="P312" s="2"/>
      <c r="Q312" s="2"/>
      <c r="R312" s="2"/>
      <c r="S312" s="2"/>
      <c r="T312" s="2"/>
      <c r="U312" s="2"/>
    </row>
    <row r="313" spans="13:21" x14ac:dyDescent="0.2">
      <c r="M313" s="2"/>
      <c r="N313" s="2"/>
      <c r="O313" s="2"/>
      <c r="P313" s="2"/>
      <c r="Q313" s="2"/>
      <c r="R313" s="2"/>
      <c r="S313" s="2"/>
      <c r="T313" s="2"/>
      <c r="U313" s="2"/>
    </row>
    <row r="314" spans="13:21" x14ac:dyDescent="0.2">
      <c r="M314" s="2"/>
      <c r="N314" s="2"/>
      <c r="O314" s="2"/>
      <c r="P314" s="2"/>
      <c r="Q314" s="2"/>
      <c r="R314" s="2"/>
      <c r="S314" s="2"/>
      <c r="T314" s="2"/>
      <c r="U314" s="2"/>
    </row>
    <row r="315" spans="13:21" x14ac:dyDescent="0.2">
      <c r="M315" s="2"/>
      <c r="N315" s="2"/>
      <c r="O315" s="2"/>
      <c r="P315" s="2"/>
      <c r="Q315" s="2"/>
      <c r="R315" s="2"/>
      <c r="S315" s="2"/>
      <c r="T315" s="2"/>
      <c r="U315" s="2"/>
    </row>
    <row r="316" spans="13:21" x14ac:dyDescent="0.2">
      <c r="M316" s="2"/>
      <c r="N316" s="2"/>
      <c r="O316" s="2"/>
      <c r="P316" s="2"/>
      <c r="Q316" s="2"/>
      <c r="R316" s="2"/>
      <c r="S316" s="2"/>
      <c r="T316" s="2"/>
      <c r="U316" s="2"/>
    </row>
    <row r="317" spans="13:21" x14ac:dyDescent="0.2">
      <c r="M317" s="2"/>
      <c r="N317" s="2"/>
      <c r="O317" s="2"/>
      <c r="P317" s="2"/>
      <c r="Q317" s="2"/>
      <c r="R317" s="2"/>
      <c r="S317" s="2"/>
      <c r="T317" s="2"/>
      <c r="U317" s="2"/>
    </row>
    <row r="318" spans="13:21" x14ac:dyDescent="0.2">
      <c r="M318" s="2"/>
      <c r="N318" s="2"/>
      <c r="O318" s="2"/>
      <c r="P318" s="2"/>
      <c r="Q318" s="2"/>
      <c r="R318" s="2"/>
      <c r="S318" s="2"/>
      <c r="T318" s="2"/>
      <c r="U318" s="2"/>
    </row>
    <row r="319" spans="13:21" x14ac:dyDescent="0.2">
      <c r="M319" s="2"/>
      <c r="N319" s="2"/>
      <c r="O319" s="2"/>
      <c r="P319" s="2"/>
      <c r="Q319" s="2"/>
      <c r="R319" s="2"/>
      <c r="S319" s="2"/>
      <c r="T319" s="2"/>
      <c r="U319" s="2"/>
    </row>
    <row r="320" spans="13:21" x14ac:dyDescent="0.2">
      <c r="M320" s="2"/>
      <c r="N320" s="2"/>
      <c r="O320" s="2"/>
      <c r="P320" s="2"/>
      <c r="Q320" s="2"/>
      <c r="R320" s="2"/>
      <c r="S320" s="2"/>
      <c r="T320" s="2"/>
      <c r="U320" s="2"/>
    </row>
    <row r="321" spans="13:21" x14ac:dyDescent="0.2">
      <c r="M321" s="2"/>
      <c r="N321" s="2"/>
      <c r="O321" s="2"/>
      <c r="P321" s="2"/>
      <c r="Q321" s="2"/>
      <c r="R321" s="2"/>
      <c r="S321" s="2"/>
      <c r="T321" s="2"/>
      <c r="U321" s="2"/>
    </row>
    <row r="322" spans="13:21" x14ac:dyDescent="0.2">
      <c r="M322" s="2"/>
      <c r="N322" s="2"/>
      <c r="O322" s="2"/>
      <c r="P322" s="2"/>
      <c r="Q322" s="2"/>
      <c r="R322" s="2"/>
      <c r="S322" s="2"/>
      <c r="T322" s="2"/>
      <c r="U322" s="2"/>
    </row>
    <row r="323" spans="13:21" x14ac:dyDescent="0.2">
      <c r="M323" s="2"/>
      <c r="N323" s="2"/>
      <c r="O323" s="2"/>
      <c r="P323" s="2"/>
      <c r="Q323" s="2"/>
      <c r="R323" s="2"/>
      <c r="S323" s="2"/>
      <c r="T323" s="2"/>
      <c r="U323" s="2"/>
    </row>
    <row r="324" spans="13:21" x14ac:dyDescent="0.2">
      <c r="M324" s="2"/>
      <c r="N324" s="2"/>
      <c r="O324" s="2"/>
      <c r="P324" s="2"/>
      <c r="Q324" s="2"/>
      <c r="R324" s="2"/>
      <c r="S324" s="2"/>
      <c r="T324" s="2"/>
      <c r="U324" s="2"/>
    </row>
    <row r="325" spans="13:21" x14ac:dyDescent="0.2">
      <c r="M325" s="2"/>
      <c r="N325" s="2"/>
      <c r="O325" s="2"/>
      <c r="P325" s="2"/>
      <c r="Q325" s="2"/>
      <c r="R325" s="2"/>
      <c r="S325" s="2"/>
      <c r="T325" s="2"/>
      <c r="U325" s="2"/>
    </row>
    <row r="326" spans="13:21" x14ac:dyDescent="0.2">
      <c r="M326" s="2"/>
      <c r="N326" s="2"/>
      <c r="O326" s="2"/>
      <c r="P326" s="2"/>
      <c r="Q326" s="2"/>
      <c r="R326" s="2"/>
      <c r="S326" s="2"/>
      <c r="T326" s="2"/>
      <c r="U326" s="2"/>
    </row>
    <row r="327" spans="13:21" x14ac:dyDescent="0.2">
      <c r="M327" s="2"/>
      <c r="N327" s="2"/>
      <c r="O327" s="2"/>
      <c r="P327" s="2"/>
      <c r="Q327" s="2"/>
      <c r="R327" s="2"/>
      <c r="S327" s="2"/>
      <c r="T327" s="2"/>
      <c r="U327" s="2"/>
    </row>
    <row r="328" spans="13:21" x14ac:dyDescent="0.2">
      <c r="M328" s="2"/>
      <c r="N328" s="2"/>
      <c r="O328" s="2"/>
      <c r="P328" s="2"/>
      <c r="Q328" s="2"/>
      <c r="R328" s="2"/>
      <c r="S328" s="2"/>
      <c r="T328" s="2"/>
      <c r="U328" s="2"/>
    </row>
    <row r="329" spans="13:21" x14ac:dyDescent="0.2">
      <c r="M329" s="2"/>
      <c r="N329" s="2"/>
      <c r="O329" s="2"/>
      <c r="P329" s="2"/>
      <c r="Q329" s="2"/>
      <c r="R329" s="2"/>
      <c r="S329" s="2"/>
      <c r="T329" s="2"/>
      <c r="U329" s="2"/>
    </row>
    <row r="330" spans="13:21" x14ac:dyDescent="0.2">
      <c r="M330" s="2"/>
      <c r="N330" s="2"/>
      <c r="O330" s="2"/>
      <c r="P330" s="2"/>
      <c r="Q330" s="2"/>
      <c r="R330" s="2"/>
      <c r="S330" s="2"/>
      <c r="T330" s="2"/>
      <c r="U330" s="2"/>
    </row>
    <row r="331" spans="13:21" x14ac:dyDescent="0.2">
      <c r="M331" s="2"/>
      <c r="N331" s="2"/>
      <c r="O331" s="2"/>
      <c r="P331" s="2"/>
      <c r="Q331" s="2"/>
      <c r="R331" s="2"/>
      <c r="S331" s="2"/>
      <c r="T331" s="2"/>
      <c r="U331" s="2"/>
    </row>
    <row r="332" spans="13:21" x14ac:dyDescent="0.2">
      <c r="M332" s="2"/>
      <c r="N332" s="2"/>
      <c r="O332" s="2"/>
      <c r="P332" s="2"/>
      <c r="Q332" s="2"/>
      <c r="R332" s="2"/>
      <c r="S332" s="2"/>
      <c r="T332" s="2"/>
      <c r="U332" s="2"/>
    </row>
    <row r="333" spans="13:21" x14ac:dyDescent="0.2">
      <c r="M333" s="2"/>
      <c r="N333" s="2"/>
      <c r="O333" s="2"/>
      <c r="P333" s="2"/>
      <c r="Q333" s="2"/>
      <c r="R333" s="2"/>
      <c r="S333" s="2"/>
      <c r="T333" s="2"/>
      <c r="U333" s="2"/>
    </row>
    <row r="334" spans="13:21" x14ac:dyDescent="0.2">
      <c r="M334" s="2"/>
      <c r="N334" s="2"/>
      <c r="O334" s="2"/>
      <c r="P334" s="2"/>
      <c r="Q334" s="2"/>
      <c r="R334" s="2"/>
      <c r="S334" s="2"/>
      <c r="T334" s="2"/>
      <c r="U334" s="2"/>
    </row>
    <row r="335" spans="13:21" x14ac:dyDescent="0.2">
      <c r="M335" s="2"/>
      <c r="N335" s="2"/>
      <c r="O335" s="2"/>
      <c r="P335" s="2"/>
      <c r="Q335" s="2"/>
      <c r="R335" s="2"/>
      <c r="S335" s="2"/>
      <c r="T335" s="2"/>
      <c r="U335" s="2"/>
    </row>
    <row r="336" spans="13:21" x14ac:dyDescent="0.2">
      <c r="M336" s="2"/>
      <c r="N336" s="2"/>
      <c r="O336" s="2"/>
      <c r="P336" s="2"/>
      <c r="Q336" s="2"/>
      <c r="R336" s="2"/>
      <c r="S336" s="2"/>
      <c r="T336" s="2"/>
      <c r="U336" s="2"/>
    </row>
    <row r="337" spans="13:21" x14ac:dyDescent="0.2">
      <c r="M337" s="2"/>
      <c r="N337" s="2"/>
      <c r="O337" s="2"/>
      <c r="P337" s="2"/>
      <c r="Q337" s="2"/>
      <c r="R337" s="2"/>
      <c r="S337" s="2"/>
      <c r="T337" s="2"/>
      <c r="U337" s="2"/>
    </row>
    <row r="338" spans="13:21" x14ac:dyDescent="0.2">
      <c r="M338" s="2"/>
      <c r="N338" s="2"/>
      <c r="O338" s="2"/>
      <c r="P338" s="2"/>
      <c r="Q338" s="2"/>
      <c r="R338" s="2"/>
      <c r="S338" s="2"/>
      <c r="T338" s="2"/>
      <c r="U338" s="2"/>
    </row>
    <row r="339" spans="13:21" x14ac:dyDescent="0.2">
      <c r="M339" s="2"/>
      <c r="N339" s="2"/>
      <c r="O339" s="2"/>
      <c r="P339" s="2"/>
      <c r="Q339" s="2"/>
      <c r="R339" s="2"/>
      <c r="S339" s="2"/>
      <c r="T339" s="2"/>
      <c r="U339" s="2"/>
    </row>
    <row r="340" spans="13:21" x14ac:dyDescent="0.2">
      <c r="M340" s="2"/>
      <c r="N340" s="2"/>
      <c r="O340" s="2"/>
      <c r="P340" s="2"/>
      <c r="Q340" s="2"/>
      <c r="R340" s="2"/>
      <c r="S340" s="2"/>
      <c r="T340" s="2"/>
      <c r="U340" s="2"/>
    </row>
    <row r="341" spans="13:21" x14ac:dyDescent="0.2">
      <c r="M341" s="2"/>
      <c r="N341" s="2"/>
      <c r="O341" s="2"/>
      <c r="P341" s="2"/>
      <c r="Q341" s="2"/>
      <c r="R341" s="2"/>
      <c r="S341" s="2"/>
      <c r="T341" s="2"/>
      <c r="U341" s="2"/>
    </row>
    <row r="342" spans="13:21" x14ac:dyDescent="0.2">
      <c r="M342" s="2"/>
      <c r="N342" s="2"/>
      <c r="O342" s="2"/>
      <c r="P342" s="2"/>
      <c r="Q342" s="2"/>
      <c r="R342" s="2"/>
      <c r="S342" s="2"/>
      <c r="T342" s="2"/>
      <c r="U342" s="2"/>
    </row>
    <row r="343" spans="13:21" x14ac:dyDescent="0.2">
      <c r="M343" s="2"/>
      <c r="N343" s="2"/>
      <c r="O343" s="2"/>
      <c r="P343" s="2"/>
      <c r="Q343" s="2"/>
      <c r="R343" s="2"/>
      <c r="S343" s="2"/>
      <c r="T343" s="2"/>
      <c r="U343" s="2"/>
    </row>
    <row r="344" spans="13:21" x14ac:dyDescent="0.2">
      <c r="M344" s="2"/>
      <c r="N344" s="2"/>
      <c r="O344" s="2"/>
      <c r="P344" s="2"/>
      <c r="Q344" s="2"/>
      <c r="R344" s="2"/>
      <c r="S344" s="2"/>
      <c r="T344" s="2"/>
      <c r="U344" s="2"/>
    </row>
    <row r="345" spans="13:21" x14ac:dyDescent="0.2">
      <c r="M345" s="2"/>
      <c r="N345" s="2"/>
      <c r="O345" s="2"/>
      <c r="P345" s="2"/>
      <c r="Q345" s="2"/>
      <c r="R345" s="2"/>
      <c r="S345" s="2"/>
      <c r="T345" s="2"/>
      <c r="U345" s="2"/>
    </row>
    <row r="346" spans="13:21" x14ac:dyDescent="0.2">
      <c r="M346" s="2"/>
      <c r="N346" s="2"/>
      <c r="O346" s="2"/>
      <c r="P346" s="2"/>
      <c r="Q346" s="2"/>
      <c r="R346" s="2"/>
      <c r="S346" s="2"/>
      <c r="T346" s="2"/>
      <c r="U346" s="2"/>
    </row>
    <row r="347" spans="13:21" x14ac:dyDescent="0.2">
      <c r="M347" s="2"/>
      <c r="N347" s="2"/>
      <c r="O347" s="2"/>
      <c r="P347" s="2"/>
      <c r="Q347" s="2"/>
      <c r="R347" s="2"/>
      <c r="S347" s="2"/>
      <c r="T347" s="2"/>
      <c r="U347" s="2"/>
    </row>
    <row r="348" spans="13:21" x14ac:dyDescent="0.2">
      <c r="M348" s="2"/>
      <c r="N348" s="2"/>
      <c r="O348" s="2"/>
      <c r="P348" s="2"/>
      <c r="Q348" s="2"/>
      <c r="R348" s="2"/>
      <c r="S348" s="2"/>
      <c r="T348" s="2"/>
      <c r="U348" s="2"/>
    </row>
    <row r="349" spans="13:21" x14ac:dyDescent="0.2">
      <c r="M349" s="2"/>
      <c r="N349" s="2"/>
      <c r="O349" s="2"/>
      <c r="P349" s="2"/>
      <c r="Q349" s="2"/>
      <c r="R349" s="2"/>
      <c r="S349" s="2"/>
      <c r="T349" s="2"/>
      <c r="U349" s="2"/>
    </row>
    <row r="350" spans="13:21" x14ac:dyDescent="0.2">
      <c r="M350" s="2"/>
      <c r="N350" s="2"/>
      <c r="O350" s="2"/>
      <c r="P350" s="2"/>
      <c r="Q350" s="2"/>
      <c r="R350" s="2"/>
      <c r="S350" s="2"/>
      <c r="T350" s="2"/>
      <c r="U350" s="2"/>
    </row>
    <row r="351" spans="13:21" x14ac:dyDescent="0.2">
      <c r="M351" s="2"/>
      <c r="N351" s="2"/>
      <c r="O351" s="2"/>
      <c r="P351" s="2"/>
      <c r="Q351" s="2"/>
      <c r="R351" s="2"/>
      <c r="S351" s="2"/>
      <c r="T351" s="2"/>
      <c r="U351" s="2"/>
    </row>
    <row r="352" spans="13:21" x14ac:dyDescent="0.2">
      <c r="M352" s="2"/>
      <c r="N352" s="2"/>
      <c r="O352" s="2"/>
      <c r="P352" s="2"/>
      <c r="Q352" s="2"/>
      <c r="R352" s="2"/>
      <c r="S352" s="2"/>
      <c r="T352" s="2"/>
      <c r="U352" s="2"/>
    </row>
    <row r="353" spans="13:21" x14ac:dyDescent="0.2">
      <c r="M353" s="2"/>
      <c r="N353" s="2"/>
      <c r="O353" s="2"/>
      <c r="P353" s="2"/>
      <c r="Q353" s="2"/>
      <c r="R353" s="2"/>
      <c r="S353" s="2"/>
      <c r="T353" s="2"/>
      <c r="U353" s="2"/>
    </row>
    <row r="354" spans="13:21" x14ac:dyDescent="0.2">
      <c r="M354" s="2"/>
      <c r="N354" s="2"/>
      <c r="O354" s="2"/>
      <c r="P354" s="2"/>
      <c r="Q354" s="2"/>
      <c r="R354" s="2"/>
      <c r="S354" s="2"/>
      <c r="T354" s="2"/>
      <c r="U354" s="2"/>
    </row>
    <row r="355" spans="13:21" x14ac:dyDescent="0.2">
      <c r="M355" s="2"/>
      <c r="N355" s="2"/>
      <c r="O355" s="2"/>
      <c r="P355" s="2"/>
      <c r="Q355" s="2"/>
      <c r="R355" s="2"/>
      <c r="S355" s="2"/>
      <c r="T355" s="2"/>
      <c r="U355" s="2"/>
    </row>
    <row r="356" spans="13:21" x14ac:dyDescent="0.2">
      <c r="M356" s="2"/>
      <c r="N356" s="2"/>
      <c r="O356" s="2"/>
      <c r="P356" s="2"/>
      <c r="Q356" s="2"/>
      <c r="R356" s="2"/>
      <c r="S356" s="2"/>
      <c r="T356" s="2"/>
      <c r="U356" s="2"/>
    </row>
    <row r="357" spans="13:21" x14ac:dyDescent="0.2">
      <c r="M357" s="2"/>
      <c r="N357" s="2"/>
      <c r="O357" s="2"/>
      <c r="P357" s="2"/>
      <c r="Q357" s="2"/>
      <c r="R357" s="2"/>
      <c r="S357" s="2"/>
      <c r="T357" s="2"/>
      <c r="U357" s="2"/>
    </row>
    <row r="358" spans="13:21" x14ac:dyDescent="0.2">
      <c r="M358" s="2"/>
      <c r="N358" s="2"/>
      <c r="O358" s="2"/>
      <c r="P358" s="2"/>
      <c r="Q358" s="2"/>
      <c r="R358" s="2"/>
      <c r="S358" s="2"/>
      <c r="T358" s="2"/>
      <c r="U358" s="2"/>
    </row>
    <row r="359" spans="13:21" x14ac:dyDescent="0.2">
      <c r="M359" s="2"/>
      <c r="N359" s="2"/>
      <c r="O359" s="2"/>
      <c r="P359" s="2"/>
      <c r="Q359" s="2"/>
      <c r="R359" s="2"/>
      <c r="S359" s="2"/>
      <c r="T359" s="2"/>
      <c r="U359" s="2"/>
    </row>
    <row r="360" spans="13:21" x14ac:dyDescent="0.2">
      <c r="M360" s="2"/>
      <c r="N360" s="2"/>
      <c r="O360" s="2"/>
      <c r="P360" s="2"/>
      <c r="Q360" s="2"/>
      <c r="R360" s="2"/>
      <c r="S360" s="2"/>
      <c r="T360" s="2"/>
      <c r="U360" s="2"/>
    </row>
    <row r="361" spans="13:21" x14ac:dyDescent="0.2">
      <c r="M361" s="2"/>
      <c r="N361" s="2"/>
      <c r="O361" s="2"/>
      <c r="P361" s="2"/>
      <c r="Q361" s="2"/>
      <c r="R361" s="2"/>
      <c r="S361" s="2"/>
      <c r="T361" s="2"/>
      <c r="U361" s="2"/>
    </row>
    <row r="362" spans="13:21" x14ac:dyDescent="0.2">
      <c r="M362" s="2"/>
      <c r="N362" s="2"/>
      <c r="O362" s="2"/>
      <c r="P362" s="2"/>
      <c r="Q362" s="2"/>
      <c r="R362" s="2"/>
      <c r="S362" s="2"/>
      <c r="T362" s="2"/>
      <c r="U362" s="2"/>
    </row>
    <row r="363" spans="13:21" x14ac:dyDescent="0.2">
      <c r="M363" s="2"/>
      <c r="N363" s="2"/>
      <c r="O363" s="2"/>
      <c r="P363" s="2"/>
      <c r="Q363" s="2"/>
      <c r="R363" s="2"/>
      <c r="S363" s="2"/>
      <c r="T363" s="2"/>
      <c r="U363" s="2"/>
    </row>
    <row r="364" spans="13:21" x14ac:dyDescent="0.2">
      <c r="M364" s="2"/>
      <c r="N364" s="2"/>
      <c r="O364" s="2"/>
      <c r="P364" s="2"/>
      <c r="Q364" s="2"/>
      <c r="R364" s="2"/>
      <c r="S364" s="2"/>
      <c r="T364" s="2"/>
      <c r="U364" s="2"/>
    </row>
    <row r="365" spans="13:21" x14ac:dyDescent="0.2">
      <c r="M365" s="2"/>
      <c r="N365" s="2"/>
      <c r="O365" s="2"/>
      <c r="P365" s="2"/>
      <c r="Q365" s="2"/>
      <c r="R365" s="2"/>
      <c r="S365" s="2"/>
      <c r="T365" s="2"/>
      <c r="U365" s="2"/>
    </row>
    <row r="366" spans="13:21" x14ac:dyDescent="0.2">
      <c r="M366" s="2"/>
      <c r="N366" s="2"/>
      <c r="O366" s="2"/>
      <c r="P366" s="2"/>
      <c r="Q366" s="2"/>
      <c r="R366" s="2"/>
      <c r="S366" s="2"/>
      <c r="T366" s="2"/>
      <c r="U366" s="2"/>
    </row>
    <row r="367" spans="13:21" x14ac:dyDescent="0.2">
      <c r="M367" s="2"/>
      <c r="N367" s="2"/>
      <c r="O367" s="2"/>
      <c r="P367" s="2"/>
      <c r="Q367" s="2"/>
      <c r="R367" s="2"/>
      <c r="S367" s="2"/>
      <c r="T367" s="2"/>
      <c r="U367" s="2"/>
    </row>
    <row r="368" spans="13:21" x14ac:dyDescent="0.2">
      <c r="M368" s="2"/>
      <c r="N368" s="2"/>
      <c r="O368" s="2"/>
      <c r="P368" s="2"/>
      <c r="Q368" s="2"/>
      <c r="R368" s="2"/>
      <c r="S368" s="2"/>
      <c r="T368" s="2"/>
      <c r="U368" s="2"/>
    </row>
    <row r="369" spans="13:21" x14ac:dyDescent="0.2">
      <c r="M369" s="2"/>
      <c r="N369" s="2"/>
      <c r="O369" s="2"/>
      <c r="P369" s="2"/>
      <c r="Q369" s="2"/>
      <c r="R369" s="2"/>
      <c r="S369" s="2"/>
      <c r="T369" s="2"/>
      <c r="U369" s="2"/>
    </row>
    <row r="370" spans="13:21" x14ac:dyDescent="0.2">
      <c r="M370" s="2"/>
      <c r="N370" s="2"/>
      <c r="O370" s="2"/>
      <c r="P370" s="2"/>
      <c r="Q370" s="2"/>
      <c r="R370" s="2"/>
      <c r="S370" s="2"/>
      <c r="T370" s="2"/>
      <c r="U370" s="2"/>
    </row>
    <row r="371" spans="13:21" x14ac:dyDescent="0.2">
      <c r="M371" s="2"/>
      <c r="N371" s="2"/>
      <c r="O371" s="2"/>
      <c r="P371" s="2"/>
      <c r="Q371" s="2"/>
      <c r="R371" s="2"/>
      <c r="S371" s="2"/>
      <c r="T371" s="2"/>
      <c r="U371" s="2"/>
    </row>
    <row r="372" spans="13:21" x14ac:dyDescent="0.2">
      <c r="M372" s="2"/>
      <c r="N372" s="2"/>
      <c r="O372" s="2"/>
      <c r="P372" s="2"/>
      <c r="Q372" s="2"/>
      <c r="R372" s="2"/>
      <c r="S372" s="2"/>
      <c r="T372" s="2"/>
      <c r="U372" s="2"/>
    </row>
    <row r="373" spans="13:21" x14ac:dyDescent="0.2">
      <c r="M373" s="2"/>
      <c r="N373" s="2"/>
      <c r="O373" s="2"/>
      <c r="P373" s="2"/>
      <c r="Q373" s="2"/>
      <c r="R373" s="2"/>
      <c r="S373" s="2"/>
      <c r="T373" s="2"/>
      <c r="U373" s="2"/>
    </row>
    <row r="374" spans="13:21" x14ac:dyDescent="0.2">
      <c r="M374" s="2"/>
      <c r="N374" s="2"/>
      <c r="O374" s="2"/>
      <c r="P374" s="2"/>
      <c r="Q374" s="2"/>
      <c r="R374" s="2"/>
      <c r="S374" s="2"/>
      <c r="T374" s="2"/>
      <c r="U374" s="2"/>
    </row>
    <row r="375" spans="13:21" x14ac:dyDescent="0.2">
      <c r="M375" s="2"/>
      <c r="N375" s="2"/>
      <c r="O375" s="2"/>
      <c r="P375" s="2"/>
      <c r="Q375" s="2"/>
      <c r="R375" s="2"/>
      <c r="S375" s="2"/>
      <c r="T375" s="2"/>
      <c r="U375" s="2"/>
    </row>
    <row r="376" spans="13:21" x14ac:dyDescent="0.2">
      <c r="M376" s="2"/>
      <c r="N376" s="2"/>
      <c r="O376" s="2"/>
      <c r="P376" s="2"/>
      <c r="Q376" s="2"/>
      <c r="R376" s="2"/>
      <c r="S376" s="2"/>
      <c r="T376" s="2"/>
      <c r="U376" s="2"/>
    </row>
    <row r="377" spans="13:21" x14ac:dyDescent="0.2">
      <c r="M377" s="2"/>
      <c r="N377" s="2"/>
      <c r="O377" s="2"/>
      <c r="P377" s="2"/>
      <c r="Q377" s="2"/>
      <c r="R377" s="2"/>
      <c r="S377" s="2"/>
      <c r="T377" s="2"/>
      <c r="U377" s="2"/>
    </row>
    <row r="378" spans="13:21" x14ac:dyDescent="0.2">
      <c r="M378" s="2"/>
      <c r="N378" s="2"/>
      <c r="O378" s="2"/>
      <c r="P378" s="2"/>
      <c r="Q378" s="2"/>
      <c r="R378" s="2"/>
      <c r="S378" s="2"/>
      <c r="T378" s="2"/>
      <c r="U378" s="2"/>
    </row>
    <row r="379" spans="13:21" x14ac:dyDescent="0.2">
      <c r="M379" s="2"/>
      <c r="N379" s="2"/>
      <c r="O379" s="2"/>
      <c r="P379" s="2"/>
      <c r="Q379" s="2"/>
      <c r="R379" s="2"/>
      <c r="S379" s="2"/>
      <c r="T379" s="2"/>
      <c r="U379" s="2"/>
    </row>
    <row r="380" spans="13:21" x14ac:dyDescent="0.2">
      <c r="M380" s="2"/>
      <c r="N380" s="2"/>
      <c r="O380" s="2"/>
      <c r="P380" s="2"/>
      <c r="Q380" s="2"/>
      <c r="R380" s="2"/>
      <c r="S380" s="2"/>
      <c r="T380" s="2"/>
      <c r="U380" s="2"/>
    </row>
    <row r="381" spans="13:21" x14ac:dyDescent="0.2">
      <c r="M381" s="2"/>
      <c r="N381" s="2"/>
      <c r="O381" s="2"/>
      <c r="P381" s="2"/>
      <c r="Q381" s="2"/>
      <c r="R381" s="2"/>
      <c r="S381" s="2"/>
      <c r="T381" s="2"/>
      <c r="U381" s="2"/>
    </row>
    <row r="382" spans="13:21" x14ac:dyDescent="0.2">
      <c r="M382" s="2"/>
      <c r="N382" s="2"/>
      <c r="O382" s="2"/>
      <c r="P382" s="2"/>
      <c r="Q382" s="2"/>
      <c r="R382" s="2"/>
      <c r="S382" s="2"/>
      <c r="T382" s="2"/>
      <c r="U382" s="2"/>
    </row>
    <row r="383" spans="13:21" x14ac:dyDescent="0.2">
      <c r="M383" s="2"/>
      <c r="N383" s="2"/>
      <c r="O383" s="2"/>
      <c r="P383" s="2"/>
      <c r="Q383" s="2"/>
      <c r="R383" s="2"/>
      <c r="S383" s="2"/>
      <c r="T383" s="2"/>
      <c r="U383" s="2"/>
    </row>
    <row r="384" spans="13:21" x14ac:dyDescent="0.2">
      <c r="M384" s="2"/>
      <c r="N384" s="2"/>
      <c r="O384" s="2"/>
      <c r="P384" s="2"/>
      <c r="Q384" s="2"/>
      <c r="R384" s="2"/>
      <c r="S384" s="2"/>
      <c r="T384" s="2"/>
      <c r="U384" s="2"/>
    </row>
    <row r="385" spans="13:21" x14ac:dyDescent="0.2">
      <c r="M385" s="2"/>
      <c r="N385" s="2"/>
      <c r="O385" s="2"/>
      <c r="P385" s="2"/>
      <c r="Q385" s="2"/>
      <c r="R385" s="2"/>
      <c r="S385" s="2"/>
      <c r="T385" s="2"/>
      <c r="U385" s="2"/>
    </row>
    <row r="386" spans="13:21" x14ac:dyDescent="0.2">
      <c r="M386" s="2"/>
      <c r="N386" s="2"/>
      <c r="O386" s="2"/>
      <c r="P386" s="2"/>
      <c r="Q386" s="2"/>
      <c r="R386" s="2"/>
      <c r="S386" s="2"/>
      <c r="T386" s="2"/>
      <c r="U386" s="2"/>
    </row>
    <row r="387" spans="13:21" x14ac:dyDescent="0.2">
      <c r="M387" s="2"/>
      <c r="N387" s="2"/>
      <c r="O387" s="2"/>
      <c r="P387" s="2"/>
      <c r="Q387" s="2"/>
      <c r="R387" s="2"/>
      <c r="S387" s="2"/>
      <c r="T387" s="2"/>
      <c r="U387" s="2"/>
    </row>
    <row r="388" spans="13:21" x14ac:dyDescent="0.2">
      <c r="M388" s="2"/>
      <c r="N388" s="2"/>
      <c r="O388" s="2"/>
      <c r="P388" s="2"/>
      <c r="Q388" s="2"/>
      <c r="R388" s="2"/>
      <c r="S388" s="2"/>
      <c r="T388" s="2"/>
      <c r="U388" s="2"/>
    </row>
    <row r="389" spans="13:21" x14ac:dyDescent="0.2">
      <c r="M389" s="2"/>
      <c r="N389" s="2"/>
      <c r="O389" s="2"/>
      <c r="P389" s="2"/>
      <c r="Q389" s="2"/>
      <c r="R389" s="2"/>
      <c r="S389" s="2"/>
      <c r="T389" s="2"/>
      <c r="U389" s="2"/>
    </row>
    <row r="390" spans="13:21" x14ac:dyDescent="0.2">
      <c r="M390" s="2"/>
      <c r="N390" s="2"/>
      <c r="O390" s="2"/>
      <c r="P390" s="2"/>
      <c r="Q390" s="2"/>
      <c r="R390" s="2"/>
      <c r="S390" s="2"/>
      <c r="T390" s="2"/>
      <c r="U390" s="2"/>
    </row>
    <row r="391" spans="13:21" x14ac:dyDescent="0.2">
      <c r="M391" s="2"/>
      <c r="N391" s="2"/>
      <c r="O391" s="2"/>
      <c r="P391" s="2"/>
      <c r="Q391" s="2"/>
      <c r="R391" s="2"/>
      <c r="S391" s="2"/>
      <c r="T391" s="2"/>
      <c r="U391" s="2"/>
    </row>
    <row r="392" spans="13:21" x14ac:dyDescent="0.2">
      <c r="M392" s="2"/>
      <c r="N392" s="2"/>
      <c r="O392" s="2"/>
      <c r="P392" s="2"/>
      <c r="Q392" s="2"/>
      <c r="R392" s="2"/>
      <c r="S392" s="2"/>
      <c r="T392" s="2"/>
      <c r="U392" s="2"/>
    </row>
    <row r="393" spans="13:21" x14ac:dyDescent="0.2">
      <c r="M393" s="2"/>
      <c r="N393" s="2"/>
      <c r="O393" s="2"/>
      <c r="P393" s="2"/>
      <c r="Q393" s="2"/>
      <c r="R393" s="2"/>
      <c r="S393" s="2"/>
      <c r="T393" s="2"/>
      <c r="U393" s="2"/>
    </row>
    <row r="394" spans="13:21" x14ac:dyDescent="0.2">
      <c r="M394" s="2"/>
      <c r="N394" s="2"/>
      <c r="O394" s="2"/>
      <c r="P394" s="2"/>
      <c r="Q394" s="2"/>
      <c r="R394" s="2"/>
      <c r="S394" s="2"/>
      <c r="T394" s="2"/>
      <c r="U394" s="2"/>
    </row>
    <row r="395" spans="13:21" x14ac:dyDescent="0.2">
      <c r="M395" s="2"/>
      <c r="N395" s="2"/>
      <c r="O395" s="2"/>
      <c r="P395" s="2"/>
      <c r="Q395" s="2"/>
      <c r="R395" s="2"/>
      <c r="S395" s="2"/>
      <c r="T395" s="2"/>
      <c r="U395" s="2"/>
    </row>
    <row r="396" spans="13:21" x14ac:dyDescent="0.2">
      <c r="M396" s="2"/>
      <c r="N396" s="2"/>
      <c r="O396" s="2"/>
      <c r="P396" s="2"/>
      <c r="Q396" s="2"/>
      <c r="R396" s="2"/>
      <c r="S396" s="2"/>
      <c r="T396" s="2"/>
      <c r="U396" s="2"/>
    </row>
    <row r="397" spans="13:21" x14ac:dyDescent="0.2">
      <c r="M397" s="2"/>
      <c r="N397" s="2"/>
      <c r="O397" s="2"/>
      <c r="P397" s="2"/>
      <c r="Q397" s="2"/>
      <c r="R397" s="2"/>
      <c r="S397" s="2"/>
      <c r="T397" s="2"/>
      <c r="U397" s="2"/>
    </row>
    <row r="398" spans="13:21" x14ac:dyDescent="0.2">
      <c r="M398" s="2"/>
      <c r="N398" s="2"/>
      <c r="O398" s="2"/>
      <c r="P398" s="2"/>
      <c r="Q398" s="2"/>
      <c r="R398" s="2"/>
      <c r="S398" s="2"/>
      <c r="T398" s="2"/>
      <c r="U398" s="2"/>
    </row>
    <row r="399" spans="13:21" x14ac:dyDescent="0.2">
      <c r="M399" s="2"/>
      <c r="N399" s="2"/>
      <c r="O399" s="2"/>
      <c r="P399" s="2"/>
      <c r="Q399" s="2"/>
      <c r="R399" s="2"/>
      <c r="S399" s="2"/>
      <c r="T399" s="2"/>
      <c r="U399" s="2"/>
    </row>
    <row r="400" spans="13:21" x14ac:dyDescent="0.2">
      <c r="M400" s="2"/>
      <c r="N400" s="2"/>
      <c r="O400" s="2"/>
      <c r="P400" s="2"/>
      <c r="Q400" s="2"/>
      <c r="R400" s="2"/>
      <c r="S400" s="2"/>
      <c r="T400" s="2"/>
      <c r="U400" s="2"/>
    </row>
    <row r="401" spans="13:21" x14ac:dyDescent="0.2">
      <c r="M401" s="2"/>
      <c r="N401" s="2"/>
      <c r="O401" s="2"/>
      <c r="P401" s="2"/>
      <c r="Q401" s="2"/>
      <c r="R401" s="2"/>
      <c r="S401" s="2"/>
      <c r="T401" s="2"/>
      <c r="U401" s="2"/>
    </row>
    <row r="402" spans="13:21" x14ac:dyDescent="0.2">
      <c r="M402" s="2"/>
      <c r="N402" s="2"/>
      <c r="O402" s="2"/>
      <c r="P402" s="2"/>
      <c r="Q402" s="2"/>
      <c r="R402" s="2"/>
      <c r="S402" s="2"/>
      <c r="T402" s="2"/>
      <c r="U402" s="2"/>
    </row>
    <row r="403" spans="13:21" x14ac:dyDescent="0.2">
      <c r="M403" s="2"/>
      <c r="N403" s="2"/>
      <c r="O403" s="2"/>
      <c r="P403" s="2"/>
      <c r="Q403" s="2"/>
      <c r="R403" s="2"/>
      <c r="S403" s="2"/>
      <c r="T403" s="2"/>
      <c r="U403" s="2"/>
    </row>
    <row r="404" spans="13:21" x14ac:dyDescent="0.2">
      <c r="M404" s="2"/>
      <c r="N404" s="2"/>
      <c r="O404" s="2"/>
      <c r="P404" s="2"/>
      <c r="Q404" s="2"/>
      <c r="R404" s="2"/>
      <c r="S404" s="2"/>
      <c r="T404" s="2"/>
      <c r="U404" s="2"/>
    </row>
    <row r="405" spans="13:21" x14ac:dyDescent="0.2">
      <c r="M405" s="2"/>
      <c r="N405" s="2"/>
      <c r="O405" s="2"/>
      <c r="P405" s="2"/>
      <c r="Q405" s="2"/>
      <c r="R405" s="2"/>
      <c r="S405" s="2"/>
      <c r="T405" s="2"/>
      <c r="U405" s="2"/>
    </row>
    <row r="406" spans="13:21" x14ac:dyDescent="0.2">
      <c r="M406" s="2"/>
      <c r="N406" s="2"/>
      <c r="O406" s="2"/>
      <c r="P406" s="2"/>
      <c r="Q406" s="2"/>
      <c r="R406" s="2"/>
      <c r="S406" s="2"/>
      <c r="T406" s="2"/>
      <c r="U406" s="2"/>
    </row>
    <row r="407" spans="13:21" x14ac:dyDescent="0.2">
      <c r="M407" s="2"/>
      <c r="N407" s="2"/>
      <c r="O407" s="2"/>
      <c r="P407" s="2"/>
      <c r="Q407" s="2"/>
      <c r="R407" s="2"/>
      <c r="S407" s="2"/>
      <c r="T407" s="2"/>
      <c r="U407" s="2"/>
    </row>
    <row r="408" spans="13:21" x14ac:dyDescent="0.2">
      <c r="M408" s="2"/>
      <c r="N408" s="2"/>
      <c r="O408" s="2"/>
      <c r="P408" s="2"/>
      <c r="Q408" s="2"/>
      <c r="R408" s="2"/>
      <c r="S408" s="2"/>
      <c r="T408" s="2"/>
      <c r="U408" s="2"/>
    </row>
    <row r="409" spans="13:21" x14ac:dyDescent="0.2">
      <c r="M409" s="2"/>
      <c r="N409" s="2"/>
      <c r="O409" s="2"/>
      <c r="P409" s="2"/>
      <c r="Q409" s="2"/>
      <c r="R409" s="2"/>
      <c r="S409" s="2"/>
      <c r="T409" s="2"/>
      <c r="U409" s="2"/>
    </row>
    <row r="410" spans="13:21" x14ac:dyDescent="0.2">
      <c r="M410" s="2"/>
      <c r="N410" s="2"/>
      <c r="O410" s="2"/>
      <c r="P410" s="2"/>
      <c r="Q410" s="2"/>
      <c r="R410" s="2"/>
      <c r="S410" s="2"/>
      <c r="T410" s="2"/>
      <c r="U410" s="2"/>
    </row>
    <row r="411" spans="13:21" x14ac:dyDescent="0.2">
      <c r="M411" s="2"/>
      <c r="N411" s="2"/>
      <c r="O411" s="2"/>
      <c r="P411" s="2"/>
      <c r="Q411" s="2"/>
      <c r="R411" s="2"/>
      <c r="S411" s="2"/>
      <c r="T411" s="2"/>
      <c r="U411" s="2"/>
    </row>
    <row r="412" spans="13:21" x14ac:dyDescent="0.2">
      <c r="M412" s="2"/>
      <c r="N412" s="2"/>
      <c r="O412" s="2"/>
      <c r="P412" s="2"/>
      <c r="Q412" s="2"/>
      <c r="R412" s="2"/>
      <c r="S412" s="2"/>
      <c r="T412" s="2"/>
      <c r="U412" s="2"/>
    </row>
    <row r="413" spans="13:21" x14ac:dyDescent="0.2">
      <c r="M413" s="2"/>
      <c r="N413" s="2"/>
      <c r="O413" s="2"/>
      <c r="P413" s="2"/>
      <c r="Q413" s="2"/>
      <c r="R413" s="2"/>
      <c r="S413" s="2"/>
      <c r="T413" s="2"/>
      <c r="U413" s="2"/>
    </row>
    <row r="414" spans="13:21" x14ac:dyDescent="0.2">
      <c r="M414" s="2"/>
      <c r="N414" s="2"/>
      <c r="O414" s="2"/>
      <c r="P414" s="2"/>
      <c r="Q414" s="2"/>
      <c r="R414" s="2"/>
      <c r="S414" s="2"/>
      <c r="T414" s="2"/>
      <c r="U414" s="2"/>
    </row>
    <row r="415" spans="13:21" x14ac:dyDescent="0.2">
      <c r="M415" s="2"/>
      <c r="N415" s="2"/>
      <c r="O415" s="2"/>
      <c r="P415" s="2"/>
      <c r="Q415" s="2"/>
      <c r="R415" s="2"/>
      <c r="S415" s="2"/>
      <c r="T415" s="2"/>
      <c r="U415" s="2"/>
    </row>
    <row r="416" spans="13:21" x14ac:dyDescent="0.2">
      <c r="M416" s="2"/>
      <c r="N416" s="2"/>
      <c r="O416" s="2"/>
      <c r="P416" s="2"/>
      <c r="Q416" s="2"/>
      <c r="R416" s="2"/>
      <c r="S416" s="2"/>
      <c r="T416" s="2"/>
      <c r="U416" s="2"/>
    </row>
    <row r="417" spans="13:21" x14ac:dyDescent="0.2">
      <c r="M417" s="2"/>
      <c r="N417" s="2"/>
      <c r="O417" s="2"/>
      <c r="P417" s="2"/>
      <c r="Q417" s="2"/>
      <c r="R417" s="2"/>
      <c r="S417" s="2"/>
      <c r="T417" s="2"/>
      <c r="U417" s="2"/>
    </row>
    <row r="418" spans="13:21" x14ac:dyDescent="0.2">
      <c r="M418" s="2"/>
      <c r="N418" s="2"/>
      <c r="O418" s="2"/>
      <c r="P418" s="2"/>
      <c r="Q418" s="2"/>
      <c r="R418" s="2"/>
      <c r="S418" s="2"/>
      <c r="T418" s="2"/>
      <c r="U418" s="2"/>
    </row>
    <row r="419" spans="13:21" x14ac:dyDescent="0.2">
      <c r="M419" s="2"/>
      <c r="N419" s="2"/>
      <c r="O419" s="2"/>
      <c r="P419" s="2"/>
      <c r="Q419" s="2"/>
      <c r="R419" s="2"/>
      <c r="S419" s="2"/>
      <c r="T419" s="2"/>
      <c r="U419" s="2"/>
    </row>
    <row r="420" spans="13:21" x14ac:dyDescent="0.2">
      <c r="M420" s="2"/>
      <c r="N420" s="2"/>
      <c r="O420" s="2"/>
      <c r="P420" s="2"/>
      <c r="Q420" s="2"/>
      <c r="R420" s="2"/>
      <c r="S420" s="2"/>
      <c r="T420" s="2"/>
      <c r="U420" s="2"/>
    </row>
    <row r="421" spans="13:21" x14ac:dyDescent="0.2">
      <c r="M421" s="2"/>
      <c r="N421" s="2"/>
      <c r="O421" s="2"/>
      <c r="P421" s="2"/>
      <c r="Q421" s="2"/>
      <c r="R421" s="2"/>
      <c r="S421" s="2"/>
      <c r="T421" s="2"/>
      <c r="U421" s="2"/>
    </row>
    <row r="422" spans="13:21" x14ac:dyDescent="0.2">
      <c r="M422" s="2"/>
      <c r="N422" s="2"/>
      <c r="O422" s="2"/>
      <c r="P422" s="2"/>
      <c r="Q422" s="2"/>
      <c r="R422" s="2"/>
      <c r="S422" s="2"/>
      <c r="T422" s="2"/>
      <c r="U422" s="2"/>
    </row>
    <row r="423" spans="13:21" x14ac:dyDescent="0.2">
      <c r="M423" s="2"/>
      <c r="N423" s="2"/>
      <c r="O423" s="2"/>
      <c r="P423" s="2"/>
      <c r="Q423" s="2"/>
      <c r="R423" s="2"/>
      <c r="S423" s="2"/>
      <c r="T423" s="2"/>
      <c r="U423" s="2"/>
    </row>
    <row r="424" spans="13:21" x14ac:dyDescent="0.2">
      <c r="M424" s="2"/>
      <c r="N424" s="2"/>
      <c r="O424" s="2"/>
      <c r="P424" s="2"/>
      <c r="Q424" s="2"/>
      <c r="R424" s="2"/>
      <c r="S424" s="2"/>
      <c r="T424" s="2"/>
      <c r="U424" s="2"/>
    </row>
    <row r="425" spans="13:21" x14ac:dyDescent="0.2">
      <c r="M425" s="2"/>
      <c r="N425" s="2"/>
      <c r="O425" s="2"/>
      <c r="P425" s="2"/>
      <c r="Q425" s="2"/>
      <c r="R425" s="2"/>
      <c r="S425" s="2"/>
      <c r="T425" s="2"/>
      <c r="U425" s="2"/>
    </row>
    <row r="426" spans="13:21" x14ac:dyDescent="0.2">
      <c r="M426" s="2"/>
      <c r="N426" s="2"/>
      <c r="O426" s="2"/>
      <c r="P426" s="2"/>
      <c r="Q426" s="2"/>
      <c r="R426" s="2"/>
      <c r="S426" s="2"/>
      <c r="T426" s="2"/>
      <c r="U426" s="2"/>
    </row>
    <row r="427" spans="13:21" x14ac:dyDescent="0.2">
      <c r="M427" s="2"/>
      <c r="N427" s="2"/>
      <c r="O427" s="2"/>
      <c r="P427" s="2"/>
      <c r="Q427" s="2"/>
      <c r="R427" s="2"/>
      <c r="S427" s="2"/>
      <c r="T427" s="2"/>
      <c r="U427" s="2"/>
    </row>
    <row r="428" spans="13:21" x14ac:dyDescent="0.2">
      <c r="M428" s="2"/>
      <c r="N428" s="2"/>
      <c r="O428" s="2"/>
      <c r="P428" s="2"/>
      <c r="Q428" s="2"/>
      <c r="R428" s="2"/>
      <c r="S428" s="2"/>
      <c r="T428" s="2"/>
      <c r="U428" s="2"/>
    </row>
    <row r="429" spans="13:21" x14ac:dyDescent="0.2">
      <c r="M429" s="2"/>
      <c r="N429" s="2"/>
      <c r="O429" s="2"/>
      <c r="P429" s="2"/>
      <c r="Q429" s="2"/>
      <c r="R429" s="2"/>
      <c r="S429" s="2"/>
      <c r="T429" s="2"/>
      <c r="U429" s="2"/>
    </row>
    <row r="430" spans="13:21" x14ac:dyDescent="0.2">
      <c r="M430" s="2"/>
      <c r="N430" s="2"/>
      <c r="O430" s="2"/>
      <c r="P430" s="2"/>
      <c r="Q430" s="2"/>
      <c r="R430" s="2"/>
      <c r="S430" s="2"/>
      <c r="T430" s="2"/>
      <c r="U430" s="2"/>
    </row>
    <row r="431" spans="13:21" x14ac:dyDescent="0.2">
      <c r="M431" s="2"/>
      <c r="N431" s="2"/>
      <c r="O431" s="2"/>
      <c r="P431" s="2"/>
      <c r="Q431" s="2"/>
      <c r="R431" s="2"/>
      <c r="S431" s="2"/>
      <c r="T431" s="2"/>
      <c r="U431" s="2"/>
    </row>
    <row r="432" spans="13:21" x14ac:dyDescent="0.2">
      <c r="M432" s="2"/>
      <c r="N432" s="2"/>
      <c r="O432" s="2"/>
      <c r="P432" s="2"/>
      <c r="Q432" s="2"/>
      <c r="R432" s="2"/>
      <c r="S432" s="2"/>
      <c r="T432" s="2"/>
      <c r="U432" s="2"/>
    </row>
    <row r="433" spans="13:21" x14ac:dyDescent="0.2">
      <c r="M433" s="2"/>
      <c r="N433" s="2"/>
      <c r="O433" s="2"/>
      <c r="P433" s="2"/>
      <c r="Q433" s="2"/>
      <c r="R433" s="2"/>
      <c r="S433" s="2"/>
      <c r="T433" s="2"/>
      <c r="U433" s="2"/>
    </row>
    <row r="434" spans="13:21" x14ac:dyDescent="0.2">
      <c r="M434" s="2"/>
      <c r="N434" s="2"/>
      <c r="O434" s="2"/>
      <c r="P434" s="2"/>
      <c r="Q434" s="2"/>
      <c r="R434" s="2"/>
      <c r="S434" s="2"/>
      <c r="T434" s="2"/>
      <c r="U434" s="2"/>
    </row>
    <row r="435" spans="13:21" x14ac:dyDescent="0.2">
      <c r="M435" s="2"/>
      <c r="N435" s="2"/>
      <c r="O435" s="2"/>
      <c r="P435" s="2"/>
      <c r="Q435" s="2"/>
      <c r="R435" s="2"/>
      <c r="S435" s="2"/>
      <c r="T435" s="2"/>
      <c r="U435" s="2"/>
    </row>
    <row r="436" spans="13:21" x14ac:dyDescent="0.2">
      <c r="M436" s="2"/>
      <c r="N436" s="2"/>
      <c r="O436" s="2"/>
      <c r="P436" s="2"/>
      <c r="Q436" s="2"/>
      <c r="R436" s="2"/>
      <c r="S436" s="2"/>
      <c r="T436" s="2"/>
      <c r="U436" s="2"/>
    </row>
    <row r="437" spans="13:21" x14ac:dyDescent="0.2">
      <c r="M437" s="2"/>
      <c r="N437" s="2"/>
      <c r="O437" s="2"/>
      <c r="P437" s="2"/>
      <c r="Q437" s="2"/>
      <c r="R437" s="2"/>
      <c r="S437" s="2"/>
      <c r="T437" s="2"/>
      <c r="U437" s="2"/>
    </row>
    <row r="438" spans="13:21" x14ac:dyDescent="0.2">
      <c r="M438" s="2"/>
      <c r="N438" s="2"/>
      <c r="O438" s="2"/>
      <c r="P438" s="2"/>
      <c r="Q438" s="2"/>
      <c r="R438" s="2"/>
      <c r="S438" s="2"/>
      <c r="T438" s="2"/>
      <c r="U438" s="2"/>
    </row>
    <row r="439" spans="13:21" x14ac:dyDescent="0.2">
      <c r="M439" s="2"/>
      <c r="N439" s="2"/>
      <c r="O439" s="2"/>
      <c r="P439" s="2"/>
      <c r="Q439" s="2"/>
      <c r="R439" s="2"/>
      <c r="S439" s="2"/>
      <c r="T439" s="2"/>
      <c r="U439" s="2"/>
    </row>
    <row r="440" spans="13:21" x14ac:dyDescent="0.2">
      <c r="M440" s="2"/>
      <c r="N440" s="2"/>
      <c r="O440" s="2"/>
      <c r="P440" s="2"/>
      <c r="Q440" s="2"/>
      <c r="R440" s="2"/>
      <c r="S440" s="2"/>
      <c r="T440" s="2"/>
      <c r="U440" s="2"/>
    </row>
    <row r="441" spans="13:21" x14ac:dyDescent="0.2">
      <c r="M441" s="2"/>
      <c r="N441" s="2"/>
      <c r="O441" s="2"/>
      <c r="P441" s="2"/>
      <c r="Q441" s="2"/>
      <c r="R441" s="2"/>
      <c r="S441" s="2"/>
      <c r="T441" s="2"/>
      <c r="U441" s="2"/>
    </row>
    <row r="442" spans="13:21" x14ac:dyDescent="0.2">
      <c r="M442" s="2"/>
      <c r="N442" s="2"/>
      <c r="O442" s="2"/>
      <c r="P442" s="2"/>
      <c r="Q442" s="2"/>
      <c r="R442" s="2"/>
      <c r="S442" s="2"/>
      <c r="T442" s="2"/>
      <c r="U442" s="2"/>
    </row>
    <row r="443" spans="13:21" x14ac:dyDescent="0.2">
      <c r="M443" s="2"/>
      <c r="N443" s="2"/>
      <c r="O443" s="2"/>
      <c r="P443" s="2"/>
      <c r="Q443" s="2"/>
      <c r="R443" s="2"/>
      <c r="S443" s="2"/>
      <c r="T443" s="2"/>
      <c r="U443" s="2"/>
    </row>
    <row r="444" spans="13:21" x14ac:dyDescent="0.2">
      <c r="M444" s="2"/>
      <c r="N444" s="2"/>
      <c r="O444" s="2"/>
      <c r="P444" s="2"/>
      <c r="Q444" s="2"/>
      <c r="R444" s="2"/>
      <c r="S444" s="2"/>
      <c r="T444" s="2"/>
      <c r="U444" s="2"/>
    </row>
    <row r="445" spans="13:21" x14ac:dyDescent="0.2">
      <c r="M445" s="2"/>
      <c r="N445" s="2"/>
      <c r="O445" s="2"/>
      <c r="P445" s="2"/>
      <c r="Q445" s="2"/>
      <c r="R445" s="2"/>
      <c r="S445" s="2"/>
      <c r="T445" s="2"/>
      <c r="U445" s="2"/>
    </row>
    <row r="446" spans="13:21" x14ac:dyDescent="0.2">
      <c r="M446" s="2"/>
      <c r="N446" s="2"/>
      <c r="O446" s="2"/>
      <c r="P446" s="2"/>
      <c r="Q446" s="2"/>
      <c r="R446" s="2"/>
      <c r="S446" s="2"/>
      <c r="T446" s="2"/>
      <c r="U446" s="2"/>
    </row>
    <row r="447" spans="13:21" x14ac:dyDescent="0.2">
      <c r="M447" s="2"/>
      <c r="N447" s="2"/>
      <c r="O447" s="2"/>
      <c r="P447" s="2"/>
      <c r="Q447" s="2"/>
      <c r="R447" s="2"/>
      <c r="S447" s="2"/>
      <c r="T447" s="2"/>
      <c r="U447" s="2"/>
    </row>
    <row r="448" spans="13:21" x14ac:dyDescent="0.2">
      <c r="M448" s="2"/>
      <c r="N448" s="2"/>
      <c r="O448" s="2"/>
      <c r="P448" s="2"/>
      <c r="Q448" s="2"/>
      <c r="R448" s="2"/>
      <c r="S448" s="2"/>
      <c r="T448" s="2"/>
      <c r="U448" s="2"/>
    </row>
    <row r="449" spans="13:21" x14ac:dyDescent="0.2">
      <c r="M449" s="2"/>
      <c r="N449" s="2"/>
      <c r="O449" s="2"/>
      <c r="P449" s="2"/>
      <c r="Q449" s="2"/>
      <c r="R449" s="2"/>
      <c r="S449" s="2"/>
      <c r="T449" s="2"/>
      <c r="U449" s="2"/>
    </row>
    <row r="450" spans="13:21" x14ac:dyDescent="0.2">
      <c r="M450" s="2"/>
      <c r="N450" s="2"/>
      <c r="O450" s="2"/>
      <c r="P450" s="2"/>
      <c r="Q450" s="2"/>
      <c r="R450" s="2"/>
      <c r="S450" s="2"/>
      <c r="T450" s="2"/>
      <c r="U450" s="2"/>
    </row>
    <row r="451" spans="13:21" x14ac:dyDescent="0.2">
      <c r="M451" s="2"/>
      <c r="N451" s="2"/>
      <c r="O451" s="2"/>
      <c r="P451" s="2"/>
      <c r="Q451" s="2"/>
      <c r="R451" s="2"/>
      <c r="S451" s="2"/>
      <c r="T451" s="2"/>
      <c r="U451" s="2"/>
    </row>
    <row r="452" spans="13:21" x14ac:dyDescent="0.2">
      <c r="M452" s="2"/>
      <c r="N452" s="2"/>
      <c r="O452" s="2"/>
      <c r="P452" s="2"/>
      <c r="Q452" s="2"/>
      <c r="R452" s="2"/>
      <c r="S452" s="2"/>
      <c r="T452" s="2"/>
      <c r="U452" s="2"/>
    </row>
    <row r="453" spans="13:21" x14ac:dyDescent="0.2">
      <c r="M453" s="2"/>
      <c r="N453" s="2"/>
      <c r="O453" s="2"/>
      <c r="P453" s="2"/>
      <c r="Q453" s="2"/>
      <c r="R453" s="2"/>
      <c r="S453" s="2"/>
      <c r="T453" s="2"/>
      <c r="U453" s="2"/>
    </row>
    <row r="454" spans="13:21" x14ac:dyDescent="0.2">
      <c r="M454" s="2"/>
      <c r="N454" s="2"/>
      <c r="O454" s="2"/>
      <c r="P454" s="2"/>
      <c r="Q454" s="2"/>
      <c r="R454" s="2"/>
      <c r="S454" s="2"/>
      <c r="T454" s="2"/>
      <c r="U454" s="2"/>
    </row>
    <row r="455" spans="13:21" x14ac:dyDescent="0.2">
      <c r="M455" s="2"/>
      <c r="N455" s="2"/>
      <c r="O455" s="2"/>
      <c r="P455" s="2"/>
      <c r="Q455" s="2"/>
      <c r="R455" s="2"/>
      <c r="S455" s="2"/>
      <c r="T455" s="2"/>
      <c r="U455" s="2"/>
    </row>
    <row r="456" spans="13:21" x14ac:dyDescent="0.2">
      <c r="M456" s="2"/>
      <c r="N456" s="2"/>
      <c r="O456" s="2"/>
      <c r="P456" s="2"/>
      <c r="Q456" s="2"/>
      <c r="R456" s="2"/>
      <c r="S456" s="2"/>
      <c r="T456" s="2"/>
      <c r="U456" s="2"/>
    </row>
    <row r="457" spans="13:21" x14ac:dyDescent="0.2">
      <c r="M457" s="2"/>
      <c r="N457" s="2"/>
      <c r="O457" s="2"/>
      <c r="P457" s="2"/>
      <c r="Q457" s="2"/>
      <c r="R457" s="2"/>
      <c r="S457" s="2"/>
      <c r="T457" s="2"/>
      <c r="U457" s="2"/>
    </row>
    <row r="458" spans="13:21" x14ac:dyDescent="0.2">
      <c r="M458" s="2"/>
      <c r="N458" s="2"/>
      <c r="O458" s="2"/>
      <c r="P458" s="2"/>
      <c r="Q458" s="2"/>
      <c r="R458" s="2"/>
      <c r="S458" s="2"/>
      <c r="T458" s="2"/>
      <c r="U458" s="2"/>
    </row>
    <row r="459" spans="13:21" x14ac:dyDescent="0.2">
      <c r="M459" s="2"/>
      <c r="N459" s="2"/>
      <c r="O459" s="2"/>
      <c r="P459" s="2"/>
      <c r="Q459" s="2"/>
      <c r="R459" s="2"/>
      <c r="S459" s="2"/>
      <c r="T459" s="2"/>
      <c r="U459" s="2"/>
    </row>
    <row r="460" spans="13:21" x14ac:dyDescent="0.2">
      <c r="M460" s="2"/>
      <c r="N460" s="2"/>
      <c r="O460" s="2"/>
      <c r="P460" s="2"/>
      <c r="Q460" s="2"/>
      <c r="R460" s="2"/>
      <c r="S460" s="2"/>
      <c r="T460" s="2"/>
      <c r="U460" s="2"/>
    </row>
    <row r="461" spans="13:21" x14ac:dyDescent="0.2">
      <c r="M461" s="2"/>
      <c r="N461" s="2"/>
      <c r="O461" s="2"/>
      <c r="P461" s="2"/>
      <c r="Q461" s="2"/>
      <c r="R461" s="2"/>
      <c r="S461" s="2"/>
      <c r="T461" s="2"/>
      <c r="U461" s="2"/>
    </row>
    <row r="462" spans="13:21" x14ac:dyDescent="0.2">
      <c r="M462" s="2"/>
      <c r="N462" s="2"/>
      <c r="O462" s="2"/>
      <c r="P462" s="2"/>
      <c r="Q462" s="2"/>
      <c r="R462" s="2"/>
      <c r="S462" s="2"/>
      <c r="T462" s="2"/>
      <c r="U462" s="2"/>
    </row>
    <row r="463" spans="13:21" x14ac:dyDescent="0.2">
      <c r="M463" s="2"/>
      <c r="N463" s="2"/>
      <c r="O463" s="2"/>
      <c r="P463" s="2"/>
      <c r="Q463" s="2"/>
      <c r="R463" s="2"/>
      <c r="S463" s="2"/>
      <c r="T463" s="2"/>
      <c r="U463" s="2"/>
    </row>
    <row r="464" spans="13:21" x14ac:dyDescent="0.2">
      <c r="M464" s="2"/>
      <c r="N464" s="2"/>
      <c r="O464" s="2"/>
      <c r="P464" s="2"/>
      <c r="Q464" s="2"/>
      <c r="R464" s="2"/>
      <c r="S464" s="2"/>
      <c r="T464" s="2"/>
      <c r="U464" s="2"/>
    </row>
    <row r="465" spans="13:21" x14ac:dyDescent="0.2">
      <c r="M465" s="2"/>
      <c r="N465" s="2"/>
      <c r="O465" s="2"/>
      <c r="P465" s="2"/>
      <c r="Q465" s="2"/>
      <c r="R465" s="2"/>
      <c r="S465" s="2"/>
      <c r="T465" s="2"/>
      <c r="U465" s="2"/>
    </row>
    <row r="466" spans="13:21" x14ac:dyDescent="0.2">
      <c r="M466" s="2"/>
      <c r="N466" s="2"/>
      <c r="O466" s="2"/>
      <c r="P466" s="2"/>
      <c r="Q466" s="2"/>
      <c r="R466" s="2"/>
      <c r="S466" s="2"/>
      <c r="T466" s="2"/>
      <c r="U466" s="2"/>
    </row>
    <row r="467" spans="13:21" x14ac:dyDescent="0.2">
      <c r="M467" s="2"/>
      <c r="N467" s="2"/>
      <c r="O467" s="2"/>
      <c r="P467" s="2"/>
      <c r="Q467" s="2"/>
      <c r="R467" s="2"/>
      <c r="S467" s="2"/>
      <c r="T467" s="2"/>
      <c r="U467" s="2"/>
    </row>
    <row r="468" spans="13:21" x14ac:dyDescent="0.2">
      <c r="M468" s="2"/>
      <c r="N468" s="2"/>
      <c r="O468" s="2"/>
      <c r="P468" s="2"/>
      <c r="Q468" s="2"/>
      <c r="R468" s="2"/>
      <c r="S468" s="2"/>
      <c r="T468" s="2"/>
      <c r="U468" s="2"/>
    </row>
    <row r="469" spans="13:21" x14ac:dyDescent="0.2">
      <c r="M469" s="2"/>
      <c r="N469" s="2"/>
      <c r="O469" s="2"/>
      <c r="P469" s="2"/>
      <c r="Q469" s="2"/>
      <c r="R469" s="2"/>
      <c r="S469" s="2"/>
      <c r="T469" s="2"/>
      <c r="U469" s="2"/>
    </row>
    <row r="470" spans="13:21" x14ac:dyDescent="0.2">
      <c r="M470" s="2"/>
      <c r="N470" s="2"/>
      <c r="O470" s="2"/>
      <c r="P470" s="2"/>
      <c r="Q470" s="2"/>
      <c r="R470" s="2"/>
      <c r="S470" s="2"/>
      <c r="T470" s="2"/>
      <c r="U470" s="2"/>
    </row>
    <row r="471" spans="13:21" x14ac:dyDescent="0.2">
      <c r="M471" s="2"/>
      <c r="N471" s="2"/>
      <c r="O471" s="2"/>
      <c r="P471" s="2"/>
      <c r="Q471" s="2"/>
      <c r="R471" s="2"/>
      <c r="S471" s="2"/>
      <c r="T471" s="2"/>
      <c r="U471" s="2"/>
    </row>
    <row r="472" spans="13:21" x14ac:dyDescent="0.2">
      <c r="M472" s="2"/>
      <c r="N472" s="2"/>
      <c r="O472" s="2"/>
      <c r="P472" s="2"/>
      <c r="Q472" s="2"/>
      <c r="R472" s="2"/>
      <c r="S472" s="2"/>
      <c r="T472" s="2"/>
      <c r="U472" s="2"/>
    </row>
    <row r="473" spans="13:21" x14ac:dyDescent="0.2">
      <c r="M473" s="2"/>
      <c r="N473" s="2"/>
      <c r="O473" s="2"/>
      <c r="P473" s="2"/>
      <c r="Q473" s="2"/>
      <c r="R473" s="2"/>
      <c r="S473" s="2"/>
      <c r="T473" s="2"/>
      <c r="U473" s="2"/>
    </row>
    <row r="474" spans="13:21" x14ac:dyDescent="0.2">
      <c r="M474" s="2"/>
      <c r="N474" s="2"/>
      <c r="O474" s="2"/>
      <c r="P474" s="2"/>
      <c r="Q474" s="2"/>
      <c r="R474" s="2"/>
      <c r="S474" s="2"/>
      <c r="T474" s="2"/>
      <c r="U474" s="2"/>
    </row>
    <row r="475" spans="13:21" x14ac:dyDescent="0.2">
      <c r="M475" s="2"/>
      <c r="N475" s="2"/>
      <c r="O475" s="2"/>
      <c r="P475" s="2"/>
      <c r="Q475" s="2"/>
      <c r="R475" s="2"/>
      <c r="S475" s="2"/>
      <c r="T475" s="2"/>
      <c r="U475" s="2"/>
    </row>
    <row r="476" spans="13:21" x14ac:dyDescent="0.2">
      <c r="M476" s="2"/>
      <c r="N476" s="2"/>
      <c r="O476" s="2"/>
      <c r="P476" s="2"/>
      <c r="Q476" s="2"/>
      <c r="R476" s="2"/>
      <c r="S476" s="2"/>
      <c r="T476" s="2"/>
      <c r="U476" s="2"/>
    </row>
    <row r="477" spans="13:21" x14ac:dyDescent="0.2">
      <c r="M477" s="2"/>
      <c r="N477" s="2"/>
      <c r="O477" s="2"/>
      <c r="P477" s="2"/>
      <c r="Q477" s="2"/>
      <c r="R477" s="2"/>
      <c r="S477" s="2"/>
      <c r="T477" s="2"/>
      <c r="U477" s="2"/>
    </row>
    <row r="478" spans="13:21" x14ac:dyDescent="0.2">
      <c r="M478" s="2"/>
      <c r="N478" s="2"/>
      <c r="O478" s="2"/>
      <c r="P478" s="2"/>
      <c r="Q478" s="2"/>
      <c r="R478" s="2"/>
      <c r="S478" s="2"/>
      <c r="T478" s="2"/>
      <c r="U478" s="2"/>
    </row>
    <row r="479" spans="13:21" x14ac:dyDescent="0.2">
      <c r="M479" s="2"/>
      <c r="N479" s="2"/>
      <c r="O479" s="2"/>
      <c r="P479" s="2"/>
      <c r="Q479" s="2"/>
      <c r="R479" s="2"/>
      <c r="S479" s="2"/>
      <c r="T479" s="2"/>
      <c r="U479" s="2"/>
    </row>
    <row r="480" spans="13:21" x14ac:dyDescent="0.2">
      <c r="M480" s="2"/>
      <c r="N480" s="2"/>
      <c r="O480" s="2"/>
      <c r="P480" s="2"/>
      <c r="Q480" s="2"/>
      <c r="R480" s="2"/>
      <c r="S480" s="2"/>
      <c r="T480" s="2"/>
      <c r="U480" s="2"/>
    </row>
    <row r="481" spans="13:21" x14ac:dyDescent="0.2">
      <c r="M481" s="2"/>
      <c r="N481" s="2"/>
      <c r="O481" s="2"/>
      <c r="P481" s="2"/>
      <c r="Q481" s="2"/>
      <c r="R481" s="2"/>
      <c r="S481" s="2"/>
      <c r="T481" s="2"/>
      <c r="U481" s="2"/>
    </row>
    <row r="482" spans="13:21" x14ac:dyDescent="0.2">
      <c r="M482" s="2"/>
      <c r="N482" s="2"/>
      <c r="O482" s="2"/>
      <c r="P482" s="2"/>
      <c r="Q482" s="2"/>
      <c r="R482" s="2"/>
      <c r="S482" s="2"/>
      <c r="T482" s="2"/>
      <c r="U482" s="2"/>
    </row>
    <row r="483" spans="13:21" x14ac:dyDescent="0.2">
      <c r="M483" s="2"/>
      <c r="N483" s="2"/>
      <c r="O483" s="2"/>
      <c r="P483" s="2"/>
      <c r="Q483" s="2"/>
      <c r="R483" s="2"/>
      <c r="S483" s="2"/>
      <c r="T483" s="2"/>
      <c r="U483" s="2"/>
    </row>
    <row r="484" spans="13:21" x14ac:dyDescent="0.2">
      <c r="M484" s="2"/>
      <c r="N484" s="2"/>
      <c r="O484" s="2"/>
      <c r="P484" s="2"/>
      <c r="Q484" s="2"/>
      <c r="R484" s="2"/>
      <c r="S484" s="2"/>
      <c r="T484" s="2"/>
      <c r="U484" s="2"/>
    </row>
    <row r="485" spans="13:21" x14ac:dyDescent="0.2">
      <c r="M485" s="2"/>
      <c r="N485" s="2"/>
      <c r="O485" s="2"/>
      <c r="P485" s="2"/>
      <c r="Q485" s="2"/>
      <c r="R485" s="2"/>
      <c r="S485" s="2"/>
      <c r="T485" s="2"/>
      <c r="U485" s="2"/>
    </row>
    <row r="486" spans="13:21" x14ac:dyDescent="0.2">
      <c r="M486" s="2"/>
      <c r="N486" s="2"/>
      <c r="O486" s="2"/>
      <c r="P486" s="2"/>
      <c r="Q486" s="2"/>
      <c r="R486" s="2"/>
      <c r="S486" s="2"/>
      <c r="T486" s="2"/>
      <c r="U486" s="2"/>
    </row>
    <row r="487" spans="13:21" x14ac:dyDescent="0.2">
      <c r="M487" s="2"/>
      <c r="N487" s="2"/>
      <c r="O487" s="2"/>
      <c r="P487" s="2"/>
      <c r="Q487" s="2"/>
      <c r="R487" s="2"/>
      <c r="S487" s="2"/>
      <c r="T487" s="2"/>
      <c r="U487" s="2"/>
    </row>
    <row r="488" spans="13:21" x14ac:dyDescent="0.2">
      <c r="M488" s="2"/>
      <c r="N488" s="2"/>
      <c r="O488" s="2"/>
      <c r="P488" s="2"/>
      <c r="Q488" s="2"/>
      <c r="R488" s="2"/>
      <c r="S488" s="2"/>
      <c r="T488" s="2"/>
      <c r="U488" s="2"/>
    </row>
    <row r="489" spans="13:21" x14ac:dyDescent="0.2">
      <c r="M489" s="2"/>
      <c r="N489" s="2"/>
      <c r="O489" s="2"/>
      <c r="P489" s="2"/>
      <c r="Q489" s="2"/>
      <c r="R489" s="2"/>
      <c r="S489" s="2"/>
      <c r="T489" s="2"/>
      <c r="U489" s="2"/>
    </row>
    <row r="490" spans="13:21" x14ac:dyDescent="0.2">
      <c r="M490" s="2"/>
      <c r="N490" s="2"/>
      <c r="O490" s="2"/>
      <c r="P490" s="2"/>
      <c r="Q490" s="2"/>
      <c r="R490" s="2"/>
      <c r="S490" s="2"/>
      <c r="T490" s="2"/>
      <c r="U490" s="2"/>
    </row>
    <row r="491" spans="13:21" x14ac:dyDescent="0.2">
      <c r="M491" s="2"/>
      <c r="N491" s="2"/>
      <c r="O491" s="2"/>
      <c r="P491" s="2"/>
      <c r="Q491" s="2"/>
      <c r="R491" s="2"/>
      <c r="S491" s="2"/>
      <c r="T491" s="2"/>
      <c r="U491" s="2"/>
    </row>
    <row r="492" spans="13:21" x14ac:dyDescent="0.2">
      <c r="M492" s="2"/>
      <c r="N492" s="2"/>
      <c r="O492" s="2"/>
      <c r="P492" s="2"/>
      <c r="Q492" s="2"/>
      <c r="R492" s="2"/>
      <c r="S492" s="2"/>
      <c r="T492" s="2"/>
      <c r="U492" s="2"/>
    </row>
    <row r="493" spans="13:21" x14ac:dyDescent="0.2">
      <c r="M493" s="2"/>
      <c r="N493" s="2"/>
      <c r="O493" s="2"/>
      <c r="P493" s="2"/>
      <c r="Q493" s="2"/>
      <c r="R493" s="2"/>
      <c r="S493" s="2"/>
      <c r="T493" s="2"/>
      <c r="U493" s="2"/>
    </row>
    <row r="494" spans="13:21" x14ac:dyDescent="0.2">
      <c r="M494" s="2"/>
      <c r="N494" s="2"/>
      <c r="O494" s="2"/>
      <c r="P494" s="2"/>
      <c r="Q494" s="2"/>
      <c r="R494" s="2"/>
      <c r="S494" s="2"/>
      <c r="T494" s="2"/>
      <c r="U494" s="2"/>
    </row>
    <row r="495" spans="13:21" x14ac:dyDescent="0.2">
      <c r="M495" s="2"/>
      <c r="N495" s="2"/>
      <c r="O495" s="2"/>
      <c r="P495" s="2"/>
      <c r="Q495" s="2"/>
      <c r="R495" s="2"/>
      <c r="S495" s="2"/>
      <c r="T495" s="2"/>
      <c r="U495" s="2"/>
    </row>
    <row r="496" spans="13:21" x14ac:dyDescent="0.2">
      <c r="M496" s="2"/>
      <c r="N496" s="2"/>
      <c r="O496" s="2"/>
      <c r="P496" s="2"/>
      <c r="Q496" s="2"/>
      <c r="R496" s="2"/>
      <c r="S496" s="2"/>
      <c r="T496" s="2"/>
      <c r="U496" s="2"/>
    </row>
    <row r="497" spans="13:21" x14ac:dyDescent="0.2">
      <c r="M497" s="2"/>
      <c r="N497" s="2"/>
      <c r="O497" s="2"/>
      <c r="P497" s="2"/>
      <c r="Q497" s="2"/>
      <c r="R497" s="2"/>
      <c r="S497" s="2"/>
      <c r="T497" s="2"/>
      <c r="U497" s="2"/>
    </row>
    <row r="498" spans="13:21" x14ac:dyDescent="0.2">
      <c r="M498" s="2"/>
      <c r="N498" s="2"/>
      <c r="O498" s="2"/>
      <c r="P498" s="2"/>
      <c r="Q498" s="2"/>
      <c r="R498" s="2"/>
      <c r="S498" s="2"/>
      <c r="T498" s="2"/>
      <c r="U498" s="2"/>
    </row>
    <row r="499" spans="13:21" x14ac:dyDescent="0.2">
      <c r="M499" s="2"/>
      <c r="N499" s="2"/>
      <c r="O499" s="2"/>
      <c r="P499" s="2"/>
      <c r="Q499" s="2"/>
      <c r="R499" s="2"/>
      <c r="S499" s="2"/>
      <c r="T499" s="2"/>
      <c r="U499" s="2"/>
    </row>
    <row r="500" spans="13:21" x14ac:dyDescent="0.2">
      <c r="M500" s="2"/>
      <c r="N500" s="2"/>
      <c r="O500" s="2"/>
      <c r="P500" s="2"/>
      <c r="Q500" s="2"/>
      <c r="R500" s="2"/>
      <c r="S500" s="2"/>
      <c r="T500" s="2"/>
      <c r="U500" s="2"/>
    </row>
    <row r="501" spans="13:21" x14ac:dyDescent="0.2">
      <c r="M501" s="2"/>
      <c r="N501" s="2"/>
      <c r="O501" s="2"/>
      <c r="P501" s="2"/>
      <c r="Q501" s="2"/>
      <c r="R501" s="2"/>
      <c r="S501" s="2"/>
      <c r="T501" s="2"/>
      <c r="U501" s="2"/>
    </row>
    <row r="502" spans="13:21" x14ac:dyDescent="0.2">
      <c r="M502" s="2"/>
      <c r="N502" s="2"/>
      <c r="O502" s="2"/>
      <c r="P502" s="2"/>
      <c r="Q502" s="2"/>
      <c r="R502" s="2"/>
      <c r="S502" s="2"/>
      <c r="T502" s="2"/>
      <c r="U502" s="2"/>
    </row>
    <row r="503" spans="13:21" x14ac:dyDescent="0.2">
      <c r="M503" s="2"/>
      <c r="N503" s="2"/>
      <c r="O503" s="2"/>
      <c r="P503" s="2"/>
      <c r="Q503" s="2"/>
      <c r="R503" s="2"/>
      <c r="S503" s="2"/>
      <c r="T503" s="2"/>
      <c r="U503" s="2"/>
    </row>
    <row r="504" spans="13:21" x14ac:dyDescent="0.2">
      <c r="M504" s="2"/>
      <c r="N504" s="2"/>
      <c r="O504" s="2"/>
      <c r="P504" s="2"/>
      <c r="Q504" s="2"/>
      <c r="R504" s="2"/>
      <c r="S504" s="2"/>
      <c r="T504" s="2"/>
      <c r="U504" s="2"/>
    </row>
    <row r="505" spans="13:21" x14ac:dyDescent="0.2">
      <c r="M505" s="2"/>
      <c r="N505" s="2"/>
      <c r="O505" s="2"/>
      <c r="P505" s="2"/>
      <c r="Q505" s="2"/>
      <c r="R505" s="2"/>
      <c r="S505" s="2"/>
      <c r="T505" s="2"/>
      <c r="U505" s="2"/>
    </row>
    <row r="506" spans="13:21" x14ac:dyDescent="0.2">
      <c r="M506" s="2"/>
      <c r="N506" s="2"/>
      <c r="O506" s="2"/>
      <c r="P506" s="2"/>
      <c r="Q506" s="2"/>
      <c r="R506" s="2"/>
      <c r="S506" s="2"/>
      <c r="T506" s="2"/>
      <c r="U506" s="2"/>
    </row>
    <row r="507" spans="13:21" x14ac:dyDescent="0.2">
      <c r="M507" s="2"/>
      <c r="N507" s="2"/>
      <c r="O507" s="2"/>
      <c r="P507" s="2"/>
      <c r="Q507" s="2"/>
      <c r="R507" s="2"/>
      <c r="S507" s="2"/>
      <c r="T507" s="2"/>
      <c r="U507" s="2"/>
    </row>
    <row r="508" spans="13:21" x14ac:dyDescent="0.2">
      <c r="M508" s="2"/>
      <c r="N508" s="2"/>
      <c r="O508" s="2"/>
      <c r="P508" s="2"/>
      <c r="Q508" s="2"/>
      <c r="R508" s="2"/>
      <c r="S508" s="2"/>
      <c r="T508" s="2"/>
      <c r="U508" s="2"/>
    </row>
    <row r="509" spans="13:21" x14ac:dyDescent="0.2">
      <c r="M509" s="2"/>
      <c r="N509" s="2"/>
      <c r="O509" s="2"/>
      <c r="P509" s="2"/>
      <c r="Q509" s="2"/>
      <c r="R509" s="2"/>
      <c r="S509" s="2"/>
      <c r="T509" s="2"/>
      <c r="U509" s="2"/>
    </row>
    <row r="510" spans="13:21" x14ac:dyDescent="0.2">
      <c r="M510" s="2"/>
      <c r="N510" s="2"/>
      <c r="O510" s="2"/>
      <c r="P510" s="2"/>
      <c r="Q510" s="2"/>
      <c r="R510" s="2"/>
      <c r="S510" s="2"/>
      <c r="T510" s="2"/>
      <c r="U510" s="2"/>
    </row>
    <row r="511" spans="13:21" x14ac:dyDescent="0.2">
      <c r="M511" s="2"/>
      <c r="N511" s="2"/>
      <c r="O511" s="2"/>
      <c r="P511" s="2"/>
      <c r="Q511" s="2"/>
      <c r="R511" s="2"/>
      <c r="S511" s="2"/>
      <c r="T511" s="2"/>
      <c r="U511" s="2"/>
    </row>
    <row r="512" spans="13:21" x14ac:dyDescent="0.2">
      <c r="M512" s="2"/>
      <c r="N512" s="2"/>
      <c r="O512" s="2"/>
      <c r="P512" s="2"/>
      <c r="Q512" s="2"/>
      <c r="R512" s="2"/>
      <c r="S512" s="2"/>
      <c r="T512" s="2"/>
      <c r="U512" s="2"/>
    </row>
    <row r="513" spans="13:21" x14ac:dyDescent="0.2">
      <c r="M513" s="2"/>
      <c r="N513" s="2"/>
      <c r="O513" s="2"/>
      <c r="P513" s="2"/>
      <c r="Q513" s="2"/>
      <c r="R513" s="2"/>
      <c r="S513" s="2"/>
      <c r="T513" s="2"/>
      <c r="U513" s="2"/>
    </row>
    <row r="514" spans="13:21" x14ac:dyDescent="0.2">
      <c r="M514" s="2"/>
      <c r="N514" s="2"/>
      <c r="O514" s="2"/>
      <c r="P514" s="2"/>
      <c r="Q514" s="2"/>
      <c r="R514" s="2"/>
      <c r="S514" s="2"/>
      <c r="T514" s="2"/>
      <c r="U514" s="2"/>
    </row>
    <row r="515" spans="13:21" x14ac:dyDescent="0.2">
      <c r="M515" s="2"/>
      <c r="N515" s="2"/>
      <c r="O515" s="2"/>
      <c r="P515" s="2"/>
      <c r="Q515" s="2"/>
      <c r="R515" s="2"/>
      <c r="S515" s="2"/>
      <c r="T515" s="2"/>
      <c r="U515" s="2"/>
    </row>
    <row r="516" spans="13:21" x14ac:dyDescent="0.2">
      <c r="M516" s="2"/>
      <c r="N516" s="2"/>
      <c r="O516" s="2"/>
      <c r="P516" s="2"/>
      <c r="Q516" s="2"/>
      <c r="R516" s="2"/>
      <c r="S516" s="2"/>
      <c r="T516" s="2"/>
      <c r="U516" s="2"/>
    </row>
    <row r="517" spans="13:21" x14ac:dyDescent="0.2">
      <c r="M517" s="2"/>
      <c r="N517" s="2"/>
      <c r="O517" s="2"/>
      <c r="P517" s="2"/>
      <c r="Q517" s="2"/>
      <c r="R517" s="2"/>
      <c r="S517" s="2"/>
      <c r="T517" s="2"/>
      <c r="U517" s="2"/>
    </row>
    <row r="518" spans="13:21" x14ac:dyDescent="0.2">
      <c r="M518" s="2"/>
      <c r="N518" s="2"/>
      <c r="O518" s="2"/>
      <c r="P518" s="2"/>
      <c r="Q518" s="2"/>
      <c r="R518" s="2"/>
      <c r="S518" s="2"/>
      <c r="T518" s="2"/>
      <c r="U518" s="2"/>
    </row>
    <row r="519" spans="13:21" x14ac:dyDescent="0.2">
      <c r="M519" s="2"/>
      <c r="N519" s="2"/>
      <c r="O519" s="2"/>
      <c r="P519" s="2"/>
      <c r="Q519" s="2"/>
      <c r="R519" s="2"/>
      <c r="S519" s="2"/>
      <c r="T519" s="2"/>
      <c r="U519" s="2"/>
    </row>
    <row r="520" spans="13:21" x14ac:dyDescent="0.2">
      <c r="M520" s="2"/>
      <c r="N520" s="2"/>
      <c r="O520" s="2"/>
      <c r="P520" s="2"/>
      <c r="Q520" s="2"/>
      <c r="R520" s="2"/>
      <c r="S520" s="2"/>
      <c r="T520" s="2"/>
      <c r="U520" s="2"/>
    </row>
    <row r="521" spans="13:21" x14ac:dyDescent="0.2">
      <c r="M521" s="2"/>
      <c r="N521" s="2"/>
      <c r="O521" s="2"/>
      <c r="P521" s="2"/>
      <c r="Q521" s="2"/>
      <c r="R521" s="2"/>
      <c r="S521" s="2"/>
      <c r="T521" s="2"/>
      <c r="U521" s="2"/>
    </row>
    <row r="522" spans="13:21" x14ac:dyDescent="0.2">
      <c r="M522" s="2"/>
      <c r="N522" s="2"/>
      <c r="O522" s="2"/>
      <c r="P522" s="2"/>
      <c r="Q522" s="2"/>
      <c r="R522" s="2"/>
      <c r="S522" s="2"/>
      <c r="T522" s="2"/>
      <c r="U522" s="2"/>
    </row>
    <row r="523" spans="13:21" x14ac:dyDescent="0.2">
      <c r="M523" s="2"/>
      <c r="N523" s="2"/>
      <c r="O523" s="2"/>
      <c r="P523" s="2"/>
      <c r="Q523" s="2"/>
      <c r="R523" s="2"/>
      <c r="S523" s="2"/>
      <c r="T523" s="2"/>
      <c r="U523" s="2"/>
    </row>
    <row r="524" spans="13:21" x14ac:dyDescent="0.2">
      <c r="M524" s="2"/>
      <c r="N524" s="2"/>
      <c r="O524" s="2"/>
      <c r="P524" s="2"/>
      <c r="Q524" s="2"/>
      <c r="R524" s="2"/>
      <c r="S524" s="2"/>
      <c r="T524" s="2"/>
      <c r="U524" s="2"/>
    </row>
    <row r="525" spans="13:21" x14ac:dyDescent="0.2">
      <c r="M525" s="2"/>
      <c r="N525" s="2"/>
      <c r="O525" s="2"/>
      <c r="P525" s="2"/>
      <c r="Q525" s="2"/>
      <c r="R525" s="2"/>
      <c r="S525" s="2"/>
      <c r="T525" s="2"/>
      <c r="U525" s="2"/>
    </row>
    <row r="526" spans="13:21" x14ac:dyDescent="0.2">
      <c r="M526" s="2"/>
      <c r="N526" s="2"/>
      <c r="O526" s="2"/>
      <c r="P526" s="2"/>
      <c r="Q526" s="2"/>
      <c r="R526" s="2"/>
      <c r="S526" s="2"/>
      <c r="T526" s="2"/>
      <c r="U526" s="2"/>
    </row>
    <row r="527" spans="13:21" x14ac:dyDescent="0.2">
      <c r="M527" s="2"/>
      <c r="N527" s="2"/>
      <c r="O527" s="2"/>
      <c r="P527" s="2"/>
      <c r="Q527" s="2"/>
      <c r="R527" s="2"/>
      <c r="S527" s="2"/>
      <c r="T527" s="2"/>
      <c r="U527" s="2"/>
    </row>
    <row r="528" spans="13:21" x14ac:dyDescent="0.2">
      <c r="M528" s="2"/>
      <c r="N528" s="2"/>
      <c r="O528" s="2"/>
      <c r="P528" s="2"/>
      <c r="Q528" s="2"/>
      <c r="R528" s="2"/>
      <c r="S528" s="2"/>
      <c r="T528" s="2"/>
      <c r="U528" s="2"/>
    </row>
    <row r="529" spans="13:21" x14ac:dyDescent="0.2">
      <c r="M529" s="2"/>
      <c r="N529" s="2"/>
      <c r="O529" s="2"/>
      <c r="P529" s="2"/>
      <c r="Q529" s="2"/>
      <c r="R529" s="2"/>
      <c r="S529" s="2"/>
      <c r="T529" s="2"/>
      <c r="U529" s="2"/>
    </row>
    <row r="530" spans="13:21" x14ac:dyDescent="0.2">
      <c r="M530" s="2"/>
      <c r="N530" s="2"/>
      <c r="O530" s="2"/>
      <c r="P530" s="2"/>
      <c r="Q530" s="2"/>
      <c r="R530" s="2"/>
      <c r="S530" s="2"/>
      <c r="T530" s="2"/>
      <c r="U530" s="2"/>
    </row>
    <row r="531" spans="13:21" x14ac:dyDescent="0.2">
      <c r="M531" s="2"/>
      <c r="N531" s="2"/>
      <c r="O531" s="2"/>
      <c r="P531" s="2"/>
      <c r="Q531" s="2"/>
      <c r="R531" s="2"/>
      <c r="S531" s="2"/>
      <c r="T531" s="2"/>
      <c r="U531" s="2"/>
    </row>
    <row r="532" spans="13:21" x14ac:dyDescent="0.2">
      <c r="M532" s="2"/>
      <c r="N532" s="2"/>
      <c r="O532" s="2"/>
      <c r="P532" s="2"/>
      <c r="Q532" s="2"/>
      <c r="R532" s="2"/>
      <c r="S532" s="2"/>
      <c r="T532" s="2"/>
      <c r="U532" s="2"/>
    </row>
    <row r="533" spans="13:21" x14ac:dyDescent="0.2">
      <c r="M533" s="2"/>
      <c r="N533" s="2"/>
      <c r="O533" s="2"/>
      <c r="P533" s="2"/>
      <c r="Q533" s="2"/>
      <c r="R533" s="2"/>
      <c r="S533" s="2"/>
      <c r="T533" s="2"/>
      <c r="U533" s="2"/>
    </row>
    <row r="534" spans="13:21" x14ac:dyDescent="0.2">
      <c r="M534" s="2"/>
      <c r="N534" s="2"/>
      <c r="O534" s="2"/>
      <c r="P534" s="2"/>
      <c r="Q534" s="2"/>
      <c r="R534" s="2"/>
      <c r="S534" s="2"/>
      <c r="T534" s="2"/>
      <c r="U534" s="2"/>
    </row>
    <row r="535" spans="13:21" x14ac:dyDescent="0.2">
      <c r="M535" s="2"/>
      <c r="N535" s="2"/>
      <c r="O535" s="2"/>
      <c r="P535" s="2"/>
      <c r="Q535" s="2"/>
      <c r="R535" s="2"/>
      <c r="S535" s="2"/>
      <c r="T535" s="2"/>
      <c r="U535" s="2"/>
    </row>
    <row r="536" spans="13:21" x14ac:dyDescent="0.2">
      <c r="M536" s="2"/>
      <c r="N536" s="2"/>
      <c r="O536" s="2"/>
      <c r="P536" s="2"/>
      <c r="Q536" s="2"/>
      <c r="R536" s="2"/>
      <c r="S536" s="2"/>
      <c r="T536" s="2"/>
      <c r="U536" s="2"/>
    </row>
    <row r="537" spans="13:21" x14ac:dyDescent="0.2">
      <c r="M537" s="2"/>
      <c r="N537" s="2"/>
      <c r="O537" s="2"/>
      <c r="P537" s="2"/>
      <c r="Q537" s="2"/>
      <c r="R537" s="2"/>
      <c r="S537" s="2"/>
      <c r="T537" s="2"/>
      <c r="U537" s="2"/>
    </row>
    <row r="538" spans="13:21" x14ac:dyDescent="0.2">
      <c r="M538" s="2"/>
      <c r="N538" s="2"/>
      <c r="O538" s="2"/>
      <c r="P538" s="2"/>
      <c r="Q538" s="2"/>
      <c r="R538" s="2"/>
      <c r="S538" s="2"/>
      <c r="T538" s="2"/>
      <c r="U538" s="2"/>
    </row>
    <row r="539" spans="13:21" x14ac:dyDescent="0.2">
      <c r="M539" s="2"/>
      <c r="N539" s="2"/>
      <c r="O539" s="2"/>
      <c r="P539" s="2"/>
      <c r="Q539" s="2"/>
      <c r="R539" s="2"/>
      <c r="S539" s="2"/>
      <c r="T539" s="2"/>
      <c r="U539" s="2"/>
    </row>
    <row r="540" spans="13:21" x14ac:dyDescent="0.2">
      <c r="M540" s="2"/>
      <c r="N540" s="2"/>
      <c r="O540" s="2"/>
      <c r="P540" s="2"/>
      <c r="Q540" s="2"/>
      <c r="R540" s="2"/>
      <c r="S540" s="2"/>
      <c r="T540" s="2"/>
      <c r="U540" s="2"/>
    </row>
    <row r="541" spans="13:21" x14ac:dyDescent="0.2">
      <c r="M541" s="2"/>
      <c r="N541" s="2"/>
      <c r="O541" s="2"/>
      <c r="P541" s="2"/>
      <c r="Q541" s="2"/>
      <c r="R541" s="2"/>
      <c r="S541" s="2"/>
      <c r="T541" s="2"/>
      <c r="U541" s="2"/>
    </row>
    <row r="542" spans="13:21" x14ac:dyDescent="0.2">
      <c r="M542" s="2"/>
      <c r="N542" s="2"/>
      <c r="O542" s="2"/>
      <c r="P542" s="2"/>
      <c r="Q542" s="2"/>
      <c r="R542" s="2"/>
      <c r="S542" s="2"/>
      <c r="T542" s="2"/>
      <c r="U542" s="2"/>
    </row>
    <row r="543" spans="13:21" x14ac:dyDescent="0.2">
      <c r="M543" s="2"/>
      <c r="N543" s="2"/>
      <c r="O543" s="2"/>
      <c r="P543" s="2"/>
      <c r="Q543" s="2"/>
      <c r="R543" s="2"/>
      <c r="S543" s="2"/>
      <c r="T543" s="2"/>
      <c r="U543" s="2"/>
    </row>
    <row r="544" spans="13:21" x14ac:dyDescent="0.2">
      <c r="M544" s="2"/>
      <c r="N544" s="2"/>
      <c r="O544" s="2"/>
      <c r="P544" s="2"/>
      <c r="Q544" s="2"/>
      <c r="R544" s="2"/>
      <c r="S544" s="2"/>
      <c r="T544" s="2"/>
      <c r="U544" s="2"/>
    </row>
    <row r="545" spans="13:21" x14ac:dyDescent="0.2">
      <c r="M545" s="2"/>
      <c r="N545" s="2"/>
      <c r="O545" s="2"/>
      <c r="P545" s="2"/>
      <c r="Q545" s="2"/>
      <c r="R545" s="2"/>
      <c r="S545" s="2"/>
      <c r="T545" s="2"/>
      <c r="U545" s="2"/>
    </row>
    <row r="546" spans="13:21" x14ac:dyDescent="0.2">
      <c r="M546" s="2"/>
      <c r="N546" s="2"/>
      <c r="O546" s="2"/>
      <c r="P546" s="2"/>
      <c r="Q546" s="2"/>
      <c r="R546" s="2"/>
      <c r="S546" s="2"/>
      <c r="T546" s="2"/>
      <c r="U546" s="2"/>
    </row>
    <row r="547" spans="13:21" x14ac:dyDescent="0.2">
      <c r="M547" s="2"/>
      <c r="N547" s="2"/>
      <c r="O547" s="2"/>
      <c r="P547" s="2"/>
      <c r="Q547" s="2"/>
      <c r="R547" s="2"/>
      <c r="S547" s="2"/>
      <c r="T547" s="2"/>
      <c r="U547" s="2"/>
    </row>
    <row r="548" spans="13:21" x14ac:dyDescent="0.2">
      <c r="M548" s="2"/>
      <c r="N548" s="2"/>
      <c r="O548" s="2"/>
      <c r="P548" s="2"/>
      <c r="Q548" s="2"/>
      <c r="R548" s="2"/>
      <c r="S548" s="2"/>
      <c r="T548" s="2"/>
      <c r="U548" s="2"/>
    </row>
    <row r="549" spans="13:21" x14ac:dyDescent="0.2">
      <c r="M549" s="2"/>
      <c r="N549" s="2"/>
      <c r="O549" s="2"/>
      <c r="P549" s="2"/>
      <c r="Q549" s="2"/>
      <c r="R549" s="2"/>
      <c r="S549" s="2"/>
      <c r="T549" s="2"/>
      <c r="U549" s="2"/>
    </row>
    <row r="550" spans="13:21" x14ac:dyDescent="0.2">
      <c r="M550" s="2"/>
      <c r="N550" s="2"/>
      <c r="O550" s="2"/>
      <c r="P550" s="2"/>
      <c r="Q550" s="2"/>
      <c r="R550" s="2"/>
      <c r="S550" s="2"/>
      <c r="T550" s="2"/>
      <c r="U550" s="2"/>
    </row>
    <row r="551" spans="13:21" x14ac:dyDescent="0.2">
      <c r="M551" s="2"/>
      <c r="N551" s="2"/>
      <c r="O551" s="2"/>
      <c r="P551" s="2"/>
      <c r="Q551" s="2"/>
      <c r="R551" s="2"/>
      <c r="S551" s="2"/>
      <c r="T551" s="2"/>
      <c r="U551" s="2"/>
    </row>
    <row r="552" spans="13:21" x14ac:dyDescent="0.2">
      <c r="M552" s="2"/>
      <c r="N552" s="2"/>
      <c r="O552" s="2"/>
      <c r="P552" s="2"/>
      <c r="Q552" s="2"/>
      <c r="R552" s="2"/>
      <c r="S552" s="2"/>
      <c r="T552" s="2"/>
      <c r="U552" s="2"/>
    </row>
    <row r="553" spans="13:21" x14ac:dyDescent="0.2">
      <c r="M553" s="2"/>
      <c r="N553" s="2"/>
      <c r="O553" s="2"/>
      <c r="P553" s="2"/>
      <c r="Q553" s="2"/>
      <c r="R553" s="2"/>
      <c r="S553" s="2"/>
      <c r="T553" s="2"/>
      <c r="U553" s="2"/>
    </row>
    <row r="554" spans="13:21" x14ac:dyDescent="0.2">
      <c r="M554" s="2"/>
      <c r="N554" s="2"/>
      <c r="O554" s="2"/>
      <c r="P554" s="2"/>
      <c r="Q554" s="2"/>
      <c r="R554" s="2"/>
      <c r="S554" s="2"/>
      <c r="T554" s="2"/>
      <c r="U554" s="2"/>
    </row>
    <row r="555" spans="13:21" x14ac:dyDescent="0.2">
      <c r="M555" s="2"/>
      <c r="N555" s="2"/>
      <c r="O555" s="2"/>
      <c r="P555" s="2"/>
      <c r="Q555" s="2"/>
      <c r="R555" s="2"/>
      <c r="S555" s="2"/>
      <c r="T555" s="2"/>
      <c r="U555" s="2"/>
    </row>
    <row r="556" spans="13:21" x14ac:dyDescent="0.2">
      <c r="M556" s="2"/>
      <c r="N556" s="2"/>
      <c r="O556" s="2"/>
      <c r="P556" s="2"/>
      <c r="Q556" s="2"/>
      <c r="R556" s="2"/>
      <c r="S556" s="2"/>
      <c r="T556" s="2"/>
      <c r="U556" s="2"/>
    </row>
    <row r="557" spans="13:21" x14ac:dyDescent="0.2">
      <c r="M557" s="2"/>
      <c r="N557" s="2"/>
      <c r="O557" s="2"/>
      <c r="P557" s="2"/>
      <c r="Q557" s="2"/>
      <c r="R557" s="2"/>
      <c r="S557" s="2"/>
      <c r="T557" s="2"/>
      <c r="U557" s="2"/>
    </row>
    <row r="558" spans="13:21" x14ac:dyDescent="0.2">
      <c r="M558" s="2"/>
      <c r="N558" s="2"/>
      <c r="O558" s="2"/>
      <c r="P558" s="2"/>
      <c r="Q558" s="2"/>
      <c r="R558" s="2"/>
      <c r="S558" s="2"/>
      <c r="T558" s="2"/>
      <c r="U558" s="2"/>
    </row>
    <row r="559" spans="13:21" x14ac:dyDescent="0.2">
      <c r="M559" s="2"/>
      <c r="N559" s="2"/>
      <c r="O559" s="2"/>
      <c r="P559" s="2"/>
      <c r="Q559" s="2"/>
      <c r="R559" s="2"/>
      <c r="S559" s="2"/>
      <c r="T559" s="2"/>
      <c r="U559" s="2"/>
    </row>
    <row r="560" spans="13:21" x14ac:dyDescent="0.2">
      <c r="M560" s="2"/>
      <c r="N560" s="2"/>
      <c r="O560" s="2"/>
      <c r="P560" s="2"/>
      <c r="Q560" s="2"/>
      <c r="R560" s="2"/>
      <c r="S560" s="2"/>
      <c r="T560" s="2"/>
      <c r="U560" s="2"/>
    </row>
    <row r="561" spans="13:21" x14ac:dyDescent="0.2">
      <c r="M561" s="2"/>
      <c r="N561" s="2"/>
      <c r="O561" s="2"/>
      <c r="P561" s="2"/>
      <c r="Q561" s="2"/>
      <c r="R561" s="2"/>
      <c r="S561" s="2"/>
      <c r="T561" s="2"/>
      <c r="U561" s="2"/>
    </row>
    <row r="562" spans="13:21" x14ac:dyDescent="0.2">
      <c r="M562" s="2"/>
      <c r="N562" s="2"/>
      <c r="O562" s="2"/>
      <c r="P562" s="2"/>
      <c r="Q562" s="2"/>
      <c r="R562" s="2"/>
      <c r="S562" s="2"/>
      <c r="T562" s="2"/>
      <c r="U562" s="2"/>
    </row>
    <row r="563" spans="13:21" x14ac:dyDescent="0.2">
      <c r="M563" s="2"/>
      <c r="N563" s="2"/>
      <c r="O563" s="2"/>
      <c r="P563" s="2"/>
      <c r="Q563" s="2"/>
      <c r="R563" s="2"/>
      <c r="S563" s="2"/>
      <c r="T563" s="2"/>
      <c r="U563" s="2"/>
    </row>
    <row r="564" spans="13:21" x14ac:dyDescent="0.2">
      <c r="M564" s="2"/>
      <c r="N564" s="2"/>
      <c r="O564" s="2"/>
      <c r="P564" s="2"/>
      <c r="Q564" s="2"/>
      <c r="R564" s="2"/>
      <c r="S564" s="2"/>
      <c r="T564" s="2"/>
      <c r="U564" s="2"/>
    </row>
    <row r="565" spans="13:21" x14ac:dyDescent="0.2">
      <c r="M565" s="2"/>
      <c r="N565" s="2"/>
      <c r="O565" s="2"/>
      <c r="P565" s="2"/>
      <c r="Q565" s="2"/>
      <c r="R565" s="2"/>
      <c r="S565" s="2"/>
      <c r="T565" s="2"/>
      <c r="U565" s="2"/>
    </row>
    <row r="566" spans="13:21" x14ac:dyDescent="0.2">
      <c r="M566" s="2"/>
      <c r="N566" s="2"/>
      <c r="O566" s="2"/>
      <c r="P566" s="2"/>
      <c r="Q566" s="2"/>
      <c r="R566" s="2"/>
      <c r="S566" s="2"/>
      <c r="T566" s="2"/>
      <c r="U566" s="2"/>
    </row>
    <row r="567" spans="13:21" x14ac:dyDescent="0.2">
      <c r="M567" s="2"/>
      <c r="N567" s="2"/>
      <c r="O567" s="2"/>
      <c r="P567" s="2"/>
      <c r="Q567" s="2"/>
      <c r="R567" s="2"/>
      <c r="S567" s="2"/>
      <c r="T567" s="2"/>
      <c r="U567" s="2"/>
    </row>
    <row r="568" spans="13:21" x14ac:dyDescent="0.2">
      <c r="M568" s="2"/>
      <c r="N568" s="2"/>
      <c r="O568" s="2"/>
      <c r="P568" s="2"/>
      <c r="Q568" s="2"/>
      <c r="R568" s="2"/>
      <c r="S568" s="2"/>
      <c r="T568" s="2"/>
      <c r="U568" s="2"/>
    </row>
    <row r="569" spans="13:21" x14ac:dyDescent="0.2">
      <c r="M569" s="2"/>
      <c r="N569" s="2"/>
      <c r="O569" s="2"/>
      <c r="P569" s="2"/>
      <c r="Q569" s="2"/>
      <c r="R569" s="2"/>
      <c r="S569" s="2"/>
      <c r="T569" s="2"/>
      <c r="U569" s="2"/>
    </row>
    <row r="570" spans="13:21" x14ac:dyDescent="0.2">
      <c r="M570" s="2"/>
      <c r="N570" s="2"/>
      <c r="O570" s="2"/>
      <c r="P570" s="2"/>
      <c r="Q570" s="2"/>
      <c r="R570" s="2"/>
      <c r="S570" s="2"/>
      <c r="T570" s="2"/>
      <c r="U570" s="2"/>
    </row>
    <row r="571" spans="13:21" x14ac:dyDescent="0.2">
      <c r="M571" s="2"/>
      <c r="N571" s="2"/>
      <c r="O571" s="2"/>
      <c r="P571" s="2"/>
      <c r="Q571" s="2"/>
      <c r="R571" s="2"/>
      <c r="S571" s="2"/>
      <c r="T571" s="2"/>
      <c r="U571" s="2"/>
    </row>
    <row r="572" spans="13:21" x14ac:dyDescent="0.2">
      <c r="M572" s="2"/>
      <c r="N572" s="2"/>
      <c r="O572" s="2"/>
      <c r="P572" s="2"/>
      <c r="Q572" s="2"/>
      <c r="R572" s="2"/>
      <c r="S572" s="2"/>
      <c r="T572" s="2"/>
      <c r="U572" s="2"/>
    </row>
    <row r="573" spans="13:21" x14ac:dyDescent="0.2">
      <c r="M573" s="2"/>
      <c r="N573" s="2"/>
      <c r="O573" s="2"/>
      <c r="P573" s="2"/>
      <c r="Q573" s="2"/>
      <c r="R573" s="2"/>
      <c r="S573" s="2"/>
      <c r="T573" s="2"/>
      <c r="U573" s="2"/>
    </row>
    <row r="574" spans="13:21" x14ac:dyDescent="0.2">
      <c r="M574" s="2"/>
      <c r="N574" s="2"/>
      <c r="O574" s="2"/>
      <c r="P574" s="2"/>
      <c r="Q574" s="2"/>
      <c r="R574" s="2"/>
      <c r="S574" s="2"/>
      <c r="T574" s="2"/>
      <c r="U574" s="2"/>
    </row>
    <row r="575" spans="13:21" x14ac:dyDescent="0.2">
      <c r="M575" s="2"/>
      <c r="N575" s="2"/>
      <c r="O575" s="2"/>
      <c r="P575" s="2"/>
      <c r="Q575" s="2"/>
      <c r="R575" s="2"/>
      <c r="S575" s="2"/>
      <c r="T575" s="2"/>
      <c r="U575" s="2"/>
    </row>
    <row r="576" spans="13:21" x14ac:dyDescent="0.2">
      <c r="M576" s="2"/>
      <c r="N576" s="2"/>
      <c r="O576" s="2"/>
      <c r="P576" s="2"/>
      <c r="Q576" s="2"/>
      <c r="R576" s="2"/>
      <c r="S576" s="2"/>
      <c r="T576" s="2"/>
      <c r="U576" s="2"/>
    </row>
    <row r="577" spans="13:21" x14ac:dyDescent="0.2">
      <c r="M577" s="2"/>
      <c r="N577" s="2"/>
      <c r="O577" s="2"/>
      <c r="P577" s="2"/>
      <c r="Q577" s="2"/>
      <c r="R577" s="2"/>
      <c r="S577" s="2"/>
      <c r="T577" s="2"/>
      <c r="U577" s="2"/>
    </row>
    <row r="578" spans="13:21" x14ac:dyDescent="0.2">
      <c r="M578" s="2"/>
      <c r="N578" s="2"/>
      <c r="O578" s="2"/>
      <c r="P578" s="2"/>
      <c r="Q578" s="2"/>
      <c r="R578" s="2"/>
      <c r="S578" s="2"/>
      <c r="T578" s="2"/>
      <c r="U578" s="2"/>
    </row>
    <row r="579" spans="13:21" x14ac:dyDescent="0.2">
      <c r="M579" s="2"/>
      <c r="N579" s="2"/>
      <c r="O579" s="2"/>
      <c r="P579" s="2"/>
      <c r="Q579" s="2"/>
      <c r="R579" s="2"/>
      <c r="S579" s="2"/>
      <c r="T579" s="2"/>
      <c r="U579" s="2"/>
    </row>
    <row r="580" spans="13:21" x14ac:dyDescent="0.2">
      <c r="M580" s="2"/>
      <c r="N580" s="2"/>
      <c r="O580" s="2"/>
      <c r="P580" s="2"/>
      <c r="Q580" s="2"/>
      <c r="R580" s="2"/>
      <c r="S580" s="2"/>
      <c r="T580" s="2"/>
      <c r="U580" s="2"/>
    </row>
    <row r="581" spans="13:21" x14ac:dyDescent="0.2">
      <c r="M581" s="2"/>
      <c r="N581" s="2"/>
      <c r="O581" s="2"/>
      <c r="P581" s="2"/>
      <c r="Q581" s="2"/>
      <c r="R581" s="2"/>
      <c r="S581" s="2"/>
      <c r="T581" s="2"/>
      <c r="U581" s="2"/>
    </row>
    <row r="582" spans="13:21" x14ac:dyDescent="0.2">
      <c r="M582" s="2"/>
      <c r="N582" s="2"/>
      <c r="O582" s="2"/>
      <c r="P582" s="2"/>
      <c r="Q582" s="2"/>
      <c r="R582" s="2"/>
      <c r="S582" s="2"/>
      <c r="T582" s="2"/>
      <c r="U582" s="2"/>
    </row>
    <row r="583" spans="13:21" x14ac:dyDescent="0.2">
      <c r="M583" s="2"/>
      <c r="N583" s="2"/>
      <c r="O583" s="2"/>
      <c r="P583" s="2"/>
      <c r="Q583" s="2"/>
      <c r="R583" s="2"/>
      <c r="S583" s="2"/>
      <c r="T583" s="2"/>
      <c r="U583" s="2"/>
    </row>
    <row r="584" spans="13:21" x14ac:dyDescent="0.2">
      <c r="M584" s="2"/>
      <c r="N584" s="2"/>
      <c r="O584" s="2"/>
      <c r="P584" s="2"/>
      <c r="Q584" s="2"/>
      <c r="R584" s="2"/>
      <c r="S584" s="2"/>
      <c r="T584" s="2"/>
      <c r="U584" s="2"/>
    </row>
    <row r="585" spans="13:21" x14ac:dyDescent="0.2">
      <c r="M585" s="2"/>
      <c r="N585" s="2"/>
      <c r="O585" s="2"/>
      <c r="P585" s="2"/>
      <c r="Q585" s="2"/>
      <c r="R585" s="2"/>
      <c r="S585" s="2"/>
      <c r="T585" s="2"/>
      <c r="U585" s="2"/>
    </row>
    <row r="586" spans="13:21" x14ac:dyDescent="0.2">
      <c r="M586" s="2"/>
      <c r="N586" s="2"/>
      <c r="O586" s="2"/>
      <c r="P586" s="2"/>
      <c r="Q586" s="2"/>
      <c r="R586" s="2"/>
      <c r="S586" s="2"/>
      <c r="T586" s="2"/>
      <c r="U586" s="2"/>
    </row>
    <row r="587" spans="13:21" x14ac:dyDescent="0.2">
      <c r="M587" s="2"/>
      <c r="N587" s="2"/>
      <c r="O587" s="2"/>
      <c r="P587" s="2"/>
      <c r="Q587" s="2"/>
      <c r="R587" s="2"/>
      <c r="S587" s="2"/>
      <c r="T587" s="2"/>
      <c r="U587" s="2"/>
    </row>
    <row r="588" spans="13:21" x14ac:dyDescent="0.2">
      <c r="M588" s="2"/>
      <c r="N588" s="2"/>
      <c r="O588" s="2"/>
      <c r="P588" s="2"/>
      <c r="Q588" s="2"/>
      <c r="R588" s="2"/>
      <c r="S588" s="2"/>
      <c r="T588" s="2"/>
      <c r="U588" s="2"/>
    </row>
    <row r="589" spans="13:21" x14ac:dyDescent="0.2">
      <c r="M589" s="2"/>
      <c r="N589" s="2"/>
      <c r="O589" s="2"/>
      <c r="P589" s="2"/>
      <c r="Q589" s="2"/>
      <c r="R589" s="2"/>
      <c r="S589" s="2"/>
      <c r="T589" s="2"/>
      <c r="U589" s="2"/>
    </row>
    <row r="590" spans="13:21" x14ac:dyDescent="0.2">
      <c r="M590" s="2"/>
      <c r="N590" s="2"/>
      <c r="O590" s="2"/>
      <c r="P590" s="2"/>
      <c r="Q590" s="2"/>
      <c r="R590" s="2"/>
      <c r="S590" s="2"/>
      <c r="T590" s="2"/>
      <c r="U590" s="2"/>
    </row>
    <row r="591" spans="13:21" x14ac:dyDescent="0.2">
      <c r="M591" s="2"/>
      <c r="N591" s="2"/>
      <c r="O591" s="2"/>
      <c r="P591" s="2"/>
      <c r="Q591" s="2"/>
      <c r="R591" s="2"/>
      <c r="S591" s="2"/>
      <c r="T591" s="2"/>
      <c r="U591" s="2"/>
    </row>
    <row r="592" spans="13:21" x14ac:dyDescent="0.2">
      <c r="M592" s="2"/>
      <c r="N592" s="2"/>
      <c r="O592" s="2"/>
      <c r="P592" s="2"/>
      <c r="Q592" s="2"/>
      <c r="R592" s="2"/>
      <c r="S592" s="2"/>
      <c r="T592" s="2"/>
      <c r="U592" s="2"/>
    </row>
    <row r="593" spans="13:21" x14ac:dyDescent="0.2">
      <c r="M593" s="2"/>
      <c r="N593" s="2"/>
      <c r="O593" s="2"/>
      <c r="P593" s="2"/>
      <c r="Q593" s="2"/>
      <c r="R593" s="2"/>
      <c r="S593" s="2"/>
      <c r="T593" s="2"/>
      <c r="U593" s="2"/>
    </row>
    <row r="594" spans="13:21" x14ac:dyDescent="0.2">
      <c r="M594" s="2"/>
      <c r="N594" s="2"/>
      <c r="O594" s="2"/>
      <c r="P594" s="2"/>
      <c r="Q594" s="2"/>
      <c r="R594" s="2"/>
      <c r="S594" s="2"/>
      <c r="T594" s="2"/>
      <c r="U594" s="2"/>
    </row>
    <row r="595" spans="13:21" x14ac:dyDescent="0.2">
      <c r="M595" s="2"/>
      <c r="N595" s="2"/>
      <c r="O595" s="2"/>
      <c r="P595" s="2"/>
      <c r="Q595" s="2"/>
      <c r="R595" s="2"/>
      <c r="S595" s="2"/>
      <c r="T595" s="2"/>
      <c r="U595" s="2"/>
    </row>
    <row r="596" spans="13:21" x14ac:dyDescent="0.2">
      <c r="M596" s="2"/>
      <c r="N596" s="2"/>
      <c r="O596" s="2"/>
      <c r="P596" s="2"/>
      <c r="Q596" s="2"/>
      <c r="R596" s="2"/>
      <c r="S596" s="2"/>
      <c r="T596" s="2"/>
      <c r="U596" s="2"/>
    </row>
    <row r="597" spans="13:21" x14ac:dyDescent="0.2">
      <c r="M597" s="2"/>
      <c r="N597" s="2"/>
      <c r="O597" s="2"/>
      <c r="P597" s="2"/>
      <c r="Q597" s="2"/>
      <c r="R597" s="2"/>
      <c r="S597" s="2"/>
      <c r="T597" s="2"/>
      <c r="U597" s="2"/>
    </row>
    <row r="598" spans="13:21" x14ac:dyDescent="0.2">
      <c r="M598" s="2"/>
      <c r="N598" s="2"/>
      <c r="O598" s="2"/>
      <c r="P598" s="2"/>
      <c r="Q598" s="2"/>
      <c r="R598" s="2"/>
      <c r="S598" s="2"/>
      <c r="T598" s="2"/>
      <c r="U598" s="2"/>
    </row>
    <row r="599" spans="13:21" x14ac:dyDescent="0.2">
      <c r="M599" s="2"/>
      <c r="N599" s="2"/>
      <c r="O599" s="2"/>
      <c r="P599" s="2"/>
      <c r="Q599" s="2"/>
      <c r="R599" s="2"/>
      <c r="S599" s="2"/>
      <c r="T599" s="2"/>
      <c r="U599" s="2"/>
    </row>
    <row r="600" spans="13:21" x14ac:dyDescent="0.2">
      <c r="M600" s="2"/>
      <c r="N600" s="2"/>
      <c r="O600" s="2"/>
      <c r="P600" s="2"/>
      <c r="Q600" s="2"/>
      <c r="R600" s="2"/>
      <c r="S600" s="2"/>
      <c r="T600" s="2"/>
      <c r="U600" s="2"/>
    </row>
    <row r="601" spans="13:21" x14ac:dyDescent="0.2">
      <c r="M601" s="2"/>
      <c r="N601" s="2"/>
      <c r="O601" s="2"/>
      <c r="P601" s="2"/>
      <c r="Q601" s="2"/>
      <c r="R601" s="2"/>
      <c r="S601" s="2"/>
      <c r="T601" s="2"/>
      <c r="U601" s="2"/>
    </row>
    <row r="602" spans="13:21" x14ac:dyDescent="0.2">
      <c r="M602" s="2"/>
      <c r="N602" s="2"/>
      <c r="O602" s="2"/>
      <c r="P602" s="2"/>
      <c r="Q602" s="2"/>
      <c r="R602" s="2"/>
      <c r="S602" s="2"/>
      <c r="T602" s="2"/>
      <c r="U602" s="2"/>
    </row>
    <row r="603" spans="13:21" x14ac:dyDescent="0.2">
      <c r="M603" s="2"/>
      <c r="N603" s="2"/>
      <c r="O603" s="2"/>
      <c r="P603" s="2"/>
      <c r="Q603" s="2"/>
      <c r="R603" s="2"/>
      <c r="S603" s="2"/>
      <c r="T603" s="2"/>
      <c r="U603" s="2"/>
    </row>
    <row r="604" spans="13:21" x14ac:dyDescent="0.2">
      <c r="M604" s="2"/>
      <c r="N604" s="2"/>
      <c r="O604" s="2"/>
      <c r="P604" s="2"/>
      <c r="Q604" s="2"/>
      <c r="R604" s="2"/>
      <c r="S604" s="2"/>
      <c r="T604" s="2"/>
      <c r="U604" s="2"/>
    </row>
    <row r="605" spans="13:21" x14ac:dyDescent="0.2">
      <c r="M605" s="2"/>
      <c r="N605" s="2"/>
      <c r="O605" s="2"/>
      <c r="P605" s="2"/>
      <c r="Q605" s="2"/>
      <c r="R605" s="2"/>
      <c r="S605" s="2"/>
      <c r="T605" s="2"/>
      <c r="U605" s="2"/>
    </row>
    <row r="606" spans="13:21" x14ac:dyDescent="0.2">
      <c r="M606" s="2"/>
      <c r="N606" s="2"/>
      <c r="O606" s="2"/>
      <c r="P606" s="2"/>
      <c r="Q606" s="2"/>
      <c r="R606" s="2"/>
      <c r="S606" s="2"/>
      <c r="T606" s="2"/>
      <c r="U606" s="2"/>
    </row>
    <row r="607" spans="13:21" x14ac:dyDescent="0.2">
      <c r="M607" s="2"/>
      <c r="N607" s="2"/>
      <c r="O607" s="2"/>
      <c r="P607" s="2"/>
      <c r="Q607" s="2"/>
      <c r="R607" s="2"/>
      <c r="S607" s="2"/>
      <c r="T607" s="2"/>
      <c r="U607" s="2"/>
    </row>
    <row r="608" spans="13:21" x14ac:dyDescent="0.2">
      <c r="M608" s="2"/>
      <c r="N608" s="2"/>
      <c r="O608" s="2"/>
      <c r="P608" s="2"/>
      <c r="Q608" s="2"/>
      <c r="R608" s="2"/>
      <c r="S608" s="2"/>
      <c r="T608" s="2"/>
      <c r="U608" s="2"/>
    </row>
    <row r="609" spans="13:21" x14ac:dyDescent="0.2">
      <c r="M609" s="2"/>
      <c r="N609" s="2"/>
      <c r="O609" s="2"/>
      <c r="P609" s="2"/>
      <c r="Q609" s="2"/>
      <c r="R609" s="2"/>
      <c r="S609" s="2"/>
      <c r="T609" s="2"/>
      <c r="U609" s="2"/>
    </row>
    <row r="610" spans="13:21" x14ac:dyDescent="0.2">
      <c r="M610" s="2"/>
      <c r="N610" s="2"/>
      <c r="O610" s="2"/>
      <c r="P610" s="2"/>
      <c r="Q610" s="2"/>
      <c r="R610" s="2"/>
      <c r="S610" s="2"/>
      <c r="T610" s="2"/>
      <c r="U610" s="2"/>
    </row>
    <row r="611" spans="13:21" x14ac:dyDescent="0.2">
      <c r="M611" s="2"/>
      <c r="N611" s="2"/>
      <c r="O611" s="2"/>
      <c r="P611" s="2"/>
      <c r="Q611" s="2"/>
      <c r="R611" s="2"/>
      <c r="S611" s="2"/>
      <c r="T611" s="2"/>
      <c r="U611" s="2"/>
    </row>
    <row r="612" spans="13:21" x14ac:dyDescent="0.2">
      <c r="M612" s="2"/>
      <c r="N612" s="2"/>
      <c r="O612" s="2"/>
      <c r="P612" s="2"/>
      <c r="Q612" s="2"/>
      <c r="R612" s="2"/>
      <c r="S612" s="2"/>
      <c r="T612" s="2"/>
      <c r="U612" s="2"/>
    </row>
    <row r="613" spans="13:21" x14ac:dyDescent="0.2">
      <c r="M613" s="2"/>
      <c r="N613" s="2"/>
      <c r="O613" s="2"/>
      <c r="P613" s="2"/>
      <c r="Q613" s="2"/>
      <c r="R613" s="2"/>
      <c r="S613" s="2"/>
      <c r="T613" s="2"/>
      <c r="U613" s="2"/>
    </row>
    <row r="614" spans="13:21" x14ac:dyDescent="0.2">
      <c r="M614" s="2"/>
      <c r="N614" s="2"/>
      <c r="O614" s="2"/>
      <c r="P614" s="2"/>
      <c r="Q614" s="2"/>
      <c r="R614" s="2"/>
      <c r="S614" s="2"/>
      <c r="T614" s="2"/>
      <c r="U614" s="2"/>
    </row>
    <row r="615" spans="13:21" x14ac:dyDescent="0.2">
      <c r="M615" s="2"/>
      <c r="N615" s="2"/>
      <c r="O615" s="2"/>
      <c r="P615" s="2"/>
      <c r="Q615" s="2"/>
      <c r="R615" s="2"/>
      <c r="S615" s="2"/>
      <c r="T615" s="2"/>
      <c r="U615" s="2"/>
    </row>
    <row r="616" spans="13:21" x14ac:dyDescent="0.2">
      <c r="M616" s="2"/>
      <c r="N616" s="2"/>
      <c r="O616" s="2"/>
      <c r="P616" s="2"/>
      <c r="Q616" s="2"/>
      <c r="R616" s="2"/>
      <c r="S616" s="2"/>
      <c r="T616" s="2"/>
      <c r="U616" s="2"/>
    </row>
    <row r="617" spans="13:21" x14ac:dyDescent="0.2">
      <c r="M617" s="2"/>
      <c r="N617" s="2"/>
      <c r="O617" s="2"/>
      <c r="P617" s="2"/>
      <c r="Q617" s="2"/>
      <c r="R617" s="2"/>
      <c r="S617" s="2"/>
      <c r="T617" s="2"/>
      <c r="U617" s="2"/>
    </row>
    <row r="618" spans="13:21" x14ac:dyDescent="0.2">
      <c r="M618" s="2"/>
      <c r="N618" s="2"/>
      <c r="O618" s="2"/>
      <c r="P618" s="2"/>
      <c r="Q618" s="2"/>
      <c r="R618" s="2"/>
      <c r="S618" s="2"/>
      <c r="T618" s="2"/>
      <c r="U618" s="2"/>
    </row>
    <row r="619" spans="13:21" x14ac:dyDescent="0.2">
      <c r="M619" s="2"/>
      <c r="N619" s="2"/>
      <c r="O619" s="2"/>
      <c r="P619" s="2"/>
      <c r="Q619" s="2"/>
      <c r="R619" s="2"/>
      <c r="S619" s="2"/>
      <c r="T619" s="2"/>
      <c r="U619" s="2"/>
    </row>
    <row r="620" spans="13:21" x14ac:dyDescent="0.2">
      <c r="M620" s="2"/>
      <c r="N620" s="2"/>
      <c r="O620" s="2"/>
      <c r="P620" s="2"/>
      <c r="Q620" s="2"/>
      <c r="R620" s="2"/>
      <c r="S620" s="2"/>
      <c r="T620" s="2"/>
      <c r="U620" s="2"/>
    </row>
    <row r="621" spans="13:21" x14ac:dyDescent="0.2">
      <c r="M621" s="2"/>
      <c r="N621" s="2"/>
      <c r="O621" s="2"/>
      <c r="P621" s="2"/>
      <c r="Q621" s="2"/>
      <c r="R621" s="2"/>
      <c r="S621" s="2"/>
      <c r="T621" s="2"/>
      <c r="U621" s="2"/>
    </row>
    <row r="622" spans="13:21" x14ac:dyDescent="0.2">
      <c r="M622" s="2"/>
      <c r="N622" s="2"/>
      <c r="O622" s="2"/>
      <c r="P622" s="2"/>
      <c r="Q622" s="2"/>
      <c r="R622" s="2"/>
      <c r="S622" s="2"/>
      <c r="T622" s="2"/>
      <c r="U622" s="2"/>
    </row>
    <row r="623" spans="13:21" x14ac:dyDescent="0.2">
      <c r="M623" s="2"/>
      <c r="N623" s="2"/>
      <c r="O623" s="2"/>
      <c r="P623" s="2"/>
      <c r="Q623" s="2"/>
      <c r="R623" s="2"/>
      <c r="S623" s="2"/>
      <c r="T623" s="2"/>
      <c r="U623" s="2"/>
    </row>
    <row r="624" spans="13:21" x14ac:dyDescent="0.2">
      <c r="M624" s="2"/>
      <c r="N624" s="2"/>
      <c r="O624" s="2"/>
      <c r="P624" s="2"/>
      <c r="Q624" s="2"/>
      <c r="R624" s="2"/>
      <c r="S624" s="2"/>
      <c r="T624" s="2"/>
      <c r="U624" s="2"/>
    </row>
    <row r="625" spans="13:21" x14ac:dyDescent="0.2">
      <c r="M625" s="2"/>
      <c r="N625" s="2"/>
      <c r="O625" s="2"/>
      <c r="P625" s="2"/>
      <c r="Q625" s="2"/>
      <c r="R625" s="2"/>
      <c r="S625" s="2"/>
      <c r="T625" s="2"/>
      <c r="U625" s="2"/>
    </row>
    <row r="626" spans="13:21" x14ac:dyDescent="0.2">
      <c r="M626" s="2"/>
      <c r="N626" s="2"/>
      <c r="O626" s="2"/>
      <c r="P626" s="2"/>
      <c r="Q626" s="2"/>
      <c r="R626" s="2"/>
      <c r="S626" s="2"/>
      <c r="T626" s="2"/>
      <c r="U626" s="2"/>
    </row>
    <row r="627" spans="13:21" x14ac:dyDescent="0.2">
      <c r="M627" s="2"/>
      <c r="N627" s="2"/>
      <c r="O627" s="2"/>
      <c r="P627" s="2"/>
      <c r="Q627" s="2"/>
      <c r="R627" s="2"/>
      <c r="S627" s="2"/>
      <c r="T627" s="2"/>
      <c r="U627" s="2"/>
    </row>
    <row r="628" spans="13:21" x14ac:dyDescent="0.2">
      <c r="M628" s="2"/>
      <c r="N628" s="2"/>
      <c r="O628" s="2"/>
      <c r="P628" s="2"/>
      <c r="Q628" s="2"/>
      <c r="R628" s="2"/>
      <c r="S628" s="2"/>
      <c r="T628" s="2"/>
      <c r="U628" s="2"/>
    </row>
    <row r="629" spans="13:21" x14ac:dyDescent="0.2">
      <c r="M629" s="2"/>
      <c r="N629" s="2"/>
      <c r="O629" s="2"/>
      <c r="P629" s="2"/>
      <c r="Q629" s="2"/>
      <c r="R629" s="2"/>
      <c r="S629" s="2"/>
      <c r="T629" s="2"/>
      <c r="U629" s="2"/>
    </row>
    <row r="630" spans="13:21" x14ac:dyDescent="0.2">
      <c r="M630" s="2"/>
      <c r="N630" s="2"/>
      <c r="O630" s="2"/>
      <c r="P630" s="2"/>
      <c r="Q630" s="2"/>
      <c r="R630" s="2"/>
      <c r="S630" s="2"/>
      <c r="T630" s="2"/>
      <c r="U630" s="2"/>
    </row>
    <row r="631" spans="13:21" x14ac:dyDescent="0.2">
      <c r="M631" s="2"/>
      <c r="N631" s="2"/>
      <c r="O631" s="2"/>
      <c r="P631" s="2"/>
      <c r="Q631" s="2"/>
      <c r="R631" s="2"/>
      <c r="S631" s="2"/>
      <c r="T631" s="2"/>
      <c r="U631" s="2"/>
    </row>
    <row r="632" spans="13:21" x14ac:dyDescent="0.2">
      <c r="M632" s="2"/>
      <c r="N632" s="2"/>
      <c r="O632" s="2"/>
      <c r="P632" s="2"/>
      <c r="Q632" s="2"/>
      <c r="R632" s="2"/>
      <c r="S632" s="2"/>
      <c r="T632" s="2"/>
      <c r="U632" s="2"/>
    </row>
    <row r="633" spans="13:21" x14ac:dyDescent="0.2">
      <c r="M633" s="2"/>
      <c r="N633" s="2"/>
      <c r="O633" s="2"/>
      <c r="P633" s="2"/>
      <c r="Q633" s="2"/>
      <c r="R633" s="2"/>
      <c r="S633" s="2"/>
      <c r="T633" s="2"/>
      <c r="U633" s="2"/>
    </row>
    <row r="634" spans="13:21" x14ac:dyDescent="0.2">
      <c r="M634" s="2"/>
      <c r="N634" s="2"/>
      <c r="O634" s="2"/>
      <c r="P634" s="2"/>
      <c r="Q634" s="2"/>
      <c r="R634" s="2"/>
      <c r="S634" s="2"/>
      <c r="T634" s="2"/>
      <c r="U634" s="2"/>
    </row>
    <row r="635" spans="13:21" x14ac:dyDescent="0.2">
      <c r="M635" s="2"/>
      <c r="N635" s="2"/>
      <c r="O635" s="2"/>
      <c r="P635" s="2"/>
      <c r="Q635" s="2"/>
      <c r="R635" s="2"/>
      <c r="S635" s="2"/>
      <c r="T635" s="2"/>
      <c r="U635" s="2"/>
    </row>
    <row r="636" spans="13:21" x14ac:dyDescent="0.2">
      <c r="M636" s="2"/>
      <c r="N636" s="2"/>
      <c r="O636" s="2"/>
      <c r="P636" s="2"/>
      <c r="Q636" s="2"/>
      <c r="R636" s="2"/>
      <c r="S636" s="2"/>
      <c r="T636" s="2"/>
      <c r="U636" s="2"/>
    </row>
    <row r="637" spans="13:21" x14ac:dyDescent="0.2">
      <c r="M637" s="2"/>
      <c r="N637" s="2"/>
      <c r="O637" s="2"/>
      <c r="P637" s="2"/>
      <c r="Q637" s="2"/>
      <c r="R637" s="2"/>
      <c r="S637" s="2"/>
      <c r="T637" s="2"/>
      <c r="U637" s="2"/>
    </row>
    <row r="638" spans="13:21" x14ac:dyDescent="0.2">
      <c r="M638" s="2"/>
      <c r="N638" s="2"/>
      <c r="O638" s="2"/>
      <c r="P638" s="2"/>
      <c r="Q638" s="2"/>
      <c r="R638" s="2"/>
      <c r="S638" s="2"/>
      <c r="T638" s="2"/>
      <c r="U638" s="2"/>
    </row>
    <row r="639" spans="13:21" x14ac:dyDescent="0.2">
      <c r="M639" s="2"/>
      <c r="N639" s="2"/>
      <c r="O639" s="2"/>
      <c r="P639" s="2"/>
      <c r="Q639" s="2"/>
      <c r="R639" s="2"/>
      <c r="S639" s="2"/>
      <c r="T639" s="2"/>
      <c r="U639" s="2"/>
    </row>
    <row r="640" spans="13:21" x14ac:dyDescent="0.2">
      <c r="M640" s="2"/>
      <c r="N640" s="2"/>
      <c r="O640" s="2"/>
      <c r="P640" s="2"/>
      <c r="Q640" s="2"/>
      <c r="R640" s="2"/>
      <c r="S640" s="2"/>
      <c r="T640" s="2"/>
      <c r="U640" s="2"/>
    </row>
    <row r="641" spans="13:21" x14ac:dyDescent="0.2">
      <c r="M641" s="2"/>
      <c r="N641" s="2"/>
      <c r="O641" s="2"/>
      <c r="P641" s="2"/>
      <c r="Q641" s="2"/>
      <c r="R641" s="2"/>
      <c r="S641" s="2"/>
      <c r="T641" s="2"/>
      <c r="U641" s="2"/>
    </row>
    <row r="642" spans="13:21" x14ac:dyDescent="0.2">
      <c r="M642" s="2"/>
      <c r="N642" s="2"/>
      <c r="O642" s="2"/>
      <c r="P642" s="2"/>
      <c r="Q642" s="2"/>
      <c r="R642" s="2"/>
      <c r="S642" s="2"/>
      <c r="T642" s="2"/>
      <c r="U642" s="2"/>
    </row>
    <row r="643" spans="13:21" x14ac:dyDescent="0.2">
      <c r="M643" s="2"/>
      <c r="N643" s="2"/>
      <c r="O643" s="2"/>
      <c r="P643" s="2"/>
      <c r="Q643" s="2"/>
      <c r="R643" s="2"/>
      <c r="S643" s="2"/>
      <c r="T643" s="2"/>
      <c r="U643" s="2"/>
    </row>
    <row r="644" spans="13:21" x14ac:dyDescent="0.2">
      <c r="M644" s="2"/>
      <c r="N644" s="2"/>
      <c r="O644" s="2"/>
      <c r="P644" s="2"/>
      <c r="Q644" s="2"/>
      <c r="R644" s="2"/>
      <c r="S644" s="2"/>
      <c r="T644" s="2"/>
      <c r="U644" s="2"/>
    </row>
    <row r="645" spans="13:21" x14ac:dyDescent="0.2">
      <c r="M645" s="2"/>
      <c r="N645" s="2"/>
      <c r="O645" s="2"/>
      <c r="P645" s="2"/>
      <c r="Q645" s="2"/>
      <c r="R645" s="2"/>
      <c r="S645" s="2"/>
      <c r="T645" s="2"/>
      <c r="U645" s="2"/>
    </row>
    <row r="646" spans="13:21" x14ac:dyDescent="0.2">
      <c r="M646" s="2"/>
      <c r="N646" s="2"/>
      <c r="O646" s="2"/>
      <c r="P646" s="2"/>
      <c r="Q646" s="2"/>
      <c r="R646" s="2"/>
      <c r="S646" s="2"/>
      <c r="T646" s="2"/>
      <c r="U646" s="2"/>
    </row>
    <row r="647" spans="13:21" x14ac:dyDescent="0.2">
      <c r="M647" s="2"/>
      <c r="N647" s="2"/>
      <c r="O647" s="2"/>
      <c r="P647" s="2"/>
      <c r="Q647" s="2"/>
      <c r="R647" s="2"/>
      <c r="S647" s="2"/>
      <c r="T647" s="2"/>
      <c r="U647" s="2"/>
    </row>
    <row r="648" spans="13:21" x14ac:dyDescent="0.2">
      <c r="M648" s="2"/>
      <c r="N648" s="2"/>
      <c r="O648" s="2"/>
      <c r="P648" s="2"/>
      <c r="Q648" s="2"/>
      <c r="R648" s="2"/>
      <c r="S648" s="2"/>
      <c r="T648" s="2"/>
      <c r="U648" s="2"/>
    </row>
    <row r="649" spans="13:21" x14ac:dyDescent="0.2">
      <c r="M649" s="2"/>
      <c r="N649" s="2"/>
      <c r="O649" s="2"/>
      <c r="P649" s="2"/>
      <c r="Q649" s="2"/>
      <c r="R649" s="2"/>
      <c r="S649" s="2"/>
      <c r="T649" s="2"/>
      <c r="U649" s="2"/>
    </row>
    <row r="650" spans="13:21" x14ac:dyDescent="0.2">
      <c r="M650" s="2"/>
      <c r="N650" s="2"/>
      <c r="O650" s="2"/>
      <c r="P650" s="2"/>
      <c r="Q650" s="2"/>
      <c r="R650" s="2"/>
      <c r="S650" s="2"/>
      <c r="T650" s="2"/>
      <c r="U650" s="2"/>
    </row>
    <row r="651" spans="13:21" x14ac:dyDescent="0.2">
      <c r="M651" s="2"/>
      <c r="N651" s="2"/>
      <c r="O651" s="2"/>
      <c r="P651" s="2"/>
      <c r="Q651" s="2"/>
      <c r="R651" s="2"/>
      <c r="S651" s="2"/>
      <c r="T651" s="2"/>
      <c r="U651" s="2"/>
    </row>
    <row r="652" spans="13:21" x14ac:dyDescent="0.2">
      <c r="M652" s="2"/>
      <c r="N652" s="2"/>
      <c r="O652" s="2"/>
      <c r="P652" s="2"/>
      <c r="Q652" s="2"/>
      <c r="R652" s="2"/>
      <c r="S652" s="2"/>
      <c r="T652" s="2"/>
      <c r="U652" s="2"/>
    </row>
    <row r="653" spans="13:21" x14ac:dyDescent="0.2">
      <c r="M653" s="2"/>
      <c r="N653" s="2"/>
      <c r="O653" s="2"/>
      <c r="P653" s="2"/>
      <c r="Q653" s="2"/>
      <c r="R653" s="2"/>
      <c r="S653" s="2"/>
      <c r="T653" s="2"/>
      <c r="U653" s="2"/>
    </row>
    <row r="654" spans="13:21" x14ac:dyDescent="0.2">
      <c r="M654" s="2"/>
      <c r="N654" s="2"/>
      <c r="O654" s="2"/>
      <c r="P654" s="2"/>
      <c r="Q654" s="2"/>
      <c r="R654" s="2"/>
      <c r="S654" s="2"/>
      <c r="T654" s="2"/>
      <c r="U654" s="2"/>
    </row>
    <row r="655" spans="13:21" x14ac:dyDescent="0.2">
      <c r="M655" s="2"/>
      <c r="N655" s="2"/>
      <c r="O655" s="2"/>
      <c r="P655" s="2"/>
      <c r="Q655" s="2"/>
      <c r="R655" s="2"/>
      <c r="S655" s="2"/>
      <c r="T655" s="2"/>
      <c r="U655" s="2"/>
    </row>
    <row r="656" spans="13:21" x14ac:dyDescent="0.2">
      <c r="M656" s="2"/>
      <c r="N656" s="2"/>
      <c r="O656" s="2"/>
      <c r="P656" s="2"/>
      <c r="Q656" s="2"/>
      <c r="R656" s="2"/>
      <c r="S656" s="2"/>
      <c r="T656" s="2"/>
      <c r="U656" s="2"/>
    </row>
    <row r="657" spans="13:21" x14ac:dyDescent="0.2">
      <c r="M657" s="2"/>
      <c r="N657" s="2"/>
      <c r="O657" s="2"/>
      <c r="P657" s="2"/>
      <c r="Q657" s="2"/>
      <c r="R657" s="2"/>
      <c r="S657" s="2"/>
      <c r="T657" s="2"/>
      <c r="U657" s="2"/>
    </row>
    <row r="658" spans="13:21" x14ac:dyDescent="0.2">
      <c r="M658" s="2"/>
      <c r="N658" s="2"/>
      <c r="O658" s="2"/>
      <c r="P658" s="2"/>
      <c r="Q658" s="2"/>
      <c r="R658" s="2"/>
      <c r="S658" s="2"/>
      <c r="T658" s="2"/>
      <c r="U658" s="2"/>
    </row>
    <row r="659" spans="13:21" x14ac:dyDescent="0.2">
      <c r="M659" s="2"/>
      <c r="N659" s="2"/>
      <c r="O659" s="2"/>
      <c r="P659" s="2"/>
      <c r="Q659" s="2"/>
      <c r="R659" s="2"/>
      <c r="S659" s="2"/>
      <c r="T659" s="2"/>
      <c r="U659" s="2"/>
    </row>
    <row r="660" spans="13:21" x14ac:dyDescent="0.2">
      <c r="M660" s="2"/>
      <c r="N660" s="2"/>
      <c r="O660" s="2"/>
      <c r="P660" s="2"/>
      <c r="Q660" s="2"/>
      <c r="R660" s="2"/>
      <c r="S660" s="2"/>
      <c r="T660" s="2"/>
      <c r="U660" s="2"/>
    </row>
    <row r="661" spans="13:21" x14ac:dyDescent="0.2">
      <c r="M661" s="2"/>
      <c r="N661" s="2"/>
      <c r="O661" s="2"/>
      <c r="P661" s="2"/>
      <c r="Q661" s="2"/>
      <c r="R661" s="2"/>
      <c r="S661" s="2"/>
      <c r="T661" s="2"/>
      <c r="U661" s="2"/>
    </row>
    <row r="662" spans="13:21" x14ac:dyDescent="0.2">
      <c r="M662" s="2"/>
      <c r="N662" s="2"/>
      <c r="O662" s="2"/>
      <c r="P662" s="2"/>
      <c r="Q662" s="2"/>
      <c r="R662" s="2"/>
      <c r="S662" s="2"/>
      <c r="T662" s="2"/>
      <c r="U662" s="2"/>
    </row>
    <row r="663" spans="13:21" x14ac:dyDescent="0.2">
      <c r="M663" s="2"/>
      <c r="N663" s="2"/>
      <c r="O663" s="2"/>
      <c r="P663" s="2"/>
      <c r="Q663" s="2"/>
      <c r="R663" s="2"/>
      <c r="S663" s="2"/>
      <c r="T663" s="2"/>
      <c r="U663" s="2"/>
    </row>
    <row r="664" spans="13:21" x14ac:dyDescent="0.2">
      <c r="M664" s="2"/>
      <c r="N664" s="2"/>
      <c r="O664" s="2"/>
      <c r="P664" s="2"/>
      <c r="Q664" s="2"/>
      <c r="R664" s="2"/>
      <c r="S664" s="2"/>
      <c r="T664" s="2"/>
      <c r="U664" s="2"/>
    </row>
    <row r="665" spans="13:21" x14ac:dyDescent="0.2">
      <c r="M665" s="2"/>
      <c r="N665" s="2"/>
      <c r="O665" s="2"/>
      <c r="P665" s="2"/>
      <c r="Q665" s="2"/>
      <c r="R665" s="2"/>
      <c r="S665" s="2"/>
      <c r="T665" s="2"/>
      <c r="U665" s="2"/>
    </row>
    <row r="666" spans="13:21" x14ac:dyDescent="0.2">
      <c r="M666" s="2"/>
      <c r="N666" s="2"/>
      <c r="O666" s="2"/>
      <c r="P666" s="2"/>
      <c r="Q666" s="2"/>
      <c r="R666" s="2"/>
      <c r="S666" s="2"/>
      <c r="T666" s="2"/>
      <c r="U666" s="2"/>
    </row>
    <row r="667" spans="13:21" x14ac:dyDescent="0.2">
      <c r="M667" s="2"/>
      <c r="N667" s="2"/>
      <c r="O667" s="2"/>
      <c r="P667" s="2"/>
      <c r="Q667" s="2"/>
      <c r="R667" s="2"/>
      <c r="S667" s="2"/>
      <c r="T667" s="2"/>
      <c r="U667" s="2"/>
    </row>
    <row r="668" spans="13:21" x14ac:dyDescent="0.2">
      <c r="M668" s="2"/>
      <c r="N668" s="2"/>
      <c r="O668" s="2"/>
      <c r="P668" s="2"/>
      <c r="Q668" s="2"/>
      <c r="R668" s="2"/>
      <c r="S668" s="2"/>
      <c r="T668" s="2"/>
      <c r="U668" s="2"/>
    </row>
    <row r="669" spans="13:21" x14ac:dyDescent="0.2">
      <c r="M669" s="2"/>
      <c r="N669" s="2"/>
      <c r="O669" s="2"/>
      <c r="P669" s="2"/>
      <c r="Q669" s="2"/>
      <c r="R669" s="2"/>
      <c r="S669" s="2"/>
      <c r="T669" s="2"/>
      <c r="U669" s="2"/>
    </row>
    <row r="670" spans="13:21" x14ac:dyDescent="0.2">
      <c r="M670" s="2"/>
      <c r="N670" s="2"/>
      <c r="O670" s="2"/>
      <c r="P670" s="2"/>
      <c r="Q670" s="2"/>
      <c r="R670" s="2"/>
      <c r="S670" s="2"/>
      <c r="T670" s="2"/>
      <c r="U670" s="2"/>
    </row>
    <row r="671" spans="13:21" x14ac:dyDescent="0.2">
      <c r="M671" s="2"/>
      <c r="N671" s="2"/>
      <c r="O671" s="2"/>
      <c r="P671" s="2"/>
      <c r="Q671" s="2"/>
      <c r="R671" s="2"/>
      <c r="S671" s="2"/>
      <c r="T671" s="2"/>
      <c r="U671" s="2"/>
    </row>
    <row r="672" spans="13:21" x14ac:dyDescent="0.2">
      <c r="M672" s="2"/>
      <c r="N672" s="2"/>
      <c r="O672" s="2"/>
      <c r="P672" s="2"/>
      <c r="Q672" s="2"/>
      <c r="R672" s="2"/>
      <c r="S672" s="2"/>
      <c r="T672" s="2"/>
      <c r="U672" s="2"/>
    </row>
    <row r="673" spans="13:21" x14ac:dyDescent="0.2">
      <c r="M673" s="2"/>
      <c r="N673" s="2"/>
      <c r="O673" s="2"/>
      <c r="P673" s="2"/>
      <c r="Q673" s="2"/>
      <c r="R673" s="2"/>
      <c r="S673" s="2"/>
      <c r="T673" s="2"/>
      <c r="U673" s="2"/>
    </row>
    <row r="674" spans="13:21" x14ac:dyDescent="0.2">
      <c r="M674" s="2"/>
      <c r="N674" s="2"/>
      <c r="O674" s="2"/>
      <c r="P674" s="2"/>
      <c r="Q674" s="2"/>
      <c r="R674" s="2"/>
      <c r="S674" s="2"/>
      <c r="T674" s="2"/>
      <c r="U674" s="2"/>
    </row>
    <row r="675" spans="13:21" x14ac:dyDescent="0.2">
      <c r="M675" s="2"/>
      <c r="N675" s="2"/>
      <c r="O675" s="2"/>
      <c r="P675" s="2"/>
      <c r="Q675" s="2"/>
      <c r="R675" s="2"/>
      <c r="S675" s="2"/>
      <c r="T675" s="2"/>
      <c r="U675" s="2"/>
    </row>
    <row r="676" spans="13:21" x14ac:dyDescent="0.2">
      <c r="M676" s="2"/>
      <c r="N676" s="2"/>
      <c r="O676" s="2"/>
      <c r="P676" s="2"/>
      <c r="Q676" s="2"/>
      <c r="R676" s="2"/>
      <c r="S676" s="2"/>
      <c r="T676" s="2"/>
      <c r="U676" s="2"/>
    </row>
    <row r="677" spans="13:21" x14ac:dyDescent="0.2">
      <c r="M677" s="2"/>
      <c r="N677" s="2"/>
      <c r="O677" s="2"/>
      <c r="P677" s="2"/>
      <c r="Q677" s="2"/>
      <c r="R677" s="2"/>
      <c r="S677" s="2"/>
      <c r="T677" s="2"/>
      <c r="U677" s="2"/>
    </row>
    <row r="678" spans="13:21" x14ac:dyDescent="0.2">
      <c r="M678" s="2"/>
      <c r="N678" s="2"/>
      <c r="O678" s="2"/>
      <c r="P678" s="2"/>
      <c r="Q678" s="2"/>
      <c r="R678" s="2"/>
      <c r="S678" s="2"/>
      <c r="T678" s="2"/>
      <c r="U678" s="2"/>
    </row>
    <row r="679" spans="13:21" x14ac:dyDescent="0.2">
      <c r="M679" s="2"/>
      <c r="N679" s="2"/>
      <c r="O679" s="2"/>
      <c r="P679" s="2"/>
      <c r="Q679" s="2"/>
      <c r="R679" s="2"/>
      <c r="S679" s="2"/>
      <c r="T679" s="2"/>
      <c r="U679" s="2"/>
    </row>
    <row r="680" spans="13:21" x14ac:dyDescent="0.2">
      <c r="M680" s="2"/>
      <c r="N680" s="2"/>
      <c r="O680" s="2"/>
      <c r="P680" s="2"/>
      <c r="Q680" s="2"/>
      <c r="R680" s="2"/>
      <c r="S680" s="2"/>
      <c r="T680" s="2"/>
      <c r="U680" s="2"/>
    </row>
    <row r="681" spans="13:21" x14ac:dyDescent="0.2">
      <c r="M681" s="2"/>
      <c r="N681" s="2"/>
      <c r="O681" s="2"/>
      <c r="P681" s="2"/>
      <c r="Q681" s="2"/>
      <c r="R681" s="2"/>
      <c r="S681" s="2"/>
      <c r="T681" s="2"/>
      <c r="U681" s="2"/>
    </row>
    <row r="682" spans="13:21" x14ac:dyDescent="0.2">
      <c r="M682" s="2"/>
      <c r="N682" s="2"/>
      <c r="O682" s="2"/>
      <c r="P682" s="2"/>
      <c r="Q682" s="2"/>
      <c r="R682" s="2"/>
      <c r="S682" s="2"/>
      <c r="T682" s="2"/>
      <c r="U682" s="2"/>
    </row>
    <row r="683" spans="13:21" x14ac:dyDescent="0.2">
      <c r="M683" s="2"/>
      <c r="N683" s="2"/>
      <c r="O683" s="2"/>
      <c r="P683" s="2"/>
      <c r="Q683" s="2"/>
      <c r="R683" s="2"/>
      <c r="S683" s="2"/>
      <c r="T683" s="2"/>
      <c r="U683" s="2"/>
    </row>
    <row r="684" spans="13:21" x14ac:dyDescent="0.2">
      <c r="M684" s="2"/>
      <c r="N684" s="2"/>
      <c r="O684" s="2"/>
      <c r="P684" s="2"/>
      <c r="Q684" s="2"/>
      <c r="R684" s="2"/>
      <c r="S684" s="2"/>
      <c r="T684" s="2"/>
      <c r="U684" s="2"/>
    </row>
    <row r="685" spans="13:21" x14ac:dyDescent="0.2">
      <c r="M685" s="2"/>
      <c r="N685" s="2"/>
      <c r="O685" s="2"/>
      <c r="P685" s="2"/>
      <c r="Q685" s="2"/>
      <c r="R685" s="2"/>
      <c r="S685" s="2"/>
      <c r="T685" s="2"/>
      <c r="U685" s="2"/>
    </row>
    <row r="686" spans="13:21" x14ac:dyDescent="0.2">
      <c r="M686" s="2"/>
      <c r="N686" s="2"/>
      <c r="O686" s="2"/>
      <c r="P686" s="2"/>
      <c r="Q686" s="2"/>
      <c r="R686" s="2"/>
      <c r="S686" s="2"/>
      <c r="T686" s="2"/>
      <c r="U686" s="2"/>
    </row>
    <row r="687" spans="13:21" x14ac:dyDescent="0.2">
      <c r="M687" s="2"/>
      <c r="N687" s="2"/>
      <c r="O687" s="2"/>
      <c r="P687" s="2"/>
      <c r="Q687" s="2"/>
      <c r="R687" s="2"/>
      <c r="S687" s="2"/>
      <c r="T687" s="2"/>
      <c r="U687" s="2"/>
    </row>
    <row r="688" spans="13:21" x14ac:dyDescent="0.2">
      <c r="M688" s="2"/>
      <c r="N688" s="2"/>
      <c r="O688" s="2"/>
      <c r="P688" s="2"/>
      <c r="Q688" s="2"/>
      <c r="R688" s="2"/>
      <c r="S688" s="2"/>
      <c r="T688" s="2"/>
      <c r="U688" s="2"/>
    </row>
    <row r="689" spans="13:21" x14ac:dyDescent="0.2">
      <c r="M689" s="2"/>
      <c r="N689" s="2"/>
      <c r="O689" s="2"/>
      <c r="P689" s="2"/>
      <c r="Q689" s="2"/>
      <c r="R689" s="2"/>
      <c r="S689" s="2"/>
      <c r="T689" s="2"/>
      <c r="U689" s="2"/>
    </row>
    <row r="690" spans="13:21" x14ac:dyDescent="0.2">
      <c r="M690" s="2"/>
      <c r="N690" s="2"/>
      <c r="O690" s="2"/>
      <c r="P690" s="2"/>
      <c r="Q690" s="2"/>
      <c r="R690" s="2"/>
      <c r="S690" s="2"/>
      <c r="T690" s="2"/>
      <c r="U690" s="2"/>
    </row>
    <row r="691" spans="13:21" x14ac:dyDescent="0.2">
      <c r="M691" s="2"/>
      <c r="N691" s="2"/>
      <c r="O691" s="2"/>
      <c r="P691" s="2"/>
      <c r="Q691" s="2"/>
      <c r="R691" s="2"/>
      <c r="S691" s="2"/>
      <c r="T691" s="2"/>
      <c r="U691" s="2"/>
    </row>
    <row r="692" spans="13:21" x14ac:dyDescent="0.2">
      <c r="M692" s="2"/>
      <c r="N692" s="2"/>
      <c r="O692" s="2"/>
      <c r="P692" s="2"/>
      <c r="Q692" s="2"/>
      <c r="R692" s="2"/>
      <c r="S692" s="2"/>
      <c r="T692" s="2"/>
      <c r="U692" s="2"/>
    </row>
    <row r="693" spans="13:21" x14ac:dyDescent="0.2">
      <c r="M693" s="2"/>
      <c r="N693" s="2"/>
      <c r="O693" s="2"/>
      <c r="P693" s="2"/>
      <c r="Q693" s="2"/>
      <c r="R693" s="2"/>
      <c r="S693" s="2"/>
      <c r="T693" s="2"/>
      <c r="U693" s="2"/>
    </row>
    <row r="694" spans="13:21" x14ac:dyDescent="0.2">
      <c r="M694" s="2"/>
      <c r="N694" s="2"/>
      <c r="O694" s="2"/>
      <c r="P694" s="2"/>
      <c r="Q694" s="2"/>
      <c r="R694" s="2"/>
      <c r="S694" s="2"/>
      <c r="T694" s="2"/>
      <c r="U694" s="2"/>
    </row>
    <row r="695" spans="13:21" x14ac:dyDescent="0.2">
      <c r="M695" s="2"/>
      <c r="N695" s="2"/>
      <c r="O695" s="2"/>
      <c r="P695" s="2"/>
      <c r="Q695" s="2"/>
      <c r="R695" s="2"/>
      <c r="S695" s="2"/>
      <c r="T695" s="2"/>
      <c r="U695" s="2"/>
    </row>
    <row r="696" spans="13:21" x14ac:dyDescent="0.2">
      <c r="M696" s="2"/>
      <c r="N696" s="2"/>
      <c r="O696" s="2"/>
      <c r="P696" s="2"/>
      <c r="Q696" s="2"/>
      <c r="R696" s="2"/>
      <c r="S696" s="2"/>
      <c r="T696" s="2"/>
      <c r="U696" s="2"/>
    </row>
    <row r="697" spans="13:21" x14ac:dyDescent="0.2">
      <c r="M697" s="2"/>
      <c r="N697" s="2"/>
      <c r="O697" s="2"/>
      <c r="P697" s="2"/>
      <c r="Q697" s="2"/>
      <c r="R697" s="2"/>
      <c r="S697" s="2"/>
      <c r="T697" s="2"/>
      <c r="U697" s="2"/>
    </row>
    <row r="698" spans="13:21" x14ac:dyDescent="0.2">
      <c r="M698" s="2"/>
      <c r="N698" s="2"/>
      <c r="O698" s="2"/>
      <c r="P698" s="2"/>
      <c r="Q698" s="2"/>
      <c r="R698" s="2"/>
      <c r="S698" s="2"/>
      <c r="T698" s="2"/>
      <c r="U698" s="2"/>
    </row>
    <row r="699" spans="13:21" x14ac:dyDescent="0.2">
      <c r="M699" s="2"/>
      <c r="N699" s="2"/>
      <c r="O699" s="2"/>
      <c r="P699" s="2"/>
      <c r="Q699" s="2"/>
      <c r="R699" s="2"/>
      <c r="S699" s="2"/>
      <c r="T699" s="2"/>
      <c r="U699" s="2"/>
    </row>
    <row r="700" spans="13:21" x14ac:dyDescent="0.2">
      <c r="M700" s="2"/>
      <c r="N700" s="2"/>
      <c r="O700" s="2"/>
      <c r="P700" s="2"/>
      <c r="Q700" s="2"/>
      <c r="R700" s="2"/>
      <c r="S700" s="2"/>
      <c r="T700" s="2"/>
      <c r="U700" s="2"/>
    </row>
    <row r="701" spans="13:21" x14ac:dyDescent="0.2">
      <c r="M701" s="2"/>
      <c r="N701" s="2"/>
      <c r="O701" s="2"/>
      <c r="P701" s="2"/>
      <c r="Q701" s="2"/>
      <c r="R701" s="2"/>
      <c r="S701" s="2"/>
      <c r="T701" s="2"/>
      <c r="U701" s="2"/>
    </row>
    <row r="702" spans="13:21" x14ac:dyDescent="0.2">
      <c r="M702" s="2"/>
      <c r="N702" s="2"/>
      <c r="O702" s="2"/>
      <c r="P702" s="2"/>
      <c r="Q702" s="2"/>
      <c r="R702" s="2"/>
      <c r="S702" s="2"/>
      <c r="T702" s="2"/>
      <c r="U702" s="2"/>
    </row>
    <row r="703" spans="13:21" x14ac:dyDescent="0.2">
      <c r="M703" s="2"/>
      <c r="N703" s="2"/>
      <c r="O703" s="2"/>
      <c r="P703" s="2"/>
      <c r="Q703" s="2"/>
      <c r="R703" s="2"/>
      <c r="S703" s="2"/>
      <c r="T703" s="2"/>
      <c r="U703" s="2"/>
    </row>
    <row r="704" spans="13:21" x14ac:dyDescent="0.2">
      <c r="M704" s="2"/>
      <c r="N704" s="2"/>
      <c r="O704" s="2"/>
      <c r="P704" s="2"/>
      <c r="Q704" s="2"/>
      <c r="R704" s="2"/>
      <c r="S704" s="2"/>
      <c r="T704" s="2"/>
      <c r="U704" s="2"/>
    </row>
    <row r="705" spans="13:21" x14ac:dyDescent="0.2">
      <c r="M705" s="2"/>
      <c r="N705" s="2"/>
      <c r="O705" s="2"/>
      <c r="P705" s="2"/>
      <c r="Q705" s="2"/>
      <c r="R705" s="2"/>
      <c r="S705" s="2"/>
      <c r="T705" s="2"/>
      <c r="U705" s="2"/>
    </row>
    <row r="706" spans="13:21" x14ac:dyDescent="0.2">
      <c r="M706" s="2"/>
      <c r="N706" s="2"/>
      <c r="O706" s="2"/>
      <c r="P706" s="2"/>
      <c r="Q706" s="2"/>
      <c r="R706" s="2"/>
      <c r="S706" s="2"/>
      <c r="T706" s="2"/>
      <c r="U706" s="2"/>
    </row>
    <row r="707" spans="13:21" x14ac:dyDescent="0.2">
      <c r="M707" s="2"/>
      <c r="N707" s="2"/>
      <c r="O707" s="2"/>
      <c r="P707" s="2"/>
      <c r="Q707" s="2"/>
      <c r="R707" s="2"/>
      <c r="S707" s="2"/>
      <c r="T707" s="2"/>
      <c r="U707" s="2"/>
    </row>
    <row r="708" spans="13:21" x14ac:dyDescent="0.2">
      <c r="M708" s="2"/>
      <c r="N708" s="2"/>
      <c r="O708" s="2"/>
      <c r="P708" s="2"/>
      <c r="Q708" s="2"/>
      <c r="R708" s="2"/>
      <c r="S708" s="2"/>
      <c r="T708" s="2"/>
      <c r="U708" s="2"/>
    </row>
    <row r="709" spans="13:21" x14ac:dyDescent="0.2">
      <c r="M709" s="2"/>
      <c r="N709" s="2"/>
      <c r="O709" s="2"/>
      <c r="P709" s="2"/>
      <c r="Q709" s="2"/>
      <c r="R709" s="2"/>
      <c r="S709" s="2"/>
      <c r="T709" s="2"/>
      <c r="U709" s="2"/>
    </row>
    <row r="710" spans="13:21" x14ac:dyDescent="0.2">
      <c r="M710" s="2"/>
      <c r="N710" s="2"/>
      <c r="O710" s="2"/>
      <c r="P710" s="2"/>
      <c r="Q710" s="2"/>
      <c r="R710" s="2"/>
      <c r="S710" s="2"/>
      <c r="T710" s="2"/>
      <c r="U710" s="2"/>
    </row>
    <row r="711" spans="13:21" x14ac:dyDescent="0.2">
      <c r="M711" s="2"/>
      <c r="N711" s="2"/>
      <c r="O711" s="2"/>
      <c r="P711" s="2"/>
      <c r="Q711" s="2"/>
      <c r="R711" s="2"/>
      <c r="S711" s="2"/>
      <c r="T711" s="2"/>
      <c r="U711" s="2"/>
    </row>
    <row r="712" spans="13:21" x14ac:dyDescent="0.2">
      <c r="M712" s="2"/>
      <c r="N712" s="2"/>
      <c r="O712" s="2"/>
      <c r="P712" s="2"/>
      <c r="Q712" s="2"/>
      <c r="R712" s="2"/>
      <c r="S712" s="2"/>
      <c r="T712" s="2"/>
      <c r="U712" s="2"/>
    </row>
    <row r="713" spans="13:21" x14ac:dyDescent="0.2">
      <c r="M713" s="2"/>
      <c r="N713" s="2"/>
      <c r="O713" s="2"/>
      <c r="P713" s="2"/>
      <c r="Q713" s="2"/>
      <c r="R713" s="2"/>
      <c r="S713" s="2"/>
      <c r="T713" s="2"/>
      <c r="U713" s="2"/>
    </row>
    <row r="714" spans="13:21" x14ac:dyDescent="0.2">
      <c r="M714" s="2"/>
      <c r="N714" s="2"/>
      <c r="O714" s="2"/>
      <c r="P714" s="2"/>
      <c r="Q714" s="2"/>
      <c r="R714" s="2"/>
      <c r="S714" s="2"/>
      <c r="T714" s="2"/>
      <c r="U714" s="2"/>
    </row>
    <row r="715" spans="13:21" x14ac:dyDescent="0.2">
      <c r="M715" s="2"/>
      <c r="N715" s="2"/>
      <c r="O715" s="2"/>
      <c r="P715" s="2"/>
      <c r="Q715" s="2"/>
      <c r="R715" s="2"/>
      <c r="S715" s="2"/>
      <c r="T715" s="2"/>
      <c r="U715" s="2"/>
    </row>
    <row r="716" spans="13:21" x14ac:dyDescent="0.2">
      <c r="M716" s="2"/>
      <c r="N716" s="2"/>
      <c r="O716" s="2"/>
      <c r="P716" s="2"/>
      <c r="Q716" s="2"/>
      <c r="R716" s="2"/>
      <c r="S716" s="2"/>
      <c r="T716" s="2"/>
      <c r="U716" s="2"/>
    </row>
    <row r="717" spans="13:21" x14ac:dyDescent="0.2">
      <c r="M717" s="2"/>
      <c r="N717" s="2"/>
      <c r="O717" s="2"/>
      <c r="P717" s="2"/>
      <c r="Q717" s="2"/>
      <c r="R717" s="2"/>
      <c r="S717" s="2"/>
      <c r="T717" s="2"/>
      <c r="U717" s="2"/>
    </row>
    <row r="718" spans="13:21" x14ac:dyDescent="0.2">
      <c r="M718" s="2"/>
      <c r="N718" s="2"/>
      <c r="O718" s="2"/>
      <c r="P718" s="2"/>
      <c r="Q718" s="2"/>
      <c r="R718" s="2"/>
      <c r="S718" s="2"/>
      <c r="T718" s="2"/>
      <c r="U718" s="2"/>
    </row>
    <row r="719" spans="13:21" x14ac:dyDescent="0.2">
      <c r="M719" s="2"/>
      <c r="N719" s="2"/>
      <c r="O719" s="2"/>
      <c r="P719" s="2"/>
      <c r="Q719" s="2"/>
      <c r="R719" s="2"/>
      <c r="S719" s="2"/>
      <c r="T719" s="2"/>
      <c r="U719" s="2"/>
    </row>
    <row r="720" spans="13:21" x14ac:dyDescent="0.2">
      <c r="M720" s="2"/>
      <c r="N720" s="2"/>
      <c r="O720" s="2"/>
      <c r="P720" s="2"/>
      <c r="Q720" s="2"/>
      <c r="R720" s="2"/>
      <c r="S720" s="2"/>
      <c r="T720" s="2"/>
      <c r="U720" s="2"/>
    </row>
    <row r="721" spans="13:21" x14ac:dyDescent="0.2">
      <c r="M721" s="2"/>
      <c r="N721" s="2"/>
      <c r="O721" s="2"/>
      <c r="P721" s="2"/>
      <c r="Q721" s="2"/>
      <c r="R721" s="2"/>
      <c r="S721" s="2"/>
      <c r="T721" s="2"/>
      <c r="U721" s="2"/>
    </row>
    <row r="722" spans="13:21" x14ac:dyDescent="0.2">
      <c r="M722" s="2"/>
      <c r="N722" s="2"/>
      <c r="O722" s="2"/>
      <c r="P722" s="2"/>
      <c r="Q722" s="2"/>
      <c r="R722" s="2"/>
      <c r="S722" s="2"/>
      <c r="T722" s="2"/>
      <c r="U722" s="2"/>
    </row>
    <row r="723" spans="13:21" x14ac:dyDescent="0.2">
      <c r="M723" s="2"/>
      <c r="N723" s="2"/>
      <c r="O723" s="2"/>
      <c r="P723" s="2"/>
      <c r="Q723" s="2"/>
      <c r="R723" s="2"/>
      <c r="S723" s="2"/>
      <c r="T723" s="2"/>
      <c r="U723" s="2"/>
    </row>
    <row r="724" spans="13:21" x14ac:dyDescent="0.2">
      <c r="M724" s="2"/>
      <c r="N724" s="2"/>
      <c r="O724" s="2"/>
      <c r="P724" s="2"/>
      <c r="Q724" s="2"/>
      <c r="R724" s="2"/>
      <c r="S724" s="2"/>
      <c r="T724" s="2"/>
      <c r="U724" s="2"/>
    </row>
    <row r="725" spans="13:21" x14ac:dyDescent="0.2">
      <c r="M725" s="2"/>
      <c r="N725" s="2"/>
      <c r="O725" s="2"/>
      <c r="P725" s="2"/>
      <c r="Q725" s="2"/>
      <c r="R725" s="2"/>
      <c r="S725" s="2"/>
      <c r="T725" s="2"/>
      <c r="U725" s="2"/>
    </row>
    <row r="726" spans="13:21" x14ac:dyDescent="0.2">
      <c r="M726" s="2"/>
      <c r="N726" s="2"/>
      <c r="O726" s="2"/>
      <c r="P726" s="2"/>
      <c r="Q726" s="2"/>
      <c r="R726" s="2"/>
      <c r="S726" s="2"/>
      <c r="T726" s="2"/>
      <c r="U726" s="2"/>
    </row>
    <row r="727" spans="13:21" x14ac:dyDescent="0.2">
      <c r="M727" s="2"/>
      <c r="N727" s="2"/>
      <c r="O727" s="2"/>
      <c r="P727" s="2"/>
      <c r="Q727" s="2"/>
      <c r="R727" s="2"/>
      <c r="S727" s="2"/>
      <c r="T727" s="2"/>
      <c r="U727" s="2"/>
    </row>
    <row r="728" spans="13:21" x14ac:dyDescent="0.2">
      <c r="M728" s="2"/>
      <c r="N728" s="2"/>
      <c r="O728" s="2"/>
      <c r="P728" s="2"/>
      <c r="Q728" s="2"/>
      <c r="R728" s="2"/>
      <c r="S728" s="2"/>
      <c r="T728" s="2"/>
      <c r="U728" s="2"/>
    </row>
    <row r="729" spans="13:21" x14ac:dyDescent="0.2">
      <c r="M729" s="2"/>
      <c r="N729" s="2"/>
      <c r="O729" s="2"/>
      <c r="P729" s="2"/>
      <c r="Q729" s="2"/>
      <c r="R729" s="2"/>
      <c r="S729" s="2"/>
      <c r="T729" s="2"/>
      <c r="U729" s="2"/>
    </row>
    <row r="730" spans="13:21" x14ac:dyDescent="0.2">
      <c r="M730" s="2"/>
      <c r="N730" s="2"/>
      <c r="O730" s="2"/>
      <c r="P730" s="2"/>
      <c r="Q730" s="2"/>
      <c r="R730" s="2"/>
      <c r="S730" s="2"/>
      <c r="T730" s="2"/>
      <c r="U730" s="2"/>
    </row>
    <row r="731" spans="13:21" x14ac:dyDescent="0.2">
      <c r="M731" s="2"/>
      <c r="N731" s="2"/>
      <c r="O731" s="2"/>
      <c r="P731" s="2"/>
      <c r="Q731" s="2"/>
      <c r="R731" s="2"/>
      <c r="S731" s="2"/>
      <c r="T731" s="2"/>
      <c r="U731" s="2"/>
    </row>
    <row r="732" spans="13:21" x14ac:dyDescent="0.2">
      <c r="M732" s="2"/>
      <c r="N732" s="2"/>
      <c r="O732" s="2"/>
      <c r="P732" s="2"/>
      <c r="Q732" s="2"/>
      <c r="R732" s="2"/>
      <c r="S732" s="2"/>
      <c r="T732" s="2"/>
      <c r="U732" s="2"/>
    </row>
    <row r="733" spans="13:21" x14ac:dyDescent="0.2">
      <c r="M733" s="2"/>
      <c r="N733" s="2"/>
      <c r="O733" s="2"/>
      <c r="P733" s="2"/>
      <c r="Q733" s="2"/>
      <c r="R733" s="2"/>
      <c r="S733" s="2"/>
      <c r="T733" s="2"/>
      <c r="U733" s="2"/>
    </row>
    <row r="734" spans="13:21" x14ac:dyDescent="0.2">
      <c r="M734" s="2"/>
      <c r="N734" s="2"/>
      <c r="O734" s="2"/>
      <c r="P734" s="2"/>
      <c r="Q734" s="2"/>
      <c r="R734" s="2"/>
      <c r="S734" s="2"/>
      <c r="T734" s="2"/>
      <c r="U734" s="2"/>
    </row>
    <row r="735" spans="13:21" x14ac:dyDescent="0.2">
      <c r="M735" s="2"/>
      <c r="N735" s="2"/>
      <c r="O735" s="2"/>
      <c r="P735" s="2"/>
      <c r="Q735" s="2"/>
      <c r="R735" s="2"/>
      <c r="S735" s="2"/>
      <c r="T735" s="2"/>
      <c r="U735" s="2"/>
    </row>
    <row r="736" spans="13:21" x14ac:dyDescent="0.2">
      <c r="M736" s="2"/>
      <c r="N736" s="2"/>
      <c r="O736" s="2"/>
      <c r="P736" s="2"/>
      <c r="Q736" s="2"/>
      <c r="R736" s="2"/>
      <c r="S736" s="2"/>
      <c r="T736" s="2"/>
      <c r="U736" s="2"/>
    </row>
    <row r="737" spans="13:21" x14ac:dyDescent="0.2">
      <c r="M737" s="2"/>
      <c r="N737" s="2"/>
      <c r="O737" s="2"/>
      <c r="P737" s="2"/>
      <c r="Q737" s="2"/>
      <c r="R737" s="2"/>
      <c r="S737" s="2"/>
      <c r="T737" s="2"/>
      <c r="U737" s="2"/>
    </row>
    <row r="738" spans="13:21" x14ac:dyDescent="0.2">
      <c r="M738" s="2"/>
      <c r="N738" s="2"/>
      <c r="O738" s="2"/>
      <c r="P738" s="2"/>
      <c r="Q738" s="2"/>
      <c r="R738" s="2"/>
      <c r="S738" s="2"/>
      <c r="T738" s="2"/>
      <c r="U738" s="2"/>
    </row>
    <row r="739" spans="13:21" x14ac:dyDescent="0.2">
      <c r="M739" s="2"/>
      <c r="N739" s="2"/>
      <c r="O739" s="2"/>
      <c r="P739" s="2"/>
      <c r="Q739" s="2"/>
      <c r="R739" s="2"/>
      <c r="S739" s="2"/>
      <c r="T739" s="2"/>
      <c r="U739" s="2"/>
    </row>
    <row r="740" spans="13:21" x14ac:dyDescent="0.2">
      <c r="M740" s="2"/>
      <c r="N740" s="2"/>
      <c r="O740" s="2"/>
      <c r="P740" s="2"/>
      <c r="Q740" s="2"/>
      <c r="R740" s="2"/>
      <c r="S740" s="2"/>
      <c r="T740" s="2"/>
      <c r="U740" s="2"/>
    </row>
    <row r="741" spans="13:21" x14ac:dyDescent="0.2">
      <c r="M741" s="2"/>
      <c r="N741" s="2"/>
      <c r="O741" s="2"/>
      <c r="P741" s="2"/>
      <c r="Q741" s="2"/>
      <c r="R741" s="2"/>
      <c r="S741" s="2"/>
      <c r="T741" s="2"/>
      <c r="U741" s="2"/>
    </row>
    <row r="742" spans="13:21" x14ac:dyDescent="0.2">
      <c r="M742" s="2"/>
      <c r="N742" s="2"/>
      <c r="O742" s="2"/>
      <c r="P742" s="2"/>
      <c r="Q742" s="2"/>
      <c r="R742" s="2"/>
      <c r="S742" s="2"/>
      <c r="T742" s="2"/>
      <c r="U742" s="2"/>
    </row>
    <row r="743" spans="13:21" x14ac:dyDescent="0.2">
      <c r="M743" s="2"/>
      <c r="N743" s="2"/>
      <c r="O743" s="2"/>
      <c r="P743" s="2"/>
      <c r="Q743" s="2"/>
      <c r="R743" s="2"/>
      <c r="S743" s="2"/>
      <c r="T743" s="2"/>
      <c r="U743" s="2"/>
    </row>
    <row r="744" spans="13:21" x14ac:dyDescent="0.2">
      <c r="M744" s="2"/>
      <c r="N744" s="2"/>
      <c r="O744" s="2"/>
      <c r="P744" s="2"/>
      <c r="Q744" s="2"/>
      <c r="R744" s="2"/>
      <c r="S744" s="2"/>
      <c r="T744" s="2"/>
      <c r="U744" s="2"/>
    </row>
    <row r="745" spans="13:21" x14ac:dyDescent="0.2">
      <c r="M745" s="2"/>
      <c r="N745" s="2"/>
      <c r="O745" s="2"/>
      <c r="P745" s="2"/>
      <c r="Q745" s="2"/>
      <c r="R745" s="2"/>
      <c r="S745" s="2"/>
      <c r="T745" s="2"/>
      <c r="U745" s="2"/>
    </row>
    <row r="746" spans="13:21" x14ac:dyDescent="0.2">
      <c r="M746" s="2"/>
      <c r="N746" s="2"/>
      <c r="O746" s="2"/>
      <c r="P746" s="2"/>
      <c r="Q746" s="2"/>
      <c r="R746" s="2"/>
      <c r="S746" s="2"/>
      <c r="T746" s="2"/>
      <c r="U746" s="2"/>
    </row>
    <row r="747" spans="13:21" x14ac:dyDescent="0.2">
      <c r="M747" s="2"/>
      <c r="N747" s="2"/>
      <c r="O747" s="2"/>
      <c r="P747" s="2"/>
      <c r="Q747" s="2"/>
      <c r="R747" s="2"/>
      <c r="S747" s="2"/>
      <c r="T747" s="2"/>
      <c r="U747" s="2"/>
    </row>
    <row r="748" spans="13:21" x14ac:dyDescent="0.2">
      <c r="M748" s="2"/>
      <c r="N748" s="2"/>
      <c r="O748" s="2"/>
      <c r="P748" s="2"/>
      <c r="Q748" s="2"/>
      <c r="R748" s="2"/>
      <c r="S748" s="2"/>
      <c r="T748" s="2"/>
      <c r="U748" s="2"/>
    </row>
    <row r="749" spans="13:21" x14ac:dyDescent="0.2">
      <c r="M749" s="2"/>
      <c r="N749" s="2"/>
      <c r="O749" s="2"/>
      <c r="P749" s="2"/>
      <c r="Q749" s="2"/>
      <c r="R749" s="2"/>
      <c r="S749" s="2"/>
      <c r="T749" s="2"/>
      <c r="U749" s="2"/>
    </row>
    <row r="750" spans="13:21" x14ac:dyDescent="0.2">
      <c r="M750" s="2"/>
      <c r="N750" s="2"/>
      <c r="O750" s="2"/>
      <c r="P750" s="2"/>
      <c r="Q750" s="2"/>
      <c r="R750" s="2"/>
      <c r="S750" s="2"/>
      <c r="T750" s="2"/>
      <c r="U750" s="2"/>
    </row>
    <row r="751" spans="13:21" x14ac:dyDescent="0.2">
      <c r="M751" s="2"/>
      <c r="N751" s="2"/>
      <c r="O751" s="2"/>
      <c r="P751" s="2"/>
      <c r="Q751" s="2"/>
      <c r="R751" s="2"/>
      <c r="S751" s="2"/>
      <c r="T751" s="2"/>
      <c r="U751" s="2"/>
    </row>
    <row r="752" spans="13:21" x14ac:dyDescent="0.2">
      <c r="M752" s="2"/>
      <c r="N752" s="2"/>
      <c r="O752" s="2"/>
      <c r="P752" s="2"/>
      <c r="Q752" s="2"/>
      <c r="R752" s="2"/>
      <c r="S752" s="2"/>
      <c r="T752" s="2"/>
      <c r="U752" s="2"/>
    </row>
    <row r="753" spans="13:21" x14ac:dyDescent="0.2">
      <c r="M753" s="2"/>
      <c r="N753" s="2"/>
      <c r="O753" s="2"/>
      <c r="P753" s="2"/>
      <c r="Q753" s="2"/>
      <c r="R753" s="2"/>
      <c r="S753" s="2"/>
      <c r="T753" s="2"/>
      <c r="U753" s="2"/>
    </row>
    <row r="754" spans="13:21" x14ac:dyDescent="0.2">
      <c r="M754" s="2"/>
      <c r="N754" s="2"/>
      <c r="O754" s="2"/>
      <c r="P754" s="2"/>
      <c r="Q754" s="2"/>
      <c r="R754" s="2"/>
      <c r="S754" s="2"/>
      <c r="T754" s="2"/>
      <c r="U754" s="2"/>
    </row>
    <row r="755" spans="13:21" x14ac:dyDescent="0.2">
      <c r="M755" s="2"/>
      <c r="N755" s="2"/>
      <c r="O755" s="2"/>
      <c r="P755" s="2"/>
      <c r="Q755" s="2"/>
      <c r="R755" s="2"/>
      <c r="S755" s="2"/>
      <c r="T755" s="2"/>
      <c r="U755" s="2"/>
    </row>
    <row r="756" spans="13:21" x14ac:dyDescent="0.2">
      <c r="M756" s="2"/>
      <c r="N756" s="2"/>
      <c r="O756" s="2"/>
      <c r="P756" s="2"/>
      <c r="Q756" s="2"/>
      <c r="R756" s="2"/>
      <c r="S756" s="2"/>
      <c r="T756" s="2"/>
      <c r="U756" s="2"/>
    </row>
    <row r="757" spans="13:21" x14ac:dyDescent="0.2">
      <c r="M757" s="2"/>
      <c r="N757" s="2"/>
      <c r="O757" s="2"/>
      <c r="P757" s="2"/>
      <c r="Q757" s="2"/>
      <c r="R757" s="2"/>
      <c r="S757" s="2"/>
      <c r="T757" s="2"/>
      <c r="U757" s="2"/>
    </row>
    <row r="758" spans="13:21" x14ac:dyDescent="0.2">
      <c r="M758" s="2"/>
      <c r="N758" s="2"/>
      <c r="O758" s="2"/>
      <c r="P758" s="2"/>
      <c r="Q758" s="2"/>
      <c r="R758" s="2"/>
      <c r="S758" s="2"/>
      <c r="T758" s="2"/>
      <c r="U758" s="2"/>
    </row>
    <row r="759" spans="13:21" x14ac:dyDescent="0.2">
      <c r="M759" s="2"/>
      <c r="N759" s="2"/>
      <c r="O759" s="2"/>
      <c r="P759" s="2"/>
      <c r="Q759" s="2"/>
      <c r="R759" s="2"/>
      <c r="S759" s="2"/>
      <c r="T759" s="2"/>
      <c r="U759" s="2"/>
    </row>
    <row r="760" spans="13:21" x14ac:dyDescent="0.2">
      <c r="M760" s="2"/>
      <c r="N760" s="2"/>
      <c r="O760" s="2"/>
      <c r="P760" s="2"/>
      <c r="Q760" s="2"/>
      <c r="R760" s="2"/>
      <c r="S760" s="2"/>
      <c r="T760" s="2"/>
      <c r="U760" s="2"/>
    </row>
    <row r="761" spans="13:21" x14ac:dyDescent="0.2">
      <c r="M761" s="2"/>
      <c r="N761" s="2"/>
      <c r="O761" s="2"/>
      <c r="P761" s="2"/>
      <c r="Q761" s="2"/>
      <c r="R761" s="2"/>
      <c r="S761" s="2"/>
      <c r="T761" s="2"/>
      <c r="U761" s="2"/>
    </row>
    <row r="762" spans="13:21" x14ac:dyDescent="0.2">
      <c r="M762" s="2"/>
      <c r="N762" s="2"/>
      <c r="O762" s="2"/>
      <c r="P762" s="2"/>
      <c r="Q762" s="2"/>
      <c r="R762" s="2"/>
      <c r="S762" s="2"/>
      <c r="T762" s="2"/>
      <c r="U762" s="2"/>
    </row>
    <row r="763" spans="13:21" x14ac:dyDescent="0.2">
      <c r="M763" s="2"/>
      <c r="N763" s="2"/>
      <c r="O763" s="2"/>
      <c r="P763" s="2"/>
      <c r="Q763" s="2"/>
      <c r="R763" s="2"/>
      <c r="S763" s="2"/>
      <c r="T763" s="2"/>
      <c r="U763" s="2"/>
    </row>
    <row r="764" spans="13:21" x14ac:dyDescent="0.2">
      <c r="M764" s="2"/>
      <c r="N764" s="2"/>
      <c r="O764" s="2"/>
      <c r="P764" s="2"/>
      <c r="Q764" s="2"/>
      <c r="R764" s="2"/>
      <c r="S764" s="2"/>
      <c r="T764" s="2"/>
      <c r="U764" s="2"/>
    </row>
    <row r="765" spans="13:21" x14ac:dyDescent="0.2">
      <c r="M765" s="2"/>
      <c r="N765" s="2"/>
      <c r="O765" s="2"/>
      <c r="P765" s="2"/>
      <c r="Q765" s="2"/>
      <c r="R765" s="2"/>
      <c r="S765" s="2"/>
      <c r="T765" s="2"/>
      <c r="U765" s="2"/>
    </row>
    <row r="766" spans="13:21" x14ac:dyDescent="0.2">
      <c r="M766" s="2"/>
      <c r="N766" s="2"/>
      <c r="O766" s="2"/>
      <c r="P766" s="2"/>
      <c r="Q766" s="2"/>
      <c r="R766" s="2"/>
      <c r="S766" s="2"/>
      <c r="T766" s="2"/>
      <c r="U766" s="2"/>
    </row>
    <row r="767" spans="13:21" x14ac:dyDescent="0.2">
      <c r="M767" s="2"/>
      <c r="N767" s="2"/>
      <c r="O767" s="2"/>
      <c r="P767" s="2"/>
      <c r="Q767" s="2"/>
      <c r="R767" s="2"/>
      <c r="S767" s="2"/>
      <c r="T767" s="2"/>
      <c r="U767" s="2"/>
    </row>
    <row r="768" spans="13:21" x14ac:dyDescent="0.2">
      <c r="M768" s="2"/>
      <c r="N768" s="2"/>
      <c r="O768" s="2"/>
      <c r="P768" s="2"/>
      <c r="Q768" s="2"/>
      <c r="R768" s="2"/>
      <c r="S768" s="2"/>
      <c r="T768" s="2"/>
      <c r="U768" s="2"/>
    </row>
    <row r="769" spans="13:21" x14ac:dyDescent="0.2">
      <c r="M769" s="2"/>
      <c r="N769" s="2"/>
      <c r="O769" s="2"/>
      <c r="P769" s="2"/>
      <c r="Q769" s="2"/>
      <c r="R769" s="2"/>
      <c r="S769" s="2"/>
      <c r="T769" s="2"/>
      <c r="U769" s="2"/>
    </row>
    <row r="770" spans="13:21" x14ac:dyDescent="0.2">
      <c r="M770" s="2"/>
      <c r="N770" s="2"/>
      <c r="O770" s="2"/>
      <c r="P770" s="2"/>
      <c r="Q770" s="2"/>
      <c r="R770" s="2"/>
      <c r="S770" s="2"/>
      <c r="T770" s="2"/>
      <c r="U770" s="2"/>
    </row>
    <row r="771" spans="13:21" x14ac:dyDescent="0.2">
      <c r="M771" s="2"/>
      <c r="N771" s="2"/>
      <c r="O771" s="2"/>
      <c r="P771" s="2"/>
      <c r="Q771" s="2"/>
      <c r="R771" s="2"/>
      <c r="S771" s="2"/>
      <c r="T771" s="2"/>
      <c r="U771" s="2"/>
    </row>
    <row r="772" spans="13:21" x14ac:dyDescent="0.2">
      <c r="M772" s="2"/>
      <c r="N772" s="2"/>
      <c r="O772" s="2"/>
      <c r="P772" s="2"/>
      <c r="Q772" s="2"/>
      <c r="R772" s="2"/>
      <c r="S772" s="2"/>
      <c r="T772" s="2"/>
      <c r="U772" s="2"/>
    </row>
    <row r="773" spans="13:21" x14ac:dyDescent="0.2">
      <c r="M773" s="2"/>
      <c r="N773" s="2"/>
      <c r="O773" s="2"/>
      <c r="P773" s="2"/>
      <c r="Q773" s="2"/>
      <c r="R773" s="2"/>
      <c r="S773" s="2"/>
      <c r="T773" s="2"/>
      <c r="U773" s="2"/>
    </row>
    <row r="774" spans="13:21" x14ac:dyDescent="0.2">
      <c r="M774" s="2"/>
      <c r="N774" s="2"/>
      <c r="O774" s="2"/>
      <c r="P774" s="2"/>
      <c r="Q774" s="2"/>
      <c r="R774" s="2"/>
      <c r="S774" s="2"/>
      <c r="T774" s="2"/>
      <c r="U774" s="2"/>
    </row>
    <row r="775" spans="13:21" x14ac:dyDescent="0.2">
      <c r="M775" s="2"/>
      <c r="N775" s="2"/>
      <c r="O775" s="2"/>
      <c r="P775" s="2"/>
      <c r="Q775" s="2"/>
      <c r="R775" s="2"/>
      <c r="S775" s="2"/>
      <c r="T775" s="2"/>
      <c r="U775" s="2"/>
    </row>
    <row r="776" spans="13:21" x14ac:dyDescent="0.2">
      <c r="M776" s="2"/>
      <c r="N776" s="2"/>
      <c r="O776" s="2"/>
      <c r="P776" s="2"/>
      <c r="Q776" s="2"/>
      <c r="R776" s="2"/>
      <c r="S776" s="2"/>
      <c r="T776" s="2"/>
      <c r="U776" s="2"/>
    </row>
    <row r="777" spans="13:21" x14ac:dyDescent="0.2">
      <c r="M777" s="2"/>
      <c r="N777" s="2"/>
      <c r="O777" s="2"/>
      <c r="P777" s="2"/>
      <c r="Q777" s="2"/>
      <c r="R777" s="2"/>
      <c r="S777" s="2"/>
      <c r="T777" s="2"/>
      <c r="U777" s="2"/>
    </row>
    <row r="778" spans="13:21" x14ac:dyDescent="0.2">
      <c r="M778" s="2"/>
      <c r="N778" s="2"/>
      <c r="O778" s="2"/>
      <c r="P778" s="2"/>
      <c r="Q778" s="2"/>
      <c r="R778" s="2"/>
      <c r="S778" s="2"/>
      <c r="T778" s="2"/>
      <c r="U778" s="2"/>
    </row>
    <row r="779" spans="13:21" x14ac:dyDescent="0.2">
      <c r="M779" s="2"/>
      <c r="N779" s="2"/>
      <c r="O779" s="2"/>
      <c r="P779" s="2"/>
      <c r="Q779" s="2"/>
      <c r="R779" s="2"/>
      <c r="S779" s="2"/>
      <c r="T779" s="2"/>
      <c r="U779" s="2"/>
    </row>
    <row r="780" spans="13:21" x14ac:dyDescent="0.2">
      <c r="M780" s="2"/>
      <c r="N780" s="2"/>
      <c r="O780" s="2"/>
      <c r="P780" s="2"/>
      <c r="Q780" s="2"/>
      <c r="R780" s="2"/>
      <c r="S780" s="2"/>
      <c r="T780" s="2"/>
      <c r="U780" s="2"/>
    </row>
    <row r="781" spans="13:21" x14ac:dyDescent="0.2">
      <c r="M781" s="2"/>
      <c r="N781" s="2"/>
      <c r="O781" s="2"/>
      <c r="P781" s="2"/>
      <c r="Q781" s="2"/>
      <c r="R781" s="2"/>
      <c r="S781" s="2"/>
      <c r="T781" s="2"/>
      <c r="U781" s="2"/>
    </row>
    <row r="782" spans="13:21" x14ac:dyDescent="0.2">
      <c r="M782" s="2"/>
      <c r="N782" s="2"/>
      <c r="O782" s="2"/>
      <c r="P782" s="2"/>
      <c r="Q782" s="2"/>
      <c r="R782" s="2"/>
      <c r="S782" s="2"/>
      <c r="T782" s="2"/>
      <c r="U782" s="2"/>
    </row>
    <row r="783" spans="13:21" x14ac:dyDescent="0.2">
      <c r="M783" s="2"/>
      <c r="N783" s="2"/>
      <c r="O783" s="2"/>
      <c r="P783" s="2"/>
      <c r="Q783" s="2"/>
      <c r="R783" s="2"/>
      <c r="S783" s="2"/>
      <c r="T783" s="2"/>
      <c r="U783" s="2"/>
    </row>
    <row r="784" spans="13:21" x14ac:dyDescent="0.2">
      <c r="M784" s="2"/>
      <c r="N784" s="2"/>
      <c r="O784" s="2"/>
      <c r="P784" s="2"/>
      <c r="Q784" s="2"/>
      <c r="R784" s="2"/>
      <c r="S784" s="2"/>
      <c r="T784" s="2"/>
      <c r="U784" s="2"/>
    </row>
    <row r="785" spans="13:21" x14ac:dyDescent="0.2">
      <c r="M785" s="2"/>
      <c r="N785" s="2"/>
      <c r="O785" s="2"/>
      <c r="P785" s="2"/>
      <c r="Q785" s="2"/>
      <c r="R785" s="2"/>
      <c r="S785" s="2"/>
      <c r="T785" s="2"/>
      <c r="U785" s="2"/>
    </row>
    <row r="786" spans="13:21" x14ac:dyDescent="0.2">
      <c r="M786" s="2"/>
      <c r="N786" s="2"/>
      <c r="O786" s="2"/>
      <c r="P786" s="2"/>
      <c r="Q786" s="2"/>
      <c r="R786" s="2"/>
      <c r="S786" s="2"/>
      <c r="T786" s="2"/>
      <c r="U786" s="2"/>
    </row>
    <row r="787" spans="13:21" x14ac:dyDescent="0.2">
      <c r="M787" s="2"/>
      <c r="N787" s="2"/>
      <c r="O787" s="2"/>
      <c r="P787" s="2"/>
      <c r="Q787" s="2"/>
      <c r="R787" s="2"/>
      <c r="S787" s="2"/>
      <c r="T787" s="2"/>
      <c r="U787" s="2"/>
    </row>
    <row r="788" spans="13:21" x14ac:dyDescent="0.2">
      <c r="M788" s="2"/>
      <c r="N788" s="2"/>
      <c r="O788" s="2"/>
      <c r="P788" s="2"/>
      <c r="Q788" s="2"/>
      <c r="R788" s="2"/>
      <c r="S788" s="2"/>
      <c r="T788" s="2"/>
      <c r="U788" s="2"/>
    </row>
    <row r="789" spans="13:21" x14ac:dyDescent="0.2">
      <c r="M789" s="2"/>
      <c r="N789" s="2"/>
      <c r="O789" s="2"/>
      <c r="P789" s="2"/>
      <c r="Q789" s="2"/>
      <c r="R789" s="2"/>
      <c r="S789" s="2"/>
      <c r="T789" s="2"/>
      <c r="U789" s="2"/>
    </row>
    <row r="790" spans="13:21" x14ac:dyDescent="0.2">
      <c r="M790" s="2"/>
      <c r="N790" s="2"/>
      <c r="O790" s="2"/>
      <c r="P790" s="2"/>
      <c r="Q790" s="2"/>
      <c r="R790" s="2"/>
      <c r="S790" s="2"/>
      <c r="T790" s="2"/>
      <c r="U790" s="2"/>
    </row>
    <row r="791" spans="13:21" x14ac:dyDescent="0.2">
      <c r="M791" s="2"/>
      <c r="N791" s="2"/>
      <c r="O791" s="2"/>
      <c r="P791" s="2"/>
      <c r="Q791" s="2"/>
      <c r="R791" s="2"/>
      <c r="S791" s="2"/>
      <c r="T791" s="2"/>
      <c r="U791" s="2"/>
    </row>
    <row r="792" spans="13:21" x14ac:dyDescent="0.2">
      <c r="M792" s="2"/>
      <c r="N792" s="2"/>
      <c r="O792" s="2"/>
      <c r="P792" s="2"/>
      <c r="Q792" s="2"/>
      <c r="R792" s="2"/>
      <c r="S792" s="2"/>
      <c r="T792" s="2"/>
      <c r="U792" s="2"/>
    </row>
    <row r="793" spans="13:21" x14ac:dyDescent="0.2">
      <c r="M793" s="2"/>
      <c r="N793" s="2"/>
      <c r="O793" s="2"/>
      <c r="P793" s="2"/>
      <c r="Q793" s="2"/>
      <c r="R793" s="2"/>
      <c r="S793" s="2"/>
      <c r="T793" s="2"/>
      <c r="U793" s="2"/>
    </row>
    <row r="794" spans="13:21" x14ac:dyDescent="0.2">
      <c r="M794" s="2"/>
      <c r="N794" s="2"/>
      <c r="O794" s="2"/>
      <c r="P794" s="2"/>
      <c r="Q794" s="2"/>
      <c r="R794" s="2"/>
      <c r="S794" s="2"/>
      <c r="T794" s="2"/>
      <c r="U794" s="2"/>
    </row>
    <row r="795" spans="13:21" x14ac:dyDescent="0.2">
      <c r="M795" s="2"/>
      <c r="N795" s="2"/>
      <c r="O795" s="2"/>
      <c r="P795" s="2"/>
      <c r="Q795" s="2"/>
      <c r="R795" s="2"/>
      <c r="S795" s="2"/>
      <c r="T795" s="2"/>
      <c r="U795" s="2"/>
    </row>
    <row r="796" spans="13:21" x14ac:dyDescent="0.2">
      <c r="M796" s="2"/>
      <c r="N796" s="2"/>
      <c r="O796" s="2"/>
      <c r="P796" s="2"/>
      <c r="Q796" s="2"/>
      <c r="R796" s="2"/>
      <c r="S796" s="2"/>
      <c r="T796" s="2"/>
      <c r="U796" s="2"/>
    </row>
    <row r="797" spans="13:21" x14ac:dyDescent="0.2">
      <c r="M797" s="2"/>
      <c r="N797" s="2"/>
      <c r="O797" s="2"/>
      <c r="P797" s="2"/>
      <c r="Q797" s="2"/>
      <c r="R797" s="2"/>
      <c r="S797" s="2"/>
      <c r="T797" s="2"/>
      <c r="U797" s="2"/>
    </row>
    <row r="798" spans="13:21" x14ac:dyDescent="0.2">
      <c r="M798" s="2"/>
      <c r="N798" s="2"/>
      <c r="O798" s="2"/>
      <c r="P798" s="2"/>
      <c r="Q798" s="2"/>
      <c r="R798" s="2"/>
      <c r="S798" s="2"/>
      <c r="T798" s="2"/>
      <c r="U798" s="2"/>
    </row>
    <row r="799" spans="13:21" x14ac:dyDescent="0.2">
      <c r="M799" s="2"/>
      <c r="N799" s="2"/>
      <c r="O799" s="2"/>
      <c r="P799" s="2"/>
      <c r="Q799" s="2"/>
      <c r="R799" s="2"/>
      <c r="S799" s="2"/>
      <c r="T799" s="2"/>
      <c r="U799" s="2"/>
    </row>
    <row r="800" spans="13:21" x14ac:dyDescent="0.2">
      <c r="M800" s="2"/>
      <c r="N800" s="2"/>
      <c r="O800" s="2"/>
      <c r="P800" s="2"/>
      <c r="Q800" s="2"/>
      <c r="R800" s="2"/>
      <c r="S800" s="2"/>
      <c r="T800" s="2"/>
      <c r="U800" s="2"/>
    </row>
    <row r="801" spans="13:21" x14ac:dyDescent="0.2">
      <c r="M801" s="2"/>
      <c r="N801" s="2"/>
      <c r="O801" s="2"/>
      <c r="P801" s="2"/>
      <c r="Q801" s="2"/>
      <c r="R801" s="2"/>
      <c r="S801" s="2"/>
      <c r="T801" s="2"/>
      <c r="U801" s="2"/>
    </row>
    <row r="802" spans="13:21" x14ac:dyDescent="0.2">
      <c r="M802" s="2"/>
      <c r="N802" s="2"/>
      <c r="O802" s="2"/>
      <c r="P802" s="2"/>
      <c r="Q802" s="2"/>
      <c r="R802" s="2"/>
      <c r="S802" s="2"/>
      <c r="T802" s="2"/>
      <c r="U802" s="2"/>
    </row>
    <row r="803" spans="13:21" x14ac:dyDescent="0.2">
      <c r="M803" s="2"/>
      <c r="N803" s="2"/>
      <c r="O803" s="2"/>
      <c r="P803" s="2"/>
      <c r="Q803" s="2"/>
      <c r="R803" s="2"/>
      <c r="S803" s="2"/>
      <c r="T803" s="2"/>
      <c r="U803" s="2"/>
    </row>
    <row r="804" spans="13:21" x14ac:dyDescent="0.2">
      <c r="M804" s="2"/>
      <c r="N804" s="2"/>
      <c r="O804" s="2"/>
      <c r="P804" s="2"/>
      <c r="Q804" s="2"/>
      <c r="R804" s="2"/>
      <c r="S804" s="2"/>
      <c r="T804" s="2"/>
      <c r="U804" s="2"/>
    </row>
    <row r="805" spans="13:21" x14ac:dyDescent="0.2">
      <c r="M805" s="2"/>
      <c r="N805" s="2"/>
      <c r="O805" s="2"/>
      <c r="P805" s="2"/>
      <c r="Q805" s="2"/>
      <c r="R805" s="2"/>
      <c r="S805" s="2"/>
      <c r="T805" s="2"/>
      <c r="U805" s="2"/>
    </row>
    <row r="806" spans="13:21" x14ac:dyDescent="0.2">
      <c r="M806" s="2"/>
      <c r="N806" s="2"/>
      <c r="O806" s="2"/>
      <c r="P806" s="2"/>
      <c r="Q806" s="2"/>
      <c r="R806" s="2"/>
      <c r="S806" s="2"/>
      <c r="T806" s="2"/>
      <c r="U806" s="2"/>
    </row>
    <row r="807" spans="13:21" x14ac:dyDescent="0.2">
      <c r="M807" s="2"/>
      <c r="N807" s="2"/>
      <c r="O807" s="2"/>
      <c r="P807" s="2"/>
      <c r="Q807" s="2"/>
      <c r="R807" s="2"/>
      <c r="S807" s="2"/>
      <c r="T807" s="2"/>
      <c r="U807" s="2"/>
    </row>
    <row r="808" spans="13:21" x14ac:dyDescent="0.2">
      <c r="M808" s="2"/>
      <c r="N808" s="2"/>
      <c r="O808" s="2"/>
      <c r="P808" s="2"/>
      <c r="Q808" s="2"/>
      <c r="R808" s="2"/>
      <c r="S808" s="2"/>
      <c r="T808" s="2"/>
      <c r="U808" s="2"/>
    </row>
    <row r="809" spans="13:21" x14ac:dyDescent="0.2">
      <c r="M809" s="2"/>
      <c r="N809" s="2"/>
      <c r="O809" s="2"/>
      <c r="P809" s="2"/>
      <c r="Q809" s="2"/>
      <c r="R809" s="2"/>
      <c r="S809" s="2"/>
      <c r="T809" s="2"/>
      <c r="U809" s="2"/>
    </row>
    <row r="810" spans="13:21" x14ac:dyDescent="0.2">
      <c r="M810" s="2"/>
      <c r="N810" s="2"/>
      <c r="O810" s="2"/>
      <c r="P810" s="2"/>
      <c r="Q810" s="2"/>
      <c r="R810" s="2"/>
      <c r="S810" s="2"/>
      <c r="T810" s="2"/>
      <c r="U810" s="2"/>
    </row>
    <row r="811" spans="13:21" x14ac:dyDescent="0.2">
      <c r="M811" s="2"/>
      <c r="N811" s="2"/>
      <c r="O811" s="2"/>
      <c r="P811" s="2"/>
      <c r="Q811" s="2"/>
      <c r="R811" s="2"/>
      <c r="S811" s="2"/>
      <c r="T811" s="2"/>
      <c r="U811" s="2"/>
    </row>
    <row r="812" spans="13:21" x14ac:dyDescent="0.2">
      <c r="M812" s="2"/>
      <c r="N812" s="2"/>
      <c r="O812" s="2"/>
      <c r="P812" s="2"/>
      <c r="Q812" s="2"/>
      <c r="R812" s="2"/>
      <c r="S812" s="2"/>
      <c r="T812" s="2"/>
      <c r="U812" s="2"/>
    </row>
    <row r="813" spans="13:21" x14ac:dyDescent="0.2">
      <c r="M813" s="2"/>
      <c r="N813" s="2"/>
      <c r="O813" s="2"/>
      <c r="P813" s="2"/>
      <c r="Q813" s="2"/>
      <c r="R813" s="2"/>
      <c r="S813" s="2"/>
      <c r="T813" s="2"/>
      <c r="U813" s="2"/>
    </row>
    <row r="814" spans="13:21" x14ac:dyDescent="0.2">
      <c r="M814" s="2"/>
      <c r="N814" s="2"/>
      <c r="O814" s="2"/>
      <c r="P814" s="2"/>
      <c r="Q814" s="2"/>
      <c r="R814" s="2"/>
      <c r="S814" s="2"/>
      <c r="T814" s="2"/>
      <c r="U814" s="2"/>
    </row>
    <row r="815" spans="13:21" x14ac:dyDescent="0.2">
      <c r="M815" s="2"/>
      <c r="N815" s="2"/>
      <c r="O815" s="2"/>
      <c r="P815" s="2"/>
      <c r="Q815" s="2"/>
      <c r="R815" s="2"/>
      <c r="S815" s="2"/>
      <c r="T815" s="2"/>
      <c r="U815" s="2"/>
    </row>
    <row r="816" spans="13:21" x14ac:dyDescent="0.2">
      <c r="M816" s="2"/>
      <c r="N816" s="2"/>
      <c r="O816" s="2"/>
      <c r="P816" s="2"/>
      <c r="Q816" s="2"/>
      <c r="R816" s="2"/>
      <c r="S816" s="2"/>
      <c r="T816" s="2"/>
      <c r="U816" s="2"/>
    </row>
    <row r="817" spans="13:21" x14ac:dyDescent="0.2">
      <c r="M817" s="2"/>
      <c r="N817" s="2"/>
      <c r="O817" s="2"/>
      <c r="P817" s="2"/>
      <c r="Q817" s="2"/>
      <c r="R817" s="2"/>
      <c r="S817" s="2"/>
      <c r="T817" s="2"/>
      <c r="U817" s="2"/>
    </row>
    <row r="818" spans="13:21" x14ac:dyDescent="0.2">
      <c r="M818" s="2"/>
      <c r="N818" s="2"/>
      <c r="O818" s="2"/>
      <c r="P818" s="2"/>
      <c r="Q818" s="2"/>
      <c r="R818" s="2"/>
      <c r="S818" s="2"/>
      <c r="T818" s="2"/>
      <c r="U818" s="2"/>
    </row>
    <row r="819" spans="13:21" x14ac:dyDescent="0.2">
      <c r="M819" s="2"/>
      <c r="N819" s="2"/>
      <c r="O819" s="2"/>
      <c r="P819" s="2"/>
      <c r="Q819" s="2"/>
      <c r="R819" s="2"/>
      <c r="S819" s="2"/>
      <c r="T819" s="2"/>
      <c r="U819" s="2"/>
    </row>
    <row r="820" spans="13:21" x14ac:dyDescent="0.2">
      <c r="M820" s="2"/>
      <c r="N820" s="2"/>
      <c r="O820" s="2"/>
      <c r="P820" s="2"/>
      <c r="Q820" s="2"/>
      <c r="R820" s="2"/>
      <c r="S820" s="2"/>
      <c r="T820" s="2"/>
      <c r="U820" s="2"/>
    </row>
    <row r="821" spans="13:21" x14ac:dyDescent="0.2">
      <c r="M821" s="2"/>
      <c r="N821" s="2"/>
      <c r="O821" s="2"/>
      <c r="P821" s="2"/>
      <c r="Q821" s="2"/>
      <c r="R821" s="2"/>
      <c r="S821" s="2"/>
      <c r="T821" s="2"/>
      <c r="U821" s="2"/>
    </row>
    <row r="822" spans="13:21" x14ac:dyDescent="0.2">
      <c r="M822" s="2"/>
      <c r="N822" s="2"/>
      <c r="O822" s="2"/>
      <c r="P822" s="2"/>
      <c r="Q822" s="2"/>
      <c r="R822" s="2"/>
      <c r="S822" s="2"/>
      <c r="T822" s="2"/>
      <c r="U822" s="2"/>
    </row>
    <row r="823" spans="13:21" x14ac:dyDescent="0.2">
      <c r="M823" s="2"/>
      <c r="N823" s="2"/>
      <c r="O823" s="2"/>
      <c r="P823" s="2"/>
      <c r="Q823" s="2"/>
      <c r="R823" s="2"/>
      <c r="S823" s="2"/>
      <c r="T823" s="2"/>
      <c r="U823" s="2"/>
    </row>
    <row r="824" spans="13:21" x14ac:dyDescent="0.2">
      <c r="M824" s="2"/>
      <c r="N824" s="2"/>
      <c r="O824" s="2"/>
      <c r="P824" s="2"/>
      <c r="Q824" s="2"/>
      <c r="R824" s="2"/>
      <c r="S824" s="2"/>
      <c r="T824" s="2"/>
      <c r="U824" s="2"/>
    </row>
    <row r="825" spans="13:21" x14ac:dyDescent="0.2">
      <c r="M825" s="2"/>
      <c r="N825" s="2"/>
      <c r="O825" s="2"/>
      <c r="P825" s="2"/>
      <c r="Q825" s="2"/>
      <c r="R825" s="2"/>
      <c r="S825" s="2"/>
      <c r="T825" s="2"/>
      <c r="U825" s="2"/>
    </row>
    <row r="826" spans="13:21" x14ac:dyDescent="0.2">
      <c r="M826" s="2"/>
      <c r="N826" s="2"/>
      <c r="O826" s="2"/>
      <c r="P826" s="2"/>
      <c r="Q826" s="2"/>
      <c r="R826" s="2"/>
      <c r="S826" s="2"/>
      <c r="T826" s="2"/>
      <c r="U826" s="2"/>
    </row>
    <row r="827" spans="13:21" x14ac:dyDescent="0.2">
      <c r="M827" s="2"/>
      <c r="N827" s="2"/>
      <c r="O827" s="2"/>
      <c r="P827" s="2"/>
      <c r="Q827" s="2"/>
      <c r="R827" s="2"/>
      <c r="S827" s="2"/>
      <c r="T827" s="2"/>
      <c r="U827" s="2"/>
    </row>
    <row r="828" spans="13:21" x14ac:dyDescent="0.2">
      <c r="M828" s="2"/>
      <c r="N828" s="2"/>
      <c r="O828" s="2"/>
      <c r="P828" s="2"/>
      <c r="Q828" s="2"/>
      <c r="R828" s="2"/>
      <c r="S828" s="2"/>
      <c r="T828" s="2"/>
      <c r="U828" s="2"/>
    </row>
    <row r="829" spans="13:21" x14ac:dyDescent="0.2">
      <c r="M829" s="2"/>
      <c r="N829" s="2"/>
      <c r="O829" s="2"/>
      <c r="P829" s="2"/>
      <c r="Q829" s="2"/>
      <c r="R829" s="2"/>
      <c r="S829" s="2"/>
      <c r="T829" s="2"/>
      <c r="U829" s="2"/>
    </row>
    <row r="830" spans="13:21" x14ac:dyDescent="0.2">
      <c r="M830" s="2"/>
      <c r="N830" s="2"/>
      <c r="O830" s="2"/>
      <c r="P830" s="2"/>
      <c r="Q830" s="2"/>
      <c r="R830" s="2"/>
      <c r="S830" s="2"/>
      <c r="T830" s="2"/>
      <c r="U830" s="2"/>
    </row>
    <row r="831" spans="13:21" x14ac:dyDescent="0.2">
      <c r="M831" s="2"/>
      <c r="N831" s="2"/>
      <c r="O831" s="2"/>
      <c r="P831" s="2"/>
      <c r="Q831" s="2"/>
      <c r="R831" s="2"/>
      <c r="S831" s="2"/>
      <c r="T831" s="2"/>
      <c r="U831" s="2"/>
    </row>
    <row r="832" spans="13:21" x14ac:dyDescent="0.2">
      <c r="M832" s="2"/>
      <c r="N832" s="2"/>
      <c r="O832" s="2"/>
      <c r="P832" s="2"/>
      <c r="Q832" s="2"/>
      <c r="R832" s="2"/>
      <c r="S832" s="2"/>
      <c r="T832" s="2"/>
      <c r="U832" s="2"/>
    </row>
    <row r="833" spans="13:21" x14ac:dyDescent="0.2">
      <c r="M833" s="2"/>
      <c r="N833" s="2"/>
      <c r="O833" s="2"/>
      <c r="P833" s="2"/>
      <c r="Q833" s="2"/>
      <c r="R833" s="2"/>
      <c r="S833" s="2"/>
      <c r="T833" s="2"/>
      <c r="U833" s="2"/>
    </row>
    <row r="834" spans="13:21" x14ac:dyDescent="0.2">
      <c r="M834" s="2"/>
      <c r="N834" s="2"/>
      <c r="O834" s="2"/>
      <c r="P834" s="2"/>
      <c r="Q834" s="2"/>
      <c r="R834" s="2"/>
      <c r="S834" s="2"/>
      <c r="T834" s="2"/>
      <c r="U834" s="2"/>
    </row>
    <row r="835" spans="13:21" x14ac:dyDescent="0.2">
      <c r="M835" s="2"/>
      <c r="N835" s="2"/>
      <c r="O835" s="2"/>
      <c r="P835" s="2"/>
      <c r="Q835" s="2"/>
      <c r="R835" s="2"/>
      <c r="S835" s="2"/>
      <c r="T835" s="2"/>
      <c r="U835" s="2"/>
    </row>
    <row r="836" spans="13:21" x14ac:dyDescent="0.2">
      <c r="M836" s="2"/>
      <c r="N836" s="2"/>
      <c r="O836" s="2"/>
      <c r="P836" s="2"/>
      <c r="Q836" s="2"/>
      <c r="R836" s="2"/>
      <c r="S836" s="2"/>
      <c r="T836" s="2"/>
      <c r="U836" s="2"/>
    </row>
    <row r="837" spans="13:21" x14ac:dyDescent="0.2">
      <c r="M837" s="2"/>
      <c r="N837" s="2"/>
      <c r="O837" s="2"/>
      <c r="P837" s="2"/>
      <c r="Q837" s="2"/>
      <c r="R837" s="2"/>
      <c r="S837" s="2"/>
      <c r="T837" s="2"/>
      <c r="U837" s="2"/>
    </row>
    <row r="838" spans="13:21" x14ac:dyDescent="0.2">
      <c r="M838" s="2"/>
      <c r="N838" s="2"/>
      <c r="O838" s="2"/>
      <c r="P838" s="2"/>
      <c r="Q838" s="2"/>
      <c r="R838" s="2"/>
      <c r="S838" s="2"/>
      <c r="T838" s="2"/>
      <c r="U838" s="2"/>
    </row>
    <row r="839" spans="13:21" x14ac:dyDescent="0.2">
      <c r="M839" s="2"/>
      <c r="N839" s="2"/>
      <c r="O839" s="2"/>
      <c r="P839" s="2"/>
      <c r="Q839" s="2"/>
      <c r="R839" s="2"/>
      <c r="S839" s="2"/>
      <c r="T839" s="2"/>
      <c r="U839" s="2"/>
    </row>
    <row r="840" spans="13:21" x14ac:dyDescent="0.2">
      <c r="M840" s="2"/>
      <c r="N840" s="2"/>
      <c r="O840" s="2"/>
      <c r="P840" s="2"/>
      <c r="Q840" s="2"/>
      <c r="R840" s="2"/>
      <c r="S840" s="2"/>
      <c r="T840" s="2"/>
      <c r="U840" s="2"/>
    </row>
    <row r="841" spans="13:21" x14ac:dyDescent="0.2">
      <c r="M841" s="2"/>
      <c r="N841" s="2"/>
      <c r="O841" s="2"/>
      <c r="P841" s="2"/>
      <c r="Q841" s="2"/>
      <c r="R841" s="2"/>
      <c r="S841" s="2"/>
      <c r="T841" s="2"/>
      <c r="U841" s="2"/>
    </row>
    <row r="842" spans="13:21" x14ac:dyDescent="0.2">
      <c r="M842" s="2"/>
      <c r="N842" s="2"/>
      <c r="O842" s="2"/>
      <c r="P842" s="2"/>
      <c r="Q842" s="2"/>
      <c r="R842" s="2"/>
      <c r="S842" s="2"/>
      <c r="T842" s="2"/>
      <c r="U842" s="2"/>
    </row>
    <row r="843" spans="13:21" x14ac:dyDescent="0.2">
      <c r="M843" s="2"/>
      <c r="N843" s="2"/>
      <c r="O843" s="2"/>
      <c r="P843" s="2"/>
      <c r="Q843" s="2"/>
      <c r="R843" s="2"/>
      <c r="S843" s="2"/>
      <c r="T843" s="2"/>
      <c r="U843" s="2"/>
    </row>
    <row r="844" spans="13:21" x14ac:dyDescent="0.2">
      <c r="M844" s="2"/>
      <c r="N844" s="2"/>
      <c r="O844" s="2"/>
      <c r="P844" s="2"/>
      <c r="Q844" s="2"/>
      <c r="R844" s="2"/>
      <c r="S844" s="2"/>
      <c r="T844" s="2"/>
      <c r="U844" s="2"/>
    </row>
    <row r="845" spans="13:21" x14ac:dyDescent="0.2">
      <c r="M845" s="2"/>
      <c r="N845" s="2"/>
      <c r="O845" s="2"/>
      <c r="P845" s="2"/>
      <c r="Q845" s="2"/>
      <c r="R845" s="2"/>
      <c r="S845" s="2"/>
      <c r="T845" s="2"/>
      <c r="U845" s="2"/>
    </row>
    <row r="846" spans="13:21" x14ac:dyDescent="0.2">
      <c r="M846" s="2"/>
      <c r="N846" s="2"/>
      <c r="O846" s="2"/>
      <c r="P846" s="2"/>
      <c r="Q846" s="2"/>
      <c r="R846" s="2"/>
      <c r="S846" s="2"/>
      <c r="T846" s="2"/>
      <c r="U846" s="2"/>
    </row>
    <row r="847" spans="13:21" x14ac:dyDescent="0.2">
      <c r="M847" s="2"/>
      <c r="N847" s="2"/>
      <c r="O847" s="2"/>
      <c r="P847" s="2"/>
      <c r="Q847" s="2"/>
      <c r="R847" s="2"/>
      <c r="S847" s="2"/>
      <c r="T847" s="2"/>
      <c r="U847" s="2"/>
    </row>
    <row r="848" spans="13:21" x14ac:dyDescent="0.2">
      <c r="M848" s="2"/>
      <c r="N848" s="2"/>
      <c r="O848" s="2"/>
      <c r="P848" s="2"/>
      <c r="Q848" s="2"/>
      <c r="R848" s="2"/>
      <c r="S848" s="2"/>
      <c r="T848" s="2"/>
      <c r="U848" s="2"/>
    </row>
    <row r="849" spans="13:21" x14ac:dyDescent="0.2">
      <c r="M849" s="2"/>
      <c r="N849" s="2"/>
      <c r="O849" s="2"/>
      <c r="P849" s="2"/>
      <c r="Q849" s="2"/>
      <c r="R849" s="2"/>
      <c r="S849" s="2"/>
      <c r="T849" s="2"/>
      <c r="U849" s="2"/>
    </row>
    <row r="850" spans="13:21" x14ac:dyDescent="0.2">
      <c r="M850" s="2"/>
      <c r="N850" s="2"/>
      <c r="O850" s="2"/>
      <c r="P850" s="2"/>
      <c r="Q850" s="2"/>
      <c r="R850" s="2"/>
      <c r="S850" s="2"/>
      <c r="T850" s="2"/>
      <c r="U850" s="2"/>
    </row>
    <row r="851" spans="13:21" x14ac:dyDescent="0.2">
      <c r="M851" s="2"/>
      <c r="N851" s="2"/>
      <c r="O851" s="2"/>
      <c r="P851" s="2"/>
      <c r="Q851" s="2"/>
      <c r="R851" s="2"/>
      <c r="S851" s="2"/>
      <c r="T851" s="2"/>
      <c r="U851" s="2"/>
    </row>
    <row r="852" spans="13:21" x14ac:dyDescent="0.2">
      <c r="M852" s="2"/>
      <c r="N852" s="2"/>
      <c r="O852" s="2"/>
      <c r="P852" s="2"/>
      <c r="Q852" s="2"/>
      <c r="R852" s="2"/>
      <c r="S852" s="2"/>
      <c r="T852" s="2"/>
      <c r="U852" s="2"/>
    </row>
    <row r="853" spans="13:21" x14ac:dyDescent="0.2">
      <c r="M853" s="2"/>
      <c r="N853" s="2"/>
      <c r="O853" s="2"/>
      <c r="P853" s="2"/>
      <c r="Q853" s="2"/>
      <c r="R853" s="2"/>
      <c r="S853" s="2"/>
      <c r="T853" s="2"/>
      <c r="U853" s="2"/>
    </row>
    <row r="854" spans="13:21" x14ac:dyDescent="0.2">
      <c r="M854" s="2"/>
      <c r="N854" s="2"/>
      <c r="O854" s="2"/>
      <c r="P854" s="2"/>
      <c r="Q854" s="2"/>
      <c r="R854" s="2"/>
      <c r="S854" s="2"/>
      <c r="T854" s="2"/>
      <c r="U854" s="2"/>
    </row>
    <row r="855" spans="13:21" x14ac:dyDescent="0.2">
      <c r="M855" s="2"/>
      <c r="N855" s="2"/>
      <c r="O855" s="2"/>
      <c r="P855" s="2"/>
      <c r="Q855" s="2"/>
      <c r="R855" s="2"/>
      <c r="S855" s="2"/>
      <c r="T855" s="2"/>
      <c r="U855" s="2"/>
    </row>
    <row r="856" spans="13:21" x14ac:dyDescent="0.2">
      <c r="M856" s="2"/>
      <c r="N856" s="2"/>
      <c r="O856" s="2"/>
      <c r="P856" s="2"/>
      <c r="Q856" s="2"/>
      <c r="R856" s="2"/>
      <c r="S856" s="2"/>
      <c r="T856" s="2"/>
      <c r="U856" s="2"/>
    </row>
    <row r="857" spans="13:21" x14ac:dyDescent="0.2">
      <c r="M857" s="2"/>
      <c r="N857" s="2"/>
      <c r="O857" s="2"/>
      <c r="P857" s="2"/>
      <c r="Q857" s="2"/>
      <c r="R857" s="2"/>
      <c r="S857" s="2"/>
      <c r="T857" s="2"/>
      <c r="U857" s="2"/>
    </row>
    <row r="858" spans="13:21" x14ac:dyDescent="0.2">
      <c r="M858" s="2"/>
      <c r="N858" s="2"/>
      <c r="O858" s="2"/>
      <c r="P858" s="2"/>
      <c r="Q858" s="2"/>
      <c r="R858" s="2"/>
      <c r="S858" s="2"/>
      <c r="T858" s="2"/>
      <c r="U858" s="2"/>
    </row>
    <row r="859" spans="13:21" x14ac:dyDescent="0.2">
      <c r="M859" s="2"/>
      <c r="N859" s="2"/>
      <c r="O859" s="2"/>
      <c r="P859" s="2"/>
      <c r="Q859" s="2"/>
      <c r="R859" s="2"/>
      <c r="S859" s="2"/>
      <c r="T859" s="2"/>
      <c r="U859" s="2"/>
    </row>
    <row r="860" spans="13:21" x14ac:dyDescent="0.2">
      <c r="M860" s="2"/>
      <c r="N860" s="2"/>
      <c r="O860" s="2"/>
      <c r="P860" s="2"/>
      <c r="Q860" s="2"/>
      <c r="R860" s="2"/>
      <c r="S860" s="2"/>
      <c r="T860" s="2"/>
      <c r="U860" s="2"/>
    </row>
    <row r="861" spans="13:21" x14ac:dyDescent="0.2">
      <c r="M861" s="2"/>
      <c r="N861" s="2"/>
      <c r="O861" s="2"/>
      <c r="P861" s="2"/>
      <c r="Q861" s="2"/>
      <c r="R861" s="2"/>
      <c r="S861" s="2"/>
      <c r="T861" s="2"/>
      <c r="U861" s="2"/>
    </row>
    <row r="862" spans="13:21" x14ac:dyDescent="0.2">
      <c r="M862" s="2"/>
      <c r="N862" s="2"/>
      <c r="O862" s="2"/>
      <c r="P862" s="2"/>
      <c r="Q862" s="2"/>
      <c r="R862" s="2"/>
      <c r="S862" s="2"/>
      <c r="T862" s="2"/>
      <c r="U862" s="2"/>
    </row>
    <row r="863" spans="13:21" x14ac:dyDescent="0.2">
      <c r="M863" s="2"/>
      <c r="N863" s="2"/>
      <c r="O863" s="2"/>
      <c r="P863" s="2"/>
      <c r="Q863" s="2"/>
      <c r="R863" s="2"/>
      <c r="S863" s="2"/>
      <c r="T863" s="2"/>
      <c r="U863" s="2"/>
    </row>
    <row r="864" spans="13:21" x14ac:dyDescent="0.2">
      <c r="M864" s="2"/>
      <c r="N864" s="2"/>
      <c r="O864" s="2"/>
      <c r="P864" s="2"/>
      <c r="Q864" s="2"/>
      <c r="R864" s="2"/>
      <c r="S864" s="2"/>
      <c r="T864" s="2"/>
      <c r="U864" s="2"/>
    </row>
    <row r="865" spans="13:21" x14ac:dyDescent="0.2">
      <c r="M865" s="2"/>
      <c r="N865" s="2"/>
      <c r="O865" s="2"/>
      <c r="P865" s="2"/>
      <c r="Q865" s="2"/>
      <c r="R865" s="2"/>
      <c r="S865" s="2"/>
      <c r="T865" s="2"/>
      <c r="U865" s="2"/>
    </row>
    <row r="866" spans="13:21" x14ac:dyDescent="0.2">
      <c r="M866" s="2"/>
      <c r="N866" s="2"/>
      <c r="O866" s="2"/>
      <c r="P866" s="2"/>
      <c r="Q866" s="2"/>
      <c r="R866" s="2"/>
      <c r="S866" s="2"/>
      <c r="T866" s="2"/>
      <c r="U866" s="2"/>
    </row>
    <row r="867" spans="13:21" x14ac:dyDescent="0.2">
      <c r="M867" s="2"/>
      <c r="N867" s="2"/>
      <c r="O867" s="2"/>
      <c r="P867" s="2"/>
      <c r="Q867" s="2"/>
      <c r="R867" s="2"/>
      <c r="S867" s="2"/>
      <c r="T867" s="2"/>
      <c r="U867" s="2"/>
    </row>
    <row r="868" spans="13:21" x14ac:dyDescent="0.2">
      <c r="M868" s="2"/>
      <c r="N868" s="2"/>
      <c r="O868" s="2"/>
      <c r="P868" s="2"/>
      <c r="Q868" s="2"/>
      <c r="R868" s="2"/>
      <c r="S868" s="2"/>
      <c r="T868" s="2"/>
      <c r="U868" s="2"/>
    </row>
    <row r="869" spans="13:21" x14ac:dyDescent="0.2">
      <c r="M869" s="2"/>
      <c r="N869" s="2"/>
      <c r="O869" s="2"/>
      <c r="P869" s="2"/>
      <c r="Q869" s="2"/>
      <c r="R869" s="2"/>
      <c r="S869" s="2"/>
      <c r="T869" s="2"/>
      <c r="U869" s="2"/>
    </row>
    <row r="870" spans="13:21" x14ac:dyDescent="0.2">
      <c r="M870" s="2"/>
      <c r="N870" s="2"/>
      <c r="O870" s="2"/>
      <c r="P870" s="2"/>
      <c r="Q870" s="2"/>
      <c r="R870" s="2"/>
      <c r="S870" s="2"/>
      <c r="T870" s="2"/>
      <c r="U870" s="2"/>
    </row>
    <row r="871" spans="13:21" x14ac:dyDescent="0.2">
      <c r="M871" s="2"/>
      <c r="N871" s="2"/>
      <c r="O871" s="2"/>
      <c r="P871" s="2"/>
      <c r="Q871" s="2"/>
      <c r="R871" s="2"/>
      <c r="S871" s="2"/>
      <c r="T871" s="2"/>
      <c r="U871" s="2"/>
    </row>
    <row r="872" spans="13:21" x14ac:dyDescent="0.2">
      <c r="M872" s="2"/>
      <c r="N872" s="2"/>
      <c r="O872" s="2"/>
      <c r="P872" s="2"/>
      <c r="Q872" s="2"/>
      <c r="R872" s="2"/>
      <c r="S872" s="2"/>
      <c r="T872" s="2"/>
      <c r="U872" s="2"/>
    </row>
    <row r="873" spans="13:21" x14ac:dyDescent="0.2">
      <c r="M873" s="2"/>
      <c r="N873" s="2"/>
      <c r="O873" s="2"/>
      <c r="P873" s="2"/>
      <c r="Q873" s="2"/>
      <c r="R873" s="2"/>
      <c r="S873" s="2"/>
      <c r="T873" s="2"/>
      <c r="U873" s="2"/>
    </row>
    <row r="874" spans="13:21" x14ac:dyDescent="0.2">
      <c r="M874" s="2"/>
      <c r="N874" s="2"/>
      <c r="O874" s="2"/>
      <c r="P874" s="2"/>
      <c r="Q874" s="2"/>
      <c r="R874" s="2"/>
      <c r="S874" s="2"/>
      <c r="T874" s="2"/>
      <c r="U874" s="2"/>
    </row>
    <row r="875" spans="13:21" x14ac:dyDescent="0.2">
      <c r="M875" s="2"/>
      <c r="N875" s="2"/>
      <c r="O875" s="2"/>
      <c r="P875" s="2"/>
      <c r="Q875" s="2"/>
      <c r="R875" s="2"/>
      <c r="S875" s="2"/>
      <c r="T875" s="2"/>
      <c r="U875" s="2"/>
    </row>
    <row r="876" spans="13:21" x14ac:dyDescent="0.2">
      <c r="M876" s="2"/>
      <c r="N876" s="2"/>
      <c r="O876" s="2"/>
      <c r="P876" s="2"/>
      <c r="Q876" s="2"/>
      <c r="R876" s="2"/>
      <c r="S876" s="2"/>
      <c r="T876" s="2"/>
      <c r="U876" s="2"/>
    </row>
    <row r="877" spans="13:21" x14ac:dyDescent="0.2">
      <c r="M877" s="2"/>
      <c r="N877" s="2"/>
      <c r="O877" s="2"/>
      <c r="P877" s="2"/>
      <c r="Q877" s="2"/>
      <c r="R877" s="2"/>
      <c r="S877" s="2"/>
      <c r="T877" s="2"/>
      <c r="U877" s="2"/>
    </row>
    <row r="878" spans="13:21" x14ac:dyDescent="0.2">
      <c r="M878" s="2"/>
      <c r="N878" s="2"/>
      <c r="O878" s="2"/>
      <c r="P878" s="2"/>
      <c r="Q878" s="2"/>
      <c r="R878" s="2"/>
      <c r="S878" s="2"/>
      <c r="T878" s="2"/>
      <c r="U878" s="2"/>
    </row>
    <row r="879" spans="13:21" x14ac:dyDescent="0.2">
      <c r="M879" s="2"/>
      <c r="N879" s="2"/>
      <c r="O879" s="2"/>
      <c r="P879" s="2"/>
      <c r="Q879" s="2"/>
      <c r="R879" s="2"/>
      <c r="S879" s="2"/>
      <c r="T879" s="2"/>
      <c r="U879" s="2"/>
    </row>
    <row r="880" spans="13:21" x14ac:dyDescent="0.2">
      <c r="M880" s="2"/>
      <c r="N880" s="2"/>
      <c r="O880" s="2"/>
      <c r="P880" s="2"/>
      <c r="Q880" s="2"/>
      <c r="R880" s="2"/>
      <c r="S880" s="2"/>
      <c r="T880" s="2"/>
      <c r="U880" s="2"/>
    </row>
    <row r="881" spans="13:21" x14ac:dyDescent="0.2">
      <c r="M881" s="2"/>
      <c r="N881" s="2"/>
      <c r="O881" s="2"/>
      <c r="P881" s="2"/>
      <c r="Q881" s="2"/>
      <c r="R881" s="2"/>
      <c r="S881" s="2"/>
      <c r="T881" s="2"/>
      <c r="U881" s="2"/>
    </row>
    <row r="882" spans="13:21" x14ac:dyDescent="0.2">
      <c r="M882" s="2"/>
      <c r="N882" s="2"/>
      <c r="O882" s="2"/>
      <c r="P882" s="2"/>
      <c r="Q882" s="2"/>
      <c r="R882" s="2"/>
      <c r="S882" s="2"/>
      <c r="T882" s="2"/>
      <c r="U882" s="2"/>
    </row>
    <row r="883" spans="13:21" x14ac:dyDescent="0.2">
      <c r="M883" s="2"/>
      <c r="N883" s="2"/>
      <c r="O883" s="2"/>
      <c r="P883" s="2"/>
      <c r="Q883" s="2"/>
      <c r="R883" s="2"/>
      <c r="S883" s="2"/>
      <c r="T883" s="2"/>
      <c r="U883" s="2"/>
    </row>
    <row r="884" spans="13:21" x14ac:dyDescent="0.2">
      <c r="M884" s="2"/>
      <c r="N884" s="2"/>
      <c r="O884" s="2"/>
      <c r="P884" s="2"/>
      <c r="Q884" s="2"/>
      <c r="R884" s="2"/>
      <c r="S884" s="2"/>
      <c r="T884" s="2"/>
      <c r="U884" s="2"/>
    </row>
    <row r="885" spans="13:21" x14ac:dyDescent="0.2">
      <c r="M885" s="2"/>
      <c r="N885" s="2"/>
      <c r="O885" s="2"/>
      <c r="P885" s="2"/>
      <c r="Q885" s="2"/>
      <c r="R885" s="2"/>
      <c r="S885" s="2"/>
      <c r="T885" s="2"/>
      <c r="U885" s="2"/>
    </row>
    <row r="886" spans="13:21" x14ac:dyDescent="0.2">
      <c r="M886" s="2"/>
      <c r="N886" s="2"/>
      <c r="O886" s="2"/>
      <c r="P886" s="2"/>
      <c r="Q886" s="2"/>
      <c r="R886" s="2"/>
      <c r="S886" s="2"/>
      <c r="T886" s="2"/>
      <c r="U886" s="2"/>
    </row>
    <row r="887" spans="13:21" x14ac:dyDescent="0.2">
      <c r="M887" s="2"/>
      <c r="N887" s="2"/>
      <c r="O887" s="2"/>
      <c r="P887" s="2"/>
      <c r="Q887" s="2"/>
      <c r="R887" s="2"/>
      <c r="S887" s="2"/>
      <c r="T887" s="2"/>
      <c r="U887" s="2"/>
    </row>
    <row r="888" spans="13:21" x14ac:dyDescent="0.2">
      <c r="M888" s="2"/>
      <c r="N888" s="2"/>
      <c r="O888" s="2"/>
      <c r="P888" s="2"/>
      <c r="Q888" s="2"/>
      <c r="R888" s="2"/>
      <c r="S888" s="2"/>
      <c r="T888" s="2"/>
      <c r="U888" s="2"/>
    </row>
    <row r="889" spans="13:21" x14ac:dyDescent="0.2">
      <c r="M889" s="2"/>
      <c r="N889" s="2"/>
      <c r="O889" s="2"/>
      <c r="P889" s="2"/>
      <c r="Q889" s="2"/>
      <c r="R889" s="2"/>
      <c r="S889" s="2"/>
      <c r="T889" s="2"/>
      <c r="U889" s="2"/>
    </row>
    <row r="890" spans="13:21" x14ac:dyDescent="0.2">
      <c r="M890" s="2"/>
      <c r="N890" s="2"/>
      <c r="O890" s="2"/>
      <c r="P890" s="2"/>
      <c r="Q890" s="2"/>
      <c r="R890" s="2"/>
      <c r="S890" s="2"/>
      <c r="T890" s="2"/>
      <c r="U890" s="2"/>
    </row>
    <row r="891" spans="13:21" x14ac:dyDescent="0.2">
      <c r="M891" s="2"/>
      <c r="N891" s="2"/>
      <c r="O891" s="2"/>
      <c r="P891" s="2"/>
      <c r="Q891" s="2"/>
      <c r="R891" s="2"/>
      <c r="S891" s="2"/>
      <c r="T891" s="2"/>
      <c r="U891" s="2"/>
    </row>
    <row r="892" spans="13:21" x14ac:dyDescent="0.2">
      <c r="M892" s="2"/>
      <c r="N892" s="2"/>
      <c r="O892" s="2"/>
      <c r="P892" s="2"/>
      <c r="Q892" s="2"/>
      <c r="R892" s="2"/>
      <c r="S892" s="2"/>
      <c r="T892" s="2"/>
      <c r="U892" s="2"/>
    </row>
    <row r="893" spans="13:21" x14ac:dyDescent="0.2">
      <c r="M893" s="2"/>
      <c r="N893" s="2"/>
      <c r="O893" s="2"/>
      <c r="P893" s="2"/>
      <c r="Q893" s="2"/>
      <c r="R893" s="2"/>
      <c r="S893" s="2"/>
      <c r="T893" s="2"/>
      <c r="U893" s="2"/>
    </row>
    <row r="894" spans="13:21" x14ac:dyDescent="0.2">
      <c r="M894" s="2"/>
      <c r="N894" s="2"/>
      <c r="O894" s="2"/>
      <c r="P894" s="2"/>
      <c r="Q894" s="2"/>
      <c r="R894" s="2"/>
      <c r="S894" s="2"/>
      <c r="T894" s="2"/>
      <c r="U894" s="2"/>
    </row>
    <row r="895" spans="13:21" x14ac:dyDescent="0.2">
      <c r="M895" s="2"/>
      <c r="N895" s="2"/>
      <c r="O895" s="2"/>
      <c r="P895" s="2"/>
      <c r="Q895" s="2"/>
      <c r="R895" s="2"/>
      <c r="S895" s="2"/>
      <c r="T895" s="2"/>
      <c r="U895" s="2"/>
    </row>
    <row r="896" spans="13:21" x14ac:dyDescent="0.2">
      <c r="M896" s="2"/>
      <c r="N896" s="2"/>
      <c r="O896" s="2"/>
      <c r="P896" s="2"/>
      <c r="Q896" s="2"/>
      <c r="R896" s="2"/>
      <c r="S896" s="2"/>
      <c r="T896" s="2"/>
      <c r="U896" s="2"/>
    </row>
    <row r="897" spans="13:21" x14ac:dyDescent="0.2">
      <c r="M897" s="2"/>
      <c r="N897" s="2"/>
      <c r="O897" s="2"/>
      <c r="P897" s="2"/>
      <c r="Q897" s="2"/>
      <c r="R897" s="2"/>
      <c r="S897" s="2"/>
      <c r="T897" s="2"/>
      <c r="U897" s="2"/>
    </row>
    <row r="898" spans="13:21" x14ac:dyDescent="0.2">
      <c r="M898" s="2"/>
      <c r="N898" s="2"/>
      <c r="O898" s="2"/>
      <c r="P898" s="2"/>
      <c r="Q898" s="2"/>
      <c r="R898" s="2"/>
      <c r="S898" s="2"/>
      <c r="T898" s="2"/>
      <c r="U898" s="2"/>
    </row>
    <row r="899" spans="13:21" x14ac:dyDescent="0.2">
      <c r="M899" s="2"/>
      <c r="N899" s="2"/>
      <c r="O899" s="2"/>
      <c r="P899" s="2"/>
      <c r="Q899" s="2"/>
      <c r="R899" s="2"/>
      <c r="S899" s="2"/>
      <c r="T899" s="2"/>
      <c r="U899" s="2"/>
    </row>
    <row r="900" spans="13:21" x14ac:dyDescent="0.2">
      <c r="M900" s="2"/>
      <c r="N900" s="2"/>
      <c r="O900" s="2"/>
      <c r="P900" s="2"/>
      <c r="Q900" s="2"/>
      <c r="R900" s="2"/>
      <c r="S900" s="2"/>
      <c r="T900" s="2"/>
      <c r="U900" s="2"/>
    </row>
    <row r="901" spans="13:21" x14ac:dyDescent="0.2">
      <c r="M901" s="2"/>
      <c r="N901" s="2"/>
      <c r="O901" s="2"/>
      <c r="P901" s="2"/>
      <c r="Q901" s="2"/>
      <c r="R901" s="2"/>
      <c r="S901" s="2"/>
      <c r="T901" s="2"/>
      <c r="U901" s="2"/>
    </row>
    <row r="902" spans="13:21" x14ac:dyDescent="0.2">
      <c r="M902" s="2"/>
      <c r="N902" s="2"/>
      <c r="O902" s="2"/>
      <c r="P902" s="2"/>
      <c r="Q902" s="2"/>
      <c r="R902" s="2"/>
      <c r="S902" s="2"/>
      <c r="T902" s="2"/>
      <c r="U902" s="2"/>
    </row>
    <row r="903" spans="13:21" x14ac:dyDescent="0.2">
      <c r="M903" s="2"/>
      <c r="N903" s="2"/>
      <c r="O903" s="2"/>
      <c r="P903" s="2"/>
      <c r="Q903" s="2"/>
      <c r="R903" s="2"/>
      <c r="S903" s="2"/>
      <c r="T903" s="2"/>
      <c r="U903" s="2"/>
    </row>
    <row r="904" spans="13:21" x14ac:dyDescent="0.2">
      <c r="M904" s="2"/>
      <c r="N904" s="2"/>
      <c r="O904" s="2"/>
      <c r="P904" s="2"/>
      <c r="Q904" s="2"/>
      <c r="R904" s="2"/>
      <c r="S904" s="2"/>
      <c r="T904" s="2"/>
      <c r="U904" s="2"/>
    </row>
    <row r="905" spans="13:21" x14ac:dyDescent="0.2">
      <c r="M905" s="2"/>
      <c r="N905" s="2"/>
      <c r="O905" s="2"/>
      <c r="P905" s="2"/>
      <c r="Q905" s="2"/>
      <c r="R905" s="2"/>
      <c r="S905" s="2"/>
      <c r="T905" s="2"/>
      <c r="U905" s="2"/>
    </row>
    <row r="906" spans="13:21" x14ac:dyDescent="0.2">
      <c r="M906" s="2"/>
      <c r="N906" s="2"/>
      <c r="O906" s="2"/>
      <c r="P906" s="2"/>
      <c r="Q906" s="2"/>
      <c r="R906" s="2"/>
      <c r="S906" s="2"/>
      <c r="T906" s="2"/>
      <c r="U906" s="2"/>
    </row>
    <row r="907" spans="13:21" x14ac:dyDescent="0.2">
      <c r="M907" s="2"/>
      <c r="N907" s="2"/>
      <c r="O907" s="2"/>
      <c r="P907" s="2"/>
      <c r="Q907" s="2"/>
      <c r="R907" s="2"/>
      <c r="S907" s="2"/>
      <c r="T907" s="2"/>
      <c r="U907" s="2"/>
    </row>
    <row r="908" spans="13:21" x14ac:dyDescent="0.2">
      <c r="M908" s="2"/>
      <c r="N908" s="2"/>
      <c r="O908" s="2"/>
      <c r="P908" s="2"/>
      <c r="Q908" s="2"/>
      <c r="R908" s="2"/>
      <c r="S908" s="2"/>
      <c r="T908" s="2"/>
      <c r="U908" s="2"/>
    </row>
    <row r="909" spans="13:21" x14ac:dyDescent="0.2">
      <c r="M909" s="2"/>
      <c r="N909" s="2"/>
      <c r="O909" s="2"/>
      <c r="P909" s="2"/>
      <c r="Q909" s="2"/>
      <c r="R909" s="2"/>
      <c r="S909" s="2"/>
      <c r="T909" s="2"/>
      <c r="U909" s="2"/>
    </row>
    <row r="910" spans="13:21" x14ac:dyDescent="0.2">
      <c r="M910" s="2"/>
      <c r="N910" s="2"/>
      <c r="O910" s="2"/>
      <c r="P910" s="2"/>
      <c r="Q910" s="2"/>
      <c r="R910" s="2"/>
      <c r="S910" s="2"/>
      <c r="T910" s="2"/>
      <c r="U910" s="2"/>
    </row>
    <row r="911" spans="13:21" x14ac:dyDescent="0.2">
      <c r="M911" s="2"/>
      <c r="N911" s="2"/>
      <c r="O911" s="2"/>
      <c r="P911" s="2"/>
      <c r="Q911" s="2"/>
      <c r="R911" s="2"/>
      <c r="S911" s="2"/>
      <c r="T911" s="2"/>
      <c r="U911" s="2"/>
    </row>
    <row r="912" spans="13:21" x14ac:dyDescent="0.2">
      <c r="M912" s="2"/>
      <c r="N912" s="2"/>
      <c r="O912" s="2"/>
      <c r="P912" s="2"/>
      <c r="Q912" s="2"/>
      <c r="R912" s="2"/>
      <c r="S912" s="2"/>
      <c r="T912" s="2"/>
      <c r="U912" s="2"/>
    </row>
    <row r="913" spans="13:21" x14ac:dyDescent="0.2">
      <c r="M913" s="2"/>
      <c r="N913" s="2"/>
      <c r="O913" s="2"/>
      <c r="P913" s="2"/>
      <c r="Q913" s="2"/>
      <c r="R913" s="2"/>
      <c r="S913" s="2"/>
      <c r="T913" s="2"/>
      <c r="U913" s="2"/>
    </row>
    <row r="914" spans="13:21" x14ac:dyDescent="0.2">
      <c r="M914" s="2"/>
      <c r="N914" s="2"/>
      <c r="O914" s="2"/>
      <c r="P914" s="2"/>
      <c r="Q914" s="2"/>
      <c r="R914" s="2"/>
      <c r="S914" s="2"/>
      <c r="T914" s="2"/>
      <c r="U914" s="2"/>
    </row>
    <row r="915" spans="13:21" x14ac:dyDescent="0.2">
      <c r="M915" s="2"/>
      <c r="N915" s="2"/>
      <c r="O915" s="2"/>
      <c r="P915" s="2"/>
      <c r="Q915" s="2"/>
      <c r="R915" s="2"/>
      <c r="S915" s="2"/>
      <c r="T915" s="2"/>
      <c r="U915" s="2"/>
    </row>
    <row r="916" spans="13:21" x14ac:dyDescent="0.2">
      <c r="M916" s="2"/>
      <c r="N916" s="2"/>
      <c r="O916" s="2"/>
      <c r="P916" s="2"/>
      <c r="Q916" s="2"/>
      <c r="R916" s="2"/>
      <c r="S916" s="2"/>
      <c r="T916" s="2"/>
      <c r="U916" s="2"/>
    </row>
    <row r="917" spans="13:21" x14ac:dyDescent="0.2">
      <c r="M917" s="2"/>
      <c r="N917" s="2"/>
      <c r="O917" s="2"/>
      <c r="P917" s="2"/>
      <c r="Q917" s="2"/>
      <c r="R917" s="2"/>
      <c r="S917" s="2"/>
      <c r="T917" s="2"/>
      <c r="U917" s="2"/>
    </row>
    <row r="918" spans="13:21" x14ac:dyDescent="0.2">
      <c r="M918" s="2"/>
      <c r="N918" s="2"/>
      <c r="O918" s="2"/>
      <c r="P918" s="2"/>
      <c r="Q918" s="2"/>
      <c r="R918" s="2"/>
      <c r="S918" s="2"/>
      <c r="T918" s="2"/>
      <c r="U918" s="2"/>
    </row>
    <row r="919" spans="13:21" x14ac:dyDescent="0.2">
      <c r="M919" s="2"/>
      <c r="N919" s="2"/>
      <c r="O919" s="2"/>
      <c r="P919" s="2"/>
      <c r="Q919" s="2"/>
      <c r="R919" s="2"/>
      <c r="S919" s="2"/>
      <c r="T919" s="2"/>
      <c r="U919" s="2"/>
    </row>
    <row r="920" spans="13:21" x14ac:dyDescent="0.2">
      <c r="M920" s="2"/>
      <c r="N920" s="2"/>
      <c r="O920" s="2"/>
      <c r="P920" s="2"/>
      <c r="Q920" s="2"/>
      <c r="R920" s="2"/>
      <c r="S920" s="2"/>
      <c r="T920" s="2"/>
      <c r="U920" s="2"/>
    </row>
    <row r="921" spans="13:21" x14ac:dyDescent="0.2">
      <c r="M921" s="2"/>
      <c r="N921" s="2"/>
      <c r="O921" s="2"/>
      <c r="P921" s="2"/>
      <c r="Q921" s="2"/>
      <c r="R921" s="2"/>
      <c r="S921" s="2"/>
      <c r="T921" s="2"/>
      <c r="U921" s="2"/>
    </row>
    <row r="922" spans="13:21" x14ac:dyDescent="0.2">
      <c r="M922" s="2"/>
      <c r="N922" s="2"/>
      <c r="O922" s="2"/>
      <c r="P922" s="2"/>
      <c r="Q922" s="2"/>
      <c r="R922" s="2"/>
      <c r="S922" s="2"/>
      <c r="T922" s="2"/>
      <c r="U922" s="2"/>
    </row>
    <row r="923" spans="13:21" x14ac:dyDescent="0.2">
      <c r="M923" s="2"/>
      <c r="N923" s="2"/>
      <c r="O923" s="2"/>
      <c r="P923" s="2"/>
      <c r="Q923" s="2"/>
      <c r="R923" s="2"/>
      <c r="S923" s="2"/>
      <c r="T923" s="2"/>
      <c r="U923" s="2"/>
    </row>
    <row r="924" spans="13:21" x14ac:dyDescent="0.2">
      <c r="M924" s="2"/>
      <c r="N924" s="2"/>
      <c r="O924" s="2"/>
      <c r="P924" s="2"/>
      <c r="Q924" s="2"/>
      <c r="R924" s="2"/>
      <c r="S924" s="2"/>
      <c r="T924" s="2"/>
      <c r="U924" s="2"/>
    </row>
    <row r="925" spans="13:21" x14ac:dyDescent="0.2">
      <c r="M925" s="2"/>
      <c r="N925" s="2"/>
      <c r="O925" s="2"/>
      <c r="P925" s="2"/>
      <c r="Q925" s="2"/>
      <c r="R925" s="2"/>
      <c r="S925" s="2"/>
      <c r="T925" s="2"/>
      <c r="U925" s="2"/>
    </row>
    <row r="926" spans="13:21" x14ac:dyDescent="0.2">
      <c r="M926" s="2"/>
      <c r="N926" s="2"/>
      <c r="O926" s="2"/>
      <c r="P926" s="2"/>
      <c r="Q926" s="2"/>
      <c r="R926" s="2"/>
      <c r="S926" s="2"/>
      <c r="T926" s="2"/>
      <c r="U926" s="2"/>
    </row>
    <row r="927" spans="13:21" x14ac:dyDescent="0.2">
      <c r="M927" s="2"/>
      <c r="N927" s="2"/>
      <c r="O927" s="2"/>
      <c r="P927" s="2"/>
      <c r="Q927" s="2"/>
      <c r="R927" s="2"/>
      <c r="S927" s="2"/>
      <c r="T927" s="2"/>
      <c r="U927" s="2"/>
    </row>
    <row r="928" spans="13:21" x14ac:dyDescent="0.2">
      <c r="M928" s="2"/>
      <c r="N928" s="2"/>
      <c r="O928" s="2"/>
      <c r="P928" s="2"/>
      <c r="Q928" s="2"/>
      <c r="R928" s="2"/>
      <c r="S928" s="2"/>
      <c r="T928" s="2"/>
      <c r="U928" s="2"/>
    </row>
    <row r="929" spans="13:21" x14ac:dyDescent="0.2">
      <c r="M929" s="2"/>
      <c r="N929" s="2"/>
      <c r="O929" s="2"/>
      <c r="P929" s="2"/>
      <c r="Q929" s="2"/>
      <c r="R929" s="2"/>
      <c r="S929" s="2"/>
      <c r="T929" s="2"/>
      <c r="U929" s="2"/>
    </row>
    <row r="930" spans="13:21" x14ac:dyDescent="0.2">
      <c r="M930" s="2"/>
      <c r="N930" s="2"/>
      <c r="O930" s="2"/>
      <c r="P930" s="2"/>
      <c r="Q930" s="2"/>
      <c r="R930" s="2"/>
      <c r="S930" s="2"/>
      <c r="T930" s="2"/>
      <c r="U930" s="2"/>
    </row>
    <row r="931" spans="13:21" x14ac:dyDescent="0.2">
      <c r="M931" s="2"/>
      <c r="N931" s="2"/>
      <c r="O931" s="2"/>
      <c r="P931" s="2"/>
      <c r="Q931" s="2"/>
      <c r="R931" s="2"/>
      <c r="S931" s="2"/>
      <c r="T931" s="2"/>
      <c r="U931" s="2"/>
    </row>
    <row r="932" spans="13:21" x14ac:dyDescent="0.2">
      <c r="M932" s="2"/>
      <c r="N932" s="2"/>
      <c r="O932" s="2"/>
      <c r="P932" s="2"/>
      <c r="Q932" s="2"/>
      <c r="R932" s="2"/>
      <c r="S932" s="2"/>
      <c r="T932" s="2"/>
      <c r="U932" s="2"/>
    </row>
    <row r="933" spans="13:21" x14ac:dyDescent="0.2">
      <c r="M933" s="2"/>
      <c r="N933" s="2"/>
      <c r="O933" s="2"/>
      <c r="P933" s="2"/>
      <c r="Q933" s="2"/>
      <c r="R933" s="2"/>
      <c r="S933" s="2"/>
      <c r="T933" s="2"/>
      <c r="U933" s="2"/>
    </row>
    <row r="934" spans="13:21" x14ac:dyDescent="0.2">
      <c r="M934" s="2"/>
      <c r="N934" s="2"/>
      <c r="O934" s="2"/>
      <c r="P934" s="2"/>
      <c r="Q934" s="2"/>
      <c r="R934" s="2"/>
      <c r="S934" s="2"/>
      <c r="T934" s="2"/>
      <c r="U934" s="2"/>
    </row>
    <row r="935" spans="13:21" x14ac:dyDescent="0.2">
      <c r="M935" s="2"/>
      <c r="N935" s="2"/>
      <c r="O935" s="2"/>
      <c r="P935" s="2"/>
      <c r="Q935" s="2"/>
      <c r="R935" s="2"/>
      <c r="S935" s="2"/>
      <c r="T935" s="2"/>
      <c r="U935" s="2"/>
    </row>
    <row r="936" spans="13:21" x14ac:dyDescent="0.2">
      <c r="M936" s="2"/>
      <c r="N936" s="2"/>
      <c r="O936" s="2"/>
      <c r="P936" s="2"/>
      <c r="Q936" s="2"/>
      <c r="R936" s="2"/>
      <c r="S936" s="2"/>
      <c r="T936" s="2"/>
      <c r="U936" s="2"/>
    </row>
    <row r="937" spans="13:21" x14ac:dyDescent="0.2">
      <c r="M937" s="2"/>
      <c r="N937" s="2"/>
      <c r="O937" s="2"/>
      <c r="P937" s="2"/>
      <c r="Q937" s="2"/>
      <c r="R937" s="2"/>
      <c r="S937" s="2"/>
      <c r="T937" s="2"/>
      <c r="U937" s="2"/>
    </row>
    <row r="938" spans="13:21" x14ac:dyDescent="0.2">
      <c r="M938" s="2"/>
      <c r="N938" s="2"/>
      <c r="O938" s="2"/>
      <c r="P938" s="2"/>
      <c r="Q938" s="2"/>
      <c r="R938" s="2"/>
      <c r="S938" s="2"/>
      <c r="T938" s="2"/>
      <c r="U938" s="2"/>
    </row>
    <row r="939" spans="13:21" x14ac:dyDescent="0.2">
      <c r="M939" s="2"/>
      <c r="N939" s="2"/>
      <c r="O939" s="2"/>
      <c r="P939" s="2"/>
      <c r="Q939" s="2"/>
      <c r="R939" s="2"/>
      <c r="S939" s="2"/>
      <c r="T939" s="2"/>
      <c r="U939" s="2"/>
    </row>
    <row r="940" spans="13:21" x14ac:dyDescent="0.2">
      <c r="M940" s="2"/>
      <c r="N940" s="2"/>
      <c r="O940" s="2"/>
      <c r="P940" s="2"/>
      <c r="Q940" s="2"/>
      <c r="R940" s="2"/>
      <c r="S940" s="2"/>
      <c r="T940" s="2"/>
      <c r="U940" s="2"/>
    </row>
    <row r="941" spans="13:21" x14ac:dyDescent="0.2">
      <c r="M941" s="2"/>
      <c r="N941" s="2"/>
      <c r="O941" s="2"/>
      <c r="P941" s="2"/>
      <c r="Q941" s="2"/>
      <c r="R941" s="2"/>
      <c r="S941" s="2"/>
      <c r="T941" s="2"/>
      <c r="U941" s="2"/>
    </row>
    <row r="942" spans="13:21" x14ac:dyDescent="0.2">
      <c r="M942" s="2"/>
      <c r="N942" s="2"/>
      <c r="O942" s="2"/>
      <c r="P942" s="2"/>
      <c r="Q942" s="2"/>
      <c r="R942" s="2"/>
      <c r="S942" s="2"/>
      <c r="T942" s="2"/>
      <c r="U942" s="2"/>
    </row>
    <row r="943" spans="13:21" x14ac:dyDescent="0.2">
      <c r="M943" s="2"/>
      <c r="N943" s="2"/>
      <c r="O943" s="2"/>
      <c r="P943" s="2"/>
      <c r="Q943" s="2"/>
      <c r="R943" s="2"/>
      <c r="S943" s="2"/>
      <c r="T943" s="2"/>
      <c r="U943" s="2"/>
    </row>
    <row r="944" spans="13:21" x14ac:dyDescent="0.2">
      <c r="M944" s="2"/>
      <c r="N944" s="2"/>
      <c r="O944" s="2"/>
      <c r="P944" s="2"/>
      <c r="Q944" s="2"/>
      <c r="R944" s="2"/>
      <c r="S944" s="2"/>
      <c r="T944" s="2"/>
      <c r="U944" s="2"/>
    </row>
    <row r="945" spans="13:21" x14ac:dyDescent="0.2">
      <c r="M945" s="2"/>
      <c r="N945" s="2"/>
      <c r="O945" s="2"/>
      <c r="P945" s="2"/>
      <c r="Q945" s="2"/>
      <c r="R945" s="2"/>
      <c r="S945" s="2"/>
      <c r="T945" s="2"/>
      <c r="U945" s="2"/>
    </row>
    <row r="946" spans="13:21" x14ac:dyDescent="0.2">
      <c r="M946" s="2"/>
      <c r="N946" s="2"/>
      <c r="O946" s="2"/>
      <c r="P946" s="2"/>
      <c r="Q946" s="2"/>
      <c r="R946" s="2"/>
      <c r="S946" s="2"/>
      <c r="T946" s="2"/>
      <c r="U946" s="2"/>
    </row>
    <row r="947" spans="13:21" x14ac:dyDescent="0.2">
      <c r="M947" s="2"/>
      <c r="N947" s="2"/>
      <c r="O947" s="2"/>
      <c r="P947" s="2"/>
      <c r="Q947" s="2"/>
      <c r="R947" s="2"/>
      <c r="S947" s="2"/>
      <c r="T947" s="2"/>
      <c r="U947" s="2"/>
    </row>
    <row r="948" spans="13:21" x14ac:dyDescent="0.2">
      <c r="M948" s="2"/>
      <c r="N948" s="2"/>
      <c r="O948" s="2"/>
      <c r="P948" s="2"/>
      <c r="Q948" s="2"/>
      <c r="R948" s="2"/>
      <c r="S948" s="2"/>
      <c r="T948" s="2"/>
      <c r="U948" s="2"/>
    </row>
    <row r="949" spans="13:21" x14ac:dyDescent="0.2">
      <c r="M949" s="2"/>
      <c r="N949" s="2"/>
      <c r="O949" s="2"/>
      <c r="P949" s="2"/>
      <c r="Q949" s="2"/>
      <c r="R949" s="2"/>
      <c r="S949" s="2"/>
      <c r="T949" s="2"/>
      <c r="U949" s="2"/>
    </row>
    <row r="950" spans="13:21" x14ac:dyDescent="0.2">
      <c r="M950" s="2"/>
      <c r="N950" s="2"/>
      <c r="O950" s="2"/>
      <c r="P950" s="2"/>
      <c r="Q950" s="2"/>
      <c r="R950" s="2"/>
      <c r="S950" s="2"/>
      <c r="T950" s="2"/>
      <c r="U950" s="2"/>
    </row>
    <row r="951" spans="13:21" x14ac:dyDescent="0.2">
      <c r="M951" s="2"/>
      <c r="N951" s="2"/>
      <c r="O951" s="2"/>
      <c r="P951" s="2"/>
      <c r="Q951" s="2"/>
      <c r="R951" s="2"/>
      <c r="S951" s="2"/>
      <c r="T951" s="2"/>
      <c r="U951" s="2"/>
    </row>
    <row r="952" spans="13:21" x14ac:dyDescent="0.2">
      <c r="M952" s="2"/>
      <c r="N952" s="2"/>
      <c r="O952" s="2"/>
      <c r="P952" s="2"/>
      <c r="Q952" s="2"/>
      <c r="R952" s="2"/>
      <c r="S952" s="2"/>
      <c r="T952" s="2"/>
      <c r="U952" s="2"/>
    </row>
    <row r="953" spans="13:21" x14ac:dyDescent="0.2">
      <c r="M953" s="2"/>
      <c r="N953" s="2"/>
      <c r="O953" s="2"/>
      <c r="P953" s="2"/>
      <c r="Q953" s="2"/>
      <c r="R953" s="2"/>
      <c r="S953" s="2"/>
      <c r="T953" s="2"/>
      <c r="U953" s="2"/>
    </row>
    <row r="954" spans="13:21" x14ac:dyDescent="0.2">
      <c r="M954" s="2"/>
      <c r="N954" s="2"/>
      <c r="O954" s="2"/>
      <c r="P954" s="2"/>
      <c r="Q954" s="2"/>
      <c r="R954" s="2"/>
      <c r="S954" s="2"/>
      <c r="T954" s="2"/>
      <c r="U954" s="2"/>
    </row>
    <row r="955" spans="13:21" x14ac:dyDescent="0.2">
      <c r="M955" s="2"/>
      <c r="N955" s="2"/>
      <c r="O955" s="2"/>
      <c r="P955" s="2"/>
      <c r="Q955" s="2"/>
      <c r="R955" s="2"/>
      <c r="S955" s="2"/>
      <c r="T955" s="2"/>
      <c r="U955" s="2"/>
    </row>
    <row r="956" spans="13:21" x14ac:dyDescent="0.2">
      <c r="M956" s="2"/>
      <c r="N956" s="2"/>
      <c r="O956" s="2"/>
      <c r="P956" s="2"/>
      <c r="Q956" s="2"/>
      <c r="R956" s="2"/>
      <c r="S956" s="2"/>
      <c r="T956" s="2"/>
      <c r="U956" s="2"/>
    </row>
    <row r="957" spans="13:21" x14ac:dyDescent="0.2">
      <c r="M957" s="2"/>
      <c r="N957" s="2"/>
      <c r="O957" s="2"/>
      <c r="P957" s="2"/>
      <c r="Q957" s="2"/>
      <c r="R957" s="2"/>
      <c r="S957" s="2"/>
      <c r="T957" s="2"/>
      <c r="U957" s="2"/>
    </row>
    <row r="958" spans="13:21" x14ac:dyDescent="0.2">
      <c r="M958" s="2"/>
      <c r="N958" s="2"/>
      <c r="O958" s="2"/>
      <c r="P958" s="2"/>
      <c r="Q958" s="2"/>
      <c r="R958" s="2"/>
      <c r="S958" s="2"/>
      <c r="T958" s="2"/>
      <c r="U958" s="2"/>
    </row>
    <row r="959" spans="13:21" x14ac:dyDescent="0.2">
      <c r="M959" s="2"/>
      <c r="N959" s="2"/>
      <c r="O959" s="2"/>
      <c r="P959" s="2"/>
      <c r="Q959" s="2"/>
      <c r="R959" s="2"/>
      <c r="S959" s="2"/>
      <c r="T959" s="2"/>
      <c r="U959" s="2"/>
    </row>
    <row r="960" spans="13:21" x14ac:dyDescent="0.2">
      <c r="M960" s="2"/>
      <c r="N960" s="2"/>
      <c r="O960" s="2"/>
      <c r="P960" s="2"/>
      <c r="Q960" s="2"/>
      <c r="R960" s="2"/>
      <c r="S960" s="2"/>
      <c r="T960" s="2"/>
      <c r="U960" s="2"/>
    </row>
    <row r="961" spans="13:21" x14ac:dyDescent="0.2">
      <c r="M961" s="2"/>
      <c r="N961" s="2"/>
      <c r="O961" s="2"/>
      <c r="P961" s="2"/>
      <c r="Q961" s="2"/>
      <c r="R961" s="2"/>
      <c r="S961" s="2"/>
      <c r="T961" s="2"/>
      <c r="U961" s="2"/>
    </row>
    <row r="962" spans="13:21" x14ac:dyDescent="0.2">
      <c r="M962" s="2"/>
      <c r="N962" s="2"/>
      <c r="O962" s="2"/>
      <c r="P962" s="2"/>
      <c r="Q962" s="2"/>
      <c r="R962" s="2"/>
      <c r="S962" s="2"/>
      <c r="T962" s="2"/>
      <c r="U962" s="2"/>
    </row>
    <row r="963" spans="13:21" x14ac:dyDescent="0.2">
      <c r="M963" s="2"/>
      <c r="N963" s="2"/>
      <c r="O963" s="2"/>
      <c r="P963" s="2"/>
      <c r="Q963" s="2"/>
      <c r="R963" s="2"/>
      <c r="S963" s="2"/>
      <c r="T963" s="2"/>
      <c r="U963" s="2"/>
    </row>
    <row r="964" spans="13:21" x14ac:dyDescent="0.2">
      <c r="M964" s="2"/>
      <c r="N964" s="2"/>
      <c r="O964" s="2"/>
      <c r="P964" s="2"/>
      <c r="Q964" s="2"/>
      <c r="R964" s="2"/>
      <c r="S964" s="2"/>
      <c r="T964" s="2"/>
      <c r="U964" s="2"/>
    </row>
    <row r="965" spans="13:21" x14ac:dyDescent="0.2">
      <c r="M965" s="2"/>
      <c r="N965" s="2"/>
      <c r="O965" s="2"/>
      <c r="P965" s="2"/>
      <c r="Q965" s="2"/>
      <c r="R965" s="2"/>
      <c r="S965" s="2"/>
      <c r="T965" s="2"/>
      <c r="U965" s="2"/>
    </row>
    <row r="966" spans="13:21" x14ac:dyDescent="0.2">
      <c r="M966" s="2"/>
      <c r="N966" s="2"/>
      <c r="O966" s="2"/>
      <c r="P966" s="2"/>
      <c r="Q966" s="2"/>
      <c r="R966" s="2"/>
      <c r="S966" s="2"/>
      <c r="T966" s="2"/>
      <c r="U966" s="2"/>
    </row>
    <row r="967" spans="13:21" x14ac:dyDescent="0.2">
      <c r="M967" s="2"/>
      <c r="N967" s="2"/>
      <c r="O967" s="2"/>
      <c r="P967" s="2"/>
      <c r="Q967" s="2"/>
      <c r="R967" s="2"/>
      <c r="S967" s="2"/>
      <c r="T967" s="2"/>
      <c r="U967" s="2"/>
    </row>
    <row r="968" spans="13:21" x14ac:dyDescent="0.2">
      <c r="M968" s="2"/>
      <c r="N968" s="2"/>
      <c r="O968" s="2"/>
      <c r="P968" s="2"/>
      <c r="Q968" s="2"/>
      <c r="R968" s="2"/>
      <c r="S968" s="2"/>
      <c r="T968" s="2"/>
      <c r="U968" s="2"/>
    </row>
    <row r="969" spans="13:21" x14ac:dyDescent="0.2">
      <c r="M969" s="2"/>
      <c r="N969" s="2"/>
      <c r="O969" s="2"/>
      <c r="P969" s="2"/>
      <c r="Q969" s="2"/>
      <c r="R969" s="2"/>
      <c r="S969" s="2"/>
      <c r="T969" s="2"/>
      <c r="U969" s="2"/>
    </row>
    <row r="970" spans="13:21" x14ac:dyDescent="0.2">
      <c r="M970" s="2"/>
      <c r="N970" s="2"/>
      <c r="O970" s="2"/>
      <c r="P970" s="2"/>
      <c r="Q970" s="2"/>
      <c r="R970" s="2"/>
      <c r="S970" s="2"/>
      <c r="T970" s="2"/>
      <c r="U970" s="2"/>
    </row>
    <row r="971" spans="13:21" x14ac:dyDescent="0.2">
      <c r="M971" s="2"/>
      <c r="N971" s="2"/>
      <c r="O971" s="2"/>
      <c r="P971" s="2"/>
      <c r="Q971" s="2"/>
      <c r="R971" s="2"/>
      <c r="S971" s="2"/>
      <c r="T971" s="2"/>
      <c r="U971" s="2"/>
    </row>
    <row r="972" spans="13:21" x14ac:dyDescent="0.2">
      <c r="M972" s="2"/>
      <c r="N972" s="2"/>
      <c r="O972" s="2"/>
      <c r="P972" s="2"/>
      <c r="Q972" s="2"/>
      <c r="R972" s="2"/>
      <c r="S972" s="2"/>
      <c r="T972" s="2"/>
      <c r="U972" s="2"/>
    </row>
    <row r="973" spans="13:21" x14ac:dyDescent="0.2">
      <c r="M973" s="2"/>
      <c r="N973" s="2"/>
      <c r="O973" s="2"/>
      <c r="P973" s="2"/>
      <c r="Q973" s="2"/>
      <c r="R973" s="2"/>
      <c r="S973" s="2"/>
      <c r="T973" s="2"/>
      <c r="U973" s="2"/>
    </row>
    <row r="974" spans="13:21" x14ac:dyDescent="0.2">
      <c r="M974" s="2"/>
      <c r="N974" s="2"/>
      <c r="O974" s="2"/>
      <c r="P974" s="2"/>
      <c r="Q974" s="2"/>
      <c r="R974" s="2"/>
      <c r="S974" s="2"/>
      <c r="T974" s="2"/>
      <c r="U974" s="2"/>
    </row>
    <row r="975" spans="13:21" x14ac:dyDescent="0.2">
      <c r="M975" s="2"/>
      <c r="N975" s="2"/>
      <c r="O975" s="2"/>
      <c r="P975" s="2"/>
      <c r="Q975" s="2"/>
      <c r="R975" s="2"/>
      <c r="S975" s="2"/>
      <c r="T975" s="2"/>
      <c r="U975" s="2"/>
    </row>
    <row r="976" spans="13:21" x14ac:dyDescent="0.2">
      <c r="M976" s="2"/>
      <c r="N976" s="2"/>
      <c r="O976" s="2"/>
      <c r="P976" s="2"/>
      <c r="Q976" s="2"/>
      <c r="R976" s="2"/>
      <c r="S976" s="2"/>
      <c r="T976" s="2"/>
      <c r="U976" s="2"/>
    </row>
    <row r="977" spans="13:21" x14ac:dyDescent="0.2">
      <c r="M977" s="2"/>
      <c r="N977" s="2"/>
      <c r="O977" s="2"/>
      <c r="P977" s="2"/>
      <c r="Q977" s="2"/>
      <c r="R977" s="2"/>
      <c r="S977" s="2"/>
      <c r="T977" s="2"/>
      <c r="U977" s="2"/>
    </row>
    <row r="978" spans="13:21" x14ac:dyDescent="0.2">
      <c r="M978" s="2"/>
      <c r="N978" s="2"/>
      <c r="O978" s="2"/>
      <c r="P978" s="2"/>
      <c r="Q978" s="2"/>
      <c r="R978" s="2"/>
      <c r="S978" s="2"/>
      <c r="T978" s="2"/>
      <c r="U978" s="2"/>
    </row>
    <row r="979" spans="13:21" x14ac:dyDescent="0.2">
      <c r="M979" s="2"/>
      <c r="N979" s="2"/>
      <c r="O979" s="2"/>
      <c r="P979" s="2"/>
      <c r="Q979" s="2"/>
      <c r="R979" s="2"/>
      <c r="S979" s="2"/>
      <c r="T979" s="2"/>
      <c r="U979" s="2"/>
    </row>
    <row r="980" spans="13:21" x14ac:dyDescent="0.2">
      <c r="M980" s="2"/>
      <c r="N980" s="2"/>
      <c r="O980" s="2"/>
      <c r="P980" s="2"/>
      <c r="Q980" s="2"/>
      <c r="R980" s="2"/>
      <c r="S980" s="2"/>
      <c r="T980" s="2"/>
      <c r="U980" s="2"/>
    </row>
    <row r="981" spans="13:21" x14ac:dyDescent="0.2">
      <c r="M981" s="2"/>
      <c r="N981" s="2"/>
      <c r="O981" s="2"/>
      <c r="P981" s="2"/>
      <c r="Q981" s="2"/>
      <c r="R981" s="2"/>
      <c r="S981" s="2"/>
      <c r="T981" s="2"/>
      <c r="U981" s="2"/>
    </row>
    <row r="982" spans="13:21" x14ac:dyDescent="0.2">
      <c r="M982" s="2"/>
      <c r="N982" s="2"/>
      <c r="O982" s="2"/>
      <c r="P982" s="2"/>
      <c r="Q982" s="2"/>
      <c r="R982" s="2"/>
      <c r="S982" s="2"/>
      <c r="T982" s="2"/>
      <c r="U982" s="2"/>
    </row>
    <row r="983" spans="13:21" x14ac:dyDescent="0.2">
      <c r="M983" s="2"/>
      <c r="N983" s="2"/>
      <c r="O983" s="2"/>
      <c r="P983" s="2"/>
      <c r="Q983" s="2"/>
      <c r="R983" s="2"/>
      <c r="S983" s="2"/>
      <c r="T983" s="2"/>
      <c r="U983" s="2"/>
    </row>
    <row r="984" spans="13:21" x14ac:dyDescent="0.2">
      <c r="M984" s="2"/>
      <c r="N984" s="2"/>
      <c r="O984" s="2"/>
      <c r="P984" s="2"/>
      <c r="Q984" s="2"/>
      <c r="R984" s="2"/>
      <c r="S984" s="2"/>
      <c r="T984" s="2"/>
      <c r="U984" s="2"/>
    </row>
    <row r="985" spans="13:21" x14ac:dyDescent="0.2">
      <c r="M985" s="2"/>
      <c r="N985" s="2"/>
      <c r="O985" s="2"/>
      <c r="P985" s="2"/>
      <c r="Q985" s="2"/>
      <c r="R985" s="2"/>
      <c r="S985" s="2"/>
      <c r="T985" s="2"/>
      <c r="U985" s="2"/>
    </row>
    <row r="986" spans="13:21" x14ac:dyDescent="0.2">
      <c r="M986" s="2"/>
      <c r="N986" s="2"/>
      <c r="O986" s="2"/>
      <c r="P986" s="2"/>
      <c r="Q986" s="2"/>
      <c r="R986" s="2"/>
      <c r="S986" s="2"/>
      <c r="T986" s="2"/>
      <c r="U986" s="2"/>
    </row>
    <row r="987" spans="13:21" x14ac:dyDescent="0.2">
      <c r="M987" s="2"/>
      <c r="N987" s="2"/>
      <c r="O987" s="2"/>
      <c r="P987" s="2"/>
      <c r="Q987" s="2"/>
      <c r="R987" s="2"/>
      <c r="S987" s="2"/>
      <c r="T987" s="2"/>
      <c r="U987" s="2"/>
    </row>
    <row r="988" spans="13:21" x14ac:dyDescent="0.2">
      <c r="M988" s="2"/>
      <c r="N988" s="2"/>
      <c r="O988" s="2"/>
      <c r="P988" s="2"/>
      <c r="Q988" s="2"/>
      <c r="R988" s="2"/>
      <c r="S988" s="2"/>
      <c r="T988" s="2"/>
      <c r="U988" s="2"/>
    </row>
    <row r="989" spans="13:21" x14ac:dyDescent="0.2">
      <c r="M989" s="2"/>
      <c r="N989" s="2"/>
      <c r="O989" s="2"/>
      <c r="P989" s="2"/>
      <c r="Q989" s="2"/>
      <c r="R989" s="2"/>
      <c r="S989" s="2"/>
      <c r="T989" s="2"/>
      <c r="U989" s="2"/>
    </row>
    <row r="990" spans="13:21" x14ac:dyDescent="0.2">
      <c r="M990" s="2"/>
      <c r="N990" s="2"/>
      <c r="O990" s="2"/>
      <c r="P990" s="2"/>
      <c r="Q990" s="2"/>
      <c r="R990" s="2"/>
      <c r="S990" s="2"/>
      <c r="T990" s="2"/>
      <c r="U990" s="2"/>
    </row>
    <row r="991" spans="13:21" x14ac:dyDescent="0.2">
      <c r="M991" s="2"/>
      <c r="N991" s="2"/>
      <c r="O991" s="2"/>
      <c r="P991" s="2"/>
      <c r="Q991" s="2"/>
      <c r="R991" s="2"/>
      <c r="S991" s="2"/>
      <c r="T991" s="2"/>
      <c r="U991" s="2"/>
    </row>
    <row r="992" spans="13:21" x14ac:dyDescent="0.2">
      <c r="M992" s="2"/>
      <c r="N992" s="2"/>
      <c r="O992" s="2"/>
      <c r="P992" s="2"/>
      <c r="Q992" s="2"/>
      <c r="R992" s="2"/>
      <c r="S992" s="2"/>
      <c r="T992" s="2"/>
      <c r="U992" s="2"/>
    </row>
    <row r="993" spans="13:21" x14ac:dyDescent="0.2">
      <c r="M993" s="2"/>
      <c r="N993" s="2"/>
      <c r="O993" s="2"/>
      <c r="P993" s="2"/>
      <c r="Q993" s="2"/>
      <c r="R993" s="2"/>
      <c r="S993" s="2"/>
      <c r="T993" s="2"/>
      <c r="U993" s="2"/>
    </row>
    <row r="994" spans="13:21" x14ac:dyDescent="0.2">
      <c r="M994" s="2"/>
      <c r="N994" s="2"/>
      <c r="O994" s="2"/>
      <c r="P994" s="2"/>
      <c r="Q994" s="2"/>
      <c r="R994" s="2"/>
      <c r="S994" s="2"/>
      <c r="T994" s="2"/>
      <c r="U994" s="2"/>
    </row>
    <row r="995" spans="13:21" x14ac:dyDescent="0.2">
      <c r="M995" s="2"/>
      <c r="N995" s="2"/>
      <c r="O995" s="2"/>
      <c r="P995" s="2"/>
      <c r="Q995" s="2"/>
      <c r="R995" s="2"/>
      <c r="S995" s="2"/>
      <c r="T995" s="2"/>
      <c r="U995" s="2"/>
    </row>
    <row r="996" spans="13:21" x14ac:dyDescent="0.2">
      <c r="M996" s="2"/>
      <c r="N996" s="2"/>
      <c r="O996" s="2"/>
      <c r="P996" s="2"/>
      <c r="Q996" s="2"/>
      <c r="R996" s="2"/>
      <c r="S996" s="2"/>
      <c r="T996" s="2"/>
      <c r="U996" s="2"/>
    </row>
    <row r="997" spans="13:21" x14ac:dyDescent="0.2">
      <c r="M997" s="2"/>
      <c r="N997" s="2"/>
      <c r="O997" s="2"/>
      <c r="P997" s="2"/>
      <c r="Q997" s="2"/>
      <c r="R997" s="2"/>
      <c r="S997" s="2"/>
      <c r="T997" s="2"/>
      <c r="U997" s="2"/>
    </row>
    <row r="998" spans="13:21" x14ac:dyDescent="0.2">
      <c r="M998" s="2"/>
      <c r="N998" s="2"/>
      <c r="O998" s="2"/>
      <c r="P998" s="2"/>
      <c r="Q998" s="2"/>
      <c r="R998" s="2"/>
      <c r="S998" s="2"/>
      <c r="T998" s="2"/>
      <c r="U998" s="2"/>
    </row>
    <row r="999" spans="13:21" x14ac:dyDescent="0.2">
      <c r="M999" s="2"/>
      <c r="N999" s="2"/>
      <c r="O999" s="2"/>
      <c r="P999" s="2"/>
      <c r="Q999" s="2"/>
      <c r="R999" s="2"/>
      <c r="S999" s="2"/>
      <c r="T999" s="2"/>
      <c r="U999" s="2"/>
    </row>
    <row r="1000" spans="13:21" x14ac:dyDescent="0.2">
      <c r="M1000" s="2"/>
      <c r="N1000" s="2"/>
      <c r="O1000" s="2"/>
      <c r="P1000" s="2"/>
      <c r="Q1000" s="2"/>
      <c r="R1000" s="2"/>
      <c r="S1000" s="2"/>
      <c r="T1000" s="2"/>
      <c r="U1000" s="2"/>
    </row>
    <row r="1001" spans="13:21" x14ac:dyDescent="0.2">
      <c r="M1001" s="2"/>
      <c r="N1001" s="2"/>
      <c r="O1001" s="2"/>
      <c r="P1001" s="2"/>
      <c r="Q1001" s="2"/>
      <c r="R1001" s="2"/>
      <c r="S1001" s="2"/>
      <c r="T1001" s="2"/>
      <c r="U1001" s="2"/>
    </row>
    <row r="1002" spans="13:21" x14ac:dyDescent="0.2">
      <c r="M1002" s="2"/>
      <c r="N1002" s="2"/>
      <c r="O1002" s="2"/>
      <c r="P1002" s="2"/>
      <c r="Q1002" s="2"/>
      <c r="R1002" s="2"/>
      <c r="S1002" s="2"/>
      <c r="T1002" s="2"/>
      <c r="U1002" s="2"/>
    </row>
    <row r="1003" spans="13:21" x14ac:dyDescent="0.2">
      <c r="M1003" s="2"/>
      <c r="N1003" s="2"/>
      <c r="O1003" s="2"/>
      <c r="P1003" s="2"/>
      <c r="Q1003" s="2"/>
      <c r="R1003" s="2"/>
      <c r="S1003" s="2"/>
      <c r="T1003" s="2"/>
      <c r="U1003" s="2"/>
    </row>
    <row r="1004" spans="13:21" x14ac:dyDescent="0.2">
      <c r="M1004" s="2"/>
      <c r="N1004" s="2"/>
      <c r="O1004" s="2"/>
      <c r="P1004" s="2"/>
      <c r="Q1004" s="2"/>
      <c r="R1004" s="2"/>
      <c r="S1004" s="2"/>
      <c r="T1004" s="2"/>
      <c r="U1004" s="2"/>
    </row>
    <row r="1005" spans="13:21" x14ac:dyDescent="0.2">
      <c r="M1005" s="2"/>
      <c r="N1005" s="2"/>
      <c r="O1005" s="2"/>
      <c r="P1005" s="2"/>
      <c r="Q1005" s="2"/>
      <c r="R1005" s="2"/>
      <c r="S1005" s="2"/>
      <c r="T1005" s="2"/>
      <c r="U1005" s="2"/>
    </row>
    <row r="1006" spans="13:21" x14ac:dyDescent="0.2">
      <c r="M1006" s="2"/>
      <c r="N1006" s="2"/>
      <c r="O1006" s="2"/>
      <c r="P1006" s="2"/>
      <c r="Q1006" s="2"/>
      <c r="R1006" s="2"/>
      <c r="S1006" s="2"/>
      <c r="T1006" s="2"/>
      <c r="U1006" s="2"/>
    </row>
    <row r="1007" spans="13:21" x14ac:dyDescent="0.2">
      <c r="M1007" s="2"/>
      <c r="N1007" s="2"/>
      <c r="O1007" s="2"/>
      <c r="P1007" s="2"/>
      <c r="Q1007" s="2"/>
      <c r="R1007" s="2"/>
      <c r="S1007" s="2"/>
      <c r="T1007" s="2"/>
      <c r="U1007" s="2"/>
    </row>
    <row r="1008" spans="13:21" x14ac:dyDescent="0.2">
      <c r="M1008" s="2"/>
      <c r="N1008" s="2"/>
      <c r="O1008" s="2"/>
      <c r="P1008" s="2"/>
      <c r="Q1008" s="2"/>
      <c r="R1008" s="2"/>
      <c r="S1008" s="2"/>
      <c r="T1008" s="2"/>
      <c r="U1008" s="2"/>
    </row>
    <row r="1009" spans="13:21" x14ac:dyDescent="0.2">
      <c r="M1009" s="2"/>
      <c r="N1009" s="2"/>
      <c r="O1009" s="2"/>
      <c r="P1009" s="2"/>
      <c r="Q1009" s="2"/>
      <c r="R1009" s="2"/>
      <c r="S1009" s="2"/>
      <c r="T1009" s="2"/>
      <c r="U1009" s="2"/>
    </row>
    <row r="1010" spans="13:21" x14ac:dyDescent="0.2">
      <c r="M1010" s="2"/>
      <c r="N1010" s="2"/>
      <c r="O1010" s="2"/>
      <c r="P1010" s="2"/>
      <c r="Q1010" s="2"/>
      <c r="R1010" s="2"/>
      <c r="S1010" s="2"/>
      <c r="T1010" s="2"/>
      <c r="U1010" s="2"/>
    </row>
    <row r="1011" spans="13:21" x14ac:dyDescent="0.2">
      <c r="M1011" s="2"/>
      <c r="N1011" s="2"/>
      <c r="O1011" s="2"/>
      <c r="P1011" s="2"/>
      <c r="Q1011" s="2"/>
      <c r="R1011" s="2"/>
      <c r="S1011" s="2"/>
      <c r="T1011" s="2"/>
      <c r="U1011" s="2"/>
    </row>
    <row r="1012" spans="13:21" x14ac:dyDescent="0.2">
      <c r="M1012" s="2"/>
      <c r="N1012" s="2"/>
      <c r="O1012" s="2"/>
      <c r="P1012" s="2"/>
      <c r="Q1012" s="2"/>
      <c r="R1012" s="2"/>
      <c r="S1012" s="2"/>
      <c r="T1012" s="2"/>
      <c r="U1012" s="2"/>
    </row>
    <row r="1013" spans="13:21" x14ac:dyDescent="0.2">
      <c r="M1013" s="2"/>
      <c r="N1013" s="2"/>
      <c r="O1013" s="2"/>
      <c r="P1013" s="2"/>
      <c r="Q1013" s="2"/>
      <c r="R1013" s="2"/>
      <c r="S1013" s="2"/>
      <c r="T1013" s="2"/>
      <c r="U1013" s="2"/>
    </row>
    <row r="1014" spans="13:21" x14ac:dyDescent="0.2">
      <c r="M1014" s="2"/>
      <c r="N1014" s="2"/>
      <c r="O1014" s="2"/>
      <c r="P1014" s="2"/>
      <c r="Q1014" s="2"/>
      <c r="R1014" s="2"/>
      <c r="S1014" s="2"/>
      <c r="T1014" s="2"/>
      <c r="U1014" s="2"/>
    </row>
    <row r="1015" spans="13:21" x14ac:dyDescent="0.2">
      <c r="M1015" s="2"/>
      <c r="N1015" s="2"/>
      <c r="O1015" s="2"/>
      <c r="P1015" s="2"/>
      <c r="Q1015" s="2"/>
      <c r="R1015" s="2"/>
      <c r="S1015" s="2"/>
      <c r="T1015" s="2"/>
      <c r="U1015" s="2"/>
    </row>
    <row r="1016" spans="13:21" x14ac:dyDescent="0.2">
      <c r="M1016" s="2"/>
      <c r="N1016" s="2"/>
      <c r="O1016" s="2"/>
      <c r="P1016" s="2"/>
      <c r="Q1016" s="2"/>
      <c r="R1016" s="2"/>
      <c r="S1016" s="2"/>
      <c r="T1016" s="2"/>
      <c r="U1016" s="2"/>
    </row>
    <row r="1017" spans="13:21" x14ac:dyDescent="0.2">
      <c r="M1017" s="2"/>
      <c r="N1017" s="2"/>
      <c r="O1017" s="2"/>
      <c r="P1017" s="2"/>
      <c r="Q1017" s="2"/>
      <c r="R1017" s="2"/>
      <c r="S1017" s="2"/>
      <c r="T1017" s="2"/>
      <c r="U1017" s="2"/>
    </row>
    <row r="1018" spans="13:21" x14ac:dyDescent="0.2">
      <c r="M1018" s="2"/>
      <c r="N1018" s="2"/>
      <c r="O1018" s="2"/>
      <c r="P1018" s="2"/>
      <c r="Q1018" s="2"/>
      <c r="R1018" s="2"/>
      <c r="S1018" s="2"/>
      <c r="T1018" s="2"/>
      <c r="U1018" s="2"/>
    </row>
    <row r="1019" spans="13:21" x14ac:dyDescent="0.2">
      <c r="M1019" s="2"/>
      <c r="N1019" s="2"/>
      <c r="O1019" s="2"/>
      <c r="P1019" s="2"/>
      <c r="Q1019" s="2"/>
      <c r="R1019" s="2"/>
      <c r="S1019" s="2"/>
      <c r="T1019" s="2"/>
      <c r="U1019" s="2"/>
    </row>
    <row r="1020" spans="13:21" x14ac:dyDescent="0.2">
      <c r="M1020" s="2"/>
      <c r="N1020" s="2"/>
      <c r="O1020" s="2"/>
      <c r="P1020" s="2"/>
      <c r="Q1020" s="2"/>
      <c r="R1020" s="2"/>
      <c r="S1020" s="2"/>
      <c r="T1020" s="2"/>
      <c r="U1020" s="2"/>
    </row>
    <row r="1021" spans="13:21" x14ac:dyDescent="0.2">
      <c r="M1021" s="2"/>
      <c r="N1021" s="2"/>
      <c r="O1021" s="2"/>
      <c r="P1021" s="2"/>
      <c r="Q1021" s="2"/>
      <c r="R1021" s="2"/>
      <c r="S1021" s="2"/>
      <c r="T1021" s="2"/>
      <c r="U1021" s="2"/>
    </row>
    <row r="1022" spans="13:21" x14ac:dyDescent="0.2">
      <c r="M1022" s="2"/>
      <c r="N1022" s="2"/>
      <c r="O1022" s="2"/>
      <c r="P1022" s="2"/>
      <c r="Q1022" s="2"/>
      <c r="R1022" s="2"/>
      <c r="S1022" s="2"/>
      <c r="T1022" s="2"/>
      <c r="U1022" s="2"/>
    </row>
    <row r="1023" spans="13:21" x14ac:dyDescent="0.2">
      <c r="M1023" s="2"/>
      <c r="N1023" s="2"/>
      <c r="O1023" s="2"/>
      <c r="P1023" s="2"/>
      <c r="Q1023" s="2"/>
      <c r="R1023" s="2"/>
      <c r="S1023" s="2"/>
      <c r="T1023" s="2"/>
      <c r="U1023" s="2"/>
    </row>
    <row r="1024" spans="13:21" x14ac:dyDescent="0.2">
      <c r="M1024" s="2"/>
      <c r="N1024" s="2"/>
      <c r="O1024" s="2"/>
      <c r="P1024" s="2"/>
      <c r="Q1024" s="2"/>
      <c r="R1024" s="2"/>
      <c r="S1024" s="2"/>
      <c r="T1024" s="2"/>
      <c r="U1024" s="2"/>
    </row>
    <row r="1025" spans="13:21" x14ac:dyDescent="0.2">
      <c r="M1025" s="2"/>
      <c r="N1025" s="2"/>
      <c r="O1025" s="2"/>
      <c r="P1025" s="2"/>
      <c r="Q1025" s="2"/>
      <c r="R1025" s="2"/>
      <c r="S1025" s="2"/>
      <c r="T1025" s="2"/>
      <c r="U1025" s="2"/>
    </row>
    <row r="1026" spans="13:21" x14ac:dyDescent="0.2">
      <c r="M1026" s="2"/>
      <c r="N1026" s="2"/>
      <c r="O1026" s="2"/>
      <c r="P1026" s="2"/>
      <c r="Q1026" s="2"/>
      <c r="R1026" s="2"/>
      <c r="S1026" s="2"/>
      <c r="T1026" s="2"/>
      <c r="U1026" s="2"/>
    </row>
    <row r="1027" spans="13:21" x14ac:dyDescent="0.2">
      <c r="M1027" s="2"/>
      <c r="N1027" s="2"/>
      <c r="O1027" s="2"/>
      <c r="P1027" s="2"/>
      <c r="Q1027" s="2"/>
      <c r="R1027" s="2"/>
      <c r="S1027" s="2"/>
      <c r="T1027" s="2"/>
      <c r="U1027" s="2"/>
    </row>
    <row r="1028" spans="13:21" x14ac:dyDescent="0.2">
      <c r="M1028" s="2"/>
      <c r="N1028" s="2"/>
      <c r="O1028" s="2"/>
      <c r="P1028" s="2"/>
      <c r="Q1028" s="2"/>
      <c r="R1028" s="2"/>
      <c r="S1028" s="2"/>
      <c r="T1028" s="2"/>
      <c r="U1028" s="2"/>
    </row>
    <row r="1029" spans="13:21" x14ac:dyDescent="0.2">
      <c r="M1029" s="2"/>
      <c r="N1029" s="2"/>
      <c r="O1029" s="2"/>
      <c r="P1029" s="2"/>
      <c r="Q1029" s="2"/>
      <c r="R1029" s="2"/>
      <c r="S1029" s="2"/>
      <c r="T1029" s="2"/>
      <c r="U1029" s="2"/>
    </row>
    <row r="1030" spans="13:21" x14ac:dyDescent="0.2">
      <c r="M1030" s="2"/>
      <c r="N1030" s="2"/>
      <c r="O1030" s="2"/>
      <c r="P1030" s="2"/>
      <c r="Q1030" s="2"/>
      <c r="R1030" s="2"/>
      <c r="S1030" s="2"/>
      <c r="T1030" s="2"/>
      <c r="U1030" s="2"/>
    </row>
    <row r="1031" spans="13:21" x14ac:dyDescent="0.2">
      <c r="M1031" s="2"/>
      <c r="N1031" s="2"/>
      <c r="O1031" s="2"/>
      <c r="P1031" s="2"/>
      <c r="Q1031" s="2"/>
      <c r="R1031" s="2"/>
      <c r="S1031" s="2"/>
      <c r="T1031" s="2"/>
      <c r="U1031" s="2"/>
    </row>
    <row r="1032" spans="13:21" x14ac:dyDescent="0.2">
      <c r="M1032" s="2"/>
      <c r="N1032" s="2"/>
      <c r="O1032" s="2"/>
      <c r="P1032" s="2"/>
      <c r="Q1032" s="2"/>
      <c r="R1032" s="2"/>
      <c r="S1032" s="2"/>
      <c r="T1032" s="2"/>
      <c r="U1032" s="2"/>
    </row>
    <row r="1033" spans="13:21" x14ac:dyDescent="0.2">
      <c r="M1033" s="2"/>
      <c r="N1033" s="2"/>
      <c r="O1033" s="2"/>
      <c r="P1033" s="2"/>
      <c r="Q1033" s="2"/>
      <c r="R1033" s="2"/>
      <c r="S1033" s="2"/>
      <c r="T1033" s="2"/>
      <c r="U1033" s="2"/>
    </row>
    <row r="1034" spans="13:21" x14ac:dyDescent="0.2">
      <c r="M1034" s="2"/>
      <c r="N1034" s="2"/>
      <c r="O1034" s="2"/>
      <c r="P1034" s="2"/>
      <c r="Q1034" s="2"/>
      <c r="R1034" s="2"/>
      <c r="S1034" s="2"/>
      <c r="T1034" s="2"/>
      <c r="U1034" s="2"/>
    </row>
    <row r="1035" spans="13:21" x14ac:dyDescent="0.2">
      <c r="M1035" s="2"/>
      <c r="N1035" s="2"/>
      <c r="O1035" s="2"/>
      <c r="P1035" s="2"/>
      <c r="Q1035" s="2"/>
      <c r="R1035" s="2"/>
      <c r="S1035" s="2"/>
      <c r="T1035" s="2"/>
      <c r="U1035" s="2"/>
    </row>
    <row r="1036" spans="13:21" x14ac:dyDescent="0.2">
      <c r="M1036" s="2"/>
      <c r="N1036" s="2"/>
      <c r="O1036" s="2"/>
      <c r="P1036" s="2"/>
      <c r="Q1036" s="2"/>
      <c r="R1036" s="2"/>
      <c r="S1036" s="2"/>
      <c r="T1036" s="2"/>
      <c r="U1036" s="2"/>
    </row>
    <row r="1037" spans="13:21" x14ac:dyDescent="0.2">
      <c r="M1037" s="2"/>
      <c r="N1037" s="2"/>
      <c r="O1037" s="2"/>
      <c r="P1037" s="2"/>
      <c r="Q1037" s="2"/>
      <c r="R1037" s="2"/>
      <c r="S1037" s="2"/>
      <c r="T1037" s="2"/>
      <c r="U1037" s="2"/>
    </row>
    <row r="1038" spans="13:21" x14ac:dyDescent="0.2">
      <c r="M1038" s="2"/>
      <c r="N1038" s="2"/>
      <c r="O1038" s="2"/>
      <c r="P1038" s="2"/>
      <c r="Q1038" s="2"/>
      <c r="R1038" s="2"/>
      <c r="S1038" s="2"/>
      <c r="T1038" s="2"/>
      <c r="U1038" s="2"/>
    </row>
    <row r="1039" spans="13:21" x14ac:dyDescent="0.2">
      <c r="M1039" s="2"/>
      <c r="N1039" s="2"/>
      <c r="O1039" s="2"/>
      <c r="P1039" s="2"/>
      <c r="Q1039" s="2"/>
      <c r="R1039" s="2"/>
      <c r="S1039" s="2"/>
      <c r="T1039" s="2"/>
      <c r="U1039" s="2"/>
    </row>
    <row r="1040" spans="13:21" x14ac:dyDescent="0.2">
      <c r="M1040" s="2"/>
      <c r="N1040" s="2"/>
      <c r="O1040" s="2"/>
      <c r="P1040" s="2"/>
      <c r="Q1040" s="2"/>
      <c r="R1040" s="2"/>
      <c r="S1040" s="2"/>
      <c r="T1040" s="2"/>
      <c r="U1040" s="2"/>
    </row>
    <row r="1041" spans="13:21" x14ac:dyDescent="0.2">
      <c r="M1041" s="2"/>
      <c r="N1041" s="2"/>
      <c r="O1041" s="2"/>
      <c r="P1041" s="2"/>
      <c r="Q1041" s="2"/>
      <c r="R1041" s="2"/>
      <c r="S1041" s="2"/>
      <c r="T1041" s="2"/>
      <c r="U1041" s="2"/>
    </row>
    <row r="1042" spans="13:21" x14ac:dyDescent="0.2">
      <c r="M1042" s="2"/>
      <c r="N1042" s="2"/>
      <c r="O1042" s="2"/>
      <c r="P1042" s="2"/>
      <c r="Q1042" s="2"/>
      <c r="R1042" s="2"/>
      <c r="S1042" s="2"/>
      <c r="T1042" s="2"/>
      <c r="U1042" s="2"/>
    </row>
    <row r="1043" spans="13:21" x14ac:dyDescent="0.2">
      <c r="M1043" s="2"/>
      <c r="N1043" s="2"/>
      <c r="O1043" s="2"/>
      <c r="P1043" s="2"/>
      <c r="Q1043" s="2"/>
      <c r="R1043" s="2"/>
      <c r="S1043" s="2"/>
      <c r="T1043" s="2"/>
      <c r="U1043" s="2"/>
    </row>
    <row r="1044" spans="13:21" x14ac:dyDescent="0.2">
      <c r="M1044" s="2"/>
      <c r="N1044" s="2"/>
      <c r="O1044" s="2"/>
      <c r="P1044" s="2"/>
      <c r="Q1044" s="2"/>
      <c r="R1044" s="2"/>
      <c r="S1044" s="2"/>
      <c r="T1044" s="2"/>
      <c r="U1044" s="2"/>
    </row>
    <row r="1045" spans="13:21" x14ac:dyDescent="0.2">
      <c r="M1045" s="2"/>
      <c r="N1045" s="2"/>
      <c r="O1045" s="2"/>
      <c r="P1045" s="2"/>
      <c r="Q1045" s="2"/>
      <c r="R1045" s="2"/>
      <c r="S1045" s="2"/>
      <c r="T1045" s="2"/>
      <c r="U1045" s="2"/>
    </row>
    <row r="1046" spans="13:21" x14ac:dyDescent="0.2">
      <c r="M1046" s="2"/>
      <c r="N1046" s="2"/>
      <c r="O1046" s="2"/>
      <c r="P1046" s="2"/>
      <c r="Q1046" s="2"/>
      <c r="R1046" s="2"/>
      <c r="S1046" s="2"/>
      <c r="T1046" s="2"/>
      <c r="U1046" s="2"/>
    </row>
    <row r="1047" spans="13:21" x14ac:dyDescent="0.2">
      <c r="M1047" s="2"/>
      <c r="N1047" s="2"/>
      <c r="O1047" s="2"/>
      <c r="P1047" s="2"/>
      <c r="Q1047" s="2"/>
      <c r="R1047" s="2"/>
      <c r="S1047" s="2"/>
      <c r="T1047" s="2"/>
      <c r="U1047" s="2"/>
    </row>
    <row r="1048" spans="13:21" x14ac:dyDescent="0.2">
      <c r="M1048" s="2"/>
      <c r="N1048" s="2"/>
      <c r="O1048" s="2"/>
      <c r="P1048" s="2"/>
      <c r="Q1048" s="2"/>
      <c r="R1048" s="2"/>
      <c r="S1048" s="2"/>
      <c r="T1048" s="2"/>
      <c r="U1048" s="2"/>
    </row>
    <row r="1049" spans="13:21" x14ac:dyDescent="0.2">
      <c r="M1049" s="2"/>
      <c r="N1049" s="2"/>
      <c r="O1049" s="2"/>
      <c r="P1049" s="2"/>
      <c r="Q1049" s="2"/>
      <c r="R1049" s="2"/>
      <c r="S1049" s="2"/>
      <c r="T1049" s="2"/>
      <c r="U1049" s="2"/>
    </row>
    <row r="1050" spans="13:21" x14ac:dyDescent="0.2">
      <c r="M1050" s="2"/>
      <c r="N1050" s="2"/>
      <c r="O1050" s="2"/>
      <c r="P1050" s="2"/>
      <c r="Q1050" s="2"/>
      <c r="R1050" s="2"/>
      <c r="S1050" s="2"/>
      <c r="T1050" s="2"/>
      <c r="U1050" s="2"/>
    </row>
    <row r="1051" spans="13:21" x14ac:dyDescent="0.2">
      <c r="M1051" s="2"/>
      <c r="N1051" s="2"/>
      <c r="O1051" s="2"/>
      <c r="P1051" s="2"/>
      <c r="Q1051" s="2"/>
      <c r="R1051" s="2"/>
      <c r="S1051" s="2"/>
      <c r="T1051" s="2"/>
      <c r="U1051" s="2"/>
    </row>
    <row r="1052" spans="13:21" x14ac:dyDescent="0.2">
      <c r="M1052" s="2"/>
      <c r="N1052" s="2"/>
      <c r="O1052" s="2"/>
      <c r="P1052" s="2"/>
      <c r="Q1052" s="2"/>
      <c r="R1052" s="2"/>
      <c r="S1052" s="2"/>
      <c r="T1052" s="2"/>
      <c r="U1052" s="2"/>
    </row>
    <row r="1053" spans="13:21" x14ac:dyDescent="0.2">
      <c r="M1053" s="2"/>
      <c r="N1053" s="2"/>
      <c r="O1053" s="2"/>
      <c r="P1053" s="2"/>
      <c r="Q1053" s="2"/>
      <c r="R1053" s="2"/>
      <c r="S1053" s="2"/>
      <c r="T1053" s="2"/>
      <c r="U1053" s="2"/>
    </row>
    <row r="1054" spans="13:21" x14ac:dyDescent="0.2">
      <c r="M1054" s="2"/>
      <c r="N1054" s="2"/>
      <c r="O1054" s="2"/>
      <c r="P1054" s="2"/>
      <c r="Q1054" s="2"/>
      <c r="R1054" s="2"/>
      <c r="S1054" s="2"/>
      <c r="T1054" s="2"/>
      <c r="U1054" s="2"/>
    </row>
    <row r="1055" spans="13:21" x14ac:dyDescent="0.2">
      <c r="M1055" s="2"/>
      <c r="N1055" s="2"/>
      <c r="O1055" s="2"/>
      <c r="P1055" s="2"/>
      <c r="Q1055" s="2"/>
      <c r="R1055" s="2"/>
      <c r="S1055" s="2"/>
      <c r="T1055" s="2"/>
      <c r="U1055" s="2"/>
    </row>
    <row r="1056" spans="13:21" x14ac:dyDescent="0.2">
      <c r="M1056" s="2"/>
      <c r="N1056" s="2"/>
      <c r="O1056" s="2"/>
      <c r="P1056" s="2"/>
      <c r="Q1056" s="2"/>
      <c r="R1056" s="2"/>
      <c r="S1056" s="2"/>
      <c r="T1056" s="2"/>
      <c r="U1056" s="2"/>
    </row>
    <row r="1057" spans="13:21" x14ac:dyDescent="0.2">
      <c r="M1057" s="2"/>
      <c r="N1057" s="2"/>
      <c r="O1057" s="2"/>
      <c r="P1057" s="2"/>
      <c r="Q1057" s="2"/>
      <c r="R1057" s="2"/>
      <c r="S1057" s="2"/>
      <c r="T1057" s="2"/>
      <c r="U1057" s="2"/>
    </row>
    <row r="1058" spans="13:21" x14ac:dyDescent="0.2">
      <c r="M1058" s="2"/>
      <c r="N1058" s="2"/>
      <c r="O1058" s="2"/>
      <c r="P1058" s="2"/>
      <c r="Q1058" s="2"/>
      <c r="R1058" s="2"/>
      <c r="S1058" s="2"/>
      <c r="T1058" s="2"/>
      <c r="U1058" s="2"/>
    </row>
    <row r="1059" spans="13:21" x14ac:dyDescent="0.2">
      <c r="M1059" s="2"/>
      <c r="N1059" s="2"/>
      <c r="O1059" s="2"/>
      <c r="P1059" s="2"/>
      <c r="Q1059" s="2"/>
      <c r="R1059" s="2"/>
      <c r="S1059" s="2"/>
      <c r="T1059" s="2"/>
      <c r="U1059" s="2"/>
    </row>
    <row r="1060" spans="13:21" x14ac:dyDescent="0.2">
      <c r="M1060" s="2"/>
      <c r="N1060" s="2"/>
      <c r="O1060" s="2"/>
      <c r="P1060" s="2"/>
      <c r="Q1060" s="2"/>
      <c r="R1060" s="2"/>
      <c r="S1060" s="2"/>
      <c r="T1060" s="2"/>
      <c r="U1060" s="2"/>
    </row>
    <row r="1061" spans="13:21" x14ac:dyDescent="0.2">
      <c r="M1061" s="2"/>
      <c r="N1061" s="2"/>
      <c r="O1061" s="2"/>
      <c r="P1061" s="2"/>
      <c r="Q1061" s="2"/>
      <c r="R1061" s="2"/>
      <c r="S1061" s="2"/>
      <c r="T1061" s="2"/>
      <c r="U1061" s="2"/>
    </row>
    <row r="1062" spans="13:21" x14ac:dyDescent="0.2">
      <c r="M1062" s="2"/>
      <c r="N1062" s="2"/>
      <c r="O1062" s="2"/>
      <c r="P1062" s="2"/>
      <c r="Q1062" s="2"/>
      <c r="R1062" s="2"/>
      <c r="S1062" s="2"/>
      <c r="T1062" s="2"/>
      <c r="U1062" s="2"/>
    </row>
    <row r="1063" spans="13:21" x14ac:dyDescent="0.2">
      <c r="M1063" s="2"/>
      <c r="N1063" s="2"/>
      <c r="O1063" s="2"/>
      <c r="P1063" s="2"/>
      <c r="Q1063" s="2"/>
      <c r="R1063" s="2"/>
      <c r="S1063" s="2"/>
      <c r="T1063" s="2"/>
      <c r="U1063" s="2"/>
    </row>
    <row r="1064" spans="13:21" x14ac:dyDescent="0.2">
      <c r="M1064" s="2"/>
      <c r="N1064" s="2"/>
      <c r="O1064" s="2"/>
      <c r="P1064" s="2"/>
      <c r="Q1064" s="2"/>
      <c r="R1064" s="2"/>
      <c r="S1064" s="2"/>
      <c r="T1064" s="2"/>
      <c r="U1064" s="2"/>
    </row>
    <row r="1065" spans="13:21" x14ac:dyDescent="0.2">
      <c r="M1065" s="2"/>
      <c r="N1065" s="2"/>
      <c r="O1065" s="2"/>
      <c r="P1065" s="2"/>
      <c r="Q1065" s="2"/>
      <c r="R1065" s="2"/>
      <c r="S1065" s="2"/>
      <c r="T1065" s="2"/>
      <c r="U1065" s="2"/>
    </row>
    <row r="1066" spans="13:21" x14ac:dyDescent="0.2">
      <c r="M1066" s="2"/>
      <c r="N1066" s="2"/>
      <c r="O1066" s="2"/>
      <c r="P1066" s="2"/>
      <c r="Q1066" s="2"/>
      <c r="R1066" s="2"/>
      <c r="S1066" s="2"/>
      <c r="T1066" s="2"/>
      <c r="U1066" s="2"/>
    </row>
    <row r="1067" spans="13:21" x14ac:dyDescent="0.2">
      <c r="M1067" s="2"/>
      <c r="N1067" s="2"/>
      <c r="O1067" s="2"/>
      <c r="P1067" s="2"/>
      <c r="Q1067" s="2"/>
      <c r="R1067" s="2"/>
      <c r="S1067" s="2"/>
      <c r="T1067" s="2"/>
      <c r="U1067" s="2"/>
    </row>
    <row r="1068" spans="13:21" x14ac:dyDescent="0.2">
      <c r="M1068" s="2"/>
      <c r="N1068" s="2"/>
      <c r="O1068" s="2"/>
      <c r="P1068" s="2"/>
      <c r="Q1068" s="2"/>
      <c r="R1068" s="2"/>
      <c r="S1068" s="2"/>
      <c r="T1068" s="2"/>
      <c r="U1068" s="2"/>
    </row>
    <row r="1069" spans="13:21" x14ac:dyDescent="0.2">
      <c r="M1069" s="2"/>
      <c r="N1069" s="2"/>
      <c r="O1069" s="2"/>
      <c r="P1069" s="2"/>
      <c r="Q1069" s="2"/>
      <c r="R1069" s="2"/>
      <c r="S1069" s="2"/>
      <c r="T1069" s="2"/>
      <c r="U1069" s="2"/>
    </row>
    <row r="1070" spans="13:21" x14ac:dyDescent="0.2">
      <c r="M1070" s="2"/>
      <c r="N1070" s="2"/>
      <c r="O1070" s="2"/>
      <c r="P1070" s="2"/>
      <c r="Q1070" s="2"/>
      <c r="R1070" s="2"/>
      <c r="S1070" s="2"/>
      <c r="T1070" s="2"/>
      <c r="U1070" s="2"/>
    </row>
    <row r="1071" spans="13:21" x14ac:dyDescent="0.2">
      <c r="M1071" s="2"/>
      <c r="N1071" s="2"/>
      <c r="O1071" s="2"/>
      <c r="P1071" s="2"/>
      <c r="Q1071" s="2"/>
      <c r="R1071" s="2"/>
      <c r="S1071" s="2"/>
      <c r="T1071" s="2"/>
      <c r="U1071" s="2"/>
    </row>
    <row r="1072" spans="13:21" x14ac:dyDescent="0.2">
      <c r="M1072" s="2"/>
      <c r="N1072" s="2"/>
      <c r="O1072" s="2"/>
      <c r="P1072" s="2"/>
      <c r="Q1072" s="2"/>
      <c r="R1072" s="2"/>
      <c r="S1072" s="2"/>
      <c r="T1072" s="2"/>
      <c r="U1072" s="2"/>
    </row>
    <row r="1073" spans="13:21" x14ac:dyDescent="0.2">
      <c r="M1073" s="2"/>
      <c r="N1073" s="2"/>
      <c r="O1073" s="2"/>
      <c r="P1073" s="2"/>
      <c r="Q1073" s="2"/>
      <c r="R1073" s="2"/>
      <c r="S1073" s="2"/>
      <c r="T1073" s="2"/>
      <c r="U1073" s="2"/>
    </row>
    <row r="1074" spans="13:21" x14ac:dyDescent="0.2">
      <c r="M1074" s="2"/>
      <c r="N1074" s="2"/>
      <c r="O1074" s="2"/>
      <c r="P1074" s="2"/>
      <c r="Q1074" s="2"/>
      <c r="R1074" s="2"/>
      <c r="S1074" s="2"/>
      <c r="T1074" s="2"/>
      <c r="U1074" s="2"/>
    </row>
    <row r="1075" spans="13:21" x14ac:dyDescent="0.2">
      <c r="M1075" s="2"/>
      <c r="N1075" s="2"/>
      <c r="O1075" s="2"/>
      <c r="P1075" s="2"/>
      <c r="Q1075" s="2"/>
      <c r="R1075" s="2"/>
      <c r="S1075" s="2"/>
      <c r="T1075" s="2"/>
      <c r="U1075" s="2"/>
    </row>
    <row r="1076" spans="13:21" x14ac:dyDescent="0.2">
      <c r="M1076" s="2"/>
      <c r="N1076" s="2"/>
      <c r="O1076" s="2"/>
      <c r="P1076" s="2"/>
      <c r="Q1076" s="2"/>
      <c r="R1076" s="2"/>
      <c r="S1076" s="2"/>
      <c r="T1076" s="2"/>
      <c r="U1076" s="2"/>
    </row>
    <row r="1077" spans="13:21" x14ac:dyDescent="0.2">
      <c r="M1077" s="2"/>
      <c r="N1077" s="2"/>
      <c r="O1077" s="2"/>
      <c r="P1077" s="2"/>
      <c r="Q1077" s="2"/>
      <c r="R1077" s="2"/>
      <c r="S1077" s="2"/>
      <c r="T1077" s="2"/>
      <c r="U1077" s="2"/>
    </row>
    <row r="1078" spans="13:21" x14ac:dyDescent="0.2">
      <c r="M1078" s="2"/>
      <c r="N1078" s="2"/>
      <c r="O1078" s="2"/>
      <c r="P1078" s="2"/>
      <c r="Q1078" s="2"/>
      <c r="R1078" s="2"/>
      <c r="S1078" s="2"/>
      <c r="T1078" s="2"/>
      <c r="U1078" s="2"/>
    </row>
    <row r="1079" spans="13:21" x14ac:dyDescent="0.2">
      <c r="M1079" s="2"/>
      <c r="N1079" s="2"/>
      <c r="O1079" s="2"/>
      <c r="P1079" s="2"/>
      <c r="Q1079" s="2"/>
      <c r="R1079" s="2"/>
      <c r="S1079" s="2"/>
      <c r="T1079" s="2"/>
      <c r="U1079" s="2"/>
    </row>
    <row r="1080" spans="13:21" x14ac:dyDescent="0.2">
      <c r="M1080" s="2"/>
      <c r="N1080" s="2"/>
      <c r="O1080" s="2"/>
      <c r="P1080" s="2"/>
      <c r="Q1080" s="2"/>
      <c r="R1080" s="2"/>
      <c r="S1080" s="2"/>
      <c r="T1080" s="2"/>
      <c r="U1080" s="2"/>
    </row>
    <row r="1081" spans="13:21" x14ac:dyDescent="0.2">
      <c r="M1081" s="2"/>
      <c r="N1081" s="2"/>
      <c r="O1081" s="2"/>
      <c r="P1081" s="2"/>
      <c r="Q1081" s="2"/>
      <c r="R1081" s="2"/>
      <c r="S1081" s="2"/>
      <c r="T1081" s="2"/>
      <c r="U1081" s="2"/>
    </row>
    <row r="1082" spans="13:21" x14ac:dyDescent="0.2">
      <c r="M1082" s="2"/>
      <c r="N1082" s="2"/>
      <c r="O1082" s="2"/>
      <c r="P1082" s="2"/>
      <c r="Q1082" s="2"/>
      <c r="R1082" s="2"/>
      <c r="S1082" s="2"/>
      <c r="T1082" s="2"/>
      <c r="U1082" s="2"/>
    </row>
    <row r="1083" spans="13:21" x14ac:dyDescent="0.2">
      <c r="M1083" s="2"/>
      <c r="N1083" s="2"/>
      <c r="O1083" s="2"/>
      <c r="P1083" s="2"/>
      <c r="Q1083" s="2"/>
      <c r="R1083" s="2"/>
      <c r="S1083" s="2"/>
      <c r="T1083" s="2"/>
      <c r="U1083" s="2"/>
    </row>
    <row r="1084" spans="13:21" x14ac:dyDescent="0.2">
      <c r="M1084" s="2"/>
      <c r="N1084" s="2"/>
      <c r="O1084" s="2"/>
      <c r="P1084" s="2"/>
      <c r="Q1084" s="2"/>
      <c r="R1084" s="2"/>
      <c r="S1084" s="2"/>
      <c r="T1084" s="2"/>
      <c r="U1084" s="2"/>
    </row>
    <row r="1085" spans="13:21" x14ac:dyDescent="0.2">
      <c r="M1085" s="2"/>
      <c r="N1085" s="2"/>
      <c r="O1085" s="2"/>
      <c r="P1085" s="2"/>
      <c r="Q1085" s="2"/>
      <c r="R1085" s="2"/>
      <c r="S1085" s="2"/>
      <c r="T1085" s="2"/>
      <c r="U1085" s="2"/>
    </row>
    <row r="1086" spans="13:21" x14ac:dyDescent="0.2">
      <c r="M1086" s="2"/>
      <c r="N1086" s="2"/>
      <c r="O1086" s="2"/>
      <c r="P1086" s="2"/>
      <c r="Q1086" s="2"/>
      <c r="R1086" s="2"/>
      <c r="S1086" s="2"/>
      <c r="T1086" s="2"/>
      <c r="U1086" s="2"/>
    </row>
    <row r="1087" spans="13:21" x14ac:dyDescent="0.2">
      <c r="M1087" s="2"/>
      <c r="N1087" s="2"/>
      <c r="O1087" s="2"/>
      <c r="P1087" s="2"/>
      <c r="Q1087" s="2"/>
      <c r="R1087" s="2"/>
      <c r="S1087" s="2"/>
      <c r="T1087" s="2"/>
      <c r="U1087" s="2"/>
    </row>
    <row r="1088" spans="13:21" x14ac:dyDescent="0.2">
      <c r="M1088" s="2"/>
      <c r="N1088" s="2"/>
      <c r="O1088" s="2"/>
      <c r="P1088" s="2"/>
      <c r="Q1088" s="2"/>
      <c r="R1088" s="2"/>
      <c r="S1088" s="2"/>
      <c r="T1088" s="2"/>
      <c r="U1088" s="2"/>
    </row>
    <row r="1089" spans="13:21" x14ac:dyDescent="0.2">
      <c r="M1089" s="2"/>
      <c r="N1089" s="2"/>
      <c r="O1089" s="2"/>
      <c r="P1089" s="2"/>
      <c r="Q1089" s="2"/>
      <c r="R1089" s="2"/>
      <c r="S1089" s="2"/>
      <c r="T1089" s="2"/>
      <c r="U1089" s="2"/>
    </row>
    <row r="1090" spans="13:21" x14ac:dyDescent="0.2">
      <c r="M1090" s="2"/>
      <c r="N1090" s="2"/>
      <c r="O1090" s="2"/>
      <c r="P1090" s="2"/>
      <c r="Q1090" s="2"/>
      <c r="R1090" s="2"/>
      <c r="S1090" s="2"/>
      <c r="T1090" s="2"/>
      <c r="U1090" s="2"/>
    </row>
    <row r="1091" spans="13:21" x14ac:dyDescent="0.2">
      <c r="M1091" s="2"/>
      <c r="N1091" s="2"/>
      <c r="O1091" s="2"/>
      <c r="P1091" s="2"/>
      <c r="Q1091" s="2"/>
      <c r="R1091" s="2"/>
      <c r="S1091" s="2"/>
      <c r="T1091" s="2"/>
      <c r="U1091" s="2"/>
    </row>
    <row r="1092" spans="13:21" x14ac:dyDescent="0.2">
      <c r="M1092" s="2"/>
      <c r="N1092" s="2"/>
      <c r="O1092" s="2"/>
      <c r="P1092" s="2"/>
      <c r="Q1092" s="2"/>
      <c r="R1092" s="2"/>
      <c r="S1092" s="2"/>
      <c r="T1092" s="2"/>
      <c r="U1092" s="2"/>
    </row>
    <row r="1093" spans="13:21" x14ac:dyDescent="0.2">
      <c r="M1093" s="2"/>
      <c r="N1093" s="2"/>
      <c r="O1093" s="2"/>
      <c r="P1093" s="2"/>
      <c r="Q1093" s="2"/>
      <c r="R1093" s="2"/>
      <c r="S1093" s="2"/>
      <c r="T1093" s="2"/>
      <c r="U1093" s="2"/>
    </row>
    <row r="1094" spans="13:21" x14ac:dyDescent="0.2">
      <c r="M1094" s="2"/>
      <c r="N1094" s="2"/>
      <c r="O1094" s="2"/>
      <c r="P1094" s="2"/>
      <c r="Q1094" s="2"/>
      <c r="R1094" s="2"/>
      <c r="S1094" s="2"/>
      <c r="T1094" s="2"/>
      <c r="U1094" s="2"/>
    </row>
    <row r="1095" spans="13:21" x14ac:dyDescent="0.2">
      <c r="M1095" s="2"/>
      <c r="N1095" s="2"/>
      <c r="O1095" s="2"/>
      <c r="P1095" s="2"/>
      <c r="Q1095" s="2"/>
      <c r="R1095" s="2"/>
      <c r="S1095" s="2"/>
      <c r="T1095" s="2"/>
      <c r="U1095" s="2"/>
    </row>
    <row r="1096" spans="13:21" x14ac:dyDescent="0.2">
      <c r="M1096" s="2"/>
      <c r="N1096" s="2"/>
      <c r="O1096" s="2"/>
      <c r="P1096" s="2"/>
      <c r="Q1096" s="2"/>
      <c r="R1096" s="2"/>
      <c r="S1096" s="2"/>
      <c r="T1096" s="2"/>
      <c r="U1096" s="2"/>
    </row>
    <row r="1097" spans="13:21" x14ac:dyDescent="0.2">
      <c r="M1097" s="2"/>
      <c r="N1097" s="2"/>
      <c r="O1097" s="2"/>
      <c r="P1097" s="2"/>
      <c r="Q1097" s="2"/>
      <c r="R1097" s="2"/>
      <c r="S1097" s="2"/>
      <c r="T1097" s="2"/>
      <c r="U1097" s="2"/>
    </row>
    <row r="1098" spans="13:21" x14ac:dyDescent="0.2">
      <c r="M1098" s="2"/>
      <c r="N1098" s="2"/>
      <c r="O1098" s="2"/>
      <c r="P1098" s="2"/>
      <c r="Q1098" s="2"/>
      <c r="R1098" s="2"/>
      <c r="S1098" s="2"/>
      <c r="T1098" s="2"/>
      <c r="U1098" s="2"/>
    </row>
    <row r="1099" spans="13:21" x14ac:dyDescent="0.2">
      <c r="M1099" s="2"/>
      <c r="N1099" s="2"/>
      <c r="O1099" s="2"/>
      <c r="P1099" s="2"/>
      <c r="Q1099" s="2"/>
      <c r="R1099" s="2"/>
      <c r="S1099" s="2"/>
      <c r="T1099" s="2"/>
      <c r="U1099" s="2"/>
    </row>
    <row r="1100" spans="13:21" x14ac:dyDescent="0.2">
      <c r="M1100" s="2"/>
      <c r="N1100" s="2"/>
      <c r="O1100" s="2"/>
      <c r="P1100" s="2"/>
      <c r="Q1100" s="2"/>
      <c r="R1100" s="2"/>
      <c r="S1100" s="2"/>
      <c r="T1100" s="2"/>
      <c r="U1100" s="2"/>
    </row>
    <row r="1101" spans="13:21" x14ac:dyDescent="0.2">
      <c r="M1101" s="2"/>
      <c r="N1101" s="2"/>
      <c r="O1101" s="2"/>
      <c r="P1101" s="2"/>
      <c r="Q1101" s="2"/>
      <c r="R1101" s="2"/>
      <c r="S1101" s="2"/>
      <c r="T1101" s="2"/>
      <c r="U1101" s="2"/>
    </row>
    <row r="1102" spans="13:21" x14ac:dyDescent="0.2">
      <c r="M1102" s="2"/>
      <c r="N1102" s="2"/>
      <c r="O1102" s="2"/>
      <c r="P1102" s="2"/>
      <c r="Q1102" s="2"/>
      <c r="R1102" s="2"/>
      <c r="S1102" s="2"/>
      <c r="T1102" s="2"/>
      <c r="U1102" s="2"/>
    </row>
    <row r="1103" spans="13:21" x14ac:dyDescent="0.2">
      <c r="M1103" s="2"/>
      <c r="N1103" s="2"/>
      <c r="O1103" s="2"/>
      <c r="P1103" s="2"/>
      <c r="Q1103" s="2"/>
      <c r="R1103" s="2"/>
      <c r="S1103" s="2"/>
      <c r="T1103" s="2"/>
      <c r="U1103" s="2"/>
    </row>
    <row r="1104" spans="13:21" x14ac:dyDescent="0.2">
      <c r="M1104" s="2"/>
      <c r="N1104" s="2"/>
      <c r="O1104" s="2"/>
      <c r="P1104" s="2"/>
      <c r="Q1104" s="2"/>
      <c r="R1104" s="2"/>
      <c r="S1104" s="2"/>
      <c r="T1104" s="2"/>
      <c r="U1104" s="2"/>
    </row>
    <row r="1105" spans="13:21" x14ac:dyDescent="0.2">
      <c r="M1105" s="2"/>
      <c r="N1105" s="2"/>
      <c r="O1105" s="2"/>
      <c r="P1105" s="2"/>
      <c r="Q1105" s="2"/>
      <c r="R1105" s="2"/>
      <c r="S1105" s="2"/>
      <c r="T1105" s="2"/>
      <c r="U1105" s="2"/>
    </row>
    <row r="1106" spans="13:21" x14ac:dyDescent="0.2">
      <c r="M1106" s="2"/>
      <c r="N1106" s="2"/>
      <c r="O1106" s="2"/>
      <c r="P1106" s="2"/>
      <c r="Q1106" s="2"/>
      <c r="R1106" s="2"/>
      <c r="S1106" s="2"/>
      <c r="T1106" s="2"/>
      <c r="U1106" s="2"/>
    </row>
    <row r="1107" spans="13:21" x14ac:dyDescent="0.2">
      <c r="M1107" s="2"/>
      <c r="N1107" s="2"/>
      <c r="O1107" s="2"/>
      <c r="P1107" s="2"/>
      <c r="Q1107" s="2"/>
      <c r="R1107" s="2"/>
      <c r="S1107" s="2"/>
      <c r="T1107" s="2"/>
      <c r="U1107" s="2"/>
    </row>
    <row r="1108" spans="13:21" x14ac:dyDescent="0.2">
      <c r="M1108" s="2"/>
      <c r="N1108" s="2"/>
      <c r="O1108" s="2"/>
      <c r="P1108" s="2"/>
      <c r="Q1108" s="2"/>
      <c r="R1108" s="2"/>
      <c r="S1108" s="2"/>
      <c r="T1108" s="2"/>
      <c r="U1108" s="2"/>
    </row>
    <row r="1109" spans="13:21" x14ac:dyDescent="0.2">
      <c r="M1109" s="2"/>
      <c r="N1109" s="2"/>
      <c r="O1109" s="2"/>
      <c r="P1109" s="2"/>
      <c r="Q1109" s="2"/>
      <c r="R1109" s="2"/>
      <c r="S1109" s="2"/>
      <c r="T1109" s="2"/>
      <c r="U1109" s="2"/>
    </row>
    <row r="1110" spans="13:21" x14ac:dyDescent="0.2">
      <c r="M1110" s="2"/>
      <c r="N1110" s="2"/>
      <c r="O1110" s="2"/>
      <c r="P1110" s="2"/>
      <c r="Q1110" s="2"/>
      <c r="R1110" s="2"/>
      <c r="S1110" s="2"/>
      <c r="T1110" s="2"/>
      <c r="U1110" s="2"/>
    </row>
    <row r="1111" spans="13:21" x14ac:dyDescent="0.2">
      <c r="M1111" s="2"/>
      <c r="N1111" s="2"/>
      <c r="O1111" s="2"/>
      <c r="P1111" s="2"/>
      <c r="Q1111" s="2"/>
      <c r="R1111" s="2"/>
      <c r="S1111" s="2"/>
      <c r="T1111" s="2"/>
      <c r="U1111" s="2"/>
    </row>
    <row r="1112" spans="13:21" x14ac:dyDescent="0.2">
      <c r="M1112" s="2"/>
      <c r="N1112" s="2"/>
      <c r="O1112" s="2"/>
      <c r="P1112" s="2"/>
      <c r="Q1112" s="2"/>
      <c r="R1112" s="2"/>
      <c r="S1112" s="2"/>
      <c r="T1112" s="2"/>
      <c r="U1112" s="2"/>
    </row>
    <row r="1113" spans="13:21" x14ac:dyDescent="0.2">
      <c r="M1113" s="2"/>
      <c r="N1113" s="2"/>
      <c r="O1113" s="2"/>
      <c r="P1113" s="2"/>
      <c r="Q1113" s="2"/>
      <c r="R1113" s="2"/>
      <c r="S1113" s="2"/>
      <c r="T1113" s="2"/>
      <c r="U1113" s="2"/>
    </row>
    <row r="1114" spans="13:21" x14ac:dyDescent="0.2">
      <c r="M1114" s="2"/>
      <c r="N1114" s="2"/>
      <c r="O1114" s="2"/>
      <c r="P1114" s="2"/>
      <c r="Q1114" s="2"/>
      <c r="R1114" s="2"/>
      <c r="S1114" s="2"/>
      <c r="T1114" s="2"/>
      <c r="U1114" s="2"/>
    </row>
    <row r="1115" spans="13:21" x14ac:dyDescent="0.2">
      <c r="M1115" s="2"/>
      <c r="N1115" s="2"/>
      <c r="O1115" s="2"/>
      <c r="P1115" s="2"/>
      <c r="Q1115" s="2"/>
      <c r="R1115" s="2"/>
      <c r="S1115" s="2"/>
      <c r="T1115" s="2"/>
      <c r="U1115" s="2"/>
    </row>
    <row r="1116" spans="13:21" x14ac:dyDescent="0.2">
      <c r="M1116" s="2"/>
      <c r="N1116" s="2"/>
      <c r="O1116" s="2"/>
      <c r="P1116" s="2"/>
      <c r="Q1116" s="2"/>
      <c r="R1116" s="2"/>
      <c r="S1116" s="2"/>
      <c r="T1116" s="2"/>
      <c r="U1116" s="2"/>
    </row>
    <row r="1117" spans="13:21" x14ac:dyDescent="0.2">
      <c r="M1117" s="2"/>
      <c r="N1117" s="2"/>
      <c r="O1117" s="2"/>
      <c r="P1117" s="2"/>
      <c r="Q1117" s="2"/>
      <c r="R1117" s="2"/>
      <c r="S1117" s="2"/>
      <c r="T1117" s="2"/>
      <c r="U1117" s="2"/>
    </row>
    <row r="1118" spans="13:21" x14ac:dyDescent="0.2">
      <c r="M1118" s="2"/>
      <c r="N1118" s="2"/>
      <c r="O1118" s="2"/>
      <c r="P1118" s="2"/>
      <c r="Q1118" s="2"/>
      <c r="R1118" s="2"/>
      <c r="S1118" s="2"/>
      <c r="T1118" s="2"/>
      <c r="U1118" s="2"/>
    </row>
    <row r="1119" spans="13:21" x14ac:dyDescent="0.2">
      <c r="M1119" s="2"/>
      <c r="N1119" s="2"/>
      <c r="O1119" s="2"/>
      <c r="P1119" s="2"/>
      <c r="Q1119" s="2"/>
      <c r="R1119" s="2"/>
      <c r="S1119" s="2"/>
      <c r="T1119" s="2"/>
      <c r="U1119" s="2"/>
    </row>
    <row r="1120" spans="13:21" x14ac:dyDescent="0.2">
      <c r="M1120" s="2"/>
      <c r="N1120" s="2"/>
      <c r="O1120" s="2"/>
      <c r="P1120" s="2"/>
      <c r="Q1120" s="2"/>
      <c r="R1120" s="2"/>
      <c r="S1120" s="2"/>
      <c r="T1120" s="2"/>
      <c r="U1120" s="2"/>
    </row>
    <row r="1121" spans="13:21" x14ac:dyDescent="0.2">
      <c r="M1121" s="2"/>
      <c r="N1121" s="2"/>
      <c r="O1121" s="2"/>
      <c r="P1121" s="2"/>
      <c r="Q1121" s="2"/>
      <c r="R1121" s="2"/>
      <c r="S1121" s="2"/>
      <c r="T1121" s="2"/>
      <c r="U1121" s="2"/>
    </row>
    <row r="1122" spans="13:21" x14ac:dyDescent="0.2">
      <c r="M1122" s="2"/>
      <c r="N1122" s="2"/>
      <c r="O1122" s="2"/>
      <c r="P1122" s="2"/>
      <c r="Q1122" s="2"/>
      <c r="R1122" s="2"/>
      <c r="S1122" s="2"/>
      <c r="T1122" s="2"/>
      <c r="U1122" s="2"/>
    </row>
    <row r="1123" spans="13:21" x14ac:dyDescent="0.2">
      <c r="M1123" s="2"/>
      <c r="N1123" s="2"/>
      <c r="O1123" s="2"/>
      <c r="P1123" s="2"/>
      <c r="Q1123" s="2"/>
      <c r="R1123" s="2"/>
      <c r="S1123" s="2"/>
      <c r="T1123" s="2"/>
      <c r="U1123" s="2"/>
    </row>
    <row r="1124" spans="13:21" x14ac:dyDescent="0.2">
      <c r="M1124" s="2"/>
      <c r="N1124" s="2"/>
      <c r="O1124" s="2"/>
      <c r="P1124" s="2"/>
      <c r="Q1124" s="2"/>
      <c r="R1124" s="2"/>
      <c r="S1124" s="2"/>
      <c r="T1124" s="2"/>
      <c r="U1124" s="2"/>
    </row>
    <row r="1125" spans="13:21" x14ac:dyDescent="0.2">
      <c r="M1125" s="2"/>
      <c r="N1125" s="2"/>
      <c r="O1125" s="2"/>
      <c r="P1125" s="2"/>
      <c r="Q1125" s="2"/>
      <c r="R1125" s="2"/>
      <c r="S1125" s="2"/>
      <c r="T1125" s="2"/>
      <c r="U1125" s="2"/>
    </row>
    <row r="1126" spans="13:21" x14ac:dyDescent="0.2">
      <c r="M1126" s="2"/>
      <c r="N1126" s="2"/>
      <c r="O1126" s="2"/>
      <c r="P1126" s="2"/>
      <c r="Q1126" s="2"/>
      <c r="R1126" s="2"/>
      <c r="S1126" s="2"/>
      <c r="T1126" s="2"/>
      <c r="U1126" s="2"/>
    </row>
    <row r="1127" spans="13:21" x14ac:dyDescent="0.2">
      <c r="M1127" s="2"/>
      <c r="N1127" s="2"/>
      <c r="O1127" s="2"/>
      <c r="P1127" s="2"/>
      <c r="Q1127" s="2"/>
      <c r="R1127" s="2"/>
      <c r="S1127" s="2"/>
      <c r="T1127" s="2"/>
      <c r="U1127" s="2"/>
    </row>
    <row r="1128" spans="13:21" x14ac:dyDescent="0.2">
      <c r="M1128" s="2"/>
      <c r="N1128" s="2"/>
      <c r="O1128" s="2"/>
      <c r="P1128" s="2"/>
      <c r="Q1128" s="2"/>
      <c r="R1128" s="2"/>
      <c r="S1128" s="2"/>
      <c r="T1128" s="2"/>
      <c r="U1128" s="2"/>
    </row>
    <row r="1129" spans="13:21" x14ac:dyDescent="0.2">
      <c r="M1129" s="2"/>
      <c r="N1129" s="2"/>
      <c r="O1129" s="2"/>
      <c r="P1129" s="2"/>
      <c r="Q1129" s="2"/>
      <c r="R1129" s="2"/>
      <c r="S1129" s="2"/>
      <c r="T1129" s="2"/>
      <c r="U1129" s="2"/>
    </row>
    <row r="1130" spans="13:21" x14ac:dyDescent="0.2">
      <c r="M1130" s="2"/>
      <c r="N1130" s="2"/>
      <c r="O1130" s="2"/>
      <c r="P1130" s="2"/>
      <c r="Q1130" s="2"/>
      <c r="R1130" s="2"/>
      <c r="S1130" s="2"/>
      <c r="T1130" s="2"/>
      <c r="U1130" s="2"/>
    </row>
    <row r="1131" spans="13:21" x14ac:dyDescent="0.2">
      <c r="M1131" s="2"/>
      <c r="N1131" s="2"/>
      <c r="O1131" s="2"/>
      <c r="P1131" s="2"/>
      <c r="Q1131" s="2"/>
      <c r="R1131" s="2"/>
      <c r="S1131" s="2"/>
      <c r="T1131" s="2"/>
      <c r="U1131" s="2"/>
    </row>
    <row r="1132" spans="13:21" x14ac:dyDescent="0.2">
      <c r="M1132" s="2"/>
      <c r="N1132" s="2"/>
      <c r="O1132" s="2"/>
      <c r="P1132" s="2"/>
      <c r="Q1132" s="2"/>
      <c r="R1132" s="2"/>
      <c r="S1132" s="2"/>
      <c r="T1132" s="2"/>
      <c r="U1132" s="2"/>
    </row>
    <row r="1133" spans="13:21" x14ac:dyDescent="0.2">
      <c r="M1133" s="2"/>
      <c r="N1133" s="2"/>
      <c r="O1133" s="2"/>
      <c r="P1133" s="2"/>
      <c r="Q1133" s="2"/>
      <c r="R1133" s="2"/>
      <c r="S1133" s="2"/>
      <c r="T1133" s="2"/>
      <c r="U1133" s="2"/>
    </row>
    <row r="1134" spans="13:21" x14ac:dyDescent="0.2">
      <c r="M1134" s="2"/>
      <c r="N1134" s="2"/>
      <c r="O1134" s="2"/>
      <c r="P1134" s="2"/>
      <c r="Q1134" s="2"/>
      <c r="R1134" s="2"/>
      <c r="S1134" s="2"/>
      <c r="T1134" s="2"/>
      <c r="U1134" s="2"/>
    </row>
    <row r="1135" spans="13:21" x14ac:dyDescent="0.2">
      <c r="M1135" s="2"/>
      <c r="N1135" s="2"/>
      <c r="O1135" s="2"/>
      <c r="P1135" s="2"/>
      <c r="Q1135" s="2"/>
      <c r="R1135" s="2"/>
      <c r="S1135" s="2"/>
      <c r="T1135" s="2"/>
      <c r="U1135" s="2"/>
    </row>
    <row r="1136" spans="13:21" x14ac:dyDescent="0.2">
      <c r="M1136" s="2"/>
      <c r="N1136" s="2"/>
      <c r="O1136" s="2"/>
      <c r="P1136" s="2"/>
      <c r="Q1136" s="2"/>
      <c r="R1136" s="2"/>
      <c r="S1136" s="2"/>
      <c r="T1136" s="2"/>
      <c r="U1136" s="2"/>
    </row>
    <row r="1137" spans="13:21" x14ac:dyDescent="0.2">
      <c r="M1137" s="2"/>
      <c r="N1137" s="2"/>
      <c r="O1137" s="2"/>
      <c r="P1137" s="2"/>
      <c r="Q1137" s="2"/>
      <c r="R1137" s="2"/>
      <c r="S1137" s="2"/>
      <c r="T1137" s="2"/>
      <c r="U1137" s="2"/>
    </row>
    <row r="1138" spans="13:21" x14ac:dyDescent="0.2">
      <c r="M1138" s="2"/>
      <c r="N1138" s="2"/>
      <c r="O1138" s="2"/>
      <c r="P1138" s="2"/>
      <c r="Q1138" s="2"/>
      <c r="R1138" s="2"/>
      <c r="S1138" s="2"/>
      <c r="T1138" s="2"/>
      <c r="U1138" s="2"/>
    </row>
    <row r="1139" spans="13:21" x14ac:dyDescent="0.2">
      <c r="M1139" s="2"/>
      <c r="N1139" s="2"/>
      <c r="O1139" s="2"/>
      <c r="P1139" s="2"/>
      <c r="Q1139" s="2"/>
      <c r="R1139" s="2"/>
      <c r="S1139" s="2"/>
      <c r="T1139" s="2"/>
      <c r="U1139" s="2"/>
    </row>
    <row r="1140" spans="13:21" x14ac:dyDescent="0.2">
      <c r="M1140" s="2"/>
      <c r="N1140" s="2"/>
      <c r="O1140" s="2"/>
      <c r="P1140" s="2"/>
      <c r="Q1140" s="2"/>
      <c r="R1140" s="2"/>
      <c r="S1140" s="2"/>
      <c r="T1140" s="2"/>
      <c r="U1140" s="2"/>
    </row>
    <row r="1141" spans="13:21" x14ac:dyDescent="0.2">
      <c r="M1141" s="2"/>
      <c r="N1141" s="2"/>
      <c r="O1141" s="2"/>
      <c r="P1141" s="2"/>
      <c r="Q1141" s="2"/>
      <c r="R1141" s="2"/>
      <c r="S1141" s="2"/>
      <c r="T1141" s="2"/>
      <c r="U1141" s="2"/>
    </row>
    <row r="1142" spans="13:21" x14ac:dyDescent="0.2">
      <c r="M1142" s="2"/>
      <c r="N1142" s="2"/>
      <c r="O1142" s="2"/>
      <c r="P1142" s="2"/>
      <c r="Q1142" s="2"/>
      <c r="R1142" s="2"/>
      <c r="S1142" s="2"/>
      <c r="T1142" s="2"/>
      <c r="U1142" s="2"/>
    </row>
    <row r="1143" spans="13:21" x14ac:dyDescent="0.2">
      <c r="M1143" s="2"/>
      <c r="N1143" s="2"/>
      <c r="O1143" s="2"/>
      <c r="P1143" s="2"/>
      <c r="Q1143" s="2"/>
      <c r="R1143" s="2"/>
      <c r="S1143" s="2"/>
      <c r="T1143" s="2"/>
      <c r="U1143" s="2"/>
    </row>
    <row r="1144" spans="13:21" x14ac:dyDescent="0.2">
      <c r="M1144" s="2"/>
      <c r="N1144" s="2"/>
      <c r="O1144" s="2"/>
      <c r="P1144" s="2"/>
      <c r="Q1144" s="2"/>
      <c r="R1144" s="2"/>
      <c r="S1144" s="2"/>
      <c r="T1144" s="2"/>
      <c r="U1144" s="2"/>
    </row>
    <row r="1145" spans="13:21" x14ac:dyDescent="0.2">
      <c r="M1145" s="2"/>
      <c r="N1145" s="2"/>
      <c r="O1145" s="2"/>
      <c r="P1145" s="2"/>
      <c r="Q1145" s="2"/>
      <c r="R1145" s="2"/>
      <c r="S1145" s="2"/>
      <c r="T1145" s="2"/>
      <c r="U1145" s="2"/>
    </row>
    <row r="1146" spans="13:21" x14ac:dyDescent="0.2">
      <c r="M1146" s="2"/>
      <c r="N1146" s="2"/>
      <c r="O1146" s="2"/>
      <c r="P1146" s="2"/>
      <c r="Q1146" s="2"/>
      <c r="R1146" s="2"/>
      <c r="S1146" s="2"/>
      <c r="T1146" s="2"/>
      <c r="U1146" s="2"/>
    </row>
    <row r="1147" spans="13:21" x14ac:dyDescent="0.2">
      <c r="M1147" s="2"/>
      <c r="N1147" s="2"/>
      <c r="O1147" s="2"/>
      <c r="P1147" s="2"/>
      <c r="Q1147" s="2"/>
      <c r="R1147" s="2"/>
      <c r="S1147" s="2"/>
      <c r="T1147" s="2"/>
      <c r="U1147" s="2"/>
    </row>
    <row r="1148" spans="13:21" x14ac:dyDescent="0.2">
      <c r="M1148" s="2"/>
      <c r="N1148" s="2"/>
      <c r="O1148" s="2"/>
      <c r="P1148" s="2"/>
      <c r="Q1148" s="2"/>
      <c r="R1148" s="2"/>
      <c r="S1148" s="2"/>
      <c r="T1148" s="2"/>
      <c r="U1148" s="2"/>
    </row>
    <row r="1149" spans="13:21" x14ac:dyDescent="0.2">
      <c r="M1149" s="2"/>
      <c r="N1149" s="2"/>
      <c r="O1149" s="2"/>
      <c r="P1149" s="2"/>
      <c r="Q1149" s="2"/>
      <c r="R1149" s="2"/>
      <c r="S1149" s="2"/>
      <c r="T1149" s="2"/>
      <c r="U1149" s="2"/>
    </row>
    <row r="1150" spans="13:21" x14ac:dyDescent="0.2">
      <c r="M1150" s="2"/>
      <c r="N1150" s="2"/>
      <c r="O1150" s="2"/>
      <c r="P1150" s="2"/>
      <c r="Q1150" s="2"/>
      <c r="R1150" s="2"/>
      <c r="S1150" s="2"/>
      <c r="T1150" s="2"/>
      <c r="U1150" s="2"/>
    </row>
    <row r="1151" spans="13:21" x14ac:dyDescent="0.2">
      <c r="M1151" s="2"/>
      <c r="N1151" s="2"/>
      <c r="O1151" s="2"/>
      <c r="P1151" s="2"/>
      <c r="Q1151" s="2"/>
      <c r="R1151" s="2"/>
      <c r="S1151" s="2"/>
      <c r="T1151" s="2"/>
      <c r="U1151" s="2"/>
    </row>
    <row r="1152" spans="13:21" x14ac:dyDescent="0.2">
      <c r="M1152" s="2"/>
      <c r="N1152" s="2"/>
      <c r="O1152" s="2"/>
      <c r="P1152" s="2"/>
      <c r="Q1152" s="2"/>
      <c r="R1152" s="2"/>
      <c r="S1152" s="2"/>
      <c r="T1152" s="2"/>
      <c r="U1152" s="2"/>
    </row>
    <row r="1153" spans="13:21" x14ac:dyDescent="0.2">
      <c r="M1153" s="2"/>
      <c r="N1153" s="2"/>
      <c r="O1153" s="2"/>
      <c r="P1153" s="2"/>
      <c r="Q1153" s="2"/>
      <c r="R1153" s="2"/>
      <c r="S1153" s="2"/>
      <c r="T1153" s="2"/>
      <c r="U1153" s="2"/>
    </row>
    <row r="1154" spans="13:21" x14ac:dyDescent="0.2">
      <c r="M1154" s="2"/>
      <c r="N1154" s="2"/>
      <c r="O1154" s="2"/>
      <c r="P1154" s="2"/>
      <c r="Q1154" s="2"/>
      <c r="R1154" s="2"/>
      <c r="S1154" s="2"/>
      <c r="T1154" s="2"/>
      <c r="U1154" s="2"/>
    </row>
    <row r="1155" spans="13:21" x14ac:dyDescent="0.2">
      <c r="M1155" s="2"/>
      <c r="N1155" s="2"/>
      <c r="O1155" s="2"/>
      <c r="P1155" s="2"/>
      <c r="Q1155" s="2"/>
      <c r="R1155" s="2"/>
      <c r="S1155" s="2"/>
      <c r="T1155" s="2"/>
      <c r="U1155" s="2"/>
    </row>
    <row r="1156" spans="13:21" x14ac:dyDescent="0.2">
      <c r="M1156" s="2"/>
      <c r="N1156" s="2"/>
      <c r="O1156" s="2"/>
      <c r="P1156" s="2"/>
      <c r="Q1156" s="2"/>
      <c r="R1156" s="2"/>
      <c r="S1156" s="2"/>
      <c r="T1156" s="2"/>
      <c r="U1156" s="2"/>
    </row>
    <row r="1157" spans="13:21" x14ac:dyDescent="0.2">
      <c r="M1157" s="2"/>
      <c r="N1157" s="2"/>
      <c r="O1157" s="2"/>
      <c r="P1157" s="2"/>
      <c r="Q1157" s="2"/>
      <c r="R1157" s="2"/>
      <c r="S1157" s="2"/>
      <c r="T1157" s="2"/>
      <c r="U1157" s="2"/>
    </row>
    <row r="1158" spans="13:21" x14ac:dyDescent="0.2">
      <c r="M1158" s="2"/>
      <c r="N1158" s="2"/>
      <c r="O1158" s="2"/>
      <c r="P1158" s="2"/>
      <c r="Q1158" s="2"/>
      <c r="R1158" s="2"/>
      <c r="S1158" s="2"/>
      <c r="T1158" s="2"/>
      <c r="U1158" s="2"/>
    </row>
    <row r="1159" spans="13:21" x14ac:dyDescent="0.2">
      <c r="M1159" s="2"/>
      <c r="N1159" s="2"/>
      <c r="O1159" s="2"/>
      <c r="P1159" s="2"/>
      <c r="Q1159" s="2"/>
      <c r="R1159" s="2"/>
      <c r="S1159" s="2"/>
      <c r="T1159" s="2"/>
      <c r="U1159" s="2"/>
    </row>
    <row r="1160" spans="13:21" x14ac:dyDescent="0.2">
      <c r="M1160" s="2"/>
      <c r="N1160" s="2"/>
      <c r="O1160" s="2"/>
      <c r="P1160" s="2"/>
      <c r="Q1160" s="2"/>
      <c r="R1160" s="2"/>
      <c r="S1160" s="2"/>
      <c r="T1160" s="2"/>
      <c r="U1160" s="2"/>
    </row>
    <row r="1161" spans="13:21" x14ac:dyDescent="0.2">
      <c r="M1161" s="2"/>
      <c r="N1161" s="2"/>
      <c r="O1161" s="2"/>
      <c r="P1161" s="2"/>
      <c r="Q1161" s="2"/>
      <c r="R1161" s="2"/>
      <c r="S1161" s="2"/>
      <c r="T1161" s="2"/>
      <c r="U1161" s="2"/>
    </row>
    <row r="1162" spans="13:21" x14ac:dyDescent="0.2">
      <c r="M1162" s="2"/>
      <c r="N1162" s="2"/>
      <c r="O1162" s="2"/>
      <c r="P1162" s="2"/>
      <c r="Q1162" s="2"/>
      <c r="R1162" s="2"/>
      <c r="S1162" s="2"/>
      <c r="T1162" s="2"/>
      <c r="U1162" s="2"/>
    </row>
    <row r="1163" spans="13:21" x14ac:dyDescent="0.2">
      <c r="M1163" s="2"/>
      <c r="N1163" s="2"/>
      <c r="O1163" s="2"/>
      <c r="P1163" s="2"/>
      <c r="Q1163" s="2"/>
      <c r="R1163" s="2"/>
      <c r="S1163" s="2"/>
      <c r="T1163" s="2"/>
      <c r="U1163" s="2"/>
    </row>
    <row r="1164" spans="13:21" x14ac:dyDescent="0.2">
      <c r="M1164" s="2"/>
      <c r="N1164" s="2"/>
      <c r="O1164" s="2"/>
      <c r="P1164" s="2"/>
      <c r="Q1164" s="2"/>
      <c r="R1164" s="2"/>
      <c r="S1164" s="2"/>
      <c r="T1164" s="2"/>
      <c r="U1164" s="2"/>
    </row>
    <row r="1165" spans="13:21" x14ac:dyDescent="0.2">
      <c r="M1165" s="2"/>
      <c r="N1165" s="2"/>
      <c r="O1165" s="2"/>
      <c r="P1165" s="2"/>
      <c r="Q1165" s="2"/>
      <c r="R1165" s="2"/>
      <c r="S1165" s="2"/>
      <c r="T1165" s="2"/>
      <c r="U1165" s="2"/>
    </row>
    <row r="1166" spans="13:21" x14ac:dyDescent="0.2">
      <c r="M1166" s="2"/>
      <c r="N1166" s="2"/>
      <c r="O1166" s="2"/>
      <c r="P1166" s="2"/>
      <c r="Q1166" s="2"/>
      <c r="R1166" s="2"/>
      <c r="S1166" s="2"/>
      <c r="T1166" s="2"/>
      <c r="U1166" s="2"/>
    </row>
    <row r="1167" spans="13:21" x14ac:dyDescent="0.2">
      <c r="M1167" s="2"/>
      <c r="N1167" s="2"/>
      <c r="O1167" s="2"/>
      <c r="P1167" s="2"/>
      <c r="Q1167" s="2"/>
      <c r="R1167" s="2"/>
      <c r="S1167" s="2"/>
      <c r="T1167" s="2"/>
      <c r="U1167" s="2"/>
    </row>
    <row r="1168" spans="13:21" x14ac:dyDescent="0.2">
      <c r="M1168" s="2"/>
      <c r="N1168" s="2"/>
      <c r="O1168" s="2"/>
      <c r="P1168" s="2"/>
      <c r="Q1168" s="2"/>
      <c r="R1168" s="2"/>
      <c r="S1168" s="2"/>
      <c r="T1168" s="2"/>
      <c r="U1168" s="2"/>
    </row>
    <row r="1169" spans="13:21" x14ac:dyDescent="0.2">
      <c r="M1169" s="2"/>
      <c r="N1169" s="2"/>
      <c r="O1169" s="2"/>
      <c r="P1169" s="2"/>
      <c r="Q1169" s="2"/>
      <c r="R1169" s="2"/>
      <c r="S1169" s="2"/>
      <c r="T1169" s="2"/>
      <c r="U1169" s="2"/>
    </row>
    <row r="1170" spans="13:21" x14ac:dyDescent="0.2">
      <c r="M1170" s="2"/>
      <c r="N1170" s="2"/>
      <c r="O1170" s="2"/>
      <c r="P1170" s="2"/>
      <c r="Q1170" s="2"/>
      <c r="R1170" s="2"/>
      <c r="S1170" s="2"/>
      <c r="T1170" s="2"/>
      <c r="U1170" s="2"/>
    </row>
    <row r="1171" spans="13:21" x14ac:dyDescent="0.2">
      <c r="M1171" s="2"/>
      <c r="N1171" s="2"/>
      <c r="O1171" s="2"/>
      <c r="P1171" s="2"/>
      <c r="Q1171" s="2"/>
      <c r="R1171" s="2"/>
      <c r="S1171" s="2"/>
      <c r="T1171" s="2"/>
      <c r="U1171" s="2"/>
    </row>
    <row r="1172" spans="13:21" x14ac:dyDescent="0.2">
      <c r="M1172" s="2"/>
      <c r="N1172" s="2"/>
      <c r="O1172" s="2"/>
      <c r="P1172" s="2"/>
      <c r="Q1172" s="2"/>
      <c r="R1172" s="2"/>
      <c r="S1172" s="2"/>
      <c r="T1172" s="2"/>
      <c r="U1172" s="2"/>
    </row>
    <row r="1173" spans="13:21" x14ac:dyDescent="0.2">
      <c r="M1173" s="2"/>
      <c r="N1173" s="2"/>
      <c r="O1173" s="2"/>
      <c r="P1173" s="2"/>
      <c r="Q1173" s="2"/>
      <c r="R1173" s="2"/>
      <c r="S1173" s="2"/>
      <c r="T1173" s="2"/>
      <c r="U1173" s="2"/>
    </row>
    <row r="1174" spans="13:21" x14ac:dyDescent="0.2">
      <c r="M1174" s="2"/>
      <c r="N1174" s="2"/>
      <c r="O1174" s="2"/>
      <c r="P1174" s="2"/>
      <c r="Q1174" s="2"/>
      <c r="R1174" s="2"/>
      <c r="S1174" s="2"/>
      <c r="T1174" s="2"/>
      <c r="U1174" s="2"/>
    </row>
    <row r="1175" spans="13:21" x14ac:dyDescent="0.2">
      <c r="M1175" s="2"/>
      <c r="N1175" s="2"/>
      <c r="O1175" s="2"/>
      <c r="P1175" s="2"/>
      <c r="Q1175" s="2"/>
      <c r="R1175" s="2"/>
      <c r="S1175" s="2"/>
      <c r="T1175" s="2"/>
      <c r="U1175" s="2"/>
    </row>
    <row r="1176" spans="13:21" x14ac:dyDescent="0.2">
      <c r="M1176" s="2"/>
      <c r="N1176" s="2"/>
      <c r="O1176" s="2"/>
      <c r="P1176" s="2"/>
      <c r="Q1176" s="2"/>
      <c r="R1176" s="2"/>
      <c r="S1176" s="2"/>
      <c r="T1176" s="2"/>
      <c r="U1176" s="2"/>
    </row>
    <row r="1177" spans="13:21" x14ac:dyDescent="0.2">
      <c r="M1177" s="2"/>
      <c r="N1177" s="2"/>
      <c r="O1177" s="2"/>
      <c r="P1177" s="2"/>
      <c r="Q1177" s="2"/>
      <c r="R1177" s="2"/>
      <c r="S1177" s="2"/>
      <c r="T1177" s="2"/>
      <c r="U1177" s="2"/>
    </row>
    <row r="1178" spans="13:21" x14ac:dyDescent="0.2">
      <c r="M1178" s="2"/>
      <c r="N1178" s="2"/>
      <c r="O1178" s="2"/>
      <c r="P1178" s="2"/>
      <c r="Q1178" s="2"/>
      <c r="R1178" s="2"/>
      <c r="S1178" s="2"/>
      <c r="T1178" s="2"/>
      <c r="U1178" s="2"/>
    </row>
    <row r="1179" spans="13:21" x14ac:dyDescent="0.2">
      <c r="M1179" s="2"/>
      <c r="N1179" s="2"/>
      <c r="O1179" s="2"/>
      <c r="P1179" s="2"/>
      <c r="Q1179" s="2"/>
      <c r="R1179" s="2"/>
      <c r="S1179" s="2"/>
      <c r="T1179" s="2"/>
      <c r="U1179" s="2"/>
    </row>
    <row r="1180" spans="13:21" x14ac:dyDescent="0.2">
      <c r="M1180" s="2"/>
      <c r="N1180" s="2"/>
      <c r="O1180" s="2"/>
      <c r="P1180" s="2"/>
      <c r="Q1180" s="2"/>
      <c r="R1180" s="2"/>
      <c r="S1180" s="2"/>
      <c r="T1180" s="2"/>
      <c r="U1180" s="2"/>
    </row>
    <row r="1181" spans="13:21" x14ac:dyDescent="0.2">
      <c r="M1181" s="2"/>
      <c r="N1181" s="2"/>
      <c r="O1181" s="2"/>
      <c r="P1181" s="2"/>
      <c r="Q1181" s="2"/>
      <c r="R1181" s="2"/>
      <c r="S1181" s="2"/>
      <c r="T1181" s="2"/>
      <c r="U1181" s="2"/>
    </row>
    <row r="1182" spans="13:21" x14ac:dyDescent="0.2">
      <c r="M1182" s="2"/>
      <c r="N1182" s="2"/>
      <c r="O1182" s="2"/>
      <c r="P1182" s="2"/>
      <c r="Q1182" s="2"/>
      <c r="R1182" s="2"/>
      <c r="S1182" s="2"/>
      <c r="T1182" s="2"/>
      <c r="U1182" s="2"/>
    </row>
    <row r="1183" spans="13:21" x14ac:dyDescent="0.2">
      <c r="M1183" s="2"/>
      <c r="N1183" s="2"/>
      <c r="O1183" s="2"/>
      <c r="P1183" s="2"/>
      <c r="Q1183" s="2"/>
      <c r="R1183" s="2"/>
      <c r="S1183" s="2"/>
      <c r="T1183" s="2"/>
      <c r="U1183" s="2"/>
    </row>
    <row r="1184" spans="13:21" x14ac:dyDescent="0.2">
      <c r="M1184" s="2"/>
      <c r="N1184" s="2"/>
      <c r="O1184" s="2"/>
      <c r="P1184" s="2"/>
      <c r="Q1184" s="2"/>
      <c r="R1184" s="2"/>
      <c r="S1184" s="2"/>
      <c r="T1184" s="2"/>
      <c r="U1184" s="2"/>
    </row>
    <row r="1185" spans="13:21" x14ac:dyDescent="0.2">
      <c r="M1185" s="2"/>
      <c r="N1185" s="2"/>
      <c r="O1185" s="2"/>
      <c r="P1185" s="2"/>
      <c r="Q1185" s="2"/>
      <c r="R1185" s="2"/>
      <c r="S1185" s="2"/>
      <c r="T1185" s="2"/>
      <c r="U1185" s="2"/>
    </row>
    <row r="1186" spans="13:21" x14ac:dyDescent="0.2">
      <c r="M1186" s="2"/>
      <c r="N1186" s="2"/>
      <c r="O1186" s="2"/>
      <c r="P1186" s="2"/>
      <c r="Q1186" s="2"/>
      <c r="R1186" s="2"/>
      <c r="S1186" s="2"/>
      <c r="T1186" s="2"/>
      <c r="U1186" s="2"/>
    </row>
    <row r="1187" spans="13:21" x14ac:dyDescent="0.2">
      <c r="M1187" s="2"/>
      <c r="N1187" s="2"/>
      <c r="O1187" s="2"/>
      <c r="P1187" s="2"/>
      <c r="Q1187" s="2"/>
      <c r="R1187" s="2"/>
      <c r="S1187" s="2"/>
      <c r="T1187" s="2"/>
      <c r="U1187" s="2"/>
    </row>
    <row r="1188" spans="13:21" x14ac:dyDescent="0.2">
      <c r="M1188" s="2"/>
      <c r="N1188" s="2"/>
      <c r="O1188" s="2"/>
      <c r="P1188" s="2"/>
      <c r="Q1188" s="2"/>
      <c r="R1188" s="2"/>
      <c r="S1188" s="2"/>
      <c r="T1188" s="2"/>
      <c r="U1188" s="2"/>
    </row>
    <row r="1189" spans="13:21" x14ac:dyDescent="0.2">
      <c r="M1189" s="2"/>
      <c r="N1189" s="2"/>
      <c r="O1189" s="2"/>
      <c r="P1189" s="2"/>
      <c r="Q1189" s="2"/>
      <c r="R1189" s="2"/>
      <c r="S1189" s="2"/>
      <c r="T1189" s="2"/>
      <c r="U1189" s="2"/>
    </row>
    <row r="1190" spans="13:21" x14ac:dyDescent="0.2">
      <c r="M1190" s="2"/>
      <c r="N1190" s="2"/>
      <c r="O1190" s="2"/>
      <c r="P1190" s="2"/>
      <c r="Q1190" s="2"/>
      <c r="R1190" s="2"/>
      <c r="S1190" s="2"/>
      <c r="T1190" s="2"/>
      <c r="U1190" s="2"/>
    </row>
    <row r="1191" spans="13:21" x14ac:dyDescent="0.2">
      <c r="M1191" s="2"/>
      <c r="N1191" s="2"/>
      <c r="O1191" s="2"/>
      <c r="P1191" s="2"/>
      <c r="Q1191" s="2"/>
      <c r="R1191" s="2"/>
      <c r="S1191" s="2"/>
      <c r="T1191" s="2"/>
      <c r="U1191" s="2"/>
    </row>
    <row r="1192" spans="13:21" x14ac:dyDescent="0.2">
      <c r="M1192" s="2"/>
      <c r="N1192" s="2"/>
      <c r="O1192" s="2"/>
      <c r="P1192" s="2"/>
      <c r="Q1192" s="2"/>
      <c r="R1192" s="2"/>
      <c r="S1192" s="2"/>
      <c r="T1192" s="2"/>
      <c r="U1192" s="2"/>
    </row>
    <row r="1193" spans="13:21" x14ac:dyDescent="0.2">
      <c r="M1193" s="2"/>
      <c r="N1193" s="2"/>
      <c r="O1193" s="2"/>
      <c r="P1193" s="2"/>
      <c r="Q1193" s="2"/>
      <c r="R1193" s="2"/>
      <c r="S1193" s="2"/>
      <c r="T1193" s="2"/>
      <c r="U1193" s="2"/>
    </row>
    <row r="1194" spans="13:21" x14ac:dyDescent="0.2">
      <c r="M1194" s="2"/>
      <c r="N1194" s="2"/>
      <c r="O1194" s="2"/>
      <c r="P1194" s="2"/>
      <c r="Q1194" s="2"/>
      <c r="R1194" s="2"/>
      <c r="S1194" s="2"/>
      <c r="T1194" s="2"/>
      <c r="U1194" s="2"/>
    </row>
    <row r="1195" spans="13:21" x14ac:dyDescent="0.2">
      <c r="M1195" s="2"/>
      <c r="N1195" s="2"/>
      <c r="O1195" s="2"/>
      <c r="P1195" s="2"/>
      <c r="Q1195" s="2"/>
      <c r="R1195" s="2"/>
      <c r="S1195" s="2"/>
      <c r="T1195" s="2"/>
      <c r="U1195" s="2"/>
    </row>
    <row r="1196" spans="13:21" x14ac:dyDescent="0.2">
      <c r="M1196" s="2"/>
      <c r="N1196" s="2"/>
      <c r="O1196" s="2"/>
      <c r="P1196" s="2"/>
      <c r="Q1196" s="2"/>
      <c r="R1196" s="2"/>
      <c r="S1196" s="2"/>
      <c r="T1196" s="2"/>
      <c r="U1196" s="2"/>
    </row>
    <row r="1197" spans="13:21" x14ac:dyDescent="0.2">
      <c r="M1197" s="2"/>
      <c r="N1197" s="2"/>
      <c r="O1197" s="2"/>
      <c r="P1197" s="2"/>
      <c r="Q1197" s="2"/>
      <c r="R1197" s="2"/>
      <c r="S1197" s="2"/>
      <c r="T1197" s="2"/>
      <c r="U1197" s="2"/>
    </row>
    <row r="1198" spans="13:21" x14ac:dyDescent="0.2">
      <c r="M1198" s="2"/>
      <c r="N1198" s="2"/>
      <c r="O1198" s="2"/>
      <c r="P1198" s="2"/>
      <c r="Q1198" s="2"/>
      <c r="R1198" s="2"/>
      <c r="S1198" s="2"/>
      <c r="T1198" s="2"/>
      <c r="U1198" s="2"/>
    </row>
    <row r="1199" spans="13:21" x14ac:dyDescent="0.2">
      <c r="M1199" s="2"/>
      <c r="N1199" s="2"/>
      <c r="O1199" s="2"/>
      <c r="P1199" s="2"/>
      <c r="Q1199" s="2"/>
      <c r="R1199" s="2"/>
      <c r="S1199" s="2"/>
      <c r="T1199" s="2"/>
      <c r="U1199" s="2"/>
    </row>
    <row r="1200" spans="13:21" x14ac:dyDescent="0.2">
      <c r="M1200" s="2"/>
      <c r="N1200" s="2"/>
      <c r="O1200" s="2"/>
      <c r="P1200" s="2"/>
      <c r="Q1200" s="2"/>
      <c r="R1200" s="2"/>
      <c r="S1200" s="2"/>
      <c r="T1200" s="2"/>
      <c r="U1200" s="2"/>
    </row>
    <row r="1201" spans="13:21" x14ac:dyDescent="0.2">
      <c r="M1201" s="2"/>
      <c r="N1201" s="2"/>
      <c r="O1201" s="2"/>
      <c r="P1201" s="2"/>
      <c r="Q1201" s="2"/>
      <c r="R1201" s="2"/>
      <c r="S1201" s="2"/>
      <c r="T1201" s="2"/>
      <c r="U1201" s="2"/>
    </row>
    <row r="1202" spans="13:21" x14ac:dyDescent="0.2">
      <c r="M1202" s="2"/>
      <c r="N1202" s="2"/>
      <c r="O1202" s="2"/>
      <c r="P1202" s="2"/>
      <c r="Q1202" s="2"/>
      <c r="R1202" s="2"/>
      <c r="S1202" s="2"/>
      <c r="T1202" s="2"/>
      <c r="U1202" s="2"/>
    </row>
    <row r="1203" spans="13:21" x14ac:dyDescent="0.2">
      <c r="M1203" s="2"/>
      <c r="N1203" s="2"/>
      <c r="O1203" s="2"/>
      <c r="P1203" s="2"/>
      <c r="Q1203" s="2"/>
      <c r="R1203" s="2"/>
      <c r="S1203" s="2"/>
      <c r="T1203" s="2"/>
      <c r="U1203" s="2"/>
    </row>
    <row r="1204" spans="13:21" x14ac:dyDescent="0.2">
      <c r="M1204" s="2"/>
      <c r="N1204" s="2"/>
      <c r="O1204" s="2"/>
      <c r="P1204" s="2"/>
      <c r="Q1204" s="2"/>
      <c r="R1204" s="2"/>
      <c r="S1204" s="2"/>
      <c r="T1204" s="2"/>
      <c r="U1204" s="2"/>
    </row>
    <row r="1205" spans="13:21" x14ac:dyDescent="0.2">
      <c r="M1205" s="2"/>
      <c r="N1205" s="2"/>
      <c r="O1205" s="2"/>
      <c r="P1205" s="2"/>
      <c r="Q1205" s="2"/>
      <c r="R1205" s="2"/>
      <c r="S1205" s="2"/>
      <c r="T1205" s="2"/>
      <c r="U1205" s="2"/>
    </row>
    <row r="1206" spans="13:21" x14ac:dyDescent="0.2">
      <c r="M1206" s="2"/>
      <c r="N1206" s="2"/>
      <c r="O1206" s="2"/>
      <c r="P1206" s="2"/>
      <c r="Q1206" s="2"/>
      <c r="R1206" s="2"/>
      <c r="S1206" s="2"/>
      <c r="T1206" s="2"/>
      <c r="U1206" s="2"/>
    </row>
    <row r="1207" spans="13:21" x14ac:dyDescent="0.2">
      <c r="M1207" s="2"/>
      <c r="N1207" s="2"/>
      <c r="O1207" s="2"/>
      <c r="P1207" s="2"/>
      <c r="Q1207" s="2"/>
      <c r="R1207" s="2"/>
      <c r="S1207" s="2"/>
      <c r="T1207" s="2"/>
      <c r="U1207" s="2"/>
    </row>
    <row r="1208" spans="13:21" x14ac:dyDescent="0.2">
      <c r="M1208" s="2"/>
      <c r="N1208" s="2"/>
      <c r="O1208" s="2"/>
      <c r="P1208" s="2"/>
      <c r="Q1208" s="2"/>
      <c r="R1208" s="2"/>
      <c r="S1208" s="2"/>
      <c r="T1208" s="2"/>
      <c r="U1208" s="2"/>
    </row>
    <row r="1209" spans="13:21" x14ac:dyDescent="0.2">
      <c r="M1209" s="2"/>
      <c r="N1209" s="2"/>
      <c r="O1209" s="2"/>
      <c r="P1209" s="2"/>
      <c r="Q1209" s="2"/>
      <c r="R1209" s="2"/>
      <c r="S1209" s="2"/>
      <c r="T1209" s="2"/>
      <c r="U1209" s="2"/>
    </row>
    <row r="1210" spans="13:21" x14ac:dyDescent="0.2">
      <c r="M1210" s="2"/>
      <c r="N1210" s="2"/>
      <c r="O1210" s="2"/>
      <c r="P1210" s="2"/>
      <c r="Q1210" s="2"/>
      <c r="R1210" s="2"/>
      <c r="S1210" s="2"/>
      <c r="T1210" s="2"/>
      <c r="U1210" s="2"/>
    </row>
    <row r="1211" spans="13:21" x14ac:dyDescent="0.2">
      <c r="M1211" s="2"/>
      <c r="N1211" s="2"/>
      <c r="O1211" s="2"/>
      <c r="P1211" s="2"/>
      <c r="Q1211" s="2"/>
      <c r="R1211" s="2"/>
      <c r="S1211" s="2"/>
      <c r="T1211" s="2"/>
      <c r="U1211" s="2"/>
    </row>
    <row r="1212" spans="13:21" x14ac:dyDescent="0.2">
      <c r="M1212" s="2"/>
      <c r="N1212" s="2"/>
      <c r="O1212" s="2"/>
      <c r="P1212" s="2"/>
      <c r="Q1212" s="2"/>
      <c r="R1212" s="2"/>
      <c r="S1212" s="2"/>
      <c r="T1212" s="2"/>
      <c r="U1212" s="2"/>
    </row>
    <row r="1213" spans="13:21" x14ac:dyDescent="0.2">
      <c r="M1213" s="2"/>
      <c r="N1213" s="2"/>
      <c r="O1213" s="2"/>
      <c r="P1213" s="2"/>
      <c r="Q1213" s="2"/>
      <c r="R1213" s="2"/>
      <c r="S1213" s="2"/>
      <c r="T1213" s="2"/>
      <c r="U1213" s="2"/>
    </row>
    <row r="1214" spans="13:21" x14ac:dyDescent="0.2">
      <c r="M1214" s="2"/>
      <c r="N1214" s="2"/>
      <c r="O1214" s="2"/>
      <c r="P1214" s="2"/>
      <c r="Q1214" s="2"/>
      <c r="R1214" s="2"/>
      <c r="S1214" s="2"/>
      <c r="T1214" s="2"/>
      <c r="U1214" s="2"/>
    </row>
    <row r="1215" spans="13:21" x14ac:dyDescent="0.2">
      <c r="M1215" s="2"/>
      <c r="N1215" s="2"/>
      <c r="O1215" s="2"/>
      <c r="P1215" s="2"/>
      <c r="Q1215" s="2"/>
      <c r="R1215" s="2"/>
      <c r="S1215" s="2"/>
      <c r="T1215" s="2"/>
      <c r="U1215" s="2"/>
    </row>
    <row r="1216" spans="13:21" x14ac:dyDescent="0.2">
      <c r="M1216" s="2"/>
      <c r="N1216" s="2"/>
      <c r="O1216" s="2"/>
      <c r="P1216" s="2"/>
      <c r="Q1216" s="2"/>
      <c r="R1216" s="2"/>
      <c r="S1216" s="2"/>
      <c r="T1216" s="2"/>
      <c r="U1216" s="2"/>
    </row>
    <row r="1217" spans="13:21" x14ac:dyDescent="0.2">
      <c r="M1217" s="2"/>
      <c r="N1217" s="2"/>
      <c r="O1217" s="2"/>
      <c r="P1217" s="2"/>
      <c r="Q1217" s="2"/>
      <c r="R1217" s="2"/>
      <c r="S1217" s="2"/>
      <c r="T1217" s="2"/>
      <c r="U1217" s="2"/>
    </row>
    <row r="1218" spans="13:21" x14ac:dyDescent="0.2">
      <c r="M1218" s="2"/>
      <c r="N1218" s="2"/>
      <c r="O1218" s="2"/>
      <c r="P1218" s="2"/>
      <c r="Q1218" s="2"/>
      <c r="R1218" s="2"/>
      <c r="S1218" s="2"/>
      <c r="T1218" s="2"/>
      <c r="U1218" s="2"/>
    </row>
    <row r="1219" spans="13:21" x14ac:dyDescent="0.2">
      <c r="M1219" s="2"/>
      <c r="N1219" s="2"/>
      <c r="O1219" s="2"/>
      <c r="P1219" s="2"/>
      <c r="Q1219" s="2"/>
      <c r="R1219" s="2"/>
      <c r="S1219" s="2"/>
      <c r="T1219" s="2"/>
      <c r="U1219" s="2"/>
    </row>
    <row r="1220" spans="13:21" x14ac:dyDescent="0.2">
      <c r="M1220" s="2"/>
      <c r="N1220" s="2"/>
      <c r="O1220" s="2"/>
      <c r="P1220" s="2"/>
      <c r="Q1220" s="2"/>
      <c r="R1220" s="2"/>
      <c r="S1220" s="2"/>
      <c r="T1220" s="2"/>
      <c r="U1220" s="2"/>
    </row>
    <row r="1221" spans="13:21" x14ac:dyDescent="0.2">
      <c r="M1221" s="2"/>
      <c r="N1221" s="2"/>
      <c r="O1221" s="2"/>
      <c r="P1221" s="2"/>
      <c r="Q1221" s="2"/>
      <c r="R1221" s="2"/>
      <c r="S1221" s="2"/>
      <c r="T1221" s="2"/>
      <c r="U1221" s="2"/>
    </row>
    <row r="1222" spans="13:21" x14ac:dyDescent="0.2">
      <c r="M1222" s="2"/>
      <c r="N1222" s="2"/>
      <c r="O1222" s="2"/>
      <c r="P1222" s="2"/>
      <c r="Q1222" s="2"/>
      <c r="R1222" s="2"/>
      <c r="S1222" s="2"/>
      <c r="T1222" s="2"/>
      <c r="U1222" s="2"/>
    </row>
    <row r="1223" spans="13:21" x14ac:dyDescent="0.2">
      <c r="M1223" s="2"/>
      <c r="N1223" s="2"/>
      <c r="O1223" s="2"/>
      <c r="P1223" s="2"/>
      <c r="Q1223" s="2"/>
      <c r="R1223" s="2"/>
      <c r="S1223" s="2"/>
      <c r="T1223" s="2"/>
      <c r="U1223" s="2"/>
    </row>
    <row r="1224" spans="13:21" x14ac:dyDescent="0.2">
      <c r="M1224" s="2"/>
      <c r="N1224" s="2"/>
      <c r="O1224" s="2"/>
      <c r="P1224" s="2"/>
      <c r="Q1224" s="2"/>
      <c r="R1224" s="2"/>
      <c r="S1224" s="2"/>
      <c r="T1224" s="2"/>
      <c r="U1224" s="2"/>
    </row>
    <row r="1225" spans="13:21" x14ac:dyDescent="0.2">
      <c r="M1225" s="2"/>
      <c r="N1225" s="2"/>
      <c r="O1225" s="2"/>
      <c r="P1225" s="2"/>
      <c r="Q1225" s="2"/>
      <c r="R1225" s="2"/>
      <c r="S1225" s="2"/>
      <c r="T1225" s="2"/>
      <c r="U1225" s="2"/>
    </row>
    <row r="1226" spans="13:21" x14ac:dyDescent="0.2">
      <c r="M1226" s="2"/>
      <c r="N1226" s="2"/>
      <c r="O1226" s="2"/>
      <c r="P1226" s="2"/>
      <c r="Q1226" s="2"/>
      <c r="R1226" s="2"/>
      <c r="S1226" s="2"/>
      <c r="T1226" s="2"/>
      <c r="U1226" s="2"/>
    </row>
    <row r="1227" spans="13:21" x14ac:dyDescent="0.2">
      <c r="M1227" s="2"/>
      <c r="N1227" s="2"/>
      <c r="O1227" s="2"/>
      <c r="P1227" s="2"/>
      <c r="Q1227" s="2"/>
      <c r="R1227" s="2"/>
      <c r="S1227" s="2"/>
      <c r="T1227" s="2"/>
      <c r="U1227" s="2"/>
    </row>
    <row r="1228" spans="13:21" x14ac:dyDescent="0.2">
      <c r="M1228" s="2"/>
      <c r="N1228" s="2"/>
      <c r="O1228" s="2"/>
      <c r="P1228" s="2"/>
      <c r="Q1228" s="2"/>
      <c r="R1228" s="2"/>
      <c r="S1228" s="2"/>
      <c r="T1228" s="2"/>
      <c r="U1228" s="2"/>
    </row>
    <row r="1229" spans="13:21" x14ac:dyDescent="0.2">
      <c r="M1229" s="2"/>
      <c r="N1229" s="2"/>
      <c r="O1229" s="2"/>
      <c r="P1229" s="2"/>
      <c r="Q1229" s="2"/>
      <c r="R1229" s="2"/>
      <c r="S1229" s="2"/>
      <c r="T1229" s="2"/>
      <c r="U1229" s="2"/>
    </row>
    <row r="1230" spans="13:21" x14ac:dyDescent="0.2">
      <c r="M1230" s="2"/>
      <c r="N1230" s="2"/>
      <c r="O1230" s="2"/>
      <c r="P1230" s="2"/>
      <c r="Q1230" s="2"/>
      <c r="R1230" s="2"/>
      <c r="S1230" s="2"/>
      <c r="T1230" s="2"/>
      <c r="U1230" s="2"/>
    </row>
    <row r="1231" spans="13:21" x14ac:dyDescent="0.2">
      <c r="M1231" s="2"/>
      <c r="N1231" s="2"/>
      <c r="O1231" s="2"/>
      <c r="P1231" s="2"/>
      <c r="Q1231" s="2"/>
      <c r="R1231" s="2"/>
      <c r="S1231" s="2"/>
      <c r="T1231" s="2"/>
      <c r="U1231" s="2"/>
    </row>
    <row r="1232" spans="13:21" x14ac:dyDescent="0.2">
      <c r="M1232" s="2"/>
      <c r="N1232" s="2"/>
      <c r="O1232" s="2"/>
      <c r="P1232" s="2"/>
      <c r="Q1232" s="2"/>
      <c r="R1232" s="2"/>
      <c r="S1232" s="2"/>
      <c r="T1232" s="2"/>
      <c r="U1232" s="2"/>
    </row>
    <row r="1233" spans="13:21" x14ac:dyDescent="0.2">
      <c r="M1233" s="2"/>
      <c r="N1233" s="2"/>
      <c r="O1233" s="2"/>
      <c r="P1233" s="2"/>
      <c r="Q1233" s="2"/>
      <c r="R1233" s="2"/>
      <c r="S1233" s="2"/>
      <c r="T1233" s="2"/>
      <c r="U1233" s="2"/>
    </row>
    <row r="1234" spans="13:21" x14ac:dyDescent="0.2">
      <c r="M1234" s="2"/>
      <c r="N1234" s="2"/>
      <c r="O1234" s="2"/>
      <c r="P1234" s="2"/>
      <c r="Q1234" s="2"/>
      <c r="R1234" s="2"/>
      <c r="S1234" s="2"/>
      <c r="T1234" s="2"/>
      <c r="U1234" s="2"/>
    </row>
    <row r="1235" spans="13:21" x14ac:dyDescent="0.2">
      <c r="M1235" s="2"/>
      <c r="N1235" s="2"/>
      <c r="O1235" s="2"/>
      <c r="P1235" s="2"/>
      <c r="Q1235" s="2"/>
      <c r="R1235" s="2"/>
      <c r="S1235" s="2"/>
      <c r="T1235" s="2"/>
      <c r="U1235" s="2"/>
    </row>
    <row r="1236" spans="13:21" x14ac:dyDescent="0.2">
      <c r="M1236" s="2"/>
      <c r="N1236" s="2"/>
      <c r="O1236" s="2"/>
      <c r="P1236" s="2"/>
      <c r="Q1236" s="2"/>
      <c r="R1236" s="2"/>
      <c r="S1236" s="2"/>
      <c r="T1236" s="2"/>
      <c r="U1236" s="2"/>
    </row>
    <row r="1237" spans="13:21" x14ac:dyDescent="0.2">
      <c r="M1237" s="2"/>
      <c r="N1237" s="2"/>
      <c r="O1237" s="2"/>
      <c r="P1237" s="2"/>
      <c r="Q1237" s="2"/>
      <c r="R1237" s="2"/>
      <c r="S1237" s="2"/>
      <c r="T1237" s="2"/>
      <c r="U1237" s="2"/>
    </row>
    <row r="1238" spans="13:21" x14ac:dyDescent="0.2">
      <c r="M1238" s="2"/>
      <c r="N1238" s="2"/>
      <c r="O1238" s="2"/>
      <c r="P1238" s="2"/>
      <c r="Q1238" s="2"/>
      <c r="R1238" s="2"/>
      <c r="S1238" s="2"/>
      <c r="T1238" s="2"/>
      <c r="U1238" s="2"/>
    </row>
    <row r="1239" spans="13:21" x14ac:dyDescent="0.2">
      <c r="M1239" s="2"/>
      <c r="N1239" s="2"/>
      <c r="O1239" s="2"/>
      <c r="P1239" s="2"/>
      <c r="Q1239" s="2"/>
      <c r="R1239" s="2"/>
      <c r="S1239" s="2"/>
      <c r="T1239" s="2"/>
      <c r="U1239" s="2"/>
    </row>
    <row r="1240" spans="13:21" x14ac:dyDescent="0.2">
      <c r="M1240" s="2"/>
      <c r="N1240" s="2"/>
      <c r="O1240" s="2"/>
      <c r="P1240" s="2"/>
      <c r="Q1240" s="2"/>
      <c r="R1240" s="2"/>
      <c r="S1240" s="2"/>
      <c r="T1240" s="2"/>
      <c r="U1240" s="2"/>
    </row>
    <row r="1241" spans="13:21" x14ac:dyDescent="0.2">
      <c r="M1241" s="2"/>
      <c r="N1241" s="2"/>
      <c r="O1241" s="2"/>
      <c r="P1241" s="2"/>
      <c r="Q1241" s="2"/>
      <c r="R1241" s="2"/>
      <c r="S1241" s="2"/>
      <c r="T1241" s="2"/>
      <c r="U1241" s="2"/>
    </row>
    <row r="1242" spans="13:21" x14ac:dyDescent="0.2">
      <c r="M1242" s="2"/>
      <c r="N1242" s="2"/>
      <c r="O1242" s="2"/>
      <c r="P1242" s="2"/>
      <c r="Q1242" s="2"/>
      <c r="R1242" s="2"/>
      <c r="S1242" s="2"/>
      <c r="T1242" s="2"/>
      <c r="U1242" s="2"/>
    </row>
    <row r="1243" spans="13:21" x14ac:dyDescent="0.2">
      <c r="M1243" s="2"/>
      <c r="N1243" s="2"/>
      <c r="O1243" s="2"/>
      <c r="P1243" s="2"/>
      <c r="Q1243" s="2"/>
      <c r="R1243" s="2"/>
      <c r="S1243" s="2"/>
      <c r="T1243" s="2"/>
      <c r="U1243" s="2"/>
    </row>
    <row r="1244" spans="13:21" x14ac:dyDescent="0.2">
      <c r="M1244" s="2"/>
      <c r="N1244" s="2"/>
      <c r="O1244" s="2"/>
      <c r="P1244" s="2"/>
      <c r="Q1244" s="2"/>
      <c r="R1244" s="2"/>
      <c r="S1244" s="2"/>
      <c r="T1244" s="2"/>
      <c r="U1244" s="2"/>
    </row>
    <row r="1245" spans="13:21" x14ac:dyDescent="0.2">
      <c r="M1245" s="2"/>
      <c r="N1245" s="2"/>
      <c r="O1245" s="2"/>
      <c r="P1245" s="2"/>
      <c r="Q1245" s="2"/>
      <c r="R1245" s="2"/>
      <c r="S1245" s="2"/>
      <c r="T1245" s="2"/>
      <c r="U1245" s="2"/>
    </row>
    <row r="1246" spans="13:21" x14ac:dyDescent="0.2">
      <c r="M1246" s="2"/>
      <c r="N1246" s="2"/>
      <c r="O1246" s="2"/>
      <c r="P1246" s="2"/>
      <c r="Q1246" s="2"/>
      <c r="R1246" s="2"/>
      <c r="S1246" s="2"/>
      <c r="T1246" s="2"/>
      <c r="U1246" s="2"/>
    </row>
    <row r="1247" spans="13:21" x14ac:dyDescent="0.2">
      <c r="M1247" s="2"/>
      <c r="N1247" s="2"/>
      <c r="O1247" s="2"/>
      <c r="P1247" s="2"/>
      <c r="Q1247" s="2"/>
      <c r="R1247" s="2"/>
      <c r="S1247" s="2"/>
      <c r="T1247" s="2"/>
      <c r="U1247" s="2"/>
    </row>
    <row r="1248" spans="13:21" x14ac:dyDescent="0.2">
      <c r="M1248" s="2"/>
      <c r="N1248" s="2"/>
      <c r="O1248" s="2"/>
      <c r="P1248" s="2"/>
      <c r="Q1248" s="2"/>
      <c r="R1248" s="2"/>
      <c r="S1248" s="2"/>
      <c r="T1248" s="2"/>
      <c r="U1248" s="2"/>
    </row>
    <row r="1249" spans="13:21" x14ac:dyDescent="0.2">
      <c r="M1249" s="2"/>
      <c r="N1249" s="2"/>
      <c r="O1249" s="2"/>
      <c r="P1249" s="2"/>
      <c r="Q1249" s="2"/>
      <c r="R1249" s="2"/>
      <c r="S1249" s="2"/>
      <c r="T1249" s="2"/>
      <c r="U1249" s="2"/>
    </row>
    <row r="1250" spans="13:21" x14ac:dyDescent="0.2">
      <c r="M1250" s="2"/>
      <c r="N1250" s="2"/>
      <c r="O1250" s="2"/>
      <c r="P1250" s="2"/>
      <c r="Q1250" s="2"/>
      <c r="R1250" s="2"/>
      <c r="S1250" s="2"/>
      <c r="T1250" s="2"/>
      <c r="U1250" s="2"/>
    </row>
    <row r="1251" spans="13:21" x14ac:dyDescent="0.2">
      <c r="M1251" s="2"/>
      <c r="N1251" s="2"/>
      <c r="O1251" s="2"/>
      <c r="P1251" s="2"/>
      <c r="Q1251" s="2"/>
      <c r="R1251" s="2"/>
      <c r="S1251" s="2"/>
      <c r="T1251" s="2"/>
      <c r="U1251" s="2"/>
    </row>
    <row r="1252" spans="13:21" x14ac:dyDescent="0.2">
      <c r="M1252" s="2"/>
      <c r="N1252" s="2"/>
      <c r="O1252" s="2"/>
      <c r="P1252" s="2"/>
      <c r="Q1252" s="2"/>
      <c r="R1252" s="2"/>
      <c r="S1252" s="2"/>
      <c r="T1252" s="2"/>
      <c r="U1252" s="2"/>
    </row>
    <row r="1253" spans="13:21" x14ac:dyDescent="0.2">
      <c r="M1253" s="2"/>
      <c r="N1253" s="2"/>
      <c r="O1253" s="2"/>
      <c r="P1253" s="2"/>
      <c r="Q1253" s="2"/>
      <c r="R1253" s="2"/>
      <c r="S1253" s="2"/>
      <c r="T1253" s="2"/>
      <c r="U1253" s="2"/>
    </row>
    <row r="1254" spans="13:21" x14ac:dyDescent="0.2">
      <c r="M1254" s="2"/>
      <c r="N1254" s="2"/>
      <c r="O1254" s="2"/>
      <c r="P1254" s="2"/>
      <c r="Q1254" s="2"/>
      <c r="R1254" s="2"/>
      <c r="S1254" s="2"/>
      <c r="T1254" s="2"/>
      <c r="U1254" s="2"/>
    </row>
    <row r="1255" spans="13:21" x14ac:dyDescent="0.2">
      <c r="M1255" s="2"/>
      <c r="N1255" s="2"/>
      <c r="O1255" s="2"/>
      <c r="P1255" s="2"/>
      <c r="Q1255" s="2"/>
      <c r="R1255" s="2"/>
      <c r="S1255" s="2"/>
      <c r="T1255" s="2"/>
      <c r="U1255" s="2"/>
    </row>
    <row r="1256" spans="13:21" x14ac:dyDescent="0.2">
      <c r="M1256" s="2"/>
      <c r="N1256" s="2"/>
      <c r="O1256" s="2"/>
      <c r="P1256" s="2"/>
      <c r="Q1256" s="2"/>
      <c r="R1256" s="2"/>
      <c r="S1256" s="2"/>
      <c r="T1256" s="2"/>
      <c r="U1256" s="2"/>
    </row>
    <row r="1257" spans="13:21" x14ac:dyDescent="0.2">
      <c r="M1257" s="2"/>
      <c r="N1257" s="2"/>
      <c r="O1257" s="2"/>
      <c r="P1257" s="2"/>
      <c r="Q1257" s="2"/>
      <c r="R1257" s="2"/>
      <c r="S1257" s="2"/>
      <c r="T1257" s="2"/>
      <c r="U1257" s="2"/>
    </row>
    <row r="1258" spans="13:21" x14ac:dyDescent="0.2">
      <c r="M1258" s="2"/>
      <c r="N1258" s="2"/>
      <c r="O1258" s="2"/>
      <c r="P1258" s="2"/>
      <c r="Q1258" s="2"/>
      <c r="R1258" s="2"/>
      <c r="S1258" s="2"/>
      <c r="T1258" s="2"/>
      <c r="U1258" s="2"/>
    </row>
    <row r="1259" spans="13:21" x14ac:dyDescent="0.2">
      <c r="M1259" s="2"/>
      <c r="N1259" s="2"/>
      <c r="O1259" s="2"/>
      <c r="P1259" s="2"/>
      <c r="Q1259" s="2"/>
      <c r="R1259" s="2"/>
      <c r="S1259" s="2"/>
      <c r="T1259" s="2"/>
      <c r="U1259" s="2"/>
    </row>
    <row r="1260" spans="13:21" x14ac:dyDescent="0.2">
      <c r="M1260" s="2"/>
      <c r="N1260" s="2"/>
      <c r="O1260" s="2"/>
      <c r="P1260" s="2"/>
      <c r="Q1260" s="2"/>
      <c r="R1260" s="2"/>
      <c r="S1260" s="2"/>
      <c r="T1260" s="2"/>
      <c r="U1260" s="2"/>
    </row>
    <row r="1261" spans="13:21" x14ac:dyDescent="0.2">
      <c r="M1261" s="2"/>
      <c r="N1261" s="2"/>
      <c r="O1261" s="2"/>
      <c r="P1261" s="2"/>
      <c r="Q1261" s="2"/>
      <c r="R1261" s="2"/>
      <c r="S1261" s="2"/>
      <c r="T1261" s="2"/>
      <c r="U1261" s="2"/>
    </row>
    <row r="1262" spans="13:21" x14ac:dyDescent="0.2">
      <c r="M1262" s="2"/>
      <c r="N1262" s="2"/>
      <c r="O1262" s="2"/>
      <c r="P1262" s="2"/>
      <c r="Q1262" s="2"/>
      <c r="R1262" s="2"/>
      <c r="S1262" s="2"/>
      <c r="T1262" s="2"/>
      <c r="U1262" s="2"/>
    </row>
    <row r="1263" spans="13:21" x14ac:dyDescent="0.2">
      <c r="M1263" s="2"/>
      <c r="N1263" s="2"/>
      <c r="O1263" s="2"/>
      <c r="P1263" s="2"/>
      <c r="Q1263" s="2"/>
      <c r="R1263" s="2"/>
      <c r="S1263" s="2"/>
      <c r="T1263" s="2"/>
      <c r="U1263" s="2"/>
    </row>
    <row r="1264" spans="13:21" x14ac:dyDescent="0.2">
      <c r="M1264" s="2"/>
      <c r="N1264" s="2"/>
      <c r="O1264" s="2"/>
      <c r="P1264" s="2"/>
      <c r="Q1264" s="2"/>
      <c r="R1264" s="2"/>
      <c r="S1264" s="2"/>
      <c r="T1264" s="2"/>
      <c r="U1264" s="2"/>
    </row>
    <row r="1265" spans="13:21" x14ac:dyDescent="0.2">
      <c r="M1265" s="2"/>
      <c r="N1265" s="2"/>
      <c r="O1265" s="2"/>
      <c r="P1265" s="2"/>
      <c r="Q1265" s="2"/>
      <c r="R1265" s="2"/>
      <c r="S1265" s="2"/>
      <c r="T1265" s="2"/>
      <c r="U1265" s="2"/>
    </row>
    <row r="1266" spans="13:21" x14ac:dyDescent="0.2">
      <c r="M1266" s="2"/>
      <c r="N1266" s="2"/>
      <c r="O1266" s="2"/>
      <c r="P1266" s="2"/>
      <c r="Q1266" s="2"/>
      <c r="R1266" s="2"/>
      <c r="S1266" s="2"/>
      <c r="T1266" s="2"/>
      <c r="U1266" s="2"/>
    </row>
    <row r="1267" spans="13:21" x14ac:dyDescent="0.2">
      <c r="M1267" s="2"/>
      <c r="N1267" s="2"/>
      <c r="O1267" s="2"/>
      <c r="P1267" s="2"/>
      <c r="Q1267" s="2"/>
      <c r="R1267" s="2"/>
      <c r="S1267" s="2"/>
      <c r="T1267" s="2"/>
      <c r="U1267" s="2"/>
    </row>
    <row r="1268" spans="13:21" x14ac:dyDescent="0.2">
      <c r="M1268" s="2"/>
      <c r="N1268" s="2"/>
      <c r="O1268" s="2"/>
      <c r="P1268" s="2"/>
      <c r="Q1268" s="2"/>
      <c r="R1268" s="2"/>
      <c r="S1268" s="2"/>
      <c r="T1268" s="2"/>
      <c r="U1268" s="2"/>
    </row>
    <row r="1269" spans="13:21" x14ac:dyDescent="0.2">
      <c r="M1269" s="2"/>
      <c r="N1269" s="2"/>
      <c r="O1269" s="2"/>
      <c r="P1269" s="2"/>
      <c r="Q1269" s="2"/>
      <c r="R1269" s="2"/>
      <c r="S1269" s="2"/>
      <c r="T1269" s="2"/>
      <c r="U1269" s="2"/>
    </row>
    <row r="1270" spans="13:21" x14ac:dyDescent="0.2">
      <c r="M1270" s="2"/>
      <c r="N1270" s="2"/>
      <c r="O1270" s="2"/>
      <c r="P1270" s="2"/>
      <c r="Q1270" s="2"/>
      <c r="R1270" s="2"/>
      <c r="S1270" s="2"/>
      <c r="T1270" s="2"/>
      <c r="U1270" s="2"/>
    </row>
    <row r="1271" spans="13:21" x14ac:dyDescent="0.2">
      <c r="M1271" s="2"/>
      <c r="N1271" s="2"/>
      <c r="O1271" s="2"/>
      <c r="P1271" s="2"/>
      <c r="Q1271" s="2"/>
      <c r="R1271" s="2"/>
      <c r="S1271" s="2"/>
      <c r="T1271" s="2"/>
      <c r="U1271" s="2"/>
    </row>
    <row r="1272" spans="13:21" x14ac:dyDescent="0.2">
      <c r="M1272" s="2"/>
      <c r="N1272" s="2"/>
      <c r="O1272" s="2"/>
      <c r="P1272" s="2"/>
      <c r="Q1272" s="2"/>
      <c r="R1272" s="2"/>
      <c r="S1272" s="2"/>
      <c r="T1272" s="2"/>
      <c r="U1272" s="2"/>
    </row>
    <row r="1273" spans="13:21" x14ac:dyDescent="0.2">
      <c r="M1273" s="2"/>
      <c r="N1273" s="2"/>
      <c r="O1273" s="2"/>
      <c r="P1273" s="2"/>
      <c r="Q1273" s="2"/>
      <c r="R1273" s="2"/>
      <c r="S1273" s="2"/>
      <c r="T1273" s="2"/>
      <c r="U1273" s="2"/>
    </row>
    <row r="1274" spans="13:21" x14ac:dyDescent="0.2">
      <c r="M1274" s="2"/>
      <c r="N1274" s="2"/>
      <c r="O1274" s="2"/>
      <c r="P1274" s="2"/>
      <c r="Q1274" s="2"/>
      <c r="R1274" s="2"/>
      <c r="S1274" s="2"/>
      <c r="T1274" s="2"/>
      <c r="U1274" s="2"/>
    </row>
    <row r="1275" spans="13:21" x14ac:dyDescent="0.2">
      <c r="M1275" s="2"/>
      <c r="N1275" s="2"/>
      <c r="O1275" s="2"/>
      <c r="P1275" s="2"/>
      <c r="Q1275" s="2"/>
      <c r="R1275" s="2"/>
      <c r="S1275" s="2"/>
      <c r="T1275" s="2"/>
      <c r="U1275" s="2"/>
    </row>
    <row r="1276" spans="13:21" x14ac:dyDescent="0.2">
      <c r="M1276" s="2"/>
      <c r="N1276" s="2"/>
      <c r="O1276" s="2"/>
      <c r="P1276" s="2"/>
      <c r="Q1276" s="2"/>
      <c r="R1276" s="2"/>
      <c r="S1276" s="2"/>
      <c r="T1276" s="2"/>
      <c r="U1276" s="2"/>
    </row>
    <row r="1277" spans="13:21" x14ac:dyDescent="0.2">
      <c r="M1277" s="2"/>
      <c r="N1277" s="2"/>
      <c r="O1277" s="2"/>
      <c r="P1277" s="2"/>
      <c r="Q1277" s="2"/>
      <c r="R1277" s="2"/>
      <c r="S1277" s="2"/>
      <c r="T1277" s="2"/>
      <c r="U1277" s="2"/>
    </row>
    <row r="1278" spans="13:21" x14ac:dyDescent="0.2">
      <c r="M1278" s="2"/>
      <c r="N1278" s="2"/>
      <c r="O1278" s="2"/>
      <c r="P1278" s="2"/>
      <c r="Q1278" s="2"/>
      <c r="R1278" s="2"/>
      <c r="S1278" s="2"/>
      <c r="T1278" s="2"/>
      <c r="U1278" s="2"/>
    </row>
    <row r="1279" spans="13:21" x14ac:dyDescent="0.2">
      <c r="M1279" s="2"/>
      <c r="N1279" s="2"/>
      <c r="O1279" s="2"/>
      <c r="P1279" s="2"/>
      <c r="Q1279" s="2"/>
      <c r="R1279" s="2"/>
      <c r="S1279" s="2"/>
      <c r="T1279" s="2"/>
      <c r="U1279" s="2"/>
    </row>
    <row r="1280" spans="13:21" x14ac:dyDescent="0.2">
      <c r="M1280" s="2"/>
      <c r="N1280" s="2"/>
      <c r="O1280" s="2"/>
      <c r="P1280" s="2"/>
      <c r="Q1280" s="2"/>
      <c r="R1280" s="2"/>
      <c r="S1280" s="2"/>
      <c r="T1280" s="2"/>
      <c r="U1280" s="2"/>
    </row>
    <row r="1281" spans="13:21" x14ac:dyDescent="0.2">
      <c r="M1281" s="2"/>
      <c r="N1281" s="2"/>
      <c r="O1281" s="2"/>
      <c r="P1281" s="2"/>
      <c r="Q1281" s="2"/>
      <c r="R1281" s="2"/>
      <c r="S1281" s="2"/>
      <c r="T1281" s="2"/>
      <c r="U1281" s="2"/>
    </row>
    <row r="1282" spans="13:21" x14ac:dyDescent="0.2">
      <c r="M1282" s="2"/>
      <c r="N1282" s="2"/>
      <c r="O1282" s="2"/>
      <c r="P1282" s="2"/>
      <c r="Q1282" s="2"/>
      <c r="R1282" s="2"/>
      <c r="S1282" s="2"/>
      <c r="T1282" s="2"/>
      <c r="U1282" s="2"/>
    </row>
    <row r="1283" spans="13:21" x14ac:dyDescent="0.2">
      <c r="M1283" s="2"/>
      <c r="N1283" s="2"/>
      <c r="O1283" s="2"/>
      <c r="P1283" s="2"/>
      <c r="Q1283" s="2"/>
      <c r="R1283" s="2"/>
      <c r="S1283" s="2"/>
      <c r="T1283" s="2"/>
      <c r="U1283" s="2"/>
    </row>
    <row r="1284" spans="13:21" x14ac:dyDescent="0.2">
      <c r="M1284" s="2"/>
      <c r="N1284" s="2"/>
      <c r="O1284" s="2"/>
      <c r="P1284" s="2"/>
      <c r="Q1284" s="2"/>
      <c r="R1284" s="2"/>
      <c r="S1284" s="2"/>
      <c r="T1284" s="2"/>
      <c r="U1284" s="2"/>
    </row>
    <row r="1285" spans="13:21" x14ac:dyDescent="0.2">
      <c r="M1285" s="2"/>
      <c r="N1285" s="2"/>
      <c r="O1285" s="2"/>
      <c r="P1285" s="2"/>
      <c r="Q1285" s="2"/>
      <c r="R1285" s="2"/>
      <c r="S1285" s="2"/>
      <c r="T1285" s="2"/>
      <c r="U1285" s="2"/>
    </row>
    <row r="1286" spans="13:21" x14ac:dyDescent="0.2">
      <c r="M1286" s="2"/>
      <c r="N1286" s="2"/>
      <c r="O1286" s="2"/>
      <c r="P1286" s="2"/>
      <c r="Q1286" s="2"/>
      <c r="R1286" s="2"/>
      <c r="S1286" s="2"/>
      <c r="T1286" s="2"/>
      <c r="U1286" s="2"/>
    </row>
    <row r="1287" spans="13:21" x14ac:dyDescent="0.2">
      <c r="M1287" s="2"/>
      <c r="N1287" s="2"/>
      <c r="O1287" s="2"/>
      <c r="P1287" s="2"/>
      <c r="Q1287" s="2"/>
      <c r="R1287" s="2"/>
      <c r="S1287" s="2"/>
      <c r="T1287" s="2"/>
      <c r="U1287" s="2"/>
    </row>
    <row r="1288" spans="13:21" x14ac:dyDescent="0.2">
      <c r="M1288" s="2"/>
      <c r="N1288" s="2"/>
      <c r="O1288" s="2"/>
      <c r="P1288" s="2"/>
      <c r="Q1288" s="2"/>
      <c r="R1288" s="2"/>
      <c r="S1288" s="2"/>
      <c r="T1288" s="2"/>
      <c r="U1288" s="2"/>
    </row>
    <row r="1289" spans="13:21" x14ac:dyDescent="0.2">
      <c r="M1289" s="2"/>
      <c r="N1289" s="2"/>
      <c r="O1289" s="2"/>
      <c r="P1289" s="2"/>
      <c r="Q1289" s="2"/>
      <c r="R1289" s="2"/>
      <c r="S1289" s="2"/>
      <c r="T1289" s="2"/>
      <c r="U1289" s="2"/>
    </row>
    <row r="1290" spans="13:21" x14ac:dyDescent="0.2">
      <c r="M1290" s="2"/>
      <c r="N1290" s="2"/>
      <c r="O1290" s="2"/>
      <c r="P1290" s="2"/>
      <c r="Q1290" s="2"/>
      <c r="R1290" s="2"/>
      <c r="S1290" s="2"/>
      <c r="T1290" s="2"/>
      <c r="U1290" s="2"/>
    </row>
    <row r="1291" spans="13:21" x14ac:dyDescent="0.2">
      <c r="M1291" s="2"/>
      <c r="N1291" s="2"/>
      <c r="O1291" s="2"/>
      <c r="P1291" s="2"/>
      <c r="Q1291" s="2"/>
      <c r="R1291" s="2"/>
      <c r="S1291" s="2"/>
      <c r="T1291" s="2"/>
      <c r="U1291" s="2"/>
    </row>
    <row r="1292" spans="13:21" x14ac:dyDescent="0.2">
      <c r="M1292" s="2"/>
      <c r="N1292" s="2"/>
      <c r="O1292" s="2"/>
      <c r="P1292" s="2"/>
      <c r="Q1292" s="2"/>
      <c r="R1292" s="2"/>
      <c r="S1292" s="2"/>
      <c r="T1292" s="2"/>
      <c r="U1292" s="2"/>
    </row>
    <row r="1293" spans="13:21" x14ac:dyDescent="0.2">
      <c r="M1293" s="2"/>
      <c r="N1293" s="2"/>
      <c r="O1293" s="2"/>
      <c r="P1293" s="2"/>
      <c r="Q1293" s="2"/>
      <c r="R1293" s="2"/>
      <c r="S1293" s="2"/>
      <c r="T1293" s="2"/>
      <c r="U1293" s="2"/>
    </row>
    <row r="1294" spans="13:21" x14ac:dyDescent="0.2">
      <c r="M1294" s="2"/>
      <c r="N1294" s="2"/>
      <c r="O1294" s="2"/>
      <c r="P1294" s="2"/>
      <c r="Q1294" s="2"/>
      <c r="R1294" s="2"/>
      <c r="S1294" s="2"/>
      <c r="T1294" s="2"/>
      <c r="U1294" s="2"/>
    </row>
    <row r="1295" spans="13:21" x14ac:dyDescent="0.2">
      <c r="M1295" s="2"/>
      <c r="N1295" s="2"/>
      <c r="O1295" s="2"/>
      <c r="P1295" s="2"/>
      <c r="Q1295" s="2"/>
      <c r="R1295" s="2"/>
      <c r="S1295" s="2"/>
      <c r="T1295" s="2"/>
      <c r="U1295" s="2"/>
    </row>
    <row r="1296" spans="13:21" x14ac:dyDescent="0.2">
      <c r="M1296" s="2"/>
      <c r="N1296" s="2"/>
      <c r="O1296" s="2"/>
      <c r="P1296" s="2"/>
      <c r="Q1296" s="2"/>
      <c r="R1296" s="2"/>
      <c r="S1296" s="2"/>
      <c r="T1296" s="2"/>
      <c r="U1296" s="2"/>
    </row>
    <row r="1297" spans="13:21" x14ac:dyDescent="0.2">
      <c r="M1297" s="2"/>
      <c r="N1297" s="2"/>
      <c r="O1297" s="2"/>
      <c r="P1297" s="2"/>
      <c r="Q1297" s="2"/>
      <c r="R1297" s="2"/>
      <c r="S1297" s="2"/>
      <c r="T1297" s="2"/>
      <c r="U1297" s="2"/>
    </row>
    <row r="1298" spans="13:21" x14ac:dyDescent="0.2">
      <c r="M1298" s="2"/>
      <c r="N1298" s="2"/>
      <c r="O1298" s="2"/>
      <c r="P1298" s="2"/>
      <c r="Q1298" s="2"/>
      <c r="R1298" s="2"/>
      <c r="S1298" s="2"/>
      <c r="T1298" s="2"/>
      <c r="U1298" s="2"/>
    </row>
    <row r="1299" spans="13:21" x14ac:dyDescent="0.2">
      <c r="M1299" s="2"/>
      <c r="N1299" s="2"/>
      <c r="O1299" s="2"/>
      <c r="P1299" s="2"/>
      <c r="Q1299" s="2"/>
      <c r="R1299" s="2"/>
      <c r="S1299" s="2"/>
      <c r="T1299" s="2"/>
      <c r="U1299" s="2"/>
    </row>
    <row r="1300" spans="13:21" x14ac:dyDescent="0.2">
      <c r="M1300" s="2"/>
      <c r="N1300" s="2"/>
      <c r="O1300" s="2"/>
      <c r="P1300" s="2"/>
      <c r="Q1300" s="2"/>
      <c r="R1300" s="2"/>
      <c r="S1300" s="2"/>
      <c r="T1300" s="2"/>
      <c r="U1300" s="2"/>
    </row>
    <row r="1301" spans="13:21" x14ac:dyDescent="0.2">
      <c r="M1301" s="2"/>
      <c r="N1301" s="2"/>
      <c r="O1301" s="2"/>
      <c r="P1301" s="2"/>
      <c r="Q1301" s="2"/>
      <c r="R1301" s="2"/>
      <c r="S1301" s="2"/>
      <c r="T1301" s="2"/>
      <c r="U1301" s="2"/>
    </row>
    <row r="1302" spans="13:21" x14ac:dyDescent="0.2">
      <c r="M1302" s="2"/>
      <c r="N1302" s="2"/>
      <c r="O1302" s="2"/>
      <c r="P1302" s="2"/>
      <c r="Q1302" s="2"/>
      <c r="R1302" s="2"/>
      <c r="S1302" s="2"/>
      <c r="T1302" s="2"/>
      <c r="U1302" s="2"/>
    </row>
    <row r="1303" spans="13:21" x14ac:dyDescent="0.2">
      <c r="M1303" s="2"/>
      <c r="N1303" s="2"/>
      <c r="O1303" s="2"/>
      <c r="P1303" s="2"/>
      <c r="Q1303" s="2"/>
      <c r="R1303" s="2"/>
      <c r="S1303" s="2"/>
      <c r="T1303" s="2"/>
      <c r="U1303" s="2"/>
    </row>
    <row r="1304" spans="13:21" x14ac:dyDescent="0.2">
      <c r="M1304" s="2"/>
      <c r="N1304" s="2"/>
      <c r="O1304" s="2"/>
      <c r="P1304" s="2"/>
      <c r="Q1304" s="2"/>
      <c r="R1304" s="2"/>
      <c r="S1304" s="2"/>
      <c r="T1304" s="2"/>
      <c r="U1304" s="2"/>
    </row>
    <row r="1305" spans="13:21" x14ac:dyDescent="0.2">
      <c r="M1305" s="2"/>
      <c r="N1305" s="2"/>
      <c r="O1305" s="2"/>
      <c r="P1305" s="2"/>
      <c r="Q1305" s="2"/>
      <c r="R1305" s="2"/>
      <c r="S1305" s="2"/>
      <c r="T1305" s="2"/>
      <c r="U1305" s="2"/>
    </row>
    <row r="1306" spans="13:21" x14ac:dyDescent="0.2">
      <c r="M1306" s="2"/>
      <c r="N1306" s="2"/>
      <c r="O1306" s="2"/>
      <c r="P1306" s="2"/>
      <c r="Q1306" s="2"/>
      <c r="R1306" s="2"/>
      <c r="S1306" s="2"/>
      <c r="T1306" s="2"/>
      <c r="U1306" s="2"/>
    </row>
    <row r="1307" spans="13:21" x14ac:dyDescent="0.2">
      <c r="M1307" s="2"/>
      <c r="N1307" s="2"/>
      <c r="O1307" s="2"/>
      <c r="P1307" s="2"/>
      <c r="Q1307" s="2"/>
      <c r="R1307" s="2"/>
      <c r="S1307" s="2"/>
      <c r="T1307" s="2"/>
      <c r="U1307" s="2"/>
    </row>
    <row r="1308" spans="13:21" x14ac:dyDescent="0.2">
      <c r="M1308" s="2"/>
      <c r="N1308" s="2"/>
      <c r="O1308" s="2"/>
      <c r="P1308" s="2"/>
      <c r="Q1308" s="2"/>
      <c r="R1308" s="2"/>
      <c r="S1308" s="2"/>
      <c r="T1308" s="2"/>
      <c r="U1308" s="2"/>
    </row>
    <row r="1309" spans="13:21" x14ac:dyDescent="0.2">
      <c r="M1309" s="2"/>
      <c r="N1309" s="2"/>
      <c r="O1309" s="2"/>
      <c r="P1309" s="2"/>
      <c r="Q1309" s="2"/>
      <c r="R1309" s="2"/>
      <c r="S1309" s="2"/>
      <c r="T1309" s="2"/>
      <c r="U1309" s="2"/>
    </row>
    <row r="1310" spans="13:21" x14ac:dyDescent="0.2">
      <c r="M1310" s="2"/>
      <c r="N1310" s="2"/>
      <c r="O1310" s="2"/>
      <c r="P1310" s="2"/>
      <c r="Q1310" s="2"/>
      <c r="R1310" s="2"/>
      <c r="S1310" s="2"/>
      <c r="T1310" s="2"/>
      <c r="U1310" s="2"/>
    </row>
    <row r="1311" spans="13:21" x14ac:dyDescent="0.2">
      <c r="M1311" s="2"/>
      <c r="N1311" s="2"/>
      <c r="O1311" s="2"/>
      <c r="P1311" s="2"/>
      <c r="Q1311" s="2"/>
      <c r="R1311" s="2"/>
      <c r="S1311" s="2"/>
      <c r="T1311" s="2"/>
      <c r="U1311" s="2"/>
    </row>
    <row r="1312" spans="13:21" x14ac:dyDescent="0.2">
      <c r="M1312" s="2"/>
      <c r="N1312" s="2"/>
      <c r="O1312" s="2"/>
      <c r="P1312" s="2"/>
      <c r="Q1312" s="2"/>
      <c r="R1312" s="2"/>
      <c r="S1312" s="2"/>
      <c r="T1312" s="2"/>
      <c r="U1312" s="2"/>
    </row>
    <row r="1313" spans="13:21" x14ac:dyDescent="0.2">
      <c r="M1313" s="2"/>
      <c r="N1313" s="2"/>
      <c r="O1313" s="2"/>
      <c r="P1313" s="2"/>
      <c r="Q1313" s="2"/>
      <c r="R1313" s="2"/>
      <c r="S1313" s="2"/>
      <c r="T1313" s="2"/>
      <c r="U1313" s="2"/>
    </row>
    <row r="1314" spans="13:21" x14ac:dyDescent="0.2">
      <c r="M1314" s="2"/>
      <c r="N1314" s="2"/>
      <c r="O1314" s="2"/>
      <c r="P1314" s="2"/>
      <c r="Q1314" s="2"/>
      <c r="R1314" s="2"/>
      <c r="S1314" s="2"/>
      <c r="T1314" s="2"/>
      <c r="U1314" s="2"/>
    </row>
    <row r="1315" spans="13:21" x14ac:dyDescent="0.2">
      <c r="M1315" s="2"/>
      <c r="N1315" s="2"/>
      <c r="O1315" s="2"/>
      <c r="P1315" s="2"/>
      <c r="Q1315" s="2"/>
      <c r="R1315" s="2"/>
      <c r="S1315" s="2"/>
      <c r="T1315" s="2"/>
      <c r="U1315" s="2"/>
    </row>
    <row r="1316" spans="13:21" x14ac:dyDescent="0.2">
      <c r="M1316" s="2"/>
      <c r="N1316" s="2"/>
      <c r="O1316" s="2"/>
      <c r="P1316" s="2"/>
      <c r="Q1316" s="2"/>
      <c r="R1316" s="2"/>
      <c r="S1316" s="2"/>
      <c r="T1316" s="2"/>
      <c r="U1316" s="2"/>
    </row>
    <row r="1317" spans="13:21" x14ac:dyDescent="0.2">
      <c r="M1317" s="2"/>
      <c r="N1317" s="2"/>
      <c r="O1317" s="2"/>
      <c r="P1317" s="2"/>
      <c r="Q1317" s="2"/>
      <c r="R1317" s="2"/>
      <c r="S1317" s="2"/>
      <c r="T1317" s="2"/>
      <c r="U1317" s="2"/>
    </row>
    <row r="1318" spans="13:21" x14ac:dyDescent="0.2">
      <c r="M1318" s="2"/>
      <c r="N1318" s="2"/>
      <c r="O1318" s="2"/>
      <c r="P1318" s="2"/>
      <c r="Q1318" s="2"/>
      <c r="R1318" s="2"/>
      <c r="S1318" s="2"/>
      <c r="T1318" s="2"/>
      <c r="U1318" s="2"/>
    </row>
    <row r="1319" spans="13:21" x14ac:dyDescent="0.2">
      <c r="M1319" s="2"/>
      <c r="N1319" s="2"/>
      <c r="O1319" s="2"/>
      <c r="P1319" s="2"/>
      <c r="Q1319" s="2"/>
      <c r="R1319" s="2"/>
      <c r="S1319" s="2"/>
      <c r="T1319" s="2"/>
      <c r="U1319" s="2"/>
    </row>
    <row r="1320" spans="13:21" x14ac:dyDescent="0.2">
      <c r="M1320" s="2"/>
      <c r="N1320" s="2"/>
      <c r="O1320" s="2"/>
      <c r="P1320" s="2"/>
      <c r="Q1320" s="2"/>
      <c r="R1320" s="2"/>
      <c r="S1320" s="2"/>
      <c r="T1320" s="2"/>
      <c r="U1320" s="2"/>
    </row>
    <row r="1321" spans="13:21" x14ac:dyDescent="0.2">
      <c r="M1321" s="2"/>
      <c r="N1321" s="2"/>
      <c r="O1321" s="2"/>
      <c r="P1321" s="2"/>
      <c r="Q1321" s="2"/>
      <c r="R1321" s="2"/>
      <c r="S1321" s="2"/>
      <c r="T1321" s="2"/>
      <c r="U1321" s="2"/>
    </row>
    <row r="1322" spans="13:21" x14ac:dyDescent="0.2">
      <c r="M1322" s="2"/>
      <c r="N1322" s="2"/>
      <c r="O1322" s="2"/>
      <c r="P1322" s="2"/>
      <c r="Q1322" s="2"/>
      <c r="R1322" s="2"/>
      <c r="S1322" s="2"/>
      <c r="T1322" s="2"/>
      <c r="U1322" s="2"/>
    </row>
    <row r="1323" spans="13:21" x14ac:dyDescent="0.2">
      <c r="M1323" s="2"/>
      <c r="N1323" s="2"/>
      <c r="O1323" s="2"/>
      <c r="P1323" s="2"/>
      <c r="Q1323" s="2"/>
      <c r="R1323" s="2"/>
      <c r="S1323" s="2"/>
      <c r="T1323" s="2"/>
      <c r="U1323" s="2"/>
    </row>
    <row r="1324" spans="13:21" x14ac:dyDescent="0.2">
      <c r="M1324" s="2"/>
      <c r="N1324" s="2"/>
      <c r="O1324" s="2"/>
      <c r="P1324" s="2"/>
      <c r="Q1324" s="2"/>
      <c r="R1324" s="2"/>
      <c r="S1324" s="2"/>
      <c r="T1324" s="2"/>
      <c r="U1324" s="2"/>
    </row>
    <row r="1325" spans="13:21" x14ac:dyDescent="0.2">
      <c r="M1325" s="2"/>
      <c r="N1325" s="2"/>
      <c r="O1325" s="2"/>
      <c r="P1325" s="2"/>
      <c r="Q1325" s="2"/>
      <c r="R1325" s="2"/>
      <c r="S1325" s="2"/>
      <c r="T1325" s="2"/>
      <c r="U1325" s="2"/>
    </row>
    <row r="1326" spans="13:21" x14ac:dyDescent="0.2">
      <c r="M1326" s="2"/>
      <c r="N1326" s="2"/>
      <c r="O1326" s="2"/>
      <c r="P1326" s="2"/>
      <c r="Q1326" s="2"/>
      <c r="R1326" s="2"/>
      <c r="S1326" s="2"/>
      <c r="T1326" s="2"/>
      <c r="U1326" s="2"/>
    </row>
    <row r="1327" spans="13:21" x14ac:dyDescent="0.2">
      <c r="M1327" s="2"/>
      <c r="N1327" s="2"/>
      <c r="O1327" s="2"/>
      <c r="P1327" s="2"/>
      <c r="Q1327" s="2"/>
      <c r="R1327" s="2"/>
      <c r="S1327" s="2"/>
      <c r="T1327" s="2"/>
      <c r="U1327" s="2"/>
    </row>
    <row r="1328" spans="13:21" x14ac:dyDescent="0.2">
      <c r="M1328" s="2"/>
      <c r="N1328" s="2"/>
      <c r="O1328" s="2"/>
      <c r="P1328" s="2"/>
      <c r="Q1328" s="2"/>
      <c r="R1328" s="2"/>
      <c r="S1328" s="2"/>
      <c r="T1328" s="2"/>
      <c r="U1328" s="2"/>
    </row>
    <row r="1329" spans="13:21" x14ac:dyDescent="0.2">
      <c r="M1329" s="2"/>
      <c r="N1329" s="2"/>
      <c r="O1329" s="2"/>
      <c r="P1329" s="2"/>
      <c r="Q1329" s="2"/>
      <c r="R1329" s="2"/>
      <c r="S1329" s="2"/>
      <c r="T1329" s="2"/>
      <c r="U1329" s="2"/>
    </row>
    <row r="1330" spans="13:21" x14ac:dyDescent="0.2">
      <c r="M1330" s="2"/>
      <c r="N1330" s="2"/>
      <c r="O1330" s="2"/>
      <c r="P1330" s="2"/>
      <c r="Q1330" s="2"/>
      <c r="R1330" s="2"/>
      <c r="S1330" s="2"/>
      <c r="T1330" s="2"/>
      <c r="U1330" s="2"/>
    </row>
    <row r="1331" spans="13:21" x14ac:dyDescent="0.2">
      <c r="M1331" s="2"/>
      <c r="N1331" s="2"/>
      <c r="O1331" s="2"/>
      <c r="P1331" s="2"/>
      <c r="Q1331" s="2"/>
      <c r="R1331" s="2"/>
      <c r="S1331" s="2"/>
      <c r="T1331" s="2"/>
      <c r="U1331" s="2"/>
    </row>
    <row r="1332" spans="13:21" x14ac:dyDescent="0.2">
      <c r="M1332" s="2"/>
      <c r="N1332" s="2"/>
      <c r="O1332" s="2"/>
      <c r="P1332" s="2"/>
      <c r="Q1332" s="2"/>
      <c r="R1332" s="2"/>
      <c r="S1332" s="2"/>
      <c r="T1332" s="2"/>
      <c r="U1332" s="2"/>
    </row>
    <row r="1333" spans="13:21" x14ac:dyDescent="0.2">
      <c r="M1333" s="2"/>
      <c r="N1333" s="2"/>
      <c r="O1333" s="2"/>
      <c r="P1333" s="2"/>
      <c r="Q1333" s="2"/>
      <c r="R1333" s="2"/>
      <c r="S1333" s="2"/>
      <c r="T1333" s="2"/>
      <c r="U1333" s="2"/>
    </row>
    <row r="1334" spans="13:21" x14ac:dyDescent="0.2">
      <c r="M1334" s="2"/>
      <c r="N1334" s="2"/>
      <c r="O1334" s="2"/>
      <c r="P1334" s="2"/>
      <c r="Q1334" s="2"/>
      <c r="R1334" s="2"/>
      <c r="S1334" s="2"/>
      <c r="T1334" s="2"/>
      <c r="U1334" s="2"/>
    </row>
    <row r="1335" spans="13:21" x14ac:dyDescent="0.2">
      <c r="M1335" s="2"/>
      <c r="N1335" s="2"/>
      <c r="O1335" s="2"/>
      <c r="P1335" s="2"/>
      <c r="Q1335" s="2"/>
      <c r="R1335" s="2"/>
      <c r="S1335" s="2"/>
      <c r="T1335" s="2"/>
      <c r="U1335" s="2"/>
    </row>
    <row r="1336" spans="13:21" x14ac:dyDescent="0.2">
      <c r="M1336" s="2"/>
      <c r="N1336" s="2"/>
      <c r="O1336" s="2"/>
      <c r="P1336" s="2"/>
      <c r="Q1336" s="2"/>
      <c r="R1336" s="2"/>
      <c r="S1336" s="2"/>
      <c r="T1336" s="2"/>
      <c r="U1336" s="2"/>
    </row>
    <row r="1337" spans="13:21" x14ac:dyDescent="0.2">
      <c r="M1337" s="2"/>
      <c r="N1337" s="2"/>
      <c r="O1337" s="2"/>
      <c r="P1337" s="2"/>
      <c r="Q1337" s="2"/>
      <c r="R1337" s="2"/>
      <c r="S1337" s="2"/>
      <c r="T1337" s="2"/>
      <c r="U1337" s="2"/>
    </row>
    <row r="1338" spans="13:21" x14ac:dyDescent="0.2">
      <c r="M1338" s="2"/>
      <c r="N1338" s="2"/>
      <c r="O1338" s="2"/>
      <c r="P1338" s="2"/>
      <c r="Q1338" s="2"/>
      <c r="R1338" s="2"/>
      <c r="S1338" s="2"/>
      <c r="T1338" s="2"/>
      <c r="U1338" s="2"/>
    </row>
    <row r="1339" spans="13:21" x14ac:dyDescent="0.2">
      <c r="M1339" s="2"/>
      <c r="N1339" s="2"/>
      <c r="O1339" s="2"/>
      <c r="P1339" s="2"/>
      <c r="Q1339" s="2"/>
      <c r="R1339" s="2"/>
      <c r="S1339" s="2"/>
      <c r="T1339" s="2"/>
      <c r="U1339" s="2"/>
    </row>
    <row r="1340" spans="13:21" x14ac:dyDescent="0.2">
      <c r="M1340" s="2"/>
      <c r="N1340" s="2"/>
      <c r="O1340" s="2"/>
      <c r="P1340" s="2"/>
      <c r="Q1340" s="2"/>
      <c r="R1340" s="2"/>
      <c r="S1340" s="2"/>
      <c r="T1340" s="2"/>
      <c r="U1340" s="2"/>
    </row>
    <row r="1341" spans="13:21" x14ac:dyDescent="0.2">
      <c r="M1341" s="2"/>
      <c r="N1341" s="2"/>
      <c r="O1341" s="2"/>
      <c r="P1341" s="2"/>
      <c r="Q1341" s="2"/>
      <c r="R1341" s="2"/>
      <c r="S1341" s="2"/>
      <c r="T1341" s="2"/>
      <c r="U1341" s="2"/>
    </row>
    <row r="1342" spans="13:21" x14ac:dyDescent="0.2">
      <c r="M1342" s="2"/>
      <c r="N1342" s="2"/>
      <c r="O1342" s="2"/>
      <c r="P1342" s="2"/>
      <c r="Q1342" s="2"/>
      <c r="R1342" s="2"/>
      <c r="S1342" s="2"/>
      <c r="T1342" s="2"/>
      <c r="U1342" s="2"/>
    </row>
    <row r="1343" spans="13:21" x14ac:dyDescent="0.2">
      <c r="M1343" s="2"/>
      <c r="N1343" s="2"/>
      <c r="O1343" s="2"/>
      <c r="P1343" s="2"/>
      <c r="Q1343" s="2"/>
      <c r="R1343" s="2"/>
      <c r="S1343" s="2"/>
      <c r="T1343" s="2"/>
      <c r="U1343" s="2"/>
    </row>
    <row r="1344" spans="13:21" x14ac:dyDescent="0.2">
      <c r="M1344" s="2"/>
      <c r="N1344" s="2"/>
      <c r="O1344" s="2"/>
      <c r="P1344" s="2"/>
      <c r="Q1344" s="2"/>
      <c r="R1344" s="2"/>
      <c r="S1344" s="2"/>
      <c r="T1344" s="2"/>
      <c r="U1344" s="2"/>
    </row>
    <row r="1345" spans="13:21" x14ac:dyDescent="0.2">
      <c r="M1345" s="2"/>
      <c r="N1345" s="2"/>
      <c r="O1345" s="2"/>
      <c r="P1345" s="2"/>
      <c r="Q1345" s="2"/>
      <c r="R1345" s="2"/>
      <c r="S1345" s="2"/>
      <c r="T1345" s="2"/>
      <c r="U1345" s="2"/>
    </row>
    <row r="1346" spans="13:21" x14ac:dyDescent="0.2">
      <c r="M1346" s="2"/>
      <c r="N1346" s="2"/>
      <c r="O1346" s="2"/>
      <c r="P1346" s="2"/>
      <c r="Q1346" s="2"/>
      <c r="R1346" s="2"/>
      <c r="S1346" s="2"/>
      <c r="T1346" s="2"/>
      <c r="U1346" s="2"/>
    </row>
    <row r="1347" spans="13:21" x14ac:dyDescent="0.2">
      <c r="M1347" s="2"/>
      <c r="N1347" s="2"/>
      <c r="O1347" s="2"/>
      <c r="P1347" s="2"/>
      <c r="Q1347" s="2"/>
      <c r="R1347" s="2"/>
      <c r="S1347" s="2"/>
      <c r="T1347" s="2"/>
      <c r="U1347" s="2"/>
    </row>
    <row r="1348" spans="13:21" x14ac:dyDescent="0.2">
      <c r="M1348" s="2"/>
      <c r="N1348" s="2"/>
      <c r="O1348" s="2"/>
      <c r="P1348" s="2"/>
      <c r="Q1348" s="2"/>
      <c r="R1348" s="2"/>
      <c r="S1348" s="2"/>
      <c r="T1348" s="2"/>
      <c r="U1348" s="2"/>
    </row>
    <row r="1349" spans="13:21" x14ac:dyDescent="0.2">
      <c r="M1349" s="2"/>
      <c r="N1349" s="2"/>
      <c r="O1349" s="2"/>
      <c r="P1349" s="2"/>
      <c r="Q1349" s="2"/>
      <c r="R1349" s="2"/>
      <c r="S1349" s="2"/>
      <c r="T1349" s="2"/>
      <c r="U1349" s="2"/>
    </row>
    <row r="1350" spans="13:21" x14ac:dyDescent="0.2">
      <c r="M1350" s="2"/>
      <c r="N1350" s="2"/>
      <c r="O1350" s="2"/>
      <c r="P1350" s="2"/>
      <c r="Q1350" s="2"/>
      <c r="R1350" s="2"/>
      <c r="S1350" s="2"/>
      <c r="T1350" s="2"/>
      <c r="U1350" s="2"/>
    </row>
    <row r="1351" spans="13:21" x14ac:dyDescent="0.2">
      <c r="M1351" s="2"/>
      <c r="N1351" s="2"/>
      <c r="O1351" s="2"/>
      <c r="P1351" s="2"/>
      <c r="Q1351" s="2"/>
      <c r="R1351" s="2"/>
      <c r="S1351" s="2"/>
      <c r="T1351" s="2"/>
      <c r="U1351" s="2"/>
    </row>
    <row r="1352" spans="13:21" x14ac:dyDescent="0.2">
      <c r="M1352" s="2"/>
      <c r="N1352" s="2"/>
      <c r="O1352" s="2"/>
      <c r="P1352" s="2"/>
      <c r="Q1352" s="2"/>
      <c r="R1352" s="2"/>
      <c r="S1352" s="2"/>
      <c r="T1352" s="2"/>
      <c r="U1352" s="2"/>
    </row>
    <row r="1353" spans="13:21" x14ac:dyDescent="0.2">
      <c r="M1353" s="2"/>
      <c r="N1353" s="2"/>
      <c r="O1353" s="2"/>
      <c r="P1353" s="2"/>
      <c r="Q1353" s="2"/>
      <c r="R1353" s="2"/>
      <c r="S1353" s="2"/>
      <c r="T1353" s="2"/>
      <c r="U1353" s="2"/>
    </row>
    <row r="1354" spans="13:21" x14ac:dyDescent="0.2">
      <c r="M1354" s="2"/>
      <c r="N1354" s="2"/>
      <c r="O1354" s="2"/>
      <c r="P1354" s="2"/>
      <c r="Q1354" s="2"/>
      <c r="R1354" s="2"/>
      <c r="S1354" s="2"/>
      <c r="T1354" s="2"/>
      <c r="U1354" s="2"/>
    </row>
    <row r="1355" spans="13:21" x14ac:dyDescent="0.2">
      <c r="M1355" s="2"/>
      <c r="N1355" s="2"/>
      <c r="O1355" s="2"/>
      <c r="P1355" s="2"/>
      <c r="Q1355" s="2"/>
      <c r="R1355" s="2"/>
      <c r="S1355" s="2"/>
      <c r="T1355" s="2"/>
      <c r="U1355" s="2"/>
    </row>
    <row r="1356" spans="13:21" x14ac:dyDescent="0.2">
      <c r="M1356" s="2"/>
      <c r="N1356" s="2"/>
      <c r="O1356" s="2"/>
      <c r="P1356" s="2"/>
      <c r="Q1356" s="2"/>
      <c r="R1356" s="2"/>
      <c r="S1356" s="2"/>
      <c r="T1356" s="2"/>
      <c r="U1356" s="2"/>
    </row>
    <row r="1357" spans="13:21" x14ac:dyDescent="0.2">
      <c r="M1357" s="2"/>
      <c r="N1357" s="2"/>
      <c r="O1357" s="2"/>
      <c r="P1357" s="2"/>
      <c r="Q1357" s="2"/>
      <c r="R1357" s="2"/>
      <c r="S1357" s="2"/>
      <c r="T1357" s="2"/>
      <c r="U1357" s="2"/>
    </row>
    <row r="1358" spans="13:21" x14ac:dyDescent="0.2">
      <c r="M1358" s="2"/>
      <c r="N1358" s="2"/>
      <c r="O1358" s="2"/>
      <c r="P1358" s="2"/>
      <c r="Q1358" s="2"/>
      <c r="R1358" s="2"/>
      <c r="S1358" s="2"/>
      <c r="T1358" s="2"/>
      <c r="U1358" s="2"/>
    </row>
    <row r="1359" spans="13:21" x14ac:dyDescent="0.2">
      <c r="M1359" s="2"/>
      <c r="N1359" s="2"/>
      <c r="O1359" s="2"/>
      <c r="P1359" s="2"/>
      <c r="Q1359" s="2"/>
      <c r="R1359" s="2"/>
      <c r="S1359" s="2"/>
      <c r="T1359" s="2"/>
      <c r="U1359" s="2"/>
    </row>
    <row r="1360" spans="13:21" x14ac:dyDescent="0.2">
      <c r="M1360" s="2"/>
      <c r="N1360" s="2"/>
      <c r="O1360" s="2"/>
      <c r="P1360" s="2"/>
      <c r="Q1360" s="2"/>
      <c r="R1360" s="2"/>
      <c r="S1360" s="2"/>
      <c r="T1360" s="2"/>
      <c r="U1360" s="2"/>
    </row>
    <row r="1361" spans="13:21" x14ac:dyDescent="0.2">
      <c r="M1361" s="2"/>
      <c r="N1361" s="2"/>
      <c r="O1361" s="2"/>
      <c r="P1361" s="2"/>
      <c r="Q1361" s="2"/>
      <c r="R1361" s="2"/>
      <c r="S1361" s="2"/>
      <c r="T1361" s="2"/>
      <c r="U1361" s="2"/>
    </row>
    <row r="1362" spans="13:21" x14ac:dyDescent="0.2">
      <c r="M1362" s="2"/>
      <c r="N1362" s="2"/>
      <c r="O1362" s="2"/>
      <c r="P1362" s="2"/>
      <c r="Q1362" s="2"/>
      <c r="R1362" s="2"/>
      <c r="S1362" s="2"/>
      <c r="T1362" s="2"/>
      <c r="U1362" s="2"/>
    </row>
    <row r="1363" spans="13:21" x14ac:dyDescent="0.2">
      <c r="M1363" s="2"/>
      <c r="N1363" s="2"/>
      <c r="O1363" s="2"/>
      <c r="P1363" s="2"/>
      <c r="Q1363" s="2"/>
      <c r="R1363" s="2"/>
      <c r="S1363" s="2"/>
      <c r="T1363" s="2"/>
      <c r="U1363" s="2"/>
    </row>
    <row r="1364" spans="13:21" x14ac:dyDescent="0.2">
      <c r="M1364" s="2"/>
      <c r="N1364" s="2"/>
      <c r="O1364" s="2"/>
      <c r="P1364" s="2"/>
      <c r="Q1364" s="2"/>
      <c r="R1364" s="2"/>
      <c r="S1364" s="2"/>
      <c r="T1364" s="2"/>
      <c r="U1364" s="2"/>
    </row>
    <row r="1365" spans="13:21" x14ac:dyDescent="0.2">
      <c r="M1365" s="2"/>
      <c r="N1365" s="2"/>
      <c r="O1365" s="2"/>
      <c r="P1365" s="2"/>
      <c r="Q1365" s="2"/>
      <c r="R1365" s="2"/>
      <c r="S1365" s="2"/>
      <c r="T1365" s="2"/>
      <c r="U1365" s="2"/>
    </row>
    <row r="1366" spans="13:21" x14ac:dyDescent="0.2">
      <c r="M1366" s="2"/>
      <c r="N1366" s="2"/>
      <c r="O1366" s="2"/>
      <c r="P1366" s="2"/>
      <c r="Q1366" s="2"/>
      <c r="R1366" s="2"/>
      <c r="S1366" s="2"/>
      <c r="T1366" s="2"/>
      <c r="U1366" s="2"/>
    </row>
    <row r="1367" spans="13:21" x14ac:dyDescent="0.2">
      <c r="M1367" s="2"/>
      <c r="N1367" s="2"/>
      <c r="O1367" s="2"/>
      <c r="P1367" s="2"/>
      <c r="Q1367" s="2"/>
      <c r="R1367" s="2"/>
      <c r="S1367" s="2"/>
      <c r="T1367" s="2"/>
      <c r="U1367" s="2"/>
    </row>
    <row r="1368" spans="13:21" x14ac:dyDescent="0.2">
      <c r="M1368" s="2"/>
      <c r="N1368" s="2"/>
      <c r="O1368" s="2"/>
      <c r="P1368" s="2"/>
      <c r="Q1368" s="2"/>
      <c r="R1368" s="2"/>
      <c r="S1368" s="2"/>
      <c r="T1368" s="2"/>
      <c r="U1368" s="2"/>
    </row>
    <row r="1369" spans="13:21" x14ac:dyDescent="0.2">
      <c r="M1369" s="2"/>
      <c r="N1369" s="2"/>
      <c r="O1369" s="2"/>
      <c r="P1369" s="2"/>
      <c r="Q1369" s="2"/>
      <c r="R1369" s="2"/>
      <c r="S1369" s="2"/>
      <c r="T1369" s="2"/>
      <c r="U1369" s="2"/>
    </row>
    <row r="1370" spans="13:21" x14ac:dyDescent="0.2">
      <c r="M1370" s="2"/>
      <c r="N1370" s="2"/>
      <c r="O1370" s="2"/>
      <c r="P1370" s="2"/>
      <c r="Q1370" s="2"/>
      <c r="R1370" s="2"/>
      <c r="S1370" s="2"/>
      <c r="T1370" s="2"/>
      <c r="U1370" s="2"/>
    </row>
    <row r="1371" spans="13:21" x14ac:dyDescent="0.2">
      <c r="M1371" s="2"/>
      <c r="N1371" s="2"/>
      <c r="O1371" s="2"/>
      <c r="P1371" s="2"/>
      <c r="Q1371" s="2"/>
      <c r="R1371" s="2"/>
      <c r="S1371" s="2"/>
      <c r="T1371" s="2"/>
      <c r="U1371" s="2"/>
    </row>
    <row r="1372" spans="13:21" x14ac:dyDescent="0.2">
      <c r="M1372" s="2"/>
      <c r="N1372" s="2"/>
      <c r="O1372" s="2"/>
      <c r="P1372" s="2"/>
      <c r="Q1372" s="2"/>
      <c r="R1372" s="2"/>
      <c r="S1372" s="2"/>
      <c r="T1372" s="2"/>
      <c r="U1372" s="2"/>
    </row>
    <row r="1373" spans="13:21" x14ac:dyDescent="0.2">
      <c r="M1373" s="2"/>
      <c r="N1373" s="2"/>
      <c r="O1373" s="2"/>
      <c r="P1373" s="2"/>
      <c r="Q1373" s="2"/>
      <c r="R1373" s="2"/>
      <c r="S1373" s="2"/>
      <c r="T1373" s="2"/>
      <c r="U1373" s="2"/>
    </row>
    <row r="1374" spans="13:21" x14ac:dyDescent="0.2">
      <c r="M1374" s="2"/>
      <c r="N1374" s="2"/>
      <c r="O1374" s="2"/>
      <c r="P1374" s="2"/>
      <c r="Q1374" s="2"/>
      <c r="R1374" s="2"/>
      <c r="S1374" s="2"/>
      <c r="T1374" s="2"/>
      <c r="U1374" s="2"/>
    </row>
    <row r="1375" spans="13:21" x14ac:dyDescent="0.2">
      <c r="M1375" s="2"/>
      <c r="N1375" s="2"/>
      <c r="O1375" s="2"/>
      <c r="P1375" s="2"/>
      <c r="Q1375" s="2"/>
      <c r="R1375" s="2"/>
      <c r="S1375" s="2"/>
      <c r="T1375" s="2"/>
      <c r="U1375" s="2"/>
    </row>
    <row r="1376" spans="13:21" x14ac:dyDescent="0.2">
      <c r="M1376" s="2"/>
      <c r="N1376" s="2"/>
      <c r="O1376" s="2"/>
      <c r="P1376" s="2"/>
      <c r="Q1376" s="2"/>
      <c r="R1376" s="2"/>
      <c r="S1376" s="2"/>
      <c r="T1376" s="2"/>
      <c r="U1376" s="2"/>
    </row>
    <row r="1377" spans="13:21" x14ac:dyDescent="0.2">
      <c r="M1377" s="2"/>
      <c r="N1377" s="2"/>
      <c r="O1377" s="2"/>
      <c r="P1377" s="2"/>
      <c r="Q1377" s="2"/>
      <c r="R1377" s="2"/>
      <c r="S1377" s="2"/>
      <c r="T1377" s="2"/>
      <c r="U1377" s="2"/>
    </row>
    <row r="1378" spans="13:21" x14ac:dyDescent="0.2">
      <c r="M1378" s="2"/>
      <c r="N1378" s="2"/>
      <c r="O1378" s="2"/>
      <c r="P1378" s="2"/>
      <c r="Q1378" s="2"/>
      <c r="R1378" s="2"/>
      <c r="S1378" s="2"/>
      <c r="T1378" s="2"/>
      <c r="U1378" s="2"/>
    </row>
    <row r="1379" spans="13:21" x14ac:dyDescent="0.2">
      <c r="M1379" s="2"/>
      <c r="N1379" s="2"/>
      <c r="O1379" s="2"/>
      <c r="P1379" s="2"/>
      <c r="Q1379" s="2"/>
      <c r="R1379" s="2"/>
      <c r="S1379" s="2"/>
      <c r="T1379" s="2"/>
      <c r="U1379" s="2"/>
    </row>
    <row r="1380" spans="13:21" x14ac:dyDescent="0.2">
      <c r="M1380" s="2"/>
      <c r="N1380" s="2"/>
      <c r="O1380" s="2"/>
      <c r="P1380" s="2"/>
      <c r="Q1380" s="2"/>
      <c r="R1380" s="2"/>
      <c r="S1380" s="2"/>
      <c r="T1380" s="2"/>
      <c r="U1380" s="2"/>
    </row>
    <row r="1381" spans="13:21" x14ac:dyDescent="0.2">
      <c r="M1381" s="2"/>
      <c r="N1381" s="2"/>
      <c r="O1381" s="2"/>
      <c r="P1381" s="2"/>
      <c r="Q1381" s="2"/>
      <c r="R1381" s="2"/>
      <c r="S1381" s="2"/>
      <c r="T1381" s="2"/>
      <c r="U1381" s="2"/>
    </row>
    <row r="1382" spans="13:21" x14ac:dyDescent="0.2">
      <c r="M1382" s="2"/>
      <c r="N1382" s="2"/>
      <c r="O1382" s="2"/>
      <c r="P1382" s="2"/>
      <c r="Q1382" s="2"/>
      <c r="R1382" s="2"/>
      <c r="S1382" s="2"/>
      <c r="T1382" s="2"/>
      <c r="U1382" s="2"/>
    </row>
    <row r="1383" spans="13:21" x14ac:dyDescent="0.2">
      <c r="M1383" s="2"/>
      <c r="N1383" s="2"/>
      <c r="O1383" s="2"/>
      <c r="P1383" s="2"/>
      <c r="Q1383" s="2"/>
      <c r="R1383" s="2"/>
      <c r="S1383" s="2"/>
      <c r="T1383" s="2"/>
      <c r="U1383" s="2"/>
    </row>
    <row r="1384" spans="13:21" x14ac:dyDescent="0.2">
      <c r="M1384" s="2"/>
      <c r="N1384" s="2"/>
      <c r="O1384" s="2"/>
      <c r="P1384" s="2"/>
      <c r="Q1384" s="2"/>
      <c r="R1384" s="2"/>
      <c r="S1384" s="2"/>
      <c r="T1384" s="2"/>
      <c r="U1384" s="2"/>
    </row>
    <row r="1385" spans="13:21" x14ac:dyDescent="0.2">
      <c r="M1385" s="2"/>
      <c r="N1385" s="2"/>
      <c r="O1385" s="2"/>
      <c r="P1385" s="2"/>
      <c r="Q1385" s="2"/>
      <c r="R1385" s="2"/>
      <c r="S1385" s="2"/>
      <c r="T1385" s="2"/>
      <c r="U1385" s="2"/>
    </row>
    <row r="1386" spans="13:21" x14ac:dyDescent="0.2">
      <c r="M1386" s="2"/>
      <c r="N1386" s="2"/>
      <c r="O1386" s="2"/>
      <c r="P1386" s="2"/>
      <c r="Q1386" s="2"/>
      <c r="R1386" s="2"/>
      <c r="S1386" s="2"/>
      <c r="T1386" s="2"/>
      <c r="U1386" s="2"/>
    </row>
    <row r="1387" spans="13:21" x14ac:dyDescent="0.2">
      <c r="M1387" s="2"/>
      <c r="N1387" s="2"/>
      <c r="O1387" s="2"/>
      <c r="P1387" s="2"/>
      <c r="Q1387" s="2"/>
      <c r="R1387" s="2"/>
      <c r="S1387" s="2"/>
      <c r="T1387" s="2"/>
      <c r="U1387" s="2"/>
    </row>
    <row r="1388" spans="13:21" x14ac:dyDescent="0.2">
      <c r="M1388" s="2"/>
      <c r="N1388" s="2"/>
      <c r="O1388" s="2"/>
      <c r="P1388" s="2"/>
      <c r="Q1388" s="2"/>
      <c r="R1388" s="2"/>
      <c r="S1388" s="2"/>
      <c r="T1388" s="2"/>
      <c r="U1388" s="2"/>
    </row>
    <row r="1389" spans="13:21" x14ac:dyDescent="0.2">
      <c r="M1389" s="2"/>
      <c r="N1389" s="2"/>
      <c r="O1389" s="2"/>
      <c r="P1389" s="2"/>
      <c r="Q1389" s="2"/>
      <c r="R1389" s="2"/>
      <c r="S1389" s="2"/>
      <c r="T1389" s="2"/>
      <c r="U1389" s="2"/>
    </row>
    <row r="1390" spans="13:21" x14ac:dyDescent="0.2">
      <c r="M1390" s="2"/>
      <c r="N1390" s="2"/>
      <c r="O1390" s="2"/>
      <c r="P1390" s="2"/>
      <c r="Q1390" s="2"/>
      <c r="R1390" s="2"/>
      <c r="S1390" s="2"/>
      <c r="T1390" s="2"/>
      <c r="U1390" s="2"/>
    </row>
    <row r="1391" spans="13:21" x14ac:dyDescent="0.2">
      <c r="M1391" s="2"/>
      <c r="N1391" s="2"/>
      <c r="O1391" s="2"/>
      <c r="P1391" s="2"/>
      <c r="Q1391" s="2"/>
      <c r="R1391" s="2"/>
      <c r="S1391" s="2"/>
      <c r="T1391" s="2"/>
      <c r="U1391" s="2"/>
    </row>
    <row r="1392" spans="13:21" x14ac:dyDescent="0.2">
      <c r="M1392" s="2"/>
      <c r="N1392" s="2"/>
      <c r="O1392" s="2"/>
      <c r="P1392" s="2"/>
      <c r="Q1392" s="2"/>
      <c r="R1392" s="2"/>
      <c r="S1392" s="2"/>
      <c r="T1392" s="2"/>
      <c r="U1392" s="2"/>
    </row>
    <row r="1393" spans="13:21" x14ac:dyDescent="0.2">
      <c r="M1393" s="2"/>
      <c r="N1393" s="2"/>
      <c r="O1393" s="2"/>
      <c r="P1393" s="2"/>
      <c r="Q1393" s="2"/>
      <c r="R1393" s="2"/>
      <c r="S1393" s="2"/>
      <c r="T1393" s="2"/>
      <c r="U1393" s="2"/>
    </row>
    <row r="1394" spans="13:21" x14ac:dyDescent="0.2">
      <c r="M1394" s="2"/>
      <c r="N1394" s="2"/>
      <c r="O1394" s="2"/>
      <c r="P1394" s="2"/>
      <c r="Q1394" s="2"/>
      <c r="R1394" s="2"/>
      <c r="S1394" s="2"/>
      <c r="T1394" s="2"/>
      <c r="U1394" s="2"/>
    </row>
    <row r="1395" spans="13:21" x14ac:dyDescent="0.2">
      <c r="M1395" s="2"/>
      <c r="N1395" s="2"/>
      <c r="O1395" s="2"/>
      <c r="P1395" s="2"/>
      <c r="Q1395" s="2"/>
      <c r="R1395" s="2"/>
      <c r="S1395" s="2"/>
      <c r="T1395" s="2"/>
      <c r="U1395" s="2"/>
    </row>
    <row r="1396" spans="13:21" x14ac:dyDescent="0.2">
      <c r="M1396" s="2"/>
      <c r="N1396" s="2"/>
      <c r="O1396" s="2"/>
      <c r="P1396" s="2"/>
      <c r="Q1396" s="2"/>
      <c r="R1396" s="2"/>
      <c r="S1396" s="2"/>
      <c r="T1396" s="2"/>
      <c r="U1396" s="2"/>
    </row>
    <row r="1397" spans="13:21" x14ac:dyDescent="0.2">
      <c r="M1397" s="2"/>
      <c r="N1397" s="2"/>
      <c r="O1397" s="2"/>
      <c r="P1397" s="2"/>
      <c r="Q1397" s="2"/>
      <c r="R1397" s="2"/>
      <c r="S1397" s="2"/>
      <c r="T1397" s="2"/>
      <c r="U1397" s="2"/>
    </row>
    <row r="1398" spans="13:21" x14ac:dyDescent="0.2">
      <c r="M1398" s="2"/>
      <c r="N1398" s="2"/>
      <c r="O1398" s="2"/>
      <c r="P1398" s="2"/>
      <c r="Q1398" s="2"/>
      <c r="R1398" s="2"/>
      <c r="S1398" s="2"/>
      <c r="T1398" s="2"/>
      <c r="U1398" s="2"/>
    </row>
    <row r="1399" spans="13:21" x14ac:dyDescent="0.2">
      <c r="M1399" s="2"/>
      <c r="N1399" s="2"/>
      <c r="O1399" s="2"/>
      <c r="P1399" s="2"/>
      <c r="Q1399" s="2"/>
      <c r="R1399" s="2"/>
      <c r="S1399" s="2"/>
      <c r="T1399" s="2"/>
      <c r="U1399" s="2"/>
    </row>
    <row r="1400" spans="13:21" x14ac:dyDescent="0.2">
      <c r="M1400" s="2"/>
      <c r="N1400" s="2"/>
      <c r="O1400" s="2"/>
      <c r="P1400" s="2"/>
      <c r="Q1400" s="2"/>
      <c r="R1400" s="2"/>
      <c r="S1400" s="2"/>
      <c r="T1400" s="2"/>
      <c r="U1400" s="2"/>
    </row>
    <row r="1401" spans="13:21" x14ac:dyDescent="0.2">
      <c r="M1401" s="2"/>
      <c r="N1401" s="2"/>
      <c r="O1401" s="2"/>
      <c r="P1401" s="2"/>
      <c r="Q1401" s="2"/>
      <c r="R1401" s="2"/>
      <c r="S1401" s="2"/>
      <c r="T1401" s="2"/>
      <c r="U1401" s="2"/>
    </row>
    <row r="1402" spans="13:21" x14ac:dyDescent="0.2">
      <c r="M1402" s="2"/>
      <c r="N1402" s="2"/>
      <c r="O1402" s="2"/>
      <c r="P1402" s="2"/>
      <c r="Q1402" s="2"/>
      <c r="R1402" s="2"/>
      <c r="S1402" s="2"/>
      <c r="T1402" s="2"/>
      <c r="U1402" s="2"/>
    </row>
    <row r="1403" spans="13:21" x14ac:dyDescent="0.2">
      <c r="M1403" s="2"/>
      <c r="N1403" s="2"/>
      <c r="O1403" s="2"/>
      <c r="P1403" s="2"/>
      <c r="Q1403" s="2"/>
      <c r="R1403" s="2"/>
      <c r="S1403" s="2"/>
      <c r="T1403" s="2"/>
      <c r="U1403" s="2"/>
    </row>
    <row r="1404" spans="13:21" x14ac:dyDescent="0.2">
      <c r="M1404" s="2"/>
      <c r="N1404" s="2"/>
      <c r="O1404" s="2"/>
      <c r="P1404" s="2"/>
      <c r="Q1404" s="2"/>
      <c r="R1404" s="2"/>
      <c r="S1404" s="2"/>
      <c r="T1404" s="2"/>
      <c r="U1404" s="2"/>
    </row>
    <row r="1405" spans="13:21" x14ac:dyDescent="0.2">
      <c r="M1405" s="2"/>
      <c r="N1405" s="2"/>
      <c r="O1405" s="2"/>
      <c r="P1405" s="2"/>
      <c r="Q1405" s="2"/>
      <c r="R1405" s="2"/>
      <c r="S1405" s="2"/>
      <c r="T1405" s="2"/>
      <c r="U1405" s="2"/>
    </row>
    <row r="1406" spans="13:21" x14ac:dyDescent="0.2">
      <c r="M1406" s="2"/>
      <c r="N1406" s="2"/>
      <c r="O1406" s="2"/>
      <c r="P1406" s="2"/>
      <c r="Q1406" s="2"/>
      <c r="R1406" s="2"/>
      <c r="S1406" s="2"/>
      <c r="T1406" s="2"/>
      <c r="U1406" s="2"/>
    </row>
    <row r="1407" spans="13:21" x14ac:dyDescent="0.2">
      <c r="M1407" s="2"/>
      <c r="N1407" s="2"/>
      <c r="O1407" s="2"/>
      <c r="P1407" s="2"/>
      <c r="Q1407" s="2"/>
      <c r="R1407" s="2"/>
      <c r="S1407" s="2"/>
      <c r="T1407" s="2"/>
      <c r="U1407" s="2"/>
    </row>
    <row r="1408" spans="13:21" x14ac:dyDescent="0.2">
      <c r="M1408" s="2"/>
      <c r="N1408" s="2"/>
      <c r="O1408" s="2"/>
      <c r="P1408" s="2"/>
      <c r="Q1408" s="2"/>
      <c r="R1408" s="2"/>
      <c r="S1408" s="2"/>
      <c r="T1408" s="2"/>
      <c r="U1408" s="2"/>
    </row>
    <row r="1409" spans="13:21" x14ac:dyDescent="0.2">
      <c r="M1409" s="2"/>
      <c r="N1409" s="2"/>
      <c r="O1409" s="2"/>
      <c r="P1409" s="2"/>
      <c r="Q1409" s="2"/>
      <c r="R1409" s="2"/>
      <c r="S1409" s="2"/>
      <c r="T1409" s="2"/>
      <c r="U1409" s="2"/>
    </row>
    <row r="1410" spans="13:21" x14ac:dyDescent="0.2">
      <c r="M1410" s="2"/>
      <c r="N1410" s="2"/>
      <c r="O1410" s="2"/>
      <c r="P1410" s="2"/>
      <c r="Q1410" s="2"/>
      <c r="R1410" s="2"/>
      <c r="S1410" s="2"/>
      <c r="T1410" s="2"/>
      <c r="U1410" s="2"/>
    </row>
    <row r="1411" spans="13:21" x14ac:dyDescent="0.2">
      <c r="M1411" s="2"/>
      <c r="N1411" s="2"/>
      <c r="O1411" s="2"/>
      <c r="P1411" s="2"/>
      <c r="Q1411" s="2"/>
      <c r="R1411" s="2"/>
      <c r="S1411" s="2"/>
      <c r="T1411" s="2"/>
      <c r="U1411" s="2"/>
    </row>
    <row r="1412" spans="13:21" x14ac:dyDescent="0.2">
      <c r="M1412" s="2"/>
      <c r="N1412" s="2"/>
      <c r="O1412" s="2"/>
      <c r="P1412" s="2"/>
      <c r="Q1412" s="2"/>
      <c r="R1412" s="2"/>
      <c r="S1412" s="2"/>
      <c r="T1412" s="2"/>
      <c r="U1412" s="2"/>
    </row>
    <row r="1413" spans="13:21" x14ac:dyDescent="0.2">
      <c r="M1413" s="2"/>
      <c r="N1413" s="2"/>
      <c r="O1413" s="2"/>
      <c r="P1413" s="2"/>
      <c r="Q1413" s="2"/>
      <c r="R1413" s="2"/>
      <c r="S1413" s="2"/>
      <c r="T1413" s="2"/>
      <c r="U1413" s="2"/>
    </row>
    <row r="1414" spans="13:21" x14ac:dyDescent="0.2">
      <c r="M1414" s="2"/>
      <c r="N1414" s="2"/>
      <c r="O1414" s="2"/>
      <c r="P1414" s="2"/>
      <c r="Q1414" s="2"/>
      <c r="R1414" s="2"/>
      <c r="S1414" s="2"/>
      <c r="T1414" s="2"/>
      <c r="U1414" s="2"/>
    </row>
    <row r="1415" spans="13:21" x14ac:dyDescent="0.2">
      <c r="M1415" s="2"/>
      <c r="N1415" s="2"/>
      <c r="O1415" s="2"/>
      <c r="P1415" s="2"/>
      <c r="Q1415" s="2"/>
      <c r="R1415" s="2"/>
      <c r="S1415" s="2"/>
      <c r="T1415" s="2"/>
      <c r="U1415" s="2"/>
    </row>
    <row r="1416" spans="13:21" x14ac:dyDescent="0.2">
      <c r="M1416" s="2"/>
      <c r="N1416" s="2"/>
      <c r="O1416" s="2"/>
      <c r="P1416" s="2"/>
      <c r="Q1416" s="2"/>
      <c r="R1416" s="2"/>
      <c r="S1416" s="2"/>
      <c r="T1416" s="2"/>
      <c r="U1416" s="2"/>
    </row>
    <row r="1417" spans="13:21" x14ac:dyDescent="0.2">
      <c r="M1417" s="2"/>
      <c r="N1417" s="2"/>
      <c r="O1417" s="2"/>
      <c r="P1417" s="2"/>
      <c r="Q1417" s="2"/>
      <c r="R1417" s="2"/>
      <c r="S1417" s="2"/>
      <c r="T1417" s="2"/>
      <c r="U1417" s="2"/>
    </row>
    <row r="1418" spans="13:21" x14ac:dyDescent="0.2">
      <c r="M1418" s="2"/>
      <c r="N1418" s="2"/>
      <c r="O1418" s="2"/>
      <c r="P1418" s="2"/>
      <c r="Q1418" s="2"/>
      <c r="R1418" s="2"/>
      <c r="S1418" s="2"/>
      <c r="T1418" s="2"/>
      <c r="U1418" s="2"/>
    </row>
    <row r="1419" spans="13:21" x14ac:dyDescent="0.2">
      <c r="M1419" s="2"/>
      <c r="N1419" s="2"/>
      <c r="O1419" s="2"/>
      <c r="P1419" s="2"/>
      <c r="Q1419" s="2"/>
      <c r="R1419" s="2"/>
      <c r="S1419" s="2"/>
      <c r="T1419" s="2"/>
      <c r="U1419" s="2"/>
    </row>
    <row r="1420" spans="13:21" x14ac:dyDescent="0.2">
      <c r="M1420" s="2"/>
      <c r="N1420" s="2"/>
      <c r="O1420" s="2"/>
      <c r="P1420" s="2"/>
      <c r="Q1420" s="2"/>
      <c r="R1420" s="2"/>
      <c r="S1420" s="2"/>
      <c r="T1420" s="2"/>
      <c r="U1420" s="2"/>
    </row>
    <row r="1421" spans="13:21" x14ac:dyDescent="0.2">
      <c r="M1421" s="2"/>
      <c r="N1421" s="2"/>
      <c r="O1421" s="2"/>
      <c r="P1421" s="2"/>
      <c r="Q1421" s="2"/>
      <c r="R1421" s="2"/>
      <c r="S1421" s="2"/>
      <c r="T1421" s="2"/>
      <c r="U1421" s="2"/>
    </row>
    <row r="1422" spans="13:21" x14ac:dyDescent="0.2">
      <c r="M1422" s="2"/>
      <c r="N1422" s="2"/>
      <c r="O1422" s="2"/>
      <c r="P1422" s="2"/>
      <c r="Q1422" s="2"/>
      <c r="R1422" s="2"/>
      <c r="S1422" s="2"/>
      <c r="T1422" s="2"/>
      <c r="U1422" s="2"/>
    </row>
    <row r="1423" spans="13:21" x14ac:dyDescent="0.2">
      <c r="M1423" s="2"/>
      <c r="N1423" s="2"/>
      <c r="O1423" s="2"/>
      <c r="P1423" s="2"/>
      <c r="Q1423" s="2"/>
      <c r="R1423" s="2"/>
      <c r="S1423" s="2"/>
      <c r="T1423" s="2"/>
      <c r="U1423" s="2"/>
    </row>
    <row r="1424" spans="13:21" x14ac:dyDescent="0.2">
      <c r="M1424" s="2"/>
      <c r="N1424" s="2"/>
      <c r="O1424" s="2"/>
      <c r="P1424" s="2"/>
      <c r="Q1424" s="2"/>
      <c r="R1424" s="2"/>
      <c r="S1424" s="2"/>
      <c r="T1424" s="2"/>
      <c r="U1424" s="2"/>
    </row>
    <row r="1425" spans="13:21" x14ac:dyDescent="0.2">
      <c r="M1425" s="2"/>
      <c r="N1425" s="2"/>
      <c r="O1425" s="2"/>
      <c r="P1425" s="2"/>
      <c r="Q1425" s="2"/>
      <c r="R1425" s="2"/>
      <c r="S1425" s="2"/>
      <c r="T1425" s="2"/>
      <c r="U1425" s="2"/>
    </row>
    <row r="1426" spans="13:21" x14ac:dyDescent="0.2">
      <c r="M1426" s="2"/>
      <c r="N1426" s="2"/>
      <c r="O1426" s="2"/>
      <c r="P1426" s="2"/>
      <c r="Q1426" s="2"/>
      <c r="R1426" s="2"/>
      <c r="S1426" s="2"/>
      <c r="T1426" s="2"/>
      <c r="U1426" s="2"/>
    </row>
    <row r="1427" spans="13:21" x14ac:dyDescent="0.2">
      <c r="M1427" s="2"/>
      <c r="N1427" s="2"/>
      <c r="O1427" s="2"/>
      <c r="P1427" s="2"/>
      <c r="Q1427" s="2"/>
      <c r="R1427" s="2"/>
      <c r="S1427" s="2"/>
      <c r="T1427" s="2"/>
      <c r="U1427" s="2"/>
    </row>
    <row r="1428" spans="13:21" x14ac:dyDescent="0.2">
      <c r="M1428" s="2"/>
      <c r="N1428" s="2"/>
      <c r="O1428" s="2"/>
      <c r="P1428" s="2"/>
      <c r="Q1428" s="2"/>
      <c r="R1428" s="2"/>
      <c r="S1428" s="2"/>
      <c r="T1428" s="2"/>
      <c r="U1428" s="2"/>
    </row>
    <row r="1429" spans="13:21" x14ac:dyDescent="0.2">
      <c r="M1429" s="2"/>
      <c r="N1429" s="2"/>
      <c r="O1429" s="2"/>
      <c r="P1429" s="2"/>
      <c r="Q1429" s="2"/>
      <c r="R1429" s="2"/>
      <c r="S1429" s="2"/>
      <c r="T1429" s="2"/>
      <c r="U1429" s="2"/>
    </row>
    <row r="1430" spans="13:21" x14ac:dyDescent="0.2">
      <c r="M1430" s="2"/>
      <c r="N1430" s="2"/>
      <c r="O1430" s="2"/>
      <c r="P1430" s="2"/>
      <c r="Q1430" s="2"/>
      <c r="R1430" s="2"/>
      <c r="S1430" s="2"/>
      <c r="T1430" s="2"/>
      <c r="U1430" s="2"/>
    </row>
    <row r="1431" spans="13:21" x14ac:dyDescent="0.2">
      <c r="M1431" s="2"/>
      <c r="N1431" s="2"/>
      <c r="O1431" s="2"/>
      <c r="P1431" s="2"/>
      <c r="Q1431" s="2"/>
      <c r="R1431" s="2"/>
      <c r="S1431" s="2"/>
      <c r="T1431" s="2"/>
      <c r="U1431" s="2"/>
    </row>
    <row r="1432" spans="13:21" x14ac:dyDescent="0.2">
      <c r="M1432" s="2"/>
      <c r="N1432" s="2"/>
      <c r="O1432" s="2"/>
      <c r="P1432" s="2"/>
      <c r="Q1432" s="2"/>
      <c r="R1432" s="2"/>
      <c r="S1432" s="2"/>
      <c r="T1432" s="2"/>
      <c r="U1432" s="2"/>
    </row>
    <row r="1433" spans="13:21" x14ac:dyDescent="0.2">
      <c r="M1433" s="2"/>
      <c r="N1433" s="2"/>
      <c r="O1433" s="2"/>
      <c r="P1433" s="2"/>
      <c r="Q1433" s="2"/>
      <c r="R1433" s="2"/>
      <c r="S1433" s="2"/>
      <c r="T1433" s="2"/>
      <c r="U1433" s="2"/>
    </row>
    <row r="1434" spans="13:21" x14ac:dyDescent="0.2">
      <c r="M1434" s="2"/>
      <c r="N1434" s="2"/>
      <c r="O1434" s="2"/>
      <c r="P1434" s="2"/>
      <c r="Q1434" s="2"/>
      <c r="R1434" s="2"/>
      <c r="S1434" s="2"/>
      <c r="T1434" s="2"/>
      <c r="U1434" s="2"/>
    </row>
    <row r="1435" spans="13:21" x14ac:dyDescent="0.2">
      <c r="M1435" s="2"/>
      <c r="N1435" s="2"/>
      <c r="O1435" s="2"/>
      <c r="P1435" s="2"/>
      <c r="Q1435" s="2"/>
      <c r="R1435" s="2"/>
      <c r="S1435" s="2"/>
      <c r="T1435" s="2"/>
      <c r="U1435" s="2"/>
    </row>
    <row r="1436" spans="13:21" x14ac:dyDescent="0.2">
      <c r="M1436" s="2"/>
      <c r="N1436" s="2"/>
      <c r="O1436" s="2"/>
      <c r="P1436" s="2"/>
      <c r="Q1436" s="2"/>
      <c r="R1436" s="2"/>
      <c r="S1436" s="2"/>
      <c r="T1436" s="2"/>
      <c r="U1436" s="2"/>
    </row>
    <row r="1437" spans="13:21" x14ac:dyDescent="0.2">
      <c r="M1437" s="2"/>
      <c r="N1437" s="2"/>
      <c r="O1437" s="2"/>
      <c r="P1437" s="2"/>
      <c r="Q1437" s="2"/>
      <c r="R1437" s="2"/>
      <c r="S1437" s="2"/>
      <c r="T1437" s="2"/>
      <c r="U1437" s="2"/>
    </row>
    <row r="1438" spans="13:21" x14ac:dyDescent="0.2">
      <c r="M1438" s="2"/>
      <c r="N1438" s="2"/>
      <c r="O1438" s="2"/>
      <c r="P1438" s="2"/>
      <c r="Q1438" s="2"/>
      <c r="R1438" s="2"/>
      <c r="S1438" s="2"/>
      <c r="T1438" s="2"/>
      <c r="U1438" s="2"/>
    </row>
    <row r="1439" spans="13:21" x14ac:dyDescent="0.2">
      <c r="M1439" s="2"/>
      <c r="N1439" s="2"/>
      <c r="O1439" s="2"/>
      <c r="P1439" s="2"/>
      <c r="Q1439" s="2"/>
      <c r="R1439" s="2"/>
      <c r="S1439" s="2"/>
      <c r="T1439" s="2"/>
      <c r="U1439" s="2"/>
    </row>
    <row r="1440" spans="13:21" x14ac:dyDescent="0.2">
      <c r="M1440" s="2"/>
      <c r="N1440" s="2"/>
      <c r="O1440" s="2"/>
      <c r="P1440" s="2"/>
      <c r="Q1440" s="2"/>
      <c r="R1440" s="2"/>
      <c r="S1440" s="2"/>
      <c r="T1440" s="2"/>
      <c r="U1440" s="2"/>
    </row>
    <row r="1441" spans="13:21" x14ac:dyDescent="0.2">
      <c r="M1441" s="2"/>
      <c r="N1441" s="2"/>
      <c r="O1441" s="2"/>
      <c r="P1441" s="2"/>
      <c r="Q1441" s="2"/>
      <c r="R1441" s="2"/>
      <c r="S1441" s="2"/>
      <c r="T1441" s="2"/>
      <c r="U1441" s="2"/>
    </row>
    <row r="1442" spans="13:21" x14ac:dyDescent="0.2">
      <c r="M1442" s="2"/>
      <c r="N1442" s="2"/>
      <c r="O1442" s="2"/>
      <c r="P1442" s="2"/>
      <c r="Q1442" s="2"/>
      <c r="R1442" s="2"/>
      <c r="S1442" s="2"/>
      <c r="T1442" s="2"/>
      <c r="U1442" s="2"/>
    </row>
    <row r="1443" spans="13:21" x14ac:dyDescent="0.2">
      <c r="M1443" s="2"/>
      <c r="N1443" s="2"/>
      <c r="O1443" s="2"/>
      <c r="P1443" s="2"/>
      <c r="Q1443" s="2"/>
      <c r="R1443" s="2"/>
      <c r="S1443" s="2"/>
      <c r="T1443" s="2"/>
      <c r="U1443" s="2"/>
    </row>
    <row r="1444" spans="13:21" x14ac:dyDescent="0.2">
      <c r="M1444" s="2"/>
      <c r="N1444" s="2"/>
      <c r="O1444" s="2"/>
      <c r="P1444" s="2"/>
      <c r="Q1444" s="2"/>
      <c r="R1444" s="2"/>
      <c r="S1444" s="2"/>
      <c r="T1444" s="2"/>
      <c r="U1444" s="2"/>
    </row>
    <row r="1445" spans="13:21" x14ac:dyDescent="0.2">
      <c r="M1445" s="2"/>
      <c r="N1445" s="2"/>
      <c r="O1445" s="2"/>
      <c r="P1445" s="2"/>
      <c r="Q1445" s="2"/>
      <c r="R1445" s="2"/>
      <c r="S1445" s="2"/>
      <c r="T1445" s="2"/>
      <c r="U1445" s="2"/>
    </row>
    <row r="1446" spans="13:21" x14ac:dyDescent="0.2">
      <c r="M1446" s="2"/>
      <c r="N1446" s="2"/>
      <c r="O1446" s="2"/>
      <c r="P1446" s="2"/>
      <c r="Q1446" s="2"/>
      <c r="R1446" s="2"/>
      <c r="S1446" s="2"/>
      <c r="T1446" s="2"/>
      <c r="U1446" s="2"/>
    </row>
    <row r="1447" spans="13:21" x14ac:dyDescent="0.2">
      <c r="M1447" s="2"/>
      <c r="N1447" s="2"/>
      <c r="O1447" s="2"/>
      <c r="P1447" s="2"/>
      <c r="Q1447" s="2"/>
      <c r="R1447" s="2"/>
      <c r="S1447" s="2"/>
      <c r="T1447" s="2"/>
      <c r="U1447" s="2"/>
    </row>
    <row r="1448" spans="13:21" x14ac:dyDescent="0.2">
      <c r="M1448" s="2"/>
      <c r="N1448" s="2"/>
      <c r="O1448" s="2"/>
      <c r="P1448" s="2"/>
      <c r="Q1448" s="2"/>
      <c r="R1448" s="2"/>
      <c r="S1448" s="2"/>
      <c r="T1448" s="2"/>
      <c r="U1448" s="2"/>
    </row>
    <row r="1449" spans="13:21" x14ac:dyDescent="0.2">
      <c r="M1449" s="2"/>
      <c r="N1449" s="2"/>
      <c r="O1449" s="2"/>
      <c r="P1449" s="2"/>
      <c r="Q1449" s="2"/>
      <c r="R1449" s="2"/>
      <c r="S1449" s="2"/>
      <c r="T1449" s="2"/>
      <c r="U1449" s="2"/>
    </row>
    <row r="1450" spans="13:21" x14ac:dyDescent="0.2">
      <c r="M1450" s="2"/>
      <c r="N1450" s="2"/>
      <c r="O1450" s="2"/>
      <c r="P1450" s="2"/>
      <c r="Q1450" s="2"/>
      <c r="R1450" s="2"/>
      <c r="S1450" s="2"/>
      <c r="T1450" s="2"/>
      <c r="U1450" s="2"/>
    </row>
    <row r="1451" spans="13:21" x14ac:dyDescent="0.2">
      <c r="M1451" s="2"/>
      <c r="N1451" s="2"/>
      <c r="O1451" s="2"/>
      <c r="P1451" s="2"/>
      <c r="Q1451" s="2"/>
      <c r="R1451" s="2"/>
      <c r="S1451" s="2"/>
      <c r="T1451" s="2"/>
      <c r="U1451" s="2"/>
    </row>
    <row r="1452" spans="13:21" x14ac:dyDescent="0.2">
      <c r="M1452" s="2"/>
      <c r="N1452" s="2"/>
      <c r="O1452" s="2"/>
      <c r="P1452" s="2"/>
      <c r="Q1452" s="2"/>
      <c r="R1452" s="2"/>
      <c r="S1452" s="2"/>
      <c r="T1452" s="2"/>
      <c r="U1452" s="2"/>
    </row>
    <row r="1453" spans="13:21" x14ac:dyDescent="0.2">
      <c r="M1453" s="2"/>
      <c r="N1453" s="2"/>
      <c r="O1453" s="2"/>
      <c r="P1453" s="2"/>
      <c r="Q1453" s="2"/>
      <c r="R1453" s="2"/>
      <c r="S1453" s="2"/>
      <c r="T1453" s="2"/>
      <c r="U1453" s="2"/>
    </row>
    <row r="1454" spans="13:21" x14ac:dyDescent="0.2">
      <c r="M1454" s="2"/>
      <c r="N1454" s="2"/>
      <c r="O1454" s="2"/>
      <c r="P1454" s="2"/>
      <c r="Q1454" s="2"/>
      <c r="R1454" s="2"/>
      <c r="S1454" s="2"/>
      <c r="T1454" s="2"/>
      <c r="U1454" s="2"/>
    </row>
    <row r="1455" spans="13:21" x14ac:dyDescent="0.2">
      <c r="M1455" s="2"/>
      <c r="N1455" s="2"/>
      <c r="O1455" s="2"/>
      <c r="P1455" s="2"/>
      <c r="Q1455" s="2"/>
      <c r="R1455" s="2"/>
      <c r="S1455" s="2"/>
      <c r="T1455" s="2"/>
      <c r="U1455" s="2"/>
    </row>
    <row r="1456" spans="13:21" x14ac:dyDescent="0.2">
      <c r="M1456" s="2"/>
      <c r="N1456" s="2"/>
      <c r="O1456" s="2"/>
      <c r="P1456" s="2"/>
      <c r="Q1456" s="2"/>
      <c r="R1456" s="2"/>
      <c r="S1456" s="2"/>
      <c r="T1456" s="2"/>
      <c r="U1456" s="2"/>
    </row>
    <row r="1457" spans="13:21" x14ac:dyDescent="0.2">
      <c r="M1457" s="2"/>
      <c r="N1457" s="2"/>
      <c r="O1457" s="2"/>
      <c r="P1457" s="2"/>
      <c r="Q1457" s="2"/>
      <c r="R1457" s="2"/>
      <c r="S1457" s="2"/>
      <c r="T1457" s="2"/>
      <c r="U1457" s="2"/>
    </row>
    <row r="1458" spans="13:21" x14ac:dyDescent="0.2">
      <c r="M1458" s="2"/>
      <c r="N1458" s="2"/>
      <c r="O1458" s="2"/>
      <c r="P1458" s="2"/>
      <c r="Q1458" s="2"/>
      <c r="R1458" s="2"/>
      <c r="S1458" s="2"/>
      <c r="T1458" s="2"/>
      <c r="U1458" s="2"/>
    </row>
    <row r="1459" spans="13:21" x14ac:dyDescent="0.2">
      <c r="M1459" s="2"/>
      <c r="N1459" s="2"/>
      <c r="O1459" s="2"/>
      <c r="P1459" s="2"/>
      <c r="Q1459" s="2"/>
      <c r="R1459" s="2"/>
      <c r="S1459" s="2"/>
      <c r="T1459" s="2"/>
      <c r="U1459" s="2"/>
    </row>
    <row r="1460" spans="13:21" x14ac:dyDescent="0.2">
      <c r="M1460" s="2"/>
      <c r="N1460" s="2"/>
      <c r="O1460" s="2"/>
      <c r="P1460" s="2"/>
      <c r="Q1460" s="2"/>
      <c r="R1460" s="2"/>
      <c r="S1460" s="2"/>
      <c r="T1460" s="2"/>
      <c r="U1460" s="2"/>
    </row>
    <row r="1461" spans="13:21" x14ac:dyDescent="0.2">
      <c r="M1461" s="2"/>
      <c r="N1461" s="2"/>
      <c r="O1461" s="2"/>
      <c r="P1461" s="2"/>
      <c r="Q1461" s="2"/>
      <c r="R1461" s="2"/>
      <c r="S1461" s="2"/>
      <c r="T1461" s="2"/>
      <c r="U1461" s="2"/>
    </row>
    <row r="1462" spans="13:21" x14ac:dyDescent="0.2">
      <c r="M1462" s="2"/>
      <c r="N1462" s="2"/>
      <c r="O1462" s="2"/>
      <c r="P1462" s="2"/>
      <c r="Q1462" s="2"/>
      <c r="R1462" s="2"/>
      <c r="S1462" s="2"/>
      <c r="T1462" s="2"/>
      <c r="U1462" s="2"/>
    </row>
    <row r="1463" spans="13:21" x14ac:dyDescent="0.2">
      <c r="M1463" s="2"/>
      <c r="N1463" s="2"/>
      <c r="O1463" s="2"/>
      <c r="P1463" s="2"/>
      <c r="Q1463" s="2"/>
      <c r="R1463" s="2"/>
      <c r="S1463" s="2"/>
      <c r="T1463" s="2"/>
      <c r="U1463" s="2"/>
    </row>
    <row r="1464" spans="13:21" x14ac:dyDescent="0.2">
      <c r="M1464" s="2"/>
      <c r="N1464" s="2"/>
      <c r="O1464" s="2"/>
      <c r="P1464" s="2"/>
      <c r="Q1464" s="2"/>
      <c r="R1464" s="2"/>
      <c r="S1464" s="2"/>
      <c r="T1464" s="2"/>
      <c r="U1464" s="2"/>
    </row>
    <row r="1465" spans="13:21" x14ac:dyDescent="0.2">
      <c r="M1465" s="2"/>
      <c r="N1465" s="2"/>
      <c r="O1465" s="2"/>
      <c r="P1465" s="2"/>
      <c r="Q1465" s="2"/>
      <c r="R1465" s="2"/>
      <c r="S1465" s="2"/>
      <c r="T1465" s="2"/>
      <c r="U1465" s="2"/>
    </row>
    <row r="1466" spans="13:21" x14ac:dyDescent="0.2">
      <c r="M1466" s="2"/>
      <c r="N1466" s="2"/>
      <c r="O1466" s="2"/>
      <c r="P1466" s="2"/>
      <c r="Q1466" s="2"/>
      <c r="R1466" s="2"/>
      <c r="S1466" s="2"/>
      <c r="T1466" s="2"/>
      <c r="U1466" s="2"/>
    </row>
    <row r="1467" spans="13:21" x14ac:dyDescent="0.2">
      <c r="M1467" s="2"/>
      <c r="N1467" s="2"/>
      <c r="O1467" s="2"/>
      <c r="P1467" s="2"/>
      <c r="Q1467" s="2"/>
      <c r="R1467" s="2"/>
      <c r="S1467" s="2"/>
      <c r="T1467" s="2"/>
      <c r="U1467" s="2"/>
    </row>
    <row r="1468" spans="13:21" x14ac:dyDescent="0.2">
      <c r="M1468" s="2"/>
      <c r="N1468" s="2"/>
      <c r="O1468" s="2"/>
      <c r="P1468" s="2"/>
      <c r="Q1468" s="2"/>
      <c r="R1468" s="2"/>
      <c r="S1468" s="2"/>
      <c r="T1468" s="2"/>
      <c r="U1468" s="2"/>
    </row>
    <row r="1469" spans="13:21" x14ac:dyDescent="0.2">
      <c r="M1469" s="2"/>
      <c r="N1469" s="2"/>
      <c r="O1469" s="2"/>
      <c r="P1469" s="2"/>
      <c r="Q1469" s="2"/>
      <c r="R1469" s="2"/>
      <c r="S1469" s="2"/>
      <c r="T1469" s="2"/>
      <c r="U1469" s="2"/>
    </row>
    <row r="1470" spans="13:21" x14ac:dyDescent="0.2">
      <c r="M1470" s="2"/>
      <c r="N1470" s="2"/>
      <c r="O1470" s="2"/>
      <c r="P1470" s="2"/>
      <c r="Q1470" s="2"/>
      <c r="R1470" s="2"/>
      <c r="S1470" s="2"/>
      <c r="T1470" s="2"/>
      <c r="U1470" s="2"/>
    </row>
    <row r="1471" spans="13:21" x14ac:dyDescent="0.2">
      <c r="M1471" s="2"/>
      <c r="N1471" s="2"/>
      <c r="O1471" s="2"/>
      <c r="P1471" s="2"/>
      <c r="Q1471" s="2"/>
      <c r="R1471" s="2"/>
      <c r="S1471" s="2"/>
      <c r="T1471" s="2"/>
      <c r="U1471" s="2"/>
    </row>
    <row r="1472" spans="13:21" x14ac:dyDescent="0.2">
      <c r="M1472" s="2"/>
      <c r="N1472" s="2"/>
      <c r="O1472" s="2"/>
      <c r="P1472" s="2"/>
      <c r="Q1472" s="2"/>
      <c r="R1472" s="2"/>
      <c r="S1472" s="2"/>
      <c r="T1472" s="2"/>
      <c r="U1472" s="2"/>
    </row>
    <row r="1473" spans="13:21" x14ac:dyDescent="0.2">
      <c r="M1473" s="2"/>
      <c r="N1473" s="2"/>
      <c r="O1473" s="2"/>
      <c r="P1473" s="2"/>
      <c r="Q1473" s="2"/>
      <c r="R1473" s="2"/>
      <c r="S1473" s="2"/>
      <c r="T1473" s="2"/>
      <c r="U1473" s="2"/>
    </row>
    <row r="1474" spans="13:21" x14ac:dyDescent="0.2">
      <c r="M1474" s="2"/>
      <c r="N1474" s="2"/>
      <c r="O1474" s="2"/>
      <c r="P1474" s="2"/>
      <c r="Q1474" s="2"/>
      <c r="R1474" s="2"/>
      <c r="S1474" s="2"/>
      <c r="T1474" s="2"/>
      <c r="U1474" s="2"/>
    </row>
    <row r="1475" spans="13:21" x14ac:dyDescent="0.2">
      <c r="M1475" s="2"/>
      <c r="N1475" s="2"/>
      <c r="O1475" s="2"/>
      <c r="P1475" s="2"/>
      <c r="Q1475" s="2"/>
      <c r="R1475" s="2"/>
      <c r="S1475" s="2"/>
      <c r="T1475" s="2"/>
      <c r="U1475" s="2"/>
    </row>
    <row r="1476" spans="13:21" x14ac:dyDescent="0.2">
      <c r="M1476" s="2"/>
      <c r="N1476" s="2"/>
      <c r="O1476" s="2"/>
      <c r="P1476" s="2"/>
      <c r="Q1476" s="2"/>
      <c r="R1476" s="2"/>
      <c r="S1476" s="2"/>
      <c r="T1476" s="2"/>
      <c r="U1476" s="2"/>
    </row>
    <row r="1477" spans="13:21" x14ac:dyDescent="0.2">
      <c r="M1477" s="2"/>
      <c r="N1477" s="2"/>
      <c r="O1477" s="2"/>
      <c r="P1477" s="2"/>
      <c r="Q1477" s="2"/>
      <c r="R1477" s="2"/>
      <c r="S1477" s="2"/>
      <c r="T1477" s="2"/>
      <c r="U1477" s="2"/>
    </row>
    <row r="1478" spans="13:21" x14ac:dyDescent="0.2">
      <c r="M1478" s="2"/>
      <c r="N1478" s="2"/>
      <c r="O1478" s="2"/>
      <c r="P1478" s="2"/>
      <c r="Q1478" s="2"/>
      <c r="R1478" s="2"/>
      <c r="S1478" s="2"/>
      <c r="T1478" s="2"/>
      <c r="U1478" s="2"/>
    </row>
    <row r="1479" spans="13:21" x14ac:dyDescent="0.2">
      <c r="M1479" s="2"/>
      <c r="N1479" s="2"/>
      <c r="O1479" s="2"/>
      <c r="P1479" s="2"/>
      <c r="Q1479" s="2"/>
      <c r="R1479" s="2"/>
      <c r="S1479" s="2"/>
      <c r="T1479" s="2"/>
      <c r="U1479" s="2"/>
    </row>
    <row r="1480" spans="13:21" x14ac:dyDescent="0.2">
      <c r="M1480" s="2"/>
      <c r="N1480" s="2"/>
      <c r="O1480" s="2"/>
      <c r="P1480" s="2"/>
      <c r="Q1480" s="2"/>
      <c r="R1480" s="2"/>
      <c r="S1480" s="2"/>
      <c r="T1480" s="2"/>
      <c r="U1480" s="2"/>
    </row>
    <row r="1481" spans="13:21" x14ac:dyDescent="0.2">
      <c r="M1481" s="2"/>
      <c r="N1481" s="2"/>
      <c r="O1481" s="2"/>
      <c r="P1481" s="2"/>
      <c r="Q1481" s="2"/>
      <c r="R1481" s="2"/>
      <c r="S1481" s="2"/>
      <c r="T1481" s="2"/>
      <c r="U1481" s="2"/>
    </row>
    <row r="1482" spans="13:21" x14ac:dyDescent="0.2">
      <c r="M1482" s="2"/>
      <c r="N1482" s="2"/>
      <c r="O1482" s="2"/>
      <c r="P1482" s="2"/>
      <c r="Q1482" s="2"/>
      <c r="R1482" s="2"/>
      <c r="S1482" s="2"/>
      <c r="T1482" s="2"/>
      <c r="U1482" s="2"/>
    </row>
    <row r="1483" spans="13:21" x14ac:dyDescent="0.2">
      <c r="M1483" s="2"/>
      <c r="N1483" s="2"/>
      <c r="O1483" s="2"/>
      <c r="P1483" s="2"/>
      <c r="Q1483" s="2"/>
      <c r="R1483" s="2"/>
      <c r="S1483" s="2"/>
      <c r="T1483" s="2"/>
      <c r="U1483" s="2"/>
    </row>
    <row r="1484" spans="13:21" x14ac:dyDescent="0.2">
      <c r="M1484" s="2"/>
      <c r="N1484" s="2"/>
      <c r="O1484" s="2"/>
      <c r="P1484" s="2"/>
      <c r="Q1484" s="2"/>
      <c r="R1484" s="2"/>
      <c r="S1484" s="2"/>
      <c r="T1484" s="2"/>
      <c r="U1484" s="2"/>
    </row>
    <row r="1485" spans="13:21" x14ac:dyDescent="0.2">
      <c r="M1485" s="2"/>
      <c r="N1485" s="2"/>
      <c r="O1485" s="2"/>
      <c r="P1485" s="2"/>
      <c r="Q1485" s="2"/>
      <c r="R1485" s="2"/>
      <c r="S1485" s="2"/>
      <c r="T1485" s="2"/>
      <c r="U1485" s="2"/>
    </row>
    <row r="1486" spans="13:21" x14ac:dyDescent="0.2">
      <c r="M1486" s="2"/>
      <c r="N1486" s="2"/>
      <c r="O1486" s="2"/>
      <c r="P1486" s="2"/>
      <c r="Q1486" s="2"/>
      <c r="R1486" s="2"/>
      <c r="S1486" s="2"/>
      <c r="T1486" s="2"/>
      <c r="U1486" s="2"/>
    </row>
    <row r="1487" spans="13:21" x14ac:dyDescent="0.2">
      <c r="M1487" s="2"/>
      <c r="N1487" s="2"/>
      <c r="O1487" s="2"/>
      <c r="P1487" s="2"/>
      <c r="Q1487" s="2"/>
      <c r="R1487" s="2"/>
      <c r="S1487" s="2"/>
      <c r="T1487" s="2"/>
      <c r="U1487" s="2"/>
    </row>
    <row r="1488" spans="13:21" x14ac:dyDescent="0.2">
      <c r="M1488" s="2"/>
      <c r="N1488" s="2"/>
      <c r="O1488" s="2"/>
      <c r="P1488" s="2"/>
      <c r="Q1488" s="2"/>
      <c r="R1488" s="2"/>
      <c r="S1488" s="2"/>
      <c r="T1488" s="2"/>
      <c r="U1488" s="2"/>
    </row>
    <row r="1489" spans="13:21" x14ac:dyDescent="0.2">
      <c r="M1489" s="2"/>
      <c r="N1489" s="2"/>
      <c r="O1489" s="2"/>
      <c r="P1489" s="2"/>
      <c r="Q1489" s="2"/>
      <c r="R1489" s="2"/>
      <c r="S1489" s="2"/>
      <c r="T1489" s="2"/>
      <c r="U1489" s="2"/>
    </row>
  </sheetData>
  <mergeCells count="3">
    <mergeCell ref="N40:N53"/>
    <mergeCell ref="O40:O53"/>
    <mergeCell ref="P40:P53"/>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D62"/>
  <sheetViews>
    <sheetView zoomScaleNormal="100" workbookViewId="0">
      <selection activeCell="C35" sqref="C35"/>
    </sheetView>
  </sheetViews>
  <sheetFormatPr defaultRowHeight="12.75" x14ac:dyDescent="0.2"/>
  <cols>
    <col min="1" max="1" width="12" style="179" customWidth="1"/>
    <col min="2" max="2" width="12.7109375" style="179" bestFit="1" customWidth="1"/>
    <col min="3" max="3" width="13.28515625" style="179" bestFit="1" customWidth="1"/>
    <col min="4" max="4" width="13.42578125" style="179" bestFit="1" customWidth="1"/>
    <col min="5" max="5" width="13.28515625" style="179" bestFit="1" customWidth="1"/>
    <col min="6" max="6" width="12.7109375" style="179" bestFit="1" customWidth="1"/>
    <col min="7" max="7" width="11.85546875" style="179" bestFit="1" customWidth="1"/>
    <col min="8" max="8" width="12" style="179" bestFit="1" customWidth="1"/>
    <col min="9" max="9" width="12.5703125" style="179" bestFit="1" customWidth="1"/>
    <col min="10" max="10" width="13.28515625" style="179" bestFit="1" customWidth="1"/>
    <col min="11" max="11" width="12.42578125" style="179" bestFit="1" customWidth="1"/>
    <col min="12" max="13" width="12" style="179" bestFit="1" customWidth="1"/>
    <col min="14" max="14" width="13.42578125" style="179" bestFit="1" customWidth="1"/>
    <col min="15" max="17" width="5.42578125" style="179" customWidth="1"/>
    <col min="18" max="18" width="6" style="179" bestFit="1" customWidth="1"/>
    <col min="19" max="30" width="11.28515625" style="179" bestFit="1" customWidth="1"/>
    <col min="31" max="256" width="9.140625" style="179"/>
    <col min="257" max="257" width="12" style="179" customWidth="1"/>
    <col min="258" max="258" width="12.7109375" style="179" bestFit="1" customWidth="1"/>
    <col min="259" max="259" width="13.28515625" style="179" bestFit="1" customWidth="1"/>
    <col min="260" max="260" width="13.42578125" style="179" bestFit="1" customWidth="1"/>
    <col min="261" max="261" width="13.28515625" style="179" bestFit="1" customWidth="1"/>
    <col min="262" max="262" width="12.7109375" style="179" bestFit="1" customWidth="1"/>
    <col min="263" max="263" width="11.85546875" style="179" bestFit="1" customWidth="1"/>
    <col min="264" max="264" width="12" style="179" bestFit="1" customWidth="1"/>
    <col min="265" max="265" width="12.5703125" style="179" bestFit="1" customWidth="1"/>
    <col min="266" max="266" width="13.28515625" style="179" bestFit="1" customWidth="1"/>
    <col min="267" max="267" width="12.42578125" style="179" bestFit="1" customWidth="1"/>
    <col min="268" max="269" width="12" style="179" bestFit="1" customWidth="1"/>
    <col min="270" max="270" width="13.42578125" style="179" bestFit="1" customWidth="1"/>
    <col min="271" max="273" width="5.42578125" style="179" customWidth="1"/>
    <col min="274" max="274" width="6" style="179" bestFit="1" customWidth="1"/>
    <col min="275" max="286" width="11.28515625" style="179" bestFit="1" customWidth="1"/>
    <col min="287" max="512" width="9.140625" style="179"/>
    <col min="513" max="513" width="12" style="179" customWidth="1"/>
    <col min="514" max="514" width="12.7109375" style="179" bestFit="1" customWidth="1"/>
    <col min="515" max="515" width="13.28515625" style="179" bestFit="1" customWidth="1"/>
    <col min="516" max="516" width="13.42578125" style="179" bestFit="1" customWidth="1"/>
    <col min="517" max="517" width="13.28515625" style="179" bestFit="1" customWidth="1"/>
    <col min="518" max="518" width="12.7109375" style="179" bestFit="1" customWidth="1"/>
    <col min="519" max="519" width="11.85546875" style="179" bestFit="1" customWidth="1"/>
    <col min="520" max="520" width="12" style="179" bestFit="1" customWidth="1"/>
    <col min="521" max="521" width="12.5703125" style="179" bestFit="1" customWidth="1"/>
    <col min="522" max="522" width="13.28515625" style="179" bestFit="1" customWidth="1"/>
    <col min="523" max="523" width="12.42578125" style="179" bestFit="1" customWidth="1"/>
    <col min="524" max="525" width="12" style="179" bestFit="1" customWidth="1"/>
    <col min="526" max="526" width="13.42578125" style="179" bestFit="1" customWidth="1"/>
    <col min="527" max="529" width="5.42578125" style="179" customWidth="1"/>
    <col min="530" max="530" width="6" style="179" bestFit="1" customWidth="1"/>
    <col min="531" max="542" width="11.28515625" style="179" bestFit="1" customWidth="1"/>
    <col min="543" max="768" width="9.140625" style="179"/>
    <col min="769" max="769" width="12" style="179" customWidth="1"/>
    <col min="770" max="770" width="12.7109375" style="179" bestFit="1" customWidth="1"/>
    <col min="771" max="771" width="13.28515625" style="179" bestFit="1" customWidth="1"/>
    <col min="772" max="772" width="13.42578125" style="179" bestFit="1" customWidth="1"/>
    <col min="773" max="773" width="13.28515625" style="179" bestFit="1" customWidth="1"/>
    <col min="774" max="774" width="12.7109375" style="179" bestFit="1" customWidth="1"/>
    <col min="775" max="775" width="11.85546875" style="179" bestFit="1" customWidth="1"/>
    <col min="776" max="776" width="12" style="179" bestFit="1" customWidth="1"/>
    <col min="777" max="777" width="12.5703125" style="179" bestFit="1" customWidth="1"/>
    <col min="778" max="778" width="13.28515625" style="179" bestFit="1" customWidth="1"/>
    <col min="779" max="779" width="12.42578125" style="179" bestFit="1" customWidth="1"/>
    <col min="780" max="781" width="12" style="179" bestFit="1" customWidth="1"/>
    <col min="782" max="782" width="13.42578125" style="179" bestFit="1" customWidth="1"/>
    <col min="783" max="785" width="5.42578125" style="179" customWidth="1"/>
    <col min="786" max="786" width="6" style="179" bestFit="1" customWidth="1"/>
    <col min="787" max="798" width="11.28515625" style="179" bestFit="1" customWidth="1"/>
    <col min="799" max="1024" width="9.140625" style="179"/>
    <col min="1025" max="1025" width="12" style="179" customWidth="1"/>
    <col min="1026" max="1026" width="12.7109375" style="179" bestFit="1" customWidth="1"/>
    <col min="1027" max="1027" width="13.28515625" style="179" bestFit="1" customWidth="1"/>
    <col min="1028" max="1028" width="13.42578125" style="179" bestFit="1" customWidth="1"/>
    <col min="1029" max="1029" width="13.28515625" style="179" bestFit="1" customWidth="1"/>
    <col min="1030" max="1030" width="12.7109375" style="179" bestFit="1" customWidth="1"/>
    <col min="1031" max="1031" width="11.85546875" style="179" bestFit="1" customWidth="1"/>
    <col min="1032" max="1032" width="12" style="179" bestFit="1" customWidth="1"/>
    <col min="1033" max="1033" width="12.5703125" style="179" bestFit="1" customWidth="1"/>
    <col min="1034" max="1034" width="13.28515625" style="179" bestFit="1" customWidth="1"/>
    <col min="1035" max="1035" width="12.42578125" style="179" bestFit="1" customWidth="1"/>
    <col min="1036" max="1037" width="12" style="179" bestFit="1" customWidth="1"/>
    <col min="1038" max="1038" width="13.42578125" style="179" bestFit="1" customWidth="1"/>
    <col min="1039" max="1041" width="5.42578125" style="179" customWidth="1"/>
    <col min="1042" max="1042" width="6" style="179" bestFit="1" customWidth="1"/>
    <col min="1043" max="1054" width="11.28515625" style="179" bestFit="1" customWidth="1"/>
    <col min="1055" max="1280" width="9.140625" style="179"/>
    <col min="1281" max="1281" width="12" style="179" customWidth="1"/>
    <col min="1282" max="1282" width="12.7109375" style="179" bestFit="1" customWidth="1"/>
    <col min="1283" max="1283" width="13.28515625" style="179" bestFit="1" customWidth="1"/>
    <col min="1284" max="1284" width="13.42578125" style="179" bestFit="1" customWidth="1"/>
    <col min="1285" max="1285" width="13.28515625" style="179" bestFit="1" customWidth="1"/>
    <col min="1286" max="1286" width="12.7109375" style="179" bestFit="1" customWidth="1"/>
    <col min="1287" max="1287" width="11.85546875" style="179" bestFit="1" customWidth="1"/>
    <col min="1288" max="1288" width="12" style="179" bestFit="1" customWidth="1"/>
    <col min="1289" max="1289" width="12.5703125" style="179" bestFit="1" customWidth="1"/>
    <col min="1290" max="1290" width="13.28515625" style="179" bestFit="1" customWidth="1"/>
    <col min="1291" max="1291" width="12.42578125" style="179" bestFit="1" customWidth="1"/>
    <col min="1292" max="1293" width="12" style="179" bestFit="1" customWidth="1"/>
    <col min="1294" max="1294" width="13.42578125" style="179" bestFit="1" customWidth="1"/>
    <col min="1295" max="1297" width="5.42578125" style="179" customWidth="1"/>
    <col min="1298" max="1298" width="6" style="179" bestFit="1" customWidth="1"/>
    <col min="1299" max="1310" width="11.28515625" style="179" bestFit="1" customWidth="1"/>
    <col min="1311" max="1536" width="9.140625" style="179"/>
    <col min="1537" max="1537" width="12" style="179" customWidth="1"/>
    <col min="1538" max="1538" width="12.7109375" style="179" bestFit="1" customWidth="1"/>
    <col min="1539" max="1539" width="13.28515625" style="179" bestFit="1" customWidth="1"/>
    <col min="1540" max="1540" width="13.42578125" style="179" bestFit="1" customWidth="1"/>
    <col min="1541" max="1541" width="13.28515625" style="179" bestFit="1" customWidth="1"/>
    <col min="1542" max="1542" width="12.7109375" style="179" bestFit="1" customWidth="1"/>
    <col min="1543" max="1543" width="11.85546875" style="179" bestFit="1" customWidth="1"/>
    <col min="1544" max="1544" width="12" style="179" bestFit="1" customWidth="1"/>
    <col min="1545" max="1545" width="12.5703125" style="179" bestFit="1" customWidth="1"/>
    <col min="1546" max="1546" width="13.28515625" style="179" bestFit="1" customWidth="1"/>
    <col min="1547" max="1547" width="12.42578125" style="179" bestFit="1" customWidth="1"/>
    <col min="1548" max="1549" width="12" style="179" bestFit="1" customWidth="1"/>
    <col min="1550" max="1550" width="13.42578125" style="179" bestFit="1" customWidth="1"/>
    <col min="1551" max="1553" width="5.42578125" style="179" customWidth="1"/>
    <col min="1554" max="1554" width="6" style="179" bestFit="1" customWidth="1"/>
    <col min="1555" max="1566" width="11.28515625" style="179" bestFit="1" customWidth="1"/>
    <col min="1567" max="1792" width="9.140625" style="179"/>
    <col min="1793" max="1793" width="12" style="179" customWidth="1"/>
    <col min="1794" max="1794" width="12.7109375" style="179" bestFit="1" customWidth="1"/>
    <col min="1795" max="1795" width="13.28515625" style="179" bestFit="1" customWidth="1"/>
    <col min="1796" max="1796" width="13.42578125" style="179" bestFit="1" customWidth="1"/>
    <col min="1797" max="1797" width="13.28515625" style="179" bestFit="1" customWidth="1"/>
    <col min="1798" max="1798" width="12.7109375" style="179" bestFit="1" customWidth="1"/>
    <col min="1799" max="1799" width="11.85546875" style="179" bestFit="1" customWidth="1"/>
    <col min="1800" max="1800" width="12" style="179" bestFit="1" customWidth="1"/>
    <col min="1801" max="1801" width="12.5703125" style="179" bestFit="1" customWidth="1"/>
    <col min="1802" max="1802" width="13.28515625" style="179" bestFit="1" customWidth="1"/>
    <col min="1803" max="1803" width="12.42578125" style="179" bestFit="1" customWidth="1"/>
    <col min="1804" max="1805" width="12" style="179" bestFit="1" customWidth="1"/>
    <col min="1806" max="1806" width="13.42578125" style="179" bestFit="1" customWidth="1"/>
    <col min="1807" max="1809" width="5.42578125" style="179" customWidth="1"/>
    <col min="1810" max="1810" width="6" style="179" bestFit="1" customWidth="1"/>
    <col min="1811" max="1822" width="11.28515625" style="179" bestFit="1" customWidth="1"/>
    <col min="1823" max="2048" width="9.140625" style="179"/>
    <col min="2049" max="2049" width="12" style="179" customWidth="1"/>
    <col min="2050" max="2050" width="12.7109375" style="179" bestFit="1" customWidth="1"/>
    <col min="2051" max="2051" width="13.28515625" style="179" bestFit="1" customWidth="1"/>
    <col min="2052" max="2052" width="13.42578125" style="179" bestFit="1" customWidth="1"/>
    <col min="2053" max="2053" width="13.28515625" style="179" bestFit="1" customWidth="1"/>
    <col min="2054" max="2054" width="12.7109375" style="179" bestFit="1" customWidth="1"/>
    <col min="2055" max="2055" width="11.85546875" style="179" bestFit="1" customWidth="1"/>
    <col min="2056" max="2056" width="12" style="179" bestFit="1" customWidth="1"/>
    <col min="2057" max="2057" width="12.5703125" style="179" bestFit="1" customWidth="1"/>
    <col min="2058" max="2058" width="13.28515625" style="179" bestFit="1" customWidth="1"/>
    <col min="2059" max="2059" width="12.42578125" style="179" bestFit="1" customWidth="1"/>
    <col min="2060" max="2061" width="12" style="179" bestFit="1" customWidth="1"/>
    <col min="2062" max="2062" width="13.42578125" style="179" bestFit="1" customWidth="1"/>
    <col min="2063" max="2065" width="5.42578125" style="179" customWidth="1"/>
    <col min="2066" max="2066" width="6" style="179" bestFit="1" customWidth="1"/>
    <col min="2067" max="2078" width="11.28515625" style="179" bestFit="1" customWidth="1"/>
    <col min="2079" max="2304" width="9.140625" style="179"/>
    <col min="2305" max="2305" width="12" style="179" customWidth="1"/>
    <col min="2306" max="2306" width="12.7109375" style="179" bestFit="1" customWidth="1"/>
    <col min="2307" max="2307" width="13.28515625" style="179" bestFit="1" customWidth="1"/>
    <col min="2308" max="2308" width="13.42578125" style="179" bestFit="1" customWidth="1"/>
    <col min="2309" max="2309" width="13.28515625" style="179" bestFit="1" customWidth="1"/>
    <col min="2310" max="2310" width="12.7109375" style="179" bestFit="1" customWidth="1"/>
    <col min="2311" max="2311" width="11.85546875" style="179" bestFit="1" customWidth="1"/>
    <col min="2312" max="2312" width="12" style="179" bestFit="1" customWidth="1"/>
    <col min="2313" max="2313" width="12.5703125" style="179" bestFit="1" customWidth="1"/>
    <col min="2314" max="2314" width="13.28515625" style="179" bestFit="1" customWidth="1"/>
    <col min="2315" max="2315" width="12.42578125" style="179" bestFit="1" customWidth="1"/>
    <col min="2316" max="2317" width="12" style="179" bestFit="1" customWidth="1"/>
    <col min="2318" max="2318" width="13.42578125" style="179" bestFit="1" customWidth="1"/>
    <col min="2319" max="2321" width="5.42578125" style="179" customWidth="1"/>
    <col min="2322" max="2322" width="6" style="179" bestFit="1" customWidth="1"/>
    <col min="2323" max="2334" width="11.28515625" style="179" bestFit="1" customWidth="1"/>
    <col min="2335" max="2560" width="9.140625" style="179"/>
    <col min="2561" max="2561" width="12" style="179" customWidth="1"/>
    <col min="2562" max="2562" width="12.7109375" style="179" bestFit="1" customWidth="1"/>
    <col min="2563" max="2563" width="13.28515625" style="179" bestFit="1" customWidth="1"/>
    <col min="2564" max="2564" width="13.42578125" style="179" bestFit="1" customWidth="1"/>
    <col min="2565" max="2565" width="13.28515625" style="179" bestFit="1" customWidth="1"/>
    <col min="2566" max="2566" width="12.7109375" style="179" bestFit="1" customWidth="1"/>
    <col min="2567" max="2567" width="11.85546875" style="179" bestFit="1" customWidth="1"/>
    <col min="2568" max="2568" width="12" style="179" bestFit="1" customWidth="1"/>
    <col min="2569" max="2569" width="12.5703125" style="179" bestFit="1" customWidth="1"/>
    <col min="2570" max="2570" width="13.28515625" style="179" bestFit="1" customWidth="1"/>
    <col min="2571" max="2571" width="12.42578125" style="179" bestFit="1" customWidth="1"/>
    <col min="2572" max="2573" width="12" style="179" bestFit="1" customWidth="1"/>
    <col min="2574" max="2574" width="13.42578125" style="179" bestFit="1" customWidth="1"/>
    <col min="2575" max="2577" width="5.42578125" style="179" customWidth="1"/>
    <col min="2578" max="2578" width="6" style="179" bestFit="1" customWidth="1"/>
    <col min="2579" max="2590" width="11.28515625" style="179" bestFit="1" customWidth="1"/>
    <col min="2591" max="2816" width="9.140625" style="179"/>
    <col min="2817" max="2817" width="12" style="179" customWidth="1"/>
    <col min="2818" max="2818" width="12.7109375" style="179" bestFit="1" customWidth="1"/>
    <col min="2819" max="2819" width="13.28515625" style="179" bestFit="1" customWidth="1"/>
    <col min="2820" max="2820" width="13.42578125" style="179" bestFit="1" customWidth="1"/>
    <col min="2821" max="2821" width="13.28515625" style="179" bestFit="1" customWidth="1"/>
    <col min="2822" max="2822" width="12.7109375" style="179" bestFit="1" customWidth="1"/>
    <col min="2823" max="2823" width="11.85546875" style="179" bestFit="1" customWidth="1"/>
    <col min="2824" max="2824" width="12" style="179" bestFit="1" customWidth="1"/>
    <col min="2825" max="2825" width="12.5703125" style="179" bestFit="1" customWidth="1"/>
    <col min="2826" max="2826" width="13.28515625" style="179" bestFit="1" customWidth="1"/>
    <col min="2827" max="2827" width="12.42578125" style="179" bestFit="1" customWidth="1"/>
    <col min="2828" max="2829" width="12" style="179" bestFit="1" customWidth="1"/>
    <col min="2830" max="2830" width="13.42578125" style="179" bestFit="1" customWidth="1"/>
    <col min="2831" max="2833" width="5.42578125" style="179" customWidth="1"/>
    <col min="2834" max="2834" width="6" style="179" bestFit="1" customWidth="1"/>
    <col min="2835" max="2846" width="11.28515625" style="179" bestFit="1" customWidth="1"/>
    <col min="2847" max="3072" width="9.140625" style="179"/>
    <col min="3073" max="3073" width="12" style="179" customWidth="1"/>
    <col min="3074" max="3074" width="12.7109375" style="179" bestFit="1" customWidth="1"/>
    <col min="3075" max="3075" width="13.28515625" style="179" bestFit="1" customWidth="1"/>
    <col min="3076" max="3076" width="13.42578125" style="179" bestFit="1" customWidth="1"/>
    <col min="3077" max="3077" width="13.28515625" style="179" bestFit="1" customWidth="1"/>
    <col min="3078" max="3078" width="12.7109375" style="179" bestFit="1" customWidth="1"/>
    <col min="3079" max="3079" width="11.85546875" style="179" bestFit="1" customWidth="1"/>
    <col min="3080" max="3080" width="12" style="179" bestFit="1" customWidth="1"/>
    <col min="3081" max="3081" width="12.5703125" style="179" bestFit="1" customWidth="1"/>
    <col min="3082" max="3082" width="13.28515625" style="179" bestFit="1" customWidth="1"/>
    <col min="3083" max="3083" width="12.42578125" style="179" bestFit="1" customWidth="1"/>
    <col min="3084" max="3085" width="12" style="179" bestFit="1" customWidth="1"/>
    <col min="3086" max="3086" width="13.42578125" style="179" bestFit="1" customWidth="1"/>
    <col min="3087" max="3089" width="5.42578125" style="179" customWidth="1"/>
    <col min="3090" max="3090" width="6" style="179" bestFit="1" customWidth="1"/>
    <col min="3091" max="3102" width="11.28515625" style="179" bestFit="1" customWidth="1"/>
    <col min="3103" max="3328" width="9.140625" style="179"/>
    <col min="3329" max="3329" width="12" style="179" customWidth="1"/>
    <col min="3330" max="3330" width="12.7109375" style="179" bestFit="1" customWidth="1"/>
    <col min="3331" max="3331" width="13.28515625" style="179" bestFit="1" customWidth="1"/>
    <col min="3332" max="3332" width="13.42578125" style="179" bestFit="1" customWidth="1"/>
    <col min="3333" max="3333" width="13.28515625" style="179" bestFit="1" customWidth="1"/>
    <col min="3334" max="3334" width="12.7109375" style="179" bestFit="1" customWidth="1"/>
    <col min="3335" max="3335" width="11.85546875" style="179" bestFit="1" customWidth="1"/>
    <col min="3336" max="3336" width="12" style="179" bestFit="1" customWidth="1"/>
    <col min="3337" max="3337" width="12.5703125" style="179" bestFit="1" customWidth="1"/>
    <col min="3338" max="3338" width="13.28515625" style="179" bestFit="1" customWidth="1"/>
    <col min="3339" max="3339" width="12.42578125" style="179" bestFit="1" customWidth="1"/>
    <col min="3340" max="3341" width="12" style="179" bestFit="1" customWidth="1"/>
    <col min="3342" max="3342" width="13.42578125" style="179" bestFit="1" customWidth="1"/>
    <col min="3343" max="3345" width="5.42578125" style="179" customWidth="1"/>
    <col min="3346" max="3346" width="6" style="179" bestFit="1" customWidth="1"/>
    <col min="3347" max="3358" width="11.28515625" style="179" bestFit="1" customWidth="1"/>
    <col min="3359" max="3584" width="9.140625" style="179"/>
    <col min="3585" max="3585" width="12" style="179" customWidth="1"/>
    <col min="3586" max="3586" width="12.7109375" style="179" bestFit="1" customWidth="1"/>
    <col min="3587" max="3587" width="13.28515625" style="179" bestFit="1" customWidth="1"/>
    <col min="3588" max="3588" width="13.42578125" style="179" bestFit="1" customWidth="1"/>
    <col min="3589" max="3589" width="13.28515625" style="179" bestFit="1" customWidth="1"/>
    <col min="3590" max="3590" width="12.7109375" style="179" bestFit="1" customWidth="1"/>
    <col min="3591" max="3591" width="11.85546875" style="179" bestFit="1" customWidth="1"/>
    <col min="3592" max="3592" width="12" style="179" bestFit="1" customWidth="1"/>
    <col min="3593" max="3593" width="12.5703125" style="179" bestFit="1" customWidth="1"/>
    <col min="3594" max="3594" width="13.28515625" style="179" bestFit="1" customWidth="1"/>
    <col min="3595" max="3595" width="12.42578125" style="179" bestFit="1" customWidth="1"/>
    <col min="3596" max="3597" width="12" style="179" bestFit="1" customWidth="1"/>
    <col min="3598" max="3598" width="13.42578125" style="179" bestFit="1" customWidth="1"/>
    <col min="3599" max="3601" width="5.42578125" style="179" customWidth="1"/>
    <col min="3602" max="3602" width="6" style="179" bestFit="1" customWidth="1"/>
    <col min="3603" max="3614" width="11.28515625" style="179" bestFit="1" customWidth="1"/>
    <col min="3615" max="3840" width="9.140625" style="179"/>
    <col min="3841" max="3841" width="12" style="179" customWidth="1"/>
    <col min="3842" max="3842" width="12.7109375" style="179" bestFit="1" customWidth="1"/>
    <col min="3843" max="3843" width="13.28515625" style="179" bestFit="1" customWidth="1"/>
    <col min="3844" max="3844" width="13.42578125" style="179" bestFit="1" customWidth="1"/>
    <col min="3845" max="3845" width="13.28515625" style="179" bestFit="1" customWidth="1"/>
    <col min="3846" max="3846" width="12.7109375" style="179" bestFit="1" customWidth="1"/>
    <col min="3847" max="3847" width="11.85546875" style="179" bestFit="1" customWidth="1"/>
    <col min="3848" max="3848" width="12" style="179" bestFit="1" customWidth="1"/>
    <col min="3849" max="3849" width="12.5703125" style="179" bestFit="1" customWidth="1"/>
    <col min="3850" max="3850" width="13.28515625" style="179" bestFit="1" customWidth="1"/>
    <col min="3851" max="3851" width="12.42578125" style="179" bestFit="1" customWidth="1"/>
    <col min="3852" max="3853" width="12" style="179" bestFit="1" customWidth="1"/>
    <col min="3854" max="3854" width="13.42578125" style="179" bestFit="1" customWidth="1"/>
    <col min="3855" max="3857" width="5.42578125" style="179" customWidth="1"/>
    <col min="3858" max="3858" width="6" style="179" bestFit="1" customWidth="1"/>
    <col min="3859" max="3870" width="11.28515625" style="179" bestFit="1" customWidth="1"/>
    <col min="3871" max="4096" width="9.140625" style="179"/>
    <col min="4097" max="4097" width="12" style="179" customWidth="1"/>
    <col min="4098" max="4098" width="12.7109375" style="179" bestFit="1" customWidth="1"/>
    <col min="4099" max="4099" width="13.28515625" style="179" bestFit="1" customWidth="1"/>
    <col min="4100" max="4100" width="13.42578125" style="179" bestFit="1" customWidth="1"/>
    <col min="4101" max="4101" width="13.28515625" style="179" bestFit="1" customWidth="1"/>
    <col min="4102" max="4102" width="12.7109375" style="179" bestFit="1" customWidth="1"/>
    <col min="4103" max="4103" width="11.85546875" style="179" bestFit="1" customWidth="1"/>
    <col min="4104" max="4104" width="12" style="179" bestFit="1" customWidth="1"/>
    <col min="4105" max="4105" width="12.5703125" style="179" bestFit="1" customWidth="1"/>
    <col min="4106" max="4106" width="13.28515625" style="179" bestFit="1" customWidth="1"/>
    <col min="4107" max="4107" width="12.42578125" style="179" bestFit="1" customWidth="1"/>
    <col min="4108" max="4109" width="12" style="179" bestFit="1" customWidth="1"/>
    <col min="4110" max="4110" width="13.42578125" style="179" bestFit="1" customWidth="1"/>
    <col min="4111" max="4113" width="5.42578125" style="179" customWidth="1"/>
    <col min="4114" max="4114" width="6" style="179" bestFit="1" customWidth="1"/>
    <col min="4115" max="4126" width="11.28515625" style="179" bestFit="1" customWidth="1"/>
    <col min="4127" max="4352" width="9.140625" style="179"/>
    <col min="4353" max="4353" width="12" style="179" customWidth="1"/>
    <col min="4354" max="4354" width="12.7109375" style="179" bestFit="1" customWidth="1"/>
    <col min="4355" max="4355" width="13.28515625" style="179" bestFit="1" customWidth="1"/>
    <col min="4356" max="4356" width="13.42578125" style="179" bestFit="1" customWidth="1"/>
    <col min="4357" max="4357" width="13.28515625" style="179" bestFit="1" customWidth="1"/>
    <col min="4358" max="4358" width="12.7109375" style="179" bestFit="1" customWidth="1"/>
    <col min="4359" max="4359" width="11.85546875" style="179" bestFit="1" customWidth="1"/>
    <col min="4360" max="4360" width="12" style="179" bestFit="1" customWidth="1"/>
    <col min="4361" max="4361" width="12.5703125" style="179" bestFit="1" customWidth="1"/>
    <col min="4362" max="4362" width="13.28515625" style="179" bestFit="1" customWidth="1"/>
    <col min="4363" max="4363" width="12.42578125" style="179" bestFit="1" customWidth="1"/>
    <col min="4364" max="4365" width="12" style="179" bestFit="1" customWidth="1"/>
    <col min="4366" max="4366" width="13.42578125" style="179" bestFit="1" customWidth="1"/>
    <col min="4367" max="4369" width="5.42578125" style="179" customWidth="1"/>
    <col min="4370" max="4370" width="6" style="179" bestFit="1" customWidth="1"/>
    <col min="4371" max="4382" width="11.28515625" style="179" bestFit="1" customWidth="1"/>
    <col min="4383" max="4608" width="9.140625" style="179"/>
    <col min="4609" max="4609" width="12" style="179" customWidth="1"/>
    <col min="4610" max="4610" width="12.7109375" style="179" bestFit="1" customWidth="1"/>
    <col min="4611" max="4611" width="13.28515625" style="179" bestFit="1" customWidth="1"/>
    <col min="4612" max="4612" width="13.42578125" style="179" bestFit="1" customWidth="1"/>
    <col min="4613" max="4613" width="13.28515625" style="179" bestFit="1" customWidth="1"/>
    <col min="4614" max="4614" width="12.7109375" style="179" bestFit="1" customWidth="1"/>
    <col min="4615" max="4615" width="11.85546875" style="179" bestFit="1" customWidth="1"/>
    <col min="4616" max="4616" width="12" style="179" bestFit="1" customWidth="1"/>
    <col min="4617" max="4617" width="12.5703125" style="179" bestFit="1" customWidth="1"/>
    <col min="4618" max="4618" width="13.28515625" style="179" bestFit="1" customWidth="1"/>
    <col min="4619" max="4619" width="12.42578125" style="179" bestFit="1" customWidth="1"/>
    <col min="4620" max="4621" width="12" style="179" bestFit="1" customWidth="1"/>
    <col min="4622" max="4622" width="13.42578125" style="179" bestFit="1" customWidth="1"/>
    <col min="4623" max="4625" width="5.42578125" style="179" customWidth="1"/>
    <col min="4626" max="4626" width="6" style="179" bestFit="1" customWidth="1"/>
    <col min="4627" max="4638" width="11.28515625" style="179" bestFit="1" customWidth="1"/>
    <col min="4639" max="4864" width="9.140625" style="179"/>
    <col min="4865" max="4865" width="12" style="179" customWidth="1"/>
    <col min="4866" max="4866" width="12.7109375" style="179" bestFit="1" customWidth="1"/>
    <col min="4867" max="4867" width="13.28515625" style="179" bestFit="1" customWidth="1"/>
    <col min="4868" max="4868" width="13.42578125" style="179" bestFit="1" customWidth="1"/>
    <col min="4869" max="4869" width="13.28515625" style="179" bestFit="1" customWidth="1"/>
    <col min="4870" max="4870" width="12.7109375" style="179" bestFit="1" customWidth="1"/>
    <col min="4871" max="4871" width="11.85546875" style="179" bestFit="1" customWidth="1"/>
    <col min="4872" max="4872" width="12" style="179" bestFit="1" customWidth="1"/>
    <col min="4873" max="4873" width="12.5703125" style="179" bestFit="1" customWidth="1"/>
    <col min="4874" max="4874" width="13.28515625" style="179" bestFit="1" customWidth="1"/>
    <col min="4875" max="4875" width="12.42578125" style="179" bestFit="1" customWidth="1"/>
    <col min="4876" max="4877" width="12" style="179" bestFit="1" customWidth="1"/>
    <col min="4878" max="4878" width="13.42578125" style="179" bestFit="1" customWidth="1"/>
    <col min="4879" max="4881" width="5.42578125" style="179" customWidth="1"/>
    <col min="4882" max="4882" width="6" style="179" bestFit="1" customWidth="1"/>
    <col min="4883" max="4894" width="11.28515625" style="179" bestFit="1" customWidth="1"/>
    <col min="4895" max="5120" width="9.140625" style="179"/>
    <col min="5121" max="5121" width="12" style="179" customWidth="1"/>
    <col min="5122" max="5122" width="12.7109375" style="179" bestFit="1" customWidth="1"/>
    <col min="5123" max="5123" width="13.28515625" style="179" bestFit="1" customWidth="1"/>
    <col min="5124" max="5124" width="13.42578125" style="179" bestFit="1" customWidth="1"/>
    <col min="5125" max="5125" width="13.28515625" style="179" bestFit="1" customWidth="1"/>
    <col min="5126" max="5126" width="12.7109375" style="179" bestFit="1" customWidth="1"/>
    <col min="5127" max="5127" width="11.85546875" style="179" bestFit="1" customWidth="1"/>
    <col min="5128" max="5128" width="12" style="179" bestFit="1" customWidth="1"/>
    <col min="5129" max="5129" width="12.5703125" style="179" bestFit="1" customWidth="1"/>
    <col min="5130" max="5130" width="13.28515625" style="179" bestFit="1" customWidth="1"/>
    <col min="5131" max="5131" width="12.42578125" style="179" bestFit="1" customWidth="1"/>
    <col min="5132" max="5133" width="12" style="179" bestFit="1" customWidth="1"/>
    <col min="5134" max="5134" width="13.42578125" style="179" bestFit="1" customWidth="1"/>
    <col min="5135" max="5137" width="5.42578125" style="179" customWidth="1"/>
    <col min="5138" max="5138" width="6" style="179" bestFit="1" customWidth="1"/>
    <col min="5139" max="5150" width="11.28515625" style="179" bestFit="1" customWidth="1"/>
    <col min="5151" max="5376" width="9.140625" style="179"/>
    <col min="5377" max="5377" width="12" style="179" customWidth="1"/>
    <col min="5378" max="5378" width="12.7109375" style="179" bestFit="1" customWidth="1"/>
    <col min="5379" max="5379" width="13.28515625" style="179" bestFit="1" customWidth="1"/>
    <col min="5380" max="5380" width="13.42578125" style="179" bestFit="1" customWidth="1"/>
    <col min="5381" max="5381" width="13.28515625" style="179" bestFit="1" customWidth="1"/>
    <col min="5382" max="5382" width="12.7109375" style="179" bestFit="1" customWidth="1"/>
    <col min="5383" max="5383" width="11.85546875" style="179" bestFit="1" customWidth="1"/>
    <col min="5384" max="5384" width="12" style="179" bestFit="1" customWidth="1"/>
    <col min="5385" max="5385" width="12.5703125" style="179" bestFit="1" customWidth="1"/>
    <col min="5386" max="5386" width="13.28515625" style="179" bestFit="1" customWidth="1"/>
    <col min="5387" max="5387" width="12.42578125" style="179" bestFit="1" customWidth="1"/>
    <col min="5388" max="5389" width="12" style="179" bestFit="1" customWidth="1"/>
    <col min="5390" max="5390" width="13.42578125" style="179" bestFit="1" customWidth="1"/>
    <col min="5391" max="5393" width="5.42578125" style="179" customWidth="1"/>
    <col min="5394" max="5394" width="6" style="179" bestFit="1" customWidth="1"/>
    <col min="5395" max="5406" width="11.28515625" style="179" bestFit="1" customWidth="1"/>
    <col min="5407" max="5632" width="9.140625" style="179"/>
    <col min="5633" max="5633" width="12" style="179" customWidth="1"/>
    <col min="5634" max="5634" width="12.7109375" style="179" bestFit="1" customWidth="1"/>
    <col min="5635" max="5635" width="13.28515625" style="179" bestFit="1" customWidth="1"/>
    <col min="5636" max="5636" width="13.42578125" style="179" bestFit="1" customWidth="1"/>
    <col min="5637" max="5637" width="13.28515625" style="179" bestFit="1" customWidth="1"/>
    <col min="5638" max="5638" width="12.7109375" style="179" bestFit="1" customWidth="1"/>
    <col min="5639" max="5639" width="11.85546875" style="179" bestFit="1" customWidth="1"/>
    <col min="5640" max="5640" width="12" style="179" bestFit="1" customWidth="1"/>
    <col min="5641" max="5641" width="12.5703125" style="179" bestFit="1" customWidth="1"/>
    <col min="5642" max="5642" width="13.28515625" style="179" bestFit="1" customWidth="1"/>
    <col min="5643" max="5643" width="12.42578125" style="179" bestFit="1" customWidth="1"/>
    <col min="5644" max="5645" width="12" style="179" bestFit="1" customWidth="1"/>
    <col min="5646" max="5646" width="13.42578125" style="179" bestFit="1" customWidth="1"/>
    <col min="5647" max="5649" width="5.42578125" style="179" customWidth="1"/>
    <col min="5650" max="5650" width="6" style="179" bestFit="1" customWidth="1"/>
    <col min="5651" max="5662" width="11.28515625" style="179" bestFit="1" customWidth="1"/>
    <col min="5663" max="5888" width="9.140625" style="179"/>
    <col min="5889" max="5889" width="12" style="179" customWidth="1"/>
    <col min="5890" max="5890" width="12.7109375" style="179" bestFit="1" customWidth="1"/>
    <col min="5891" max="5891" width="13.28515625" style="179" bestFit="1" customWidth="1"/>
    <col min="5892" max="5892" width="13.42578125" style="179" bestFit="1" customWidth="1"/>
    <col min="5893" max="5893" width="13.28515625" style="179" bestFit="1" customWidth="1"/>
    <col min="5894" max="5894" width="12.7109375" style="179" bestFit="1" customWidth="1"/>
    <col min="5895" max="5895" width="11.85546875" style="179" bestFit="1" customWidth="1"/>
    <col min="5896" max="5896" width="12" style="179" bestFit="1" customWidth="1"/>
    <col min="5897" max="5897" width="12.5703125" style="179" bestFit="1" customWidth="1"/>
    <col min="5898" max="5898" width="13.28515625" style="179" bestFit="1" customWidth="1"/>
    <col min="5899" max="5899" width="12.42578125" style="179" bestFit="1" customWidth="1"/>
    <col min="5900" max="5901" width="12" style="179" bestFit="1" customWidth="1"/>
    <col min="5902" max="5902" width="13.42578125" style="179" bestFit="1" customWidth="1"/>
    <col min="5903" max="5905" width="5.42578125" style="179" customWidth="1"/>
    <col min="5906" max="5906" width="6" style="179" bestFit="1" customWidth="1"/>
    <col min="5907" max="5918" width="11.28515625" style="179" bestFit="1" customWidth="1"/>
    <col min="5919" max="6144" width="9.140625" style="179"/>
    <col min="6145" max="6145" width="12" style="179" customWidth="1"/>
    <col min="6146" max="6146" width="12.7109375" style="179" bestFit="1" customWidth="1"/>
    <col min="6147" max="6147" width="13.28515625" style="179" bestFit="1" customWidth="1"/>
    <col min="6148" max="6148" width="13.42578125" style="179" bestFit="1" customWidth="1"/>
    <col min="6149" max="6149" width="13.28515625" style="179" bestFit="1" customWidth="1"/>
    <col min="6150" max="6150" width="12.7109375" style="179" bestFit="1" customWidth="1"/>
    <col min="6151" max="6151" width="11.85546875" style="179" bestFit="1" customWidth="1"/>
    <col min="6152" max="6152" width="12" style="179" bestFit="1" customWidth="1"/>
    <col min="6153" max="6153" width="12.5703125" style="179" bestFit="1" customWidth="1"/>
    <col min="6154" max="6154" width="13.28515625" style="179" bestFit="1" customWidth="1"/>
    <col min="6155" max="6155" width="12.42578125" style="179" bestFit="1" customWidth="1"/>
    <col min="6156" max="6157" width="12" style="179" bestFit="1" customWidth="1"/>
    <col min="6158" max="6158" width="13.42578125" style="179" bestFit="1" customWidth="1"/>
    <col min="6159" max="6161" width="5.42578125" style="179" customWidth="1"/>
    <col min="6162" max="6162" width="6" style="179" bestFit="1" customWidth="1"/>
    <col min="6163" max="6174" width="11.28515625" style="179" bestFit="1" customWidth="1"/>
    <col min="6175" max="6400" width="9.140625" style="179"/>
    <col min="6401" max="6401" width="12" style="179" customWidth="1"/>
    <col min="6402" max="6402" width="12.7109375" style="179" bestFit="1" customWidth="1"/>
    <col min="6403" max="6403" width="13.28515625" style="179" bestFit="1" customWidth="1"/>
    <col min="6404" max="6404" width="13.42578125" style="179" bestFit="1" customWidth="1"/>
    <col min="6405" max="6405" width="13.28515625" style="179" bestFit="1" customWidth="1"/>
    <col min="6406" max="6406" width="12.7109375" style="179" bestFit="1" customWidth="1"/>
    <col min="6407" max="6407" width="11.85546875" style="179" bestFit="1" customWidth="1"/>
    <col min="6408" max="6408" width="12" style="179" bestFit="1" customWidth="1"/>
    <col min="6409" max="6409" width="12.5703125" style="179" bestFit="1" customWidth="1"/>
    <col min="6410" max="6410" width="13.28515625" style="179" bestFit="1" customWidth="1"/>
    <col min="6411" max="6411" width="12.42578125" style="179" bestFit="1" customWidth="1"/>
    <col min="6412" max="6413" width="12" style="179" bestFit="1" customWidth="1"/>
    <col min="6414" max="6414" width="13.42578125" style="179" bestFit="1" customWidth="1"/>
    <col min="6415" max="6417" width="5.42578125" style="179" customWidth="1"/>
    <col min="6418" max="6418" width="6" style="179" bestFit="1" customWidth="1"/>
    <col min="6419" max="6430" width="11.28515625" style="179" bestFit="1" customWidth="1"/>
    <col min="6431" max="6656" width="9.140625" style="179"/>
    <col min="6657" max="6657" width="12" style="179" customWidth="1"/>
    <col min="6658" max="6658" width="12.7109375" style="179" bestFit="1" customWidth="1"/>
    <col min="6659" max="6659" width="13.28515625" style="179" bestFit="1" customWidth="1"/>
    <col min="6660" max="6660" width="13.42578125" style="179" bestFit="1" customWidth="1"/>
    <col min="6661" max="6661" width="13.28515625" style="179" bestFit="1" customWidth="1"/>
    <col min="6662" max="6662" width="12.7109375" style="179" bestFit="1" customWidth="1"/>
    <col min="6663" max="6663" width="11.85546875" style="179" bestFit="1" customWidth="1"/>
    <col min="6664" max="6664" width="12" style="179" bestFit="1" customWidth="1"/>
    <col min="6665" max="6665" width="12.5703125" style="179" bestFit="1" customWidth="1"/>
    <col min="6666" max="6666" width="13.28515625" style="179" bestFit="1" customWidth="1"/>
    <col min="6667" max="6667" width="12.42578125" style="179" bestFit="1" customWidth="1"/>
    <col min="6668" max="6669" width="12" style="179" bestFit="1" customWidth="1"/>
    <col min="6670" max="6670" width="13.42578125" style="179" bestFit="1" customWidth="1"/>
    <col min="6671" max="6673" width="5.42578125" style="179" customWidth="1"/>
    <col min="6674" max="6674" width="6" style="179" bestFit="1" customWidth="1"/>
    <col min="6675" max="6686" width="11.28515625" style="179" bestFit="1" customWidth="1"/>
    <col min="6687" max="6912" width="9.140625" style="179"/>
    <col min="6913" max="6913" width="12" style="179" customWidth="1"/>
    <col min="6914" max="6914" width="12.7109375" style="179" bestFit="1" customWidth="1"/>
    <col min="6915" max="6915" width="13.28515625" style="179" bestFit="1" customWidth="1"/>
    <col min="6916" max="6916" width="13.42578125" style="179" bestFit="1" customWidth="1"/>
    <col min="6917" max="6917" width="13.28515625" style="179" bestFit="1" customWidth="1"/>
    <col min="6918" max="6918" width="12.7109375" style="179" bestFit="1" customWidth="1"/>
    <col min="6919" max="6919" width="11.85546875" style="179" bestFit="1" customWidth="1"/>
    <col min="6920" max="6920" width="12" style="179" bestFit="1" customWidth="1"/>
    <col min="6921" max="6921" width="12.5703125" style="179" bestFit="1" customWidth="1"/>
    <col min="6922" max="6922" width="13.28515625" style="179" bestFit="1" customWidth="1"/>
    <col min="6923" max="6923" width="12.42578125" style="179" bestFit="1" customWidth="1"/>
    <col min="6924" max="6925" width="12" style="179" bestFit="1" customWidth="1"/>
    <col min="6926" max="6926" width="13.42578125" style="179" bestFit="1" customWidth="1"/>
    <col min="6927" max="6929" width="5.42578125" style="179" customWidth="1"/>
    <col min="6930" max="6930" width="6" style="179" bestFit="1" customWidth="1"/>
    <col min="6931" max="6942" width="11.28515625" style="179" bestFit="1" customWidth="1"/>
    <col min="6943" max="7168" width="9.140625" style="179"/>
    <col min="7169" max="7169" width="12" style="179" customWidth="1"/>
    <col min="7170" max="7170" width="12.7109375" style="179" bestFit="1" customWidth="1"/>
    <col min="7171" max="7171" width="13.28515625" style="179" bestFit="1" customWidth="1"/>
    <col min="7172" max="7172" width="13.42578125" style="179" bestFit="1" customWidth="1"/>
    <col min="7173" max="7173" width="13.28515625" style="179" bestFit="1" customWidth="1"/>
    <col min="7174" max="7174" width="12.7109375" style="179" bestFit="1" customWidth="1"/>
    <col min="7175" max="7175" width="11.85546875" style="179" bestFit="1" customWidth="1"/>
    <col min="7176" max="7176" width="12" style="179" bestFit="1" customWidth="1"/>
    <col min="7177" max="7177" width="12.5703125" style="179" bestFit="1" customWidth="1"/>
    <col min="7178" max="7178" width="13.28515625" style="179" bestFit="1" customWidth="1"/>
    <col min="7179" max="7179" width="12.42578125" style="179" bestFit="1" customWidth="1"/>
    <col min="7180" max="7181" width="12" style="179" bestFit="1" customWidth="1"/>
    <col min="7182" max="7182" width="13.42578125" style="179" bestFit="1" customWidth="1"/>
    <col min="7183" max="7185" width="5.42578125" style="179" customWidth="1"/>
    <col min="7186" max="7186" width="6" style="179" bestFit="1" customWidth="1"/>
    <col min="7187" max="7198" width="11.28515625" style="179" bestFit="1" customWidth="1"/>
    <col min="7199" max="7424" width="9.140625" style="179"/>
    <col min="7425" max="7425" width="12" style="179" customWidth="1"/>
    <col min="7426" max="7426" width="12.7109375" style="179" bestFit="1" customWidth="1"/>
    <col min="7427" max="7427" width="13.28515625" style="179" bestFit="1" customWidth="1"/>
    <col min="7428" max="7428" width="13.42578125" style="179" bestFit="1" customWidth="1"/>
    <col min="7429" max="7429" width="13.28515625" style="179" bestFit="1" customWidth="1"/>
    <col min="7430" max="7430" width="12.7109375" style="179" bestFit="1" customWidth="1"/>
    <col min="7431" max="7431" width="11.85546875" style="179" bestFit="1" customWidth="1"/>
    <col min="7432" max="7432" width="12" style="179" bestFit="1" customWidth="1"/>
    <col min="7433" max="7433" width="12.5703125" style="179" bestFit="1" customWidth="1"/>
    <col min="7434" max="7434" width="13.28515625" style="179" bestFit="1" customWidth="1"/>
    <col min="7435" max="7435" width="12.42578125" style="179" bestFit="1" customWidth="1"/>
    <col min="7436" max="7437" width="12" style="179" bestFit="1" customWidth="1"/>
    <col min="7438" max="7438" width="13.42578125" style="179" bestFit="1" customWidth="1"/>
    <col min="7439" max="7441" width="5.42578125" style="179" customWidth="1"/>
    <col min="7442" max="7442" width="6" style="179" bestFit="1" customWidth="1"/>
    <col min="7443" max="7454" width="11.28515625" style="179" bestFit="1" customWidth="1"/>
    <col min="7455" max="7680" width="9.140625" style="179"/>
    <col min="7681" max="7681" width="12" style="179" customWidth="1"/>
    <col min="7682" max="7682" width="12.7109375" style="179" bestFit="1" customWidth="1"/>
    <col min="7683" max="7683" width="13.28515625" style="179" bestFit="1" customWidth="1"/>
    <col min="7684" max="7684" width="13.42578125" style="179" bestFit="1" customWidth="1"/>
    <col min="7685" max="7685" width="13.28515625" style="179" bestFit="1" customWidth="1"/>
    <col min="7686" max="7686" width="12.7109375" style="179" bestFit="1" customWidth="1"/>
    <col min="7687" max="7687" width="11.85546875" style="179" bestFit="1" customWidth="1"/>
    <col min="7688" max="7688" width="12" style="179" bestFit="1" customWidth="1"/>
    <col min="7689" max="7689" width="12.5703125" style="179" bestFit="1" customWidth="1"/>
    <col min="7690" max="7690" width="13.28515625" style="179" bestFit="1" customWidth="1"/>
    <col min="7691" max="7691" width="12.42578125" style="179" bestFit="1" customWidth="1"/>
    <col min="7692" max="7693" width="12" style="179" bestFit="1" customWidth="1"/>
    <col min="7694" max="7694" width="13.42578125" style="179" bestFit="1" customWidth="1"/>
    <col min="7695" max="7697" width="5.42578125" style="179" customWidth="1"/>
    <col min="7698" max="7698" width="6" style="179" bestFit="1" customWidth="1"/>
    <col min="7699" max="7710" width="11.28515625" style="179" bestFit="1" customWidth="1"/>
    <col min="7711" max="7936" width="9.140625" style="179"/>
    <col min="7937" max="7937" width="12" style="179" customWidth="1"/>
    <col min="7938" max="7938" width="12.7109375" style="179" bestFit="1" customWidth="1"/>
    <col min="7939" max="7939" width="13.28515625" style="179" bestFit="1" customWidth="1"/>
    <col min="7940" max="7940" width="13.42578125" style="179" bestFit="1" customWidth="1"/>
    <col min="7941" max="7941" width="13.28515625" style="179" bestFit="1" customWidth="1"/>
    <col min="7942" max="7942" width="12.7109375" style="179" bestFit="1" customWidth="1"/>
    <col min="7943" max="7943" width="11.85546875" style="179" bestFit="1" customWidth="1"/>
    <col min="7944" max="7944" width="12" style="179" bestFit="1" customWidth="1"/>
    <col min="7945" max="7945" width="12.5703125" style="179" bestFit="1" customWidth="1"/>
    <col min="7946" max="7946" width="13.28515625" style="179" bestFit="1" customWidth="1"/>
    <col min="7947" max="7947" width="12.42578125" style="179" bestFit="1" customWidth="1"/>
    <col min="7948" max="7949" width="12" style="179" bestFit="1" customWidth="1"/>
    <col min="7950" max="7950" width="13.42578125" style="179" bestFit="1" customWidth="1"/>
    <col min="7951" max="7953" width="5.42578125" style="179" customWidth="1"/>
    <col min="7954" max="7954" width="6" style="179" bestFit="1" customWidth="1"/>
    <col min="7955" max="7966" width="11.28515625" style="179" bestFit="1" customWidth="1"/>
    <col min="7967" max="8192" width="9.140625" style="179"/>
    <col min="8193" max="8193" width="12" style="179" customWidth="1"/>
    <col min="8194" max="8194" width="12.7109375" style="179" bestFit="1" customWidth="1"/>
    <col min="8195" max="8195" width="13.28515625" style="179" bestFit="1" customWidth="1"/>
    <col min="8196" max="8196" width="13.42578125" style="179" bestFit="1" customWidth="1"/>
    <col min="8197" max="8197" width="13.28515625" style="179" bestFit="1" customWidth="1"/>
    <col min="8198" max="8198" width="12.7109375" style="179" bestFit="1" customWidth="1"/>
    <col min="8199" max="8199" width="11.85546875" style="179" bestFit="1" customWidth="1"/>
    <col min="8200" max="8200" width="12" style="179" bestFit="1" customWidth="1"/>
    <col min="8201" max="8201" width="12.5703125" style="179" bestFit="1" customWidth="1"/>
    <col min="8202" max="8202" width="13.28515625" style="179" bestFit="1" customWidth="1"/>
    <col min="8203" max="8203" width="12.42578125" style="179" bestFit="1" customWidth="1"/>
    <col min="8204" max="8205" width="12" style="179" bestFit="1" customWidth="1"/>
    <col min="8206" max="8206" width="13.42578125" style="179" bestFit="1" customWidth="1"/>
    <col min="8207" max="8209" width="5.42578125" style="179" customWidth="1"/>
    <col min="8210" max="8210" width="6" style="179" bestFit="1" customWidth="1"/>
    <col min="8211" max="8222" width="11.28515625" style="179" bestFit="1" customWidth="1"/>
    <col min="8223" max="8448" width="9.140625" style="179"/>
    <col min="8449" max="8449" width="12" style="179" customWidth="1"/>
    <col min="8450" max="8450" width="12.7109375" style="179" bestFit="1" customWidth="1"/>
    <col min="8451" max="8451" width="13.28515625" style="179" bestFit="1" customWidth="1"/>
    <col min="8452" max="8452" width="13.42578125" style="179" bestFit="1" customWidth="1"/>
    <col min="8453" max="8453" width="13.28515625" style="179" bestFit="1" customWidth="1"/>
    <col min="8454" max="8454" width="12.7109375" style="179" bestFit="1" customWidth="1"/>
    <col min="8455" max="8455" width="11.85546875" style="179" bestFit="1" customWidth="1"/>
    <col min="8456" max="8456" width="12" style="179" bestFit="1" customWidth="1"/>
    <col min="8457" max="8457" width="12.5703125" style="179" bestFit="1" customWidth="1"/>
    <col min="8458" max="8458" width="13.28515625" style="179" bestFit="1" customWidth="1"/>
    <col min="8459" max="8459" width="12.42578125" style="179" bestFit="1" customWidth="1"/>
    <col min="8460" max="8461" width="12" style="179" bestFit="1" customWidth="1"/>
    <col min="8462" max="8462" width="13.42578125" style="179" bestFit="1" customWidth="1"/>
    <col min="8463" max="8465" width="5.42578125" style="179" customWidth="1"/>
    <col min="8466" max="8466" width="6" style="179" bestFit="1" customWidth="1"/>
    <col min="8467" max="8478" width="11.28515625" style="179" bestFit="1" customWidth="1"/>
    <col min="8479" max="8704" width="9.140625" style="179"/>
    <col min="8705" max="8705" width="12" style="179" customWidth="1"/>
    <col min="8706" max="8706" width="12.7109375" style="179" bestFit="1" customWidth="1"/>
    <col min="8707" max="8707" width="13.28515625" style="179" bestFit="1" customWidth="1"/>
    <col min="8708" max="8708" width="13.42578125" style="179" bestFit="1" customWidth="1"/>
    <col min="8709" max="8709" width="13.28515625" style="179" bestFit="1" customWidth="1"/>
    <col min="8710" max="8710" width="12.7109375" style="179" bestFit="1" customWidth="1"/>
    <col min="8711" max="8711" width="11.85546875" style="179" bestFit="1" customWidth="1"/>
    <col min="8712" max="8712" width="12" style="179" bestFit="1" customWidth="1"/>
    <col min="8713" max="8713" width="12.5703125" style="179" bestFit="1" customWidth="1"/>
    <col min="8714" max="8714" width="13.28515625" style="179" bestFit="1" customWidth="1"/>
    <col min="8715" max="8715" width="12.42578125" style="179" bestFit="1" customWidth="1"/>
    <col min="8716" max="8717" width="12" style="179" bestFit="1" customWidth="1"/>
    <col min="8718" max="8718" width="13.42578125" style="179" bestFit="1" customWidth="1"/>
    <col min="8719" max="8721" width="5.42578125" style="179" customWidth="1"/>
    <col min="8722" max="8722" width="6" style="179" bestFit="1" customWidth="1"/>
    <col min="8723" max="8734" width="11.28515625" style="179" bestFit="1" customWidth="1"/>
    <col min="8735" max="8960" width="9.140625" style="179"/>
    <col min="8961" max="8961" width="12" style="179" customWidth="1"/>
    <col min="8962" max="8962" width="12.7109375" style="179" bestFit="1" customWidth="1"/>
    <col min="8963" max="8963" width="13.28515625" style="179" bestFit="1" customWidth="1"/>
    <col min="8964" max="8964" width="13.42578125" style="179" bestFit="1" customWidth="1"/>
    <col min="8965" max="8965" width="13.28515625" style="179" bestFit="1" customWidth="1"/>
    <col min="8966" max="8966" width="12.7109375" style="179" bestFit="1" customWidth="1"/>
    <col min="8967" max="8967" width="11.85546875" style="179" bestFit="1" customWidth="1"/>
    <col min="8968" max="8968" width="12" style="179" bestFit="1" customWidth="1"/>
    <col min="8969" max="8969" width="12.5703125" style="179" bestFit="1" customWidth="1"/>
    <col min="8970" max="8970" width="13.28515625" style="179" bestFit="1" customWidth="1"/>
    <col min="8971" max="8971" width="12.42578125" style="179" bestFit="1" customWidth="1"/>
    <col min="8972" max="8973" width="12" style="179" bestFit="1" customWidth="1"/>
    <col min="8974" max="8974" width="13.42578125" style="179" bestFit="1" customWidth="1"/>
    <col min="8975" max="8977" width="5.42578125" style="179" customWidth="1"/>
    <col min="8978" max="8978" width="6" style="179" bestFit="1" customWidth="1"/>
    <col min="8979" max="8990" width="11.28515625" style="179" bestFit="1" customWidth="1"/>
    <col min="8991" max="9216" width="9.140625" style="179"/>
    <col min="9217" max="9217" width="12" style="179" customWidth="1"/>
    <col min="9218" max="9218" width="12.7109375" style="179" bestFit="1" customWidth="1"/>
    <col min="9219" max="9219" width="13.28515625" style="179" bestFit="1" customWidth="1"/>
    <col min="9220" max="9220" width="13.42578125" style="179" bestFit="1" customWidth="1"/>
    <col min="9221" max="9221" width="13.28515625" style="179" bestFit="1" customWidth="1"/>
    <col min="9222" max="9222" width="12.7109375" style="179" bestFit="1" customWidth="1"/>
    <col min="9223" max="9223" width="11.85546875" style="179" bestFit="1" customWidth="1"/>
    <col min="9224" max="9224" width="12" style="179" bestFit="1" customWidth="1"/>
    <col min="9225" max="9225" width="12.5703125" style="179" bestFit="1" customWidth="1"/>
    <col min="9226" max="9226" width="13.28515625" style="179" bestFit="1" customWidth="1"/>
    <col min="9227" max="9227" width="12.42578125" style="179" bestFit="1" customWidth="1"/>
    <col min="9228" max="9229" width="12" style="179" bestFit="1" customWidth="1"/>
    <col min="9230" max="9230" width="13.42578125" style="179" bestFit="1" customWidth="1"/>
    <col min="9231" max="9233" width="5.42578125" style="179" customWidth="1"/>
    <col min="9234" max="9234" width="6" style="179" bestFit="1" customWidth="1"/>
    <col min="9235" max="9246" width="11.28515625" style="179" bestFit="1" customWidth="1"/>
    <col min="9247" max="9472" width="9.140625" style="179"/>
    <col min="9473" max="9473" width="12" style="179" customWidth="1"/>
    <col min="9474" max="9474" width="12.7109375" style="179" bestFit="1" customWidth="1"/>
    <col min="9475" max="9475" width="13.28515625" style="179" bestFit="1" customWidth="1"/>
    <col min="9476" max="9476" width="13.42578125" style="179" bestFit="1" customWidth="1"/>
    <col min="9477" max="9477" width="13.28515625" style="179" bestFit="1" customWidth="1"/>
    <col min="9478" max="9478" width="12.7109375" style="179" bestFit="1" customWidth="1"/>
    <col min="9479" max="9479" width="11.85546875" style="179" bestFit="1" customWidth="1"/>
    <col min="9480" max="9480" width="12" style="179" bestFit="1" customWidth="1"/>
    <col min="9481" max="9481" width="12.5703125" style="179" bestFit="1" customWidth="1"/>
    <col min="9482" max="9482" width="13.28515625" style="179" bestFit="1" customWidth="1"/>
    <col min="9483" max="9483" width="12.42578125" style="179" bestFit="1" customWidth="1"/>
    <col min="9484" max="9485" width="12" style="179" bestFit="1" customWidth="1"/>
    <col min="9486" max="9486" width="13.42578125" style="179" bestFit="1" customWidth="1"/>
    <col min="9487" max="9489" width="5.42578125" style="179" customWidth="1"/>
    <col min="9490" max="9490" width="6" style="179" bestFit="1" customWidth="1"/>
    <col min="9491" max="9502" width="11.28515625" style="179" bestFit="1" customWidth="1"/>
    <col min="9503" max="9728" width="9.140625" style="179"/>
    <col min="9729" max="9729" width="12" style="179" customWidth="1"/>
    <col min="9730" max="9730" width="12.7109375" style="179" bestFit="1" customWidth="1"/>
    <col min="9731" max="9731" width="13.28515625" style="179" bestFit="1" customWidth="1"/>
    <col min="9732" max="9732" width="13.42578125" style="179" bestFit="1" customWidth="1"/>
    <col min="9733" max="9733" width="13.28515625" style="179" bestFit="1" customWidth="1"/>
    <col min="9734" max="9734" width="12.7109375" style="179" bestFit="1" customWidth="1"/>
    <col min="9735" max="9735" width="11.85546875" style="179" bestFit="1" customWidth="1"/>
    <col min="9736" max="9736" width="12" style="179" bestFit="1" customWidth="1"/>
    <col min="9737" max="9737" width="12.5703125" style="179" bestFit="1" customWidth="1"/>
    <col min="9738" max="9738" width="13.28515625" style="179" bestFit="1" customWidth="1"/>
    <col min="9739" max="9739" width="12.42578125" style="179" bestFit="1" customWidth="1"/>
    <col min="9740" max="9741" width="12" style="179" bestFit="1" customWidth="1"/>
    <col min="9742" max="9742" width="13.42578125" style="179" bestFit="1" customWidth="1"/>
    <col min="9743" max="9745" width="5.42578125" style="179" customWidth="1"/>
    <col min="9746" max="9746" width="6" style="179" bestFit="1" customWidth="1"/>
    <col min="9747" max="9758" width="11.28515625" style="179" bestFit="1" customWidth="1"/>
    <col min="9759" max="9984" width="9.140625" style="179"/>
    <col min="9985" max="9985" width="12" style="179" customWidth="1"/>
    <col min="9986" max="9986" width="12.7109375" style="179" bestFit="1" customWidth="1"/>
    <col min="9987" max="9987" width="13.28515625" style="179" bestFit="1" customWidth="1"/>
    <col min="9988" max="9988" width="13.42578125" style="179" bestFit="1" customWidth="1"/>
    <col min="9989" max="9989" width="13.28515625" style="179" bestFit="1" customWidth="1"/>
    <col min="9990" max="9990" width="12.7109375" style="179" bestFit="1" customWidth="1"/>
    <col min="9991" max="9991" width="11.85546875" style="179" bestFit="1" customWidth="1"/>
    <col min="9992" max="9992" width="12" style="179" bestFit="1" customWidth="1"/>
    <col min="9993" max="9993" width="12.5703125" style="179" bestFit="1" customWidth="1"/>
    <col min="9994" max="9994" width="13.28515625" style="179" bestFit="1" customWidth="1"/>
    <col min="9995" max="9995" width="12.42578125" style="179" bestFit="1" customWidth="1"/>
    <col min="9996" max="9997" width="12" style="179" bestFit="1" customWidth="1"/>
    <col min="9998" max="9998" width="13.42578125" style="179" bestFit="1" customWidth="1"/>
    <col min="9999" max="10001" width="5.42578125" style="179" customWidth="1"/>
    <col min="10002" max="10002" width="6" style="179" bestFit="1" customWidth="1"/>
    <col min="10003" max="10014" width="11.28515625" style="179" bestFit="1" customWidth="1"/>
    <col min="10015" max="10240" width="9.140625" style="179"/>
    <col min="10241" max="10241" width="12" style="179" customWidth="1"/>
    <col min="10242" max="10242" width="12.7109375" style="179" bestFit="1" customWidth="1"/>
    <col min="10243" max="10243" width="13.28515625" style="179" bestFit="1" customWidth="1"/>
    <col min="10244" max="10244" width="13.42578125" style="179" bestFit="1" customWidth="1"/>
    <col min="10245" max="10245" width="13.28515625" style="179" bestFit="1" customWidth="1"/>
    <col min="10246" max="10246" width="12.7109375" style="179" bestFit="1" customWidth="1"/>
    <col min="10247" max="10247" width="11.85546875" style="179" bestFit="1" customWidth="1"/>
    <col min="10248" max="10248" width="12" style="179" bestFit="1" customWidth="1"/>
    <col min="10249" max="10249" width="12.5703125" style="179" bestFit="1" customWidth="1"/>
    <col min="10250" max="10250" width="13.28515625" style="179" bestFit="1" customWidth="1"/>
    <col min="10251" max="10251" width="12.42578125" style="179" bestFit="1" customWidth="1"/>
    <col min="10252" max="10253" width="12" style="179" bestFit="1" customWidth="1"/>
    <col min="10254" max="10254" width="13.42578125" style="179" bestFit="1" customWidth="1"/>
    <col min="10255" max="10257" width="5.42578125" style="179" customWidth="1"/>
    <col min="10258" max="10258" width="6" style="179" bestFit="1" customWidth="1"/>
    <col min="10259" max="10270" width="11.28515625" style="179" bestFit="1" customWidth="1"/>
    <col min="10271" max="10496" width="9.140625" style="179"/>
    <col min="10497" max="10497" width="12" style="179" customWidth="1"/>
    <col min="10498" max="10498" width="12.7109375" style="179" bestFit="1" customWidth="1"/>
    <col min="10499" max="10499" width="13.28515625" style="179" bestFit="1" customWidth="1"/>
    <col min="10500" max="10500" width="13.42578125" style="179" bestFit="1" customWidth="1"/>
    <col min="10501" max="10501" width="13.28515625" style="179" bestFit="1" customWidth="1"/>
    <col min="10502" max="10502" width="12.7109375" style="179" bestFit="1" customWidth="1"/>
    <col min="10503" max="10503" width="11.85546875" style="179" bestFit="1" customWidth="1"/>
    <col min="10504" max="10504" width="12" style="179" bestFit="1" customWidth="1"/>
    <col min="10505" max="10505" width="12.5703125" style="179" bestFit="1" customWidth="1"/>
    <col min="10506" max="10506" width="13.28515625" style="179" bestFit="1" customWidth="1"/>
    <col min="10507" max="10507" width="12.42578125" style="179" bestFit="1" customWidth="1"/>
    <col min="10508" max="10509" width="12" style="179" bestFit="1" customWidth="1"/>
    <col min="10510" max="10510" width="13.42578125" style="179" bestFit="1" customWidth="1"/>
    <col min="10511" max="10513" width="5.42578125" style="179" customWidth="1"/>
    <col min="10514" max="10514" width="6" style="179" bestFit="1" customWidth="1"/>
    <col min="10515" max="10526" width="11.28515625" style="179" bestFit="1" customWidth="1"/>
    <col min="10527" max="10752" width="9.140625" style="179"/>
    <col min="10753" max="10753" width="12" style="179" customWidth="1"/>
    <col min="10754" max="10754" width="12.7109375" style="179" bestFit="1" customWidth="1"/>
    <col min="10755" max="10755" width="13.28515625" style="179" bestFit="1" customWidth="1"/>
    <col min="10756" max="10756" width="13.42578125" style="179" bestFit="1" customWidth="1"/>
    <col min="10757" max="10757" width="13.28515625" style="179" bestFit="1" customWidth="1"/>
    <col min="10758" max="10758" width="12.7109375" style="179" bestFit="1" customWidth="1"/>
    <col min="10759" max="10759" width="11.85546875" style="179" bestFit="1" customWidth="1"/>
    <col min="10760" max="10760" width="12" style="179" bestFit="1" customWidth="1"/>
    <col min="10761" max="10761" width="12.5703125" style="179" bestFit="1" customWidth="1"/>
    <col min="10762" max="10762" width="13.28515625" style="179" bestFit="1" customWidth="1"/>
    <col min="10763" max="10763" width="12.42578125" style="179" bestFit="1" customWidth="1"/>
    <col min="10764" max="10765" width="12" style="179" bestFit="1" customWidth="1"/>
    <col min="10766" max="10766" width="13.42578125" style="179" bestFit="1" customWidth="1"/>
    <col min="10767" max="10769" width="5.42578125" style="179" customWidth="1"/>
    <col min="10770" max="10770" width="6" style="179" bestFit="1" customWidth="1"/>
    <col min="10771" max="10782" width="11.28515625" style="179" bestFit="1" customWidth="1"/>
    <col min="10783" max="11008" width="9.140625" style="179"/>
    <col min="11009" max="11009" width="12" style="179" customWidth="1"/>
    <col min="11010" max="11010" width="12.7109375" style="179" bestFit="1" customWidth="1"/>
    <col min="11011" max="11011" width="13.28515625" style="179" bestFit="1" customWidth="1"/>
    <col min="11012" max="11012" width="13.42578125" style="179" bestFit="1" customWidth="1"/>
    <col min="11013" max="11013" width="13.28515625" style="179" bestFit="1" customWidth="1"/>
    <col min="11014" max="11014" width="12.7109375" style="179" bestFit="1" customWidth="1"/>
    <col min="11015" max="11015" width="11.85546875" style="179" bestFit="1" customWidth="1"/>
    <col min="11016" max="11016" width="12" style="179" bestFit="1" customWidth="1"/>
    <col min="11017" max="11017" width="12.5703125" style="179" bestFit="1" customWidth="1"/>
    <col min="11018" max="11018" width="13.28515625" style="179" bestFit="1" customWidth="1"/>
    <col min="11019" max="11019" width="12.42578125" style="179" bestFit="1" customWidth="1"/>
    <col min="11020" max="11021" width="12" style="179" bestFit="1" customWidth="1"/>
    <col min="11022" max="11022" width="13.42578125" style="179" bestFit="1" customWidth="1"/>
    <col min="11023" max="11025" width="5.42578125" style="179" customWidth="1"/>
    <col min="11026" max="11026" width="6" style="179" bestFit="1" customWidth="1"/>
    <col min="11027" max="11038" width="11.28515625" style="179" bestFit="1" customWidth="1"/>
    <col min="11039" max="11264" width="9.140625" style="179"/>
    <col min="11265" max="11265" width="12" style="179" customWidth="1"/>
    <col min="11266" max="11266" width="12.7109375" style="179" bestFit="1" customWidth="1"/>
    <col min="11267" max="11267" width="13.28515625" style="179" bestFit="1" customWidth="1"/>
    <col min="11268" max="11268" width="13.42578125" style="179" bestFit="1" customWidth="1"/>
    <col min="11269" max="11269" width="13.28515625" style="179" bestFit="1" customWidth="1"/>
    <col min="11270" max="11270" width="12.7109375" style="179" bestFit="1" customWidth="1"/>
    <col min="11271" max="11271" width="11.85546875" style="179" bestFit="1" customWidth="1"/>
    <col min="11272" max="11272" width="12" style="179" bestFit="1" customWidth="1"/>
    <col min="11273" max="11273" width="12.5703125" style="179" bestFit="1" customWidth="1"/>
    <col min="11274" max="11274" width="13.28515625" style="179" bestFit="1" customWidth="1"/>
    <col min="11275" max="11275" width="12.42578125" style="179" bestFit="1" customWidth="1"/>
    <col min="11276" max="11277" width="12" style="179" bestFit="1" customWidth="1"/>
    <col min="11278" max="11278" width="13.42578125" style="179" bestFit="1" customWidth="1"/>
    <col min="11279" max="11281" width="5.42578125" style="179" customWidth="1"/>
    <col min="11282" max="11282" width="6" style="179" bestFit="1" customWidth="1"/>
    <col min="11283" max="11294" width="11.28515625" style="179" bestFit="1" customWidth="1"/>
    <col min="11295" max="11520" width="9.140625" style="179"/>
    <col min="11521" max="11521" width="12" style="179" customWidth="1"/>
    <col min="11522" max="11522" width="12.7109375" style="179" bestFit="1" customWidth="1"/>
    <col min="11523" max="11523" width="13.28515625" style="179" bestFit="1" customWidth="1"/>
    <col min="11524" max="11524" width="13.42578125" style="179" bestFit="1" customWidth="1"/>
    <col min="11525" max="11525" width="13.28515625" style="179" bestFit="1" customWidth="1"/>
    <col min="11526" max="11526" width="12.7109375" style="179" bestFit="1" customWidth="1"/>
    <col min="11527" max="11527" width="11.85546875" style="179" bestFit="1" customWidth="1"/>
    <col min="11528" max="11528" width="12" style="179" bestFit="1" customWidth="1"/>
    <col min="11529" max="11529" width="12.5703125" style="179" bestFit="1" customWidth="1"/>
    <col min="11530" max="11530" width="13.28515625" style="179" bestFit="1" customWidth="1"/>
    <col min="11531" max="11531" width="12.42578125" style="179" bestFit="1" customWidth="1"/>
    <col min="11532" max="11533" width="12" style="179" bestFit="1" customWidth="1"/>
    <col min="11534" max="11534" width="13.42578125" style="179" bestFit="1" customWidth="1"/>
    <col min="11535" max="11537" width="5.42578125" style="179" customWidth="1"/>
    <col min="11538" max="11538" width="6" style="179" bestFit="1" customWidth="1"/>
    <col min="11539" max="11550" width="11.28515625" style="179" bestFit="1" customWidth="1"/>
    <col min="11551" max="11776" width="9.140625" style="179"/>
    <col min="11777" max="11777" width="12" style="179" customWidth="1"/>
    <col min="11778" max="11778" width="12.7109375" style="179" bestFit="1" customWidth="1"/>
    <col min="11779" max="11779" width="13.28515625" style="179" bestFit="1" customWidth="1"/>
    <col min="11780" max="11780" width="13.42578125" style="179" bestFit="1" customWidth="1"/>
    <col min="11781" max="11781" width="13.28515625" style="179" bestFit="1" customWidth="1"/>
    <col min="11782" max="11782" width="12.7109375" style="179" bestFit="1" customWidth="1"/>
    <col min="11783" max="11783" width="11.85546875" style="179" bestFit="1" customWidth="1"/>
    <col min="11784" max="11784" width="12" style="179" bestFit="1" customWidth="1"/>
    <col min="11785" max="11785" width="12.5703125" style="179" bestFit="1" customWidth="1"/>
    <col min="11786" max="11786" width="13.28515625" style="179" bestFit="1" customWidth="1"/>
    <col min="11787" max="11787" width="12.42578125" style="179" bestFit="1" customWidth="1"/>
    <col min="11788" max="11789" width="12" style="179" bestFit="1" customWidth="1"/>
    <col min="11790" max="11790" width="13.42578125" style="179" bestFit="1" customWidth="1"/>
    <col min="11791" max="11793" width="5.42578125" style="179" customWidth="1"/>
    <col min="11794" max="11794" width="6" style="179" bestFit="1" customWidth="1"/>
    <col min="11795" max="11806" width="11.28515625" style="179" bestFit="1" customWidth="1"/>
    <col min="11807" max="12032" width="9.140625" style="179"/>
    <col min="12033" max="12033" width="12" style="179" customWidth="1"/>
    <col min="12034" max="12034" width="12.7109375" style="179" bestFit="1" customWidth="1"/>
    <col min="12035" max="12035" width="13.28515625" style="179" bestFit="1" customWidth="1"/>
    <col min="12036" max="12036" width="13.42578125" style="179" bestFit="1" customWidth="1"/>
    <col min="12037" max="12037" width="13.28515625" style="179" bestFit="1" customWidth="1"/>
    <col min="12038" max="12038" width="12.7109375" style="179" bestFit="1" customWidth="1"/>
    <col min="12039" max="12039" width="11.85546875" style="179" bestFit="1" customWidth="1"/>
    <col min="12040" max="12040" width="12" style="179" bestFit="1" customWidth="1"/>
    <col min="12041" max="12041" width="12.5703125" style="179" bestFit="1" customWidth="1"/>
    <col min="12042" max="12042" width="13.28515625" style="179" bestFit="1" customWidth="1"/>
    <col min="12043" max="12043" width="12.42578125" style="179" bestFit="1" customWidth="1"/>
    <col min="12044" max="12045" width="12" style="179" bestFit="1" customWidth="1"/>
    <col min="12046" max="12046" width="13.42578125" style="179" bestFit="1" customWidth="1"/>
    <col min="12047" max="12049" width="5.42578125" style="179" customWidth="1"/>
    <col min="12050" max="12050" width="6" style="179" bestFit="1" customWidth="1"/>
    <col min="12051" max="12062" width="11.28515625" style="179" bestFit="1" customWidth="1"/>
    <col min="12063" max="12288" width="9.140625" style="179"/>
    <col min="12289" max="12289" width="12" style="179" customWidth="1"/>
    <col min="12290" max="12290" width="12.7109375" style="179" bestFit="1" customWidth="1"/>
    <col min="12291" max="12291" width="13.28515625" style="179" bestFit="1" customWidth="1"/>
    <col min="12292" max="12292" width="13.42578125" style="179" bestFit="1" customWidth="1"/>
    <col min="12293" max="12293" width="13.28515625" style="179" bestFit="1" customWidth="1"/>
    <col min="12294" max="12294" width="12.7109375" style="179" bestFit="1" customWidth="1"/>
    <col min="12295" max="12295" width="11.85546875" style="179" bestFit="1" customWidth="1"/>
    <col min="12296" max="12296" width="12" style="179" bestFit="1" customWidth="1"/>
    <col min="12297" max="12297" width="12.5703125" style="179" bestFit="1" customWidth="1"/>
    <col min="12298" max="12298" width="13.28515625" style="179" bestFit="1" customWidth="1"/>
    <col min="12299" max="12299" width="12.42578125" style="179" bestFit="1" customWidth="1"/>
    <col min="12300" max="12301" width="12" style="179" bestFit="1" customWidth="1"/>
    <col min="12302" max="12302" width="13.42578125" style="179" bestFit="1" customWidth="1"/>
    <col min="12303" max="12305" width="5.42578125" style="179" customWidth="1"/>
    <col min="12306" max="12306" width="6" style="179" bestFit="1" customWidth="1"/>
    <col min="12307" max="12318" width="11.28515625" style="179" bestFit="1" customWidth="1"/>
    <col min="12319" max="12544" width="9.140625" style="179"/>
    <col min="12545" max="12545" width="12" style="179" customWidth="1"/>
    <col min="12546" max="12546" width="12.7109375" style="179" bestFit="1" customWidth="1"/>
    <col min="12547" max="12547" width="13.28515625" style="179" bestFit="1" customWidth="1"/>
    <col min="12548" max="12548" width="13.42578125" style="179" bestFit="1" customWidth="1"/>
    <col min="12549" max="12549" width="13.28515625" style="179" bestFit="1" customWidth="1"/>
    <col min="12550" max="12550" width="12.7109375" style="179" bestFit="1" customWidth="1"/>
    <col min="12551" max="12551" width="11.85546875" style="179" bestFit="1" customWidth="1"/>
    <col min="12552" max="12552" width="12" style="179" bestFit="1" customWidth="1"/>
    <col min="12553" max="12553" width="12.5703125" style="179" bestFit="1" customWidth="1"/>
    <col min="12554" max="12554" width="13.28515625" style="179" bestFit="1" customWidth="1"/>
    <col min="12555" max="12555" width="12.42578125" style="179" bestFit="1" customWidth="1"/>
    <col min="12556" max="12557" width="12" style="179" bestFit="1" customWidth="1"/>
    <col min="12558" max="12558" width="13.42578125" style="179" bestFit="1" customWidth="1"/>
    <col min="12559" max="12561" width="5.42578125" style="179" customWidth="1"/>
    <col min="12562" max="12562" width="6" style="179" bestFit="1" customWidth="1"/>
    <col min="12563" max="12574" width="11.28515625" style="179" bestFit="1" customWidth="1"/>
    <col min="12575" max="12800" width="9.140625" style="179"/>
    <col min="12801" max="12801" width="12" style="179" customWidth="1"/>
    <col min="12802" max="12802" width="12.7109375" style="179" bestFit="1" customWidth="1"/>
    <col min="12803" max="12803" width="13.28515625" style="179" bestFit="1" customWidth="1"/>
    <col min="12804" max="12804" width="13.42578125" style="179" bestFit="1" customWidth="1"/>
    <col min="12805" max="12805" width="13.28515625" style="179" bestFit="1" customWidth="1"/>
    <col min="12806" max="12806" width="12.7109375" style="179" bestFit="1" customWidth="1"/>
    <col min="12807" max="12807" width="11.85546875" style="179" bestFit="1" customWidth="1"/>
    <col min="12808" max="12808" width="12" style="179" bestFit="1" customWidth="1"/>
    <col min="12809" max="12809" width="12.5703125" style="179" bestFit="1" customWidth="1"/>
    <col min="12810" max="12810" width="13.28515625" style="179" bestFit="1" customWidth="1"/>
    <col min="12811" max="12811" width="12.42578125" style="179" bestFit="1" customWidth="1"/>
    <col min="12812" max="12813" width="12" style="179" bestFit="1" customWidth="1"/>
    <col min="12814" max="12814" width="13.42578125" style="179" bestFit="1" customWidth="1"/>
    <col min="12815" max="12817" width="5.42578125" style="179" customWidth="1"/>
    <col min="12818" max="12818" width="6" style="179" bestFit="1" customWidth="1"/>
    <col min="12819" max="12830" width="11.28515625" style="179" bestFit="1" customWidth="1"/>
    <col min="12831" max="13056" width="9.140625" style="179"/>
    <col min="13057" max="13057" width="12" style="179" customWidth="1"/>
    <col min="13058" max="13058" width="12.7109375" style="179" bestFit="1" customWidth="1"/>
    <col min="13059" max="13059" width="13.28515625" style="179" bestFit="1" customWidth="1"/>
    <col min="13060" max="13060" width="13.42578125" style="179" bestFit="1" customWidth="1"/>
    <col min="13061" max="13061" width="13.28515625" style="179" bestFit="1" customWidth="1"/>
    <col min="13062" max="13062" width="12.7109375" style="179" bestFit="1" customWidth="1"/>
    <col min="13063" max="13063" width="11.85546875" style="179" bestFit="1" customWidth="1"/>
    <col min="13064" max="13064" width="12" style="179" bestFit="1" customWidth="1"/>
    <col min="13065" max="13065" width="12.5703125" style="179" bestFit="1" customWidth="1"/>
    <col min="13066" max="13066" width="13.28515625" style="179" bestFit="1" customWidth="1"/>
    <col min="13067" max="13067" width="12.42578125" style="179" bestFit="1" customWidth="1"/>
    <col min="13068" max="13069" width="12" style="179" bestFit="1" customWidth="1"/>
    <col min="13070" max="13070" width="13.42578125" style="179" bestFit="1" customWidth="1"/>
    <col min="13071" max="13073" width="5.42578125" style="179" customWidth="1"/>
    <col min="13074" max="13074" width="6" style="179" bestFit="1" customWidth="1"/>
    <col min="13075" max="13086" width="11.28515625" style="179" bestFit="1" customWidth="1"/>
    <col min="13087" max="13312" width="9.140625" style="179"/>
    <col min="13313" max="13313" width="12" style="179" customWidth="1"/>
    <col min="13314" max="13314" width="12.7109375" style="179" bestFit="1" customWidth="1"/>
    <col min="13315" max="13315" width="13.28515625" style="179" bestFit="1" customWidth="1"/>
    <col min="13316" max="13316" width="13.42578125" style="179" bestFit="1" customWidth="1"/>
    <col min="13317" max="13317" width="13.28515625" style="179" bestFit="1" customWidth="1"/>
    <col min="13318" max="13318" width="12.7109375" style="179" bestFit="1" customWidth="1"/>
    <col min="13319" max="13319" width="11.85546875" style="179" bestFit="1" customWidth="1"/>
    <col min="13320" max="13320" width="12" style="179" bestFit="1" customWidth="1"/>
    <col min="13321" max="13321" width="12.5703125" style="179" bestFit="1" customWidth="1"/>
    <col min="13322" max="13322" width="13.28515625" style="179" bestFit="1" customWidth="1"/>
    <col min="13323" max="13323" width="12.42578125" style="179" bestFit="1" customWidth="1"/>
    <col min="13324" max="13325" width="12" style="179" bestFit="1" customWidth="1"/>
    <col min="13326" max="13326" width="13.42578125" style="179" bestFit="1" customWidth="1"/>
    <col min="13327" max="13329" width="5.42578125" style="179" customWidth="1"/>
    <col min="13330" max="13330" width="6" style="179" bestFit="1" customWidth="1"/>
    <col min="13331" max="13342" width="11.28515625" style="179" bestFit="1" customWidth="1"/>
    <col min="13343" max="13568" width="9.140625" style="179"/>
    <col min="13569" max="13569" width="12" style="179" customWidth="1"/>
    <col min="13570" max="13570" width="12.7109375" style="179" bestFit="1" customWidth="1"/>
    <col min="13571" max="13571" width="13.28515625" style="179" bestFit="1" customWidth="1"/>
    <col min="13572" max="13572" width="13.42578125" style="179" bestFit="1" customWidth="1"/>
    <col min="13573" max="13573" width="13.28515625" style="179" bestFit="1" customWidth="1"/>
    <col min="13574" max="13574" width="12.7109375" style="179" bestFit="1" customWidth="1"/>
    <col min="13575" max="13575" width="11.85546875" style="179" bestFit="1" customWidth="1"/>
    <col min="13576" max="13576" width="12" style="179" bestFit="1" customWidth="1"/>
    <col min="13577" max="13577" width="12.5703125" style="179" bestFit="1" customWidth="1"/>
    <col min="13578" max="13578" width="13.28515625" style="179" bestFit="1" customWidth="1"/>
    <col min="13579" max="13579" width="12.42578125" style="179" bestFit="1" customWidth="1"/>
    <col min="13580" max="13581" width="12" style="179" bestFit="1" customWidth="1"/>
    <col min="13582" max="13582" width="13.42578125" style="179" bestFit="1" customWidth="1"/>
    <col min="13583" max="13585" width="5.42578125" style="179" customWidth="1"/>
    <col min="13586" max="13586" width="6" style="179" bestFit="1" customWidth="1"/>
    <col min="13587" max="13598" width="11.28515625" style="179" bestFit="1" customWidth="1"/>
    <col min="13599" max="13824" width="9.140625" style="179"/>
    <col min="13825" max="13825" width="12" style="179" customWidth="1"/>
    <col min="13826" max="13826" width="12.7109375" style="179" bestFit="1" customWidth="1"/>
    <col min="13827" max="13827" width="13.28515625" style="179" bestFit="1" customWidth="1"/>
    <col min="13828" max="13828" width="13.42578125" style="179" bestFit="1" customWidth="1"/>
    <col min="13829" max="13829" width="13.28515625" style="179" bestFit="1" customWidth="1"/>
    <col min="13830" max="13830" width="12.7109375" style="179" bestFit="1" customWidth="1"/>
    <col min="13831" max="13831" width="11.85546875" style="179" bestFit="1" customWidth="1"/>
    <col min="13832" max="13832" width="12" style="179" bestFit="1" customWidth="1"/>
    <col min="13833" max="13833" width="12.5703125" style="179" bestFit="1" customWidth="1"/>
    <col min="13834" max="13834" width="13.28515625" style="179" bestFit="1" customWidth="1"/>
    <col min="13835" max="13835" width="12.42578125" style="179" bestFit="1" customWidth="1"/>
    <col min="13836" max="13837" width="12" style="179" bestFit="1" customWidth="1"/>
    <col min="13838" max="13838" width="13.42578125" style="179" bestFit="1" customWidth="1"/>
    <col min="13839" max="13841" width="5.42578125" style="179" customWidth="1"/>
    <col min="13842" max="13842" width="6" style="179" bestFit="1" customWidth="1"/>
    <col min="13843" max="13854" width="11.28515625" style="179" bestFit="1" customWidth="1"/>
    <col min="13855" max="14080" width="9.140625" style="179"/>
    <col min="14081" max="14081" width="12" style="179" customWidth="1"/>
    <col min="14082" max="14082" width="12.7109375" style="179" bestFit="1" customWidth="1"/>
    <col min="14083" max="14083" width="13.28515625" style="179" bestFit="1" customWidth="1"/>
    <col min="14084" max="14084" width="13.42578125" style="179" bestFit="1" customWidth="1"/>
    <col min="14085" max="14085" width="13.28515625" style="179" bestFit="1" customWidth="1"/>
    <col min="14086" max="14086" width="12.7109375" style="179" bestFit="1" customWidth="1"/>
    <col min="14087" max="14087" width="11.85546875" style="179" bestFit="1" customWidth="1"/>
    <col min="14088" max="14088" width="12" style="179" bestFit="1" customWidth="1"/>
    <col min="14089" max="14089" width="12.5703125" style="179" bestFit="1" customWidth="1"/>
    <col min="14090" max="14090" width="13.28515625" style="179" bestFit="1" customWidth="1"/>
    <col min="14091" max="14091" width="12.42578125" style="179" bestFit="1" customWidth="1"/>
    <col min="14092" max="14093" width="12" style="179" bestFit="1" customWidth="1"/>
    <col min="14094" max="14094" width="13.42578125" style="179" bestFit="1" customWidth="1"/>
    <col min="14095" max="14097" width="5.42578125" style="179" customWidth="1"/>
    <col min="14098" max="14098" width="6" style="179" bestFit="1" customWidth="1"/>
    <col min="14099" max="14110" width="11.28515625" style="179" bestFit="1" customWidth="1"/>
    <col min="14111" max="14336" width="9.140625" style="179"/>
    <col min="14337" max="14337" width="12" style="179" customWidth="1"/>
    <col min="14338" max="14338" width="12.7109375" style="179" bestFit="1" customWidth="1"/>
    <col min="14339" max="14339" width="13.28515625" style="179" bestFit="1" customWidth="1"/>
    <col min="14340" max="14340" width="13.42578125" style="179" bestFit="1" customWidth="1"/>
    <col min="14341" max="14341" width="13.28515625" style="179" bestFit="1" customWidth="1"/>
    <col min="14342" max="14342" width="12.7109375" style="179" bestFit="1" customWidth="1"/>
    <col min="14343" max="14343" width="11.85546875" style="179" bestFit="1" customWidth="1"/>
    <col min="14344" max="14344" width="12" style="179" bestFit="1" customWidth="1"/>
    <col min="14345" max="14345" width="12.5703125" style="179" bestFit="1" customWidth="1"/>
    <col min="14346" max="14346" width="13.28515625" style="179" bestFit="1" customWidth="1"/>
    <col min="14347" max="14347" width="12.42578125" style="179" bestFit="1" customWidth="1"/>
    <col min="14348" max="14349" width="12" style="179" bestFit="1" customWidth="1"/>
    <col min="14350" max="14350" width="13.42578125" style="179" bestFit="1" customWidth="1"/>
    <col min="14351" max="14353" width="5.42578125" style="179" customWidth="1"/>
    <col min="14354" max="14354" width="6" style="179" bestFit="1" customWidth="1"/>
    <col min="14355" max="14366" width="11.28515625" style="179" bestFit="1" customWidth="1"/>
    <col min="14367" max="14592" width="9.140625" style="179"/>
    <col min="14593" max="14593" width="12" style="179" customWidth="1"/>
    <col min="14594" max="14594" width="12.7109375" style="179" bestFit="1" customWidth="1"/>
    <col min="14595" max="14595" width="13.28515625" style="179" bestFit="1" customWidth="1"/>
    <col min="14596" max="14596" width="13.42578125" style="179" bestFit="1" customWidth="1"/>
    <col min="14597" max="14597" width="13.28515625" style="179" bestFit="1" customWidth="1"/>
    <col min="14598" max="14598" width="12.7109375" style="179" bestFit="1" customWidth="1"/>
    <col min="14599" max="14599" width="11.85546875" style="179" bestFit="1" customWidth="1"/>
    <col min="14600" max="14600" width="12" style="179" bestFit="1" customWidth="1"/>
    <col min="14601" max="14601" width="12.5703125" style="179" bestFit="1" customWidth="1"/>
    <col min="14602" max="14602" width="13.28515625" style="179" bestFit="1" customWidth="1"/>
    <col min="14603" max="14603" width="12.42578125" style="179" bestFit="1" customWidth="1"/>
    <col min="14604" max="14605" width="12" style="179" bestFit="1" customWidth="1"/>
    <col min="14606" max="14606" width="13.42578125" style="179" bestFit="1" customWidth="1"/>
    <col min="14607" max="14609" width="5.42578125" style="179" customWidth="1"/>
    <col min="14610" max="14610" width="6" style="179" bestFit="1" customWidth="1"/>
    <col min="14611" max="14622" width="11.28515625" style="179" bestFit="1" customWidth="1"/>
    <col min="14623" max="14848" width="9.140625" style="179"/>
    <col min="14849" max="14849" width="12" style="179" customWidth="1"/>
    <col min="14850" max="14850" width="12.7109375" style="179" bestFit="1" customWidth="1"/>
    <col min="14851" max="14851" width="13.28515625" style="179" bestFit="1" customWidth="1"/>
    <col min="14852" max="14852" width="13.42578125" style="179" bestFit="1" customWidth="1"/>
    <col min="14853" max="14853" width="13.28515625" style="179" bestFit="1" customWidth="1"/>
    <col min="14854" max="14854" width="12.7109375" style="179" bestFit="1" customWidth="1"/>
    <col min="14855" max="14855" width="11.85546875" style="179" bestFit="1" customWidth="1"/>
    <col min="14856" max="14856" width="12" style="179" bestFit="1" customWidth="1"/>
    <col min="14857" max="14857" width="12.5703125" style="179" bestFit="1" customWidth="1"/>
    <col min="14858" max="14858" width="13.28515625" style="179" bestFit="1" customWidth="1"/>
    <col min="14859" max="14859" width="12.42578125" style="179" bestFit="1" customWidth="1"/>
    <col min="14860" max="14861" width="12" style="179" bestFit="1" customWidth="1"/>
    <col min="14862" max="14862" width="13.42578125" style="179" bestFit="1" customWidth="1"/>
    <col min="14863" max="14865" width="5.42578125" style="179" customWidth="1"/>
    <col min="14866" max="14866" width="6" style="179" bestFit="1" customWidth="1"/>
    <col min="14867" max="14878" width="11.28515625" style="179" bestFit="1" customWidth="1"/>
    <col min="14879" max="15104" width="9.140625" style="179"/>
    <col min="15105" max="15105" width="12" style="179" customWidth="1"/>
    <col min="15106" max="15106" width="12.7109375" style="179" bestFit="1" customWidth="1"/>
    <col min="15107" max="15107" width="13.28515625" style="179" bestFit="1" customWidth="1"/>
    <col min="15108" max="15108" width="13.42578125" style="179" bestFit="1" customWidth="1"/>
    <col min="15109" max="15109" width="13.28515625" style="179" bestFit="1" customWidth="1"/>
    <col min="15110" max="15110" width="12.7109375" style="179" bestFit="1" customWidth="1"/>
    <col min="15111" max="15111" width="11.85546875" style="179" bestFit="1" customWidth="1"/>
    <col min="15112" max="15112" width="12" style="179" bestFit="1" customWidth="1"/>
    <col min="15113" max="15113" width="12.5703125" style="179" bestFit="1" customWidth="1"/>
    <col min="15114" max="15114" width="13.28515625" style="179" bestFit="1" customWidth="1"/>
    <col min="15115" max="15115" width="12.42578125" style="179" bestFit="1" customWidth="1"/>
    <col min="15116" max="15117" width="12" style="179" bestFit="1" customWidth="1"/>
    <col min="15118" max="15118" width="13.42578125" style="179" bestFit="1" customWidth="1"/>
    <col min="15119" max="15121" width="5.42578125" style="179" customWidth="1"/>
    <col min="15122" max="15122" width="6" style="179" bestFit="1" customWidth="1"/>
    <col min="15123" max="15134" width="11.28515625" style="179" bestFit="1" customWidth="1"/>
    <col min="15135" max="15360" width="9.140625" style="179"/>
    <col min="15361" max="15361" width="12" style="179" customWidth="1"/>
    <col min="15362" max="15362" width="12.7109375" style="179" bestFit="1" customWidth="1"/>
    <col min="15363" max="15363" width="13.28515625" style="179" bestFit="1" customWidth="1"/>
    <col min="15364" max="15364" width="13.42578125" style="179" bestFit="1" customWidth="1"/>
    <col min="15365" max="15365" width="13.28515625" style="179" bestFit="1" customWidth="1"/>
    <col min="15366" max="15366" width="12.7109375" style="179" bestFit="1" customWidth="1"/>
    <col min="15367" max="15367" width="11.85546875" style="179" bestFit="1" customWidth="1"/>
    <col min="15368" max="15368" width="12" style="179" bestFit="1" customWidth="1"/>
    <col min="15369" max="15369" width="12.5703125" style="179" bestFit="1" customWidth="1"/>
    <col min="15370" max="15370" width="13.28515625" style="179" bestFit="1" customWidth="1"/>
    <col min="15371" max="15371" width="12.42578125" style="179" bestFit="1" customWidth="1"/>
    <col min="15372" max="15373" width="12" style="179" bestFit="1" customWidth="1"/>
    <col min="15374" max="15374" width="13.42578125" style="179" bestFit="1" customWidth="1"/>
    <col min="15375" max="15377" width="5.42578125" style="179" customWidth="1"/>
    <col min="15378" max="15378" width="6" style="179" bestFit="1" customWidth="1"/>
    <col min="15379" max="15390" width="11.28515625" style="179" bestFit="1" customWidth="1"/>
    <col min="15391" max="15616" width="9.140625" style="179"/>
    <col min="15617" max="15617" width="12" style="179" customWidth="1"/>
    <col min="15618" max="15618" width="12.7109375" style="179" bestFit="1" customWidth="1"/>
    <col min="15619" max="15619" width="13.28515625" style="179" bestFit="1" customWidth="1"/>
    <col min="15620" max="15620" width="13.42578125" style="179" bestFit="1" customWidth="1"/>
    <col min="15621" max="15621" width="13.28515625" style="179" bestFit="1" customWidth="1"/>
    <col min="15622" max="15622" width="12.7109375" style="179" bestFit="1" customWidth="1"/>
    <col min="15623" max="15623" width="11.85546875" style="179" bestFit="1" customWidth="1"/>
    <col min="15624" max="15624" width="12" style="179" bestFit="1" customWidth="1"/>
    <col min="15625" max="15625" width="12.5703125" style="179" bestFit="1" customWidth="1"/>
    <col min="15626" max="15626" width="13.28515625" style="179" bestFit="1" customWidth="1"/>
    <col min="15627" max="15627" width="12.42578125" style="179" bestFit="1" customWidth="1"/>
    <col min="15628" max="15629" width="12" style="179" bestFit="1" customWidth="1"/>
    <col min="15630" max="15630" width="13.42578125" style="179" bestFit="1" customWidth="1"/>
    <col min="15631" max="15633" width="5.42578125" style="179" customWidth="1"/>
    <col min="15634" max="15634" width="6" style="179" bestFit="1" customWidth="1"/>
    <col min="15635" max="15646" width="11.28515625" style="179" bestFit="1" customWidth="1"/>
    <col min="15647" max="15872" width="9.140625" style="179"/>
    <col min="15873" max="15873" width="12" style="179" customWidth="1"/>
    <col min="15874" max="15874" width="12.7109375" style="179" bestFit="1" customWidth="1"/>
    <col min="15875" max="15875" width="13.28515625" style="179" bestFit="1" customWidth="1"/>
    <col min="15876" max="15876" width="13.42578125" style="179" bestFit="1" customWidth="1"/>
    <col min="15877" max="15877" width="13.28515625" style="179" bestFit="1" customWidth="1"/>
    <col min="15878" max="15878" width="12.7109375" style="179" bestFit="1" customWidth="1"/>
    <col min="15879" max="15879" width="11.85546875" style="179" bestFit="1" customWidth="1"/>
    <col min="15880" max="15880" width="12" style="179" bestFit="1" customWidth="1"/>
    <col min="15881" max="15881" width="12.5703125" style="179" bestFit="1" customWidth="1"/>
    <col min="15882" max="15882" width="13.28515625" style="179" bestFit="1" customWidth="1"/>
    <col min="15883" max="15883" width="12.42578125" style="179" bestFit="1" customWidth="1"/>
    <col min="15884" max="15885" width="12" style="179" bestFit="1" customWidth="1"/>
    <col min="15886" max="15886" width="13.42578125" style="179" bestFit="1" customWidth="1"/>
    <col min="15887" max="15889" width="5.42578125" style="179" customWidth="1"/>
    <col min="15890" max="15890" width="6" style="179" bestFit="1" customWidth="1"/>
    <col min="15891" max="15902" width="11.28515625" style="179" bestFit="1" customWidth="1"/>
    <col min="15903" max="16128" width="9.140625" style="179"/>
    <col min="16129" max="16129" width="12" style="179" customWidth="1"/>
    <col min="16130" max="16130" width="12.7109375" style="179" bestFit="1" customWidth="1"/>
    <col min="16131" max="16131" width="13.28515625" style="179" bestFit="1" customWidth="1"/>
    <col min="16132" max="16132" width="13.42578125" style="179" bestFit="1" customWidth="1"/>
    <col min="16133" max="16133" width="13.28515625" style="179" bestFit="1" customWidth="1"/>
    <col min="16134" max="16134" width="12.7109375" style="179" bestFit="1" customWidth="1"/>
    <col min="16135" max="16135" width="11.85546875" style="179" bestFit="1" customWidth="1"/>
    <col min="16136" max="16136" width="12" style="179" bestFit="1" customWidth="1"/>
    <col min="16137" max="16137" width="12.5703125" style="179" bestFit="1" customWidth="1"/>
    <col min="16138" max="16138" width="13.28515625" style="179" bestFit="1" customWidth="1"/>
    <col min="16139" max="16139" width="12.42578125" style="179" bestFit="1" customWidth="1"/>
    <col min="16140" max="16141" width="12" style="179" bestFit="1" customWidth="1"/>
    <col min="16142" max="16142" width="13.42578125" style="179" bestFit="1" customWidth="1"/>
    <col min="16143" max="16145" width="5.42578125" style="179" customWidth="1"/>
    <col min="16146" max="16146" width="6" style="179" bestFit="1" customWidth="1"/>
    <col min="16147" max="16158" width="11.28515625" style="179" bestFit="1" customWidth="1"/>
    <col min="16159" max="16384" width="9.140625" style="179"/>
  </cols>
  <sheetData>
    <row r="1" spans="1:30" ht="15.75" x14ac:dyDescent="0.25">
      <c r="A1" s="1882" t="s">
        <v>70</v>
      </c>
      <c r="B1" s="1882"/>
      <c r="C1" s="1882"/>
      <c r="D1" s="1882"/>
      <c r="E1" s="1882"/>
      <c r="F1" s="1882"/>
      <c r="G1" s="1882"/>
      <c r="H1" s="1882"/>
      <c r="I1" s="1882"/>
      <c r="J1" s="1882"/>
      <c r="K1" s="1882"/>
      <c r="L1" s="1882"/>
      <c r="M1" s="1882"/>
      <c r="N1" s="1882"/>
      <c r="O1" s="178"/>
    </row>
    <row r="2" spans="1:30" ht="15.75" x14ac:dyDescent="0.25">
      <c r="A2" s="180" t="s">
        <v>364</v>
      </c>
      <c r="B2" s="181"/>
      <c r="C2" s="181"/>
      <c r="D2" s="181"/>
      <c r="E2" s="181"/>
      <c r="F2" s="181"/>
      <c r="G2" s="181"/>
      <c r="H2" s="181"/>
      <c r="I2" s="181"/>
      <c r="J2" s="181"/>
      <c r="K2" s="181"/>
      <c r="L2" s="181"/>
      <c r="M2" s="181"/>
      <c r="N2" s="181"/>
      <c r="O2" s="178"/>
    </row>
    <row r="3" spans="1:30" ht="15.75" x14ac:dyDescent="0.25">
      <c r="A3" s="180" t="s">
        <v>365</v>
      </c>
      <c r="B3" s="181"/>
      <c r="C3" s="181"/>
      <c r="D3" s="181"/>
      <c r="E3" s="181"/>
      <c r="F3" s="181"/>
      <c r="G3" s="181"/>
      <c r="H3" s="181"/>
      <c r="I3" s="181"/>
      <c r="J3" s="181"/>
      <c r="K3" s="181"/>
      <c r="L3" s="181"/>
      <c r="M3" s="181"/>
      <c r="N3" s="181"/>
      <c r="O3" s="178"/>
    </row>
    <row r="4" spans="1:30" ht="15.75" x14ac:dyDescent="0.25">
      <c r="A4" s="182"/>
      <c r="B4" s="183"/>
      <c r="C4" s="183"/>
      <c r="D4" s="183"/>
      <c r="E4" s="183"/>
      <c r="F4" s="183"/>
      <c r="G4" s="183"/>
      <c r="H4" s="183"/>
      <c r="I4" s="183"/>
      <c r="J4" s="183"/>
      <c r="K4" s="184"/>
      <c r="L4" s="183"/>
      <c r="M4" s="183"/>
      <c r="N4" s="183"/>
      <c r="O4" s="183"/>
      <c r="P4" s="183"/>
    </row>
    <row r="5" spans="1:30" x14ac:dyDescent="0.2">
      <c r="A5" s="182" t="s">
        <v>366</v>
      </c>
      <c r="G5" s="182"/>
      <c r="H5" s="182"/>
    </row>
    <row r="6" spans="1:30" x14ac:dyDescent="0.2">
      <c r="A6" s="185" t="s">
        <v>367</v>
      </c>
      <c r="B6" s="186">
        <v>40483</v>
      </c>
      <c r="C6" s="186">
        <v>40513</v>
      </c>
      <c r="D6" s="186">
        <v>40544</v>
      </c>
      <c r="E6" s="186">
        <v>40575</v>
      </c>
      <c r="F6" s="186">
        <v>40603</v>
      </c>
      <c r="G6" s="186">
        <v>40634</v>
      </c>
      <c r="H6" s="186">
        <v>40664</v>
      </c>
      <c r="I6" s="186">
        <v>40695</v>
      </c>
      <c r="J6" s="186">
        <v>40725</v>
      </c>
      <c r="K6" s="186">
        <v>40756</v>
      </c>
      <c r="L6" s="186">
        <v>40787</v>
      </c>
      <c r="M6" s="186">
        <v>40817</v>
      </c>
      <c r="N6" s="185" t="s">
        <v>23</v>
      </c>
    </row>
    <row r="7" spans="1:30" x14ac:dyDescent="0.2">
      <c r="A7" s="187">
        <v>23</v>
      </c>
      <c r="B7" s="188">
        <v>67577775.668253869</v>
      </c>
      <c r="C7" s="188">
        <v>91688493.063526273</v>
      </c>
      <c r="D7" s="188">
        <v>89792109.613015071</v>
      </c>
      <c r="E7" s="188">
        <v>73503220.053722367</v>
      </c>
      <c r="F7" s="188">
        <v>63357475.706340067</v>
      </c>
      <c r="G7" s="188">
        <v>44591296.935913764</v>
      </c>
      <c r="H7" s="188">
        <v>28414770.632786367</v>
      </c>
      <c r="I7" s="188">
        <v>18243015.36220127</v>
      </c>
      <c r="J7" s="188">
        <v>12948706.050273066</v>
      </c>
      <c r="K7" s="188">
        <v>13381806.691025466</v>
      </c>
      <c r="L7" s="188">
        <v>18763351.518723268</v>
      </c>
      <c r="M7" s="188">
        <v>40906302.570051663</v>
      </c>
      <c r="N7" s="189">
        <v>563168323.86583257</v>
      </c>
      <c r="S7" s="190"/>
      <c r="T7" s="190"/>
      <c r="U7" s="190"/>
      <c r="V7" s="190"/>
      <c r="W7" s="190"/>
      <c r="X7" s="190"/>
      <c r="Y7" s="190"/>
      <c r="Z7" s="190"/>
      <c r="AA7" s="190"/>
      <c r="AB7" s="190"/>
      <c r="AC7" s="190"/>
      <c r="AD7" s="190"/>
    </row>
    <row r="8" spans="1:30" x14ac:dyDescent="0.2">
      <c r="A8" s="187">
        <v>16</v>
      </c>
      <c r="B8" s="188">
        <v>1037.0833333333333</v>
      </c>
      <c r="C8" s="188">
        <v>1037.0833333333333</v>
      </c>
      <c r="D8" s="188">
        <v>1037.0833333333333</v>
      </c>
      <c r="E8" s="188">
        <v>1037.0833333333333</v>
      </c>
      <c r="F8" s="188">
        <v>1037.0833333333333</v>
      </c>
      <c r="G8" s="188">
        <v>1037.0833333333333</v>
      </c>
      <c r="H8" s="188">
        <v>1037.0833333333333</v>
      </c>
      <c r="I8" s="188">
        <v>1037.0833333333333</v>
      </c>
      <c r="J8" s="188">
        <v>1037.0833333333333</v>
      </c>
      <c r="K8" s="188">
        <v>1037.0833333333333</v>
      </c>
      <c r="L8" s="188">
        <v>1037.0833333333333</v>
      </c>
      <c r="M8" s="188">
        <v>1037.0833333333333</v>
      </c>
      <c r="N8" s="189">
        <v>12445.000000000002</v>
      </c>
      <c r="S8" s="190"/>
      <c r="T8" s="190"/>
      <c r="U8" s="190"/>
      <c r="V8" s="190"/>
      <c r="W8" s="190"/>
      <c r="X8" s="190"/>
      <c r="Y8" s="190"/>
      <c r="Z8" s="190"/>
      <c r="AA8" s="190"/>
      <c r="AB8" s="190"/>
      <c r="AC8" s="190"/>
      <c r="AD8" s="190"/>
    </row>
    <row r="9" spans="1:30" x14ac:dyDescent="0.2">
      <c r="A9" s="187">
        <v>31</v>
      </c>
      <c r="B9" s="188">
        <v>23136514.767643593</v>
      </c>
      <c r="C9" s="188">
        <v>29236456.964504644</v>
      </c>
      <c r="D9" s="188">
        <v>33243089.189185549</v>
      </c>
      <c r="E9" s="188">
        <v>26675134.285879418</v>
      </c>
      <c r="F9" s="188">
        <v>24176031.945309378</v>
      </c>
      <c r="G9" s="188">
        <v>17926220.240241263</v>
      </c>
      <c r="H9" s="188">
        <v>12733927.538049689</v>
      </c>
      <c r="I9" s="188">
        <v>9018991.2937049326</v>
      </c>
      <c r="J9" s="188">
        <v>7464932.8219527155</v>
      </c>
      <c r="K9" s="188">
        <v>7056653.3495304352</v>
      </c>
      <c r="L9" s="188">
        <v>8316828.5777111957</v>
      </c>
      <c r="M9" s="188">
        <v>14870678.359980628</v>
      </c>
      <c r="N9" s="189">
        <v>213855459.33369344</v>
      </c>
      <c r="S9" s="190"/>
      <c r="T9" s="190"/>
      <c r="U9" s="190"/>
      <c r="V9" s="190"/>
      <c r="W9" s="190"/>
      <c r="X9" s="190"/>
      <c r="Y9" s="190"/>
      <c r="Z9" s="190"/>
      <c r="AA9" s="190"/>
      <c r="AB9" s="190"/>
      <c r="AC9" s="190"/>
      <c r="AD9" s="190"/>
    </row>
    <row r="10" spans="1:30" x14ac:dyDescent="0.2">
      <c r="A10" s="187">
        <v>41</v>
      </c>
      <c r="B10" s="188">
        <v>6590082.3764322195</v>
      </c>
      <c r="C10" s="188">
        <v>9766119.484499149</v>
      </c>
      <c r="D10" s="188">
        <v>5230576.6117127007</v>
      </c>
      <c r="E10" s="188">
        <v>5903750.0406889897</v>
      </c>
      <c r="F10" s="188">
        <v>6153719.1782972291</v>
      </c>
      <c r="G10" s="188">
        <v>5015954.0902131004</v>
      </c>
      <c r="H10" s="188">
        <v>4796619.6546616796</v>
      </c>
      <c r="I10" s="188">
        <v>4628357.52117432</v>
      </c>
      <c r="J10" s="188">
        <v>3573546.4468643097</v>
      </c>
      <c r="K10" s="188">
        <v>3905523.8313793796</v>
      </c>
      <c r="L10" s="188">
        <v>3678709.2142475205</v>
      </c>
      <c r="M10" s="188">
        <v>4975476.88349507</v>
      </c>
      <c r="N10" s="189">
        <v>64218435.333665654</v>
      </c>
      <c r="S10" s="190"/>
      <c r="T10" s="190"/>
      <c r="U10" s="190"/>
      <c r="V10" s="190"/>
      <c r="W10" s="190"/>
      <c r="X10" s="190"/>
      <c r="Y10" s="190"/>
      <c r="Z10" s="190"/>
      <c r="AA10" s="190"/>
      <c r="AB10" s="190"/>
      <c r="AC10" s="190"/>
      <c r="AD10" s="190"/>
    </row>
    <row r="11" spans="1:30" x14ac:dyDescent="0.2">
      <c r="A11" s="187">
        <v>85</v>
      </c>
      <c r="B11" s="188">
        <v>1491516.5208697151</v>
      </c>
      <c r="C11" s="188">
        <v>1730499.9692188301</v>
      </c>
      <c r="D11" s="188">
        <v>1656286.7418950065</v>
      </c>
      <c r="E11" s="188">
        <v>1508800.6893921101</v>
      </c>
      <c r="F11" s="188">
        <v>1507300.3573582631</v>
      </c>
      <c r="G11" s="188">
        <v>1306815.2019212628</v>
      </c>
      <c r="H11" s="188">
        <v>1117890.4143479988</v>
      </c>
      <c r="I11" s="188">
        <v>917020.297959966</v>
      </c>
      <c r="J11" s="188">
        <v>770722.23447279504</v>
      </c>
      <c r="K11" s="188">
        <v>802860.86458181113</v>
      </c>
      <c r="L11" s="188">
        <v>943115.66574970179</v>
      </c>
      <c r="M11" s="188">
        <v>1278659.4386264656</v>
      </c>
      <c r="N11" s="189">
        <v>15031488.396393927</v>
      </c>
      <c r="S11" s="190"/>
      <c r="T11" s="190"/>
      <c r="U11" s="190"/>
      <c r="V11" s="190"/>
      <c r="W11" s="190"/>
      <c r="X11" s="190"/>
      <c r="Y11" s="190"/>
      <c r="Z11" s="190"/>
      <c r="AA11" s="190"/>
      <c r="AB11" s="190"/>
      <c r="AC11" s="190"/>
      <c r="AD11" s="190"/>
    </row>
    <row r="12" spans="1:30" x14ac:dyDescent="0.2">
      <c r="A12" s="187">
        <v>86</v>
      </c>
      <c r="B12" s="188">
        <v>1277151.1740620628</v>
      </c>
      <c r="C12" s="188">
        <v>1511217.5510854409</v>
      </c>
      <c r="D12" s="188">
        <v>1448014.9006538652</v>
      </c>
      <c r="E12" s="188">
        <v>1296136.6238317247</v>
      </c>
      <c r="F12" s="188">
        <v>1282929.57957966</v>
      </c>
      <c r="G12" s="188">
        <v>1106061.7162870183</v>
      </c>
      <c r="H12" s="188">
        <v>929424.74745846819</v>
      </c>
      <c r="I12" s="188">
        <v>745081.07476276834</v>
      </c>
      <c r="J12" s="188">
        <v>599738.7234720441</v>
      </c>
      <c r="K12" s="188">
        <v>615570.9630166624</v>
      </c>
      <c r="L12" s="188">
        <v>729233.38713056175</v>
      </c>
      <c r="M12" s="188">
        <v>1048235.3653381562</v>
      </c>
      <c r="N12" s="189">
        <v>12588795.806678435</v>
      </c>
      <c r="S12" s="190"/>
      <c r="T12" s="190"/>
      <c r="U12" s="190"/>
      <c r="V12" s="190"/>
      <c r="W12" s="190"/>
      <c r="X12" s="190"/>
      <c r="Y12" s="190"/>
      <c r="Z12" s="190"/>
      <c r="AA12" s="190"/>
      <c r="AB12" s="190"/>
      <c r="AC12" s="190"/>
      <c r="AD12" s="190"/>
    </row>
    <row r="13" spans="1:30" x14ac:dyDescent="0.2">
      <c r="A13" s="187">
        <v>87</v>
      </c>
      <c r="B13" s="188">
        <v>3111825.27967055</v>
      </c>
      <c r="C13" s="188">
        <v>3804877.7525877301</v>
      </c>
      <c r="D13" s="188">
        <v>3632661.3237269213</v>
      </c>
      <c r="E13" s="188">
        <v>3229428.7116546263</v>
      </c>
      <c r="F13" s="188">
        <v>3134762.8656338556</v>
      </c>
      <c r="G13" s="188">
        <v>2660751.8306379966</v>
      </c>
      <c r="H13" s="188">
        <v>2158812.7963737254</v>
      </c>
      <c r="I13" s="188">
        <v>1698522.3073501731</v>
      </c>
      <c r="J13" s="188">
        <v>1372293.7098016317</v>
      </c>
      <c r="K13" s="188">
        <v>1391983.3940042369</v>
      </c>
      <c r="L13" s="188">
        <v>1663320.3292912785</v>
      </c>
      <c r="M13" s="188">
        <v>2494984.364022003</v>
      </c>
      <c r="N13" s="189">
        <v>30354224.664754726</v>
      </c>
      <c r="S13" s="190"/>
      <c r="T13" s="190"/>
      <c r="U13" s="190"/>
      <c r="V13" s="190"/>
      <c r="W13" s="190"/>
      <c r="X13" s="190"/>
      <c r="Y13" s="190"/>
      <c r="Z13" s="190"/>
      <c r="AA13" s="190"/>
      <c r="AB13" s="190"/>
      <c r="AC13" s="190"/>
      <c r="AD13" s="190"/>
    </row>
    <row r="14" spans="1:30" x14ac:dyDescent="0.2">
      <c r="A14" s="179" t="s">
        <v>309</v>
      </c>
      <c r="B14" s="191">
        <v>103185902.87026533</v>
      </c>
      <c r="C14" s="191">
        <v>137738701.8687554</v>
      </c>
      <c r="D14" s="191">
        <v>135003775.46352243</v>
      </c>
      <c r="E14" s="191">
        <v>112117507.48850256</v>
      </c>
      <c r="F14" s="191">
        <v>99613256.715851799</v>
      </c>
      <c r="G14" s="191">
        <v>72608137.098547742</v>
      </c>
      <c r="H14" s="191">
        <v>50152482.867011257</v>
      </c>
      <c r="I14" s="191">
        <v>35252024.940486759</v>
      </c>
      <c r="J14" s="191">
        <v>26730977.0701699</v>
      </c>
      <c r="K14" s="191">
        <v>27155436.176871326</v>
      </c>
      <c r="L14" s="191">
        <v>34095595.776186861</v>
      </c>
      <c r="M14" s="191">
        <v>65575374.06484732</v>
      </c>
      <c r="N14" s="191">
        <v>899229172.40101874</v>
      </c>
      <c r="O14" s="189"/>
      <c r="P14" s="192"/>
      <c r="S14" s="190"/>
      <c r="T14" s="190"/>
      <c r="U14" s="190"/>
      <c r="V14" s="190"/>
      <c r="W14" s="190"/>
      <c r="X14" s="190"/>
      <c r="Y14" s="190"/>
      <c r="Z14" s="190"/>
      <c r="AA14" s="190"/>
      <c r="AB14" s="190"/>
      <c r="AC14" s="190"/>
      <c r="AD14" s="190"/>
    </row>
    <row r="15" spans="1:30" x14ac:dyDescent="0.2">
      <c r="P15" s="189"/>
      <c r="S15" s="190"/>
      <c r="T15" s="190"/>
      <c r="U15" s="190"/>
      <c r="V15" s="190"/>
      <c r="W15" s="190"/>
      <c r="X15" s="190"/>
      <c r="Y15" s="190"/>
      <c r="Z15" s="190"/>
      <c r="AA15" s="190"/>
      <c r="AB15" s="190"/>
      <c r="AC15" s="190"/>
      <c r="AD15" s="190"/>
    </row>
    <row r="16" spans="1:30" x14ac:dyDescent="0.2">
      <c r="A16" s="193" t="s">
        <v>368</v>
      </c>
      <c r="B16" s="188">
        <v>18136548.31442</v>
      </c>
      <c r="C16" s="188">
        <v>18240690.370410059</v>
      </c>
      <c r="D16" s="188">
        <v>19340719.291392647</v>
      </c>
      <c r="E16" s="188">
        <v>17986276.202904202</v>
      </c>
      <c r="F16" s="188">
        <v>19145275.562992677</v>
      </c>
      <c r="G16" s="188">
        <v>17486417.330841009</v>
      </c>
      <c r="H16" s="188">
        <v>16264242.016415045</v>
      </c>
      <c r="I16" s="188">
        <v>14827544.796017502</v>
      </c>
      <c r="J16" s="188">
        <v>14810297.570394985</v>
      </c>
      <c r="K16" s="188">
        <v>15236556.881433101</v>
      </c>
      <c r="L16" s="188">
        <v>15123039.981939135</v>
      </c>
      <c r="M16" s="188">
        <v>16747196.727104258</v>
      </c>
      <c r="N16" s="190">
        <v>203344805.04626462</v>
      </c>
      <c r="P16" s="194"/>
      <c r="S16" s="190"/>
      <c r="T16" s="190"/>
      <c r="U16" s="190"/>
      <c r="V16" s="190"/>
      <c r="W16" s="190"/>
      <c r="X16" s="190"/>
      <c r="Y16" s="190"/>
      <c r="Z16" s="190"/>
      <c r="AA16" s="190"/>
      <c r="AB16" s="190"/>
      <c r="AC16" s="190"/>
      <c r="AD16" s="190"/>
    </row>
    <row r="17" spans="1:14" x14ac:dyDescent="0.2">
      <c r="B17" s="188"/>
      <c r="C17" s="188"/>
      <c r="D17" s="188"/>
      <c r="E17" s="188"/>
      <c r="F17" s="188"/>
      <c r="G17" s="188"/>
      <c r="H17" s="188"/>
      <c r="I17" s="188"/>
      <c r="J17" s="188"/>
      <c r="K17" s="188"/>
      <c r="L17" s="188"/>
      <c r="M17" s="188"/>
      <c r="N17" s="195"/>
    </row>
    <row r="18" spans="1:14" x14ac:dyDescent="0.2">
      <c r="A18" s="182" t="s">
        <v>369</v>
      </c>
      <c r="E18" s="188"/>
      <c r="F18" s="188"/>
      <c r="G18" s="188"/>
      <c r="H18" s="188"/>
      <c r="I18" s="188"/>
      <c r="J18" s="188"/>
      <c r="K18" s="188"/>
      <c r="L18" s="188"/>
      <c r="M18" s="188"/>
      <c r="N18" s="195"/>
    </row>
    <row r="19" spans="1:14" x14ac:dyDescent="0.2">
      <c r="A19" s="196" t="s">
        <v>370</v>
      </c>
      <c r="C19" s="197">
        <v>23</v>
      </c>
      <c r="D19" s="197">
        <v>16</v>
      </c>
      <c r="E19" s="197">
        <v>31</v>
      </c>
      <c r="F19" s="197">
        <v>41</v>
      </c>
      <c r="G19" s="197">
        <v>85</v>
      </c>
      <c r="H19" s="197">
        <v>86</v>
      </c>
      <c r="I19" s="197">
        <v>87</v>
      </c>
      <c r="J19" s="185" t="s">
        <v>23</v>
      </c>
    </row>
    <row r="20" spans="1:14" x14ac:dyDescent="0.2">
      <c r="A20" s="196" t="s">
        <v>371</v>
      </c>
      <c r="C20" s="189">
        <v>563168323.86583257</v>
      </c>
      <c r="D20" s="189">
        <v>12445.000000000002</v>
      </c>
      <c r="E20" s="189">
        <v>213855459.33369344</v>
      </c>
      <c r="F20" s="189">
        <v>64218435.333665654</v>
      </c>
      <c r="G20" s="189">
        <v>15031488.396393927</v>
      </c>
      <c r="H20" s="189">
        <v>12588795.806678435</v>
      </c>
      <c r="I20" s="189">
        <v>30354224.664754726</v>
      </c>
      <c r="J20" s="192">
        <v>899229172.40101874</v>
      </c>
    </row>
    <row r="21" spans="1:14" x14ac:dyDescent="0.2">
      <c r="A21" s="196"/>
    </row>
    <row r="22" spans="1:14" x14ac:dyDescent="0.2">
      <c r="A22" s="182" t="s">
        <v>372</v>
      </c>
    </row>
    <row r="23" spans="1:14" x14ac:dyDescent="0.2">
      <c r="B23" s="198">
        <v>40483</v>
      </c>
      <c r="C23" s="198">
        <v>40513</v>
      </c>
      <c r="D23" s="198">
        <v>40544</v>
      </c>
      <c r="E23" s="198">
        <v>40575</v>
      </c>
      <c r="F23" s="198">
        <v>40603</v>
      </c>
      <c r="G23" s="198">
        <v>40634</v>
      </c>
      <c r="H23" s="198">
        <v>40664</v>
      </c>
      <c r="I23" s="198">
        <v>40695</v>
      </c>
      <c r="J23" s="198">
        <v>40725</v>
      </c>
      <c r="K23" s="198">
        <v>40756</v>
      </c>
      <c r="L23" s="198">
        <v>40787</v>
      </c>
      <c r="M23" s="198">
        <v>40817</v>
      </c>
      <c r="N23" s="185" t="s">
        <v>373</v>
      </c>
    </row>
    <row r="24" spans="1:14" x14ac:dyDescent="0.2">
      <c r="A24" s="199" t="s">
        <v>374</v>
      </c>
    </row>
    <row r="25" spans="1:14" x14ac:dyDescent="0.2">
      <c r="A25" s="193">
        <v>23</v>
      </c>
      <c r="B25" s="188">
        <v>697466.38152738602</v>
      </c>
      <c r="C25" s="188">
        <v>698757.48823324102</v>
      </c>
      <c r="D25" s="188">
        <v>700356.78819935396</v>
      </c>
      <c r="E25" s="188">
        <v>701593.59584734298</v>
      </c>
      <c r="F25" s="188">
        <v>702526.97363388794</v>
      </c>
      <c r="G25" s="188">
        <v>703313.33490096696</v>
      </c>
      <c r="H25" s="188">
        <v>703629.883893169</v>
      </c>
      <c r="I25" s="188">
        <v>704009.64317885996</v>
      </c>
      <c r="J25" s="188">
        <v>703795.30647103</v>
      </c>
      <c r="K25" s="188">
        <v>703942.24060161295</v>
      </c>
      <c r="L25" s="188">
        <v>704918.63223289303</v>
      </c>
      <c r="M25" s="188">
        <v>706962.34716479701</v>
      </c>
      <c r="N25" s="188">
        <v>702606.05132371176</v>
      </c>
    </row>
    <row r="26" spans="1:14" x14ac:dyDescent="0.2">
      <c r="A26" s="193" t="s">
        <v>375</v>
      </c>
      <c r="B26" s="188">
        <v>55</v>
      </c>
      <c r="C26" s="188">
        <v>55</v>
      </c>
      <c r="D26" s="188">
        <v>55</v>
      </c>
      <c r="E26" s="188">
        <v>55</v>
      </c>
      <c r="F26" s="188">
        <v>55</v>
      </c>
      <c r="G26" s="188">
        <v>55</v>
      </c>
      <c r="H26" s="188">
        <v>55</v>
      </c>
      <c r="I26" s="188">
        <v>55</v>
      </c>
      <c r="J26" s="188">
        <v>55</v>
      </c>
      <c r="K26" s="188">
        <v>55</v>
      </c>
      <c r="L26" s="188">
        <v>55</v>
      </c>
      <c r="M26" s="188">
        <v>55</v>
      </c>
      <c r="N26" s="188">
        <v>55</v>
      </c>
    </row>
    <row r="27" spans="1:14" x14ac:dyDescent="0.2">
      <c r="B27" s="195"/>
      <c r="C27" s="195"/>
      <c r="D27" s="195"/>
      <c r="E27" s="195"/>
      <c r="F27" s="195"/>
      <c r="G27" s="195"/>
      <c r="H27" s="195"/>
      <c r="I27" s="195"/>
      <c r="J27" s="195"/>
      <c r="K27" s="195"/>
      <c r="L27" s="195"/>
      <c r="M27" s="195"/>
      <c r="N27" s="195"/>
    </row>
    <row r="28" spans="1:14" x14ac:dyDescent="0.2">
      <c r="A28" s="200" t="s">
        <v>376</v>
      </c>
      <c r="B28" s="195"/>
      <c r="C28" s="195"/>
      <c r="D28" s="195"/>
      <c r="E28" s="195"/>
      <c r="F28" s="195"/>
      <c r="G28" s="195"/>
      <c r="H28" s="195"/>
      <c r="I28" s="195"/>
      <c r="J28" s="195"/>
      <c r="K28" s="195"/>
      <c r="L28" s="195"/>
      <c r="M28" s="195"/>
      <c r="N28" s="195"/>
    </row>
    <row r="29" spans="1:14" x14ac:dyDescent="0.2">
      <c r="A29" s="193">
        <v>31</v>
      </c>
      <c r="B29" s="188">
        <v>54781.030177147215</v>
      </c>
      <c r="C29" s="188">
        <v>54908.554260614816</v>
      </c>
      <c r="D29" s="188">
        <v>55022.82094714314</v>
      </c>
      <c r="E29" s="188">
        <v>55126.856156264199</v>
      </c>
      <c r="F29" s="188">
        <v>55216.235196482463</v>
      </c>
      <c r="G29" s="188">
        <v>55278.358700286524</v>
      </c>
      <c r="H29" s="188">
        <v>55299.217238148478</v>
      </c>
      <c r="I29" s="188">
        <v>55320.067979489511</v>
      </c>
      <c r="J29" s="188">
        <v>55319.626270917674</v>
      </c>
      <c r="K29" s="188">
        <v>55340.548392306082</v>
      </c>
      <c r="L29" s="188">
        <v>55420.78700802596</v>
      </c>
      <c r="M29" s="188">
        <v>55584.315457053606</v>
      </c>
      <c r="N29" s="188">
        <v>55218.201481989963</v>
      </c>
    </row>
    <row r="30" spans="1:14" x14ac:dyDescent="0.2">
      <c r="A30" s="193">
        <v>41</v>
      </c>
      <c r="B30" s="188">
        <v>2067.3613042102829</v>
      </c>
      <c r="C30" s="188">
        <v>2072.0803813248831</v>
      </c>
      <c r="D30" s="188">
        <v>2076.3893686273959</v>
      </c>
      <c r="E30" s="188">
        <v>2080.2982032324899</v>
      </c>
      <c r="F30" s="188">
        <v>2083.6236429319001</v>
      </c>
      <c r="G30" s="188">
        <v>2085.9016613975291</v>
      </c>
      <c r="H30" s="188">
        <v>2086.6402883363862</v>
      </c>
      <c r="I30" s="188">
        <v>2087.3789113135099</v>
      </c>
      <c r="J30" s="188">
        <v>2087.3234918881253</v>
      </c>
      <c r="K30" s="188">
        <v>2088.0278359300869</v>
      </c>
      <c r="L30" s="188">
        <v>2090.9829351091271</v>
      </c>
      <c r="M30" s="188">
        <v>2097.1182405711652</v>
      </c>
      <c r="N30" s="188">
        <v>2083.5938554060735</v>
      </c>
    </row>
    <row r="31" spans="1:14" x14ac:dyDescent="0.2">
      <c r="A31" s="193"/>
      <c r="B31" s="188"/>
      <c r="C31" s="188"/>
      <c r="D31" s="188"/>
      <c r="E31" s="188"/>
      <c r="F31" s="188"/>
      <c r="G31" s="188"/>
      <c r="H31" s="188"/>
      <c r="I31" s="188"/>
      <c r="J31" s="188"/>
      <c r="K31" s="188"/>
      <c r="L31" s="188"/>
      <c r="M31" s="188"/>
      <c r="N31" s="188"/>
    </row>
    <row r="32" spans="1:14" x14ac:dyDescent="0.2">
      <c r="A32" s="193"/>
      <c r="B32" s="195"/>
      <c r="C32" s="195"/>
      <c r="D32" s="195"/>
      <c r="E32" s="195"/>
      <c r="F32" s="195"/>
      <c r="G32" s="195"/>
      <c r="H32" s="195"/>
      <c r="I32" s="195"/>
      <c r="J32" s="195"/>
      <c r="K32" s="195"/>
      <c r="L32" s="195"/>
      <c r="M32" s="195"/>
      <c r="N32" s="195"/>
    </row>
    <row r="33" spans="1:14" x14ac:dyDescent="0.2">
      <c r="A33" s="200" t="s">
        <v>377</v>
      </c>
      <c r="B33" s="195"/>
      <c r="C33" s="195"/>
      <c r="D33" s="195"/>
      <c r="E33" s="195"/>
      <c r="F33" s="195"/>
      <c r="G33" s="195"/>
      <c r="H33" s="195"/>
      <c r="I33" s="195"/>
      <c r="J33" s="195"/>
      <c r="K33" s="195"/>
      <c r="L33" s="195"/>
      <c r="M33" s="195"/>
      <c r="N33" s="195"/>
    </row>
    <row r="34" spans="1:14" x14ac:dyDescent="0.2">
      <c r="A34" s="193">
        <v>85</v>
      </c>
      <c r="B34" s="188">
        <v>29.692196482368857</v>
      </c>
      <c r="C34" s="188">
        <v>29.629207666256363</v>
      </c>
      <c r="D34" s="188">
        <v>29.581061800162558</v>
      </c>
      <c r="E34" s="188">
        <v>29.518892366930558</v>
      </c>
      <c r="F34" s="188">
        <v>29.45714848026666</v>
      </c>
      <c r="G34" s="188">
        <v>29.386452661930562</v>
      </c>
      <c r="H34" s="188">
        <v>29.325571600030258</v>
      </c>
      <c r="I34" s="188">
        <v>29.265103725684362</v>
      </c>
      <c r="J34" s="188">
        <v>29.201870455479458</v>
      </c>
      <c r="K34" s="188">
        <v>29.142228639115359</v>
      </c>
      <c r="L34" s="188">
        <v>29.082988190872364</v>
      </c>
      <c r="M34" s="188">
        <v>29.021687431730363</v>
      </c>
      <c r="N34" s="188">
        <v>29.35870079173564</v>
      </c>
    </row>
    <row r="35" spans="1:14" x14ac:dyDescent="0.2">
      <c r="A35" s="193">
        <v>86</v>
      </c>
      <c r="B35" s="188">
        <v>344.6048157064152</v>
      </c>
      <c r="C35" s="188">
        <v>343.65732056290818</v>
      </c>
      <c r="D35" s="188">
        <v>342.93309716708518</v>
      </c>
      <c r="E35" s="188">
        <v>341.99792740684421</v>
      </c>
      <c r="F35" s="188">
        <v>341.0691588354382</v>
      </c>
      <c r="G35" s="188">
        <v>340.00573283898922</v>
      </c>
      <c r="H35" s="188">
        <v>339.08994311563521</v>
      </c>
      <c r="I35" s="188">
        <v>338.18036867342721</v>
      </c>
      <c r="J35" s="188">
        <v>337.2291963840442</v>
      </c>
      <c r="K35" s="188">
        <v>336.33204773381419</v>
      </c>
      <c r="L35" s="188">
        <v>335.44093657355518</v>
      </c>
      <c r="M35" s="188">
        <v>334.51883364854518</v>
      </c>
      <c r="N35" s="188">
        <v>339.58828155389182</v>
      </c>
    </row>
    <row r="36" spans="1:14" x14ac:dyDescent="0.2">
      <c r="A36" s="193">
        <v>87</v>
      </c>
      <c r="B36" s="188">
        <v>10.41707907840205</v>
      </c>
      <c r="C36" s="188">
        <v>10.390405493845511</v>
      </c>
      <c r="D36" s="188">
        <v>10.370017385137331</v>
      </c>
      <c r="E36" s="188">
        <v>10.34369078088457</v>
      </c>
      <c r="F36" s="188">
        <v>10.317544380881801</v>
      </c>
      <c r="G36" s="188">
        <v>10.287607147503561</v>
      </c>
      <c r="H36" s="188">
        <v>10.261826123939191</v>
      </c>
      <c r="I36" s="188">
        <v>10.236220071010091</v>
      </c>
      <c r="J36" s="188">
        <v>10.209442968602191</v>
      </c>
      <c r="K36" s="188">
        <v>10.18418672265129</v>
      </c>
      <c r="L36" s="188">
        <v>10.159100442214591</v>
      </c>
      <c r="M36" s="188">
        <v>10.13314169138758</v>
      </c>
      <c r="N36" s="188">
        <v>10.275855190538314</v>
      </c>
    </row>
    <row r="37" spans="1:14" x14ac:dyDescent="0.2">
      <c r="B37" s="195"/>
      <c r="C37" s="195"/>
      <c r="D37" s="195"/>
      <c r="E37" s="195"/>
      <c r="F37" s="195"/>
      <c r="G37" s="195"/>
      <c r="H37" s="195"/>
      <c r="I37" s="195"/>
      <c r="J37" s="195"/>
      <c r="K37" s="195"/>
      <c r="L37" s="195"/>
      <c r="M37" s="195"/>
      <c r="N37" s="195"/>
    </row>
    <row r="38" spans="1:14" x14ac:dyDescent="0.2">
      <c r="A38" s="179" t="s">
        <v>23</v>
      </c>
      <c r="B38" s="188">
        <v>754754.48710001074</v>
      </c>
      <c r="C38" s="188">
        <v>756176.79980890371</v>
      </c>
      <c r="D38" s="188">
        <v>757893.88269147684</v>
      </c>
      <c r="E38" s="188">
        <v>759237.61071739427</v>
      </c>
      <c r="F38" s="188">
        <v>760262.67632499884</v>
      </c>
      <c r="G38" s="188">
        <v>761112.2750552994</v>
      </c>
      <c r="H38" s="188">
        <v>761449.41876049351</v>
      </c>
      <c r="I38" s="188">
        <v>761849.77176213311</v>
      </c>
      <c r="J38" s="188">
        <v>761633.89674364391</v>
      </c>
      <c r="K38" s="188">
        <v>761801.4752929447</v>
      </c>
      <c r="L38" s="188">
        <v>762860.08520123479</v>
      </c>
      <c r="M38" s="188">
        <v>765072.45452519343</v>
      </c>
      <c r="N38" s="188">
        <v>760342.06949864398</v>
      </c>
    </row>
    <row r="40" spans="1:14" x14ac:dyDescent="0.2">
      <c r="A40" s="179" t="s">
        <v>378</v>
      </c>
      <c r="B40" s="192"/>
      <c r="C40" s="192"/>
      <c r="D40" s="192"/>
      <c r="E40" s="192"/>
      <c r="F40" s="192"/>
      <c r="G40" s="192"/>
      <c r="H40" s="192"/>
      <c r="I40" s="192"/>
      <c r="J40" s="192"/>
      <c r="K40" s="192"/>
      <c r="L40" s="192"/>
      <c r="M40" s="192"/>
    </row>
    <row r="41" spans="1:14" x14ac:dyDescent="0.2">
      <c r="B41" s="192"/>
      <c r="C41" s="192"/>
      <c r="D41" s="192"/>
      <c r="E41" s="192"/>
      <c r="F41" s="192"/>
      <c r="G41" s="192"/>
      <c r="H41" s="192"/>
      <c r="I41" s="192"/>
      <c r="J41" s="192"/>
      <c r="K41" s="192"/>
      <c r="L41" s="192"/>
      <c r="M41" s="192"/>
    </row>
    <row r="45" spans="1:14" x14ac:dyDescent="0.2">
      <c r="B45" s="192"/>
      <c r="C45" s="192"/>
      <c r="D45" s="192"/>
      <c r="E45" s="192"/>
      <c r="F45" s="192"/>
      <c r="G45" s="192"/>
      <c r="H45" s="192"/>
      <c r="I45" s="192"/>
      <c r="J45" s="192"/>
      <c r="K45" s="192"/>
      <c r="L45" s="192"/>
      <c r="M45" s="192"/>
    </row>
    <row r="49" spans="1:14" x14ac:dyDescent="0.2">
      <c r="A49" s="187"/>
      <c r="B49" s="192"/>
      <c r="C49" s="192"/>
      <c r="D49" s="192"/>
      <c r="E49" s="192"/>
      <c r="F49" s="192"/>
      <c r="G49" s="192"/>
      <c r="H49" s="192"/>
      <c r="I49" s="192"/>
      <c r="J49" s="192"/>
      <c r="K49" s="192"/>
      <c r="L49" s="192"/>
      <c r="M49" s="192"/>
      <c r="N49" s="192"/>
    </row>
    <row r="50" spans="1:14" x14ac:dyDescent="0.2">
      <c r="A50" s="187"/>
      <c r="B50" s="192"/>
      <c r="C50" s="192"/>
      <c r="D50" s="192"/>
      <c r="E50" s="192"/>
      <c r="F50" s="192"/>
      <c r="G50" s="192"/>
      <c r="H50" s="192"/>
      <c r="I50" s="192"/>
      <c r="J50" s="192"/>
      <c r="K50" s="192"/>
      <c r="L50" s="192"/>
      <c r="M50" s="192"/>
      <c r="N50" s="192"/>
    </row>
    <row r="51" spans="1:14" x14ac:dyDescent="0.2">
      <c r="B51" s="192"/>
      <c r="C51" s="192"/>
      <c r="D51" s="192"/>
      <c r="E51" s="192"/>
      <c r="F51" s="192"/>
      <c r="G51" s="192"/>
      <c r="H51" s="192"/>
      <c r="I51" s="192"/>
      <c r="J51" s="192"/>
      <c r="K51" s="192"/>
      <c r="L51" s="192"/>
      <c r="M51" s="192"/>
      <c r="N51" s="192"/>
    </row>
    <row r="52" spans="1:14" x14ac:dyDescent="0.2">
      <c r="A52" s="187"/>
      <c r="B52" s="192"/>
      <c r="C52" s="192"/>
      <c r="D52" s="192"/>
      <c r="E52" s="192"/>
      <c r="F52" s="192"/>
      <c r="G52" s="192"/>
      <c r="H52" s="192"/>
      <c r="I52" s="192"/>
      <c r="J52" s="192"/>
      <c r="K52" s="192"/>
      <c r="L52" s="192"/>
      <c r="M52" s="192"/>
      <c r="N52" s="192"/>
    </row>
    <row r="53" spans="1:14" x14ac:dyDescent="0.2">
      <c r="A53" s="187"/>
      <c r="B53" s="192"/>
      <c r="C53" s="192"/>
      <c r="D53" s="192"/>
      <c r="E53" s="192"/>
      <c r="F53" s="192"/>
      <c r="G53" s="192"/>
      <c r="H53" s="192"/>
      <c r="I53" s="192"/>
      <c r="J53" s="192"/>
      <c r="K53" s="192"/>
      <c r="L53" s="192"/>
      <c r="M53" s="192"/>
      <c r="N53" s="192"/>
    </row>
    <row r="54" spans="1:14" x14ac:dyDescent="0.2">
      <c r="A54" s="187"/>
      <c r="B54" s="192"/>
      <c r="C54" s="192"/>
      <c r="D54" s="192"/>
      <c r="E54" s="192"/>
      <c r="F54" s="192"/>
      <c r="G54" s="192"/>
      <c r="H54" s="192"/>
      <c r="I54" s="192"/>
      <c r="J54" s="192"/>
      <c r="K54" s="192"/>
      <c r="L54" s="192"/>
      <c r="M54" s="192"/>
      <c r="N54" s="192"/>
    </row>
    <row r="55" spans="1:14" x14ac:dyDescent="0.2">
      <c r="A55" s="187"/>
      <c r="B55" s="192"/>
      <c r="C55" s="192"/>
      <c r="D55" s="192"/>
      <c r="E55" s="192"/>
      <c r="F55" s="192"/>
      <c r="G55" s="192"/>
      <c r="H55" s="192"/>
      <c r="I55" s="192"/>
      <c r="J55" s="192"/>
      <c r="K55" s="192"/>
      <c r="L55" s="192"/>
      <c r="M55" s="192"/>
      <c r="N55" s="192"/>
    </row>
    <row r="56" spans="1:14" x14ac:dyDescent="0.2">
      <c r="A56" s="187"/>
      <c r="B56" s="192"/>
      <c r="C56" s="192"/>
      <c r="D56" s="192"/>
      <c r="E56" s="192"/>
      <c r="F56" s="192"/>
      <c r="G56" s="192"/>
      <c r="H56" s="192"/>
      <c r="I56" s="192"/>
      <c r="J56" s="192"/>
      <c r="K56" s="192"/>
      <c r="L56" s="192"/>
      <c r="M56" s="192"/>
      <c r="N56" s="192"/>
    </row>
    <row r="57" spans="1:14" x14ac:dyDescent="0.2">
      <c r="A57" s="187"/>
      <c r="B57" s="192"/>
      <c r="C57" s="192"/>
      <c r="D57" s="192"/>
      <c r="E57" s="192"/>
      <c r="F57" s="192"/>
      <c r="G57" s="192"/>
      <c r="H57" s="192"/>
      <c r="I57" s="192"/>
      <c r="J57" s="192"/>
      <c r="K57" s="192"/>
      <c r="L57" s="192"/>
      <c r="M57" s="192"/>
      <c r="N57" s="192"/>
    </row>
    <row r="58" spans="1:14" x14ac:dyDescent="0.2">
      <c r="A58" s="187"/>
      <c r="B58" s="192"/>
      <c r="C58" s="192"/>
      <c r="D58" s="192"/>
      <c r="E58" s="192"/>
      <c r="F58" s="192"/>
      <c r="G58" s="192"/>
      <c r="H58" s="192"/>
      <c r="I58" s="192"/>
      <c r="J58" s="192"/>
      <c r="K58" s="192"/>
      <c r="L58" s="192"/>
      <c r="M58" s="192"/>
      <c r="N58" s="192"/>
    </row>
    <row r="59" spans="1:14" x14ac:dyDescent="0.2">
      <c r="B59" s="192"/>
      <c r="C59" s="192"/>
      <c r="D59" s="192"/>
      <c r="E59" s="192"/>
      <c r="F59" s="192"/>
      <c r="G59" s="192"/>
      <c r="H59" s="192"/>
      <c r="I59" s="192"/>
      <c r="J59" s="192"/>
      <c r="K59" s="192"/>
      <c r="L59" s="192"/>
      <c r="M59" s="192"/>
      <c r="N59" s="192"/>
    </row>
    <row r="61" spans="1:14" x14ac:dyDescent="0.2">
      <c r="B61" s="192"/>
      <c r="C61" s="192"/>
      <c r="D61" s="192"/>
      <c r="E61" s="192"/>
      <c r="F61" s="192"/>
      <c r="G61" s="192"/>
      <c r="H61" s="192"/>
      <c r="I61" s="192"/>
      <c r="J61" s="192"/>
      <c r="K61" s="192"/>
      <c r="L61" s="192"/>
      <c r="M61" s="192"/>
      <c r="N61" s="192"/>
    </row>
    <row r="62" spans="1:14" x14ac:dyDescent="0.2">
      <c r="B62" s="192"/>
      <c r="C62" s="192"/>
      <c r="D62" s="192"/>
      <c r="E62" s="192"/>
      <c r="F62" s="192"/>
      <c r="G62" s="192"/>
      <c r="H62" s="192"/>
      <c r="I62" s="192"/>
      <c r="J62" s="192"/>
      <c r="K62" s="192"/>
      <c r="L62" s="192"/>
      <c r="M62" s="192"/>
    </row>
  </sheetData>
  <mergeCells count="1">
    <mergeCell ref="A1:N1"/>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34"/>
  <sheetViews>
    <sheetView showGridLines="0" zoomScale="80" workbookViewId="0">
      <selection activeCell="C35" sqref="C35"/>
    </sheetView>
  </sheetViews>
  <sheetFormatPr defaultRowHeight="12.75" x14ac:dyDescent="0.2"/>
  <cols>
    <col min="1" max="1" width="29.42578125" style="217" customWidth="1"/>
    <col min="2" max="2" width="16" style="201" customWidth="1"/>
    <col min="3" max="3" width="109.42578125" style="10" customWidth="1"/>
    <col min="4" max="4" width="22.140625" style="10" customWidth="1"/>
    <col min="5" max="256" width="9.140625" style="10"/>
    <col min="257" max="257" width="29.42578125" style="10" customWidth="1"/>
    <col min="258" max="258" width="16" style="10" customWidth="1"/>
    <col min="259" max="259" width="109.42578125" style="10" customWidth="1"/>
    <col min="260" max="260" width="22.140625" style="10" customWidth="1"/>
    <col min="261" max="512" width="9.140625" style="10"/>
    <col min="513" max="513" width="29.42578125" style="10" customWidth="1"/>
    <col min="514" max="514" width="16" style="10" customWidth="1"/>
    <col min="515" max="515" width="109.42578125" style="10" customWidth="1"/>
    <col min="516" max="516" width="22.140625" style="10" customWidth="1"/>
    <col min="517" max="768" width="9.140625" style="10"/>
    <col min="769" max="769" width="29.42578125" style="10" customWidth="1"/>
    <col min="770" max="770" width="16" style="10" customWidth="1"/>
    <col min="771" max="771" width="109.42578125" style="10" customWidth="1"/>
    <col min="772" max="772" width="22.140625" style="10" customWidth="1"/>
    <col min="773" max="1024" width="9.140625" style="10"/>
    <col min="1025" max="1025" width="29.42578125" style="10" customWidth="1"/>
    <col min="1026" max="1026" width="16" style="10" customWidth="1"/>
    <col min="1027" max="1027" width="109.42578125" style="10" customWidth="1"/>
    <col min="1028" max="1028" width="22.140625" style="10" customWidth="1"/>
    <col min="1029" max="1280" width="9.140625" style="10"/>
    <col min="1281" max="1281" width="29.42578125" style="10" customWidth="1"/>
    <col min="1282" max="1282" width="16" style="10" customWidth="1"/>
    <col min="1283" max="1283" width="109.42578125" style="10" customWidth="1"/>
    <col min="1284" max="1284" width="22.140625" style="10" customWidth="1"/>
    <col min="1285" max="1536" width="9.140625" style="10"/>
    <col min="1537" max="1537" width="29.42578125" style="10" customWidth="1"/>
    <col min="1538" max="1538" width="16" style="10" customWidth="1"/>
    <col min="1539" max="1539" width="109.42578125" style="10" customWidth="1"/>
    <col min="1540" max="1540" width="22.140625" style="10" customWidth="1"/>
    <col min="1541" max="1792" width="9.140625" style="10"/>
    <col min="1793" max="1793" width="29.42578125" style="10" customWidth="1"/>
    <col min="1794" max="1794" width="16" style="10" customWidth="1"/>
    <col min="1795" max="1795" width="109.42578125" style="10" customWidth="1"/>
    <col min="1796" max="1796" width="22.140625" style="10" customWidth="1"/>
    <col min="1797" max="2048" width="9.140625" style="10"/>
    <col min="2049" max="2049" width="29.42578125" style="10" customWidth="1"/>
    <col min="2050" max="2050" width="16" style="10" customWidth="1"/>
    <col min="2051" max="2051" width="109.42578125" style="10" customWidth="1"/>
    <col min="2052" max="2052" width="22.140625" style="10" customWidth="1"/>
    <col min="2053" max="2304" width="9.140625" style="10"/>
    <col min="2305" max="2305" width="29.42578125" style="10" customWidth="1"/>
    <col min="2306" max="2306" width="16" style="10" customWidth="1"/>
    <col min="2307" max="2307" width="109.42578125" style="10" customWidth="1"/>
    <col min="2308" max="2308" width="22.140625" style="10" customWidth="1"/>
    <col min="2309" max="2560" width="9.140625" style="10"/>
    <col min="2561" max="2561" width="29.42578125" style="10" customWidth="1"/>
    <col min="2562" max="2562" width="16" style="10" customWidth="1"/>
    <col min="2563" max="2563" width="109.42578125" style="10" customWidth="1"/>
    <col min="2564" max="2564" width="22.140625" style="10" customWidth="1"/>
    <col min="2565" max="2816" width="9.140625" style="10"/>
    <col min="2817" max="2817" width="29.42578125" style="10" customWidth="1"/>
    <col min="2818" max="2818" width="16" style="10" customWidth="1"/>
    <col min="2819" max="2819" width="109.42578125" style="10" customWidth="1"/>
    <col min="2820" max="2820" width="22.140625" style="10" customWidth="1"/>
    <col min="2821" max="3072" width="9.140625" style="10"/>
    <col min="3073" max="3073" width="29.42578125" style="10" customWidth="1"/>
    <col min="3074" max="3074" width="16" style="10" customWidth="1"/>
    <col min="3075" max="3075" width="109.42578125" style="10" customWidth="1"/>
    <col min="3076" max="3076" width="22.140625" style="10" customWidth="1"/>
    <col min="3077" max="3328" width="9.140625" style="10"/>
    <col min="3329" max="3329" width="29.42578125" style="10" customWidth="1"/>
    <col min="3330" max="3330" width="16" style="10" customWidth="1"/>
    <col min="3331" max="3331" width="109.42578125" style="10" customWidth="1"/>
    <col min="3332" max="3332" width="22.140625" style="10" customWidth="1"/>
    <col min="3333" max="3584" width="9.140625" style="10"/>
    <col min="3585" max="3585" width="29.42578125" style="10" customWidth="1"/>
    <col min="3586" max="3586" width="16" style="10" customWidth="1"/>
    <col min="3587" max="3587" width="109.42578125" style="10" customWidth="1"/>
    <col min="3588" max="3588" width="22.140625" style="10" customWidth="1"/>
    <col min="3589" max="3840" width="9.140625" style="10"/>
    <col min="3841" max="3841" width="29.42578125" style="10" customWidth="1"/>
    <col min="3842" max="3842" width="16" style="10" customWidth="1"/>
    <col min="3843" max="3843" width="109.42578125" style="10" customWidth="1"/>
    <col min="3844" max="3844" width="22.140625" style="10" customWidth="1"/>
    <col min="3845" max="4096" width="9.140625" style="10"/>
    <col min="4097" max="4097" width="29.42578125" style="10" customWidth="1"/>
    <col min="4098" max="4098" width="16" style="10" customWidth="1"/>
    <col min="4099" max="4099" width="109.42578125" style="10" customWidth="1"/>
    <col min="4100" max="4100" width="22.140625" style="10" customWidth="1"/>
    <col min="4101" max="4352" width="9.140625" style="10"/>
    <col min="4353" max="4353" width="29.42578125" style="10" customWidth="1"/>
    <col min="4354" max="4354" width="16" style="10" customWidth="1"/>
    <col min="4355" max="4355" width="109.42578125" style="10" customWidth="1"/>
    <col min="4356" max="4356" width="22.140625" style="10" customWidth="1"/>
    <col min="4357" max="4608" width="9.140625" style="10"/>
    <col min="4609" max="4609" width="29.42578125" style="10" customWidth="1"/>
    <col min="4610" max="4610" width="16" style="10" customWidth="1"/>
    <col min="4611" max="4611" width="109.42578125" style="10" customWidth="1"/>
    <col min="4612" max="4612" width="22.140625" style="10" customWidth="1"/>
    <col min="4613" max="4864" width="9.140625" style="10"/>
    <col min="4865" max="4865" width="29.42578125" style="10" customWidth="1"/>
    <col min="4866" max="4866" width="16" style="10" customWidth="1"/>
    <col min="4867" max="4867" width="109.42578125" style="10" customWidth="1"/>
    <col min="4868" max="4868" width="22.140625" style="10" customWidth="1"/>
    <col min="4869" max="5120" width="9.140625" style="10"/>
    <col min="5121" max="5121" width="29.42578125" style="10" customWidth="1"/>
    <col min="5122" max="5122" width="16" style="10" customWidth="1"/>
    <col min="5123" max="5123" width="109.42578125" style="10" customWidth="1"/>
    <col min="5124" max="5124" width="22.140625" style="10" customWidth="1"/>
    <col min="5125" max="5376" width="9.140625" style="10"/>
    <col min="5377" max="5377" width="29.42578125" style="10" customWidth="1"/>
    <col min="5378" max="5378" width="16" style="10" customWidth="1"/>
    <col min="5379" max="5379" width="109.42578125" style="10" customWidth="1"/>
    <col min="5380" max="5380" width="22.140625" style="10" customWidth="1"/>
    <col min="5381" max="5632" width="9.140625" style="10"/>
    <col min="5633" max="5633" width="29.42578125" style="10" customWidth="1"/>
    <col min="5634" max="5634" width="16" style="10" customWidth="1"/>
    <col min="5635" max="5635" width="109.42578125" style="10" customWidth="1"/>
    <col min="5636" max="5636" width="22.140625" style="10" customWidth="1"/>
    <col min="5637" max="5888" width="9.140625" style="10"/>
    <col min="5889" max="5889" width="29.42578125" style="10" customWidth="1"/>
    <col min="5890" max="5890" width="16" style="10" customWidth="1"/>
    <col min="5891" max="5891" width="109.42578125" style="10" customWidth="1"/>
    <col min="5892" max="5892" width="22.140625" style="10" customWidth="1"/>
    <col min="5893" max="6144" width="9.140625" style="10"/>
    <col min="6145" max="6145" width="29.42578125" style="10" customWidth="1"/>
    <col min="6146" max="6146" width="16" style="10" customWidth="1"/>
    <col min="6147" max="6147" width="109.42578125" style="10" customWidth="1"/>
    <col min="6148" max="6148" width="22.140625" style="10" customWidth="1"/>
    <col min="6149" max="6400" width="9.140625" style="10"/>
    <col min="6401" max="6401" width="29.42578125" style="10" customWidth="1"/>
    <col min="6402" max="6402" width="16" style="10" customWidth="1"/>
    <col min="6403" max="6403" width="109.42578125" style="10" customWidth="1"/>
    <col min="6404" max="6404" width="22.140625" style="10" customWidth="1"/>
    <col min="6405" max="6656" width="9.140625" style="10"/>
    <col min="6657" max="6657" width="29.42578125" style="10" customWidth="1"/>
    <col min="6658" max="6658" width="16" style="10" customWidth="1"/>
    <col min="6659" max="6659" width="109.42578125" style="10" customWidth="1"/>
    <col min="6660" max="6660" width="22.140625" style="10" customWidth="1"/>
    <col min="6661" max="6912" width="9.140625" style="10"/>
    <col min="6913" max="6913" width="29.42578125" style="10" customWidth="1"/>
    <col min="6914" max="6914" width="16" style="10" customWidth="1"/>
    <col min="6915" max="6915" width="109.42578125" style="10" customWidth="1"/>
    <col min="6916" max="6916" width="22.140625" style="10" customWidth="1"/>
    <col min="6917" max="7168" width="9.140625" style="10"/>
    <col min="7169" max="7169" width="29.42578125" style="10" customWidth="1"/>
    <col min="7170" max="7170" width="16" style="10" customWidth="1"/>
    <col min="7171" max="7171" width="109.42578125" style="10" customWidth="1"/>
    <col min="7172" max="7172" width="22.140625" style="10" customWidth="1"/>
    <col min="7173" max="7424" width="9.140625" style="10"/>
    <col min="7425" max="7425" width="29.42578125" style="10" customWidth="1"/>
    <col min="7426" max="7426" width="16" style="10" customWidth="1"/>
    <col min="7427" max="7427" width="109.42578125" style="10" customWidth="1"/>
    <col min="7428" max="7428" width="22.140625" style="10" customWidth="1"/>
    <col min="7429" max="7680" width="9.140625" style="10"/>
    <col min="7681" max="7681" width="29.42578125" style="10" customWidth="1"/>
    <col min="7682" max="7682" width="16" style="10" customWidth="1"/>
    <col min="7683" max="7683" width="109.42578125" style="10" customWidth="1"/>
    <col min="7684" max="7684" width="22.140625" style="10" customWidth="1"/>
    <col min="7685" max="7936" width="9.140625" style="10"/>
    <col min="7937" max="7937" width="29.42578125" style="10" customWidth="1"/>
    <col min="7938" max="7938" width="16" style="10" customWidth="1"/>
    <col min="7939" max="7939" width="109.42578125" style="10" customWidth="1"/>
    <col min="7940" max="7940" width="22.140625" style="10" customWidth="1"/>
    <col min="7941" max="8192" width="9.140625" style="10"/>
    <col min="8193" max="8193" width="29.42578125" style="10" customWidth="1"/>
    <col min="8194" max="8194" width="16" style="10" customWidth="1"/>
    <col min="8195" max="8195" width="109.42578125" style="10" customWidth="1"/>
    <col min="8196" max="8196" width="22.140625" style="10" customWidth="1"/>
    <col min="8197" max="8448" width="9.140625" style="10"/>
    <col min="8449" max="8449" width="29.42578125" style="10" customWidth="1"/>
    <col min="8450" max="8450" width="16" style="10" customWidth="1"/>
    <col min="8451" max="8451" width="109.42578125" style="10" customWidth="1"/>
    <col min="8452" max="8452" width="22.140625" style="10" customWidth="1"/>
    <col min="8453" max="8704" width="9.140625" style="10"/>
    <col min="8705" max="8705" width="29.42578125" style="10" customWidth="1"/>
    <col min="8706" max="8706" width="16" style="10" customWidth="1"/>
    <col min="8707" max="8707" width="109.42578125" style="10" customWidth="1"/>
    <col min="8708" max="8708" width="22.140625" style="10" customWidth="1"/>
    <col min="8709" max="8960" width="9.140625" style="10"/>
    <col min="8961" max="8961" width="29.42578125" style="10" customWidth="1"/>
    <col min="8962" max="8962" width="16" style="10" customWidth="1"/>
    <col min="8963" max="8963" width="109.42578125" style="10" customWidth="1"/>
    <col min="8964" max="8964" width="22.140625" style="10" customWidth="1"/>
    <col min="8965" max="9216" width="9.140625" style="10"/>
    <col min="9217" max="9217" width="29.42578125" style="10" customWidth="1"/>
    <col min="9218" max="9218" width="16" style="10" customWidth="1"/>
    <col min="9219" max="9219" width="109.42578125" style="10" customWidth="1"/>
    <col min="9220" max="9220" width="22.140625" style="10" customWidth="1"/>
    <col min="9221" max="9472" width="9.140625" style="10"/>
    <col min="9473" max="9473" width="29.42578125" style="10" customWidth="1"/>
    <col min="9474" max="9474" width="16" style="10" customWidth="1"/>
    <col min="9475" max="9475" width="109.42578125" style="10" customWidth="1"/>
    <col min="9476" max="9476" width="22.140625" style="10" customWidth="1"/>
    <col min="9477" max="9728" width="9.140625" style="10"/>
    <col min="9729" max="9729" width="29.42578125" style="10" customWidth="1"/>
    <col min="9730" max="9730" width="16" style="10" customWidth="1"/>
    <col min="9731" max="9731" width="109.42578125" style="10" customWidth="1"/>
    <col min="9732" max="9732" width="22.140625" style="10" customWidth="1"/>
    <col min="9733" max="9984" width="9.140625" style="10"/>
    <col min="9985" max="9985" width="29.42578125" style="10" customWidth="1"/>
    <col min="9986" max="9986" width="16" style="10" customWidth="1"/>
    <col min="9987" max="9987" width="109.42578125" style="10" customWidth="1"/>
    <col min="9988" max="9988" width="22.140625" style="10" customWidth="1"/>
    <col min="9989" max="10240" width="9.140625" style="10"/>
    <col min="10241" max="10241" width="29.42578125" style="10" customWidth="1"/>
    <col min="10242" max="10242" width="16" style="10" customWidth="1"/>
    <col min="10243" max="10243" width="109.42578125" style="10" customWidth="1"/>
    <col min="10244" max="10244" width="22.140625" style="10" customWidth="1"/>
    <col min="10245" max="10496" width="9.140625" style="10"/>
    <col min="10497" max="10497" width="29.42578125" style="10" customWidth="1"/>
    <col min="10498" max="10498" width="16" style="10" customWidth="1"/>
    <col min="10499" max="10499" width="109.42578125" style="10" customWidth="1"/>
    <col min="10500" max="10500" width="22.140625" style="10" customWidth="1"/>
    <col min="10501" max="10752" width="9.140625" style="10"/>
    <col min="10753" max="10753" width="29.42578125" style="10" customWidth="1"/>
    <col min="10754" max="10754" width="16" style="10" customWidth="1"/>
    <col min="10755" max="10755" width="109.42578125" style="10" customWidth="1"/>
    <col min="10756" max="10756" width="22.140625" style="10" customWidth="1"/>
    <col min="10757" max="11008" width="9.140625" style="10"/>
    <col min="11009" max="11009" width="29.42578125" style="10" customWidth="1"/>
    <col min="11010" max="11010" width="16" style="10" customWidth="1"/>
    <col min="11011" max="11011" width="109.42578125" style="10" customWidth="1"/>
    <col min="11012" max="11012" width="22.140625" style="10" customWidth="1"/>
    <col min="11013" max="11264" width="9.140625" style="10"/>
    <col min="11265" max="11265" width="29.42578125" style="10" customWidth="1"/>
    <col min="11266" max="11266" width="16" style="10" customWidth="1"/>
    <col min="11267" max="11267" width="109.42578125" style="10" customWidth="1"/>
    <col min="11268" max="11268" width="22.140625" style="10" customWidth="1"/>
    <col min="11269" max="11520" width="9.140625" style="10"/>
    <col min="11521" max="11521" width="29.42578125" style="10" customWidth="1"/>
    <col min="11522" max="11522" width="16" style="10" customWidth="1"/>
    <col min="11523" max="11523" width="109.42578125" style="10" customWidth="1"/>
    <col min="11524" max="11524" width="22.140625" style="10" customWidth="1"/>
    <col min="11525" max="11776" width="9.140625" style="10"/>
    <col min="11777" max="11777" width="29.42578125" style="10" customWidth="1"/>
    <col min="11778" max="11778" width="16" style="10" customWidth="1"/>
    <col min="11779" max="11779" width="109.42578125" style="10" customWidth="1"/>
    <col min="11780" max="11780" width="22.140625" style="10" customWidth="1"/>
    <col min="11781" max="12032" width="9.140625" style="10"/>
    <col min="12033" max="12033" width="29.42578125" style="10" customWidth="1"/>
    <col min="12034" max="12034" width="16" style="10" customWidth="1"/>
    <col min="12035" max="12035" width="109.42578125" style="10" customWidth="1"/>
    <col min="12036" max="12036" width="22.140625" style="10" customWidth="1"/>
    <col min="12037" max="12288" width="9.140625" style="10"/>
    <col min="12289" max="12289" width="29.42578125" style="10" customWidth="1"/>
    <col min="12290" max="12290" width="16" style="10" customWidth="1"/>
    <col min="12291" max="12291" width="109.42578125" style="10" customWidth="1"/>
    <col min="12292" max="12292" width="22.140625" style="10" customWidth="1"/>
    <col min="12293" max="12544" width="9.140625" style="10"/>
    <col min="12545" max="12545" width="29.42578125" style="10" customWidth="1"/>
    <col min="12546" max="12546" width="16" style="10" customWidth="1"/>
    <col min="12547" max="12547" width="109.42578125" style="10" customWidth="1"/>
    <col min="12548" max="12548" width="22.140625" style="10" customWidth="1"/>
    <col min="12549" max="12800" width="9.140625" style="10"/>
    <col min="12801" max="12801" width="29.42578125" style="10" customWidth="1"/>
    <col min="12802" max="12802" width="16" style="10" customWidth="1"/>
    <col min="12803" max="12803" width="109.42578125" style="10" customWidth="1"/>
    <col min="12804" max="12804" width="22.140625" style="10" customWidth="1"/>
    <col min="12805" max="13056" width="9.140625" style="10"/>
    <col min="13057" max="13057" width="29.42578125" style="10" customWidth="1"/>
    <col min="13058" max="13058" width="16" style="10" customWidth="1"/>
    <col min="13059" max="13059" width="109.42578125" style="10" customWidth="1"/>
    <col min="13060" max="13060" width="22.140625" style="10" customWidth="1"/>
    <col min="13061" max="13312" width="9.140625" style="10"/>
    <col min="13313" max="13313" width="29.42578125" style="10" customWidth="1"/>
    <col min="13314" max="13314" width="16" style="10" customWidth="1"/>
    <col min="13315" max="13315" width="109.42578125" style="10" customWidth="1"/>
    <col min="13316" max="13316" width="22.140625" style="10" customWidth="1"/>
    <col min="13317" max="13568" width="9.140625" style="10"/>
    <col min="13569" max="13569" width="29.42578125" style="10" customWidth="1"/>
    <col min="13570" max="13570" width="16" style="10" customWidth="1"/>
    <col min="13571" max="13571" width="109.42578125" style="10" customWidth="1"/>
    <col min="13572" max="13572" width="22.140625" style="10" customWidth="1"/>
    <col min="13573" max="13824" width="9.140625" style="10"/>
    <col min="13825" max="13825" width="29.42578125" style="10" customWidth="1"/>
    <col min="13826" max="13826" width="16" style="10" customWidth="1"/>
    <col min="13827" max="13827" width="109.42578125" style="10" customWidth="1"/>
    <col min="13828" max="13828" width="22.140625" style="10" customWidth="1"/>
    <col min="13829" max="14080" width="9.140625" style="10"/>
    <col min="14081" max="14081" width="29.42578125" style="10" customWidth="1"/>
    <col min="14082" max="14082" width="16" style="10" customWidth="1"/>
    <col min="14083" max="14083" width="109.42578125" style="10" customWidth="1"/>
    <col min="14084" max="14084" width="22.140625" style="10" customWidth="1"/>
    <col min="14085" max="14336" width="9.140625" style="10"/>
    <col min="14337" max="14337" width="29.42578125" style="10" customWidth="1"/>
    <col min="14338" max="14338" width="16" style="10" customWidth="1"/>
    <col min="14339" max="14339" width="109.42578125" style="10" customWidth="1"/>
    <col min="14340" max="14340" width="22.140625" style="10" customWidth="1"/>
    <col min="14341" max="14592" width="9.140625" style="10"/>
    <col min="14593" max="14593" width="29.42578125" style="10" customWidth="1"/>
    <col min="14594" max="14594" width="16" style="10" customWidth="1"/>
    <col min="14595" max="14595" width="109.42578125" style="10" customWidth="1"/>
    <col min="14596" max="14596" width="22.140625" style="10" customWidth="1"/>
    <col min="14597" max="14848" width="9.140625" style="10"/>
    <col min="14849" max="14849" width="29.42578125" style="10" customWidth="1"/>
    <col min="14850" max="14850" width="16" style="10" customWidth="1"/>
    <col min="14851" max="14851" width="109.42578125" style="10" customWidth="1"/>
    <col min="14852" max="14852" width="22.140625" style="10" customWidth="1"/>
    <col min="14853" max="15104" width="9.140625" style="10"/>
    <col min="15105" max="15105" width="29.42578125" style="10" customWidth="1"/>
    <col min="15106" max="15106" width="16" style="10" customWidth="1"/>
    <col min="15107" max="15107" width="109.42578125" style="10" customWidth="1"/>
    <col min="15108" max="15108" width="22.140625" style="10" customWidth="1"/>
    <col min="15109" max="15360" width="9.140625" style="10"/>
    <col min="15361" max="15361" width="29.42578125" style="10" customWidth="1"/>
    <col min="15362" max="15362" width="16" style="10" customWidth="1"/>
    <col min="15363" max="15363" width="109.42578125" style="10" customWidth="1"/>
    <col min="15364" max="15364" width="22.140625" style="10" customWidth="1"/>
    <col min="15365" max="15616" width="9.140625" style="10"/>
    <col min="15617" max="15617" width="29.42578125" style="10" customWidth="1"/>
    <col min="15618" max="15618" width="16" style="10" customWidth="1"/>
    <col min="15619" max="15619" width="109.42578125" style="10" customWidth="1"/>
    <col min="15620" max="15620" width="22.140625" style="10" customWidth="1"/>
    <col min="15621" max="15872" width="9.140625" style="10"/>
    <col min="15873" max="15873" width="29.42578125" style="10" customWidth="1"/>
    <col min="15874" max="15874" width="16" style="10" customWidth="1"/>
    <col min="15875" max="15875" width="109.42578125" style="10" customWidth="1"/>
    <col min="15876" max="15876" width="22.140625" style="10" customWidth="1"/>
    <col min="15877" max="16128" width="9.140625" style="10"/>
    <col min="16129" max="16129" width="29.42578125" style="10" customWidth="1"/>
    <col min="16130" max="16130" width="16" style="10" customWidth="1"/>
    <col min="16131" max="16131" width="109.42578125" style="10" customWidth="1"/>
    <col min="16132" max="16132" width="22.140625" style="10" customWidth="1"/>
    <col min="16133" max="16384" width="9.140625" style="10"/>
  </cols>
  <sheetData>
    <row r="1" spans="1:3" x14ac:dyDescent="0.2">
      <c r="A1" s="15" t="s">
        <v>304</v>
      </c>
    </row>
    <row r="2" spans="1:3" x14ac:dyDescent="0.2">
      <c r="A2" s="15"/>
    </row>
    <row r="3" spans="1:3" ht="13.5" thickBot="1" x14ac:dyDescent="0.25">
      <c r="A3" s="202" t="s">
        <v>379</v>
      </c>
    </row>
    <row r="4" spans="1:3" x14ac:dyDescent="0.2">
      <c r="A4" s="203"/>
      <c r="B4" s="204"/>
      <c r="C4" s="205"/>
    </row>
    <row r="5" spans="1:3" x14ac:dyDescent="0.2">
      <c r="A5" s="206" t="s">
        <v>380</v>
      </c>
      <c r="B5" s="207" t="s">
        <v>381</v>
      </c>
      <c r="C5" s="208" t="s">
        <v>382</v>
      </c>
    </row>
    <row r="6" spans="1:3" x14ac:dyDescent="0.2">
      <c r="A6" s="209"/>
      <c r="C6" s="210"/>
    </row>
    <row r="7" spans="1:3" x14ac:dyDescent="0.2">
      <c r="A7" s="209" t="s">
        <v>383</v>
      </c>
      <c r="C7" s="210"/>
    </row>
    <row r="8" spans="1:3" x14ac:dyDescent="0.2">
      <c r="A8" s="209" t="s">
        <v>241</v>
      </c>
      <c r="B8" s="211">
        <v>552440</v>
      </c>
      <c r="C8" s="210" t="s">
        <v>384</v>
      </c>
    </row>
    <row r="9" spans="1:3" x14ac:dyDescent="0.2">
      <c r="A9" s="209" t="s">
        <v>385</v>
      </c>
      <c r="B9" s="211">
        <v>552440</v>
      </c>
      <c r="C9" s="210"/>
    </row>
    <row r="10" spans="1:3" x14ac:dyDescent="0.2">
      <c r="A10" s="209"/>
      <c r="B10" s="211"/>
      <c r="C10" s="210"/>
    </row>
    <row r="11" spans="1:3" x14ac:dyDescent="0.2">
      <c r="A11" s="103" t="s">
        <v>386</v>
      </c>
      <c r="B11" s="211"/>
      <c r="C11" s="210"/>
    </row>
    <row r="12" spans="1:3" x14ac:dyDescent="0.2">
      <c r="A12" s="209" t="s">
        <v>241</v>
      </c>
      <c r="B12" s="212">
        <v>0</v>
      </c>
      <c r="C12" s="210" t="s">
        <v>387</v>
      </c>
    </row>
    <row r="13" spans="1:3" x14ac:dyDescent="0.2">
      <c r="A13" s="209" t="s">
        <v>388</v>
      </c>
      <c r="B13" s="211"/>
      <c r="C13" s="210"/>
    </row>
    <row r="14" spans="1:3" x14ac:dyDescent="0.2">
      <c r="A14" s="209" t="s">
        <v>389</v>
      </c>
      <c r="B14" s="212"/>
      <c r="C14" s="210"/>
    </row>
    <row r="15" spans="1:3" x14ac:dyDescent="0.2">
      <c r="A15" s="209" t="s">
        <v>390</v>
      </c>
      <c r="B15" s="212"/>
      <c r="C15" s="210"/>
    </row>
    <row r="16" spans="1:3" x14ac:dyDescent="0.2">
      <c r="A16" s="209" t="s">
        <v>23</v>
      </c>
      <c r="B16" s="213">
        <f>'JKP-7.6c - PGA-2.1'!G42</f>
        <v>668497000</v>
      </c>
      <c r="C16" s="210"/>
    </row>
    <row r="17" spans="1:3" x14ac:dyDescent="0.2">
      <c r="A17" s="209"/>
      <c r="B17" s="211"/>
      <c r="C17" s="210"/>
    </row>
    <row r="18" spans="1:3" x14ac:dyDescent="0.2">
      <c r="A18" s="209"/>
      <c r="B18" s="211"/>
      <c r="C18" s="210"/>
    </row>
    <row r="19" spans="1:3" x14ac:dyDescent="0.2">
      <c r="A19" s="206" t="s">
        <v>391</v>
      </c>
      <c r="B19" s="211"/>
      <c r="C19" s="210"/>
    </row>
    <row r="20" spans="1:3" x14ac:dyDescent="0.2">
      <c r="A20" s="209" t="s">
        <v>392</v>
      </c>
      <c r="B20" s="212">
        <v>309293.7</v>
      </c>
      <c r="C20" s="210" t="s">
        <v>393</v>
      </c>
    </row>
    <row r="21" spans="1:3" x14ac:dyDescent="0.2">
      <c r="A21" s="209" t="s">
        <v>394</v>
      </c>
      <c r="B21" s="212">
        <v>8256.2999999999993</v>
      </c>
      <c r="C21" s="210" t="s">
        <v>395</v>
      </c>
    </row>
    <row r="22" spans="1:3" x14ac:dyDescent="0.2">
      <c r="A22" s="209" t="s">
        <v>23</v>
      </c>
      <c r="B22" s="212">
        <v>317550</v>
      </c>
      <c r="C22" s="210" t="s">
        <v>396</v>
      </c>
    </row>
    <row r="23" spans="1:3" x14ac:dyDescent="0.2">
      <c r="A23" s="209"/>
      <c r="B23" s="211"/>
      <c r="C23" s="210"/>
    </row>
    <row r="24" spans="1:3" x14ac:dyDescent="0.2">
      <c r="A24" s="209" t="s">
        <v>397</v>
      </c>
      <c r="B24" s="211">
        <v>3438412.3376000007</v>
      </c>
      <c r="C24" s="210" t="s">
        <v>393</v>
      </c>
    </row>
    <row r="25" spans="1:3" x14ac:dyDescent="0.2">
      <c r="A25" s="209" t="s">
        <v>398</v>
      </c>
      <c r="B25" s="211">
        <v>91807.327999999994</v>
      </c>
      <c r="C25" s="210" t="s">
        <v>395</v>
      </c>
    </row>
    <row r="26" spans="1:3" x14ac:dyDescent="0.2">
      <c r="A26" s="209" t="s">
        <v>23</v>
      </c>
      <c r="B26" s="212">
        <v>3530219.6656000009</v>
      </c>
      <c r="C26" s="210" t="s">
        <v>399</v>
      </c>
    </row>
    <row r="27" spans="1:3" x14ac:dyDescent="0.2">
      <c r="A27" s="209"/>
      <c r="B27" s="211"/>
      <c r="C27" s="210"/>
    </row>
    <row r="28" spans="1:3" x14ac:dyDescent="0.2">
      <c r="A28" s="209"/>
      <c r="B28" s="211"/>
      <c r="C28" s="210"/>
    </row>
    <row r="29" spans="1:3" x14ac:dyDescent="0.2">
      <c r="A29" s="206" t="s">
        <v>400</v>
      </c>
      <c r="B29" s="211"/>
      <c r="C29" s="210"/>
    </row>
    <row r="30" spans="1:3" x14ac:dyDescent="0.2">
      <c r="A30" s="103" t="s">
        <v>401</v>
      </c>
      <c r="B30" s="211">
        <v>139118.70000000001</v>
      </c>
      <c r="C30" s="210" t="s">
        <v>402</v>
      </c>
    </row>
    <row r="31" spans="1:3" x14ac:dyDescent="0.2">
      <c r="A31" s="103" t="s">
        <v>403</v>
      </c>
      <c r="B31" s="211">
        <v>9246.64</v>
      </c>
      <c r="C31" s="210" t="s">
        <v>402</v>
      </c>
    </row>
    <row r="32" spans="1:3" x14ac:dyDescent="0.2">
      <c r="A32" s="103" t="s">
        <v>289</v>
      </c>
      <c r="B32" s="211">
        <v>939000</v>
      </c>
      <c r="C32" s="210" t="s">
        <v>402</v>
      </c>
    </row>
    <row r="33" spans="1:3" x14ac:dyDescent="0.2">
      <c r="A33" s="209" t="s">
        <v>23</v>
      </c>
      <c r="B33" s="212">
        <v>1087365.3400000001</v>
      </c>
      <c r="C33" s="210" t="s">
        <v>404</v>
      </c>
    </row>
    <row r="34" spans="1:3" ht="13.5" thickBot="1" x14ac:dyDescent="0.25">
      <c r="A34" s="214"/>
      <c r="B34" s="215"/>
      <c r="C34" s="216"/>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G36"/>
  <sheetViews>
    <sheetView zoomScale="85" zoomScaleNormal="85" workbookViewId="0">
      <selection activeCell="C35" sqref="C35"/>
    </sheetView>
  </sheetViews>
  <sheetFormatPr defaultRowHeight="14.25" x14ac:dyDescent="0.2"/>
  <cols>
    <col min="1" max="1" width="53.85546875" style="885" bestFit="1" customWidth="1"/>
    <col min="2" max="2" width="15.7109375" style="885" bestFit="1" customWidth="1"/>
    <col min="3" max="3" width="16.85546875" style="885" bestFit="1" customWidth="1"/>
    <col min="4" max="4" width="16.140625" style="885" bestFit="1" customWidth="1"/>
    <col min="5" max="5" width="18.7109375" style="885" bestFit="1" customWidth="1"/>
    <col min="6" max="6" width="14.140625" style="885" bestFit="1" customWidth="1"/>
    <col min="7" max="7" width="16.7109375" style="885" bestFit="1" customWidth="1"/>
    <col min="8" max="16384" width="9.140625" style="885"/>
  </cols>
  <sheetData>
    <row r="2" spans="1:7" x14ac:dyDescent="0.2">
      <c r="B2" s="885" t="s">
        <v>1717</v>
      </c>
      <c r="C2" s="885" t="s">
        <v>1718</v>
      </c>
      <c r="D2" s="885" t="s">
        <v>1422</v>
      </c>
    </row>
    <row r="3" spans="1:7" x14ac:dyDescent="0.2">
      <c r="A3" s="885" t="s">
        <v>1719</v>
      </c>
      <c r="B3" s="886">
        <v>78421910.75</v>
      </c>
      <c r="C3" s="887"/>
      <c r="D3" s="888"/>
    </row>
    <row r="4" spans="1:7" x14ac:dyDescent="0.2">
      <c r="A4" s="885" t="s">
        <v>1720</v>
      </c>
      <c r="B4" s="886">
        <v>72142816.260000005</v>
      </c>
      <c r="C4" s="887"/>
      <c r="D4" s="888"/>
    </row>
    <row r="5" spans="1:7" x14ac:dyDescent="0.2">
      <c r="A5" s="885" t="s">
        <v>1721</v>
      </c>
      <c r="B5" s="886">
        <v>1542094.23</v>
      </c>
      <c r="C5" s="887"/>
      <c r="D5" s="888"/>
    </row>
    <row r="6" spans="1:7" x14ac:dyDescent="0.2">
      <c r="A6" s="885" t="s">
        <v>1722</v>
      </c>
      <c r="B6" s="886">
        <v>23507333.469999999</v>
      </c>
      <c r="C6" s="887"/>
      <c r="D6" s="888"/>
    </row>
    <row r="7" spans="1:7" x14ac:dyDescent="0.2">
      <c r="A7" s="885" t="s">
        <v>1723</v>
      </c>
      <c r="B7" s="886">
        <v>-141696</v>
      </c>
      <c r="C7" s="887"/>
      <c r="D7" s="888"/>
      <c r="E7" s="889"/>
      <c r="F7" s="889"/>
      <c r="G7" s="889"/>
    </row>
    <row r="8" spans="1:7" x14ac:dyDescent="0.2">
      <c r="A8" s="885" t="s">
        <v>1724</v>
      </c>
      <c r="B8" s="886">
        <v>645631.92000000004</v>
      </c>
      <c r="C8" s="887"/>
      <c r="D8" s="888"/>
    </row>
    <row r="9" spans="1:7" x14ac:dyDescent="0.2">
      <c r="A9" s="885" t="s">
        <v>1725</v>
      </c>
      <c r="B9" s="886">
        <v>8578000</v>
      </c>
      <c r="C9" s="887"/>
      <c r="D9" s="888"/>
    </row>
    <row r="10" spans="1:7" x14ac:dyDescent="0.2">
      <c r="A10" s="885" t="s">
        <v>1726</v>
      </c>
      <c r="B10" s="886">
        <v>346195.78</v>
      </c>
      <c r="C10" s="887"/>
      <c r="D10" s="888"/>
    </row>
    <row r="11" spans="1:7" ht="15" x14ac:dyDescent="0.25">
      <c r="A11" s="890" t="s">
        <v>1727</v>
      </c>
      <c r="B11" s="891">
        <f>SUM(B3:B10)</f>
        <v>185042286.40999997</v>
      </c>
      <c r="C11" s="892">
        <v>5207799.9400000274</v>
      </c>
      <c r="D11" s="888">
        <f>+C11+B11</f>
        <v>190250086.34999999</v>
      </c>
      <c r="E11" s="888"/>
    </row>
    <row r="12" spans="1:7" ht="15" x14ac:dyDescent="0.25">
      <c r="A12" s="890"/>
      <c r="B12" s="888"/>
      <c r="C12" s="889"/>
      <c r="D12" s="888"/>
    </row>
    <row r="13" spans="1:7" x14ac:dyDescent="0.2">
      <c r="A13" s="885" t="s">
        <v>1728</v>
      </c>
      <c r="B13" s="886">
        <v>5140.92</v>
      </c>
      <c r="C13" s="887"/>
      <c r="D13" s="888"/>
    </row>
    <row r="14" spans="1:7" x14ac:dyDescent="0.2">
      <c r="A14" s="885" t="s">
        <v>1729</v>
      </c>
      <c r="B14" s="886">
        <v>38445025.049999997</v>
      </c>
      <c r="C14" s="887"/>
      <c r="D14" s="888"/>
    </row>
    <row r="15" spans="1:7" x14ac:dyDescent="0.2">
      <c r="A15" s="885" t="s">
        <v>1730</v>
      </c>
      <c r="B15" s="886">
        <v>42108850.130000003</v>
      </c>
      <c r="C15" s="887"/>
      <c r="D15" s="888"/>
    </row>
    <row r="16" spans="1:7" x14ac:dyDescent="0.2">
      <c r="A16" s="885" t="s">
        <v>1731</v>
      </c>
      <c r="B16" s="886">
        <v>14375106.24</v>
      </c>
      <c r="C16" s="887"/>
      <c r="D16" s="888"/>
    </row>
    <row r="17" spans="1:5" x14ac:dyDescent="0.2">
      <c r="A17" s="885" t="s">
        <v>1732</v>
      </c>
      <c r="B17" s="886">
        <v>-69636</v>
      </c>
      <c r="C17" s="887"/>
      <c r="D17" s="888"/>
    </row>
    <row r="18" spans="1:5" x14ac:dyDescent="0.2">
      <c r="A18" s="885" t="s">
        <v>1733</v>
      </c>
      <c r="B18" s="886">
        <v>-76296</v>
      </c>
      <c r="C18" s="887"/>
      <c r="D18" s="888"/>
    </row>
    <row r="19" spans="1:5" ht="15" x14ac:dyDescent="0.25">
      <c r="A19" s="890" t="s">
        <v>1734</v>
      </c>
      <c r="B19" s="891">
        <f>SUM(B13:B18)</f>
        <v>94788190.339999989</v>
      </c>
      <c r="C19" s="892">
        <v>2445266.73</v>
      </c>
      <c r="D19" s="888">
        <f>+C19+B19</f>
        <v>97233457.069999993</v>
      </c>
      <c r="E19" s="888"/>
    </row>
    <row r="20" spans="1:5" ht="15" x14ac:dyDescent="0.25">
      <c r="A20" s="890"/>
      <c r="B20" s="888"/>
      <c r="C20" s="889"/>
      <c r="D20" s="888"/>
    </row>
    <row r="21" spans="1:5" x14ac:dyDescent="0.2">
      <c r="A21" s="885" t="s">
        <v>1735</v>
      </c>
      <c r="B21" s="893">
        <v>630599.65</v>
      </c>
      <c r="C21" s="894"/>
      <c r="D21" s="888"/>
    </row>
    <row r="22" spans="1:5" x14ac:dyDescent="0.2">
      <c r="A22" s="885" t="s">
        <v>1736</v>
      </c>
      <c r="B22" s="893">
        <v>-29208.42</v>
      </c>
      <c r="C22" s="894"/>
      <c r="D22" s="888"/>
    </row>
    <row r="23" spans="1:5" ht="15" x14ac:dyDescent="0.25">
      <c r="A23" s="890" t="s">
        <v>1737</v>
      </c>
      <c r="B23" s="895">
        <f>SUM(B21:B22)</f>
        <v>601391.23</v>
      </c>
      <c r="C23" s="892">
        <v>3917959.6299999901</v>
      </c>
      <c r="D23" s="888">
        <f>+C23+B23</f>
        <v>4519350.8599999901</v>
      </c>
      <c r="E23" s="888"/>
    </row>
    <row r="24" spans="1:5" ht="15" x14ac:dyDescent="0.25">
      <c r="A24" s="890"/>
      <c r="B24" s="896"/>
      <c r="C24" s="896"/>
      <c r="D24" s="888"/>
    </row>
    <row r="25" spans="1:5" ht="15" x14ac:dyDescent="0.25">
      <c r="A25" s="890" t="s">
        <v>1738</v>
      </c>
      <c r="B25" s="891">
        <f>B11+B19+B23</f>
        <v>280431867.97999996</v>
      </c>
      <c r="C25" s="897">
        <f>SUM(C11:C23)</f>
        <v>11571026.300000018</v>
      </c>
      <c r="D25" s="888">
        <f>+C25+B25</f>
        <v>292002894.27999997</v>
      </c>
      <c r="E25" s="898"/>
    </row>
    <row r="27" spans="1:5" x14ac:dyDescent="0.2">
      <c r="A27" s="885" t="s">
        <v>1739</v>
      </c>
    </row>
    <row r="28" spans="1:5" x14ac:dyDescent="0.2">
      <c r="A28" s="899" t="s">
        <v>1740</v>
      </c>
      <c r="B28" s="900">
        <v>190250086.34999999</v>
      </c>
      <c r="C28" s="900">
        <v>97233457.069999993</v>
      </c>
      <c r="D28" s="900">
        <v>4519350.8599999901</v>
      </c>
      <c r="E28" s="898">
        <f>SUM(B28:D28)</f>
        <v>292002894.27999997</v>
      </c>
    </row>
    <row r="30" spans="1:5" x14ac:dyDescent="0.2">
      <c r="B30" s="889"/>
      <c r="C30" s="889"/>
      <c r="D30" s="889"/>
      <c r="E30" s="898"/>
    </row>
    <row r="33" spans="2:4" x14ac:dyDescent="0.2">
      <c r="B33" s="901">
        <f>1-B34</f>
        <v>0.66510000000000002</v>
      </c>
    </row>
    <row r="34" spans="2:4" x14ac:dyDescent="0.2">
      <c r="B34" s="902">
        <v>0.33489999999999998</v>
      </c>
    </row>
    <row r="36" spans="2:4" x14ac:dyDescent="0.2">
      <c r="B36" s="903"/>
      <c r="C36" s="903"/>
      <c r="D36" s="903"/>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K48"/>
  <sheetViews>
    <sheetView workbookViewId="0">
      <selection activeCell="C35" sqref="C35"/>
    </sheetView>
  </sheetViews>
  <sheetFormatPr defaultRowHeight="14.25" x14ac:dyDescent="0.2"/>
  <cols>
    <col min="1" max="1" width="5.140625" style="885" customWidth="1"/>
    <col min="2" max="2" width="58.42578125" style="885" bestFit="1" customWidth="1"/>
    <col min="3" max="3" width="13.28515625" style="885" bestFit="1" customWidth="1"/>
    <col min="4" max="4" width="18.140625" style="885" bestFit="1" customWidth="1"/>
    <col min="5" max="5" width="13.42578125" style="885" bestFit="1" customWidth="1"/>
    <col min="6" max="6" width="17.28515625" style="885" customWidth="1"/>
    <col min="7" max="7" width="14.140625" style="885" bestFit="1" customWidth="1"/>
    <col min="8" max="8" width="11.7109375" style="885" customWidth="1"/>
    <col min="9" max="10" width="15.42578125" style="885" bestFit="1" customWidth="1"/>
    <col min="11" max="11" width="15.42578125" style="885" customWidth="1"/>
    <col min="12" max="16384" width="9.140625" style="885"/>
  </cols>
  <sheetData>
    <row r="1" spans="2:8" x14ac:dyDescent="0.2">
      <c r="B1" s="885" t="s">
        <v>1741</v>
      </c>
    </row>
    <row r="3" spans="2:8" x14ac:dyDescent="0.2">
      <c r="C3" s="904" t="s">
        <v>1717</v>
      </c>
      <c r="D3" s="904" t="s">
        <v>1742</v>
      </c>
      <c r="E3" s="904" t="s">
        <v>1422</v>
      </c>
    </row>
    <row r="4" spans="2:8" x14ac:dyDescent="0.2">
      <c r="B4" s="885" t="s">
        <v>1719</v>
      </c>
      <c r="C4" s="905">
        <f>'JKP-7.7 - Data'!B3</f>
        <v>78421910.75</v>
      </c>
      <c r="D4" s="906"/>
      <c r="E4" s="906">
        <f>SUM(C4:D4)</f>
        <v>78421910.75</v>
      </c>
      <c r="G4" s="907"/>
      <c r="H4" s="908"/>
    </row>
    <row r="5" spans="2:8" x14ac:dyDescent="0.2">
      <c r="B5" s="885" t="s">
        <v>1720</v>
      </c>
      <c r="C5" s="905">
        <f>'JKP-7.7 - Data'!B4</f>
        <v>72142816.260000005</v>
      </c>
      <c r="D5" s="906"/>
      <c r="E5" s="906">
        <f t="shared" ref="E5:E15" si="0">SUM(C5:D5)</f>
        <v>72142816.260000005</v>
      </c>
      <c r="G5" s="907"/>
      <c r="H5" s="908"/>
    </row>
    <row r="6" spans="2:8" x14ac:dyDescent="0.2">
      <c r="B6" s="885" t="s">
        <v>1721</v>
      </c>
      <c r="C6" s="905">
        <f>'JKP-7.7 - Data'!B5</f>
        <v>1542094.23</v>
      </c>
      <c r="D6" s="906"/>
      <c r="E6" s="906">
        <f t="shared" si="0"/>
        <v>1542094.23</v>
      </c>
      <c r="G6" s="907"/>
      <c r="H6" s="908"/>
    </row>
    <row r="7" spans="2:8" x14ac:dyDescent="0.2">
      <c r="B7" s="885" t="s">
        <v>1722</v>
      </c>
      <c r="C7" s="905">
        <f>'JKP-7.7 - Data'!B6</f>
        <v>23507333.469999999</v>
      </c>
      <c r="D7" s="906"/>
      <c r="E7" s="906">
        <f t="shared" si="0"/>
        <v>23507333.469999999</v>
      </c>
      <c r="G7" s="907"/>
      <c r="H7" s="908"/>
    </row>
    <row r="8" spans="2:8" x14ac:dyDescent="0.2">
      <c r="B8" s="885" t="s">
        <v>1723</v>
      </c>
      <c r="C8" s="905">
        <f>'JKP-7.7 - Data'!B7</f>
        <v>-141696</v>
      </c>
      <c r="D8" s="906"/>
      <c r="E8" s="906">
        <f t="shared" si="0"/>
        <v>-141696</v>
      </c>
      <c r="F8" s="909"/>
      <c r="G8" s="907"/>
      <c r="H8" s="908"/>
    </row>
    <row r="9" spans="2:8" x14ac:dyDescent="0.2">
      <c r="B9" s="885" t="s">
        <v>1724</v>
      </c>
      <c r="C9" s="905">
        <f>'JKP-7.7 - Data'!B8</f>
        <v>645631.92000000004</v>
      </c>
      <c r="D9" s="906"/>
      <c r="E9" s="906">
        <f t="shared" si="0"/>
        <v>645631.92000000004</v>
      </c>
      <c r="G9" s="907"/>
      <c r="H9" s="908"/>
    </row>
    <row r="10" spans="2:8" x14ac:dyDescent="0.2">
      <c r="B10" s="885" t="s">
        <v>1725</v>
      </c>
      <c r="C10" s="905">
        <f>'JKP-7.7 - Data'!B9</f>
        <v>8578000</v>
      </c>
      <c r="D10" s="906"/>
      <c r="E10" s="906">
        <f t="shared" si="0"/>
        <v>8578000</v>
      </c>
      <c r="G10" s="907"/>
      <c r="H10" s="908"/>
    </row>
    <row r="11" spans="2:8" x14ac:dyDescent="0.2">
      <c r="B11" s="885" t="s">
        <v>1726</v>
      </c>
      <c r="C11" s="905">
        <f>'JKP-7.7 - Data'!B10</f>
        <v>346195.78</v>
      </c>
      <c r="D11" s="906"/>
      <c r="E11" s="906">
        <f t="shared" si="0"/>
        <v>346195.78</v>
      </c>
      <c r="G11" s="907"/>
      <c r="H11" s="908"/>
    </row>
    <row r="12" spans="2:8" x14ac:dyDescent="0.2">
      <c r="B12" s="885" t="str">
        <f>$B$33&amp;"Common"</f>
        <v>40810602   Excise Taxes Common</v>
      </c>
      <c r="C12" s="910">
        <f>C33*C44</f>
        <v>419411.82721500006</v>
      </c>
      <c r="D12" s="906"/>
      <c r="E12" s="906">
        <f t="shared" si="0"/>
        <v>419411.82721500006</v>
      </c>
      <c r="F12" s="906"/>
      <c r="G12" s="911"/>
    </row>
    <row r="13" spans="2:8" x14ac:dyDescent="0.2">
      <c r="B13" s="885" t="str">
        <f>$B$34&amp;"Common"</f>
        <v>40810613   Payroll Tax Clearing from Cost Center  Common</v>
      </c>
      <c r="C13" s="906">
        <f>C34*C44</f>
        <v>-19426.520142000001</v>
      </c>
      <c r="D13" s="906"/>
      <c r="E13" s="906">
        <f t="shared" si="0"/>
        <v>-19426.520142000001</v>
      </c>
      <c r="F13" s="906"/>
      <c r="G13" s="906"/>
    </row>
    <row r="14" spans="2:8" x14ac:dyDescent="0.2">
      <c r="B14" s="885" t="str">
        <f>B35</f>
        <v xml:space="preserve"> Common Taxes Other-Util Inc       </v>
      </c>
      <c r="C14" s="906"/>
      <c r="D14" s="912">
        <f>D35*C44</f>
        <v>2605834.9499129937</v>
      </c>
      <c r="E14" s="906">
        <f t="shared" si="0"/>
        <v>2605834.9499129937</v>
      </c>
      <c r="F14" s="906"/>
    </row>
    <row r="15" spans="2:8" x14ac:dyDescent="0.2">
      <c r="B15" s="885" t="s">
        <v>1743</v>
      </c>
      <c r="C15" s="906"/>
      <c r="D15" s="913">
        <f>'JKP-7.7 - Data'!C11</f>
        <v>5207799.9400000274</v>
      </c>
      <c r="E15" s="906">
        <f t="shared" si="0"/>
        <v>5207799.9400000274</v>
      </c>
      <c r="F15" s="888"/>
    </row>
    <row r="16" spans="2:8" ht="15" x14ac:dyDescent="0.25">
      <c r="B16" s="890" t="s">
        <v>1727</v>
      </c>
      <c r="C16" s="914">
        <f>SUM(C4:C15)</f>
        <v>185442271.71707296</v>
      </c>
      <c r="D16" s="914">
        <f>SUM(D4:D15)</f>
        <v>7813634.8899130207</v>
      </c>
      <c r="E16" s="914">
        <f>SUM(E4:E15)</f>
        <v>193255906.60698599</v>
      </c>
      <c r="G16" s="898"/>
    </row>
    <row r="17" spans="2:10" ht="15" x14ac:dyDescent="0.25">
      <c r="B17" s="890"/>
      <c r="C17" s="906"/>
      <c r="D17" s="915"/>
      <c r="E17" s="906"/>
    </row>
    <row r="18" spans="2:10" x14ac:dyDescent="0.2">
      <c r="B18" s="885" t="s">
        <v>1728</v>
      </c>
      <c r="C18" s="916">
        <f>'JKP-7.7 - Data'!B13</f>
        <v>5140.92</v>
      </c>
      <c r="D18" s="906"/>
      <c r="E18" s="906">
        <f>SUM(C18:D18)</f>
        <v>5140.92</v>
      </c>
      <c r="G18" s="907"/>
      <c r="H18" s="889"/>
      <c r="I18" s="889"/>
      <c r="J18" s="889"/>
    </row>
    <row r="19" spans="2:10" x14ac:dyDescent="0.2">
      <c r="B19" s="885" t="s">
        <v>1729</v>
      </c>
      <c r="C19" s="916">
        <f>'JKP-7.7 - Data'!B14</f>
        <v>38445025.049999997</v>
      </c>
      <c r="D19" s="906"/>
      <c r="E19" s="906">
        <f t="shared" ref="E19:E27" si="1">SUM(C19:D19)</f>
        <v>38445025.049999997</v>
      </c>
      <c r="G19" s="907"/>
    </row>
    <row r="20" spans="2:10" x14ac:dyDescent="0.2">
      <c r="B20" s="885" t="s">
        <v>1730</v>
      </c>
      <c r="C20" s="916">
        <f>'JKP-7.7 - Data'!B15</f>
        <v>42108850.130000003</v>
      </c>
      <c r="D20" s="906"/>
      <c r="E20" s="906">
        <f t="shared" si="1"/>
        <v>42108850.130000003</v>
      </c>
      <c r="G20" s="907"/>
    </row>
    <row r="21" spans="2:10" x14ac:dyDescent="0.2">
      <c r="B21" s="885" t="s">
        <v>1731</v>
      </c>
      <c r="C21" s="916">
        <f>'JKP-7.7 - Data'!B16</f>
        <v>14375106.24</v>
      </c>
      <c r="D21" s="906"/>
      <c r="E21" s="906">
        <f t="shared" si="1"/>
        <v>14375106.24</v>
      </c>
      <c r="G21" s="907"/>
    </row>
    <row r="22" spans="2:10" x14ac:dyDescent="0.2">
      <c r="B22" s="885" t="s">
        <v>1732</v>
      </c>
      <c r="C22" s="916">
        <f>'JKP-7.7 - Data'!B17</f>
        <v>-69636</v>
      </c>
      <c r="D22" s="906"/>
      <c r="E22" s="906">
        <f t="shared" si="1"/>
        <v>-69636</v>
      </c>
      <c r="G22" s="907"/>
    </row>
    <row r="23" spans="2:10" x14ac:dyDescent="0.2">
      <c r="B23" s="885" t="s">
        <v>1733</v>
      </c>
      <c r="C23" s="916">
        <f>'JKP-7.7 - Data'!B18</f>
        <v>-76296</v>
      </c>
      <c r="D23" s="906"/>
      <c r="E23" s="906">
        <f t="shared" si="1"/>
        <v>-76296</v>
      </c>
      <c r="G23" s="907"/>
    </row>
    <row r="24" spans="2:10" x14ac:dyDescent="0.2">
      <c r="B24" s="885" t="str">
        <f>$B$33&amp;"Common"</f>
        <v>40810602   Excise Taxes Common</v>
      </c>
      <c r="C24" s="910">
        <f>C33*C45</f>
        <v>211187.822785</v>
      </c>
      <c r="D24" s="906"/>
      <c r="E24" s="906">
        <f t="shared" si="1"/>
        <v>211187.822785</v>
      </c>
    </row>
    <row r="25" spans="2:10" x14ac:dyDescent="0.2">
      <c r="B25" s="885" t="str">
        <f>$B$34&amp;"Common"</f>
        <v>40810613   Payroll Tax Clearing from Cost Center  Common</v>
      </c>
      <c r="C25" s="906">
        <f>C34*C45</f>
        <v>-9781.8998579999989</v>
      </c>
      <c r="D25" s="906"/>
      <c r="E25" s="906">
        <f t="shared" si="1"/>
        <v>-9781.8998579999989</v>
      </c>
      <c r="F25" s="917"/>
    </row>
    <row r="26" spans="2:10" x14ac:dyDescent="0.2">
      <c r="B26" s="885" t="str">
        <f>B35</f>
        <v xml:space="preserve"> Common Taxes Other-Util Inc       </v>
      </c>
      <c r="C26" s="906"/>
      <c r="D26" s="912">
        <f>D35-D14</f>
        <v>1312124.6800869964</v>
      </c>
      <c r="E26" s="906">
        <f t="shared" si="1"/>
        <v>1312124.6800869964</v>
      </c>
      <c r="F26" s="906"/>
    </row>
    <row r="27" spans="2:10" x14ac:dyDescent="0.2">
      <c r="B27" s="885" t="s">
        <v>1743</v>
      </c>
      <c r="C27" s="906"/>
      <c r="D27" s="913">
        <f>'JKP-7.7 - Data'!C19</f>
        <v>2445266.73</v>
      </c>
      <c r="E27" s="906">
        <f t="shared" si="1"/>
        <v>2445266.73</v>
      </c>
      <c r="F27" s="888"/>
    </row>
    <row r="28" spans="2:10" ht="15" x14ac:dyDescent="0.25">
      <c r="B28" s="890" t="s">
        <v>1734</v>
      </c>
      <c r="C28" s="918">
        <f>SUM(C18:C27)</f>
        <v>94989596.262926996</v>
      </c>
      <c r="D28" s="918">
        <f>SUM(D18:D27)</f>
        <v>3757391.4100869964</v>
      </c>
      <c r="E28" s="918">
        <f>SUM(E18:E27)</f>
        <v>98746987.673014</v>
      </c>
      <c r="F28" s="888"/>
    </row>
    <row r="29" spans="2:10" ht="15" x14ac:dyDescent="0.25">
      <c r="B29" s="890"/>
      <c r="C29" s="919"/>
      <c r="D29" s="920"/>
      <c r="E29" s="906"/>
      <c r="F29" s="888"/>
    </row>
    <row r="30" spans="2:10" ht="15" x14ac:dyDescent="0.25">
      <c r="B30" s="890" t="s">
        <v>23</v>
      </c>
      <c r="C30" s="919">
        <f>C16+C28</f>
        <v>280431867.97999996</v>
      </c>
      <c r="D30" s="889">
        <f>+D28+D16</f>
        <v>11571026.300000018</v>
      </c>
      <c r="E30" s="919">
        <f>E16+E28</f>
        <v>292002894.27999997</v>
      </c>
      <c r="F30" s="888"/>
      <c r="G30" s="921"/>
    </row>
    <row r="31" spans="2:10" ht="15" x14ac:dyDescent="0.25">
      <c r="B31" s="890"/>
      <c r="C31" s="919"/>
      <c r="D31" s="920"/>
      <c r="E31" s="906"/>
      <c r="F31" s="888"/>
      <c r="H31" s="922"/>
      <c r="I31" s="922"/>
      <c r="J31" s="889"/>
    </row>
    <row r="32" spans="2:10" ht="15" x14ac:dyDescent="0.25">
      <c r="B32" s="890"/>
      <c r="C32" s="906"/>
      <c r="D32" s="919"/>
      <c r="E32" s="906"/>
      <c r="F32" s="921"/>
    </row>
    <row r="33" spans="2:11" x14ac:dyDescent="0.2">
      <c r="B33" s="885" t="s">
        <v>1744</v>
      </c>
      <c r="C33" s="916">
        <f>'JKP-7.7 - Data'!B21</f>
        <v>630599.65</v>
      </c>
      <c r="D33" s="906"/>
      <c r="E33" s="906"/>
      <c r="F33" s="917"/>
    </row>
    <row r="34" spans="2:11" x14ac:dyDescent="0.2">
      <c r="B34" s="885" t="s">
        <v>1736</v>
      </c>
      <c r="C34" s="916">
        <f>'JKP-7.7 - Data'!B22</f>
        <v>-29208.42</v>
      </c>
      <c r="D34" s="906"/>
      <c r="E34" s="906"/>
      <c r="H34" s="889"/>
      <c r="I34" s="889"/>
      <c r="J34" s="889"/>
    </row>
    <row r="35" spans="2:11" ht="15" x14ac:dyDescent="0.25">
      <c r="B35" s="890" t="s">
        <v>1737</v>
      </c>
      <c r="C35" s="910">
        <f>SUM(C33:C34)</f>
        <v>601391.23</v>
      </c>
      <c r="D35" s="905">
        <f>'JKP-7.7 - Data'!C23</f>
        <v>3917959.6299999901</v>
      </c>
      <c r="E35" s="906">
        <f>+D35+C35</f>
        <v>4519350.8599999901</v>
      </c>
      <c r="F35" s="888"/>
    </row>
    <row r="36" spans="2:11" ht="15" x14ac:dyDescent="0.25">
      <c r="B36" s="890"/>
      <c r="C36" s="906"/>
      <c r="D36" s="920"/>
      <c r="E36" s="906"/>
      <c r="I36" s="920"/>
    </row>
    <row r="37" spans="2:11" ht="15" x14ac:dyDescent="0.25">
      <c r="B37" s="890" t="s">
        <v>1738</v>
      </c>
      <c r="C37" s="906">
        <f>+C30</f>
        <v>280431867.97999996</v>
      </c>
      <c r="D37" s="923">
        <f>SUM(D16,D28)</f>
        <v>11571026.300000018</v>
      </c>
      <c r="E37" s="906">
        <f>+D37+C37</f>
        <v>292002894.27999997</v>
      </c>
      <c r="F37" s="898"/>
      <c r="G37" s="924"/>
    </row>
    <row r="38" spans="2:11" ht="15" x14ac:dyDescent="0.25">
      <c r="B38" s="890"/>
      <c r="C38" s="906"/>
      <c r="D38" s="920"/>
      <c r="E38" s="906"/>
      <c r="F38" s="898"/>
      <c r="G38" s="924"/>
    </row>
    <row r="39" spans="2:11" ht="15" thickBot="1" x14ac:dyDescent="0.25"/>
    <row r="40" spans="2:11" x14ac:dyDescent="0.2">
      <c r="B40" s="925" t="s">
        <v>1739</v>
      </c>
      <c r="C40" s="926" t="s">
        <v>1745</v>
      </c>
      <c r="D40" s="926" t="s">
        <v>1746</v>
      </c>
      <c r="E40" s="927" t="s">
        <v>1443</v>
      </c>
    </row>
    <row r="41" spans="2:11" x14ac:dyDescent="0.2">
      <c r="B41" s="928" t="s">
        <v>1740</v>
      </c>
      <c r="C41" s="929">
        <f>'JKP-7.7 - Data'!B28</f>
        <v>190250086.34999999</v>
      </c>
      <c r="D41" s="929">
        <f>'JKP-7.7 - Data'!C28</f>
        <v>97233457.069999993</v>
      </c>
      <c r="E41" s="930">
        <f>'JKP-7.7 - Data'!D28</f>
        <v>4519350.8599999901</v>
      </c>
    </row>
    <row r="42" spans="2:11" x14ac:dyDescent="0.2">
      <c r="B42" s="931" t="s">
        <v>23</v>
      </c>
      <c r="C42" s="932"/>
      <c r="D42" s="932"/>
      <c r="E42" s="933">
        <f>SUM(C41:E41)</f>
        <v>292002894.27999997</v>
      </c>
      <c r="F42" s="888"/>
    </row>
    <row r="43" spans="2:11" x14ac:dyDescent="0.2">
      <c r="B43" s="934" t="s">
        <v>1747</v>
      </c>
      <c r="C43" s="935"/>
      <c r="D43" s="935"/>
      <c r="E43" s="936"/>
      <c r="F43" s="898"/>
    </row>
    <row r="44" spans="2:11" x14ac:dyDescent="0.2">
      <c r="B44" s="931" t="s">
        <v>1748</v>
      </c>
      <c r="C44" s="937">
        <f>'JKP-7.7 - Data'!B33</f>
        <v>0.66510000000000002</v>
      </c>
      <c r="D44" s="932"/>
      <c r="E44" s="938"/>
    </row>
    <row r="45" spans="2:11" ht="15" thickBot="1" x14ac:dyDescent="0.25">
      <c r="B45" s="939" t="s">
        <v>1746</v>
      </c>
      <c r="C45" s="940">
        <f>1-C44</f>
        <v>0.33489999999999998</v>
      </c>
      <c r="D45" s="941"/>
      <c r="E45" s="942"/>
    </row>
    <row r="48" spans="2:11" x14ac:dyDescent="0.2">
      <c r="D48" s="924"/>
      <c r="E48" s="924"/>
      <c r="F48" s="924"/>
      <c r="G48" s="924"/>
      <c r="H48" s="924"/>
      <c r="I48" s="924"/>
      <c r="J48" s="924"/>
      <c r="K48" s="924"/>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1:L33"/>
  <sheetViews>
    <sheetView workbookViewId="0">
      <selection activeCell="C35" sqref="C35"/>
    </sheetView>
  </sheetViews>
  <sheetFormatPr defaultRowHeight="14.25" x14ac:dyDescent="0.2"/>
  <cols>
    <col min="1" max="1" width="3" style="885" customWidth="1"/>
    <col min="2" max="2" width="2.85546875" style="885" customWidth="1"/>
    <col min="3" max="3" width="35" style="885" customWidth="1"/>
    <col min="4" max="4" width="16.42578125" style="885" bestFit="1" customWidth="1"/>
    <col min="5" max="5" width="2.5703125" style="885" customWidth="1"/>
    <col min="6" max="6" width="14" style="885" bestFit="1" customWidth="1"/>
    <col min="7" max="7" width="14.7109375" style="885" bestFit="1" customWidth="1"/>
    <col min="8" max="8" width="16.42578125" style="885" bestFit="1" customWidth="1"/>
    <col min="9" max="10" width="12.85546875" style="885" bestFit="1" customWidth="1"/>
    <col min="11" max="11" width="14.7109375" style="885" bestFit="1" customWidth="1"/>
    <col min="12" max="12" width="13.42578125" style="885" bestFit="1" customWidth="1"/>
    <col min="13" max="16384" width="9.140625" style="885"/>
  </cols>
  <sheetData>
    <row r="1" spans="2:12" x14ac:dyDescent="0.2">
      <c r="B1" s="885" t="s">
        <v>1749</v>
      </c>
    </row>
    <row r="2" spans="2:12" x14ac:dyDescent="0.2">
      <c r="B2" s="885" t="s">
        <v>1750</v>
      </c>
    </row>
    <row r="4" spans="2:12" x14ac:dyDescent="0.2">
      <c r="F4" s="943" t="s">
        <v>1751</v>
      </c>
      <c r="G4" s="943" t="s">
        <v>1752</v>
      </c>
      <c r="H4" s="943" t="s">
        <v>1347</v>
      </c>
      <c r="I4" s="943" t="s">
        <v>1743</v>
      </c>
    </row>
    <row r="5" spans="2:12" x14ac:dyDescent="0.2">
      <c r="D5" s="904" t="s">
        <v>23</v>
      </c>
      <c r="F5" s="904" t="s">
        <v>1363</v>
      </c>
      <c r="G5" s="904" t="s">
        <v>1363</v>
      </c>
      <c r="H5" s="904" t="s">
        <v>1363</v>
      </c>
      <c r="I5" s="904" t="s">
        <v>1363</v>
      </c>
      <c r="J5" s="944" t="s">
        <v>1338</v>
      </c>
      <c r="K5" s="944" t="s">
        <v>23</v>
      </c>
      <c r="L5" s="944" t="s">
        <v>131</v>
      </c>
    </row>
    <row r="6" spans="2:12" x14ac:dyDescent="0.2">
      <c r="B6" s="885" t="s">
        <v>1753</v>
      </c>
      <c r="D6" s="945"/>
      <c r="E6" s="945"/>
      <c r="F6" s="945"/>
      <c r="G6" s="945"/>
      <c r="H6" s="945"/>
      <c r="I6" s="945"/>
      <c r="J6" s="945"/>
      <c r="K6" s="945"/>
    </row>
    <row r="7" spans="2:12" x14ac:dyDescent="0.2">
      <c r="C7" s="885" t="s">
        <v>1446</v>
      </c>
      <c r="D7" s="946">
        <f>SUM('JKP-7.7 - Allocated'!E18:E23,'JKP-7.7 - Allocated'!E27)</f>
        <v>97233457.069999993</v>
      </c>
      <c r="E7" s="945"/>
      <c r="F7" s="946">
        <f>SUM('JKP-7.7 - Allocated'!E21:E23)</f>
        <v>14229174.24</v>
      </c>
      <c r="G7" s="946">
        <f>'JKP-7.7 - Allocated'!E19</f>
        <v>38445025.049999997</v>
      </c>
      <c r="H7" s="946">
        <f>'JKP-7.7 - Allocated'!E20</f>
        <v>42108850.130000003</v>
      </c>
      <c r="I7" s="946">
        <f>'JKP-7.7 - Allocated'!E27</f>
        <v>2445266.73</v>
      </c>
      <c r="J7" s="946">
        <f>'JKP-7.7 - Allocated'!E18</f>
        <v>5140.92</v>
      </c>
      <c r="K7" s="945">
        <f>SUM(F7:J7)</f>
        <v>97233457.070000008</v>
      </c>
      <c r="L7" s="945">
        <f>K7-D7</f>
        <v>0</v>
      </c>
    </row>
    <row r="8" spans="2:12" x14ac:dyDescent="0.2">
      <c r="C8" s="885" t="s">
        <v>1443</v>
      </c>
      <c r="D8" s="946">
        <f>SUM('JKP-7.7 - Allocated'!E24:E26)</f>
        <v>1513530.6030139965</v>
      </c>
      <c r="E8" s="945"/>
      <c r="F8" s="946"/>
      <c r="G8" s="946">
        <f>'JKP-7.7 - Allocated'!E24</f>
        <v>211187.822785</v>
      </c>
      <c r="H8" s="946"/>
      <c r="I8" s="946">
        <f>'JKP-7.7 - Allocated'!E25+'JKP-7.7 - Allocated'!E26</f>
        <v>1302342.7802289964</v>
      </c>
      <c r="J8" s="946"/>
      <c r="K8" s="945">
        <f>SUM(F8:J8)</f>
        <v>1513530.6030139965</v>
      </c>
      <c r="L8" s="945">
        <f t="shared" ref="L8:L24" si="0">K8-D8</f>
        <v>0</v>
      </c>
    </row>
    <row r="9" spans="2:12" x14ac:dyDescent="0.2">
      <c r="C9" s="885" t="s">
        <v>1207</v>
      </c>
      <c r="D9" s="947">
        <f>SUM(D7:D8)</f>
        <v>98746987.673013985</v>
      </c>
      <c r="E9" s="945"/>
      <c r="F9" s="947">
        <f t="shared" ref="F9:K9" si="1">SUM(F7:F8)</f>
        <v>14229174.24</v>
      </c>
      <c r="G9" s="947">
        <f t="shared" si="1"/>
        <v>38656212.872784995</v>
      </c>
      <c r="H9" s="947">
        <f t="shared" si="1"/>
        <v>42108850.130000003</v>
      </c>
      <c r="I9" s="947">
        <f t="shared" si="1"/>
        <v>3747609.5102289962</v>
      </c>
      <c r="J9" s="947">
        <f t="shared" si="1"/>
        <v>5140.92</v>
      </c>
      <c r="K9" s="947">
        <f t="shared" si="1"/>
        <v>98746987.673014</v>
      </c>
      <c r="L9" s="945">
        <f t="shared" si="0"/>
        <v>0</v>
      </c>
    </row>
    <row r="10" spans="2:12" x14ac:dyDescent="0.2">
      <c r="D10" s="948"/>
      <c r="E10" s="945"/>
      <c r="F10" s="945"/>
      <c r="G10" s="945"/>
      <c r="H10" s="945"/>
      <c r="I10" s="945"/>
      <c r="J10" s="945"/>
      <c r="K10" s="945"/>
      <c r="L10" s="945">
        <f t="shared" si="0"/>
        <v>0</v>
      </c>
    </row>
    <row r="11" spans="2:12" x14ac:dyDescent="0.2">
      <c r="B11" s="885" t="s">
        <v>1220</v>
      </c>
      <c r="D11" s="945"/>
      <c r="E11" s="945"/>
      <c r="F11" s="945"/>
      <c r="G11" s="945"/>
      <c r="H11" s="945"/>
      <c r="I11" s="945"/>
      <c r="J11" s="945"/>
      <c r="K11" s="945"/>
      <c r="L11" s="945">
        <f t="shared" si="0"/>
        <v>0</v>
      </c>
    </row>
    <row r="12" spans="2:12" x14ac:dyDescent="0.2">
      <c r="C12" s="885" t="s">
        <v>1754</v>
      </c>
      <c r="D12" s="949">
        <v>1276774</v>
      </c>
      <c r="E12" s="945"/>
      <c r="F12" s="945"/>
      <c r="G12" s="945">
        <f>D12</f>
        <v>1276774</v>
      </c>
      <c r="H12" s="945"/>
      <c r="I12" s="945"/>
      <c r="J12" s="945"/>
      <c r="K12" s="945">
        <f t="shared" ref="K12:K17" si="2">SUM(F12:J12)</f>
        <v>1276774</v>
      </c>
      <c r="L12" s="945">
        <f t="shared" si="0"/>
        <v>0</v>
      </c>
    </row>
    <row r="13" spans="2:12" x14ac:dyDescent="0.2">
      <c r="C13" s="885" t="s">
        <v>1755</v>
      </c>
      <c r="D13" s="949">
        <f>457866.29535191</f>
        <v>457866.29535191</v>
      </c>
      <c r="E13" s="945"/>
      <c r="F13" s="945"/>
      <c r="G13" s="945">
        <f>D13</f>
        <v>457866.29535191</v>
      </c>
      <c r="H13" s="945"/>
      <c r="I13" s="945"/>
      <c r="J13" s="945"/>
      <c r="K13" s="945">
        <f t="shared" si="2"/>
        <v>457866.29535191</v>
      </c>
      <c r="L13" s="945">
        <f t="shared" si="0"/>
        <v>0</v>
      </c>
    </row>
    <row r="14" spans="2:12" x14ac:dyDescent="0.2">
      <c r="C14" s="885" t="s">
        <v>1756</v>
      </c>
      <c r="D14" s="949">
        <f>-42162546.2561+75779.13</f>
        <v>-42086767.126099996</v>
      </c>
      <c r="E14" s="945"/>
      <c r="F14" s="945"/>
      <c r="G14" s="950">
        <v>75779.13</v>
      </c>
      <c r="H14" s="951">
        <f>D14-G14</f>
        <v>-42162546.256099999</v>
      </c>
      <c r="I14" s="945"/>
      <c r="J14" s="945"/>
      <c r="K14" s="945">
        <f t="shared" si="2"/>
        <v>-42086767.126099996</v>
      </c>
      <c r="L14" s="945">
        <f t="shared" si="0"/>
        <v>0</v>
      </c>
    </row>
    <row r="15" spans="2:12" x14ac:dyDescent="0.2">
      <c r="C15" s="885" t="s">
        <v>1757</v>
      </c>
      <c r="D15" s="952">
        <v>2566608.7599999998</v>
      </c>
      <c r="E15" s="945"/>
      <c r="F15" s="945">
        <f>D15</f>
        <v>2566608.7599999998</v>
      </c>
      <c r="G15" s="945"/>
      <c r="H15" s="945"/>
      <c r="I15" s="945"/>
      <c r="J15" s="945"/>
      <c r="K15" s="945">
        <f t="shared" si="2"/>
        <v>2566608.7599999998</v>
      </c>
      <c r="L15" s="945">
        <f t="shared" si="0"/>
        <v>0</v>
      </c>
    </row>
    <row r="16" spans="2:12" x14ac:dyDescent="0.2">
      <c r="C16" s="885" t="s">
        <v>1758</v>
      </c>
      <c r="D16" s="949">
        <f>115109.511555166-13986.71</f>
        <v>101122.80155516599</v>
      </c>
      <c r="E16" s="945"/>
      <c r="F16" s="945"/>
      <c r="G16" s="945"/>
      <c r="H16" s="945"/>
      <c r="I16" s="945">
        <f>D16</f>
        <v>101122.80155516599</v>
      </c>
      <c r="J16" s="945"/>
      <c r="K16" s="945">
        <f t="shared" si="2"/>
        <v>101122.80155516599</v>
      </c>
      <c r="L16" s="945">
        <f t="shared" si="0"/>
        <v>0</v>
      </c>
    </row>
    <row r="17" spans="2:12" x14ac:dyDescent="0.2">
      <c r="C17" s="885" t="s">
        <v>1759</v>
      </c>
      <c r="D17" s="949">
        <v>-28367.789021602512</v>
      </c>
      <c r="E17" s="945"/>
      <c r="F17" s="945"/>
      <c r="G17" s="945"/>
      <c r="H17" s="945"/>
      <c r="I17" s="945">
        <f>+D17</f>
        <v>-28367.789021602512</v>
      </c>
      <c r="J17" s="945"/>
      <c r="K17" s="945">
        <f t="shared" si="2"/>
        <v>-28367.789021602512</v>
      </c>
      <c r="L17" s="945">
        <f t="shared" si="0"/>
        <v>0</v>
      </c>
    </row>
    <row r="18" spans="2:12" x14ac:dyDescent="0.2">
      <c r="C18" s="885" t="s">
        <v>1760</v>
      </c>
      <c r="D18" s="947">
        <f>SUM(D12:D17)</f>
        <v>-37712763.05821453</v>
      </c>
      <c r="E18" s="945"/>
      <c r="F18" s="947">
        <f t="shared" ref="F18:K18" si="3">SUM(F12:F17)</f>
        <v>2566608.7599999998</v>
      </c>
      <c r="G18" s="947">
        <f t="shared" si="3"/>
        <v>1810419.4253519098</v>
      </c>
      <c r="H18" s="947">
        <f t="shared" si="3"/>
        <v>-42162546.256099999</v>
      </c>
      <c r="I18" s="947">
        <f t="shared" si="3"/>
        <v>72755.01253356348</v>
      </c>
      <c r="J18" s="947">
        <f t="shared" si="3"/>
        <v>0</v>
      </c>
      <c r="K18" s="947">
        <f t="shared" si="3"/>
        <v>-37712763.05821453</v>
      </c>
      <c r="L18" s="945">
        <f t="shared" si="0"/>
        <v>0</v>
      </c>
    </row>
    <row r="19" spans="2:12" x14ac:dyDescent="0.2">
      <c r="D19" s="945"/>
      <c r="E19" s="945"/>
      <c r="F19" s="945"/>
      <c r="G19" s="945"/>
      <c r="H19" s="945"/>
      <c r="I19" s="945"/>
      <c r="J19" s="945"/>
      <c r="K19" s="945"/>
      <c r="L19" s="945">
        <f t="shared" si="0"/>
        <v>0</v>
      </c>
    </row>
    <row r="20" spans="2:12" x14ac:dyDescent="0.2">
      <c r="B20" s="885" t="s">
        <v>1761</v>
      </c>
      <c r="D20" s="947">
        <f>D9+D18</f>
        <v>61034224.614799455</v>
      </c>
      <c r="E20" s="945"/>
      <c r="F20" s="947">
        <f t="shared" ref="F20:K20" si="4">F9+F18</f>
        <v>16795783</v>
      </c>
      <c r="G20" s="947">
        <f t="shared" si="4"/>
        <v>40466632.298136905</v>
      </c>
      <c r="H20" s="947">
        <f t="shared" si="4"/>
        <v>-53696.126099996269</v>
      </c>
      <c r="I20" s="947">
        <f t="shared" si="4"/>
        <v>3820364.5227625598</v>
      </c>
      <c r="J20" s="947">
        <f t="shared" si="4"/>
        <v>5140.92</v>
      </c>
      <c r="K20" s="947">
        <f t="shared" si="4"/>
        <v>61034224.61479947</v>
      </c>
      <c r="L20" s="945">
        <f t="shared" si="0"/>
        <v>0</v>
      </c>
    </row>
    <row r="21" spans="2:12" x14ac:dyDescent="0.2">
      <c r="D21" s="945"/>
      <c r="E21" s="945"/>
      <c r="F21" s="945"/>
      <c r="G21" s="945"/>
      <c r="H21" s="945"/>
      <c r="I21" s="945"/>
      <c r="J21" s="945"/>
      <c r="K21" s="945"/>
      <c r="L21" s="945">
        <f t="shared" si="0"/>
        <v>0</v>
      </c>
    </row>
    <row r="22" spans="2:12" x14ac:dyDescent="0.2">
      <c r="B22" s="885" t="s">
        <v>1762</v>
      </c>
      <c r="D22" s="953">
        <v>244228.53245</v>
      </c>
      <c r="E22" s="945"/>
      <c r="F22" s="945"/>
      <c r="G22" s="945">
        <f>D22</f>
        <v>244228.53245</v>
      </c>
      <c r="H22" s="945"/>
      <c r="I22" s="945"/>
      <c r="J22" s="945"/>
      <c r="K22" s="945">
        <f>SUM(F22:J22)</f>
        <v>244228.53245</v>
      </c>
      <c r="L22" s="945">
        <f t="shared" si="0"/>
        <v>0</v>
      </c>
    </row>
    <row r="23" spans="2:12" x14ac:dyDescent="0.2">
      <c r="D23" s="945"/>
      <c r="E23" s="945"/>
      <c r="F23" s="945"/>
      <c r="G23" s="945"/>
      <c r="H23" s="945"/>
      <c r="I23" s="945"/>
      <c r="J23" s="945"/>
      <c r="K23" s="945">
        <f>SUM(F23:J23)</f>
        <v>0</v>
      </c>
      <c r="L23" s="945">
        <f t="shared" si="0"/>
        <v>0</v>
      </c>
    </row>
    <row r="24" spans="2:12" x14ac:dyDescent="0.2">
      <c r="B24" s="885" t="s">
        <v>1763</v>
      </c>
      <c r="D24" s="947">
        <f>D20+D22</f>
        <v>61278453.147249453</v>
      </c>
      <c r="E24" s="945"/>
      <c r="F24" s="947">
        <f t="shared" ref="F24:K24" si="5">F20+F22</f>
        <v>16795783</v>
      </c>
      <c r="G24" s="947">
        <f t="shared" si="5"/>
        <v>40710860.830586903</v>
      </c>
      <c r="H24" s="947">
        <f t="shared" si="5"/>
        <v>-53696.126099996269</v>
      </c>
      <c r="I24" s="947">
        <f t="shared" si="5"/>
        <v>3820364.5227625598</v>
      </c>
      <c r="J24" s="947">
        <f t="shared" si="5"/>
        <v>5140.92</v>
      </c>
      <c r="K24" s="947">
        <f t="shared" si="5"/>
        <v>61278453.147249468</v>
      </c>
      <c r="L24" s="945">
        <f t="shared" si="0"/>
        <v>0</v>
      </c>
    </row>
    <row r="25" spans="2:12" x14ac:dyDescent="0.2">
      <c r="D25" s="945"/>
      <c r="E25" s="945"/>
      <c r="F25" s="945"/>
      <c r="G25" s="945"/>
    </row>
    <row r="26" spans="2:12" s="954" customFormat="1" ht="51" customHeight="1" x14ac:dyDescent="0.2">
      <c r="B26" s="954" t="s">
        <v>1764</v>
      </c>
      <c r="D26" s="955"/>
      <c r="E26" s="955"/>
      <c r="F26" s="955" t="s">
        <v>772</v>
      </c>
      <c r="G26" s="956" t="s">
        <v>1765</v>
      </c>
      <c r="H26" s="957"/>
      <c r="I26" s="955" t="s">
        <v>1766</v>
      </c>
      <c r="J26" s="956" t="s">
        <v>1767</v>
      </c>
    </row>
    <row r="27" spans="2:12" x14ac:dyDescent="0.2">
      <c r="D27" s="945"/>
      <c r="E27" s="945"/>
      <c r="F27" s="945"/>
      <c r="G27" s="922"/>
      <c r="H27" s="922"/>
      <c r="J27" s="922"/>
    </row>
    <row r="28" spans="2:12" x14ac:dyDescent="0.2">
      <c r="D28" s="921"/>
      <c r="E28" s="945"/>
      <c r="F28" s="945"/>
      <c r="G28" s="945"/>
    </row>
    <row r="29" spans="2:12" x14ac:dyDescent="0.2">
      <c r="D29" s="917"/>
      <c r="E29" s="945"/>
      <c r="F29" s="945"/>
      <c r="G29" s="945"/>
    </row>
    <row r="30" spans="2:12" x14ac:dyDescent="0.2">
      <c r="D30" s="945"/>
      <c r="E30" s="945"/>
      <c r="F30" s="945"/>
      <c r="G30" s="945"/>
    </row>
    <row r="31" spans="2:12" x14ac:dyDescent="0.2">
      <c r="D31" s="945"/>
      <c r="E31" s="945"/>
      <c r="F31" s="945"/>
      <c r="G31" s="945"/>
    </row>
    <row r="32" spans="2:12" x14ac:dyDescent="0.2">
      <c r="D32" s="945"/>
      <c r="E32" s="945"/>
      <c r="F32" s="945"/>
      <c r="G32" s="945"/>
    </row>
    <row r="33" spans="7:7" x14ac:dyDescent="0.2">
      <c r="G33" s="950"/>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28"/>
  <sheetViews>
    <sheetView workbookViewId="0">
      <pane xSplit="2" ySplit="4" topLeftCell="C5"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1" width="21.28515625" style="958" customWidth="1"/>
    <col min="2" max="2" width="48.28515625" style="959" customWidth="1"/>
    <col min="3" max="3" width="17" style="959" customWidth="1"/>
    <col min="4" max="4" width="2.140625" style="959" customWidth="1"/>
    <col min="5" max="7" width="14" style="959" bestFit="1" customWidth="1"/>
    <col min="8" max="8" width="14.5703125" style="959" customWidth="1"/>
    <col min="9" max="9" width="13.42578125" style="959" customWidth="1"/>
    <col min="10" max="10" width="15.28515625" style="959" customWidth="1"/>
    <col min="11" max="11" width="14.140625" style="959" customWidth="1"/>
    <col min="12" max="12" width="13.5703125" style="959" customWidth="1"/>
    <col min="13" max="13" width="12.7109375" style="959" customWidth="1"/>
    <col min="14" max="16384" width="9.140625" style="959"/>
  </cols>
  <sheetData>
    <row r="1" spans="1:7" x14ac:dyDescent="0.2">
      <c r="E1" s="960"/>
    </row>
    <row r="2" spans="1:7" x14ac:dyDescent="0.2">
      <c r="G2" s="961" t="s">
        <v>1768</v>
      </c>
    </row>
    <row r="3" spans="1:7" x14ac:dyDescent="0.2">
      <c r="C3" s="961" t="s">
        <v>1769</v>
      </c>
      <c r="D3" s="961"/>
      <c r="E3" s="961" t="s">
        <v>1746</v>
      </c>
      <c r="F3" s="961" t="s">
        <v>1443</v>
      </c>
      <c r="G3" s="961" t="s">
        <v>1770</v>
      </c>
    </row>
    <row r="4" spans="1:7" x14ac:dyDescent="0.2">
      <c r="A4" s="962" t="s">
        <v>1414</v>
      </c>
      <c r="C4" s="961" t="s">
        <v>1771</v>
      </c>
      <c r="D4" s="961"/>
      <c r="E4" s="961" t="s">
        <v>1772</v>
      </c>
      <c r="F4" s="961" t="s">
        <v>1773</v>
      </c>
      <c r="G4" s="963">
        <v>0.33489999999999998</v>
      </c>
    </row>
    <row r="5" spans="1:7" x14ac:dyDescent="0.2">
      <c r="A5" s="958">
        <v>40300311</v>
      </c>
      <c r="B5" s="959" t="s">
        <v>1415</v>
      </c>
      <c r="C5" s="964">
        <f>E5+G5</f>
        <v>60495.839999999997</v>
      </c>
      <c r="D5" s="964"/>
      <c r="E5" s="964">
        <v>60495.839999999997</v>
      </c>
      <c r="F5" s="964">
        <v>0</v>
      </c>
      <c r="G5" s="964">
        <f>F5*$G$4</f>
        <v>0</v>
      </c>
    </row>
    <row r="6" spans="1:7" x14ac:dyDescent="0.2">
      <c r="A6" s="958">
        <v>40300321</v>
      </c>
      <c r="B6" s="959" t="s">
        <v>1774</v>
      </c>
      <c r="C6" s="964">
        <f t="shared" ref="C6:C21" si="0">E6+G6</f>
        <v>814131.58</v>
      </c>
      <c r="D6" s="964"/>
      <c r="E6" s="964">
        <v>814131.58</v>
      </c>
      <c r="F6" s="964">
        <v>0</v>
      </c>
      <c r="G6" s="964">
        <f t="shared" ref="G6:G22" si="1">F6*$G$4</f>
        <v>0</v>
      </c>
    </row>
    <row r="7" spans="1:7" x14ac:dyDescent="0.2">
      <c r="A7" s="958">
        <v>40300323</v>
      </c>
      <c r="B7" s="959" t="s">
        <v>1775</v>
      </c>
      <c r="C7" s="964">
        <f t="shared" si="0"/>
        <v>372262.44</v>
      </c>
      <c r="D7" s="964"/>
      <c r="E7" s="964">
        <v>372262.44</v>
      </c>
      <c r="F7" s="964">
        <v>0</v>
      </c>
      <c r="G7" s="964">
        <f t="shared" si="1"/>
        <v>0</v>
      </c>
    </row>
    <row r="8" spans="1:7" x14ac:dyDescent="0.2">
      <c r="A8" s="958">
        <v>40300325</v>
      </c>
      <c r="B8" s="959" t="s">
        <v>1416</v>
      </c>
      <c r="C8" s="964">
        <f t="shared" si="0"/>
        <v>31446.89</v>
      </c>
      <c r="D8" s="964"/>
      <c r="E8" s="964">
        <v>31446.89</v>
      </c>
      <c r="F8" s="964">
        <v>0</v>
      </c>
      <c r="G8" s="964">
        <f t="shared" si="1"/>
        <v>0</v>
      </c>
    </row>
    <row r="9" spans="1:7" x14ac:dyDescent="0.2">
      <c r="A9" s="958">
        <v>40300341</v>
      </c>
      <c r="B9" s="959" t="s">
        <v>1417</v>
      </c>
      <c r="C9" s="964">
        <f t="shared" si="0"/>
        <v>83636038.789999992</v>
      </c>
      <c r="D9" s="964"/>
      <c r="E9" s="964">
        <f>91272077.83-7636039.04</f>
        <v>83636038.789999992</v>
      </c>
      <c r="F9" s="964">
        <v>0</v>
      </c>
      <c r="G9" s="964">
        <f t="shared" si="1"/>
        <v>0</v>
      </c>
    </row>
    <row r="10" spans="1:7" x14ac:dyDescent="0.2">
      <c r="A10" s="958">
        <v>40300341</v>
      </c>
      <c r="B10" s="959" t="s">
        <v>1418</v>
      </c>
      <c r="C10" s="964">
        <f t="shared" si="0"/>
        <v>7636039.04</v>
      </c>
      <c r="D10" s="964"/>
      <c r="E10" s="964">
        <v>7636039.04</v>
      </c>
      <c r="F10" s="964">
        <v>0</v>
      </c>
      <c r="G10" s="964">
        <f t="shared" si="1"/>
        <v>0</v>
      </c>
    </row>
    <row r="11" spans="1:7" x14ac:dyDescent="0.2">
      <c r="A11" s="958">
        <v>40300351</v>
      </c>
      <c r="B11" s="959" t="s">
        <v>1419</v>
      </c>
      <c r="C11" s="964">
        <f t="shared" si="0"/>
        <v>9795910.5973429997</v>
      </c>
      <c r="D11" s="964"/>
      <c r="E11" s="964">
        <v>2738592.68</v>
      </c>
      <c r="F11" s="964">
        <v>21072911.07</v>
      </c>
      <c r="G11" s="964">
        <f t="shared" si="1"/>
        <v>7057317.917343</v>
      </c>
    </row>
    <row r="12" spans="1:7" x14ac:dyDescent="0.2">
      <c r="A12" s="958">
        <v>40310301</v>
      </c>
      <c r="B12" s="959" t="s">
        <v>1776</v>
      </c>
      <c r="C12" s="964">
        <f t="shared" si="0"/>
        <v>40517.802516000003</v>
      </c>
      <c r="D12" s="964"/>
      <c r="E12" s="964">
        <v>48994.51</v>
      </c>
      <c r="F12" s="964">
        <v>-25311.16</v>
      </c>
      <c r="G12" s="964">
        <f t="shared" si="1"/>
        <v>-8476.7074839999987</v>
      </c>
    </row>
    <row r="13" spans="1:7" x14ac:dyDescent="0.2">
      <c r="A13" s="958">
        <v>40400311</v>
      </c>
      <c r="B13" s="959" t="s">
        <v>1777</v>
      </c>
      <c r="C13" s="964">
        <f t="shared" si="0"/>
        <v>11984.924181</v>
      </c>
      <c r="D13" s="964"/>
      <c r="E13" s="964">
        <v>8796.7800000000007</v>
      </c>
      <c r="F13" s="964">
        <v>9519.69</v>
      </c>
      <c r="G13" s="964">
        <f t="shared" si="1"/>
        <v>3188.1441810000001</v>
      </c>
    </row>
    <row r="14" spans="1:7" x14ac:dyDescent="0.2">
      <c r="A14" s="958">
        <v>40400391</v>
      </c>
      <c r="B14" s="959" t="s">
        <v>1778</v>
      </c>
      <c r="C14" s="964">
        <f t="shared" si="0"/>
        <v>7468015.9841519995</v>
      </c>
      <c r="D14" s="964"/>
      <c r="E14" s="964">
        <v>1213032.93</v>
      </c>
      <c r="F14" s="964">
        <f>18677166.48</f>
        <v>18677166.48</v>
      </c>
      <c r="G14" s="964">
        <f>F14*G4</f>
        <v>6254983.0541519998</v>
      </c>
    </row>
    <row r="15" spans="1:7" x14ac:dyDescent="0.2">
      <c r="A15" s="958">
        <v>40400392</v>
      </c>
      <c r="B15" s="959" t="s">
        <v>1779</v>
      </c>
      <c r="C15" s="964">
        <f t="shared" si="0"/>
        <v>3452352.0422319998</v>
      </c>
      <c r="D15" s="964"/>
      <c r="E15" s="964">
        <v>0</v>
      </c>
      <c r="F15" s="964">
        <v>10308605.68</v>
      </c>
      <c r="G15" s="964">
        <f>F15*G4</f>
        <v>3452352.0422319998</v>
      </c>
    </row>
    <row r="16" spans="1:7" x14ac:dyDescent="0.2">
      <c r="B16" s="959" t="s">
        <v>1780</v>
      </c>
      <c r="C16" s="964">
        <f t="shared" si="0"/>
        <v>1626180.1289989997</v>
      </c>
      <c r="D16" s="964"/>
      <c r="E16" s="964">
        <v>0</v>
      </c>
      <c r="F16" s="964">
        <v>4855718.51</v>
      </c>
      <c r="G16" s="964">
        <f>F16*G4</f>
        <v>1626180.1289989997</v>
      </c>
    </row>
    <row r="17" spans="1:7" x14ac:dyDescent="0.2">
      <c r="A17" s="958">
        <v>40730310</v>
      </c>
      <c r="B17" s="959" t="s">
        <v>1420</v>
      </c>
      <c r="C17" s="964">
        <f t="shared" si="0"/>
        <v>0</v>
      </c>
      <c r="D17" s="964"/>
      <c r="E17" s="964">
        <v>0</v>
      </c>
      <c r="F17" s="964">
        <v>0</v>
      </c>
      <c r="G17" s="964">
        <f t="shared" si="1"/>
        <v>0</v>
      </c>
    </row>
    <row r="18" spans="1:7" x14ac:dyDescent="0.2">
      <c r="A18" s="958">
        <v>41113301</v>
      </c>
      <c r="B18" s="959" t="s">
        <v>1781</v>
      </c>
      <c r="C18" s="964">
        <f t="shared" si="0"/>
        <v>219587.19686699999</v>
      </c>
      <c r="D18" s="964"/>
      <c r="E18" s="964">
        <v>219231.59</v>
      </c>
      <c r="F18" s="964">
        <v>1061.83</v>
      </c>
      <c r="G18" s="964">
        <f t="shared" si="1"/>
        <v>355.60686699999997</v>
      </c>
    </row>
    <row r="19" spans="1:7" x14ac:dyDescent="0.2">
      <c r="A19" s="958">
        <v>41160302</v>
      </c>
      <c r="B19" s="959" t="s">
        <v>1782</v>
      </c>
      <c r="C19" s="964">
        <f t="shared" si="0"/>
        <v>-256074.06</v>
      </c>
      <c r="D19" s="964"/>
      <c r="E19" s="964">
        <v>-256074.06</v>
      </c>
      <c r="F19" s="964">
        <v>0</v>
      </c>
      <c r="G19" s="964">
        <f t="shared" si="1"/>
        <v>0</v>
      </c>
    </row>
    <row r="20" spans="1:7" x14ac:dyDescent="0.2">
      <c r="A20" s="958">
        <v>41170302</v>
      </c>
      <c r="B20" s="959" t="s">
        <v>1783</v>
      </c>
      <c r="C20" s="964">
        <f t="shared" si="0"/>
        <v>68250.559999999998</v>
      </c>
      <c r="D20" s="964"/>
      <c r="E20" s="964">
        <v>68250.559999999998</v>
      </c>
      <c r="F20" s="964">
        <v>0</v>
      </c>
      <c r="G20" s="964">
        <f t="shared" si="1"/>
        <v>0</v>
      </c>
    </row>
    <row r="21" spans="1:7" x14ac:dyDescent="0.2">
      <c r="A21" s="958">
        <v>41180180</v>
      </c>
      <c r="B21" s="959" t="s">
        <v>1784</v>
      </c>
      <c r="C21" s="964">
        <f t="shared" si="0"/>
        <v>-4166.7722159999994</v>
      </c>
      <c r="D21" s="964"/>
      <c r="E21" s="964">
        <v>0</v>
      </c>
      <c r="F21" s="964">
        <v>-12441.84</v>
      </c>
      <c r="G21" s="964">
        <f t="shared" si="1"/>
        <v>-4166.7722159999994</v>
      </c>
    </row>
    <row r="22" spans="1:7" x14ac:dyDescent="0.2">
      <c r="B22" s="960" t="s">
        <v>1421</v>
      </c>
      <c r="C22" s="964">
        <f>SUM(C5:C21)</f>
        <v>114972972.984074</v>
      </c>
      <c r="D22" s="964"/>
      <c r="E22" s="964">
        <f>SUM(E5:E21)</f>
        <v>96591239.570000023</v>
      </c>
      <c r="F22" s="964">
        <f>SUM(F5:F21)</f>
        <v>54887230.25999999</v>
      </c>
      <c r="G22" s="964">
        <f t="shared" si="1"/>
        <v>18381733.414073996</v>
      </c>
    </row>
    <row r="24" spans="1:7" x14ac:dyDescent="0.2">
      <c r="B24" s="959" t="s">
        <v>1615</v>
      </c>
      <c r="C24" s="965">
        <f>SUM(C5:C12)</f>
        <v>102386842.97985899</v>
      </c>
    </row>
    <row r="25" spans="1:7" x14ac:dyDescent="0.2">
      <c r="B25" s="959" t="s">
        <v>1352</v>
      </c>
      <c r="C25" s="965">
        <f>SUM(C13:C18)</f>
        <v>12778120.276431</v>
      </c>
    </row>
    <row r="26" spans="1:7" x14ac:dyDescent="0.2">
      <c r="B26" s="959" t="s">
        <v>1439</v>
      </c>
      <c r="C26" s="965">
        <f>C24+C25</f>
        <v>115164963.25628999</v>
      </c>
    </row>
    <row r="27" spans="1:7" ht="12.75" customHeight="1" x14ac:dyDescent="0.2">
      <c r="B27" s="959" t="s">
        <v>1785</v>
      </c>
      <c r="C27" s="965">
        <f>SUM(C19:C21)</f>
        <v>-191990.27221600001</v>
      </c>
    </row>
    <row r="28" spans="1:7" ht="12.75" customHeight="1" x14ac:dyDescent="0.2">
      <c r="B28" s="959" t="s">
        <v>23</v>
      </c>
      <c r="C28" s="965">
        <f>C26+C27</f>
        <v>114972972.98407398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Z219"/>
  <sheetViews>
    <sheetView topLeftCell="A2" workbookViewId="0">
      <selection activeCell="O20" sqref="O20"/>
    </sheetView>
  </sheetViews>
  <sheetFormatPr defaultRowHeight="12.75" x14ac:dyDescent="0.2"/>
  <cols>
    <col min="1" max="1" width="2.5703125" style="1431" customWidth="1"/>
    <col min="2" max="2" width="4.28515625" style="1431" bestFit="1" customWidth="1"/>
    <col min="3" max="3" width="32.28515625" style="1627" customWidth="1"/>
    <col min="4" max="4" width="9.85546875" style="1627" bestFit="1" customWidth="1"/>
    <col min="5" max="5" width="12.42578125" style="1686" bestFit="1" customWidth="1"/>
    <col min="6" max="6" width="10.5703125" style="1431" customWidth="1"/>
    <col min="7" max="7" width="15.5703125" style="1627" customWidth="1"/>
    <col min="8" max="8" width="3.28515625" style="1687" customWidth="1"/>
    <col min="9" max="9" width="10.5703125" style="1431" bestFit="1" customWidth="1"/>
    <col min="10" max="10" width="14.85546875" style="1688" customWidth="1"/>
    <col min="11" max="11" width="3" style="1689" customWidth="1"/>
    <col min="12" max="12" width="13.85546875" style="1431" bestFit="1" customWidth="1"/>
    <col min="13" max="13" width="11.28515625" style="1690" bestFit="1" customWidth="1"/>
    <col min="14" max="14" width="1.5703125" style="1690" customWidth="1"/>
    <col min="15" max="15" width="14" style="1431" customWidth="1"/>
    <col min="16" max="16" width="3" style="1431" customWidth="1"/>
    <col min="17" max="17" width="10.28515625" style="1692" bestFit="1" customWidth="1"/>
    <col min="18" max="16384" width="9.140625" style="1431"/>
  </cols>
  <sheetData>
    <row r="1" spans="1:17" hidden="1" x14ac:dyDescent="0.2">
      <c r="M1" s="1836">
        <f>'Exhibit No._(CTM-4), Pg. 2'!Q1+1</f>
        <v>3</v>
      </c>
    </row>
    <row r="2" spans="1:17" x14ac:dyDescent="0.2">
      <c r="A2" s="1831"/>
      <c r="B2" s="1832"/>
      <c r="C2" s="1831"/>
      <c r="D2" s="1831"/>
      <c r="E2" s="1831"/>
      <c r="F2" s="1831"/>
      <c r="G2" s="1831"/>
      <c r="H2" s="1831"/>
      <c r="I2" s="1831"/>
      <c r="J2" s="1831"/>
      <c r="K2" s="1831"/>
      <c r="M2" s="1826" t="str">
        <f>'Exhibit No._(CTM-4), Pg. 1'!$K$2</f>
        <v>Exhibit No.__ (CTM-4)</v>
      </c>
      <c r="N2" s="1684"/>
      <c r="O2" s="1683"/>
      <c r="P2" s="1683"/>
      <c r="Q2" s="1685"/>
    </row>
    <row r="3" spans="1:17" ht="13.5" thickBot="1" x14ac:dyDescent="0.25">
      <c r="A3" s="1831"/>
      <c r="B3" s="1832"/>
      <c r="C3" s="1831"/>
      <c r="D3" s="1831"/>
      <c r="E3" s="1831"/>
      <c r="F3" s="1831"/>
      <c r="G3" s="1831"/>
      <c r="H3" s="1831"/>
      <c r="I3" s="1831"/>
      <c r="J3" s="1831"/>
      <c r="K3" s="1831"/>
      <c r="M3" s="1827" t="s">
        <v>2131</v>
      </c>
      <c r="N3" s="1684"/>
      <c r="O3" s="1683"/>
      <c r="P3" s="1683"/>
      <c r="Q3" s="1685"/>
    </row>
    <row r="4" spans="1:17" ht="14.25" thickTop="1" thickBot="1" x14ac:dyDescent="0.25">
      <c r="A4" s="1831"/>
      <c r="B4" s="1832"/>
      <c r="C4" s="1831"/>
      <c r="D4" s="1831"/>
      <c r="E4" s="1831"/>
      <c r="F4" s="1831"/>
      <c r="G4" s="1831"/>
      <c r="H4" s="1831"/>
      <c r="I4" s="1831"/>
      <c r="J4" s="1831"/>
      <c r="K4" s="1831"/>
      <c r="M4" s="1828" t="str">
        <f>"Page "&amp;M1&amp;" of "&amp;'Exhibit No._(CTM-4), Pg. 6'!$K$1</f>
        <v>Page 3 of 6</v>
      </c>
      <c r="N4" s="1684"/>
      <c r="O4" s="1683"/>
      <c r="P4" s="1683"/>
      <c r="Q4" s="1685"/>
    </row>
    <row r="5" spans="1:17" ht="13.5" thickTop="1" x14ac:dyDescent="0.2">
      <c r="C5" s="1863" t="s">
        <v>2132</v>
      </c>
      <c r="D5" s="1863"/>
      <c r="E5" s="1863"/>
      <c r="F5" s="1863"/>
      <c r="G5" s="1863"/>
      <c r="H5" s="1863"/>
      <c r="I5" s="1863"/>
      <c r="J5" s="1863"/>
      <c r="K5" s="1863"/>
      <c r="L5" s="1863"/>
      <c r="M5" s="1863"/>
      <c r="N5" s="1684"/>
      <c r="O5" s="1683"/>
      <c r="P5" s="1683"/>
      <c r="Q5" s="1685"/>
    </row>
    <row r="6" spans="1:17" x14ac:dyDescent="0.2">
      <c r="C6" s="1863" t="s">
        <v>2136</v>
      </c>
      <c r="D6" s="1863"/>
      <c r="E6" s="1863"/>
      <c r="F6" s="1863"/>
      <c r="G6" s="1863"/>
      <c r="H6" s="1863"/>
      <c r="I6" s="1863"/>
      <c r="J6" s="1863"/>
      <c r="K6" s="1863"/>
      <c r="L6" s="1863"/>
      <c r="M6" s="1863"/>
      <c r="N6" s="1684"/>
      <c r="O6" s="1683"/>
      <c r="P6" s="1683"/>
      <c r="Q6" s="1685"/>
    </row>
    <row r="7" spans="1:17" x14ac:dyDescent="0.2">
      <c r="C7" s="1863" t="s">
        <v>2134</v>
      </c>
      <c r="D7" s="1863"/>
      <c r="E7" s="1863"/>
      <c r="F7" s="1863"/>
      <c r="G7" s="1863"/>
      <c r="H7" s="1863"/>
      <c r="I7" s="1863"/>
      <c r="J7" s="1863"/>
      <c r="K7" s="1863"/>
      <c r="L7" s="1863"/>
      <c r="M7" s="1863"/>
      <c r="N7" s="1684"/>
      <c r="O7" s="1683"/>
      <c r="P7" s="1683"/>
      <c r="Q7" s="1685"/>
    </row>
    <row r="8" spans="1:17" x14ac:dyDescent="0.2">
      <c r="N8" s="1691"/>
      <c r="O8" s="1471"/>
    </row>
    <row r="9" spans="1:17" ht="15" customHeight="1" x14ac:dyDescent="0.2">
      <c r="B9" s="1513" t="s">
        <v>95</v>
      </c>
      <c r="C9" s="1693"/>
      <c r="D9" s="1693"/>
      <c r="E9" s="1694" t="s">
        <v>0</v>
      </c>
      <c r="F9" s="1516" t="s">
        <v>22</v>
      </c>
      <c r="G9" s="1695"/>
      <c r="H9" s="1696"/>
      <c r="I9" s="1516" t="s">
        <v>1</v>
      </c>
      <c r="J9" s="1695"/>
      <c r="K9" s="1697"/>
      <c r="L9" s="1695" t="s">
        <v>2</v>
      </c>
      <c r="M9" s="1698"/>
      <c r="N9" s="1699"/>
      <c r="O9" s="1520" t="s">
        <v>117</v>
      </c>
      <c r="Q9" s="1521" t="s">
        <v>170</v>
      </c>
    </row>
    <row r="10" spans="1:17" x14ac:dyDescent="0.2">
      <c r="B10" s="1522" t="s">
        <v>770</v>
      </c>
      <c r="C10" s="1700" t="s">
        <v>3</v>
      </c>
      <c r="D10" s="1700" t="s">
        <v>75</v>
      </c>
      <c r="E10" s="1701" t="s">
        <v>4</v>
      </c>
      <c r="F10" s="1700" t="s">
        <v>5</v>
      </c>
      <c r="G10" s="1702" t="s">
        <v>27</v>
      </c>
      <c r="H10" s="1700"/>
      <c r="I10" s="1700" t="s">
        <v>5</v>
      </c>
      <c r="J10" s="1702" t="s">
        <v>27</v>
      </c>
      <c r="K10" s="1702"/>
      <c r="L10" s="1702" t="s">
        <v>6</v>
      </c>
      <c r="M10" s="1703" t="s">
        <v>7</v>
      </c>
      <c r="N10" s="1529"/>
      <c r="O10" s="1530" t="s">
        <v>65</v>
      </c>
      <c r="Q10" s="1531" t="s">
        <v>93</v>
      </c>
    </row>
    <row r="11" spans="1:17" x14ac:dyDescent="0.2">
      <c r="B11" s="1502"/>
      <c r="C11" s="1522" t="s">
        <v>102</v>
      </c>
      <c r="D11" s="1608" t="s">
        <v>103</v>
      </c>
      <c r="E11" s="1567" t="s">
        <v>104</v>
      </c>
      <c r="F11" s="1597" t="s">
        <v>105</v>
      </c>
      <c r="G11" s="1648" t="s">
        <v>106</v>
      </c>
      <c r="H11" s="1567"/>
      <c r="I11" s="1857" t="s">
        <v>107</v>
      </c>
      <c r="J11" s="1648" t="s">
        <v>108</v>
      </c>
      <c r="K11" s="1648"/>
      <c r="L11" s="1648" t="s">
        <v>109</v>
      </c>
      <c r="M11" s="1668" t="s">
        <v>116</v>
      </c>
      <c r="N11" s="1529"/>
      <c r="O11" s="1520"/>
      <c r="Q11" s="1521"/>
    </row>
    <row r="12" spans="1:17" x14ac:dyDescent="0.2">
      <c r="B12" s="1563">
        <v>1</v>
      </c>
      <c r="C12" s="1705" t="s">
        <v>71</v>
      </c>
      <c r="D12" s="1706"/>
      <c r="E12" s="1707"/>
      <c r="F12" s="1708"/>
      <c r="G12" s="1708"/>
      <c r="H12" s="1709"/>
      <c r="I12" s="1707"/>
      <c r="J12" s="1710"/>
      <c r="K12" s="1710"/>
      <c r="L12" s="1710"/>
      <c r="M12" s="1711"/>
      <c r="N12" s="1691"/>
      <c r="O12" s="1471"/>
    </row>
    <row r="13" spans="1:17" x14ac:dyDescent="0.2">
      <c r="B13" s="1563">
        <v>2</v>
      </c>
      <c r="C13" s="1565"/>
      <c r="D13" s="1471"/>
      <c r="E13" s="1704"/>
      <c r="F13" s="1471"/>
      <c r="G13" s="1471"/>
      <c r="H13" s="1712"/>
      <c r="I13" s="1704"/>
      <c r="J13" s="1713"/>
      <c r="K13" s="1713"/>
      <c r="L13" s="1713"/>
      <c r="M13" s="1714"/>
      <c r="N13" s="1691"/>
      <c r="O13" s="1715" t="s">
        <v>96</v>
      </c>
      <c r="P13" s="1471"/>
    </row>
    <row r="14" spans="1:17" x14ac:dyDescent="0.2">
      <c r="B14" s="1563">
        <v>3</v>
      </c>
      <c r="C14" s="1716" t="s">
        <v>142</v>
      </c>
      <c r="D14" s="1717" t="s">
        <v>67</v>
      </c>
      <c r="E14" s="1723">
        <v>8441336</v>
      </c>
      <c r="F14" s="1652">
        <v>10</v>
      </c>
      <c r="G14" s="1713">
        <f>SUM(+E14*F14)</f>
        <v>84413360</v>
      </c>
      <c r="I14" s="1652">
        <f>ROUND(F14*(1+$O$18),2)</f>
        <v>10.039999999999999</v>
      </c>
      <c r="J14" s="1713">
        <f>SUM(+E14*I14)</f>
        <v>84751013.439999998</v>
      </c>
      <c r="K14" s="1713"/>
      <c r="L14" s="1713">
        <f>J14-G14</f>
        <v>337653.43999999762</v>
      </c>
      <c r="M14" s="1718">
        <f>ROUND(L14/G14,5)</f>
        <v>4.0000000000000001E-3</v>
      </c>
      <c r="N14" s="1691"/>
      <c r="O14" s="1818">
        <f>'Exhibit No._(CTM-4), Pg. 2'!J15*((E15+E25)/(E15+E25+E36))</f>
        <v>1053970.9005870775</v>
      </c>
      <c r="P14" s="1471"/>
      <c r="Q14" s="1552">
        <f>I14/F14-1</f>
        <v>4.0000000000000036E-3</v>
      </c>
    </row>
    <row r="15" spans="1:17" x14ac:dyDescent="0.2">
      <c r="B15" s="1563">
        <v>4</v>
      </c>
      <c r="C15" s="1565" t="s">
        <v>82</v>
      </c>
      <c r="D15" s="1471" t="s">
        <v>10</v>
      </c>
      <c r="E15" s="1687">
        <v>548024951</v>
      </c>
      <c r="F15" s="1719">
        <v>0.37372</v>
      </c>
      <c r="G15" s="1713">
        <f>ROUND(E15*F15,2)</f>
        <v>204807884.69</v>
      </c>
      <c r="I15" s="1719">
        <f>ROUND(F15*(1+$O$18),5)</f>
        <v>0.37502999999999997</v>
      </c>
      <c r="J15" s="1713">
        <f>ROUND(E15*I15,2)</f>
        <v>205525797.37</v>
      </c>
      <c r="K15" s="1713"/>
      <c r="L15" s="1713">
        <f>J15-G15</f>
        <v>717912.68000000715</v>
      </c>
      <c r="M15" s="1718">
        <f>ROUND(L15/G15,5)</f>
        <v>3.5100000000000001E-3</v>
      </c>
      <c r="N15" s="1471"/>
      <c r="O15" s="1720" t="s">
        <v>118</v>
      </c>
      <c r="P15" s="1471"/>
      <c r="Q15" s="1552">
        <f>I15/F15-1</f>
        <v>3.5052980841270287E-3</v>
      </c>
    </row>
    <row r="16" spans="1:17" x14ac:dyDescent="0.2">
      <c r="B16" s="1563">
        <v>5</v>
      </c>
      <c r="C16" s="1721"/>
      <c r="D16" s="1722"/>
      <c r="E16" s="1723"/>
      <c r="F16" s="1471"/>
      <c r="G16" s="1710">
        <f>SUM(G14:G15)</f>
        <v>289221244.69</v>
      </c>
      <c r="I16" s="1704"/>
      <c r="J16" s="1710">
        <f>SUM(J14:J15)</f>
        <v>290276810.81</v>
      </c>
      <c r="K16" s="1713"/>
      <c r="L16" s="1710">
        <f>SUM(L14:L15)</f>
        <v>1055566.1200000048</v>
      </c>
      <c r="M16" s="1724">
        <f>ROUND(L16/G16,5)</f>
        <v>3.65E-3</v>
      </c>
      <c r="N16" s="1471"/>
      <c r="O16" s="1725">
        <f>(L16+L26)-O14</f>
        <v>1600.4294129272457</v>
      </c>
      <c r="P16" s="1471"/>
      <c r="Q16" s="1726"/>
    </row>
    <row r="17" spans="1:26" x14ac:dyDescent="0.2">
      <c r="B17" s="1563">
        <v>6</v>
      </c>
      <c r="C17" s="1721"/>
      <c r="D17" s="1727"/>
      <c r="E17" s="1704"/>
      <c r="F17" s="1728"/>
      <c r="G17" s="1729"/>
      <c r="I17" s="1704"/>
      <c r="J17" s="1713"/>
      <c r="K17" s="1713"/>
      <c r="L17" s="1713"/>
      <c r="M17" s="1714"/>
      <c r="N17" s="1552"/>
      <c r="O17" s="1730"/>
      <c r="Q17" s="1731"/>
    </row>
    <row r="18" spans="1:26" x14ac:dyDescent="0.2">
      <c r="B18" s="1563">
        <v>7</v>
      </c>
      <c r="C18" s="1565" t="s">
        <v>145</v>
      </c>
      <c r="D18" s="1471" t="s">
        <v>10</v>
      </c>
      <c r="E18" s="1723">
        <f>E15</f>
        <v>548024951</v>
      </c>
      <c r="F18" s="1719">
        <v>0.72019999999999995</v>
      </c>
      <c r="G18" s="1710">
        <f>F18*E18</f>
        <v>394687569.71019995</v>
      </c>
      <c r="H18" s="1471"/>
      <c r="I18" s="1719">
        <f>F18</f>
        <v>0.72019999999999995</v>
      </c>
      <c r="J18" s="1710">
        <f>I18*E18</f>
        <v>394687569.71019995</v>
      </c>
      <c r="K18" s="1713"/>
      <c r="L18" s="1710">
        <f>J18-G18</f>
        <v>0</v>
      </c>
      <c r="M18" s="1724">
        <f>ROUND(L18/G18,5)</f>
        <v>0</v>
      </c>
      <c r="N18" s="1552"/>
      <c r="O18" s="1813">
        <f>'Exhibit No._(CTM-4), Pg. 2'!I15+Q18</f>
        <v>3.5009404386910506E-3</v>
      </c>
      <c r="P18" s="1732"/>
      <c r="Q18" s="1819">
        <v>-1.4321111999998E-4</v>
      </c>
      <c r="R18" s="1471"/>
      <c r="Z18" s="1471"/>
    </row>
    <row r="19" spans="1:26" ht="14.25" customHeight="1" x14ac:dyDescent="0.2">
      <c r="B19" s="1563">
        <v>8</v>
      </c>
      <c r="C19" s="1565"/>
      <c r="D19" s="1471"/>
      <c r="E19" s="1704"/>
      <c r="F19" s="1704"/>
      <c r="G19" s="1713"/>
      <c r="I19" s="1733"/>
      <c r="J19" s="1713"/>
      <c r="K19" s="1713"/>
      <c r="L19" s="1713"/>
      <c r="M19" s="1714"/>
      <c r="N19" s="1471"/>
      <c r="O19" s="1732"/>
      <c r="P19" s="1732"/>
      <c r="Q19" s="1732"/>
      <c r="R19" s="1471"/>
      <c r="Z19" s="1471"/>
    </row>
    <row r="20" spans="1:26" x14ac:dyDescent="0.2">
      <c r="B20" s="1563">
        <v>9</v>
      </c>
      <c r="C20" s="1557" t="s">
        <v>26</v>
      </c>
      <c r="D20" s="1722"/>
      <c r="E20" s="1687"/>
      <c r="F20" s="1471"/>
      <c r="G20" s="1710">
        <f>G16+G18</f>
        <v>683908814.40019989</v>
      </c>
      <c r="I20" s="1704"/>
      <c r="J20" s="1710">
        <f>J16+J18</f>
        <v>684964380.52020001</v>
      </c>
      <c r="K20" s="1713"/>
      <c r="L20" s="1710">
        <f>L16+L18</f>
        <v>1055566.1200000048</v>
      </c>
      <c r="M20" s="1724">
        <f>ROUND(L20/G20,5)</f>
        <v>1.5399999999999999E-3</v>
      </c>
      <c r="N20" s="1552"/>
      <c r="O20" s="1552"/>
      <c r="P20" s="1734"/>
      <c r="Q20" s="1521"/>
      <c r="R20" s="1471"/>
      <c r="Z20" s="1471"/>
    </row>
    <row r="21" spans="1:26" s="1686" customFormat="1" x14ac:dyDescent="0.2">
      <c r="B21" s="1563">
        <v>10</v>
      </c>
      <c r="C21" s="1736"/>
      <c r="D21" s="1737"/>
      <c r="E21" s="1737"/>
      <c r="F21" s="1737"/>
      <c r="G21" s="1738"/>
      <c r="H21" s="1739"/>
      <c r="I21" s="1737"/>
      <c r="J21" s="1738"/>
      <c r="K21" s="1738"/>
      <c r="L21" s="1738"/>
      <c r="M21" s="1740"/>
      <c r="N21" s="1704"/>
      <c r="Q21" s="1704"/>
      <c r="R21" s="1704"/>
      <c r="Z21" s="1704"/>
    </row>
    <row r="22" spans="1:26" x14ac:dyDescent="0.2">
      <c r="A22" s="1686"/>
      <c r="B22" s="1563">
        <v>11</v>
      </c>
      <c r="C22" s="1742" t="s">
        <v>73</v>
      </c>
      <c r="D22" s="1743"/>
      <c r="E22" s="1707"/>
      <c r="F22" s="1708"/>
      <c r="G22" s="1710"/>
      <c r="H22" s="1709"/>
      <c r="I22" s="1707"/>
      <c r="J22" s="1710"/>
      <c r="K22" s="1710"/>
      <c r="L22" s="1710"/>
      <c r="M22" s="1724"/>
      <c r="N22" s="1471"/>
      <c r="O22" s="1471"/>
      <c r="Q22" s="1731"/>
      <c r="R22" s="1471"/>
      <c r="Z22" s="1471"/>
    </row>
    <row r="23" spans="1:26" s="1686" customFormat="1" x14ac:dyDescent="0.2">
      <c r="B23" s="1563">
        <v>12</v>
      </c>
      <c r="C23" s="1621"/>
      <c r="D23" s="1704"/>
      <c r="E23" s="1704"/>
      <c r="F23" s="1704"/>
      <c r="G23" s="1735"/>
      <c r="H23" s="1744"/>
      <c r="I23" s="1704"/>
      <c r="J23" s="1735"/>
      <c r="K23" s="1735"/>
      <c r="L23" s="1735"/>
      <c r="M23" s="1745"/>
      <c r="N23" s="1746"/>
      <c r="O23" s="1732"/>
      <c r="P23" s="1704"/>
      <c r="Q23" s="1747"/>
      <c r="R23" s="1704"/>
      <c r="Z23" s="1704"/>
    </row>
    <row r="24" spans="1:26" s="1686" customFormat="1" ht="13.5" customHeight="1" x14ac:dyDescent="0.2">
      <c r="B24" s="1563">
        <v>13</v>
      </c>
      <c r="C24" s="1716" t="s">
        <v>142</v>
      </c>
      <c r="D24" s="1717" t="s">
        <v>67</v>
      </c>
      <c r="E24" s="1723">
        <v>61</v>
      </c>
      <c r="F24" s="1652">
        <v>10</v>
      </c>
      <c r="G24" s="1735">
        <f>SUM(+E24*F24)</f>
        <v>610</v>
      </c>
      <c r="H24" s="1723"/>
      <c r="I24" s="1652">
        <f>I14</f>
        <v>10.039999999999999</v>
      </c>
      <c r="J24" s="1735">
        <f>SUM(+E24*I24)</f>
        <v>612.43999999999994</v>
      </c>
      <c r="K24" s="1735"/>
      <c r="L24" s="1735">
        <f>J24-G24</f>
        <v>2.4399999999999409</v>
      </c>
      <c r="M24" s="1745"/>
      <c r="N24" s="1746"/>
      <c r="O24" s="1820"/>
      <c r="P24" s="1704"/>
      <c r="Q24" s="1552">
        <f>I24/F24-1</f>
        <v>4.0000000000000036E-3</v>
      </c>
      <c r="R24" s="1704"/>
      <c r="Z24" s="1704"/>
    </row>
    <row r="25" spans="1:26" s="1686" customFormat="1" ht="13.5" customHeight="1" x14ac:dyDescent="0.2">
      <c r="B25" s="1563">
        <v>14</v>
      </c>
      <c r="C25" s="1565" t="s">
        <v>82</v>
      </c>
      <c r="D25" s="1471" t="s">
        <v>10</v>
      </c>
      <c r="E25" s="1723">
        <v>2114</v>
      </c>
      <c r="F25" s="1719">
        <v>0.37372</v>
      </c>
      <c r="G25" s="1735">
        <f>ROUND(E25*F25,2)</f>
        <v>790.04</v>
      </c>
      <c r="H25" s="1723"/>
      <c r="I25" s="1719">
        <f>I15</f>
        <v>0.37502999999999997</v>
      </c>
      <c r="J25" s="1735">
        <f>ROUND(E25*I25,2)</f>
        <v>792.81</v>
      </c>
      <c r="K25" s="1735"/>
      <c r="L25" s="1735">
        <f>J25-G25</f>
        <v>2.7699999999999818</v>
      </c>
      <c r="M25" s="1748"/>
      <c r="N25" s="1746"/>
      <c r="O25" s="1749"/>
      <c r="P25" s="1704"/>
      <c r="Q25" s="1552">
        <f>I25/F25-1</f>
        <v>3.5052980841270287E-3</v>
      </c>
      <c r="R25" s="1704"/>
      <c r="Z25" s="1704"/>
    </row>
    <row r="26" spans="1:26" s="1686" customFormat="1" ht="13.5" customHeight="1" x14ac:dyDescent="0.2">
      <c r="B26" s="1563">
        <v>15</v>
      </c>
      <c r="C26" s="1557" t="s">
        <v>184</v>
      </c>
      <c r="D26" s="1717"/>
      <c r="E26" s="1723"/>
      <c r="F26" s="1704"/>
      <c r="G26" s="1710">
        <f>SUM(G24:G25)</f>
        <v>1400.04</v>
      </c>
      <c r="H26" s="1723"/>
      <c r="I26" s="1704"/>
      <c r="J26" s="1710">
        <f>SUM(J24:J25)</f>
        <v>1405.25</v>
      </c>
      <c r="K26" s="1735"/>
      <c r="L26" s="1710">
        <f>SUM(L24:L25)</f>
        <v>5.2099999999999227</v>
      </c>
      <c r="M26" s="1724">
        <f>ROUND(L26/G26,5)</f>
        <v>3.7200000000000002E-3</v>
      </c>
      <c r="N26" s="1704"/>
      <c r="O26" s="1749"/>
      <c r="P26" s="1704"/>
      <c r="Q26" s="1726"/>
      <c r="R26" s="1704"/>
      <c r="Z26" s="1704"/>
    </row>
    <row r="27" spans="1:26" s="1686" customFormat="1" ht="13.5" customHeight="1" x14ac:dyDescent="0.2">
      <c r="B27" s="1563">
        <v>16</v>
      </c>
      <c r="C27" s="1750"/>
      <c r="D27" s="1751"/>
      <c r="E27" s="1704"/>
      <c r="F27" s="1704"/>
      <c r="G27" s="1752"/>
      <c r="H27" s="1723"/>
      <c r="I27" s="1704"/>
      <c r="J27" s="1735"/>
      <c r="K27" s="1735"/>
      <c r="L27" s="1735"/>
      <c r="M27" s="1745"/>
      <c r="N27" s="1704"/>
      <c r="O27" s="1753"/>
      <c r="Q27" s="1747"/>
      <c r="R27" s="1704"/>
      <c r="Z27" s="1704"/>
    </row>
    <row r="28" spans="1:26" s="1686" customFormat="1" ht="13.5" customHeight="1" x14ac:dyDescent="0.2">
      <c r="B28" s="1563">
        <v>17</v>
      </c>
      <c r="C28" s="1565" t="s">
        <v>186</v>
      </c>
      <c r="D28" s="1471" t="s">
        <v>10</v>
      </c>
      <c r="E28" s="1723">
        <f>E25</f>
        <v>2114</v>
      </c>
      <c r="F28" s="1719">
        <v>4.0064099999999998</v>
      </c>
      <c r="G28" s="1710">
        <f>F28*E28</f>
        <v>8469.5507399999988</v>
      </c>
      <c r="H28" s="1704"/>
      <c r="I28" s="1719">
        <f>F28</f>
        <v>4.0064099999999998</v>
      </c>
      <c r="J28" s="1710">
        <f>G28</f>
        <v>8469.5507399999988</v>
      </c>
      <c r="K28" s="1735"/>
      <c r="L28" s="1710">
        <f>J28-G28</f>
        <v>0</v>
      </c>
      <c r="M28" s="1724">
        <f>ROUND(L28/G28,5)</f>
        <v>0</v>
      </c>
      <c r="N28" s="1746"/>
      <c r="O28" s="1754"/>
      <c r="P28" s="1732"/>
      <c r="Q28" s="1732"/>
      <c r="R28" s="1704"/>
      <c r="Z28" s="1704"/>
    </row>
    <row r="29" spans="1:26" s="1686" customFormat="1" ht="13.5" customHeight="1" x14ac:dyDescent="0.2">
      <c r="B29" s="1563">
        <v>18</v>
      </c>
      <c r="C29" s="1621"/>
      <c r="D29" s="1704"/>
      <c r="E29" s="1704"/>
      <c r="F29" s="1719"/>
      <c r="G29" s="1735"/>
      <c r="H29" s="1723"/>
      <c r="I29" s="1733"/>
      <c r="J29" s="1735"/>
      <c r="K29" s="1735"/>
      <c r="L29" s="1735"/>
      <c r="M29" s="1748"/>
      <c r="N29" s="1755"/>
      <c r="O29" s="1753"/>
      <c r="P29" s="1732"/>
      <c r="Q29" s="1732"/>
      <c r="R29" s="1704"/>
      <c r="Z29" s="1704"/>
    </row>
    <row r="30" spans="1:26" s="1686" customFormat="1" ht="13.5" customHeight="1" x14ac:dyDescent="0.2">
      <c r="B30" s="1563">
        <v>19</v>
      </c>
      <c r="C30" s="1716" t="s">
        <v>26</v>
      </c>
      <c r="D30" s="1717"/>
      <c r="E30" s="1704"/>
      <c r="F30" s="1704"/>
      <c r="G30" s="1710">
        <f>G26+G28</f>
        <v>9869.5907399999996</v>
      </c>
      <c r="H30" s="1723"/>
      <c r="I30" s="1704"/>
      <c r="J30" s="1710">
        <f>J26+J28</f>
        <v>9874.8007399999988</v>
      </c>
      <c r="K30" s="1735"/>
      <c r="L30" s="1710">
        <f>L26+L28</f>
        <v>5.2099999999999227</v>
      </c>
      <c r="M30" s="1724">
        <f>ROUND(L30/G30,5)</f>
        <v>5.2999999999999998E-4</v>
      </c>
      <c r="N30" s="1704"/>
      <c r="O30" s="1756"/>
      <c r="P30" s="1732"/>
      <c r="Q30" s="1726"/>
      <c r="R30" s="1704"/>
      <c r="Z30" s="1704"/>
    </row>
    <row r="31" spans="1:26" s="1686" customFormat="1" ht="13.5" customHeight="1" x14ac:dyDescent="0.2">
      <c r="B31" s="1563">
        <v>20</v>
      </c>
      <c r="C31" s="1736"/>
      <c r="D31" s="1737"/>
      <c r="E31" s="1737"/>
      <c r="F31" s="1737"/>
      <c r="G31" s="1738"/>
      <c r="H31" s="1737"/>
      <c r="I31" s="1737"/>
      <c r="J31" s="1738"/>
      <c r="K31" s="1738"/>
      <c r="L31" s="1738"/>
      <c r="M31" s="1740"/>
      <c r="N31" s="1704"/>
      <c r="P31" s="1732"/>
      <c r="Q31" s="1747"/>
      <c r="R31" s="1704"/>
      <c r="Z31" s="1704"/>
    </row>
    <row r="32" spans="1:26" ht="13.5" customHeight="1" x14ac:dyDescent="0.2">
      <c r="B32" s="1563">
        <v>21</v>
      </c>
      <c r="C32" s="1742" t="s">
        <v>72</v>
      </c>
      <c r="D32" s="1706"/>
      <c r="E32" s="1707"/>
      <c r="F32" s="1708"/>
      <c r="G32" s="1710"/>
      <c r="H32" s="1709"/>
      <c r="I32" s="1708"/>
      <c r="J32" s="1710"/>
      <c r="K32" s="1710"/>
      <c r="L32" s="1710"/>
      <c r="M32" s="1724"/>
      <c r="N32" s="1471"/>
      <c r="P32" s="1732"/>
      <c r="Q32" s="1731"/>
      <c r="R32" s="1471"/>
      <c r="Z32" s="1471"/>
    </row>
    <row r="33" spans="2:26" ht="13.5" customHeight="1" x14ac:dyDescent="0.2">
      <c r="B33" s="1563">
        <v>22</v>
      </c>
      <c r="C33" s="1721"/>
      <c r="D33" s="1727"/>
      <c r="E33" s="1704"/>
      <c r="F33" s="1471"/>
      <c r="G33" s="1713"/>
      <c r="H33" s="1757"/>
      <c r="I33" s="1471"/>
      <c r="J33" s="1713"/>
      <c r="K33" s="1713"/>
      <c r="L33" s="1713"/>
      <c r="M33" s="1714"/>
      <c r="N33" s="1691"/>
      <c r="O33" s="1758" t="s">
        <v>98</v>
      </c>
      <c r="P33" s="1732"/>
      <c r="Q33" s="1731"/>
      <c r="R33" s="1471"/>
      <c r="Z33" s="1471"/>
    </row>
    <row r="34" spans="2:26" ht="13.5" customHeight="1" x14ac:dyDescent="0.2">
      <c r="B34" s="1563">
        <v>23</v>
      </c>
      <c r="C34" s="1621" t="s">
        <v>177</v>
      </c>
      <c r="D34" s="1759" t="s">
        <v>9</v>
      </c>
      <c r="E34" s="1723">
        <v>642</v>
      </c>
      <c r="F34" s="1652">
        <v>9.92</v>
      </c>
      <c r="G34" s="1713">
        <f>ROUND(E34*F34,2)</f>
        <v>6368.64</v>
      </c>
      <c r="I34" s="1652">
        <f>ROUND(F34*(1+$O$38),2)</f>
        <v>9.9499999999999993</v>
      </c>
      <c r="J34" s="1713">
        <f>ROUND(E34*I34,2)</f>
        <v>6387.9</v>
      </c>
      <c r="K34" s="1713"/>
      <c r="L34" s="1713">
        <f>J34-G34</f>
        <v>19.259999999999309</v>
      </c>
      <c r="M34" s="1718">
        <f>ROUND(L34/G34,5)</f>
        <v>3.0200000000000001E-3</v>
      </c>
      <c r="N34" s="1760"/>
      <c r="O34" s="1818">
        <f>'Exhibit No._(CTM-4), Pg. 2'!J15-O14</f>
        <v>23.459310436388478</v>
      </c>
      <c r="P34" s="1732"/>
      <c r="Q34" s="1552">
        <f>I34/F34-1</f>
        <v>3.0241935483870108E-3</v>
      </c>
      <c r="R34" s="1471"/>
      <c r="Z34" s="1471"/>
    </row>
    <row r="35" spans="2:26" ht="13.5" customHeight="1" x14ac:dyDescent="0.2">
      <c r="B35" s="1563">
        <v>24</v>
      </c>
      <c r="C35" s="1565"/>
      <c r="D35" s="1471"/>
      <c r="E35" s="1704"/>
      <c r="F35" s="1704"/>
      <c r="G35" s="1713"/>
      <c r="H35" s="1471"/>
      <c r="I35" s="1471"/>
      <c r="J35" s="1713"/>
      <c r="K35" s="1713"/>
      <c r="L35" s="1713"/>
      <c r="M35" s="1718"/>
      <c r="N35" s="1760"/>
      <c r="O35" s="1720" t="s">
        <v>118</v>
      </c>
      <c r="P35" s="1732"/>
      <c r="Q35" s="1552"/>
      <c r="R35" s="1471"/>
      <c r="Z35" s="1471"/>
    </row>
    <row r="36" spans="2:26" ht="13.5" customHeight="1" x14ac:dyDescent="0.2">
      <c r="B36" s="1563">
        <v>25</v>
      </c>
      <c r="C36" s="1557" t="s">
        <v>68</v>
      </c>
      <c r="D36" s="1722"/>
      <c r="E36" s="1723">
        <v>12198</v>
      </c>
      <c r="F36" s="1723"/>
      <c r="G36" s="1729"/>
      <c r="I36" s="1471"/>
      <c r="J36" s="1713"/>
      <c r="K36" s="1713"/>
      <c r="L36" s="1713"/>
      <c r="M36" s="1714"/>
      <c r="N36" s="1760"/>
      <c r="O36" s="1725">
        <f>L34-O34</f>
        <v>-4.1993104363891689</v>
      </c>
      <c r="P36" s="1732"/>
      <c r="Q36" s="1552"/>
      <c r="R36" s="1471"/>
      <c r="Z36" s="1471"/>
    </row>
    <row r="37" spans="2:26" ht="13.5" customHeight="1" x14ac:dyDescent="0.2">
      <c r="B37" s="1563">
        <v>26</v>
      </c>
      <c r="C37" s="1565"/>
      <c r="D37" s="1471"/>
      <c r="E37" s="1704"/>
      <c r="F37" s="1704"/>
      <c r="G37" s="1735"/>
      <c r="H37" s="1723"/>
      <c r="I37" s="1704"/>
      <c r="J37" s="1735"/>
      <c r="K37" s="1713"/>
      <c r="L37" s="1713"/>
      <c r="M37" s="1714"/>
      <c r="N37" s="1552"/>
      <c r="P37" s="1732"/>
      <c r="Q37" s="1552"/>
      <c r="R37" s="1471"/>
      <c r="Z37" s="1471"/>
    </row>
    <row r="38" spans="2:26" ht="13.5" customHeight="1" x14ac:dyDescent="0.2">
      <c r="B38" s="1563">
        <v>27</v>
      </c>
      <c r="C38" s="1565" t="s">
        <v>145</v>
      </c>
      <c r="D38" s="1722"/>
      <c r="E38" s="1723">
        <f>E36</f>
        <v>12198</v>
      </c>
      <c r="F38" s="1728">
        <f>ROUND(13.68/19,5)</f>
        <v>0.72</v>
      </c>
      <c r="G38" s="1710">
        <f>E38*F38</f>
        <v>8782.56</v>
      </c>
      <c r="H38" s="1761"/>
      <c r="I38" s="1719">
        <f>F38</f>
        <v>0.72</v>
      </c>
      <c r="J38" s="1710">
        <f>E38*I38</f>
        <v>8782.56</v>
      </c>
      <c r="K38" s="1713"/>
      <c r="L38" s="1710">
        <f>J38-G38</f>
        <v>0</v>
      </c>
      <c r="M38" s="1724">
        <f>ROUND(L38/G38,5)</f>
        <v>0</v>
      </c>
      <c r="N38" s="1471"/>
      <c r="O38" s="1813">
        <f>O18</f>
        <v>3.5009404386910506E-3</v>
      </c>
      <c r="P38" s="1732"/>
      <c r="Q38" s="1732"/>
      <c r="R38" s="1471"/>
      <c r="Z38" s="1471"/>
    </row>
    <row r="39" spans="2:26" ht="13.5" customHeight="1" x14ac:dyDescent="0.2">
      <c r="B39" s="1563">
        <v>28</v>
      </c>
      <c r="C39" s="1565"/>
      <c r="D39" s="1471"/>
      <c r="E39" s="1704"/>
      <c r="F39" s="1471"/>
      <c r="G39" s="1713"/>
      <c r="I39" s="1471"/>
      <c r="J39" s="1713"/>
      <c r="K39" s="1713"/>
      <c r="L39" s="1713"/>
      <c r="M39" s="1762"/>
      <c r="O39" s="1754"/>
      <c r="P39" s="1732"/>
      <c r="Q39" s="1732"/>
      <c r="R39" s="1471"/>
      <c r="Z39" s="1471"/>
    </row>
    <row r="40" spans="2:26" ht="13.5" customHeight="1" x14ac:dyDescent="0.2">
      <c r="B40" s="1563">
        <v>29</v>
      </c>
      <c r="C40" s="1565" t="s">
        <v>26</v>
      </c>
      <c r="D40" s="1471"/>
      <c r="E40" s="1704"/>
      <c r="F40" s="1471"/>
      <c r="G40" s="1710">
        <f>G34+G38</f>
        <v>15151.2</v>
      </c>
      <c r="I40" s="1471"/>
      <c r="J40" s="1710">
        <f>J34+J38</f>
        <v>15170.46</v>
      </c>
      <c r="K40" s="1713"/>
      <c r="L40" s="1710">
        <f>L34+L38</f>
        <v>19.259999999999309</v>
      </c>
      <c r="M40" s="1724">
        <f>ROUND(L40/G40,5)</f>
        <v>1.2700000000000001E-3</v>
      </c>
      <c r="N40" s="1691"/>
      <c r="O40" s="1732"/>
      <c r="P40" s="1732"/>
      <c r="Q40" s="1732"/>
      <c r="R40" s="1471"/>
      <c r="Z40" s="1471"/>
    </row>
    <row r="41" spans="2:26" ht="13.5" customHeight="1" x14ac:dyDescent="0.2">
      <c r="B41" s="1563">
        <v>30</v>
      </c>
      <c r="C41" s="1763"/>
      <c r="D41" s="1764"/>
      <c r="E41" s="1737"/>
      <c r="F41" s="1765"/>
      <c r="G41" s="1766"/>
      <c r="H41" s="1767"/>
      <c r="I41" s="1765"/>
      <c r="J41" s="1768"/>
      <c r="K41" s="1768"/>
      <c r="L41" s="1765"/>
      <c r="M41" s="1769"/>
      <c r="N41" s="1749"/>
      <c r="Q41" s="1731"/>
      <c r="R41" s="1471"/>
      <c r="Z41" s="1471"/>
    </row>
    <row r="42" spans="2:26" x14ac:dyDescent="0.2">
      <c r="B42" s="1563">
        <v>31</v>
      </c>
      <c r="C42" s="1742" t="s">
        <v>154</v>
      </c>
      <c r="D42" s="1837"/>
      <c r="E42" s="1707"/>
      <c r="F42" s="1708"/>
      <c r="G42" s="1837"/>
      <c r="H42" s="1709"/>
      <c r="I42" s="1708"/>
      <c r="J42" s="1838"/>
      <c r="K42" s="1838"/>
      <c r="L42" s="1708"/>
      <c r="M42" s="1839"/>
      <c r="N42" s="1749"/>
      <c r="Q42" s="1731"/>
      <c r="R42" s="1471"/>
      <c r="Z42" s="1471"/>
    </row>
    <row r="43" spans="2:26" x14ac:dyDescent="0.2">
      <c r="B43" s="1563">
        <v>32</v>
      </c>
      <c r="C43" s="1565"/>
      <c r="D43" s="1727"/>
      <c r="E43" s="1524" t="s">
        <v>10</v>
      </c>
      <c r="F43" s="1471"/>
      <c r="G43" s="1700" t="s">
        <v>22</v>
      </c>
      <c r="I43" s="1471"/>
      <c r="J43" s="1702" t="s">
        <v>1</v>
      </c>
      <c r="L43" s="1702" t="s">
        <v>132</v>
      </c>
      <c r="M43" s="1840"/>
      <c r="Q43" s="1731"/>
      <c r="R43" s="1471"/>
      <c r="Z43" s="1471"/>
    </row>
    <row r="44" spans="2:26" x14ac:dyDescent="0.2">
      <c r="B44" s="1563">
        <v>33</v>
      </c>
      <c r="C44" s="1565" t="s">
        <v>128</v>
      </c>
      <c r="D44" s="1727"/>
      <c r="E44" s="1704"/>
      <c r="F44" s="1471"/>
      <c r="G44" s="1713">
        <f>G18+G28+G38</f>
        <v>394704821.82093996</v>
      </c>
      <c r="I44" s="1471"/>
      <c r="J44" s="1713">
        <f>J18+J28+J38</f>
        <v>394704821.82093996</v>
      </c>
      <c r="K44" s="1713"/>
      <c r="L44" s="1713">
        <f>J44-G44</f>
        <v>0</v>
      </c>
      <c r="M44" s="1840"/>
      <c r="Q44" s="1731"/>
      <c r="R44" s="1471"/>
      <c r="Z44" s="1471"/>
    </row>
    <row r="45" spans="2:26" x14ac:dyDescent="0.2">
      <c r="B45" s="1563">
        <v>34</v>
      </c>
      <c r="C45" s="1565" t="s">
        <v>129</v>
      </c>
      <c r="D45" s="1727"/>
      <c r="E45" s="1704"/>
      <c r="F45" s="1471"/>
      <c r="G45" s="1713">
        <f>G16+G26+G34</f>
        <v>289229013.37</v>
      </c>
      <c r="H45" s="1713"/>
      <c r="I45" s="1713"/>
      <c r="J45" s="1713">
        <f>J16+J26+J34</f>
        <v>290284603.95999998</v>
      </c>
      <c r="K45" s="1713"/>
      <c r="L45" s="1713">
        <f>J45-G45</f>
        <v>1055590.5899999738</v>
      </c>
      <c r="M45" s="1718">
        <f>L45/G45</f>
        <v>3.6496704728913058E-3</v>
      </c>
    </row>
    <row r="46" spans="2:26" x14ac:dyDescent="0.2">
      <c r="B46" s="1563">
        <v>35</v>
      </c>
      <c r="C46" s="1565" t="s">
        <v>130</v>
      </c>
      <c r="D46" s="1727"/>
      <c r="E46" s="1723">
        <f>E15+E25+E36</f>
        <v>548039263</v>
      </c>
      <c r="F46" s="1471"/>
      <c r="G46" s="1710">
        <f>G44+G45</f>
        <v>683933835.1909399</v>
      </c>
      <c r="I46" s="1471"/>
      <c r="J46" s="1710">
        <f>J44+J45</f>
        <v>684989425.78093994</v>
      </c>
      <c r="L46" s="1710">
        <f>L44+L45</f>
        <v>1055590.5899999738</v>
      </c>
      <c r="M46" s="1718">
        <f>L46/G46</f>
        <v>1.5434103939385819E-3</v>
      </c>
    </row>
    <row r="47" spans="2:26" x14ac:dyDescent="0.2">
      <c r="B47" s="1563">
        <v>36</v>
      </c>
      <c r="C47" s="1565"/>
      <c r="D47" s="1727"/>
      <c r="E47" s="1704"/>
      <c r="F47" s="1471"/>
      <c r="G47" s="1713"/>
      <c r="I47" s="1471"/>
      <c r="J47" s="1713"/>
      <c r="L47" s="1713"/>
      <c r="M47" s="1840"/>
    </row>
    <row r="48" spans="2:26" x14ac:dyDescent="0.2">
      <c r="B48" s="1563">
        <v>37</v>
      </c>
      <c r="C48" s="1841" t="s">
        <v>189</v>
      </c>
      <c r="D48" s="1764"/>
      <c r="E48" s="1737"/>
      <c r="F48" s="1765"/>
      <c r="G48" s="1842"/>
      <c r="H48" s="1767"/>
      <c r="I48" s="1765"/>
      <c r="J48" s="1768"/>
      <c r="K48" s="1768"/>
      <c r="L48" s="1765"/>
      <c r="M48" s="1843"/>
      <c r="O48" s="1770"/>
      <c r="P48" s="1770"/>
    </row>
    <row r="49" spans="2:17" x14ac:dyDescent="0.2">
      <c r="B49" s="1563"/>
      <c r="C49" s="1431"/>
      <c r="G49" s="1431"/>
    </row>
    <row r="50" spans="2:17" x14ac:dyDescent="0.2">
      <c r="B50" s="1563"/>
      <c r="C50" s="1431"/>
      <c r="G50" s="1431"/>
    </row>
    <row r="51" spans="2:17" x14ac:dyDescent="0.2">
      <c r="B51" s="1563"/>
      <c r="C51" s="1431"/>
      <c r="D51" s="1431"/>
      <c r="E51" s="1431"/>
      <c r="G51" s="1431"/>
      <c r="H51" s="1431"/>
      <c r="J51" s="1431"/>
      <c r="K51" s="1431"/>
      <c r="M51" s="1431"/>
      <c r="N51" s="1431"/>
      <c r="Q51" s="1431"/>
    </row>
    <row r="52" spans="2:17" x14ac:dyDescent="0.2">
      <c r="B52" s="1563"/>
    </row>
    <row r="53" spans="2:17" x14ac:dyDescent="0.2">
      <c r="B53" s="1563"/>
    </row>
    <row r="54" spans="2:17" x14ac:dyDescent="0.2">
      <c r="B54" s="1563"/>
    </row>
    <row r="55" spans="2:17" x14ac:dyDescent="0.2">
      <c r="B55" s="1563"/>
    </row>
    <row r="56" spans="2:17" x14ac:dyDescent="0.2">
      <c r="B56" s="1563"/>
    </row>
    <row r="57" spans="2:17" x14ac:dyDescent="0.2">
      <c r="B57" s="1563"/>
    </row>
    <row r="58" spans="2:17" x14ac:dyDescent="0.2">
      <c r="B58" s="1563"/>
    </row>
    <row r="59" spans="2:17" x14ac:dyDescent="0.2">
      <c r="B59" s="1563"/>
    </row>
    <row r="60" spans="2:17" x14ac:dyDescent="0.2">
      <c r="B60" s="1563"/>
    </row>
    <row r="61" spans="2:17" x14ac:dyDescent="0.2">
      <c r="B61" s="1563"/>
    </row>
    <row r="62" spans="2:17" x14ac:dyDescent="0.2">
      <c r="B62" s="1563"/>
    </row>
    <row r="63" spans="2:17" x14ac:dyDescent="0.2">
      <c r="B63" s="1563"/>
    </row>
    <row r="64" spans="2:17" x14ac:dyDescent="0.2">
      <c r="B64" s="1563"/>
    </row>
    <row r="65" spans="2:2" x14ac:dyDescent="0.2">
      <c r="B65" s="1563"/>
    </row>
    <row r="66" spans="2:2" x14ac:dyDescent="0.2">
      <c r="B66" s="1563"/>
    </row>
    <row r="67" spans="2:2" x14ac:dyDescent="0.2">
      <c r="B67" s="1563"/>
    </row>
    <row r="68" spans="2:2" x14ac:dyDescent="0.2">
      <c r="B68" s="1563"/>
    </row>
    <row r="69" spans="2:2" x14ac:dyDescent="0.2">
      <c r="B69" s="1563"/>
    </row>
    <row r="70" spans="2:2" x14ac:dyDescent="0.2">
      <c r="B70" s="1563"/>
    </row>
    <row r="71" spans="2:2" x14ac:dyDescent="0.2">
      <c r="B71" s="1563"/>
    </row>
    <row r="72" spans="2:2" x14ac:dyDescent="0.2">
      <c r="B72" s="1563"/>
    </row>
    <row r="73" spans="2:2" x14ac:dyDescent="0.2">
      <c r="B73" s="1563"/>
    </row>
    <row r="74" spans="2:2" x14ac:dyDescent="0.2">
      <c r="B74" s="1563"/>
    </row>
    <row r="75" spans="2:2" x14ac:dyDescent="0.2">
      <c r="B75" s="1563"/>
    </row>
    <row r="76" spans="2:2" x14ac:dyDescent="0.2">
      <c r="B76" s="1563"/>
    </row>
    <row r="77" spans="2:2" x14ac:dyDescent="0.2">
      <c r="B77" s="1563"/>
    </row>
    <row r="78" spans="2:2" x14ac:dyDescent="0.2">
      <c r="B78" s="1563"/>
    </row>
    <row r="79" spans="2:2" x14ac:dyDescent="0.2">
      <c r="B79" s="1563"/>
    </row>
    <row r="80" spans="2:2" x14ac:dyDescent="0.2">
      <c r="B80" s="1563"/>
    </row>
    <row r="81" spans="2:2" x14ac:dyDescent="0.2">
      <c r="B81" s="1563"/>
    </row>
    <row r="82" spans="2:2" x14ac:dyDescent="0.2">
      <c r="B82" s="1563"/>
    </row>
    <row r="83" spans="2:2" x14ac:dyDescent="0.2">
      <c r="B83" s="1563"/>
    </row>
    <row r="84" spans="2:2" x14ac:dyDescent="0.2">
      <c r="B84" s="1563"/>
    </row>
    <row r="85" spans="2:2" x14ac:dyDescent="0.2">
      <c r="B85" s="1563"/>
    </row>
    <row r="86" spans="2:2" x14ac:dyDescent="0.2">
      <c r="B86" s="1563"/>
    </row>
    <row r="87" spans="2:2" x14ac:dyDescent="0.2">
      <c r="B87" s="1563"/>
    </row>
    <row r="88" spans="2:2" x14ac:dyDescent="0.2">
      <c r="B88" s="1563"/>
    </row>
    <row r="89" spans="2:2" x14ac:dyDescent="0.2">
      <c r="B89" s="1563"/>
    </row>
    <row r="90" spans="2:2" x14ac:dyDescent="0.2">
      <c r="B90" s="1563"/>
    </row>
    <row r="91" spans="2:2" x14ac:dyDescent="0.2">
      <c r="B91" s="1563"/>
    </row>
    <row r="92" spans="2:2" x14ac:dyDescent="0.2">
      <c r="B92" s="1563"/>
    </row>
    <row r="93" spans="2:2" x14ac:dyDescent="0.2">
      <c r="B93" s="1563"/>
    </row>
    <row r="94" spans="2:2" x14ac:dyDescent="0.2">
      <c r="B94" s="1563"/>
    </row>
    <row r="95" spans="2:2" x14ac:dyDescent="0.2">
      <c r="B95" s="1563"/>
    </row>
    <row r="96" spans="2:2" x14ac:dyDescent="0.2">
      <c r="B96" s="1563"/>
    </row>
    <row r="97" spans="2:2" x14ac:dyDescent="0.2">
      <c r="B97" s="1563"/>
    </row>
    <row r="98" spans="2:2" x14ac:dyDescent="0.2">
      <c r="B98" s="1563"/>
    </row>
    <row r="99" spans="2:2" x14ac:dyDescent="0.2">
      <c r="B99" s="1563"/>
    </row>
    <row r="100" spans="2:2" x14ac:dyDescent="0.2">
      <c r="B100" s="1563"/>
    </row>
    <row r="101" spans="2:2" x14ac:dyDescent="0.2">
      <c r="B101" s="1563"/>
    </row>
    <row r="102" spans="2:2" x14ac:dyDescent="0.2">
      <c r="B102" s="1563"/>
    </row>
    <row r="103" spans="2:2" x14ac:dyDescent="0.2">
      <c r="B103" s="1563"/>
    </row>
    <row r="104" spans="2:2" x14ac:dyDescent="0.2">
      <c r="B104" s="1563"/>
    </row>
    <row r="105" spans="2:2" x14ac:dyDescent="0.2">
      <c r="B105" s="1563"/>
    </row>
    <row r="106" spans="2:2" x14ac:dyDescent="0.2">
      <c r="B106" s="1563"/>
    </row>
    <row r="107" spans="2:2" x14ac:dyDescent="0.2">
      <c r="B107" s="1563"/>
    </row>
    <row r="108" spans="2:2" x14ac:dyDescent="0.2">
      <c r="B108" s="1563"/>
    </row>
    <row r="109" spans="2:2" x14ac:dyDescent="0.2">
      <c r="B109" s="1563"/>
    </row>
    <row r="110" spans="2:2" x14ac:dyDescent="0.2">
      <c r="B110" s="1563"/>
    </row>
    <row r="111" spans="2:2" x14ac:dyDescent="0.2">
      <c r="B111" s="1563"/>
    </row>
    <row r="112" spans="2:2" x14ac:dyDescent="0.2">
      <c r="B112" s="1563"/>
    </row>
    <row r="113" spans="2:2" x14ac:dyDescent="0.2">
      <c r="B113" s="1563"/>
    </row>
    <row r="114" spans="2:2" x14ac:dyDescent="0.2">
      <c r="B114" s="1563"/>
    </row>
    <row r="115" spans="2:2" x14ac:dyDescent="0.2">
      <c r="B115" s="1563"/>
    </row>
    <row r="116" spans="2:2" x14ac:dyDescent="0.2">
      <c r="B116" s="1563"/>
    </row>
    <row r="117" spans="2:2" x14ac:dyDescent="0.2">
      <c r="B117" s="1563"/>
    </row>
    <row r="118" spans="2:2" x14ac:dyDescent="0.2">
      <c r="B118" s="1563"/>
    </row>
    <row r="119" spans="2:2" x14ac:dyDescent="0.2">
      <c r="B119" s="1563"/>
    </row>
    <row r="120" spans="2:2" x14ac:dyDescent="0.2">
      <c r="B120" s="1563"/>
    </row>
    <row r="121" spans="2:2" x14ac:dyDescent="0.2">
      <c r="B121" s="1563"/>
    </row>
    <row r="122" spans="2:2" x14ac:dyDescent="0.2">
      <c r="B122" s="1563"/>
    </row>
    <row r="123" spans="2:2" x14ac:dyDescent="0.2">
      <c r="B123" s="1563"/>
    </row>
    <row r="124" spans="2:2" x14ac:dyDescent="0.2">
      <c r="B124" s="1563"/>
    </row>
    <row r="125" spans="2:2" x14ac:dyDescent="0.2">
      <c r="B125" s="1563"/>
    </row>
    <row r="126" spans="2:2" x14ac:dyDescent="0.2">
      <c r="B126" s="1563"/>
    </row>
    <row r="127" spans="2:2" x14ac:dyDescent="0.2">
      <c r="B127" s="1563"/>
    </row>
    <row r="128" spans="2:2" x14ac:dyDescent="0.2">
      <c r="B128" s="1563"/>
    </row>
    <row r="129" spans="2:2" x14ac:dyDescent="0.2">
      <c r="B129" s="1563"/>
    </row>
    <row r="130" spans="2:2" x14ac:dyDescent="0.2">
      <c r="B130" s="1563"/>
    </row>
    <row r="131" spans="2:2" x14ac:dyDescent="0.2">
      <c r="B131" s="1563"/>
    </row>
    <row r="132" spans="2:2" x14ac:dyDescent="0.2">
      <c r="B132" s="1563"/>
    </row>
    <row r="133" spans="2:2" x14ac:dyDescent="0.2">
      <c r="B133" s="1563"/>
    </row>
    <row r="134" spans="2:2" x14ac:dyDescent="0.2">
      <c r="B134" s="1563"/>
    </row>
    <row r="135" spans="2:2" x14ac:dyDescent="0.2">
      <c r="B135" s="1563"/>
    </row>
    <row r="136" spans="2:2" x14ac:dyDescent="0.2">
      <c r="B136" s="1563"/>
    </row>
    <row r="137" spans="2:2" x14ac:dyDescent="0.2">
      <c r="B137" s="1563"/>
    </row>
    <row r="138" spans="2:2" x14ac:dyDescent="0.2">
      <c r="B138" s="1563"/>
    </row>
    <row r="139" spans="2:2" x14ac:dyDescent="0.2">
      <c r="B139" s="1563"/>
    </row>
    <row r="140" spans="2:2" x14ac:dyDescent="0.2">
      <c r="B140" s="1563"/>
    </row>
    <row r="141" spans="2:2" x14ac:dyDescent="0.2">
      <c r="B141" s="1563"/>
    </row>
    <row r="142" spans="2:2" x14ac:dyDescent="0.2">
      <c r="B142" s="1563"/>
    </row>
    <row r="143" spans="2:2" x14ac:dyDescent="0.2">
      <c r="B143" s="1563"/>
    </row>
    <row r="144" spans="2:2" x14ac:dyDescent="0.2">
      <c r="B144" s="1563"/>
    </row>
    <row r="145" spans="2:2" x14ac:dyDescent="0.2">
      <c r="B145" s="1563"/>
    </row>
    <row r="146" spans="2:2" x14ac:dyDescent="0.2">
      <c r="B146" s="1563"/>
    </row>
    <row r="147" spans="2:2" x14ac:dyDescent="0.2">
      <c r="B147" s="1563"/>
    </row>
    <row r="148" spans="2:2" x14ac:dyDescent="0.2">
      <c r="B148" s="1563"/>
    </row>
    <row r="149" spans="2:2" x14ac:dyDescent="0.2">
      <c r="B149" s="1563"/>
    </row>
    <row r="150" spans="2:2" x14ac:dyDescent="0.2">
      <c r="B150" s="1563"/>
    </row>
    <row r="151" spans="2:2" x14ac:dyDescent="0.2">
      <c r="B151" s="1563"/>
    </row>
    <row r="152" spans="2:2" x14ac:dyDescent="0.2">
      <c r="B152" s="1563"/>
    </row>
    <row r="153" spans="2:2" x14ac:dyDescent="0.2">
      <c r="B153" s="1563"/>
    </row>
    <row r="154" spans="2:2" x14ac:dyDescent="0.2">
      <c r="B154" s="1563"/>
    </row>
    <row r="155" spans="2:2" x14ac:dyDescent="0.2">
      <c r="B155" s="1563"/>
    </row>
    <row r="156" spans="2:2" x14ac:dyDescent="0.2">
      <c r="B156" s="1563"/>
    </row>
    <row r="157" spans="2:2" x14ac:dyDescent="0.2">
      <c r="B157" s="1563"/>
    </row>
    <row r="158" spans="2:2" x14ac:dyDescent="0.2">
      <c r="B158" s="1563"/>
    </row>
    <row r="159" spans="2:2" x14ac:dyDescent="0.2">
      <c r="B159" s="1563"/>
    </row>
    <row r="160" spans="2:2" x14ac:dyDescent="0.2">
      <c r="B160" s="1563"/>
    </row>
    <row r="161" spans="2:2" x14ac:dyDescent="0.2">
      <c r="B161" s="1563"/>
    </row>
    <row r="162" spans="2:2" x14ac:dyDescent="0.2">
      <c r="B162" s="1563"/>
    </row>
    <row r="163" spans="2:2" x14ac:dyDescent="0.2">
      <c r="B163" s="1563"/>
    </row>
    <row r="164" spans="2:2" x14ac:dyDescent="0.2">
      <c r="B164" s="1563"/>
    </row>
    <row r="165" spans="2:2" x14ac:dyDescent="0.2">
      <c r="B165" s="1563"/>
    </row>
    <row r="166" spans="2:2" x14ac:dyDescent="0.2">
      <c r="B166" s="1563"/>
    </row>
    <row r="167" spans="2:2" x14ac:dyDescent="0.2">
      <c r="B167" s="1563"/>
    </row>
    <row r="168" spans="2:2" x14ac:dyDescent="0.2">
      <c r="B168" s="1563"/>
    </row>
    <row r="169" spans="2:2" x14ac:dyDescent="0.2">
      <c r="B169" s="1563"/>
    </row>
    <row r="170" spans="2:2" x14ac:dyDescent="0.2">
      <c r="B170" s="1563"/>
    </row>
    <row r="171" spans="2:2" x14ac:dyDescent="0.2">
      <c r="B171" s="1563"/>
    </row>
    <row r="172" spans="2:2" x14ac:dyDescent="0.2">
      <c r="B172" s="1563"/>
    </row>
    <row r="173" spans="2:2" x14ac:dyDescent="0.2">
      <c r="B173" s="1563"/>
    </row>
    <row r="174" spans="2:2" x14ac:dyDescent="0.2">
      <c r="B174" s="1563"/>
    </row>
    <row r="175" spans="2:2" x14ac:dyDescent="0.2">
      <c r="B175" s="1563"/>
    </row>
    <row r="176" spans="2:2" x14ac:dyDescent="0.2">
      <c r="B176" s="1563"/>
    </row>
    <row r="177" spans="2:2" x14ac:dyDescent="0.2">
      <c r="B177" s="1563"/>
    </row>
    <row r="178" spans="2:2" x14ac:dyDescent="0.2">
      <c r="B178" s="1563"/>
    </row>
    <row r="179" spans="2:2" x14ac:dyDescent="0.2">
      <c r="B179" s="1563"/>
    </row>
    <row r="180" spans="2:2" x14ac:dyDescent="0.2">
      <c r="B180" s="1563"/>
    </row>
    <row r="181" spans="2:2" x14ac:dyDescent="0.2">
      <c r="B181" s="1563"/>
    </row>
    <row r="182" spans="2:2" x14ac:dyDescent="0.2">
      <c r="B182" s="1563"/>
    </row>
    <row r="183" spans="2:2" x14ac:dyDescent="0.2">
      <c r="B183" s="1563"/>
    </row>
    <row r="184" spans="2:2" x14ac:dyDescent="0.2">
      <c r="B184" s="1563"/>
    </row>
    <row r="185" spans="2:2" x14ac:dyDescent="0.2">
      <c r="B185" s="1563"/>
    </row>
    <row r="186" spans="2:2" x14ac:dyDescent="0.2">
      <c r="B186" s="1563"/>
    </row>
    <row r="187" spans="2:2" x14ac:dyDescent="0.2">
      <c r="B187" s="1563"/>
    </row>
    <row r="188" spans="2:2" x14ac:dyDescent="0.2">
      <c r="B188" s="1563"/>
    </row>
    <row r="189" spans="2:2" x14ac:dyDescent="0.2">
      <c r="B189" s="1563"/>
    </row>
    <row r="190" spans="2:2" x14ac:dyDescent="0.2">
      <c r="B190" s="1563"/>
    </row>
    <row r="191" spans="2:2" x14ac:dyDescent="0.2">
      <c r="B191" s="1563"/>
    </row>
    <row r="192" spans="2:2" x14ac:dyDescent="0.2">
      <c r="B192" s="1563"/>
    </row>
    <row r="193" spans="2:2" x14ac:dyDescent="0.2">
      <c r="B193" s="1563"/>
    </row>
    <row r="194" spans="2:2" x14ac:dyDescent="0.2">
      <c r="B194" s="1563"/>
    </row>
    <row r="195" spans="2:2" x14ac:dyDescent="0.2">
      <c r="B195" s="1563"/>
    </row>
    <row r="196" spans="2:2" x14ac:dyDescent="0.2">
      <c r="B196" s="1563"/>
    </row>
    <row r="197" spans="2:2" x14ac:dyDescent="0.2">
      <c r="B197" s="1563"/>
    </row>
    <row r="198" spans="2:2" x14ac:dyDescent="0.2">
      <c r="B198" s="1563"/>
    </row>
    <row r="199" spans="2:2" x14ac:dyDescent="0.2">
      <c r="B199" s="1563"/>
    </row>
    <row r="200" spans="2:2" x14ac:dyDescent="0.2">
      <c r="B200" s="1563"/>
    </row>
    <row r="201" spans="2:2" x14ac:dyDescent="0.2">
      <c r="B201" s="1563"/>
    </row>
    <row r="202" spans="2:2" x14ac:dyDescent="0.2">
      <c r="B202" s="1563"/>
    </row>
    <row r="203" spans="2:2" x14ac:dyDescent="0.2">
      <c r="B203" s="1563"/>
    </row>
    <row r="204" spans="2:2" x14ac:dyDescent="0.2">
      <c r="B204" s="1563"/>
    </row>
    <row r="205" spans="2:2" x14ac:dyDescent="0.2">
      <c r="B205" s="1563"/>
    </row>
    <row r="206" spans="2:2" x14ac:dyDescent="0.2">
      <c r="B206" s="1563"/>
    </row>
    <row r="207" spans="2:2" x14ac:dyDescent="0.2">
      <c r="B207" s="1563"/>
    </row>
    <row r="208" spans="2:2" x14ac:dyDescent="0.2">
      <c r="B208" s="1563"/>
    </row>
    <row r="209" spans="2:2" x14ac:dyDescent="0.2">
      <c r="B209" s="1563"/>
    </row>
    <row r="210" spans="2:2" x14ac:dyDescent="0.2">
      <c r="B210" s="1563"/>
    </row>
    <row r="211" spans="2:2" x14ac:dyDescent="0.2">
      <c r="B211" s="1563"/>
    </row>
    <row r="212" spans="2:2" x14ac:dyDescent="0.2">
      <c r="B212" s="1563"/>
    </row>
    <row r="213" spans="2:2" x14ac:dyDescent="0.2">
      <c r="B213" s="1563"/>
    </row>
    <row r="214" spans="2:2" x14ac:dyDescent="0.2">
      <c r="B214" s="1563"/>
    </row>
    <row r="215" spans="2:2" x14ac:dyDescent="0.2">
      <c r="B215" s="1563"/>
    </row>
    <row r="216" spans="2:2" x14ac:dyDescent="0.2">
      <c r="B216" s="1563"/>
    </row>
    <row r="217" spans="2:2" x14ac:dyDescent="0.2">
      <c r="B217" s="1563"/>
    </row>
    <row r="218" spans="2:2" x14ac:dyDescent="0.2">
      <c r="B218" s="1563"/>
    </row>
    <row r="219" spans="2:2" x14ac:dyDescent="0.2">
      <c r="B219" s="1563"/>
    </row>
  </sheetData>
  <dataConsolidate/>
  <mergeCells count="3">
    <mergeCell ref="C7:M7"/>
    <mergeCell ref="C5:M5"/>
    <mergeCell ref="C6:M6"/>
  </mergeCells>
  <phoneticPr fontId="0" type="noConversion"/>
  <pageMargins left="0.2" right="0.2" top="0.25" bottom="0.25" header="0" footer="0"/>
  <pageSetup scale="84" orientation="landscape" r:id="rId1"/>
  <rowBreaks count="1" manualBreakCount="1">
    <brk id="41" min="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7"/>
  <sheetViews>
    <sheetView topLeftCell="A8" zoomScaleNormal="100" workbookViewId="0">
      <selection activeCell="C35" sqref="C35"/>
    </sheetView>
  </sheetViews>
  <sheetFormatPr defaultRowHeight="12.75" x14ac:dyDescent="0.2"/>
  <cols>
    <col min="1" max="1" width="19.42578125" style="1025" customWidth="1"/>
    <col min="2" max="4" width="9" style="1025" bestFit="1" customWidth="1"/>
    <col min="5" max="5" width="8.85546875" style="1025" bestFit="1" customWidth="1"/>
    <col min="6" max="6" width="9.140625" style="1025"/>
    <col min="7" max="8" width="8.85546875" style="1025" bestFit="1" customWidth="1"/>
    <col min="9" max="9" width="9" style="1025" bestFit="1" customWidth="1"/>
    <col min="10" max="10" width="8.85546875" style="1025" bestFit="1" customWidth="1"/>
    <col min="11" max="11" width="9.140625" style="1025"/>
    <col min="12" max="13" width="9" style="1025" bestFit="1" customWidth="1"/>
    <col min="14" max="14" width="10.42578125" style="1025" bestFit="1" customWidth="1"/>
    <col min="15" max="15" width="10.28515625" style="1025" bestFit="1" customWidth="1"/>
    <col min="16" max="16" width="9.85546875" style="1025" bestFit="1" customWidth="1"/>
    <col min="17" max="17" width="11.140625" style="1025" bestFit="1" customWidth="1"/>
    <col min="18" max="18" width="11.5703125" style="1025" customWidth="1"/>
    <col min="19" max="19" width="14.42578125" style="1025" customWidth="1"/>
    <col min="20" max="20" width="11.42578125" style="1025" customWidth="1"/>
    <col min="21" max="21" width="12.28515625" style="1025" customWidth="1"/>
    <col min="22" max="256" width="9.140625" style="1025"/>
    <col min="257" max="257" width="19.42578125" style="1025" customWidth="1"/>
    <col min="258" max="260" width="9" style="1025" bestFit="1" customWidth="1"/>
    <col min="261" max="261" width="8.85546875" style="1025" bestFit="1" customWidth="1"/>
    <col min="262" max="262" width="9.140625" style="1025"/>
    <col min="263" max="264" width="8.85546875" style="1025" bestFit="1" customWidth="1"/>
    <col min="265" max="265" width="9" style="1025" bestFit="1" customWidth="1"/>
    <col min="266" max="266" width="8.85546875" style="1025" bestFit="1" customWidth="1"/>
    <col min="267" max="267" width="9.140625" style="1025"/>
    <col min="268" max="269" width="9" style="1025" bestFit="1" customWidth="1"/>
    <col min="270" max="270" width="10.42578125" style="1025" bestFit="1" customWidth="1"/>
    <col min="271" max="271" width="10.28515625" style="1025" bestFit="1" customWidth="1"/>
    <col min="272" max="272" width="9.85546875" style="1025" bestFit="1" customWidth="1"/>
    <col min="273" max="273" width="11.140625" style="1025" bestFit="1" customWidth="1"/>
    <col min="274" max="274" width="11.5703125" style="1025" customWidth="1"/>
    <col min="275" max="275" width="14.42578125" style="1025" customWidth="1"/>
    <col min="276" max="276" width="11.42578125" style="1025" customWidth="1"/>
    <col min="277" max="277" width="12.28515625" style="1025" customWidth="1"/>
    <col min="278" max="512" width="9.140625" style="1025"/>
    <col min="513" max="513" width="19.42578125" style="1025" customWidth="1"/>
    <col min="514" max="516" width="9" style="1025" bestFit="1" customWidth="1"/>
    <col min="517" max="517" width="8.85546875" style="1025" bestFit="1" customWidth="1"/>
    <col min="518" max="518" width="9.140625" style="1025"/>
    <col min="519" max="520" width="8.85546875" style="1025" bestFit="1" customWidth="1"/>
    <col min="521" max="521" width="9" style="1025" bestFit="1" customWidth="1"/>
    <col min="522" max="522" width="8.85546875" style="1025" bestFit="1" customWidth="1"/>
    <col min="523" max="523" width="9.140625" style="1025"/>
    <col min="524" max="525" width="9" style="1025" bestFit="1" customWidth="1"/>
    <col min="526" max="526" width="10.42578125" style="1025" bestFit="1" customWidth="1"/>
    <col min="527" max="527" width="10.28515625" style="1025" bestFit="1" customWidth="1"/>
    <col min="528" max="528" width="9.85546875" style="1025" bestFit="1" customWidth="1"/>
    <col min="529" max="529" width="11.140625" style="1025" bestFit="1" customWidth="1"/>
    <col min="530" max="530" width="11.5703125" style="1025" customWidth="1"/>
    <col min="531" max="531" width="14.42578125" style="1025" customWidth="1"/>
    <col min="532" max="532" width="11.42578125" style="1025" customWidth="1"/>
    <col min="533" max="533" width="12.28515625" style="1025" customWidth="1"/>
    <col min="534" max="768" width="9.140625" style="1025"/>
    <col min="769" max="769" width="19.42578125" style="1025" customWidth="1"/>
    <col min="770" max="772" width="9" style="1025" bestFit="1" customWidth="1"/>
    <col min="773" max="773" width="8.85546875" style="1025" bestFit="1" customWidth="1"/>
    <col min="774" max="774" width="9.140625" style="1025"/>
    <col min="775" max="776" width="8.85546875" style="1025" bestFit="1" customWidth="1"/>
    <col min="777" max="777" width="9" style="1025" bestFit="1" customWidth="1"/>
    <col min="778" max="778" width="8.85546875" style="1025" bestFit="1" customWidth="1"/>
    <col min="779" max="779" width="9.140625" style="1025"/>
    <col min="780" max="781" width="9" style="1025" bestFit="1" customWidth="1"/>
    <col min="782" max="782" width="10.42578125" style="1025" bestFit="1" customWidth="1"/>
    <col min="783" max="783" width="10.28515625" style="1025" bestFit="1" customWidth="1"/>
    <col min="784" max="784" width="9.85546875" style="1025" bestFit="1" customWidth="1"/>
    <col min="785" max="785" width="11.140625" style="1025" bestFit="1" customWidth="1"/>
    <col min="786" max="786" width="11.5703125" style="1025" customWidth="1"/>
    <col min="787" max="787" width="14.42578125" style="1025" customWidth="1"/>
    <col min="788" max="788" width="11.42578125" style="1025" customWidth="1"/>
    <col min="789" max="789" width="12.28515625" style="1025" customWidth="1"/>
    <col min="790" max="1024" width="9.140625" style="1025"/>
    <col min="1025" max="1025" width="19.42578125" style="1025" customWidth="1"/>
    <col min="1026" max="1028" width="9" style="1025" bestFit="1" customWidth="1"/>
    <col min="1029" max="1029" width="8.85546875" style="1025" bestFit="1" customWidth="1"/>
    <col min="1030" max="1030" width="9.140625" style="1025"/>
    <col min="1031" max="1032" width="8.85546875" style="1025" bestFit="1" customWidth="1"/>
    <col min="1033" max="1033" width="9" style="1025" bestFit="1" customWidth="1"/>
    <col min="1034" max="1034" width="8.85546875" style="1025" bestFit="1" customWidth="1"/>
    <col min="1035" max="1035" width="9.140625" style="1025"/>
    <col min="1036" max="1037" width="9" style="1025" bestFit="1" customWidth="1"/>
    <col min="1038" max="1038" width="10.42578125" style="1025" bestFit="1" customWidth="1"/>
    <col min="1039" max="1039" width="10.28515625" style="1025" bestFit="1" customWidth="1"/>
    <col min="1040" max="1040" width="9.85546875" style="1025" bestFit="1" customWidth="1"/>
    <col min="1041" max="1041" width="11.140625" style="1025" bestFit="1" customWidth="1"/>
    <col min="1042" max="1042" width="11.5703125" style="1025" customWidth="1"/>
    <col min="1043" max="1043" width="14.42578125" style="1025" customWidth="1"/>
    <col min="1044" max="1044" width="11.42578125" style="1025" customWidth="1"/>
    <col min="1045" max="1045" width="12.28515625" style="1025" customWidth="1"/>
    <col min="1046" max="1280" width="9.140625" style="1025"/>
    <col min="1281" max="1281" width="19.42578125" style="1025" customWidth="1"/>
    <col min="1282" max="1284" width="9" style="1025" bestFit="1" customWidth="1"/>
    <col min="1285" max="1285" width="8.85546875" style="1025" bestFit="1" customWidth="1"/>
    <col min="1286" max="1286" width="9.140625" style="1025"/>
    <col min="1287" max="1288" width="8.85546875" style="1025" bestFit="1" customWidth="1"/>
    <col min="1289" max="1289" width="9" style="1025" bestFit="1" customWidth="1"/>
    <col min="1290" max="1290" width="8.85546875" style="1025" bestFit="1" customWidth="1"/>
    <col min="1291" max="1291" width="9.140625" style="1025"/>
    <col min="1292" max="1293" width="9" style="1025" bestFit="1" customWidth="1"/>
    <col min="1294" max="1294" width="10.42578125" style="1025" bestFit="1" customWidth="1"/>
    <col min="1295" max="1295" width="10.28515625" style="1025" bestFit="1" customWidth="1"/>
    <col min="1296" max="1296" width="9.85546875" style="1025" bestFit="1" customWidth="1"/>
    <col min="1297" max="1297" width="11.140625" style="1025" bestFit="1" customWidth="1"/>
    <col min="1298" max="1298" width="11.5703125" style="1025" customWidth="1"/>
    <col min="1299" max="1299" width="14.42578125" style="1025" customWidth="1"/>
    <col min="1300" max="1300" width="11.42578125" style="1025" customWidth="1"/>
    <col min="1301" max="1301" width="12.28515625" style="1025" customWidth="1"/>
    <col min="1302" max="1536" width="9.140625" style="1025"/>
    <col min="1537" max="1537" width="19.42578125" style="1025" customWidth="1"/>
    <col min="1538" max="1540" width="9" style="1025" bestFit="1" customWidth="1"/>
    <col min="1541" max="1541" width="8.85546875" style="1025" bestFit="1" customWidth="1"/>
    <col min="1542" max="1542" width="9.140625" style="1025"/>
    <col min="1543" max="1544" width="8.85546875" style="1025" bestFit="1" customWidth="1"/>
    <col min="1545" max="1545" width="9" style="1025" bestFit="1" customWidth="1"/>
    <col min="1546" max="1546" width="8.85546875" style="1025" bestFit="1" customWidth="1"/>
    <col min="1547" max="1547" width="9.140625" style="1025"/>
    <col min="1548" max="1549" width="9" style="1025" bestFit="1" customWidth="1"/>
    <col min="1550" max="1550" width="10.42578125" style="1025" bestFit="1" customWidth="1"/>
    <col min="1551" max="1551" width="10.28515625" style="1025" bestFit="1" customWidth="1"/>
    <col min="1552" max="1552" width="9.85546875" style="1025" bestFit="1" customWidth="1"/>
    <col min="1553" max="1553" width="11.140625" style="1025" bestFit="1" customWidth="1"/>
    <col min="1554" max="1554" width="11.5703125" style="1025" customWidth="1"/>
    <col min="1555" max="1555" width="14.42578125" style="1025" customWidth="1"/>
    <col min="1556" max="1556" width="11.42578125" style="1025" customWidth="1"/>
    <col min="1557" max="1557" width="12.28515625" style="1025" customWidth="1"/>
    <col min="1558" max="1792" width="9.140625" style="1025"/>
    <col min="1793" max="1793" width="19.42578125" style="1025" customWidth="1"/>
    <col min="1794" max="1796" width="9" style="1025" bestFit="1" customWidth="1"/>
    <col min="1797" max="1797" width="8.85546875" style="1025" bestFit="1" customWidth="1"/>
    <col min="1798" max="1798" width="9.140625" style="1025"/>
    <col min="1799" max="1800" width="8.85546875" style="1025" bestFit="1" customWidth="1"/>
    <col min="1801" max="1801" width="9" style="1025" bestFit="1" customWidth="1"/>
    <col min="1802" max="1802" width="8.85546875" style="1025" bestFit="1" customWidth="1"/>
    <col min="1803" max="1803" width="9.140625" style="1025"/>
    <col min="1804" max="1805" width="9" style="1025" bestFit="1" customWidth="1"/>
    <col min="1806" max="1806" width="10.42578125" style="1025" bestFit="1" customWidth="1"/>
    <col min="1807" max="1807" width="10.28515625" style="1025" bestFit="1" customWidth="1"/>
    <col min="1808" max="1808" width="9.85546875" style="1025" bestFit="1" customWidth="1"/>
    <col min="1809" max="1809" width="11.140625" style="1025" bestFit="1" customWidth="1"/>
    <col min="1810" max="1810" width="11.5703125" style="1025" customWidth="1"/>
    <col min="1811" max="1811" width="14.42578125" style="1025" customWidth="1"/>
    <col min="1812" max="1812" width="11.42578125" style="1025" customWidth="1"/>
    <col min="1813" max="1813" width="12.28515625" style="1025" customWidth="1"/>
    <col min="1814" max="2048" width="9.140625" style="1025"/>
    <col min="2049" max="2049" width="19.42578125" style="1025" customWidth="1"/>
    <col min="2050" max="2052" width="9" style="1025" bestFit="1" customWidth="1"/>
    <col min="2053" max="2053" width="8.85546875" style="1025" bestFit="1" customWidth="1"/>
    <col min="2054" max="2054" width="9.140625" style="1025"/>
    <col min="2055" max="2056" width="8.85546875" style="1025" bestFit="1" customWidth="1"/>
    <col min="2057" max="2057" width="9" style="1025" bestFit="1" customWidth="1"/>
    <col min="2058" max="2058" width="8.85546875" style="1025" bestFit="1" customWidth="1"/>
    <col min="2059" max="2059" width="9.140625" style="1025"/>
    <col min="2060" max="2061" width="9" style="1025" bestFit="1" customWidth="1"/>
    <col min="2062" max="2062" width="10.42578125" style="1025" bestFit="1" customWidth="1"/>
    <col min="2063" max="2063" width="10.28515625" style="1025" bestFit="1" customWidth="1"/>
    <col min="2064" max="2064" width="9.85546875" style="1025" bestFit="1" customWidth="1"/>
    <col min="2065" max="2065" width="11.140625" style="1025" bestFit="1" customWidth="1"/>
    <col min="2066" max="2066" width="11.5703125" style="1025" customWidth="1"/>
    <col min="2067" max="2067" width="14.42578125" style="1025" customWidth="1"/>
    <col min="2068" max="2068" width="11.42578125" style="1025" customWidth="1"/>
    <col min="2069" max="2069" width="12.28515625" style="1025" customWidth="1"/>
    <col min="2070" max="2304" width="9.140625" style="1025"/>
    <col min="2305" max="2305" width="19.42578125" style="1025" customWidth="1"/>
    <col min="2306" max="2308" width="9" style="1025" bestFit="1" customWidth="1"/>
    <col min="2309" max="2309" width="8.85546875" style="1025" bestFit="1" customWidth="1"/>
    <col min="2310" max="2310" width="9.140625" style="1025"/>
    <col min="2311" max="2312" width="8.85546875" style="1025" bestFit="1" customWidth="1"/>
    <col min="2313" max="2313" width="9" style="1025" bestFit="1" customWidth="1"/>
    <col min="2314" max="2314" width="8.85546875" style="1025" bestFit="1" customWidth="1"/>
    <col min="2315" max="2315" width="9.140625" style="1025"/>
    <col min="2316" max="2317" width="9" style="1025" bestFit="1" customWidth="1"/>
    <col min="2318" max="2318" width="10.42578125" style="1025" bestFit="1" customWidth="1"/>
    <col min="2319" max="2319" width="10.28515625" style="1025" bestFit="1" customWidth="1"/>
    <col min="2320" max="2320" width="9.85546875" style="1025" bestFit="1" customWidth="1"/>
    <col min="2321" max="2321" width="11.140625" style="1025" bestFit="1" customWidth="1"/>
    <col min="2322" max="2322" width="11.5703125" style="1025" customWidth="1"/>
    <col min="2323" max="2323" width="14.42578125" style="1025" customWidth="1"/>
    <col min="2324" max="2324" width="11.42578125" style="1025" customWidth="1"/>
    <col min="2325" max="2325" width="12.28515625" style="1025" customWidth="1"/>
    <col min="2326" max="2560" width="9.140625" style="1025"/>
    <col min="2561" max="2561" width="19.42578125" style="1025" customWidth="1"/>
    <col min="2562" max="2564" width="9" style="1025" bestFit="1" customWidth="1"/>
    <col min="2565" max="2565" width="8.85546875" style="1025" bestFit="1" customWidth="1"/>
    <col min="2566" max="2566" width="9.140625" style="1025"/>
    <col min="2567" max="2568" width="8.85546875" style="1025" bestFit="1" customWidth="1"/>
    <col min="2569" max="2569" width="9" style="1025" bestFit="1" customWidth="1"/>
    <col min="2570" max="2570" width="8.85546875" style="1025" bestFit="1" customWidth="1"/>
    <col min="2571" max="2571" width="9.140625" style="1025"/>
    <col min="2572" max="2573" width="9" style="1025" bestFit="1" customWidth="1"/>
    <col min="2574" max="2574" width="10.42578125" style="1025" bestFit="1" customWidth="1"/>
    <col min="2575" max="2575" width="10.28515625" style="1025" bestFit="1" customWidth="1"/>
    <col min="2576" max="2576" width="9.85546875" style="1025" bestFit="1" customWidth="1"/>
    <col min="2577" max="2577" width="11.140625" style="1025" bestFit="1" customWidth="1"/>
    <col min="2578" max="2578" width="11.5703125" style="1025" customWidth="1"/>
    <col min="2579" max="2579" width="14.42578125" style="1025" customWidth="1"/>
    <col min="2580" max="2580" width="11.42578125" style="1025" customWidth="1"/>
    <col min="2581" max="2581" width="12.28515625" style="1025" customWidth="1"/>
    <col min="2582" max="2816" width="9.140625" style="1025"/>
    <col min="2817" max="2817" width="19.42578125" style="1025" customWidth="1"/>
    <col min="2818" max="2820" width="9" style="1025" bestFit="1" customWidth="1"/>
    <col min="2821" max="2821" width="8.85546875" style="1025" bestFit="1" customWidth="1"/>
    <col min="2822" max="2822" width="9.140625" style="1025"/>
    <col min="2823" max="2824" width="8.85546875" style="1025" bestFit="1" customWidth="1"/>
    <col min="2825" max="2825" width="9" style="1025" bestFit="1" customWidth="1"/>
    <col min="2826" max="2826" width="8.85546875" style="1025" bestFit="1" customWidth="1"/>
    <col min="2827" max="2827" width="9.140625" style="1025"/>
    <col min="2828" max="2829" width="9" style="1025" bestFit="1" customWidth="1"/>
    <col min="2830" max="2830" width="10.42578125" style="1025" bestFit="1" customWidth="1"/>
    <col min="2831" max="2831" width="10.28515625" style="1025" bestFit="1" customWidth="1"/>
    <col min="2832" max="2832" width="9.85546875" style="1025" bestFit="1" customWidth="1"/>
    <col min="2833" max="2833" width="11.140625" style="1025" bestFit="1" customWidth="1"/>
    <col min="2834" max="2834" width="11.5703125" style="1025" customWidth="1"/>
    <col min="2835" max="2835" width="14.42578125" style="1025" customWidth="1"/>
    <col min="2836" max="2836" width="11.42578125" style="1025" customWidth="1"/>
    <col min="2837" max="2837" width="12.28515625" style="1025" customWidth="1"/>
    <col min="2838" max="3072" width="9.140625" style="1025"/>
    <col min="3073" max="3073" width="19.42578125" style="1025" customWidth="1"/>
    <col min="3074" max="3076" width="9" style="1025" bestFit="1" customWidth="1"/>
    <col min="3077" max="3077" width="8.85546875" style="1025" bestFit="1" customWidth="1"/>
    <col min="3078" max="3078" width="9.140625" style="1025"/>
    <col min="3079" max="3080" width="8.85546875" style="1025" bestFit="1" customWidth="1"/>
    <col min="3081" max="3081" width="9" style="1025" bestFit="1" customWidth="1"/>
    <col min="3082" max="3082" width="8.85546875" style="1025" bestFit="1" customWidth="1"/>
    <col min="3083" max="3083" width="9.140625" style="1025"/>
    <col min="3084" max="3085" width="9" style="1025" bestFit="1" customWidth="1"/>
    <col min="3086" max="3086" width="10.42578125" style="1025" bestFit="1" customWidth="1"/>
    <col min="3087" max="3087" width="10.28515625" style="1025" bestFit="1" customWidth="1"/>
    <col min="3088" max="3088" width="9.85546875" style="1025" bestFit="1" customWidth="1"/>
    <col min="3089" max="3089" width="11.140625" style="1025" bestFit="1" customWidth="1"/>
    <col min="3090" max="3090" width="11.5703125" style="1025" customWidth="1"/>
    <col min="3091" max="3091" width="14.42578125" style="1025" customWidth="1"/>
    <col min="3092" max="3092" width="11.42578125" style="1025" customWidth="1"/>
    <col min="3093" max="3093" width="12.28515625" style="1025" customWidth="1"/>
    <col min="3094" max="3328" width="9.140625" style="1025"/>
    <col min="3329" max="3329" width="19.42578125" style="1025" customWidth="1"/>
    <col min="3330" max="3332" width="9" style="1025" bestFit="1" customWidth="1"/>
    <col min="3333" max="3333" width="8.85546875" style="1025" bestFit="1" customWidth="1"/>
    <col min="3334" max="3334" width="9.140625" style="1025"/>
    <col min="3335" max="3336" width="8.85546875" style="1025" bestFit="1" customWidth="1"/>
    <col min="3337" max="3337" width="9" style="1025" bestFit="1" customWidth="1"/>
    <col min="3338" max="3338" width="8.85546875" style="1025" bestFit="1" customWidth="1"/>
    <col min="3339" max="3339" width="9.140625" style="1025"/>
    <col min="3340" max="3341" width="9" style="1025" bestFit="1" customWidth="1"/>
    <col min="3342" max="3342" width="10.42578125" style="1025" bestFit="1" customWidth="1"/>
    <col min="3343" max="3343" width="10.28515625" style="1025" bestFit="1" customWidth="1"/>
    <col min="3344" max="3344" width="9.85546875" style="1025" bestFit="1" customWidth="1"/>
    <col min="3345" max="3345" width="11.140625" style="1025" bestFit="1" customWidth="1"/>
    <col min="3346" max="3346" width="11.5703125" style="1025" customWidth="1"/>
    <col min="3347" max="3347" width="14.42578125" style="1025" customWidth="1"/>
    <col min="3348" max="3348" width="11.42578125" style="1025" customWidth="1"/>
    <col min="3349" max="3349" width="12.28515625" style="1025" customWidth="1"/>
    <col min="3350" max="3584" width="9.140625" style="1025"/>
    <col min="3585" max="3585" width="19.42578125" style="1025" customWidth="1"/>
    <col min="3586" max="3588" width="9" style="1025" bestFit="1" customWidth="1"/>
    <col min="3589" max="3589" width="8.85546875" style="1025" bestFit="1" customWidth="1"/>
    <col min="3590" max="3590" width="9.140625" style="1025"/>
    <col min="3591" max="3592" width="8.85546875" style="1025" bestFit="1" customWidth="1"/>
    <col min="3593" max="3593" width="9" style="1025" bestFit="1" customWidth="1"/>
    <col min="3594" max="3594" width="8.85546875" style="1025" bestFit="1" customWidth="1"/>
    <col min="3595" max="3595" width="9.140625" style="1025"/>
    <col min="3596" max="3597" width="9" style="1025" bestFit="1" customWidth="1"/>
    <col min="3598" max="3598" width="10.42578125" style="1025" bestFit="1" customWidth="1"/>
    <col min="3599" max="3599" width="10.28515625" style="1025" bestFit="1" customWidth="1"/>
    <col min="3600" max="3600" width="9.85546875" style="1025" bestFit="1" customWidth="1"/>
    <col min="3601" max="3601" width="11.140625" style="1025" bestFit="1" customWidth="1"/>
    <col min="3602" max="3602" width="11.5703125" style="1025" customWidth="1"/>
    <col min="3603" max="3603" width="14.42578125" style="1025" customWidth="1"/>
    <col min="3604" max="3604" width="11.42578125" style="1025" customWidth="1"/>
    <col min="3605" max="3605" width="12.28515625" style="1025" customWidth="1"/>
    <col min="3606" max="3840" width="9.140625" style="1025"/>
    <col min="3841" max="3841" width="19.42578125" style="1025" customWidth="1"/>
    <col min="3842" max="3844" width="9" style="1025" bestFit="1" customWidth="1"/>
    <col min="3845" max="3845" width="8.85546875" style="1025" bestFit="1" customWidth="1"/>
    <col min="3846" max="3846" width="9.140625" style="1025"/>
    <col min="3847" max="3848" width="8.85546875" style="1025" bestFit="1" customWidth="1"/>
    <col min="3849" max="3849" width="9" style="1025" bestFit="1" customWidth="1"/>
    <col min="3850" max="3850" width="8.85546875" style="1025" bestFit="1" customWidth="1"/>
    <col min="3851" max="3851" width="9.140625" style="1025"/>
    <col min="3852" max="3853" width="9" style="1025" bestFit="1" customWidth="1"/>
    <col min="3854" max="3854" width="10.42578125" style="1025" bestFit="1" customWidth="1"/>
    <col min="3855" max="3855" width="10.28515625" style="1025" bestFit="1" customWidth="1"/>
    <col min="3856" max="3856" width="9.85546875" style="1025" bestFit="1" customWidth="1"/>
    <col min="3857" max="3857" width="11.140625" style="1025" bestFit="1" customWidth="1"/>
    <col min="3858" max="3858" width="11.5703125" style="1025" customWidth="1"/>
    <col min="3859" max="3859" width="14.42578125" style="1025" customWidth="1"/>
    <col min="3860" max="3860" width="11.42578125" style="1025" customWidth="1"/>
    <col min="3861" max="3861" width="12.28515625" style="1025" customWidth="1"/>
    <col min="3862" max="4096" width="9.140625" style="1025"/>
    <col min="4097" max="4097" width="19.42578125" style="1025" customWidth="1"/>
    <col min="4098" max="4100" width="9" style="1025" bestFit="1" customWidth="1"/>
    <col min="4101" max="4101" width="8.85546875" style="1025" bestFit="1" customWidth="1"/>
    <col min="4102" max="4102" width="9.140625" style="1025"/>
    <col min="4103" max="4104" width="8.85546875" style="1025" bestFit="1" customWidth="1"/>
    <col min="4105" max="4105" width="9" style="1025" bestFit="1" customWidth="1"/>
    <col min="4106" max="4106" width="8.85546875" style="1025" bestFit="1" customWidth="1"/>
    <col min="4107" max="4107" width="9.140625" style="1025"/>
    <col min="4108" max="4109" width="9" style="1025" bestFit="1" customWidth="1"/>
    <col min="4110" max="4110" width="10.42578125" style="1025" bestFit="1" customWidth="1"/>
    <col min="4111" max="4111" width="10.28515625" style="1025" bestFit="1" customWidth="1"/>
    <col min="4112" max="4112" width="9.85546875" style="1025" bestFit="1" customWidth="1"/>
    <col min="4113" max="4113" width="11.140625" style="1025" bestFit="1" customWidth="1"/>
    <col min="4114" max="4114" width="11.5703125" style="1025" customWidth="1"/>
    <col min="4115" max="4115" width="14.42578125" style="1025" customWidth="1"/>
    <col min="4116" max="4116" width="11.42578125" style="1025" customWidth="1"/>
    <col min="4117" max="4117" width="12.28515625" style="1025" customWidth="1"/>
    <col min="4118" max="4352" width="9.140625" style="1025"/>
    <col min="4353" max="4353" width="19.42578125" style="1025" customWidth="1"/>
    <col min="4354" max="4356" width="9" style="1025" bestFit="1" customWidth="1"/>
    <col min="4357" max="4357" width="8.85546875" style="1025" bestFit="1" customWidth="1"/>
    <col min="4358" max="4358" width="9.140625" style="1025"/>
    <col min="4359" max="4360" width="8.85546875" style="1025" bestFit="1" customWidth="1"/>
    <col min="4361" max="4361" width="9" style="1025" bestFit="1" customWidth="1"/>
    <col min="4362" max="4362" width="8.85546875" style="1025" bestFit="1" customWidth="1"/>
    <col min="4363" max="4363" width="9.140625" style="1025"/>
    <col min="4364" max="4365" width="9" style="1025" bestFit="1" customWidth="1"/>
    <col min="4366" max="4366" width="10.42578125" style="1025" bestFit="1" customWidth="1"/>
    <col min="4367" max="4367" width="10.28515625" style="1025" bestFit="1" customWidth="1"/>
    <col min="4368" max="4368" width="9.85546875" style="1025" bestFit="1" customWidth="1"/>
    <col min="4369" max="4369" width="11.140625" style="1025" bestFit="1" customWidth="1"/>
    <col min="4370" max="4370" width="11.5703125" style="1025" customWidth="1"/>
    <col min="4371" max="4371" width="14.42578125" style="1025" customWidth="1"/>
    <col min="4372" max="4372" width="11.42578125" style="1025" customWidth="1"/>
    <col min="4373" max="4373" width="12.28515625" style="1025" customWidth="1"/>
    <col min="4374" max="4608" width="9.140625" style="1025"/>
    <col min="4609" max="4609" width="19.42578125" style="1025" customWidth="1"/>
    <col min="4610" max="4612" width="9" style="1025" bestFit="1" customWidth="1"/>
    <col min="4613" max="4613" width="8.85546875" style="1025" bestFit="1" customWidth="1"/>
    <col min="4614" max="4614" width="9.140625" style="1025"/>
    <col min="4615" max="4616" width="8.85546875" style="1025" bestFit="1" customWidth="1"/>
    <col min="4617" max="4617" width="9" style="1025" bestFit="1" customWidth="1"/>
    <col min="4618" max="4618" width="8.85546875" style="1025" bestFit="1" customWidth="1"/>
    <col min="4619" max="4619" width="9.140625" style="1025"/>
    <col min="4620" max="4621" width="9" style="1025" bestFit="1" customWidth="1"/>
    <col min="4622" max="4622" width="10.42578125" style="1025" bestFit="1" customWidth="1"/>
    <col min="4623" max="4623" width="10.28515625" style="1025" bestFit="1" customWidth="1"/>
    <col min="4624" max="4624" width="9.85546875" style="1025" bestFit="1" customWidth="1"/>
    <col min="4625" max="4625" width="11.140625" style="1025" bestFit="1" customWidth="1"/>
    <col min="4626" max="4626" width="11.5703125" style="1025" customWidth="1"/>
    <col min="4627" max="4627" width="14.42578125" style="1025" customWidth="1"/>
    <col min="4628" max="4628" width="11.42578125" style="1025" customWidth="1"/>
    <col min="4629" max="4629" width="12.28515625" style="1025" customWidth="1"/>
    <col min="4630" max="4864" width="9.140625" style="1025"/>
    <col min="4865" max="4865" width="19.42578125" style="1025" customWidth="1"/>
    <col min="4866" max="4868" width="9" style="1025" bestFit="1" customWidth="1"/>
    <col min="4869" max="4869" width="8.85546875" style="1025" bestFit="1" customWidth="1"/>
    <col min="4870" max="4870" width="9.140625" style="1025"/>
    <col min="4871" max="4872" width="8.85546875" style="1025" bestFit="1" customWidth="1"/>
    <col min="4873" max="4873" width="9" style="1025" bestFit="1" customWidth="1"/>
    <col min="4874" max="4874" width="8.85546875" style="1025" bestFit="1" customWidth="1"/>
    <col min="4875" max="4875" width="9.140625" style="1025"/>
    <col min="4876" max="4877" width="9" style="1025" bestFit="1" customWidth="1"/>
    <col min="4878" max="4878" width="10.42578125" style="1025" bestFit="1" customWidth="1"/>
    <col min="4879" max="4879" width="10.28515625" style="1025" bestFit="1" customWidth="1"/>
    <col min="4880" max="4880" width="9.85546875" style="1025" bestFit="1" customWidth="1"/>
    <col min="4881" max="4881" width="11.140625" style="1025" bestFit="1" customWidth="1"/>
    <col min="4882" max="4882" width="11.5703125" style="1025" customWidth="1"/>
    <col min="4883" max="4883" width="14.42578125" style="1025" customWidth="1"/>
    <col min="4884" max="4884" width="11.42578125" style="1025" customWidth="1"/>
    <col min="4885" max="4885" width="12.28515625" style="1025" customWidth="1"/>
    <col min="4886" max="5120" width="9.140625" style="1025"/>
    <col min="5121" max="5121" width="19.42578125" style="1025" customWidth="1"/>
    <col min="5122" max="5124" width="9" style="1025" bestFit="1" customWidth="1"/>
    <col min="5125" max="5125" width="8.85546875" style="1025" bestFit="1" customWidth="1"/>
    <col min="5126" max="5126" width="9.140625" style="1025"/>
    <col min="5127" max="5128" width="8.85546875" style="1025" bestFit="1" customWidth="1"/>
    <col min="5129" max="5129" width="9" style="1025" bestFit="1" customWidth="1"/>
    <col min="5130" max="5130" width="8.85546875" style="1025" bestFit="1" customWidth="1"/>
    <col min="5131" max="5131" width="9.140625" style="1025"/>
    <col min="5132" max="5133" width="9" style="1025" bestFit="1" customWidth="1"/>
    <col min="5134" max="5134" width="10.42578125" style="1025" bestFit="1" customWidth="1"/>
    <col min="5135" max="5135" width="10.28515625" style="1025" bestFit="1" customWidth="1"/>
    <col min="5136" max="5136" width="9.85546875" style="1025" bestFit="1" customWidth="1"/>
    <col min="5137" max="5137" width="11.140625" style="1025" bestFit="1" customWidth="1"/>
    <col min="5138" max="5138" width="11.5703125" style="1025" customWidth="1"/>
    <col min="5139" max="5139" width="14.42578125" style="1025" customWidth="1"/>
    <col min="5140" max="5140" width="11.42578125" style="1025" customWidth="1"/>
    <col min="5141" max="5141" width="12.28515625" style="1025" customWidth="1"/>
    <col min="5142" max="5376" width="9.140625" style="1025"/>
    <col min="5377" max="5377" width="19.42578125" style="1025" customWidth="1"/>
    <col min="5378" max="5380" width="9" style="1025" bestFit="1" customWidth="1"/>
    <col min="5381" max="5381" width="8.85546875" style="1025" bestFit="1" customWidth="1"/>
    <col min="5382" max="5382" width="9.140625" style="1025"/>
    <col min="5383" max="5384" width="8.85546875" style="1025" bestFit="1" customWidth="1"/>
    <col min="5385" max="5385" width="9" style="1025" bestFit="1" customWidth="1"/>
    <col min="5386" max="5386" width="8.85546875" style="1025" bestFit="1" customWidth="1"/>
    <col min="5387" max="5387" width="9.140625" style="1025"/>
    <col min="5388" max="5389" width="9" style="1025" bestFit="1" customWidth="1"/>
    <col min="5390" max="5390" width="10.42578125" style="1025" bestFit="1" customWidth="1"/>
    <col min="5391" max="5391" width="10.28515625" style="1025" bestFit="1" customWidth="1"/>
    <col min="5392" max="5392" width="9.85546875" style="1025" bestFit="1" customWidth="1"/>
    <col min="5393" max="5393" width="11.140625" style="1025" bestFit="1" customWidth="1"/>
    <col min="5394" max="5394" width="11.5703125" style="1025" customWidth="1"/>
    <col min="5395" max="5395" width="14.42578125" style="1025" customWidth="1"/>
    <col min="5396" max="5396" width="11.42578125" style="1025" customWidth="1"/>
    <col min="5397" max="5397" width="12.28515625" style="1025" customWidth="1"/>
    <col min="5398" max="5632" width="9.140625" style="1025"/>
    <col min="5633" max="5633" width="19.42578125" style="1025" customWidth="1"/>
    <col min="5634" max="5636" width="9" style="1025" bestFit="1" customWidth="1"/>
    <col min="5637" max="5637" width="8.85546875" style="1025" bestFit="1" customWidth="1"/>
    <col min="5638" max="5638" width="9.140625" style="1025"/>
    <col min="5639" max="5640" width="8.85546875" style="1025" bestFit="1" customWidth="1"/>
    <col min="5641" max="5641" width="9" style="1025" bestFit="1" customWidth="1"/>
    <col min="5642" max="5642" width="8.85546875" style="1025" bestFit="1" customWidth="1"/>
    <col min="5643" max="5643" width="9.140625" style="1025"/>
    <col min="5644" max="5645" width="9" style="1025" bestFit="1" customWidth="1"/>
    <col min="5646" max="5646" width="10.42578125" style="1025" bestFit="1" customWidth="1"/>
    <col min="5647" max="5647" width="10.28515625" style="1025" bestFit="1" customWidth="1"/>
    <col min="5648" max="5648" width="9.85546875" style="1025" bestFit="1" customWidth="1"/>
    <col min="5649" max="5649" width="11.140625" style="1025" bestFit="1" customWidth="1"/>
    <col min="5650" max="5650" width="11.5703125" style="1025" customWidth="1"/>
    <col min="5651" max="5651" width="14.42578125" style="1025" customWidth="1"/>
    <col min="5652" max="5652" width="11.42578125" style="1025" customWidth="1"/>
    <col min="5653" max="5653" width="12.28515625" style="1025" customWidth="1"/>
    <col min="5654" max="5888" width="9.140625" style="1025"/>
    <col min="5889" max="5889" width="19.42578125" style="1025" customWidth="1"/>
    <col min="5890" max="5892" width="9" style="1025" bestFit="1" customWidth="1"/>
    <col min="5893" max="5893" width="8.85546875" style="1025" bestFit="1" customWidth="1"/>
    <col min="5894" max="5894" width="9.140625" style="1025"/>
    <col min="5895" max="5896" width="8.85546875" style="1025" bestFit="1" customWidth="1"/>
    <col min="5897" max="5897" width="9" style="1025" bestFit="1" customWidth="1"/>
    <col min="5898" max="5898" width="8.85546875" style="1025" bestFit="1" customWidth="1"/>
    <col min="5899" max="5899" width="9.140625" style="1025"/>
    <col min="5900" max="5901" width="9" style="1025" bestFit="1" customWidth="1"/>
    <col min="5902" max="5902" width="10.42578125" style="1025" bestFit="1" customWidth="1"/>
    <col min="5903" max="5903" width="10.28515625" style="1025" bestFit="1" customWidth="1"/>
    <col min="5904" max="5904" width="9.85546875" style="1025" bestFit="1" customWidth="1"/>
    <col min="5905" max="5905" width="11.140625" style="1025" bestFit="1" customWidth="1"/>
    <col min="5906" max="5906" width="11.5703125" style="1025" customWidth="1"/>
    <col min="5907" max="5907" width="14.42578125" style="1025" customWidth="1"/>
    <col min="5908" max="5908" width="11.42578125" style="1025" customWidth="1"/>
    <col min="5909" max="5909" width="12.28515625" style="1025" customWidth="1"/>
    <col min="5910" max="6144" width="9.140625" style="1025"/>
    <col min="6145" max="6145" width="19.42578125" style="1025" customWidth="1"/>
    <col min="6146" max="6148" width="9" style="1025" bestFit="1" customWidth="1"/>
    <col min="6149" max="6149" width="8.85546875" style="1025" bestFit="1" customWidth="1"/>
    <col min="6150" max="6150" width="9.140625" style="1025"/>
    <col min="6151" max="6152" width="8.85546875" style="1025" bestFit="1" customWidth="1"/>
    <col min="6153" max="6153" width="9" style="1025" bestFit="1" customWidth="1"/>
    <col min="6154" max="6154" width="8.85546875" style="1025" bestFit="1" customWidth="1"/>
    <col min="6155" max="6155" width="9.140625" style="1025"/>
    <col min="6156" max="6157" width="9" style="1025" bestFit="1" customWidth="1"/>
    <col min="6158" max="6158" width="10.42578125" style="1025" bestFit="1" customWidth="1"/>
    <col min="6159" max="6159" width="10.28515625" style="1025" bestFit="1" customWidth="1"/>
    <col min="6160" max="6160" width="9.85546875" style="1025" bestFit="1" customWidth="1"/>
    <col min="6161" max="6161" width="11.140625" style="1025" bestFit="1" customWidth="1"/>
    <col min="6162" max="6162" width="11.5703125" style="1025" customWidth="1"/>
    <col min="6163" max="6163" width="14.42578125" style="1025" customWidth="1"/>
    <col min="6164" max="6164" width="11.42578125" style="1025" customWidth="1"/>
    <col min="6165" max="6165" width="12.28515625" style="1025" customWidth="1"/>
    <col min="6166" max="6400" width="9.140625" style="1025"/>
    <col min="6401" max="6401" width="19.42578125" style="1025" customWidth="1"/>
    <col min="6402" max="6404" width="9" style="1025" bestFit="1" customWidth="1"/>
    <col min="6405" max="6405" width="8.85546875" style="1025" bestFit="1" customWidth="1"/>
    <col min="6406" max="6406" width="9.140625" style="1025"/>
    <col min="6407" max="6408" width="8.85546875" style="1025" bestFit="1" customWidth="1"/>
    <col min="6409" max="6409" width="9" style="1025" bestFit="1" customWidth="1"/>
    <col min="6410" max="6410" width="8.85546875" style="1025" bestFit="1" customWidth="1"/>
    <col min="6411" max="6411" width="9.140625" style="1025"/>
    <col min="6412" max="6413" width="9" style="1025" bestFit="1" customWidth="1"/>
    <col min="6414" max="6414" width="10.42578125" style="1025" bestFit="1" customWidth="1"/>
    <col min="6415" max="6415" width="10.28515625" style="1025" bestFit="1" customWidth="1"/>
    <col min="6416" max="6416" width="9.85546875" style="1025" bestFit="1" customWidth="1"/>
    <col min="6417" max="6417" width="11.140625" style="1025" bestFit="1" customWidth="1"/>
    <col min="6418" max="6418" width="11.5703125" style="1025" customWidth="1"/>
    <col min="6419" max="6419" width="14.42578125" style="1025" customWidth="1"/>
    <col min="6420" max="6420" width="11.42578125" style="1025" customWidth="1"/>
    <col min="6421" max="6421" width="12.28515625" style="1025" customWidth="1"/>
    <col min="6422" max="6656" width="9.140625" style="1025"/>
    <col min="6657" max="6657" width="19.42578125" style="1025" customWidth="1"/>
    <col min="6658" max="6660" width="9" style="1025" bestFit="1" customWidth="1"/>
    <col min="6661" max="6661" width="8.85546875" style="1025" bestFit="1" customWidth="1"/>
    <col min="6662" max="6662" width="9.140625" style="1025"/>
    <col min="6663" max="6664" width="8.85546875" style="1025" bestFit="1" customWidth="1"/>
    <col min="6665" max="6665" width="9" style="1025" bestFit="1" customWidth="1"/>
    <col min="6666" max="6666" width="8.85546875" style="1025" bestFit="1" customWidth="1"/>
    <col min="6667" max="6667" width="9.140625" style="1025"/>
    <col min="6668" max="6669" width="9" style="1025" bestFit="1" customWidth="1"/>
    <col min="6670" max="6670" width="10.42578125" style="1025" bestFit="1" customWidth="1"/>
    <col min="6671" max="6671" width="10.28515625" style="1025" bestFit="1" customWidth="1"/>
    <col min="6672" max="6672" width="9.85546875" style="1025" bestFit="1" customWidth="1"/>
    <col min="6673" max="6673" width="11.140625" style="1025" bestFit="1" customWidth="1"/>
    <col min="6674" max="6674" width="11.5703125" style="1025" customWidth="1"/>
    <col min="6675" max="6675" width="14.42578125" style="1025" customWidth="1"/>
    <col min="6676" max="6676" width="11.42578125" style="1025" customWidth="1"/>
    <col min="6677" max="6677" width="12.28515625" style="1025" customWidth="1"/>
    <col min="6678" max="6912" width="9.140625" style="1025"/>
    <col min="6913" max="6913" width="19.42578125" style="1025" customWidth="1"/>
    <col min="6914" max="6916" width="9" style="1025" bestFit="1" customWidth="1"/>
    <col min="6917" max="6917" width="8.85546875" style="1025" bestFit="1" customWidth="1"/>
    <col min="6918" max="6918" width="9.140625" style="1025"/>
    <col min="6919" max="6920" width="8.85546875" style="1025" bestFit="1" customWidth="1"/>
    <col min="6921" max="6921" width="9" style="1025" bestFit="1" customWidth="1"/>
    <col min="6922" max="6922" width="8.85546875" style="1025" bestFit="1" customWidth="1"/>
    <col min="6923" max="6923" width="9.140625" style="1025"/>
    <col min="6924" max="6925" width="9" style="1025" bestFit="1" customWidth="1"/>
    <col min="6926" max="6926" width="10.42578125" style="1025" bestFit="1" customWidth="1"/>
    <col min="6927" max="6927" width="10.28515625" style="1025" bestFit="1" customWidth="1"/>
    <col min="6928" max="6928" width="9.85546875" style="1025" bestFit="1" customWidth="1"/>
    <col min="6929" max="6929" width="11.140625" style="1025" bestFit="1" customWidth="1"/>
    <col min="6930" max="6930" width="11.5703125" style="1025" customWidth="1"/>
    <col min="6931" max="6931" width="14.42578125" style="1025" customWidth="1"/>
    <col min="6932" max="6932" width="11.42578125" style="1025" customWidth="1"/>
    <col min="6933" max="6933" width="12.28515625" style="1025" customWidth="1"/>
    <col min="6934" max="7168" width="9.140625" style="1025"/>
    <col min="7169" max="7169" width="19.42578125" style="1025" customWidth="1"/>
    <col min="7170" max="7172" width="9" style="1025" bestFit="1" customWidth="1"/>
    <col min="7173" max="7173" width="8.85546875" style="1025" bestFit="1" customWidth="1"/>
    <col min="7174" max="7174" width="9.140625" style="1025"/>
    <col min="7175" max="7176" width="8.85546875" style="1025" bestFit="1" customWidth="1"/>
    <col min="7177" max="7177" width="9" style="1025" bestFit="1" customWidth="1"/>
    <col min="7178" max="7178" width="8.85546875" style="1025" bestFit="1" customWidth="1"/>
    <col min="7179" max="7179" width="9.140625" style="1025"/>
    <col min="7180" max="7181" width="9" style="1025" bestFit="1" customWidth="1"/>
    <col min="7182" max="7182" width="10.42578125" style="1025" bestFit="1" customWidth="1"/>
    <col min="7183" max="7183" width="10.28515625" style="1025" bestFit="1" customWidth="1"/>
    <col min="7184" max="7184" width="9.85546875" style="1025" bestFit="1" customWidth="1"/>
    <col min="7185" max="7185" width="11.140625" style="1025" bestFit="1" customWidth="1"/>
    <col min="7186" max="7186" width="11.5703125" style="1025" customWidth="1"/>
    <col min="7187" max="7187" width="14.42578125" style="1025" customWidth="1"/>
    <col min="7188" max="7188" width="11.42578125" style="1025" customWidth="1"/>
    <col min="7189" max="7189" width="12.28515625" style="1025" customWidth="1"/>
    <col min="7190" max="7424" width="9.140625" style="1025"/>
    <col min="7425" max="7425" width="19.42578125" style="1025" customWidth="1"/>
    <col min="7426" max="7428" width="9" style="1025" bestFit="1" customWidth="1"/>
    <col min="7429" max="7429" width="8.85546875" style="1025" bestFit="1" customWidth="1"/>
    <col min="7430" max="7430" width="9.140625" style="1025"/>
    <col min="7431" max="7432" width="8.85546875" style="1025" bestFit="1" customWidth="1"/>
    <col min="7433" max="7433" width="9" style="1025" bestFit="1" customWidth="1"/>
    <col min="7434" max="7434" width="8.85546875" style="1025" bestFit="1" customWidth="1"/>
    <col min="7435" max="7435" width="9.140625" style="1025"/>
    <col min="7436" max="7437" width="9" style="1025" bestFit="1" customWidth="1"/>
    <col min="7438" max="7438" width="10.42578125" style="1025" bestFit="1" customWidth="1"/>
    <col min="7439" max="7439" width="10.28515625" style="1025" bestFit="1" customWidth="1"/>
    <col min="7440" max="7440" width="9.85546875" style="1025" bestFit="1" customWidth="1"/>
    <col min="7441" max="7441" width="11.140625" style="1025" bestFit="1" customWidth="1"/>
    <col min="7442" max="7442" width="11.5703125" style="1025" customWidth="1"/>
    <col min="7443" max="7443" width="14.42578125" style="1025" customWidth="1"/>
    <col min="7444" max="7444" width="11.42578125" style="1025" customWidth="1"/>
    <col min="7445" max="7445" width="12.28515625" style="1025" customWidth="1"/>
    <col min="7446" max="7680" width="9.140625" style="1025"/>
    <col min="7681" max="7681" width="19.42578125" style="1025" customWidth="1"/>
    <col min="7682" max="7684" width="9" style="1025" bestFit="1" customWidth="1"/>
    <col min="7685" max="7685" width="8.85546875" style="1025" bestFit="1" customWidth="1"/>
    <col min="7686" max="7686" width="9.140625" style="1025"/>
    <col min="7687" max="7688" width="8.85546875" style="1025" bestFit="1" customWidth="1"/>
    <col min="7689" max="7689" width="9" style="1025" bestFit="1" customWidth="1"/>
    <col min="7690" max="7690" width="8.85546875" style="1025" bestFit="1" customWidth="1"/>
    <col min="7691" max="7691" width="9.140625" style="1025"/>
    <col min="7692" max="7693" width="9" style="1025" bestFit="1" customWidth="1"/>
    <col min="7694" max="7694" width="10.42578125" style="1025" bestFit="1" customWidth="1"/>
    <col min="7695" max="7695" width="10.28515625" style="1025" bestFit="1" customWidth="1"/>
    <col min="7696" max="7696" width="9.85546875" style="1025" bestFit="1" customWidth="1"/>
    <col min="7697" max="7697" width="11.140625" style="1025" bestFit="1" customWidth="1"/>
    <col min="7698" max="7698" width="11.5703125" style="1025" customWidth="1"/>
    <col min="7699" max="7699" width="14.42578125" style="1025" customWidth="1"/>
    <col min="7700" max="7700" width="11.42578125" style="1025" customWidth="1"/>
    <col min="7701" max="7701" width="12.28515625" style="1025" customWidth="1"/>
    <col min="7702" max="7936" width="9.140625" style="1025"/>
    <col min="7937" max="7937" width="19.42578125" style="1025" customWidth="1"/>
    <col min="7938" max="7940" width="9" style="1025" bestFit="1" customWidth="1"/>
    <col min="7941" max="7941" width="8.85546875" style="1025" bestFit="1" customWidth="1"/>
    <col min="7942" max="7942" width="9.140625" style="1025"/>
    <col min="7943" max="7944" width="8.85546875" style="1025" bestFit="1" customWidth="1"/>
    <col min="7945" max="7945" width="9" style="1025" bestFit="1" customWidth="1"/>
    <col min="7946" max="7946" width="8.85546875" style="1025" bestFit="1" customWidth="1"/>
    <col min="7947" max="7947" width="9.140625" style="1025"/>
    <col min="7948" max="7949" width="9" style="1025" bestFit="1" customWidth="1"/>
    <col min="7950" max="7950" width="10.42578125" style="1025" bestFit="1" customWidth="1"/>
    <col min="7951" max="7951" width="10.28515625" style="1025" bestFit="1" customWidth="1"/>
    <col min="7952" max="7952" width="9.85546875" style="1025" bestFit="1" customWidth="1"/>
    <col min="7953" max="7953" width="11.140625" style="1025" bestFit="1" customWidth="1"/>
    <col min="7954" max="7954" width="11.5703125" style="1025" customWidth="1"/>
    <col min="7955" max="7955" width="14.42578125" style="1025" customWidth="1"/>
    <col min="7956" max="7956" width="11.42578125" style="1025" customWidth="1"/>
    <col min="7957" max="7957" width="12.28515625" style="1025" customWidth="1"/>
    <col min="7958" max="8192" width="9.140625" style="1025"/>
    <col min="8193" max="8193" width="19.42578125" style="1025" customWidth="1"/>
    <col min="8194" max="8196" width="9" style="1025" bestFit="1" customWidth="1"/>
    <col min="8197" max="8197" width="8.85546875" style="1025" bestFit="1" customWidth="1"/>
    <col min="8198" max="8198" width="9.140625" style="1025"/>
    <col min="8199" max="8200" width="8.85546875" style="1025" bestFit="1" customWidth="1"/>
    <col min="8201" max="8201" width="9" style="1025" bestFit="1" customWidth="1"/>
    <col min="8202" max="8202" width="8.85546875" style="1025" bestFit="1" customWidth="1"/>
    <col min="8203" max="8203" width="9.140625" style="1025"/>
    <col min="8204" max="8205" width="9" style="1025" bestFit="1" customWidth="1"/>
    <col min="8206" max="8206" width="10.42578125" style="1025" bestFit="1" customWidth="1"/>
    <col min="8207" max="8207" width="10.28515625" style="1025" bestFit="1" customWidth="1"/>
    <col min="8208" max="8208" width="9.85546875" style="1025" bestFit="1" customWidth="1"/>
    <col min="8209" max="8209" width="11.140625" style="1025" bestFit="1" customWidth="1"/>
    <col min="8210" max="8210" width="11.5703125" style="1025" customWidth="1"/>
    <col min="8211" max="8211" width="14.42578125" style="1025" customWidth="1"/>
    <col min="8212" max="8212" width="11.42578125" style="1025" customWidth="1"/>
    <col min="8213" max="8213" width="12.28515625" style="1025" customWidth="1"/>
    <col min="8214" max="8448" width="9.140625" style="1025"/>
    <col min="8449" max="8449" width="19.42578125" style="1025" customWidth="1"/>
    <col min="8450" max="8452" width="9" style="1025" bestFit="1" customWidth="1"/>
    <col min="8453" max="8453" width="8.85546875" style="1025" bestFit="1" customWidth="1"/>
    <col min="8454" max="8454" width="9.140625" style="1025"/>
    <col min="8455" max="8456" width="8.85546875" style="1025" bestFit="1" customWidth="1"/>
    <col min="8457" max="8457" width="9" style="1025" bestFit="1" customWidth="1"/>
    <col min="8458" max="8458" width="8.85546875" style="1025" bestFit="1" customWidth="1"/>
    <col min="8459" max="8459" width="9.140625" style="1025"/>
    <col min="8460" max="8461" width="9" style="1025" bestFit="1" customWidth="1"/>
    <col min="8462" max="8462" width="10.42578125" style="1025" bestFit="1" customWidth="1"/>
    <col min="8463" max="8463" width="10.28515625" style="1025" bestFit="1" customWidth="1"/>
    <col min="8464" max="8464" width="9.85546875" style="1025" bestFit="1" customWidth="1"/>
    <col min="8465" max="8465" width="11.140625" style="1025" bestFit="1" customWidth="1"/>
    <col min="8466" max="8466" width="11.5703125" style="1025" customWidth="1"/>
    <col min="8467" max="8467" width="14.42578125" style="1025" customWidth="1"/>
    <col min="8468" max="8468" width="11.42578125" style="1025" customWidth="1"/>
    <col min="8469" max="8469" width="12.28515625" style="1025" customWidth="1"/>
    <col min="8470" max="8704" width="9.140625" style="1025"/>
    <col min="8705" max="8705" width="19.42578125" style="1025" customWidth="1"/>
    <col min="8706" max="8708" width="9" style="1025" bestFit="1" customWidth="1"/>
    <col min="8709" max="8709" width="8.85546875" style="1025" bestFit="1" customWidth="1"/>
    <col min="8710" max="8710" width="9.140625" style="1025"/>
    <col min="8711" max="8712" width="8.85546875" style="1025" bestFit="1" customWidth="1"/>
    <col min="8713" max="8713" width="9" style="1025" bestFit="1" customWidth="1"/>
    <col min="8714" max="8714" width="8.85546875" style="1025" bestFit="1" customWidth="1"/>
    <col min="8715" max="8715" width="9.140625" style="1025"/>
    <col min="8716" max="8717" width="9" style="1025" bestFit="1" customWidth="1"/>
    <col min="8718" max="8718" width="10.42578125" style="1025" bestFit="1" customWidth="1"/>
    <col min="8719" max="8719" width="10.28515625" style="1025" bestFit="1" customWidth="1"/>
    <col min="8720" max="8720" width="9.85546875" style="1025" bestFit="1" customWidth="1"/>
    <col min="8721" max="8721" width="11.140625" style="1025" bestFit="1" customWidth="1"/>
    <col min="8722" max="8722" width="11.5703125" style="1025" customWidth="1"/>
    <col min="8723" max="8723" width="14.42578125" style="1025" customWidth="1"/>
    <col min="8724" max="8724" width="11.42578125" style="1025" customWidth="1"/>
    <col min="8725" max="8725" width="12.28515625" style="1025" customWidth="1"/>
    <col min="8726" max="8960" width="9.140625" style="1025"/>
    <col min="8961" max="8961" width="19.42578125" style="1025" customWidth="1"/>
    <col min="8962" max="8964" width="9" style="1025" bestFit="1" customWidth="1"/>
    <col min="8965" max="8965" width="8.85546875" style="1025" bestFit="1" customWidth="1"/>
    <col min="8966" max="8966" width="9.140625" style="1025"/>
    <col min="8967" max="8968" width="8.85546875" style="1025" bestFit="1" customWidth="1"/>
    <col min="8969" max="8969" width="9" style="1025" bestFit="1" customWidth="1"/>
    <col min="8970" max="8970" width="8.85546875" style="1025" bestFit="1" customWidth="1"/>
    <col min="8971" max="8971" width="9.140625" style="1025"/>
    <col min="8972" max="8973" width="9" style="1025" bestFit="1" customWidth="1"/>
    <col min="8974" max="8974" width="10.42578125" style="1025" bestFit="1" customWidth="1"/>
    <col min="8975" max="8975" width="10.28515625" style="1025" bestFit="1" customWidth="1"/>
    <col min="8976" max="8976" width="9.85546875" style="1025" bestFit="1" customWidth="1"/>
    <col min="8977" max="8977" width="11.140625" style="1025" bestFit="1" customWidth="1"/>
    <col min="8978" max="8978" width="11.5703125" style="1025" customWidth="1"/>
    <col min="8979" max="8979" width="14.42578125" style="1025" customWidth="1"/>
    <col min="8980" max="8980" width="11.42578125" style="1025" customWidth="1"/>
    <col min="8981" max="8981" width="12.28515625" style="1025" customWidth="1"/>
    <col min="8982" max="9216" width="9.140625" style="1025"/>
    <col min="9217" max="9217" width="19.42578125" style="1025" customWidth="1"/>
    <col min="9218" max="9220" width="9" style="1025" bestFit="1" customWidth="1"/>
    <col min="9221" max="9221" width="8.85546875" style="1025" bestFit="1" customWidth="1"/>
    <col min="9222" max="9222" width="9.140625" style="1025"/>
    <col min="9223" max="9224" width="8.85546875" style="1025" bestFit="1" customWidth="1"/>
    <col min="9225" max="9225" width="9" style="1025" bestFit="1" customWidth="1"/>
    <col min="9226" max="9226" width="8.85546875" style="1025" bestFit="1" customWidth="1"/>
    <col min="9227" max="9227" width="9.140625" style="1025"/>
    <col min="9228" max="9229" width="9" style="1025" bestFit="1" customWidth="1"/>
    <col min="9230" max="9230" width="10.42578125" style="1025" bestFit="1" customWidth="1"/>
    <col min="9231" max="9231" width="10.28515625" style="1025" bestFit="1" customWidth="1"/>
    <col min="9232" max="9232" width="9.85546875" style="1025" bestFit="1" customWidth="1"/>
    <col min="9233" max="9233" width="11.140625" style="1025" bestFit="1" customWidth="1"/>
    <col min="9234" max="9234" width="11.5703125" style="1025" customWidth="1"/>
    <col min="9235" max="9235" width="14.42578125" style="1025" customWidth="1"/>
    <col min="9236" max="9236" width="11.42578125" style="1025" customWidth="1"/>
    <col min="9237" max="9237" width="12.28515625" style="1025" customWidth="1"/>
    <col min="9238" max="9472" width="9.140625" style="1025"/>
    <col min="9473" max="9473" width="19.42578125" style="1025" customWidth="1"/>
    <col min="9474" max="9476" width="9" style="1025" bestFit="1" customWidth="1"/>
    <col min="9477" max="9477" width="8.85546875" style="1025" bestFit="1" customWidth="1"/>
    <col min="9478" max="9478" width="9.140625" style="1025"/>
    <col min="9479" max="9480" width="8.85546875" style="1025" bestFit="1" customWidth="1"/>
    <col min="9481" max="9481" width="9" style="1025" bestFit="1" customWidth="1"/>
    <col min="9482" max="9482" width="8.85546875" style="1025" bestFit="1" customWidth="1"/>
    <col min="9483" max="9483" width="9.140625" style="1025"/>
    <col min="9484" max="9485" width="9" style="1025" bestFit="1" customWidth="1"/>
    <col min="9486" max="9486" width="10.42578125" style="1025" bestFit="1" customWidth="1"/>
    <col min="9487" max="9487" width="10.28515625" style="1025" bestFit="1" customWidth="1"/>
    <col min="9488" max="9488" width="9.85546875" style="1025" bestFit="1" customWidth="1"/>
    <col min="9489" max="9489" width="11.140625" style="1025" bestFit="1" customWidth="1"/>
    <col min="9490" max="9490" width="11.5703125" style="1025" customWidth="1"/>
    <col min="9491" max="9491" width="14.42578125" style="1025" customWidth="1"/>
    <col min="9492" max="9492" width="11.42578125" style="1025" customWidth="1"/>
    <col min="9493" max="9493" width="12.28515625" style="1025" customWidth="1"/>
    <col min="9494" max="9728" width="9.140625" style="1025"/>
    <col min="9729" max="9729" width="19.42578125" style="1025" customWidth="1"/>
    <col min="9730" max="9732" width="9" style="1025" bestFit="1" customWidth="1"/>
    <col min="9733" max="9733" width="8.85546875" style="1025" bestFit="1" customWidth="1"/>
    <col min="9734" max="9734" width="9.140625" style="1025"/>
    <col min="9735" max="9736" width="8.85546875" style="1025" bestFit="1" customWidth="1"/>
    <col min="9737" max="9737" width="9" style="1025" bestFit="1" customWidth="1"/>
    <col min="9738" max="9738" width="8.85546875" style="1025" bestFit="1" customWidth="1"/>
    <col min="9739" max="9739" width="9.140625" style="1025"/>
    <col min="9740" max="9741" width="9" style="1025" bestFit="1" customWidth="1"/>
    <col min="9742" max="9742" width="10.42578125" style="1025" bestFit="1" customWidth="1"/>
    <col min="9743" max="9743" width="10.28515625" style="1025" bestFit="1" customWidth="1"/>
    <col min="9744" max="9744" width="9.85546875" style="1025" bestFit="1" customWidth="1"/>
    <col min="9745" max="9745" width="11.140625" style="1025" bestFit="1" customWidth="1"/>
    <col min="9746" max="9746" width="11.5703125" style="1025" customWidth="1"/>
    <col min="9747" max="9747" width="14.42578125" style="1025" customWidth="1"/>
    <col min="9748" max="9748" width="11.42578125" style="1025" customWidth="1"/>
    <col min="9749" max="9749" width="12.28515625" style="1025" customWidth="1"/>
    <col min="9750" max="9984" width="9.140625" style="1025"/>
    <col min="9985" max="9985" width="19.42578125" style="1025" customWidth="1"/>
    <col min="9986" max="9988" width="9" style="1025" bestFit="1" customWidth="1"/>
    <col min="9989" max="9989" width="8.85546875" style="1025" bestFit="1" customWidth="1"/>
    <col min="9990" max="9990" width="9.140625" style="1025"/>
    <col min="9991" max="9992" width="8.85546875" style="1025" bestFit="1" customWidth="1"/>
    <col min="9993" max="9993" width="9" style="1025" bestFit="1" customWidth="1"/>
    <col min="9994" max="9994" width="8.85546875" style="1025" bestFit="1" customWidth="1"/>
    <col min="9995" max="9995" width="9.140625" style="1025"/>
    <col min="9996" max="9997" width="9" style="1025" bestFit="1" customWidth="1"/>
    <col min="9998" max="9998" width="10.42578125" style="1025" bestFit="1" customWidth="1"/>
    <col min="9999" max="9999" width="10.28515625" style="1025" bestFit="1" customWidth="1"/>
    <col min="10000" max="10000" width="9.85546875" style="1025" bestFit="1" customWidth="1"/>
    <col min="10001" max="10001" width="11.140625" style="1025" bestFit="1" customWidth="1"/>
    <col min="10002" max="10002" width="11.5703125" style="1025" customWidth="1"/>
    <col min="10003" max="10003" width="14.42578125" style="1025" customWidth="1"/>
    <col min="10004" max="10004" width="11.42578125" style="1025" customWidth="1"/>
    <col min="10005" max="10005" width="12.28515625" style="1025" customWidth="1"/>
    <col min="10006" max="10240" width="9.140625" style="1025"/>
    <col min="10241" max="10241" width="19.42578125" style="1025" customWidth="1"/>
    <col min="10242" max="10244" width="9" style="1025" bestFit="1" customWidth="1"/>
    <col min="10245" max="10245" width="8.85546875" style="1025" bestFit="1" customWidth="1"/>
    <col min="10246" max="10246" width="9.140625" style="1025"/>
    <col min="10247" max="10248" width="8.85546875" style="1025" bestFit="1" customWidth="1"/>
    <col min="10249" max="10249" width="9" style="1025" bestFit="1" customWidth="1"/>
    <col min="10250" max="10250" width="8.85546875" style="1025" bestFit="1" customWidth="1"/>
    <col min="10251" max="10251" width="9.140625" style="1025"/>
    <col min="10252" max="10253" width="9" style="1025" bestFit="1" customWidth="1"/>
    <col min="10254" max="10254" width="10.42578125" style="1025" bestFit="1" customWidth="1"/>
    <col min="10255" max="10255" width="10.28515625" style="1025" bestFit="1" customWidth="1"/>
    <col min="10256" max="10256" width="9.85546875" style="1025" bestFit="1" customWidth="1"/>
    <col min="10257" max="10257" width="11.140625" style="1025" bestFit="1" customWidth="1"/>
    <col min="10258" max="10258" width="11.5703125" style="1025" customWidth="1"/>
    <col min="10259" max="10259" width="14.42578125" style="1025" customWidth="1"/>
    <col min="10260" max="10260" width="11.42578125" style="1025" customWidth="1"/>
    <col min="10261" max="10261" width="12.28515625" style="1025" customWidth="1"/>
    <col min="10262" max="10496" width="9.140625" style="1025"/>
    <col min="10497" max="10497" width="19.42578125" style="1025" customWidth="1"/>
    <col min="10498" max="10500" width="9" style="1025" bestFit="1" customWidth="1"/>
    <col min="10501" max="10501" width="8.85546875" style="1025" bestFit="1" customWidth="1"/>
    <col min="10502" max="10502" width="9.140625" style="1025"/>
    <col min="10503" max="10504" width="8.85546875" style="1025" bestFit="1" customWidth="1"/>
    <col min="10505" max="10505" width="9" style="1025" bestFit="1" customWidth="1"/>
    <col min="10506" max="10506" width="8.85546875" style="1025" bestFit="1" customWidth="1"/>
    <col min="10507" max="10507" width="9.140625" style="1025"/>
    <col min="10508" max="10509" width="9" style="1025" bestFit="1" customWidth="1"/>
    <col min="10510" max="10510" width="10.42578125" style="1025" bestFit="1" customWidth="1"/>
    <col min="10511" max="10511" width="10.28515625" style="1025" bestFit="1" customWidth="1"/>
    <col min="10512" max="10512" width="9.85546875" style="1025" bestFit="1" customWidth="1"/>
    <col min="10513" max="10513" width="11.140625" style="1025" bestFit="1" customWidth="1"/>
    <col min="10514" max="10514" width="11.5703125" style="1025" customWidth="1"/>
    <col min="10515" max="10515" width="14.42578125" style="1025" customWidth="1"/>
    <col min="10516" max="10516" width="11.42578125" style="1025" customWidth="1"/>
    <col min="10517" max="10517" width="12.28515625" style="1025" customWidth="1"/>
    <col min="10518" max="10752" width="9.140625" style="1025"/>
    <col min="10753" max="10753" width="19.42578125" style="1025" customWidth="1"/>
    <col min="10754" max="10756" width="9" style="1025" bestFit="1" customWidth="1"/>
    <col min="10757" max="10757" width="8.85546875" style="1025" bestFit="1" customWidth="1"/>
    <col min="10758" max="10758" width="9.140625" style="1025"/>
    <col min="10759" max="10760" width="8.85546875" style="1025" bestFit="1" customWidth="1"/>
    <col min="10761" max="10761" width="9" style="1025" bestFit="1" customWidth="1"/>
    <col min="10762" max="10762" width="8.85546875" style="1025" bestFit="1" customWidth="1"/>
    <col min="10763" max="10763" width="9.140625" style="1025"/>
    <col min="10764" max="10765" width="9" style="1025" bestFit="1" customWidth="1"/>
    <col min="10766" max="10766" width="10.42578125" style="1025" bestFit="1" customWidth="1"/>
    <col min="10767" max="10767" width="10.28515625" style="1025" bestFit="1" customWidth="1"/>
    <col min="10768" max="10768" width="9.85546875" style="1025" bestFit="1" customWidth="1"/>
    <col min="10769" max="10769" width="11.140625" style="1025" bestFit="1" customWidth="1"/>
    <col min="10770" max="10770" width="11.5703125" style="1025" customWidth="1"/>
    <col min="10771" max="10771" width="14.42578125" style="1025" customWidth="1"/>
    <col min="10772" max="10772" width="11.42578125" style="1025" customWidth="1"/>
    <col min="10773" max="10773" width="12.28515625" style="1025" customWidth="1"/>
    <col min="10774" max="11008" width="9.140625" style="1025"/>
    <col min="11009" max="11009" width="19.42578125" style="1025" customWidth="1"/>
    <col min="11010" max="11012" width="9" style="1025" bestFit="1" customWidth="1"/>
    <col min="11013" max="11013" width="8.85546875" style="1025" bestFit="1" customWidth="1"/>
    <col min="11014" max="11014" width="9.140625" style="1025"/>
    <col min="11015" max="11016" width="8.85546875" style="1025" bestFit="1" customWidth="1"/>
    <col min="11017" max="11017" width="9" style="1025" bestFit="1" customWidth="1"/>
    <col min="11018" max="11018" width="8.85546875" style="1025" bestFit="1" customWidth="1"/>
    <col min="11019" max="11019" width="9.140625" style="1025"/>
    <col min="11020" max="11021" width="9" style="1025" bestFit="1" customWidth="1"/>
    <col min="11022" max="11022" width="10.42578125" style="1025" bestFit="1" customWidth="1"/>
    <col min="11023" max="11023" width="10.28515625" style="1025" bestFit="1" customWidth="1"/>
    <col min="11024" max="11024" width="9.85546875" style="1025" bestFit="1" customWidth="1"/>
    <col min="11025" max="11025" width="11.140625" style="1025" bestFit="1" customWidth="1"/>
    <col min="11026" max="11026" width="11.5703125" style="1025" customWidth="1"/>
    <col min="11027" max="11027" width="14.42578125" style="1025" customWidth="1"/>
    <col min="11028" max="11028" width="11.42578125" style="1025" customWidth="1"/>
    <col min="11029" max="11029" width="12.28515625" style="1025" customWidth="1"/>
    <col min="11030" max="11264" width="9.140625" style="1025"/>
    <col min="11265" max="11265" width="19.42578125" style="1025" customWidth="1"/>
    <col min="11266" max="11268" width="9" style="1025" bestFit="1" customWidth="1"/>
    <col min="11269" max="11269" width="8.85546875" style="1025" bestFit="1" customWidth="1"/>
    <col min="11270" max="11270" width="9.140625" style="1025"/>
    <col min="11271" max="11272" width="8.85546875" style="1025" bestFit="1" customWidth="1"/>
    <col min="11273" max="11273" width="9" style="1025" bestFit="1" customWidth="1"/>
    <col min="11274" max="11274" width="8.85546875" style="1025" bestFit="1" customWidth="1"/>
    <col min="11275" max="11275" width="9.140625" style="1025"/>
    <col min="11276" max="11277" width="9" style="1025" bestFit="1" customWidth="1"/>
    <col min="11278" max="11278" width="10.42578125" style="1025" bestFit="1" customWidth="1"/>
    <col min="11279" max="11279" width="10.28515625" style="1025" bestFit="1" customWidth="1"/>
    <col min="11280" max="11280" width="9.85546875" style="1025" bestFit="1" customWidth="1"/>
    <col min="11281" max="11281" width="11.140625" style="1025" bestFit="1" customWidth="1"/>
    <col min="11282" max="11282" width="11.5703125" style="1025" customWidth="1"/>
    <col min="11283" max="11283" width="14.42578125" style="1025" customWidth="1"/>
    <col min="11284" max="11284" width="11.42578125" style="1025" customWidth="1"/>
    <col min="11285" max="11285" width="12.28515625" style="1025" customWidth="1"/>
    <col min="11286" max="11520" width="9.140625" style="1025"/>
    <col min="11521" max="11521" width="19.42578125" style="1025" customWidth="1"/>
    <col min="11522" max="11524" width="9" style="1025" bestFit="1" customWidth="1"/>
    <col min="11525" max="11525" width="8.85546875" style="1025" bestFit="1" customWidth="1"/>
    <col min="11526" max="11526" width="9.140625" style="1025"/>
    <col min="11527" max="11528" width="8.85546875" style="1025" bestFit="1" customWidth="1"/>
    <col min="11529" max="11529" width="9" style="1025" bestFit="1" customWidth="1"/>
    <col min="11530" max="11530" width="8.85546875" style="1025" bestFit="1" customWidth="1"/>
    <col min="11531" max="11531" width="9.140625" style="1025"/>
    <col min="11532" max="11533" width="9" style="1025" bestFit="1" customWidth="1"/>
    <col min="11534" max="11534" width="10.42578125" style="1025" bestFit="1" customWidth="1"/>
    <col min="11535" max="11535" width="10.28515625" style="1025" bestFit="1" customWidth="1"/>
    <col min="11536" max="11536" width="9.85546875" style="1025" bestFit="1" customWidth="1"/>
    <col min="11537" max="11537" width="11.140625" style="1025" bestFit="1" customWidth="1"/>
    <col min="11538" max="11538" width="11.5703125" style="1025" customWidth="1"/>
    <col min="11539" max="11539" width="14.42578125" style="1025" customWidth="1"/>
    <col min="11540" max="11540" width="11.42578125" style="1025" customWidth="1"/>
    <col min="11541" max="11541" width="12.28515625" style="1025" customWidth="1"/>
    <col min="11542" max="11776" width="9.140625" style="1025"/>
    <col min="11777" max="11777" width="19.42578125" style="1025" customWidth="1"/>
    <col min="11778" max="11780" width="9" style="1025" bestFit="1" customWidth="1"/>
    <col min="11781" max="11781" width="8.85546875" style="1025" bestFit="1" customWidth="1"/>
    <col min="11782" max="11782" width="9.140625" style="1025"/>
    <col min="11783" max="11784" width="8.85546875" style="1025" bestFit="1" customWidth="1"/>
    <col min="11785" max="11785" width="9" style="1025" bestFit="1" customWidth="1"/>
    <col min="11786" max="11786" width="8.85546875" style="1025" bestFit="1" customWidth="1"/>
    <col min="11787" max="11787" width="9.140625" style="1025"/>
    <col min="11788" max="11789" width="9" style="1025" bestFit="1" customWidth="1"/>
    <col min="11790" max="11790" width="10.42578125" style="1025" bestFit="1" customWidth="1"/>
    <col min="11791" max="11791" width="10.28515625" style="1025" bestFit="1" customWidth="1"/>
    <col min="11792" max="11792" width="9.85546875" style="1025" bestFit="1" customWidth="1"/>
    <col min="11793" max="11793" width="11.140625" style="1025" bestFit="1" customWidth="1"/>
    <col min="11794" max="11794" width="11.5703125" style="1025" customWidth="1"/>
    <col min="11795" max="11795" width="14.42578125" style="1025" customWidth="1"/>
    <col min="11796" max="11796" width="11.42578125" style="1025" customWidth="1"/>
    <col min="11797" max="11797" width="12.28515625" style="1025" customWidth="1"/>
    <col min="11798" max="12032" width="9.140625" style="1025"/>
    <col min="12033" max="12033" width="19.42578125" style="1025" customWidth="1"/>
    <col min="12034" max="12036" width="9" style="1025" bestFit="1" customWidth="1"/>
    <col min="12037" max="12037" width="8.85546875" style="1025" bestFit="1" customWidth="1"/>
    <col min="12038" max="12038" width="9.140625" style="1025"/>
    <col min="12039" max="12040" width="8.85546875" style="1025" bestFit="1" customWidth="1"/>
    <col min="12041" max="12041" width="9" style="1025" bestFit="1" customWidth="1"/>
    <col min="12042" max="12042" width="8.85546875" style="1025" bestFit="1" customWidth="1"/>
    <col min="12043" max="12043" width="9.140625" style="1025"/>
    <col min="12044" max="12045" width="9" style="1025" bestFit="1" customWidth="1"/>
    <col min="12046" max="12046" width="10.42578125" style="1025" bestFit="1" customWidth="1"/>
    <col min="12047" max="12047" width="10.28515625" style="1025" bestFit="1" customWidth="1"/>
    <col min="12048" max="12048" width="9.85546875" style="1025" bestFit="1" customWidth="1"/>
    <col min="12049" max="12049" width="11.140625" style="1025" bestFit="1" customWidth="1"/>
    <col min="12050" max="12050" width="11.5703125" style="1025" customWidth="1"/>
    <col min="12051" max="12051" width="14.42578125" style="1025" customWidth="1"/>
    <col min="12052" max="12052" width="11.42578125" style="1025" customWidth="1"/>
    <col min="12053" max="12053" width="12.28515625" style="1025" customWidth="1"/>
    <col min="12054" max="12288" width="9.140625" style="1025"/>
    <col min="12289" max="12289" width="19.42578125" style="1025" customWidth="1"/>
    <col min="12290" max="12292" width="9" style="1025" bestFit="1" customWidth="1"/>
    <col min="12293" max="12293" width="8.85546875" style="1025" bestFit="1" customWidth="1"/>
    <col min="12294" max="12294" width="9.140625" style="1025"/>
    <col min="12295" max="12296" width="8.85546875" style="1025" bestFit="1" customWidth="1"/>
    <col min="12297" max="12297" width="9" style="1025" bestFit="1" customWidth="1"/>
    <col min="12298" max="12298" width="8.85546875" style="1025" bestFit="1" customWidth="1"/>
    <col min="12299" max="12299" width="9.140625" style="1025"/>
    <col min="12300" max="12301" width="9" style="1025" bestFit="1" customWidth="1"/>
    <col min="12302" max="12302" width="10.42578125" style="1025" bestFit="1" customWidth="1"/>
    <col min="12303" max="12303" width="10.28515625" style="1025" bestFit="1" customWidth="1"/>
    <col min="12304" max="12304" width="9.85546875" style="1025" bestFit="1" customWidth="1"/>
    <col min="12305" max="12305" width="11.140625" style="1025" bestFit="1" customWidth="1"/>
    <col min="12306" max="12306" width="11.5703125" style="1025" customWidth="1"/>
    <col min="12307" max="12307" width="14.42578125" style="1025" customWidth="1"/>
    <col min="12308" max="12308" width="11.42578125" style="1025" customWidth="1"/>
    <col min="12309" max="12309" width="12.28515625" style="1025" customWidth="1"/>
    <col min="12310" max="12544" width="9.140625" style="1025"/>
    <col min="12545" max="12545" width="19.42578125" style="1025" customWidth="1"/>
    <col min="12546" max="12548" width="9" style="1025" bestFit="1" customWidth="1"/>
    <col min="12549" max="12549" width="8.85546875" style="1025" bestFit="1" customWidth="1"/>
    <col min="12550" max="12550" width="9.140625" style="1025"/>
    <col min="12551" max="12552" width="8.85546875" style="1025" bestFit="1" customWidth="1"/>
    <col min="12553" max="12553" width="9" style="1025" bestFit="1" customWidth="1"/>
    <col min="12554" max="12554" width="8.85546875" style="1025" bestFit="1" customWidth="1"/>
    <col min="12555" max="12555" width="9.140625" style="1025"/>
    <col min="12556" max="12557" width="9" style="1025" bestFit="1" customWidth="1"/>
    <col min="12558" max="12558" width="10.42578125" style="1025" bestFit="1" customWidth="1"/>
    <col min="12559" max="12559" width="10.28515625" style="1025" bestFit="1" customWidth="1"/>
    <col min="12560" max="12560" width="9.85546875" style="1025" bestFit="1" customWidth="1"/>
    <col min="12561" max="12561" width="11.140625" style="1025" bestFit="1" customWidth="1"/>
    <col min="12562" max="12562" width="11.5703125" style="1025" customWidth="1"/>
    <col min="12563" max="12563" width="14.42578125" style="1025" customWidth="1"/>
    <col min="12564" max="12564" width="11.42578125" style="1025" customWidth="1"/>
    <col min="12565" max="12565" width="12.28515625" style="1025" customWidth="1"/>
    <col min="12566" max="12800" width="9.140625" style="1025"/>
    <col min="12801" max="12801" width="19.42578125" style="1025" customWidth="1"/>
    <col min="12802" max="12804" width="9" style="1025" bestFit="1" customWidth="1"/>
    <col min="12805" max="12805" width="8.85546875" style="1025" bestFit="1" customWidth="1"/>
    <col min="12806" max="12806" width="9.140625" style="1025"/>
    <col min="12807" max="12808" width="8.85546875" style="1025" bestFit="1" customWidth="1"/>
    <col min="12809" max="12809" width="9" style="1025" bestFit="1" customWidth="1"/>
    <col min="12810" max="12810" width="8.85546875" style="1025" bestFit="1" customWidth="1"/>
    <col min="12811" max="12811" width="9.140625" style="1025"/>
    <col min="12812" max="12813" width="9" style="1025" bestFit="1" customWidth="1"/>
    <col min="12814" max="12814" width="10.42578125" style="1025" bestFit="1" customWidth="1"/>
    <col min="12815" max="12815" width="10.28515625" style="1025" bestFit="1" customWidth="1"/>
    <col min="12816" max="12816" width="9.85546875" style="1025" bestFit="1" customWidth="1"/>
    <col min="12817" max="12817" width="11.140625" style="1025" bestFit="1" customWidth="1"/>
    <col min="12818" max="12818" width="11.5703125" style="1025" customWidth="1"/>
    <col min="12819" max="12819" width="14.42578125" style="1025" customWidth="1"/>
    <col min="12820" max="12820" width="11.42578125" style="1025" customWidth="1"/>
    <col min="12821" max="12821" width="12.28515625" style="1025" customWidth="1"/>
    <col min="12822" max="13056" width="9.140625" style="1025"/>
    <col min="13057" max="13057" width="19.42578125" style="1025" customWidth="1"/>
    <col min="13058" max="13060" width="9" style="1025" bestFit="1" customWidth="1"/>
    <col min="13061" max="13061" width="8.85546875" style="1025" bestFit="1" customWidth="1"/>
    <col min="13062" max="13062" width="9.140625" style="1025"/>
    <col min="13063" max="13064" width="8.85546875" style="1025" bestFit="1" customWidth="1"/>
    <col min="13065" max="13065" width="9" style="1025" bestFit="1" customWidth="1"/>
    <col min="13066" max="13066" width="8.85546875" style="1025" bestFit="1" customWidth="1"/>
    <col min="13067" max="13067" width="9.140625" style="1025"/>
    <col min="13068" max="13069" width="9" style="1025" bestFit="1" customWidth="1"/>
    <col min="13070" max="13070" width="10.42578125" style="1025" bestFit="1" customWidth="1"/>
    <col min="13071" max="13071" width="10.28515625" style="1025" bestFit="1" customWidth="1"/>
    <col min="13072" max="13072" width="9.85546875" style="1025" bestFit="1" customWidth="1"/>
    <col min="13073" max="13073" width="11.140625" style="1025" bestFit="1" customWidth="1"/>
    <col min="13074" max="13074" width="11.5703125" style="1025" customWidth="1"/>
    <col min="13075" max="13075" width="14.42578125" style="1025" customWidth="1"/>
    <col min="13076" max="13076" width="11.42578125" style="1025" customWidth="1"/>
    <col min="13077" max="13077" width="12.28515625" style="1025" customWidth="1"/>
    <col min="13078" max="13312" width="9.140625" style="1025"/>
    <col min="13313" max="13313" width="19.42578125" style="1025" customWidth="1"/>
    <col min="13314" max="13316" width="9" style="1025" bestFit="1" customWidth="1"/>
    <col min="13317" max="13317" width="8.85546875" style="1025" bestFit="1" customWidth="1"/>
    <col min="13318" max="13318" width="9.140625" style="1025"/>
    <col min="13319" max="13320" width="8.85546875" style="1025" bestFit="1" customWidth="1"/>
    <col min="13321" max="13321" width="9" style="1025" bestFit="1" customWidth="1"/>
    <col min="13322" max="13322" width="8.85546875" style="1025" bestFit="1" customWidth="1"/>
    <col min="13323" max="13323" width="9.140625" style="1025"/>
    <col min="13324" max="13325" width="9" style="1025" bestFit="1" customWidth="1"/>
    <col min="13326" max="13326" width="10.42578125" style="1025" bestFit="1" customWidth="1"/>
    <col min="13327" max="13327" width="10.28515625" style="1025" bestFit="1" customWidth="1"/>
    <col min="13328" max="13328" width="9.85546875" style="1025" bestFit="1" customWidth="1"/>
    <col min="13329" max="13329" width="11.140625" style="1025" bestFit="1" customWidth="1"/>
    <col min="13330" max="13330" width="11.5703125" style="1025" customWidth="1"/>
    <col min="13331" max="13331" width="14.42578125" style="1025" customWidth="1"/>
    <col min="13332" max="13332" width="11.42578125" style="1025" customWidth="1"/>
    <col min="13333" max="13333" width="12.28515625" style="1025" customWidth="1"/>
    <col min="13334" max="13568" width="9.140625" style="1025"/>
    <col min="13569" max="13569" width="19.42578125" style="1025" customWidth="1"/>
    <col min="13570" max="13572" width="9" style="1025" bestFit="1" customWidth="1"/>
    <col min="13573" max="13573" width="8.85546875" style="1025" bestFit="1" customWidth="1"/>
    <col min="13574" max="13574" width="9.140625" style="1025"/>
    <col min="13575" max="13576" width="8.85546875" style="1025" bestFit="1" customWidth="1"/>
    <col min="13577" max="13577" width="9" style="1025" bestFit="1" customWidth="1"/>
    <col min="13578" max="13578" width="8.85546875" style="1025" bestFit="1" customWidth="1"/>
    <col min="13579" max="13579" width="9.140625" style="1025"/>
    <col min="13580" max="13581" width="9" style="1025" bestFit="1" customWidth="1"/>
    <col min="13582" max="13582" width="10.42578125" style="1025" bestFit="1" customWidth="1"/>
    <col min="13583" max="13583" width="10.28515625" style="1025" bestFit="1" customWidth="1"/>
    <col min="13584" max="13584" width="9.85546875" style="1025" bestFit="1" customWidth="1"/>
    <col min="13585" max="13585" width="11.140625" style="1025" bestFit="1" customWidth="1"/>
    <col min="13586" max="13586" width="11.5703125" style="1025" customWidth="1"/>
    <col min="13587" max="13587" width="14.42578125" style="1025" customWidth="1"/>
    <col min="13588" max="13588" width="11.42578125" style="1025" customWidth="1"/>
    <col min="13589" max="13589" width="12.28515625" style="1025" customWidth="1"/>
    <col min="13590" max="13824" width="9.140625" style="1025"/>
    <col min="13825" max="13825" width="19.42578125" style="1025" customWidth="1"/>
    <col min="13826" max="13828" width="9" style="1025" bestFit="1" customWidth="1"/>
    <col min="13829" max="13829" width="8.85546875" style="1025" bestFit="1" customWidth="1"/>
    <col min="13830" max="13830" width="9.140625" style="1025"/>
    <col min="13831" max="13832" width="8.85546875" style="1025" bestFit="1" customWidth="1"/>
    <col min="13833" max="13833" width="9" style="1025" bestFit="1" customWidth="1"/>
    <col min="13834" max="13834" width="8.85546875" style="1025" bestFit="1" customWidth="1"/>
    <col min="13835" max="13835" width="9.140625" style="1025"/>
    <col min="13836" max="13837" width="9" style="1025" bestFit="1" customWidth="1"/>
    <col min="13838" max="13838" width="10.42578125" style="1025" bestFit="1" customWidth="1"/>
    <col min="13839" max="13839" width="10.28515625" style="1025" bestFit="1" customWidth="1"/>
    <col min="13840" max="13840" width="9.85546875" style="1025" bestFit="1" customWidth="1"/>
    <col min="13841" max="13841" width="11.140625" style="1025" bestFit="1" customWidth="1"/>
    <col min="13842" max="13842" width="11.5703125" style="1025" customWidth="1"/>
    <col min="13843" max="13843" width="14.42578125" style="1025" customWidth="1"/>
    <col min="13844" max="13844" width="11.42578125" style="1025" customWidth="1"/>
    <col min="13845" max="13845" width="12.28515625" style="1025" customWidth="1"/>
    <col min="13846" max="14080" width="9.140625" style="1025"/>
    <col min="14081" max="14081" width="19.42578125" style="1025" customWidth="1"/>
    <col min="14082" max="14084" width="9" style="1025" bestFit="1" customWidth="1"/>
    <col min="14085" max="14085" width="8.85546875" style="1025" bestFit="1" customWidth="1"/>
    <col min="14086" max="14086" width="9.140625" style="1025"/>
    <col min="14087" max="14088" width="8.85546875" style="1025" bestFit="1" customWidth="1"/>
    <col min="14089" max="14089" width="9" style="1025" bestFit="1" customWidth="1"/>
    <col min="14090" max="14090" width="8.85546875" style="1025" bestFit="1" customWidth="1"/>
    <col min="14091" max="14091" width="9.140625" style="1025"/>
    <col min="14092" max="14093" width="9" style="1025" bestFit="1" customWidth="1"/>
    <col min="14094" max="14094" width="10.42578125" style="1025" bestFit="1" customWidth="1"/>
    <col min="14095" max="14095" width="10.28515625" style="1025" bestFit="1" customWidth="1"/>
    <col min="14096" max="14096" width="9.85546875" style="1025" bestFit="1" customWidth="1"/>
    <col min="14097" max="14097" width="11.140625" style="1025" bestFit="1" customWidth="1"/>
    <col min="14098" max="14098" width="11.5703125" style="1025" customWidth="1"/>
    <col min="14099" max="14099" width="14.42578125" style="1025" customWidth="1"/>
    <col min="14100" max="14100" width="11.42578125" style="1025" customWidth="1"/>
    <col min="14101" max="14101" width="12.28515625" style="1025" customWidth="1"/>
    <col min="14102" max="14336" width="9.140625" style="1025"/>
    <col min="14337" max="14337" width="19.42578125" style="1025" customWidth="1"/>
    <col min="14338" max="14340" width="9" style="1025" bestFit="1" customWidth="1"/>
    <col min="14341" max="14341" width="8.85546875" style="1025" bestFit="1" customWidth="1"/>
    <col min="14342" max="14342" width="9.140625" style="1025"/>
    <col min="14343" max="14344" width="8.85546875" style="1025" bestFit="1" customWidth="1"/>
    <col min="14345" max="14345" width="9" style="1025" bestFit="1" customWidth="1"/>
    <col min="14346" max="14346" width="8.85546875" style="1025" bestFit="1" customWidth="1"/>
    <col min="14347" max="14347" width="9.140625" style="1025"/>
    <col min="14348" max="14349" width="9" style="1025" bestFit="1" customWidth="1"/>
    <col min="14350" max="14350" width="10.42578125" style="1025" bestFit="1" customWidth="1"/>
    <col min="14351" max="14351" width="10.28515625" style="1025" bestFit="1" customWidth="1"/>
    <col min="14352" max="14352" width="9.85546875" style="1025" bestFit="1" customWidth="1"/>
    <col min="14353" max="14353" width="11.140625" style="1025" bestFit="1" customWidth="1"/>
    <col min="14354" max="14354" width="11.5703125" style="1025" customWidth="1"/>
    <col min="14355" max="14355" width="14.42578125" style="1025" customWidth="1"/>
    <col min="14356" max="14356" width="11.42578125" style="1025" customWidth="1"/>
    <col min="14357" max="14357" width="12.28515625" style="1025" customWidth="1"/>
    <col min="14358" max="14592" width="9.140625" style="1025"/>
    <col min="14593" max="14593" width="19.42578125" style="1025" customWidth="1"/>
    <col min="14594" max="14596" width="9" style="1025" bestFit="1" customWidth="1"/>
    <col min="14597" max="14597" width="8.85546875" style="1025" bestFit="1" customWidth="1"/>
    <col min="14598" max="14598" width="9.140625" style="1025"/>
    <col min="14599" max="14600" width="8.85546875" style="1025" bestFit="1" customWidth="1"/>
    <col min="14601" max="14601" width="9" style="1025" bestFit="1" customWidth="1"/>
    <col min="14602" max="14602" width="8.85546875" style="1025" bestFit="1" customWidth="1"/>
    <col min="14603" max="14603" width="9.140625" style="1025"/>
    <col min="14604" max="14605" width="9" style="1025" bestFit="1" customWidth="1"/>
    <col min="14606" max="14606" width="10.42578125" style="1025" bestFit="1" customWidth="1"/>
    <col min="14607" max="14607" width="10.28515625" style="1025" bestFit="1" customWidth="1"/>
    <col min="14608" max="14608" width="9.85546875" style="1025" bestFit="1" customWidth="1"/>
    <col min="14609" max="14609" width="11.140625" style="1025" bestFit="1" customWidth="1"/>
    <col min="14610" max="14610" width="11.5703125" style="1025" customWidth="1"/>
    <col min="14611" max="14611" width="14.42578125" style="1025" customWidth="1"/>
    <col min="14612" max="14612" width="11.42578125" style="1025" customWidth="1"/>
    <col min="14613" max="14613" width="12.28515625" style="1025" customWidth="1"/>
    <col min="14614" max="14848" width="9.140625" style="1025"/>
    <col min="14849" max="14849" width="19.42578125" style="1025" customWidth="1"/>
    <col min="14850" max="14852" width="9" style="1025" bestFit="1" customWidth="1"/>
    <col min="14853" max="14853" width="8.85546875" style="1025" bestFit="1" customWidth="1"/>
    <col min="14854" max="14854" width="9.140625" style="1025"/>
    <col min="14855" max="14856" width="8.85546875" style="1025" bestFit="1" customWidth="1"/>
    <col min="14857" max="14857" width="9" style="1025" bestFit="1" customWidth="1"/>
    <col min="14858" max="14858" width="8.85546875" style="1025" bestFit="1" customWidth="1"/>
    <col min="14859" max="14859" width="9.140625" style="1025"/>
    <col min="14860" max="14861" width="9" style="1025" bestFit="1" customWidth="1"/>
    <col min="14862" max="14862" width="10.42578125" style="1025" bestFit="1" customWidth="1"/>
    <col min="14863" max="14863" width="10.28515625" style="1025" bestFit="1" customWidth="1"/>
    <col min="14864" max="14864" width="9.85546875" style="1025" bestFit="1" customWidth="1"/>
    <col min="14865" max="14865" width="11.140625" style="1025" bestFit="1" customWidth="1"/>
    <col min="14866" max="14866" width="11.5703125" style="1025" customWidth="1"/>
    <col min="14867" max="14867" width="14.42578125" style="1025" customWidth="1"/>
    <col min="14868" max="14868" width="11.42578125" style="1025" customWidth="1"/>
    <col min="14869" max="14869" width="12.28515625" style="1025" customWidth="1"/>
    <col min="14870" max="15104" width="9.140625" style="1025"/>
    <col min="15105" max="15105" width="19.42578125" style="1025" customWidth="1"/>
    <col min="15106" max="15108" width="9" style="1025" bestFit="1" customWidth="1"/>
    <col min="15109" max="15109" width="8.85546875" style="1025" bestFit="1" customWidth="1"/>
    <col min="15110" max="15110" width="9.140625" style="1025"/>
    <col min="15111" max="15112" width="8.85546875" style="1025" bestFit="1" customWidth="1"/>
    <col min="15113" max="15113" width="9" style="1025" bestFit="1" customWidth="1"/>
    <col min="15114" max="15114" width="8.85546875" style="1025" bestFit="1" customWidth="1"/>
    <col min="15115" max="15115" width="9.140625" style="1025"/>
    <col min="15116" max="15117" width="9" style="1025" bestFit="1" customWidth="1"/>
    <col min="15118" max="15118" width="10.42578125" style="1025" bestFit="1" customWidth="1"/>
    <col min="15119" max="15119" width="10.28515625" style="1025" bestFit="1" customWidth="1"/>
    <col min="15120" max="15120" width="9.85546875" style="1025" bestFit="1" customWidth="1"/>
    <col min="15121" max="15121" width="11.140625" style="1025" bestFit="1" customWidth="1"/>
    <col min="15122" max="15122" width="11.5703125" style="1025" customWidth="1"/>
    <col min="15123" max="15123" width="14.42578125" style="1025" customWidth="1"/>
    <col min="15124" max="15124" width="11.42578125" style="1025" customWidth="1"/>
    <col min="15125" max="15125" width="12.28515625" style="1025" customWidth="1"/>
    <col min="15126" max="15360" width="9.140625" style="1025"/>
    <col min="15361" max="15361" width="19.42578125" style="1025" customWidth="1"/>
    <col min="15362" max="15364" width="9" style="1025" bestFit="1" customWidth="1"/>
    <col min="15365" max="15365" width="8.85546875" style="1025" bestFit="1" customWidth="1"/>
    <col min="15366" max="15366" width="9.140625" style="1025"/>
    <col min="15367" max="15368" width="8.85546875" style="1025" bestFit="1" customWidth="1"/>
    <col min="15369" max="15369" width="9" style="1025" bestFit="1" customWidth="1"/>
    <col min="15370" max="15370" width="8.85546875" style="1025" bestFit="1" customWidth="1"/>
    <col min="15371" max="15371" width="9.140625" style="1025"/>
    <col min="15372" max="15373" width="9" style="1025" bestFit="1" customWidth="1"/>
    <col min="15374" max="15374" width="10.42578125" style="1025" bestFit="1" customWidth="1"/>
    <col min="15375" max="15375" width="10.28515625" style="1025" bestFit="1" customWidth="1"/>
    <col min="15376" max="15376" width="9.85546875" style="1025" bestFit="1" customWidth="1"/>
    <col min="15377" max="15377" width="11.140625" style="1025" bestFit="1" customWidth="1"/>
    <col min="15378" max="15378" width="11.5703125" style="1025" customWidth="1"/>
    <col min="15379" max="15379" width="14.42578125" style="1025" customWidth="1"/>
    <col min="15380" max="15380" width="11.42578125" style="1025" customWidth="1"/>
    <col min="15381" max="15381" width="12.28515625" style="1025" customWidth="1"/>
    <col min="15382" max="15616" width="9.140625" style="1025"/>
    <col min="15617" max="15617" width="19.42578125" style="1025" customWidth="1"/>
    <col min="15618" max="15620" width="9" style="1025" bestFit="1" customWidth="1"/>
    <col min="15621" max="15621" width="8.85546875" style="1025" bestFit="1" customWidth="1"/>
    <col min="15622" max="15622" width="9.140625" style="1025"/>
    <col min="15623" max="15624" width="8.85546875" style="1025" bestFit="1" customWidth="1"/>
    <col min="15625" max="15625" width="9" style="1025" bestFit="1" customWidth="1"/>
    <col min="15626" max="15626" width="8.85546875" style="1025" bestFit="1" customWidth="1"/>
    <col min="15627" max="15627" width="9.140625" style="1025"/>
    <col min="15628" max="15629" width="9" style="1025" bestFit="1" customWidth="1"/>
    <col min="15630" max="15630" width="10.42578125" style="1025" bestFit="1" customWidth="1"/>
    <col min="15631" max="15631" width="10.28515625" style="1025" bestFit="1" customWidth="1"/>
    <col min="15632" max="15632" width="9.85546875" style="1025" bestFit="1" customWidth="1"/>
    <col min="15633" max="15633" width="11.140625" style="1025" bestFit="1" customWidth="1"/>
    <col min="15634" max="15634" width="11.5703125" style="1025" customWidth="1"/>
    <col min="15635" max="15635" width="14.42578125" style="1025" customWidth="1"/>
    <col min="15636" max="15636" width="11.42578125" style="1025" customWidth="1"/>
    <col min="15637" max="15637" width="12.28515625" style="1025" customWidth="1"/>
    <col min="15638" max="15872" width="9.140625" style="1025"/>
    <col min="15873" max="15873" width="19.42578125" style="1025" customWidth="1"/>
    <col min="15874" max="15876" width="9" style="1025" bestFit="1" customWidth="1"/>
    <col min="15877" max="15877" width="8.85546875" style="1025" bestFit="1" customWidth="1"/>
    <col min="15878" max="15878" width="9.140625" style="1025"/>
    <col min="15879" max="15880" width="8.85546875" style="1025" bestFit="1" customWidth="1"/>
    <col min="15881" max="15881" width="9" style="1025" bestFit="1" customWidth="1"/>
    <col min="15882" max="15882" width="8.85546875" style="1025" bestFit="1" customWidth="1"/>
    <col min="15883" max="15883" width="9.140625" style="1025"/>
    <col min="15884" max="15885" width="9" style="1025" bestFit="1" customWidth="1"/>
    <col min="15886" max="15886" width="10.42578125" style="1025" bestFit="1" customWidth="1"/>
    <col min="15887" max="15887" width="10.28515625" style="1025" bestFit="1" customWidth="1"/>
    <col min="15888" max="15888" width="9.85546875" style="1025" bestFit="1" customWidth="1"/>
    <col min="15889" max="15889" width="11.140625" style="1025" bestFit="1" customWidth="1"/>
    <col min="15890" max="15890" width="11.5703125" style="1025" customWidth="1"/>
    <col min="15891" max="15891" width="14.42578125" style="1025" customWidth="1"/>
    <col min="15892" max="15892" width="11.42578125" style="1025" customWidth="1"/>
    <col min="15893" max="15893" width="12.28515625" style="1025" customWidth="1"/>
    <col min="15894" max="16128" width="9.140625" style="1025"/>
    <col min="16129" max="16129" width="19.42578125" style="1025" customWidth="1"/>
    <col min="16130" max="16132" width="9" style="1025" bestFit="1" customWidth="1"/>
    <col min="16133" max="16133" width="8.85546875" style="1025" bestFit="1" customWidth="1"/>
    <col min="16134" max="16134" width="9.140625" style="1025"/>
    <col min="16135" max="16136" width="8.85546875" style="1025" bestFit="1" customWidth="1"/>
    <col min="16137" max="16137" width="9" style="1025" bestFit="1" customWidth="1"/>
    <col min="16138" max="16138" width="8.85546875" style="1025" bestFit="1" customWidth="1"/>
    <col min="16139" max="16139" width="9.140625" style="1025"/>
    <col min="16140" max="16141" width="9" style="1025" bestFit="1" customWidth="1"/>
    <col min="16142" max="16142" width="10.42578125" style="1025" bestFit="1" customWidth="1"/>
    <col min="16143" max="16143" width="10.28515625" style="1025" bestFit="1" customWidth="1"/>
    <col min="16144" max="16144" width="9.85546875" style="1025" bestFit="1" customWidth="1"/>
    <col min="16145" max="16145" width="11.140625" style="1025" bestFit="1" customWidth="1"/>
    <col min="16146" max="16146" width="11.5703125" style="1025" customWidth="1"/>
    <col min="16147" max="16147" width="14.42578125" style="1025" customWidth="1"/>
    <col min="16148" max="16148" width="11.42578125" style="1025" customWidth="1"/>
    <col min="16149" max="16149" width="12.28515625" style="1025" customWidth="1"/>
    <col min="16150" max="16384" width="9.140625" style="1025"/>
  </cols>
  <sheetData>
    <row r="1" spans="1:19" s="1026" customFormat="1" x14ac:dyDescent="0.2">
      <c r="A1" s="1024" t="s">
        <v>1012</v>
      </c>
      <c r="B1" s="1025"/>
      <c r="C1" s="1025"/>
      <c r="D1" s="1025"/>
      <c r="E1" s="1025"/>
      <c r="F1" s="1025"/>
      <c r="G1" s="1025"/>
      <c r="H1" s="1025"/>
      <c r="I1" s="1025"/>
      <c r="J1" s="1025"/>
      <c r="K1" s="1025"/>
      <c r="L1" s="1025"/>
      <c r="M1" s="1025"/>
      <c r="N1" s="1025"/>
    </row>
    <row r="2" spans="1:19" s="1026" customFormat="1" x14ac:dyDescent="0.2">
      <c r="A2" s="1024" t="s">
        <v>1811</v>
      </c>
      <c r="B2" s="1025"/>
      <c r="C2" s="1025"/>
      <c r="D2" s="1025"/>
      <c r="E2" s="1025"/>
      <c r="F2" s="1025"/>
      <c r="G2" s="1025"/>
      <c r="H2" s="1025"/>
      <c r="I2" s="1025"/>
      <c r="J2" s="1025"/>
      <c r="K2" s="1025"/>
      <c r="L2" s="1025"/>
      <c r="M2" s="1025"/>
      <c r="N2" s="1025"/>
    </row>
    <row r="3" spans="1:19" s="1026" customFormat="1" x14ac:dyDescent="0.2">
      <c r="A3" s="1025"/>
      <c r="B3" s="1025"/>
      <c r="C3" s="1025"/>
      <c r="D3" s="1025"/>
      <c r="E3" s="1025"/>
      <c r="F3" s="1025"/>
      <c r="G3" s="1025"/>
      <c r="H3" s="1025"/>
      <c r="I3" s="1025"/>
      <c r="J3" s="1025"/>
      <c r="K3" s="1025"/>
      <c r="L3" s="1025"/>
      <c r="M3" s="1025"/>
      <c r="N3" s="1025"/>
      <c r="O3" s="1027"/>
    </row>
    <row r="4" spans="1:19" s="1026" customFormat="1" x14ac:dyDescent="0.2">
      <c r="A4" s="1024"/>
      <c r="B4" s="1025"/>
      <c r="C4" s="1025"/>
      <c r="D4" s="1025"/>
      <c r="E4" s="1025"/>
      <c r="F4" s="1025"/>
      <c r="G4" s="1025"/>
      <c r="H4" s="1025"/>
      <c r="I4" s="1025"/>
      <c r="J4" s="1025"/>
      <c r="K4" s="1025"/>
      <c r="L4" s="1025"/>
      <c r="M4" s="1025"/>
      <c r="N4" s="1025"/>
      <c r="O4" s="1028"/>
    </row>
    <row r="5" spans="1:19" s="1026" customFormat="1" x14ac:dyDescent="0.2">
      <c r="A5" s="1029" t="s">
        <v>69</v>
      </c>
      <c r="B5" s="1030">
        <v>40179</v>
      </c>
      <c r="C5" s="1030">
        <v>40210</v>
      </c>
      <c r="D5" s="1030">
        <v>40238</v>
      </c>
      <c r="E5" s="1030">
        <v>40269</v>
      </c>
      <c r="F5" s="1030">
        <v>40299</v>
      </c>
      <c r="G5" s="1030">
        <v>40330</v>
      </c>
      <c r="H5" s="1030">
        <v>40360</v>
      </c>
      <c r="I5" s="1030">
        <v>40391</v>
      </c>
      <c r="J5" s="1030">
        <v>40422</v>
      </c>
      <c r="K5" s="1030">
        <v>40452</v>
      </c>
      <c r="L5" s="1030">
        <v>40483</v>
      </c>
      <c r="M5" s="1030">
        <v>40513</v>
      </c>
      <c r="N5" s="1029" t="s">
        <v>23</v>
      </c>
      <c r="O5" s="1031" t="s">
        <v>373</v>
      </c>
    </row>
    <row r="6" spans="1:19" s="1026" customFormat="1" x14ac:dyDescent="0.2">
      <c r="A6" s="1032">
        <v>23</v>
      </c>
      <c r="B6" s="1033">
        <v>693137</v>
      </c>
      <c r="C6" s="1033">
        <v>693885</v>
      </c>
      <c r="D6" s="1033">
        <v>694255</v>
      </c>
      <c r="E6" s="1033">
        <v>694594</v>
      </c>
      <c r="F6" s="1033">
        <v>694265</v>
      </c>
      <c r="G6" s="1033">
        <v>693750</v>
      </c>
      <c r="H6" s="1033">
        <v>693070</v>
      </c>
      <c r="I6" s="1033">
        <v>692456</v>
      </c>
      <c r="J6" s="1033">
        <v>692762</v>
      </c>
      <c r="K6" s="1033">
        <v>694115</v>
      </c>
      <c r="L6" s="1033">
        <v>695665</v>
      </c>
      <c r="M6" s="1033">
        <v>696981</v>
      </c>
      <c r="N6" s="1034">
        <f t="shared" ref="N6:N30" si="0">SUM(B6:M6)</f>
        <v>8328935</v>
      </c>
      <c r="O6" s="1035">
        <f>AVERAGE(B6:M6)</f>
        <v>694077.91666666663</v>
      </c>
    </row>
    <row r="7" spans="1:19" s="1036" customFormat="1" x14ac:dyDescent="0.2">
      <c r="A7" s="1032">
        <v>53</v>
      </c>
      <c r="B7" s="1033">
        <v>5</v>
      </c>
      <c r="C7" s="1033">
        <v>5</v>
      </c>
      <c r="D7" s="1033">
        <v>5</v>
      </c>
      <c r="E7" s="1033">
        <v>5</v>
      </c>
      <c r="F7" s="1033">
        <v>5</v>
      </c>
      <c r="G7" s="1033">
        <v>5</v>
      </c>
      <c r="H7" s="1033">
        <v>5</v>
      </c>
      <c r="I7" s="1033">
        <v>5</v>
      </c>
      <c r="J7" s="1033">
        <v>5</v>
      </c>
      <c r="K7" s="1033">
        <v>5</v>
      </c>
      <c r="L7" s="1033">
        <v>4</v>
      </c>
      <c r="M7" s="1033">
        <v>4</v>
      </c>
      <c r="N7" s="1034">
        <f t="shared" si="0"/>
        <v>58</v>
      </c>
      <c r="O7" s="1035">
        <f t="shared" ref="O7:O32" si="1">AVERAGE(B7:M7)</f>
        <v>4.833333333333333</v>
      </c>
      <c r="S7" s="1026"/>
    </row>
    <row r="8" spans="1:19" s="1026" customFormat="1" x14ac:dyDescent="0.2">
      <c r="A8" s="1032" t="s">
        <v>1013</v>
      </c>
      <c r="B8" s="1033">
        <v>1</v>
      </c>
      <c r="C8" s="1033">
        <v>2</v>
      </c>
      <c r="D8" s="1033">
        <v>2</v>
      </c>
      <c r="E8" s="1033">
        <v>2</v>
      </c>
      <c r="F8" s="1033">
        <v>2</v>
      </c>
      <c r="G8" s="1033">
        <v>2</v>
      </c>
      <c r="H8" s="1033">
        <v>2</v>
      </c>
      <c r="I8" s="1033">
        <v>2</v>
      </c>
      <c r="J8" s="1033">
        <v>2</v>
      </c>
      <c r="K8" s="1033">
        <v>2</v>
      </c>
      <c r="L8" s="1033">
        <v>2</v>
      </c>
      <c r="M8" s="1033">
        <v>2</v>
      </c>
      <c r="N8" s="1034">
        <f t="shared" si="0"/>
        <v>23</v>
      </c>
      <c r="O8" s="1035">
        <f t="shared" si="1"/>
        <v>1.9166666666666667</v>
      </c>
    </row>
    <row r="9" spans="1:19" s="1026" customFormat="1" x14ac:dyDescent="0.2">
      <c r="A9" s="1037" t="s">
        <v>1014</v>
      </c>
      <c r="B9" s="1033">
        <v>51959</v>
      </c>
      <c r="C9" s="1033">
        <v>51988</v>
      </c>
      <c r="D9" s="1033">
        <v>51986</v>
      </c>
      <c r="E9" s="1033">
        <v>51918</v>
      </c>
      <c r="F9" s="1033">
        <v>51776</v>
      </c>
      <c r="G9" s="1033">
        <v>51612</v>
      </c>
      <c r="H9" s="1033">
        <v>51525</v>
      </c>
      <c r="I9" s="1033">
        <v>51204</v>
      </c>
      <c r="J9" s="1033">
        <v>51189</v>
      </c>
      <c r="K9" s="1033">
        <v>51279</v>
      </c>
      <c r="L9" s="1033">
        <v>51423</v>
      </c>
      <c r="M9" s="1033">
        <v>51597</v>
      </c>
      <c r="N9" s="1034">
        <f t="shared" si="0"/>
        <v>619456</v>
      </c>
      <c r="O9" s="1035">
        <f t="shared" si="1"/>
        <v>51621.333333333336</v>
      </c>
    </row>
    <row r="10" spans="1:19" s="1026" customFormat="1" x14ac:dyDescent="0.2">
      <c r="A10" s="1032" t="s">
        <v>1015</v>
      </c>
      <c r="B10" s="1033">
        <v>1932</v>
      </c>
      <c r="C10" s="1033">
        <v>1930</v>
      </c>
      <c r="D10" s="1033">
        <v>1944</v>
      </c>
      <c r="E10" s="1033">
        <v>1944</v>
      </c>
      <c r="F10" s="1033">
        <v>1942</v>
      </c>
      <c r="G10" s="1033">
        <v>1941</v>
      </c>
      <c r="H10" s="1033">
        <v>1942</v>
      </c>
      <c r="I10" s="1033">
        <v>1935</v>
      </c>
      <c r="J10" s="1033">
        <v>1910</v>
      </c>
      <c r="K10" s="1033">
        <v>1885</v>
      </c>
      <c r="L10" s="1033">
        <v>1877</v>
      </c>
      <c r="M10" s="1033">
        <v>1869</v>
      </c>
      <c r="N10" s="1034">
        <f t="shared" si="0"/>
        <v>23051</v>
      </c>
      <c r="O10" s="1035">
        <f t="shared" si="1"/>
        <v>1920.9166666666667</v>
      </c>
    </row>
    <row r="11" spans="1:19" s="1026" customFormat="1" x14ac:dyDescent="0.2">
      <c r="A11" s="1032" t="s">
        <v>1016</v>
      </c>
      <c r="B11" s="1033">
        <v>10</v>
      </c>
      <c r="C11" s="1033">
        <v>10</v>
      </c>
      <c r="D11" s="1033">
        <v>10</v>
      </c>
      <c r="E11" s="1033">
        <v>10</v>
      </c>
      <c r="F11" s="1033">
        <v>10</v>
      </c>
      <c r="G11" s="1033">
        <v>10</v>
      </c>
      <c r="H11" s="1033">
        <v>10</v>
      </c>
      <c r="I11" s="1033">
        <v>10</v>
      </c>
      <c r="J11" s="1033">
        <v>11</v>
      </c>
      <c r="K11" s="1033">
        <v>12</v>
      </c>
      <c r="L11" s="1033">
        <v>20</v>
      </c>
      <c r="M11" s="1033">
        <v>30</v>
      </c>
      <c r="N11" s="1034">
        <f t="shared" si="0"/>
        <v>153</v>
      </c>
      <c r="O11" s="1035">
        <f t="shared" si="1"/>
        <v>12.75</v>
      </c>
    </row>
    <row r="12" spans="1:19" s="1026" customFormat="1" x14ac:dyDescent="0.2">
      <c r="A12" s="1032" t="s">
        <v>1017</v>
      </c>
      <c r="B12" s="1033">
        <v>21</v>
      </c>
      <c r="C12" s="1033">
        <v>21</v>
      </c>
      <c r="D12" s="1033">
        <v>21</v>
      </c>
      <c r="E12" s="1033">
        <v>22</v>
      </c>
      <c r="F12" s="1033">
        <v>23</v>
      </c>
      <c r="G12" s="1033">
        <v>24</v>
      </c>
      <c r="H12" s="1033">
        <v>24</v>
      </c>
      <c r="I12" s="1033">
        <v>24</v>
      </c>
      <c r="J12" s="1033">
        <v>25</v>
      </c>
      <c r="K12" s="1033">
        <v>24</v>
      </c>
      <c r="L12" s="1033">
        <v>24</v>
      </c>
      <c r="M12" s="1033">
        <v>24</v>
      </c>
      <c r="N12" s="1034">
        <f t="shared" si="0"/>
        <v>277</v>
      </c>
      <c r="O12" s="1035">
        <f t="shared" si="1"/>
        <v>23.083333333333332</v>
      </c>
    </row>
    <row r="13" spans="1:19" s="1026" customFormat="1" x14ac:dyDescent="0.2">
      <c r="A13" s="1032" t="s">
        <v>1018</v>
      </c>
      <c r="B13" s="1033">
        <v>25</v>
      </c>
      <c r="C13" s="1033">
        <v>25</v>
      </c>
      <c r="D13" s="1033">
        <v>25</v>
      </c>
      <c r="E13" s="1033">
        <v>27</v>
      </c>
      <c r="F13" s="1033">
        <v>27</v>
      </c>
      <c r="G13" s="1033">
        <v>27</v>
      </c>
      <c r="H13" s="1033">
        <v>27</v>
      </c>
      <c r="I13" s="1033">
        <v>27</v>
      </c>
      <c r="J13" s="1033">
        <v>27</v>
      </c>
      <c r="K13" s="1033">
        <v>27</v>
      </c>
      <c r="L13" s="1033">
        <v>27</v>
      </c>
      <c r="M13" s="1033">
        <v>27</v>
      </c>
      <c r="N13" s="1034">
        <f t="shared" si="0"/>
        <v>318</v>
      </c>
      <c r="O13" s="1035">
        <f t="shared" si="1"/>
        <v>26.5</v>
      </c>
    </row>
    <row r="14" spans="1:19" s="1026" customFormat="1" x14ac:dyDescent="0.2">
      <c r="A14" s="1032" t="s">
        <v>1019</v>
      </c>
      <c r="B14" s="1033">
        <v>36</v>
      </c>
      <c r="C14" s="1033">
        <v>36</v>
      </c>
      <c r="D14" s="1033">
        <v>36</v>
      </c>
      <c r="E14" s="1033">
        <v>37</v>
      </c>
      <c r="F14" s="1033">
        <v>37</v>
      </c>
      <c r="G14" s="1033">
        <v>37</v>
      </c>
      <c r="H14" s="1033">
        <v>37</v>
      </c>
      <c r="I14" s="1033">
        <v>37</v>
      </c>
      <c r="J14" s="1033">
        <v>37</v>
      </c>
      <c r="K14" s="1033">
        <v>36</v>
      </c>
      <c r="L14" s="1033">
        <v>35</v>
      </c>
      <c r="M14" s="1033">
        <v>35</v>
      </c>
      <c r="N14" s="1034">
        <f t="shared" si="0"/>
        <v>436</v>
      </c>
      <c r="O14" s="1035">
        <f t="shared" si="1"/>
        <v>36.333333333333336</v>
      </c>
    </row>
    <row r="15" spans="1:19" s="1026" customFormat="1" x14ac:dyDescent="0.2">
      <c r="A15" s="1032" t="s">
        <v>1020</v>
      </c>
      <c r="B15" s="1033">
        <v>335</v>
      </c>
      <c r="C15" s="1033">
        <v>334</v>
      </c>
      <c r="D15" s="1033">
        <v>334</v>
      </c>
      <c r="E15" s="1033">
        <v>332</v>
      </c>
      <c r="F15" s="1033">
        <v>332</v>
      </c>
      <c r="G15" s="1033">
        <v>332</v>
      </c>
      <c r="H15" s="1033">
        <v>330</v>
      </c>
      <c r="I15" s="1033">
        <v>327</v>
      </c>
      <c r="J15" s="1033">
        <v>326</v>
      </c>
      <c r="K15" s="1033">
        <v>320</v>
      </c>
      <c r="L15" s="1033">
        <v>318</v>
      </c>
      <c r="M15" s="1033">
        <v>318</v>
      </c>
      <c r="N15" s="1034">
        <f t="shared" si="0"/>
        <v>3938</v>
      </c>
      <c r="O15" s="1035">
        <f t="shared" si="1"/>
        <v>328.16666666666669</v>
      </c>
    </row>
    <row r="16" spans="1:19" s="1026" customFormat="1" x14ac:dyDescent="0.2">
      <c r="A16" s="1032" t="s">
        <v>1021</v>
      </c>
      <c r="B16" s="1033">
        <v>8</v>
      </c>
      <c r="C16" s="1033">
        <v>8</v>
      </c>
      <c r="D16" s="1033">
        <v>8</v>
      </c>
      <c r="E16" s="1033">
        <v>8</v>
      </c>
      <c r="F16" s="1033">
        <v>8</v>
      </c>
      <c r="G16" s="1033">
        <v>8</v>
      </c>
      <c r="H16" s="1033">
        <v>8</v>
      </c>
      <c r="I16" s="1033">
        <v>8</v>
      </c>
      <c r="J16" s="1033">
        <v>8</v>
      </c>
      <c r="K16" s="1033">
        <v>8</v>
      </c>
      <c r="L16" s="1033">
        <v>8</v>
      </c>
      <c r="M16" s="1033">
        <v>8</v>
      </c>
      <c r="N16" s="1034">
        <f t="shared" si="0"/>
        <v>96</v>
      </c>
      <c r="O16" s="1035">
        <f t="shared" si="1"/>
        <v>8</v>
      </c>
    </row>
    <row r="17" spans="1:19" s="1026" customFormat="1" x14ac:dyDescent="0.2">
      <c r="A17" s="1032" t="s">
        <v>1022</v>
      </c>
      <c r="B17" s="1033">
        <v>2</v>
      </c>
      <c r="C17" s="1033">
        <v>2</v>
      </c>
      <c r="D17" s="1033">
        <v>2</v>
      </c>
      <c r="E17" s="1033">
        <v>2</v>
      </c>
      <c r="F17" s="1033">
        <v>2</v>
      </c>
      <c r="G17" s="1033">
        <v>2</v>
      </c>
      <c r="H17" s="1033">
        <v>2</v>
      </c>
      <c r="I17" s="1033">
        <v>2</v>
      </c>
      <c r="J17" s="1033">
        <v>2</v>
      </c>
      <c r="K17" s="1033">
        <v>2</v>
      </c>
      <c r="L17" s="1033">
        <v>2</v>
      </c>
      <c r="M17" s="1033">
        <v>2</v>
      </c>
      <c r="N17" s="1034">
        <f t="shared" si="0"/>
        <v>24</v>
      </c>
      <c r="O17" s="1035">
        <f t="shared" si="1"/>
        <v>2</v>
      </c>
    </row>
    <row r="18" spans="1:19" s="1036" customFormat="1" x14ac:dyDescent="0.2">
      <c r="A18" s="1032" t="s">
        <v>1023</v>
      </c>
      <c r="B18" s="1033">
        <v>138</v>
      </c>
      <c r="C18" s="1033">
        <v>138</v>
      </c>
      <c r="D18" s="1033">
        <v>138</v>
      </c>
      <c r="E18" s="1033">
        <v>138</v>
      </c>
      <c r="F18" s="1033">
        <v>138</v>
      </c>
      <c r="G18" s="1033">
        <v>138</v>
      </c>
      <c r="H18" s="1033">
        <v>138</v>
      </c>
      <c r="I18" s="1033">
        <v>138</v>
      </c>
      <c r="J18" s="1033">
        <v>138</v>
      </c>
      <c r="K18" s="1033">
        <v>138</v>
      </c>
      <c r="L18" s="1033">
        <v>138</v>
      </c>
      <c r="M18" s="1033">
        <v>138</v>
      </c>
      <c r="N18" s="1034">
        <f t="shared" si="0"/>
        <v>1656</v>
      </c>
      <c r="O18" s="1035">
        <f t="shared" si="1"/>
        <v>138</v>
      </c>
      <c r="S18" s="1026"/>
    </row>
    <row r="19" spans="1:19" s="1026" customFormat="1" x14ac:dyDescent="0.2">
      <c r="A19" s="1032" t="s">
        <v>1024</v>
      </c>
      <c r="B19" s="1033">
        <v>2411</v>
      </c>
      <c r="C19" s="1033">
        <v>2403</v>
      </c>
      <c r="D19" s="1033">
        <v>2394</v>
      </c>
      <c r="E19" s="1033">
        <v>2386</v>
      </c>
      <c r="F19" s="1033">
        <v>2382</v>
      </c>
      <c r="G19" s="1033">
        <v>2374</v>
      </c>
      <c r="H19" s="1033">
        <v>2368</v>
      </c>
      <c r="I19" s="1033">
        <v>2361</v>
      </c>
      <c r="J19" s="1033">
        <v>2355</v>
      </c>
      <c r="K19" s="1033">
        <v>2355</v>
      </c>
      <c r="L19" s="1033">
        <v>2357</v>
      </c>
      <c r="M19" s="1033">
        <v>2367</v>
      </c>
      <c r="N19" s="1034">
        <f t="shared" si="0"/>
        <v>28513</v>
      </c>
      <c r="O19" s="1035">
        <f t="shared" si="1"/>
        <v>2376.0833333333335</v>
      </c>
    </row>
    <row r="20" spans="1:19" s="1026" customFormat="1" x14ac:dyDescent="0.2">
      <c r="A20" s="1032" t="s">
        <v>1025</v>
      </c>
      <c r="B20" s="1033">
        <v>110</v>
      </c>
      <c r="C20" s="1033">
        <v>111</v>
      </c>
      <c r="D20" s="1033">
        <v>114</v>
      </c>
      <c r="E20" s="1033">
        <v>113</v>
      </c>
      <c r="F20" s="1033">
        <v>114</v>
      </c>
      <c r="G20" s="1033">
        <v>114</v>
      </c>
      <c r="H20" s="1033">
        <v>114</v>
      </c>
      <c r="I20" s="1033">
        <v>114</v>
      </c>
      <c r="J20" s="1033">
        <v>114</v>
      </c>
      <c r="K20" s="1033">
        <v>114</v>
      </c>
      <c r="L20" s="1033">
        <v>113</v>
      </c>
      <c r="M20" s="1033">
        <v>113</v>
      </c>
      <c r="N20" s="1034">
        <f t="shared" si="0"/>
        <v>1358</v>
      </c>
      <c r="O20" s="1035">
        <f t="shared" si="1"/>
        <v>113.16666666666667</v>
      </c>
    </row>
    <row r="21" spans="1:19" s="1026" customFormat="1" x14ac:dyDescent="0.2">
      <c r="A21" s="1032" t="s">
        <v>1026</v>
      </c>
      <c r="B21" s="1033">
        <v>15</v>
      </c>
      <c r="C21" s="1033">
        <v>15</v>
      </c>
      <c r="D21" s="1033">
        <v>14</v>
      </c>
      <c r="E21" s="1033">
        <v>14</v>
      </c>
      <c r="F21" s="1033">
        <v>14</v>
      </c>
      <c r="G21" s="1033">
        <v>14</v>
      </c>
      <c r="H21" s="1033">
        <v>14</v>
      </c>
      <c r="I21" s="1033">
        <v>15</v>
      </c>
      <c r="J21" s="1033">
        <v>15</v>
      </c>
      <c r="K21" s="1033">
        <v>16</v>
      </c>
      <c r="L21" s="1033">
        <v>16</v>
      </c>
      <c r="M21" s="1033">
        <v>16</v>
      </c>
      <c r="N21" s="1034">
        <f t="shared" si="0"/>
        <v>178</v>
      </c>
      <c r="O21" s="1035">
        <f t="shared" si="1"/>
        <v>14.833333333333334</v>
      </c>
    </row>
    <row r="22" spans="1:19" s="1026" customFormat="1" x14ac:dyDescent="0.2">
      <c r="A22" s="1037" t="s">
        <v>1027</v>
      </c>
      <c r="B22" s="1033">
        <v>0</v>
      </c>
      <c r="C22" s="1033">
        <v>0</v>
      </c>
      <c r="D22" s="1033">
        <v>0</v>
      </c>
      <c r="E22" s="1033">
        <v>0</v>
      </c>
      <c r="F22" s="1033">
        <v>0</v>
      </c>
      <c r="G22" s="1033">
        <v>0</v>
      </c>
      <c r="H22" s="1033">
        <v>0</v>
      </c>
      <c r="I22" s="1033">
        <v>0</v>
      </c>
      <c r="J22" s="1033">
        <v>0</v>
      </c>
      <c r="K22" s="1033">
        <v>0</v>
      </c>
      <c r="L22" s="1033">
        <v>0</v>
      </c>
      <c r="M22" s="1033">
        <v>0</v>
      </c>
      <c r="N22" s="1034">
        <f t="shared" si="0"/>
        <v>0</v>
      </c>
      <c r="O22" s="1035">
        <f t="shared" si="1"/>
        <v>0</v>
      </c>
    </row>
    <row r="23" spans="1:19" s="1026" customFormat="1" x14ac:dyDescent="0.2">
      <c r="A23" s="1032" t="s">
        <v>1028</v>
      </c>
      <c r="B23" s="1033">
        <v>8</v>
      </c>
      <c r="C23" s="1033">
        <v>9</v>
      </c>
      <c r="D23" s="1033">
        <v>8</v>
      </c>
      <c r="E23" s="1033">
        <v>8</v>
      </c>
      <c r="F23" s="1033">
        <v>7</v>
      </c>
      <c r="G23" s="1033">
        <v>7</v>
      </c>
      <c r="H23" s="1033">
        <v>7</v>
      </c>
      <c r="I23" s="1033">
        <v>7</v>
      </c>
      <c r="J23" s="1033">
        <v>7</v>
      </c>
      <c r="K23" s="1033">
        <v>7</v>
      </c>
      <c r="L23" s="1033">
        <v>7</v>
      </c>
      <c r="M23" s="1033">
        <v>7</v>
      </c>
      <c r="N23" s="1034">
        <f t="shared" si="0"/>
        <v>89</v>
      </c>
      <c r="O23" s="1035">
        <f t="shared" si="1"/>
        <v>7.416666666666667</v>
      </c>
    </row>
    <row r="24" spans="1:19" s="1026" customFormat="1" x14ac:dyDescent="0.2">
      <c r="A24" s="1032" t="s">
        <v>1029</v>
      </c>
      <c r="B24" s="1033">
        <v>64</v>
      </c>
      <c r="C24" s="1033">
        <v>63</v>
      </c>
      <c r="D24" s="1033">
        <v>64</v>
      </c>
      <c r="E24" s="1033">
        <v>64</v>
      </c>
      <c r="F24" s="1033">
        <v>64</v>
      </c>
      <c r="G24" s="1033">
        <v>64</v>
      </c>
      <c r="H24" s="1033">
        <v>63</v>
      </c>
      <c r="I24" s="1033">
        <v>62</v>
      </c>
      <c r="J24" s="1033">
        <v>62</v>
      </c>
      <c r="K24" s="1033">
        <v>62</v>
      </c>
      <c r="L24" s="1033">
        <v>62</v>
      </c>
      <c r="M24" s="1033">
        <v>63</v>
      </c>
      <c r="N24" s="1034">
        <f t="shared" si="0"/>
        <v>757</v>
      </c>
      <c r="O24" s="1035">
        <f t="shared" si="1"/>
        <v>63.083333333333336</v>
      </c>
    </row>
    <row r="25" spans="1:19" s="1026" customFormat="1" x14ac:dyDescent="0.2">
      <c r="A25" s="1032" t="s">
        <v>1030</v>
      </c>
      <c r="B25" s="1033">
        <v>10</v>
      </c>
      <c r="C25" s="1033">
        <v>10</v>
      </c>
      <c r="D25" s="1033">
        <v>10</v>
      </c>
      <c r="E25" s="1033">
        <v>10</v>
      </c>
      <c r="F25" s="1033">
        <v>10</v>
      </c>
      <c r="G25" s="1033">
        <v>10</v>
      </c>
      <c r="H25" s="1033">
        <v>10</v>
      </c>
      <c r="I25" s="1033">
        <v>10</v>
      </c>
      <c r="J25" s="1033">
        <v>10</v>
      </c>
      <c r="K25" s="1033">
        <v>10</v>
      </c>
      <c r="L25" s="1033">
        <v>10</v>
      </c>
      <c r="M25" s="1033">
        <v>10</v>
      </c>
      <c r="N25" s="1034">
        <f t="shared" si="0"/>
        <v>120</v>
      </c>
      <c r="O25" s="1035">
        <f t="shared" si="1"/>
        <v>10</v>
      </c>
    </row>
    <row r="26" spans="1:19" s="1026" customFormat="1" x14ac:dyDescent="0.2">
      <c r="A26" s="1032" t="s">
        <v>1031</v>
      </c>
      <c r="B26" s="1033">
        <v>0</v>
      </c>
      <c r="C26" s="1033">
        <v>0</v>
      </c>
      <c r="D26" s="1033">
        <v>0</v>
      </c>
      <c r="E26" s="1033">
        <v>0</v>
      </c>
      <c r="F26" s="1033">
        <v>0</v>
      </c>
      <c r="G26" s="1033">
        <v>1</v>
      </c>
      <c r="H26" s="1033">
        <v>1</v>
      </c>
      <c r="I26" s="1033">
        <v>1</v>
      </c>
      <c r="J26" s="1033">
        <v>1</v>
      </c>
      <c r="K26" s="1033">
        <v>1</v>
      </c>
      <c r="L26" s="1033">
        <v>1</v>
      </c>
      <c r="M26" s="1033">
        <v>1</v>
      </c>
      <c r="N26" s="1034">
        <f t="shared" si="0"/>
        <v>7</v>
      </c>
      <c r="O26" s="1035">
        <f t="shared" si="1"/>
        <v>0.58333333333333337</v>
      </c>
    </row>
    <row r="27" spans="1:19" s="1026" customFormat="1" x14ac:dyDescent="0.2">
      <c r="A27" s="1032" t="s">
        <v>1032</v>
      </c>
      <c r="B27" s="1033">
        <v>1</v>
      </c>
      <c r="C27" s="1033">
        <v>1</v>
      </c>
      <c r="D27" s="1033">
        <v>1</v>
      </c>
      <c r="E27" s="1033">
        <v>1</v>
      </c>
      <c r="F27" s="1033">
        <v>1</v>
      </c>
      <c r="G27" s="1033">
        <v>1</v>
      </c>
      <c r="H27" s="1033">
        <v>1</v>
      </c>
      <c r="I27" s="1033">
        <v>1</v>
      </c>
      <c r="J27" s="1033">
        <v>1</v>
      </c>
      <c r="K27" s="1033">
        <v>1</v>
      </c>
      <c r="L27" s="1033">
        <v>1</v>
      </c>
      <c r="M27" s="1033">
        <v>1</v>
      </c>
      <c r="N27" s="1034">
        <f t="shared" si="0"/>
        <v>12</v>
      </c>
      <c r="O27" s="1035">
        <f t="shared" si="1"/>
        <v>1</v>
      </c>
    </row>
    <row r="28" spans="1:19" s="1026" customFormat="1" x14ac:dyDescent="0.2">
      <c r="A28" s="1032" t="s">
        <v>1033</v>
      </c>
      <c r="B28" s="1033">
        <v>11</v>
      </c>
      <c r="C28" s="1033">
        <v>11</v>
      </c>
      <c r="D28" s="1033">
        <v>11</v>
      </c>
      <c r="E28" s="1033">
        <v>11</v>
      </c>
      <c r="F28" s="1033">
        <v>11</v>
      </c>
      <c r="G28" s="1033">
        <v>11</v>
      </c>
      <c r="H28" s="1033">
        <v>11</v>
      </c>
      <c r="I28" s="1033">
        <v>11</v>
      </c>
      <c r="J28" s="1033">
        <v>11</v>
      </c>
      <c r="K28" s="1033">
        <v>11</v>
      </c>
      <c r="L28" s="1033">
        <v>11</v>
      </c>
      <c r="M28" s="1033">
        <v>10</v>
      </c>
      <c r="N28" s="1034">
        <f t="shared" si="0"/>
        <v>131</v>
      </c>
      <c r="O28" s="1035">
        <f t="shared" si="1"/>
        <v>10.916666666666666</v>
      </c>
    </row>
    <row r="29" spans="1:19" s="1026" customFormat="1" x14ac:dyDescent="0.2">
      <c r="A29" s="1032" t="s">
        <v>1034</v>
      </c>
      <c r="B29" s="1033">
        <v>1</v>
      </c>
      <c r="C29" s="1033">
        <v>1</v>
      </c>
      <c r="D29" s="1033">
        <v>1</v>
      </c>
      <c r="E29" s="1033">
        <v>1</v>
      </c>
      <c r="F29" s="1033">
        <v>1</v>
      </c>
      <c r="G29" s="1033">
        <v>1</v>
      </c>
      <c r="H29" s="1033">
        <v>1</v>
      </c>
      <c r="I29" s="1033">
        <v>1</v>
      </c>
      <c r="J29" s="1033">
        <v>1</v>
      </c>
      <c r="K29" s="1033">
        <v>1</v>
      </c>
      <c r="L29" s="1033">
        <v>1</v>
      </c>
      <c r="M29" s="1033">
        <v>1</v>
      </c>
      <c r="N29" s="1034">
        <f t="shared" si="0"/>
        <v>12</v>
      </c>
      <c r="O29" s="1035">
        <f t="shared" si="1"/>
        <v>1</v>
      </c>
    </row>
    <row r="30" spans="1:19" s="1026" customFormat="1" x14ac:dyDescent="0.2">
      <c r="A30" s="1032" t="s">
        <v>924</v>
      </c>
      <c r="B30" s="1033">
        <v>12</v>
      </c>
      <c r="C30" s="1033">
        <v>12</v>
      </c>
      <c r="D30" s="1033">
        <v>12</v>
      </c>
      <c r="E30" s="1033">
        <v>12</v>
      </c>
      <c r="F30" s="1033">
        <v>12</v>
      </c>
      <c r="G30" s="1033">
        <v>12</v>
      </c>
      <c r="H30" s="1033">
        <v>12</v>
      </c>
      <c r="I30" s="1033">
        <v>12</v>
      </c>
      <c r="J30" s="1033">
        <v>12</v>
      </c>
      <c r="K30" s="1033">
        <v>12</v>
      </c>
      <c r="L30" s="1033">
        <v>12</v>
      </c>
      <c r="M30" s="1033">
        <v>12</v>
      </c>
      <c r="N30" s="1034">
        <f t="shared" si="0"/>
        <v>144</v>
      </c>
      <c r="O30" s="1035">
        <f t="shared" si="1"/>
        <v>12</v>
      </c>
    </row>
    <row r="31" spans="1:19" s="1026" customFormat="1" x14ac:dyDescent="0.2">
      <c r="A31" s="1032" t="s">
        <v>23</v>
      </c>
      <c r="B31" s="1038">
        <f t="shared" ref="B31:O31" si="2">SUM(B6:B30)</f>
        <v>750252</v>
      </c>
      <c r="C31" s="1038">
        <f t="shared" si="2"/>
        <v>751020</v>
      </c>
      <c r="D31" s="1038">
        <f t="shared" si="2"/>
        <v>751395</v>
      </c>
      <c r="E31" s="1038">
        <f t="shared" si="2"/>
        <v>751659</v>
      </c>
      <c r="F31" s="1038">
        <f t="shared" si="2"/>
        <v>751183</v>
      </c>
      <c r="G31" s="1038">
        <f t="shared" si="2"/>
        <v>750497</v>
      </c>
      <c r="H31" s="1038">
        <f t="shared" si="2"/>
        <v>749722</v>
      </c>
      <c r="I31" s="1038">
        <f t="shared" si="2"/>
        <v>748770</v>
      </c>
      <c r="J31" s="1038">
        <f t="shared" si="2"/>
        <v>749031</v>
      </c>
      <c r="K31" s="1038">
        <f t="shared" si="2"/>
        <v>750443</v>
      </c>
      <c r="L31" s="1038">
        <f t="shared" si="2"/>
        <v>752134</v>
      </c>
      <c r="M31" s="1038">
        <f t="shared" si="2"/>
        <v>753636</v>
      </c>
      <c r="N31" s="1038">
        <f t="shared" si="2"/>
        <v>9009742</v>
      </c>
      <c r="O31" s="1038">
        <f t="shared" si="2"/>
        <v>750811.83333333337</v>
      </c>
    </row>
    <row r="32" spans="1:19" s="1026" customFormat="1" x14ac:dyDescent="0.2">
      <c r="A32" s="1039" t="s">
        <v>1035</v>
      </c>
      <c r="B32" s="1033">
        <v>750252</v>
      </c>
      <c r="C32" s="1033">
        <v>751020</v>
      </c>
      <c r="D32" s="1033">
        <v>751395</v>
      </c>
      <c r="E32" s="1033">
        <v>751659</v>
      </c>
      <c r="F32" s="1033">
        <v>751183</v>
      </c>
      <c r="G32" s="1033">
        <v>750496</v>
      </c>
      <c r="H32" s="1033">
        <v>749722</v>
      </c>
      <c r="I32" s="1033">
        <v>748770</v>
      </c>
      <c r="J32" s="1033">
        <v>749031</v>
      </c>
      <c r="K32" s="1033">
        <v>750443</v>
      </c>
      <c r="L32" s="1033">
        <v>752134</v>
      </c>
      <c r="M32" s="1033">
        <v>753636</v>
      </c>
      <c r="N32" s="1034">
        <f>SUM(B32:M32)</f>
        <v>9009741</v>
      </c>
      <c r="O32" s="1035">
        <f t="shared" si="1"/>
        <v>750811.75</v>
      </c>
    </row>
    <row r="33" spans="1:15" s="1026" customFormat="1" x14ac:dyDescent="0.2">
      <c r="A33" s="1039" t="s">
        <v>1812</v>
      </c>
      <c r="B33" s="1034">
        <f t="shared" ref="B33:O33" si="3">B31-B32</f>
        <v>0</v>
      </c>
      <c r="C33" s="1034">
        <f t="shared" si="3"/>
        <v>0</v>
      </c>
      <c r="D33" s="1034">
        <f t="shared" si="3"/>
        <v>0</v>
      </c>
      <c r="E33" s="1034">
        <f t="shared" si="3"/>
        <v>0</v>
      </c>
      <c r="F33" s="1034">
        <f t="shared" si="3"/>
        <v>0</v>
      </c>
      <c r="G33" s="1034">
        <f t="shared" si="3"/>
        <v>1</v>
      </c>
      <c r="H33" s="1034">
        <f t="shared" si="3"/>
        <v>0</v>
      </c>
      <c r="I33" s="1034">
        <f t="shared" si="3"/>
        <v>0</v>
      </c>
      <c r="J33" s="1034">
        <f t="shared" si="3"/>
        <v>0</v>
      </c>
      <c r="K33" s="1034">
        <f t="shared" si="3"/>
        <v>0</v>
      </c>
      <c r="L33" s="1034">
        <f t="shared" si="3"/>
        <v>0</v>
      </c>
      <c r="M33" s="1034">
        <f t="shared" si="3"/>
        <v>0</v>
      </c>
      <c r="N33" s="1034">
        <f t="shared" si="3"/>
        <v>1</v>
      </c>
      <c r="O33" s="1034">
        <f t="shared" si="3"/>
        <v>8.3333333372138441E-2</v>
      </c>
    </row>
    <row r="34" spans="1:15" s="1026" customFormat="1" x14ac:dyDescent="0.2">
      <c r="A34" s="1036" t="s">
        <v>1813</v>
      </c>
      <c r="B34" s="1040">
        <f>B31-B18</f>
        <v>750114</v>
      </c>
      <c r="C34" s="1040">
        <f t="shared" ref="C34:O34" si="4">C31-C18</f>
        <v>750882</v>
      </c>
      <c r="D34" s="1040">
        <f t="shared" si="4"/>
        <v>751257</v>
      </c>
      <c r="E34" s="1040">
        <f t="shared" si="4"/>
        <v>751521</v>
      </c>
      <c r="F34" s="1040">
        <f t="shared" si="4"/>
        <v>751045</v>
      </c>
      <c r="G34" s="1040">
        <f t="shared" si="4"/>
        <v>750359</v>
      </c>
      <c r="H34" s="1040">
        <f t="shared" si="4"/>
        <v>749584</v>
      </c>
      <c r="I34" s="1040">
        <f t="shared" si="4"/>
        <v>748632</v>
      </c>
      <c r="J34" s="1040">
        <f t="shared" si="4"/>
        <v>748893</v>
      </c>
      <c r="K34" s="1040">
        <f t="shared" si="4"/>
        <v>750305</v>
      </c>
      <c r="L34" s="1040">
        <f t="shared" si="4"/>
        <v>751996</v>
      </c>
      <c r="M34" s="1040">
        <f t="shared" si="4"/>
        <v>753498</v>
      </c>
      <c r="N34" s="1040">
        <f t="shared" si="4"/>
        <v>9008086</v>
      </c>
      <c r="O34" s="1040">
        <f t="shared" si="4"/>
        <v>750673.83333333337</v>
      </c>
    </row>
    <row r="35" spans="1:15" s="1026" customFormat="1" x14ac:dyDescent="0.2">
      <c r="A35" s="1039" t="s">
        <v>1814</v>
      </c>
      <c r="B35" s="1032"/>
      <c r="C35" s="1028"/>
      <c r="D35" s="1028"/>
      <c r="E35" s="1028"/>
      <c r="F35" s="1028"/>
      <c r="G35" s="1028"/>
      <c r="H35" s="1028"/>
      <c r="I35" s="1028"/>
      <c r="J35" s="1028"/>
      <c r="K35" s="1028"/>
      <c r="L35" s="1028"/>
      <c r="M35" s="1028"/>
      <c r="N35" s="1028"/>
      <c r="O35" s="1028"/>
    </row>
    <row r="36" spans="1:15" s="1026" customFormat="1" x14ac:dyDescent="0.2">
      <c r="B36" s="1041"/>
      <c r="C36" s="1028"/>
      <c r="D36" s="1028"/>
      <c r="E36" s="1028"/>
      <c r="F36" s="1028"/>
      <c r="G36" s="1028"/>
      <c r="H36" s="1028"/>
      <c r="I36" s="1028"/>
      <c r="J36" s="1028"/>
      <c r="K36" s="1028"/>
      <c r="L36" s="1028"/>
      <c r="M36" s="1028"/>
      <c r="N36" s="1028"/>
      <c r="O36" s="1028"/>
    </row>
    <row r="37" spans="1:15" s="1026" customFormat="1" x14ac:dyDescent="0.2">
      <c r="A37" s="1024" t="s">
        <v>1012</v>
      </c>
      <c r="B37" s="1032"/>
      <c r="C37" s="1028"/>
      <c r="D37" s="1028"/>
      <c r="E37" s="1028"/>
      <c r="F37" s="1028"/>
      <c r="G37" s="1028"/>
      <c r="H37" s="1028"/>
      <c r="I37" s="1028"/>
      <c r="J37" s="1028"/>
      <c r="K37" s="1028"/>
      <c r="L37" s="1028"/>
      <c r="M37" s="1028"/>
      <c r="N37" s="1028"/>
      <c r="O37" s="1028"/>
    </row>
    <row r="38" spans="1:15" s="1026" customFormat="1" x14ac:dyDescent="0.2">
      <c r="A38" s="1024" t="s">
        <v>1815</v>
      </c>
      <c r="B38" s="1032"/>
      <c r="C38" s="1028"/>
      <c r="D38" s="1028"/>
      <c r="E38" s="1028"/>
      <c r="F38" s="1028"/>
      <c r="G38" s="1028"/>
      <c r="H38" s="1028"/>
      <c r="I38" s="1028"/>
      <c r="J38" s="1028"/>
      <c r="K38" s="1028"/>
      <c r="L38" s="1028"/>
      <c r="M38" s="1028"/>
      <c r="N38" s="1028"/>
      <c r="O38" s="1028"/>
    </row>
    <row r="39" spans="1:15" x14ac:dyDescent="0.2">
      <c r="A39" s="1026"/>
      <c r="B39" s="1041"/>
      <c r="C39" s="1028"/>
      <c r="D39" s="1028"/>
      <c r="E39" s="1028"/>
      <c r="F39" s="1028"/>
      <c r="G39" s="1028"/>
      <c r="H39" s="1028"/>
      <c r="I39" s="1028"/>
      <c r="J39" s="1028"/>
      <c r="K39" s="1028"/>
      <c r="L39" s="1028"/>
      <c r="M39" s="1028"/>
      <c r="N39" s="1028"/>
      <c r="O39" s="1028"/>
    </row>
    <row r="40" spans="1:15" x14ac:dyDescent="0.2">
      <c r="A40" s="1042" t="s">
        <v>25</v>
      </c>
      <c r="B40" s="1030">
        <v>40179</v>
      </c>
      <c r="C40" s="1030">
        <v>40210</v>
      </c>
      <c r="D40" s="1030">
        <v>40238</v>
      </c>
      <c r="E40" s="1030">
        <v>40269</v>
      </c>
      <c r="F40" s="1030">
        <v>40299</v>
      </c>
      <c r="G40" s="1030">
        <v>40330</v>
      </c>
      <c r="H40" s="1030">
        <v>40360</v>
      </c>
      <c r="I40" s="1030">
        <v>40391</v>
      </c>
      <c r="J40" s="1030">
        <v>40422</v>
      </c>
      <c r="K40" s="1030">
        <v>40452</v>
      </c>
      <c r="L40" s="1030">
        <v>40483</v>
      </c>
      <c r="M40" s="1030">
        <v>40513</v>
      </c>
      <c r="N40" s="1029" t="s">
        <v>23</v>
      </c>
      <c r="O40" s="1031" t="s">
        <v>373</v>
      </c>
    </row>
    <row r="41" spans="1:15" x14ac:dyDescent="0.2">
      <c r="A41" s="1037" t="s">
        <v>1816</v>
      </c>
      <c r="B41" s="1043">
        <f>SUM(B6:B8)</f>
        <v>693143</v>
      </c>
      <c r="C41" s="1043">
        <f t="shared" ref="C41:M41" si="5">SUM(C6:C8)</f>
        <v>693892</v>
      </c>
      <c r="D41" s="1043">
        <f t="shared" si="5"/>
        <v>694262</v>
      </c>
      <c r="E41" s="1043">
        <f t="shared" si="5"/>
        <v>694601</v>
      </c>
      <c r="F41" s="1043">
        <f t="shared" si="5"/>
        <v>694272</v>
      </c>
      <c r="G41" s="1043">
        <f t="shared" si="5"/>
        <v>693757</v>
      </c>
      <c r="H41" s="1043">
        <f t="shared" si="5"/>
        <v>693077</v>
      </c>
      <c r="I41" s="1043">
        <f t="shared" si="5"/>
        <v>692463</v>
      </c>
      <c r="J41" s="1043">
        <f t="shared" si="5"/>
        <v>692769</v>
      </c>
      <c r="K41" s="1043">
        <f t="shared" si="5"/>
        <v>694122</v>
      </c>
      <c r="L41" s="1043">
        <f t="shared" si="5"/>
        <v>695671</v>
      </c>
      <c r="M41" s="1043">
        <f t="shared" si="5"/>
        <v>696987</v>
      </c>
      <c r="N41" s="1043">
        <f>SUM(B41:M41)</f>
        <v>8329016</v>
      </c>
      <c r="O41" s="1043">
        <f>AVERAGE(B41:M41)</f>
        <v>694084.66666666663</v>
      </c>
    </row>
    <row r="42" spans="1:15" x14ac:dyDescent="0.2">
      <c r="A42" s="1037" t="s">
        <v>1817</v>
      </c>
      <c r="B42" s="1043">
        <f t="shared" ref="B42:M42" si="6">SUM(B9,B12,B19,B22,B29)</f>
        <v>54392</v>
      </c>
      <c r="C42" s="1043">
        <f t="shared" si="6"/>
        <v>54413</v>
      </c>
      <c r="D42" s="1043">
        <f t="shared" si="6"/>
        <v>54402</v>
      </c>
      <c r="E42" s="1043">
        <f t="shared" si="6"/>
        <v>54327</v>
      </c>
      <c r="F42" s="1043">
        <f t="shared" si="6"/>
        <v>54182</v>
      </c>
      <c r="G42" s="1043">
        <f t="shared" si="6"/>
        <v>54011</v>
      </c>
      <c r="H42" s="1043">
        <f t="shared" si="6"/>
        <v>53918</v>
      </c>
      <c r="I42" s="1043">
        <f t="shared" si="6"/>
        <v>53590</v>
      </c>
      <c r="J42" s="1043">
        <f t="shared" si="6"/>
        <v>53570</v>
      </c>
      <c r="K42" s="1043">
        <f t="shared" si="6"/>
        <v>53659</v>
      </c>
      <c r="L42" s="1043">
        <f t="shared" si="6"/>
        <v>53805</v>
      </c>
      <c r="M42" s="1043">
        <f t="shared" si="6"/>
        <v>53989</v>
      </c>
      <c r="N42" s="1043">
        <f t="shared" ref="N42:N51" si="7">SUM(B42:M42)</f>
        <v>648258</v>
      </c>
      <c r="O42" s="1043">
        <f t="shared" ref="O42:O51" si="8">AVERAGE(B42:M42)</f>
        <v>54021.5</v>
      </c>
    </row>
    <row r="43" spans="1:15" x14ac:dyDescent="0.2">
      <c r="A43" s="1037">
        <v>41</v>
      </c>
      <c r="B43" s="1043">
        <f t="shared" ref="B43:M44" si="9">SUM(B10,B20)</f>
        <v>2042</v>
      </c>
      <c r="C43" s="1043">
        <f t="shared" si="9"/>
        <v>2041</v>
      </c>
      <c r="D43" s="1043">
        <f t="shared" si="9"/>
        <v>2058</v>
      </c>
      <c r="E43" s="1043">
        <f t="shared" si="9"/>
        <v>2057</v>
      </c>
      <c r="F43" s="1043">
        <f t="shared" si="9"/>
        <v>2056</v>
      </c>
      <c r="G43" s="1043">
        <f t="shared" si="9"/>
        <v>2055</v>
      </c>
      <c r="H43" s="1043">
        <f t="shared" si="9"/>
        <v>2056</v>
      </c>
      <c r="I43" s="1043">
        <f t="shared" si="9"/>
        <v>2049</v>
      </c>
      <c r="J43" s="1043">
        <f t="shared" si="9"/>
        <v>2024</v>
      </c>
      <c r="K43" s="1043">
        <f t="shared" si="9"/>
        <v>1999</v>
      </c>
      <c r="L43" s="1043">
        <f t="shared" si="9"/>
        <v>1990</v>
      </c>
      <c r="M43" s="1043">
        <f t="shared" si="9"/>
        <v>1982</v>
      </c>
      <c r="N43" s="1043">
        <f t="shared" si="7"/>
        <v>24409</v>
      </c>
      <c r="O43" s="1043">
        <f t="shared" si="8"/>
        <v>2034.0833333333333</v>
      </c>
    </row>
    <row r="44" spans="1:15" x14ac:dyDescent="0.2">
      <c r="A44" s="1037" t="s">
        <v>808</v>
      </c>
      <c r="B44" s="1043">
        <f t="shared" si="9"/>
        <v>25</v>
      </c>
      <c r="C44" s="1043">
        <f t="shared" si="9"/>
        <v>25</v>
      </c>
      <c r="D44" s="1043">
        <f t="shared" si="9"/>
        <v>24</v>
      </c>
      <c r="E44" s="1043">
        <f t="shared" si="9"/>
        <v>24</v>
      </c>
      <c r="F44" s="1043">
        <f t="shared" si="9"/>
        <v>24</v>
      </c>
      <c r="G44" s="1043">
        <f t="shared" si="9"/>
        <v>24</v>
      </c>
      <c r="H44" s="1043">
        <f t="shared" si="9"/>
        <v>24</v>
      </c>
      <c r="I44" s="1043">
        <f t="shared" si="9"/>
        <v>25</v>
      </c>
      <c r="J44" s="1043">
        <f t="shared" si="9"/>
        <v>26</v>
      </c>
      <c r="K44" s="1043">
        <f t="shared" si="9"/>
        <v>28</v>
      </c>
      <c r="L44" s="1043">
        <f t="shared" si="9"/>
        <v>36</v>
      </c>
      <c r="M44" s="1043">
        <f t="shared" si="9"/>
        <v>46</v>
      </c>
      <c r="N44" s="1043">
        <f t="shared" si="7"/>
        <v>331</v>
      </c>
      <c r="O44" s="1043">
        <f t="shared" si="8"/>
        <v>27.583333333333332</v>
      </c>
    </row>
    <row r="45" spans="1:15" x14ac:dyDescent="0.2">
      <c r="A45" s="1044">
        <v>85</v>
      </c>
      <c r="B45" s="1045">
        <f t="shared" ref="B45:M47" si="10">SUM(B13,B23)</f>
        <v>33</v>
      </c>
      <c r="C45" s="1045">
        <f t="shared" si="10"/>
        <v>34</v>
      </c>
      <c r="D45" s="1045">
        <f t="shared" si="10"/>
        <v>33</v>
      </c>
      <c r="E45" s="1045">
        <f t="shared" si="10"/>
        <v>35</v>
      </c>
      <c r="F45" s="1045">
        <f t="shared" si="10"/>
        <v>34</v>
      </c>
      <c r="G45" s="1045">
        <f t="shared" si="10"/>
        <v>34</v>
      </c>
      <c r="H45" s="1045">
        <f t="shared" si="10"/>
        <v>34</v>
      </c>
      <c r="I45" s="1045">
        <f t="shared" si="10"/>
        <v>34</v>
      </c>
      <c r="J45" s="1045">
        <f t="shared" si="10"/>
        <v>34</v>
      </c>
      <c r="K45" s="1045">
        <f t="shared" si="10"/>
        <v>34</v>
      </c>
      <c r="L45" s="1045">
        <f t="shared" si="10"/>
        <v>34</v>
      </c>
      <c r="M45" s="1045">
        <f t="shared" si="10"/>
        <v>34</v>
      </c>
      <c r="N45" s="1043">
        <f t="shared" si="7"/>
        <v>407</v>
      </c>
      <c r="O45" s="1043">
        <f t="shared" si="8"/>
        <v>33.916666666666664</v>
      </c>
    </row>
    <row r="46" spans="1:15" x14ac:dyDescent="0.2">
      <c r="A46" s="1044" t="s">
        <v>809</v>
      </c>
      <c r="B46" s="1043">
        <f t="shared" si="10"/>
        <v>100</v>
      </c>
      <c r="C46" s="1043">
        <f t="shared" si="10"/>
        <v>99</v>
      </c>
      <c r="D46" s="1043">
        <f t="shared" si="10"/>
        <v>100</v>
      </c>
      <c r="E46" s="1043">
        <f t="shared" si="10"/>
        <v>101</v>
      </c>
      <c r="F46" s="1043">
        <f t="shared" si="10"/>
        <v>101</v>
      </c>
      <c r="G46" s="1043">
        <f t="shared" si="10"/>
        <v>101</v>
      </c>
      <c r="H46" s="1043">
        <f t="shared" si="10"/>
        <v>100</v>
      </c>
      <c r="I46" s="1043">
        <f t="shared" si="10"/>
        <v>99</v>
      </c>
      <c r="J46" s="1043">
        <f t="shared" si="10"/>
        <v>99</v>
      </c>
      <c r="K46" s="1043">
        <f t="shared" si="10"/>
        <v>98</v>
      </c>
      <c r="L46" s="1043">
        <f t="shared" si="10"/>
        <v>97</v>
      </c>
      <c r="M46" s="1043">
        <f t="shared" si="10"/>
        <v>98</v>
      </c>
      <c r="N46" s="1043">
        <f t="shared" si="7"/>
        <v>1193</v>
      </c>
      <c r="O46" s="1043">
        <f t="shared" si="8"/>
        <v>99.416666666666671</v>
      </c>
    </row>
    <row r="47" spans="1:15" x14ac:dyDescent="0.2">
      <c r="A47" s="1044">
        <v>86</v>
      </c>
      <c r="B47" s="1043">
        <f t="shared" si="10"/>
        <v>345</v>
      </c>
      <c r="C47" s="1043">
        <f t="shared" si="10"/>
        <v>344</v>
      </c>
      <c r="D47" s="1043">
        <f t="shared" si="10"/>
        <v>344</v>
      </c>
      <c r="E47" s="1043">
        <f t="shared" si="10"/>
        <v>342</v>
      </c>
      <c r="F47" s="1043">
        <f t="shared" si="10"/>
        <v>342</v>
      </c>
      <c r="G47" s="1043">
        <f t="shared" si="10"/>
        <v>342</v>
      </c>
      <c r="H47" s="1043">
        <f t="shared" si="10"/>
        <v>340</v>
      </c>
      <c r="I47" s="1043">
        <f t="shared" si="10"/>
        <v>337</v>
      </c>
      <c r="J47" s="1043">
        <f t="shared" si="10"/>
        <v>336</v>
      </c>
      <c r="K47" s="1043">
        <f t="shared" si="10"/>
        <v>330</v>
      </c>
      <c r="L47" s="1043">
        <f t="shared" si="10"/>
        <v>328</v>
      </c>
      <c r="M47" s="1043">
        <f t="shared" si="10"/>
        <v>328</v>
      </c>
      <c r="N47" s="1043">
        <f t="shared" si="7"/>
        <v>4058</v>
      </c>
      <c r="O47" s="1043">
        <f t="shared" si="8"/>
        <v>338.16666666666669</v>
      </c>
    </row>
    <row r="48" spans="1:15" x14ac:dyDescent="0.2">
      <c r="A48" s="1046" t="s">
        <v>810</v>
      </c>
      <c r="B48" s="1043">
        <f>B26</f>
        <v>0</v>
      </c>
      <c r="C48" s="1043">
        <f t="shared" ref="C48:M48" si="11">C26</f>
        <v>0</v>
      </c>
      <c r="D48" s="1043">
        <f t="shared" si="11"/>
        <v>0</v>
      </c>
      <c r="E48" s="1043">
        <f t="shared" si="11"/>
        <v>0</v>
      </c>
      <c r="F48" s="1043">
        <f t="shared" si="11"/>
        <v>0</v>
      </c>
      <c r="G48" s="1043">
        <f t="shared" si="11"/>
        <v>1</v>
      </c>
      <c r="H48" s="1043">
        <f t="shared" si="11"/>
        <v>1</v>
      </c>
      <c r="I48" s="1043">
        <f t="shared" si="11"/>
        <v>1</v>
      </c>
      <c r="J48" s="1043">
        <f t="shared" si="11"/>
        <v>1</v>
      </c>
      <c r="K48" s="1043">
        <f t="shared" si="11"/>
        <v>1</v>
      </c>
      <c r="L48" s="1043">
        <f t="shared" si="11"/>
        <v>1</v>
      </c>
      <c r="M48" s="1043">
        <f t="shared" si="11"/>
        <v>1</v>
      </c>
      <c r="N48" s="1043">
        <f t="shared" si="7"/>
        <v>7</v>
      </c>
      <c r="O48" s="1043">
        <f t="shared" si="8"/>
        <v>0.58333333333333337</v>
      </c>
    </row>
    <row r="49" spans="1:15" x14ac:dyDescent="0.2">
      <c r="A49" s="1044">
        <v>87</v>
      </c>
      <c r="B49" s="1043">
        <f t="shared" ref="B49:M50" si="12">SUM(B16,B27)</f>
        <v>9</v>
      </c>
      <c r="C49" s="1043">
        <f t="shared" si="12"/>
        <v>9</v>
      </c>
      <c r="D49" s="1043">
        <f t="shared" si="12"/>
        <v>9</v>
      </c>
      <c r="E49" s="1043">
        <f t="shared" si="12"/>
        <v>9</v>
      </c>
      <c r="F49" s="1043">
        <f t="shared" si="12"/>
        <v>9</v>
      </c>
      <c r="G49" s="1043">
        <f t="shared" si="12"/>
        <v>9</v>
      </c>
      <c r="H49" s="1043">
        <f t="shared" si="12"/>
        <v>9</v>
      </c>
      <c r="I49" s="1043">
        <f t="shared" si="12"/>
        <v>9</v>
      </c>
      <c r="J49" s="1043">
        <f t="shared" si="12"/>
        <v>9</v>
      </c>
      <c r="K49" s="1043">
        <f t="shared" si="12"/>
        <v>9</v>
      </c>
      <c r="L49" s="1043">
        <f t="shared" si="12"/>
        <v>9</v>
      </c>
      <c r="M49" s="1043">
        <f t="shared" si="12"/>
        <v>9</v>
      </c>
      <c r="N49" s="1043">
        <f t="shared" si="7"/>
        <v>108</v>
      </c>
      <c r="O49" s="1043">
        <f t="shared" si="8"/>
        <v>9</v>
      </c>
    </row>
    <row r="50" spans="1:15" x14ac:dyDescent="0.2">
      <c r="A50" s="1044" t="s">
        <v>811</v>
      </c>
      <c r="B50" s="1043">
        <f t="shared" si="12"/>
        <v>13</v>
      </c>
      <c r="C50" s="1043">
        <f t="shared" si="12"/>
        <v>13</v>
      </c>
      <c r="D50" s="1043">
        <f t="shared" si="12"/>
        <v>13</v>
      </c>
      <c r="E50" s="1043">
        <f t="shared" si="12"/>
        <v>13</v>
      </c>
      <c r="F50" s="1043">
        <f t="shared" si="12"/>
        <v>13</v>
      </c>
      <c r="G50" s="1043">
        <f t="shared" si="12"/>
        <v>13</v>
      </c>
      <c r="H50" s="1043">
        <f t="shared" si="12"/>
        <v>13</v>
      </c>
      <c r="I50" s="1043">
        <f t="shared" si="12"/>
        <v>13</v>
      </c>
      <c r="J50" s="1043">
        <f t="shared" si="12"/>
        <v>13</v>
      </c>
      <c r="K50" s="1043">
        <f t="shared" si="12"/>
        <v>13</v>
      </c>
      <c r="L50" s="1043">
        <f t="shared" si="12"/>
        <v>13</v>
      </c>
      <c r="M50" s="1043">
        <f t="shared" si="12"/>
        <v>12</v>
      </c>
      <c r="N50" s="1043">
        <f t="shared" si="7"/>
        <v>155</v>
      </c>
      <c r="O50" s="1043">
        <f t="shared" si="8"/>
        <v>12.916666666666666</v>
      </c>
    </row>
    <row r="51" spans="1:15" x14ac:dyDescent="0.2">
      <c r="A51" s="1044">
        <v>99</v>
      </c>
      <c r="B51" s="1047">
        <f>B30</f>
        <v>12</v>
      </c>
      <c r="C51" s="1047">
        <f t="shared" ref="C51:M51" si="13">C30</f>
        <v>12</v>
      </c>
      <c r="D51" s="1047">
        <f t="shared" si="13"/>
        <v>12</v>
      </c>
      <c r="E51" s="1047">
        <f t="shared" si="13"/>
        <v>12</v>
      </c>
      <c r="F51" s="1047">
        <f t="shared" si="13"/>
        <v>12</v>
      </c>
      <c r="G51" s="1047">
        <f t="shared" si="13"/>
        <v>12</v>
      </c>
      <c r="H51" s="1047">
        <f t="shared" si="13"/>
        <v>12</v>
      </c>
      <c r="I51" s="1047">
        <f t="shared" si="13"/>
        <v>12</v>
      </c>
      <c r="J51" s="1047">
        <f t="shared" si="13"/>
        <v>12</v>
      </c>
      <c r="K51" s="1047">
        <f t="shared" si="13"/>
        <v>12</v>
      </c>
      <c r="L51" s="1047">
        <f t="shared" si="13"/>
        <v>12</v>
      </c>
      <c r="M51" s="1047">
        <f t="shared" si="13"/>
        <v>12</v>
      </c>
      <c r="N51" s="1043">
        <f t="shared" si="7"/>
        <v>144</v>
      </c>
      <c r="O51" s="1043">
        <f t="shared" si="8"/>
        <v>12</v>
      </c>
    </row>
    <row r="52" spans="1:15" x14ac:dyDescent="0.2">
      <c r="A52" s="1048" t="s">
        <v>23</v>
      </c>
      <c r="B52" s="1049">
        <f>SUM(B41:B51)</f>
        <v>750114</v>
      </c>
      <c r="C52" s="1049">
        <f t="shared" ref="C52:O52" si="14">SUM(C41:C51)</f>
        <v>750882</v>
      </c>
      <c r="D52" s="1049">
        <f t="shared" si="14"/>
        <v>751257</v>
      </c>
      <c r="E52" s="1049">
        <f t="shared" si="14"/>
        <v>751521</v>
      </c>
      <c r="F52" s="1049">
        <f t="shared" si="14"/>
        <v>751045</v>
      </c>
      <c r="G52" s="1049">
        <f t="shared" si="14"/>
        <v>750359</v>
      </c>
      <c r="H52" s="1049">
        <f t="shared" si="14"/>
        <v>749584</v>
      </c>
      <c r="I52" s="1049">
        <f t="shared" si="14"/>
        <v>748632</v>
      </c>
      <c r="J52" s="1049">
        <f t="shared" si="14"/>
        <v>748893</v>
      </c>
      <c r="K52" s="1049">
        <f t="shared" si="14"/>
        <v>750305</v>
      </c>
      <c r="L52" s="1049">
        <f t="shared" si="14"/>
        <v>751996</v>
      </c>
      <c r="M52" s="1049">
        <f t="shared" si="14"/>
        <v>753498</v>
      </c>
      <c r="N52" s="1049">
        <f t="shared" si="14"/>
        <v>9008086</v>
      </c>
      <c r="O52" s="1049">
        <f t="shared" si="14"/>
        <v>750673.83333333326</v>
      </c>
    </row>
    <row r="53" spans="1:15" x14ac:dyDescent="0.2">
      <c r="A53" s="1048" t="s">
        <v>131</v>
      </c>
      <c r="B53" s="1050">
        <f>B52-B34</f>
        <v>0</v>
      </c>
      <c r="C53" s="1050">
        <f t="shared" ref="C53:N53" si="15">C52-C34</f>
        <v>0</v>
      </c>
      <c r="D53" s="1050">
        <f t="shared" si="15"/>
        <v>0</v>
      </c>
      <c r="E53" s="1050">
        <f t="shared" si="15"/>
        <v>0</v>
      </c>
      <c r="F53" s="1050">
        <f t="shared" si="15"/>
        <v>0</v>
      </c>
      <c r="G53" s="1050">
        <f t="shared" si="15"/>
        <v>0</v>
      </c>
      <c r="H53" s="1050">
        <f t="shared" si="15"/>
        <v>0</v>
      </c>
      <c r="I53" s="1050">
        <f t="shared" si="15"/>
        <v>0</v>
      </c>
      <c r="J53" s="1050">
        <f t="shared" si="15"/>
        <v>0</v>
      </c>
      <c r="K53" s="1050">
        <f t="shared" si="15"/>
        <v>0</v>
      </c>
      <c r="L53" s="1050">
        <f t="shared" si="15"/>
        <v>0</v>
      </c>
      <c r="M53" s="1050">
        <f t="shared" si="15"/>
        <v>0</v>
      </c>
      <c r="N53" s="1050">
        <f t="shared" si="15"/>
        <v>0</v>
      </c>
      <c r="O53" s="1050"/>
    </row>
    <row r="54" spans="1:15" x14ac:dyDescent="0.2">
      <c r="A54" s="1044" t="s">
        <v>1818</v>
      </c>
      <c r="B54" s="1050">
        <f>B52-B44-B46-B48-B50-B51</f>
        <v>749964</v>
      </c>
      <c r="C54" s="1050">
        <f t="shared" ref="C54:M54" si="16">C52-C44-C46-C48-C50-C51</f>
        <v>750733</v>
      </c>
      <c r="D54" s="1050">
        <f t="shared" si="16"/>
        <v>751108</v>
      </c>
      <c r="E54" s="1050">
        <f t="shared" si="16"/>
        <v>751371</v>
      </c>
      <c r="F54" s="1050">
        <f t="shared" si="16"/>
        <v>750895</v>
      </c>
      <c r="G54" s="1050">
        <f t="shared" si="16"/>
        <v>750208</v>
      </c>
      <c r="H54" s="1050">
        <f t="shared" si="16"/>
        <v>749434</v>
      </c>
      <c r="I54" s="1050">
        <f t="shared" si="16"/>
        <v>748482</v>
      </c>
      <c r="J54" s="1050">
        <f t="shared" si="16"/>
        <v>748742</v>
      </c>
      <c r="K54" s="1050">
        <f t="shared" si="16"/>
        <v>750153</v>
      </c>
      <c r="L54" s="1050">
        <f t="shared" si="16"/>
        <v>751837</v>
      </c>
      <c r="M54" s="1050">
        <f t="shared" si="16"/>
        <v>753329</v>
      </c>
      <c r="N54" s="1050">
        <f>N52-N44-N46-N48-N50-N51</f>
        <v>9006256</v>
      </c>
      <c r="O54" s="1050">
        <f>O52-O44-O46-O48-O50-O51</f>
        <v>750521.33333333326</v>
      </c>
    </row>
    <row r="55" spans="1:15" x14ac:dyDescent="0.2">
      <c r="A55" s="1044" t="s">
        <v>1819</v>
      </c>
      <c r="B55" s="1050">
        <f>B44+B46+B48+B50+B51</f>
        <v>150</v>
      </c>
      <c r="C55" s="1050">
        <f t="shared" ref="C55:M55" si="17">C44+C46+C48+C50+C51</f>
        <v>149</v>
      </c>
      <c r="D55" s="1050">
        <f t="shared" si="17"/>
        <v>149</v>
      </c>
      <c r="E55" s="1050">
        <f t="shared" si="17"/>
        <v>150</v>
      </c>
      <c r="F55" s="1050">
        <f t="shared" si="17"/>
        <v>150</v>
      </c>
      <c r="G55" s="1050">
        <f t="shared" si="17"/>
        <v>151</v>
      </c>
      <c r="H55" s="1050">
        <f t="shared" si="17"/>
        <v>150</v>
      </c>
      <c r="I55" s="1050">
        <f t="shared" si="17"/>
        <v>150</v>
      </c>
      <c r="J55" s="1050">
        <f t="shared" si="17"/>
        <v>151</v>
      </c>
      <c r="K55" s="1050">
        <f t="shared" si="17"/>
        <v>152</v>
      </c>
      <c r="L55" s="1050">
        <f t="shared" si="17"/>
        <v>159</v>
      </c>
      <c r="M55" s="1050">
        <f t="shared" si="17"/>
        <v>169</v>
      </c>
      <c r="N55" s="1050">
        <f>N44+N46+N48+N50+N51</f>
        <v>1830</v>
      </c>
      <c r="O55" s="1050">
        <f>O44+O46+O48+O50+O51</f>
        <v>152.5</v>
      </c>
    </row>
    <row r="56" spans="1:15" x14ac:dyDescent="0.2">
      <c r="A56" s="1048"/>
      <c r="B56" s="1048"/>
      <c r="C56" s="1048"/>
      <c r="D56" s="1048"/>
      <c r="E56" s="1048"/>
      <c r="F56" s="1048"/>
      <c r="G56" s="1048"/>
      <c r="H56" s="1048"/>
      <c r="I56" s="1048"/>
      <c r="J56" s="1048"/>
      <c r="K56" s="1048"/>
      <c r="L56" s="1048"/>
      <c r="M56" s="1048"/>
      <c r="N56" s="1048"/>
      <c r="O56" s="1048"/>
    </row>
    <row r="57" spans="1:15" x14ac:dyDescent="0.2">
      <c r="A57" s="1039" t="s">
        <v>1820</v>
      </c>
    </row>
  </sheetData>
  <pageMargins left="0.7" right="0.7" top="0.75" bottom="0.75" header="0.3" footer="0.3"/>
  <pageSetup fitToHeight="2" orientation="portrait" r:id="rId1"/>
  <rowBreaks count="1" manualBreakCount="1">
    <brk id="36"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49"/>
  <sheetViews>
    <sheetView workbookViewId="0">
      <selection activeCell="C35" sqref="C35"/>
    </sheetView>
  </sheetViews>
  <sheetFormatPr defaultRowHeight="12.75" x14ac:dyDescent="0.2"/>
  <cols>
    <col min="1" max="1" width="42.42578125" style="1054" bestFit="1" customWidth="1"/>
    <col min="2" max="2" width="6.7109375" style="1054" customWidth="1"/>
    <col min="3" max="14" width="8.42578125" style="1054" bestFit="1" customWidth="1"/>
    <col min="15" max="15" width="10.140625" style="1054" bestFit="1" customWidth="1"/>
    <col min="16" max="16" width="9.5703125" style="1054" customWidth="1"/>
    <col min="17" max="256" width="9.140625" style="1054"/>
    <col min="257" max="257" width="42.42578125" style="1054" bestFit="1" customWidth="1"/>
    <col min="258" max="258" width="6.7109375" style="1054" customWidth="1"/>
    <col min="259" max="270" width="8.42578125" style="1054" bestFit="1" customWidth="1"/>
    <col min="271" max="271" width="10.140625" style="1054" bestFit="1" customWidth="1"/>
    <col min="272" max="272" width="9.5703125" style="1054" customWidth="1"/>
    <col min="273" max="512" width="9.140625" style="1054"/>
    <col min="513" max="513" width="42.42578125" style="1054" bestFit="1" customWidth="1"/>
    <col min="514" max="514" width="6.7109375" style="1054" customWidth="1"/>
    <col min="515" max="526" width="8.42578125" style="1054" bestFit="1" customWidth="1"/>
    <col min="527" max="527" width="10.140625" style="1054" bestFit="1" customWidth="1"/>
    <col min="528" max="528" width="9.5703125" style="1054" customWidth="1"/>
    <col min="529" max="768" width="9.140625" style="1054"/>
    <col min="769" max="769" width="42.42578125" style="1054" bestFit="1" customWidth="1"/>
    <col min="770" max="770" width="6.7109375" style="1054" customWidth="1"/>
    <col min="771" max="782" width="8.42578125" style="1054" bestFit="1" customWidth="1"/>
    <col min="783" max="783" width="10.140625" style="1054" bestFit="1" customWidth="1"/>
    <col min="784" max="784" width="9.5703125" style="1054" customWidth="1"/>
    <col min="785" max="1024" width="9.140625" style="1054"/>
    <col min="1025" max="1025" width="42.42578125" style="1054" bestFit="1" customWidth="1"/>
    <col min="1026" max="1026" width="6.7109375" style="1054" customWidth="1"/>
    <col min="1027" max="1038" width="8.42578125" style="1054" bestFit="1" customWidth="1"/>
    <col min="1039" max="1039" width="10.140625" style="1054" bestFit="1" customWidth="1"/>
    <col min="1040" max="1040" width="9.5703125" style="1054" customWidth="1"/>
    <col min="1041" max="1280" width="9.140625" style="1054"/>
    <col min="1281" max="1281" width="42.42578125" style="1054" bestFit="1" customWidth="1"/>
    <col min="1282" max="1282" width="6.7109375" style="1054" customWidth="1"/>
    <col min="1283" max="1294" width="8.42578125" style="1054" bestFit="1" customWidth="1"/>
    <col min="1295" max="1295" width="10.140625" style="1054" bestFit="1" customWidth="1"/>
    <col min="1296" max="1296" width="9.5703125" style="1054" customWidth="1"/>
    <col min="1297" max="1536" width="9.140625" style="1054"/>
    <col min="1537" max="1537" width="42.42578125" style="1054" bestFit="1" customWidth="1"/>
    <col min="1538" max="1538" width="6.7109375" style="1054" customWidth="1"/>
    <col min="1539" max="1550" width="8.42578125" style="1054" bestFit="1" customWidth="1"/>
    <col min="1551" max="1551" width="10.140625" style="1054" bestFit="1" customWidth="1"/>
    <col min="1552" max="1552" width="9.5703125" style="1054" customWidth="1"/>
    <col min="1553" max="1792" width="9.140625" style="1054"/>
    <col min="1793" max="1793" width="42.42578125" style="1054" bestFit="1" customWidth="1"/>
    <col min="1794" max="1794" width="6.7109375" style="1054" customWidth="1"/>
    <col min="1795" max="1806" width="8.42578125" style="1054" bestFit="1" customWidth="1"/>
    <col min="1807" max="1807" width="10.140625" style="1054" bestFit="1" customWidth="1"/>
    <col min="1808" max="1808" width="9.5703125" style="1054" customWidth="1"/>
    <col min="1809" max="2048" width="9.140625" style="1054"/>
    <col min="2049" max="2049" width="42.42578125" style="1054" bestFit="1" customWidth="1"/>
    <col min="2050" max="2050" width="6.7109375" style="1054" customWidth="1"/>
    <col min="2051" max="2062" width="8.42578125" style="1054" bestFit="1" customWidth="1"/>
    <col min="2063" max="2063" width="10.140625" style="1054" bestFit="1" customWidth="1"/>
    <col min="2064" max="2064" width="9.5703125" style="1054" customWidth="1"/>
    <col min="2065" max="2304" width="9.140625" style="1054"/>
    <col min="2305" max="2305" width="42.42578125" style="1054" bestFit="1" customWidth="1"/>
    <col min="2306" max="2306" width="6.7109375" style="1054" customWidth="1"/>
    <col min="2307" max="2318" width="8.42578125" style="1054" bestFit="1" customWidth="1"/>
    <col min="2319" max="2319" width="10.140625" style="1054" bestFit="1" customWidth="1"/>
    <col min="2320" max="2320" width="9.5703125" style="1054" customWidth="1"/>
    <col min="2321" max="2560" width="9.140625" style="1054"/>
    <col min="2561" max="2561" width="42.42578125" style="1054" bestFit="1" customWidth="1"/>
    <col min="2562" max="2562" width="6.7109375" style="1054" customWidth="1"/>
    <col min="2563" max="2574" width="8.42578125" style="1054" bestFit="1" customWidth="1"/>
    <col min="2575" max="2575" width="10.140625" style="1054" bestFit="1" customWidth="1"/>
    <col min="2576" max="2576" width="9.5703125" style="1054" customWidth="1"/>
    <col min="2577" max="2816" width="9.140625" style="1054"/>
    <col min="2817" max="2817" width="42.42578125" style="1054" bestFit="1" customWidth="1"/>
    <col min="2818" max="2818" width="6.7109375" style="1054" customWidth="1"/>
    <col min="2819" max="2830" width="8.42578125" style="1054" bestFit="1" customWidth="1"/>
    <col min="2831" max="2831" width="10.140625" style="1054" bestFit="1" customWidth="1"/>
    <col min="2832" max="2832" width="9.5703125" style="1054" customWidth="1"/>
    <col min="2833" max="3072" width="9.140625" style="1054"/>
    <col min="3073" max="3073" width="42.42578125" style="1054" bestFit="1" customWidth="1"/>
    <col min="3074" max="3074" width="6.7109375" style="1054" customWidth="1"/>
    <col min="3075" max="3086" width="8.42578125" style="1054" bestFit="1" customWidth="1"/>
    <col min="3087" max="3087" width="10.140625" style="1054" bestFit="1" customWidth="1"/>
    <col min="3088" max="3088" width="9.5703125" style="1054" customWidth="1"/>
    <col min="3089" max="3328" width="9.140625" style="1054"/>
    <col min="3329" max="3329" width="42.42578125" style="1054" bestFit="1" customWidth="1"/>
    <col min="3330" max="3330" width="6.7109375" style="1054" customWidth="1"/>
    <col min="3331" max="3342" width="8.42578125" style="1054" bestFit="1" customWidth="1"/>
    <col min="3343" max="3343" width="10.140625" style="1054" bestFit="1" customWidth="1"/>
    <col min="3344" max="3344" width="9.5703125" style="1054" customWidth="1"/>
    <col min="3345" max="3584" width="9.140625" style="1054"/>
    <col min="3585" max="3585" width="42.42578125" style="1054" bestFit="1" customWidth="1"/>
    <col min="3586" max="3586" width="6.7109375" style="1054" customWidth="1"/>
    <col min="3587" max="3598" width="8.42578125" style="1054" bestFit="1" customWidth="1"/>
    <col min="3599" max="3599" width="10.140625" style="1054" bestFit="1" customWidth="1"/>
    <col min="3600" max="3600" width="9.5703125" style="1054" customWidth="1"/>
    <col min="3601" max="3840" width="9.140625" style="1054"/>
    <col min="3841" max="3841" width="42.42578125" style="1054" bestFit="1" customWidth="1"/>
    <col min="3842" max="3842" width="6.7109375" style="1054" customWidth="1"/>
    <col min="3843" max="3854" width="8.42578125" style="1054" bestFit="1" customWidth="1"/>
    <col min="3855" max="3855" width="10.140625" style="1054" bestFit="1" customWidth="1"/>
    <col min="3856" max="3856" width="9.5703125" style="1054" customWidth="1"/>
    <col min="3857" max="4096" width="9.140625" style="1054"/>
    <col min="4097" max="4097" width="42.42578125" style="1054" bestFit="1" customWidth="1"/>
    <col min="4098" max="4098" width="6.7109375" style="1054" customWidth="1"/>
    <col min="4099" max="4110" width="8.42578125" style="1054" bestFit="1" customWidth="1"/>
    <col min="4111" max="4111" width="10.140625" style="1054" bestFit="1" customWidth="1"/>
    <col min="4112" max="4112" width="9.5703125" style="1054" customWidth="1"/>
    <col min="4113" max="4352" width="9.140625" style="1054"/>
    <col min="4353" max="4353" width="42.42578125" style="1054" bestFit="1" customWidth="1"/>
    <col min="4354" max="4354" width="6.7109375" style="1054" customWidth="1"/>
    <col min="4355" max="4366" width="8.42578125" style="1054" bestFit="1" customWidth="1"/>
    <col min="4367" max="4367" width="10.140625" style="1054" bestFit="1" customWidth="1"/>
    <col min="4368" max="4368" width="9.5703125" style="1054" customWidth="1"/>
    <col min="4369" max="4608" width="9.140625" style="1054"/>
    <col min="4609" max="4609" width="42.42578125" style="1054" bestFit="1" customWidth="1"/>
    <col min="4610" max="4610" width="6.7109375" style="1054" customWidth="1"/>
    <col min="4611" max="4622" width="8.42578125" style="1054" bestFit="1" customWidth="1"/>
    <col min="4623" max="4623" width="10.140625" style="1054" bestFit="1" customWidth="1"/>
    <col min="4624" max="4624" width="9.5703125" style="1054" customWidth="1"/>
    <col min="4625" max="4864" width="9.140625" style="1054"/>
    <col min="4865" max="4865" width="42.42578125" style="1054" bestFit="1" customWidth="1"/>
    <col min="4866" max="4866" width="6.7109375" style="1054" customWidth="1"/>
    <col min="4867" max="4878" width="8.42578125" style="1054" bestFit="1" customWidth="1"/>
    <col min="4879" max="4879" width="10.140625" style="1054" bestFit="1" customWidth="1"/>
    <col min="4880" max="4880" width="9.5703125" style="1054" customWidth="1"/>
    <col min="4881" max="5120" width="9.140625" style="1054"/>
    <col min="5121" max="5121" width="42.42578125" style="1054" bestFit="1" customWidth="1"/>
    <col min="5122" max="5122" width="6.7109375" style="1054" customWidth="1"/>
    <col min="5123" max="5134" width="8.42578125" style="1054" bestFit="1" customWidth="1"/>
    <col min="5135" max="5135" width="10.140625" style="1054" bestFit="1" customWidth="1"/>
    <col min="5136" max="5136" width="9.5703125" style="1054" customWidth="1"/>
    <col min="5137" max="5376" width="9.140625" style="1054"/>
    <col min="5377" max="5377" width="42.42578125" style="1054" bestFit="1" customWidth="1"/>
    <col min="5378" max="5378" width="6.7109375" style="1054" customWidth="1"/>
    <col min="5379" max="5390" width="8.42578125" style="1054" bestFit="1" customWidth="1"/>
    <col min="5391" max="5391" width="10.140625" style="1054" bestFit="1" customWidth="1"/>
    <col min="5392" max="5392" width="9.5703125" style="1054" customWidth="1"/>
    <col min="5393" max="5632" width="9.140625" style="1054"/>
    <col min="5633" max="5633" width="42.42578125" style="1054" bestFit="1" customWidth="1"/>
    <col min="5634" max="5634" width="6.7109375" style="1054" customWidth="1"/>
    <col min="5635" max="5646" width="8.42578125" style="1054" bestFit="1" customWidth="1"/>
    <col min="5647" max="5647" width="10.140625" style="1054" bestFit="1" customWidth="1"/>
    <col min="5648" max="5648" width="9.5703125" style="1054" customWidth="1"/>
    <col min="5649" max="5888" width="9.140625" style="1054"/>
    <col min="5889" max="5889" width="42.42578125" style="1054" bestFit="1" customWidth="1"/>
    <col min="5890" max="5890" width="6.7109375" style="1054" customWidth="1"/>
    <col min="5891" max="5902" width="8.42578125" style="1054" bestFit="1" customWidth="1"/>
    <col min="5903" max="5903" width="10.140625" style="1054" bestFit="1" customWidth="1"/>
    <col min="5904" max="5904" width="9.5703125" style="1054" customWidth="1"/>
    <col min="5905" max="6144" width="9.140625" style="1054"/>
    <col min="6145" max="6145" width="42.42578125" style="1054" bestFit="1" customWidth="1"/>
    <col min="6146" max="6146" width="6.7109375" style="1054" customWidth="1"/>
    <col min="6147" max="6158" width="8.42578125" style="1054" bestFit="1" customWidth="1"/>
    <col min="6159" max="6159" width="10.140625" style="1054" bestFit="1" customWidth="1"/>
    <col min="6160" max="6160" width="9.5703125" style="1054" customWidth="1"/>
    <col min="6161" max="6400" width="9.140625" style="1054"/>
    <col min="6401" max="6401" width="42.42578125" style="1054" bestFit="1" customWidth="1"/>
    <col min="6402" max="6402" width="6.7109375" style="1054" customWidth="1"/>
    <col min="6403" max="6414" width="8.42578125" style="1054" bestFit="1" customWidth="1"/>
    <col min="6415" max="6415" width="10.140625" style="1054" bestFit="1" customWidth="1"/>
    <col min="6416" max="6416" width="9.5703125" style="1054" customWidth="1"/>
    <col min="6417" max="6656" width="9.140625" style="1054"/>
    <col min="6657" max="6657" width="42.42578125" style="1054" bestFit="1" customWidth="1"/>
    <col min="6658" max="6658" width="6.7109375" style="1054" customWidth="1"/>
    <col min="6659" max="6670" width="8.42578125" style="1054" bestFit="1" customWidth="1"/>
    <col min="6671" max="6671" width="10.140625" style="1054" bestFit="1" customWidth="1"/>
    <col min="6672" max="6672" width="9.5703125" style="1054" customWidth="1"/>
    <col min="6673" max="6912" width="9.140625" style="1054"/>
    <col min="6913" max="6913" width="42.42578125" style="1054" bestFit="1" customWidth="1"/>
    <col min="6914" max="6914" width="6.7109375" style="1054" customWidth="1"/>
    <col min="6915" max="6926" width="8.42578125" style="1054" bestFit="1" customWidth="1"/>
    <col min="6927" max="6927" width="10.140625" style="1054" bestFit="1" customWidth="1"/>
    <col min="6928" max="6928" width="9.5703125" style="1054" customWidth="1"/>
    <col min="6929" max="7168" width="9.140625" style="1054"/>
    <col min="7169" max="7169" width="42.42578125" style="1054" bestFit="1" customWidth="1"/>
    <col min="7170" max="7170" width="6.7109375" style="1054" customWidth="1"/>
    <col min="7171" max="7182" width="8.42578125" style="1054" bestFit="1" customWidth="1"/>
    <col min="7183" max="7183" width="10.140625" style="1054" bestFit="1" customWidth="1"/>
    <col min="7184" max="7184" width="9.5703125" style="1054" customWidth="1"/>
    <col min="7185" max="7424" width="9.140625" style="1054"/>
    <col min="7425" max="7425" width="42.42578125" style="1054" bestFit="1" customWidth="1"/>
    <col min="7426" max="7426" width="6.7109375" style="1054" customWidth="1"/>
    <col min="7427" max="7438" width="8.42578125" style="1054" bestFit="1" customWidth="1"/>
    <col min="7439" max="7439" width="10.140625" style="1054" bestFit="1" customWidth="1"/>
    <col min="7440" max="7440" width="9.5703125" style="1054" customWidth="1"/>
    <col min="7441" max="7680" width="9.140625" style="1054"/>
    <col min="7681" max="7681" width="42.42578125" style="1054" bestFit="1" customWidth="1"/>
    <col min="7682" max="7682" width="6.7109375" style="1054" customWidth="1"/>
    <col min="7683" max="7694" width="8.42578125" style="1054" bestFit="1" customWidth="1"/>
    <col min="7695" max="7695" width="10.140625" style="1054" bestFit="1" customWidth="1"/>
    <col min="7696" max="7696" width="9.5703125" style="1054" customWidth="1"/>
    <col min="7697" max="7936" width="9.140625" style="1054"/>
    <col min="7937" max="7937" width="42.42578125" style="1054" bestFit="1" customWidth="1"/>
    <col min="7938" max="7938" width="6.7109375" style="1054" customWidth="1"/>
    <col min="7939" max="7950" width="8.42578125" style="1054" bestFit="1" customWidth="1"/>
    <col min="7951" max="7951" width="10.140625" style="1054" bestFit="1" customWidth="1"/>
    <col min="7952" max="7952" width="9.5703125" style="1054" customWidth="1"/>
    <col min="7953" max="8192" width="9.140625" style="1054"/>
    <col min="8193" max="8193" width="42.42578125" style="1054" bestFit="1" customWidth="1"/>
    <col min="8194" max="8194" width="6.7109375" style="1054" customWidth="1"/>
    <col min="8195" max="8206" width="8.42578125" style="1054" bestFit="1" customWidth="1"/>
    <col min="8207" max="8207" width="10.140625" style="1054" bestFit="1" customWidth="1"/>
    <col min="8208" max="8208" width="9.5703125" style="1054" customWidth="1"/>
    <col min="8209" max="8448" width="9.140625" style="1054"/>
    <col min="8449" max="8449" width="42.42578125" style="1054" bestFit="1" customWidth="1"/>
    <col min="8450" max="8450" width="6.7109375" style="1054" customWidth="1"/>
    <col min="8451" max="8462" width="8.42578125" style="1054" bestFit="1" customWidth="1"/>
    <col min="8463" max="8463" width="10.140625" style="1054" bestFit="1" customWidth="1"/>
    <col min="8464" max="8464" width="9.5703125" style="1054" customWidth="1"/>
    <col min="8465" max="8704" width="9.140625" style="1054"/>
    <col min="8705" max="8705" width="42.42578125" style="1054" bestFit="1" customWidth="1"/>
    <col min="8706" max="8706" width="6.7109375" style="1054" customWidth="1"/>
    <col min="8707" max="8718" width="8.42578125" style="1054" bestFit="1" customWidth="1"/>
    <col min="8719" max="8719" width="10.140625" style="1054" bestFit="1" customWidth="1"/>
    <col min="8720" max="8720" width="9.5703125" style="1054" customWidth="1"/>
    <col min="8721" max="8960" width="9.140625" style="1054"/>
    <col min="8961" max="8961" width="42.42578125" style="1054" bestFit="1" customWidth="1"/>
    <col min="8962" max="8962" width="6.7109375" style="1054" customWidth="1"/>
    <col min="8963" max="8974" width="8.42578125" style="1054" bestFit="1" customWidth="1"/>
    <col min="8975" max="8975" width="10.140625" style="1054" bestFit="1" customWidth="1"/>
    <col min="8976" max="8976" width="9.5703125" style="1054" customWidth="1"/>
    <col min="8977" max="9216" width="9.140625" style="1054"/>
    <col min="9217" max="9217" width="42.42578125" style="1054" bestFit="1" customWidth="1"/>
    <col min="9218" max="9218" width="6.7109375" style="1054" customWidth="1"/>
    <col min="9219" max="9230" width="8.42578125" style="1054" bestFit="1" customWidth="1"/>
    <col min="9231" max="9231" width="10.140625" style="1054" bestFit="1" customWidth="1"/>
    <col min="9232" max="9232" width="9.5703125" style="1054" customWidth="1"/>
    <col min="9233" max="9472" width="9.140625" style="1054"/>
    <col min="9473" max="9473" width="42.42578125" style="1054" bestFit="1" customWidth="1"/>
    <col min="9474" max="9474" width="6.7109375" style="1054" customWidth="1"/>
    <col min="9475" max="9486" width="8.42578125" style="1054" bestFit="1" customWidth="1"/>
    <col min="9487" max="9487" width="10.140625" style="1054" bestFit="1" customWidth="1"/>
    <col min="9488" max="9488" width="9.5703125" style="1054" customWidth="1"/>
    <col min="9489" max="9728" width="9.140625" style="1054"/>
    <col min="9729" max="9729" width="42.42578125" style="1054" bestFit="1" customWidth="1"/>
    <col min="9730" max="9730" width="6.7109375" style="1054" customWidth="1"/>
    <col min="9731" max="9742" width="8.42578125" style="1054" bestFit="1" customWidth="1"/>
    <col min="9743" max="9743" width="10.140625" style="1054" bestFit="1" customWidth="1"/>
    <col min="9744" max="9744" width="9.5703125" style="1054" customWidth="1"/>
    <col min="9745" max="9984" width="9.140625" style="1054"/>
    <col min="9985" max="9985" width="42.42578125" style="1054" bestFit="1" customWidth="1"/>
    <col min="9986" max="9986" width="6.7109375" style="1054" customWidth="1"/>
    <col min="9987" max="9998" width="8.42578125" style="1054" bestFit="1" customWidth="1"/>
    <col min="9999" max="9999" width="10.140625" style="1054" bestFit="1" customWidth="1"/>
    <col min="10000" max="10000" width="9.5703125" style="1054" customWidth="1"/>
    <col min="10001" max="10240" width="9.140625" style="1054"/>
    <col min="10241" max="10241" width="42.42578125" style="1054" bestFit="1" customWidth="1"/>
    <col min="10242" max="10242" width="6.7109375" style="1054" customWidth="1"/>
    <col min="10243" max="10254" width="8.42578125" style="1054" bestFit="1" customWidth="1"/>
    <col min="10255" max="10255" width="10.140625" style="1054" bestFit="1" customWidth="1"/>
    <col min="10256" max="10256" width="9.5703125" style="1054" customWidth="1"/>
    <col min="10257" max="10496" width="9.140625" style="1054"/>
    <col min="10497" max="10497" width="42.42578125" style="1054" bestFit="1" customWidth="1"/>
    <col min="10498" max="10498" width="6.7109375" style="1054" customWidth="1"/>
    <col min="10499" max="10510" width="8.42578125" style="1054" bestFit="1" customWidth="1"/>
    <col min="10511" max="10511" width="10.140625" style="1054" bestFit="1" customWidth="1"/>
    <col min="10512" max="10512" width="9.5703125" style="1054" customWidth="1"/>
    <col min="10513" max="10752" width="9.140625" style="1054"/>
    <col min="10753" max="10753" width="42.42578125" style="1054" bestFit="1" customWidth="1"/>
    <col min="10754" max="10754" width="6.7109375" style="1054" customWidth="1"/>
    <col min="10755" max="10766" width="8.42578125" style="1054" bestFit="1" customWidth="1"/>
    <col min="10767" max="10767" width="10.140625" style="1054" bestFit="1" customWidth="1"/>
    <col min="10768" max="10768" width="9.5703125" style="1054" customWidth="1"/>
    <col min="10769" max="11008" width="9.140625" style="1054"/>
    <col min="11009" max="11009" width="42.42578125" style="1054" bestFit="1" customWidth="1"/>
    <col min="11010" max="11010" width="6.7109375" style="1054" customWidth="1"/>
    <col min="11011" max="11022" width="8.42578125" style="1054" bestFit="1" customWidth="1"/>
    <col min="11023" max="11023" width="10.140625" style="1054" bestFit="1" customWidth="1"/>
    <col min="11024" max="11024" width="9.5703125" style="1054" customWidth="1"/>
    <col min="11025" max="11264" width="9.140625" style="1054"/>
    <col min="11265" max="11265" width="42.42578125" style="1054" bestFit="1" customWidth="1"/>
    <col min="11266" max="11266" width="6.7109375" style="1054" customWidth="1"/>
    <col min="11267" max="11278" width="8.42578125" style="1054" bestFit="1" customWidth="1"/>
    <col min="11279" max="11279" width="10.140625" style="1054" bestFit="1" customWidth="1"/>
    <col min="11280" max="11280" width="9.5703125" style="1054" customWidth="1"/>
    <col min="11281" max="11520" width="9.140625" style="1054"/>
    <col min="11521" max="11521" width="42.42578125" style="1054" bestFit="1" customWidth="1"/>
    <col min="11522" max="11522" width="6.7109375" style="1054" customWidth="1"/>
    <col min="11523" max="11534" width="8.42578125" style="1054" bestFit="1" customWidth="1"/>
    <col min="11535" max="11535" width="10.140625" style="1054" bestFit="1" customWidth="1"/>
    <col min="11536" max="11536" width="9.5703125" style="1054" customWidth="1"/>
    <col min="11537" max="11776" width="9.140625" style="1054"/>
    <col min="11777" max="11777" width="42.42578125" style="1054" bestFit="1" customWidth="1"/>
    <col min="11778" max="11778" width="6.7109375" style="1054" customWidth="1"/>
    <col min="11779" max="11790" width="8.42578125" style="1054" bestFit="1" customWidth="1"/>
    <col min="11791" max="11791" width="10.140625" style="1054" bestFit="1" customWidth="1"/>
    <col min="11792" max="11792" width="9.5703125" style="1054" customWidth="1"/>
    <col min="11793" max="12032" width="9.140625" style="1054"/>
    <col min="12033" max="12033" width="42.42578125" style="1054" bestFit="1" customWidth="1"/>
    <col min="12034" max="12034" width="6.7109375" style="1054" customWidth="1"/>
    <col min="12035" max="12046" width="8.42578125" style="1054" bestFit="1" customWidth="1"/>
    <col min="12047" max="12047" width="10.140625" style="1054" bestFit="1" customWidth="1"/>
    <col min="12048" max="12048" width="9.5703125" style="1054" customWidth="1"/>
    <col min="12049" max="12288" width="9.140625" style="1054"/>
    <col min="12289" max="12289" width="42.42578125" style="1054" bestFit="1" customWidth="1"/>
    <col min="12290" max="12290" width="6.7109375" style="1054" customWidth="1"/>
    <col min="12291" max="12302" width="8.42578125" style="1054" bestFit="1" customWidth="1"/>
    <col min="12303" max="12303" width="10.140625" style="1054" bestFit="1" customWidth="1"/>
    <col min="12304" max="12304" width="9.5703125" style="1054" customWidth="1"/>
    <col min="12305" max="12544" width="9.140625" style="1054"/>
    <col min="12545" max="12545" width="42.42578125" style="1054" bestFit="1" customWidth="1"/>
    <col min="12546" max="12546" width="6.7109375" style="1054" customWidth="1"/>
    <col min="12547" max="12558" width="8.42578125" style="1054" bestFit="1" customWidth="1"/>
    <col min="12559" max="12559" width="10.140625" style="1054" bestFit="1" customWidth="1"/>
    <col min="12560" max="12560" width="9.5703125" style="1054" customWidth="1"/>
    <col min="12561" max="12800" width="9.140625" style="1054"/>
    <col min="12801" max="12801" width="42.42578125" style="1054" bestFit="1" customWidth="1"/>
    <col min="12802" max="12802" width="6.7109375" style="1054" customWidth="1"/>
    <col min="12803" max="12814" width="8.42578125" style="1054" bestFit="1" customWidth="1"/>
    <col min="12815" max="12815" width="10.140625" style="1054" bestFit="1" customWidth="1"/>
    <col min="12816" max="12816" width="9.5703125" style="1054" customWidth="1"/>
    <col min="12817" max="13056" width="9.140625" style="1054"/>
    <col min="13057" max="13057" width="42.42578125" style="1054" bestFit="1" customWidth="1"/>
    <col min="13058" max="13058" width="6.7109375" style="1054" customWidth="1"/>
    <col min="13059" max="13070" width="8.42578125" style="1054" bestFit="1" customWidth="1"/>
    <col min="13071" max="13071" width="10.140625" style="1054" bestFit="1" customWidth="1"/>
    <col min="13072" max="13072" width="9.5703125" style="1054" customWidth="1"/>
    <col min="13073" max="13312" width="9.140625" style="1054"/>
    <col min="13313" max="13313" width="42.42578125" style="1054" bestFit="1" customWidth="1"/>
    <col min="13314" max="13314" width="6.7109375" style="1054" customWidth="1"/>
    <col min="13315" max="13326" width="8.42578125" style="1054" bestFit="1" customWidth="1"/>
    <col min="13327" max="13327" width="10.140625" style="1054" bestFit="1" customWidth="1"/>
    <col min="13328" max="13328" width="9.5703125" style="1054" customWidth="1"/>
    <col min="13329" max="13568" width="9.140625" style="1054"/>
    <col min="13569" max="13569" width="42.42578125" style="1054" bestFit="1" customWidth="1"/>
    <col min="13570" max="13570" width="6.7109375" style="1054" customWidth="1"/>
    <col min="13571" max="13582" width="8.42578125" style="1054" bestFit="1" customWidth="1"/>
    <col min="13583" max="13583" width="10.140625" style="1054" bestFit="1" customWidth="1"/>
    <col min="13584" max="13584" width="9.5703125" style="1054" customWidth="1"/>
    <col min="13585" max="13824" width="9.140625" style="1054"/>
    <col min="13825" max="13825" width="42.42578125" style="1054" bestFit="1" customWidth="1"/>
    <col min="13826" max="13826" width="6.7109375" style="1054" customWidth="1"/>
    <col min="13827" max="13838" width="8.42578125" style="1054" bestFit="1" customWidth="1"/>
    <col min="13839" max="13839" width="10.140625" style="1054" bestFit="1" customWidth="1"/>
    <col min="13840" max="13840" width="9.5703125" style="1054" customWidth="1"/>
    <col min="13841" max="14080" width="9.140625" style="1054"/>
    <col min="14081" max="14081" width="42.42578125" style="1054" bestFit="1" customWidth="1"/>
    <col min="14082" max="14082" width="6.7109375" style="1054" customWidth="1"/>
    <col min="14083" max="14094" width="8.42578125" style="1054" bestFit="1" customWidth="1"/>
    <col min="14095" max="14095" width="10.140625" style="1054" bestFit="1" customWidth="1"/>
    <col min="14096" max="14096" width="9.5703125" style="1054" customWidth="1"/>
    <col min="14097" max="14336" width="9.140625" style="1054"/>
    <col min="14337" max="14337" width="42.42578125" style="1054" bestFit="1" customWidth="1"/>
    <col min="14338" max="14338" width="6.7109375" style="1054" customWidth="1"/>
    <col min="14339" max="14350" width="8.42578125" style="1054" bestFit="1" customWidth="1"/>
    <col min="14351" max="14351" width="10.140625" style="1054" bestFit="1" customWidth="1"/>
    <col min="14352" max="14352" width="9.5703125" style="1054" customWidth="1"/>
    <col min="14353" max="14592" width="9.140625" style="1054"/>
    <col min="14593" max="14593" width="42.42578125" style="1054" bestFit="1" customWidth="1"/>
    <col min="14594" max="14594" width="6.7109375" style="1054" customWidth="1"/>
    <col min="14595" max="14606" width="8.42578125" style="1054" bestFit="1" customWidth="1"/>
    <col min="14607" max="14607" width="10.140625" style="1054" bestFit="1" customWidth="1"/>
    <col min="14608" max="14608" width="9.5703125" style="1054" customWidth="1"/>
    <col min="14609" max="14848" width="9.140625" style="1054"/>
    <col min="14849" max="14849" width="42.42578125" style="1054" bestFit="1" customWidth="1"/>
    <col min="14850" max="14850" width="6.7109375" style="1054" customWidth="1"/>
    <col min="14851" max="14862" width="8.42578125" style="1054" bestFit="1" customWidth="1"/>
    <col min="14863" max="14863" width="10.140625" style="1054" bestFit="1" customWidth="1"/>
    <col min="14864" max="14864" width="9.5703125" style="1054" customWidth="1"/>
    <col min="14865" max="15104" width="9.140625" style="1054"/>
    <col min="15105" max="15105" width="42.42578125" style="1054" bestFit="1" customWidth="1"/>
    <col min="15106" max="15106" width="6.7109375" style="1054" customWidth="1"/>
    <col min="15107" max="15118" width="8.42578125" style="1054" bestFit="1" customWidth="1"/>
    <col min="15119" max="15119" width="10.140625" style="1054" bestFit="1" customWidth="1"/>
    <col min="15120" max="15120" width="9.5703125" style="1054" customWidth="1"/>
    <col min="15121" max="15360" width="9.140625" style="1054"/>
    <col min="15361" max="15361" width="42.42578125" style="1054" bestFit="1" customWidth="1"/>
    <col min="15362" max="15362" width="6.7109375" style="1054" customWidth="1"/>
    <col min="15363" max="15374" width="8.42578125" style="1054" bestFit="1" customWidth="1"/>
    <col min="15375" max="15375" width="10.140625" style="1054" bestFit="1" customWidth="1"/>
    <col min="15376" max="15376" width="9.5703125" style="1054" customWidth="1"/>
    <col min="15377" max="15616" width="9.140625" style="1054"/>
    <col min="15617" max="15617" width="42.42578125" style="1054" bestFit="1" customWidth="1"/>
    <col min="15618" max="15618" width="6.7109375" style="1054" customWidth="1"/>
    <col min="15619" max="15630" width="8.42578125" style="1054" bestFit="1" customWidth="1"/>
    <col min="15631" max="15631" width="10.140625" style="1054" bestFit="1" customWidth="1"/>
    <col min="15632" max="15632" width="9.5703125" style="1054" customWidth="1"/>
    <col min="15633" max="15872" width="9.140625" style="1054"/>
    <col min="15873" max="15873" width="42.42578125" style="1054" bestFit="1" customWidth="1"/>
    <col min="15874" max="15874" width="6.7109375" style="1054" customWidth="1"/>
    <col min="15875" max="15886" width="8.42578125" style="1054" bestFit="1" customWidth="1"/>
    <col min="15887" max="15887" width="10.140625" style="1054" bestFit="1" customWidth="1"/>
    <col min="15888" max="15888" width="9.5703125" style="1054" customWidth="1"/>
    <col min="15889" max="16128" width="9.140625" style="1054"/>
    <col min="16129" max="16129" width="42.42578125" style="1054" bestFit="1" customWidth="1"/>
    <col min="16130" max="16130" width="6.7109375" style="1054" customWidth="1"/>
    <col min="16131" max="16142" width="8.42578125" style="1054" bestFit="1" customWidth="1"/>
    <col min="16143" max="16143" width="10.140625" style="1054" bestFit="1" customWidth="1"/>
    <col min="16144" max="16144" width="9.5703125" style="1054" customWidth="1"/>
    <col min="16145" max="16384" width="9.140625" style="1054"/>
  </cols>
  <sheetData>
    <row r="1" spans="1:16" x14ac:dyDescent="0.2">
      <c r="A1" s="1051" t="s">
        <v>1255</v>
      </c>
      <c r="B1" s="1052"/>
      <c r="C1" s="1053"/>
      <c r="D1" s="1053"/>
      <c r="E1" s="1053"/>
      <c r="F1" s="1053"/>
      <c r="G1" s="1053"/>
      <c r="H1" s="1053"/>
      <c r="I1" s="1053"/>
      <c r="J1" s="1053"/>
      <c r="K1" s="1053"/>
      <c r="L1" s="1053"/>
      <c r="M1" s="1053"/>
      <c r="N1" s="1053"/>
      <c r="O1" s="1053"/>
    </row>
    <row r="2" spans="1:16" x14ac:dyDescent="0.2">
      <c r="A2" s="1051"/>
      <c r="B2" s="1052"/>
      <c r="C2" s="1055">
        <v>40179</v>
      </c>
      <c r="D2" s="1055">
        <v>40210</v>
      </c>
      <c r="E2" s="1055">
        <v>40238</v>
      </c>
      <c r="F2" s="1055">
        <v>40269</v>
      </c>
      <c r="G2" s="1055">
        <v>40299</v>
      </c>
      <c r="H2" s="1055">
        <v>40330</v>
      </c>
      <c r="I2" s="1055">
        <v>40360</v>
      </c>
      <c r="J2" s="1055">
        <v>40391</v>
      </c>
      <c r="K2" s="1055">
        <v>40422</v>
      </c>
      <c r="L2" s="1055">
        <v>40452</v>
      </c>
      <c r="M2" s="1055">
        <v>40483</v>
      </c>
      <c r="N2" s="1055">
        <v>40513</v>
      </c>
      <c r="O2" s="1056" t="s">
        <v>23</v>
      </c>
      <c r="P2" s="1056"/>
    </row>
    <row r="3" spans="1:16" x14ac:dyDescent="0.2">
      <c r="A3" s="1057" t="s">
        <v>1242</v>
      </c>
      <c r="B3" s="1058">
        <v>16</v>
      </c>
      <c r="C3" s="1059">
        <v>1</v>
      </c>
      <c r="D3" s="1059">
        <v>2</v>
      </c>
      <c r="E3" s="1059">
        <v>2</v>
      </c>
      <c r="F3" s="1059">
        <v>2</v>
      </c>
      <c r="G3" s="1059">
        <v>2</v>
      </c>
      <c r="H3" s="1059">
        <v>2</v>
      </c>
      <c r="I3" s="1059">
        <v>2</v>
      </c>
      <c r="J3" s="1059">
        <v>2</v>
      </c>
      <c r="K3" s="1059">
        <v>2</v>
      </c>
      <c r="L3" s="1059">
        <v>2</v>
      </c>
      <c r="M3" s="1059">
        <v>2</v>
      </c>
      <c r="N3" s="1059">
        <v>2</v>
      </c>
      <c r="O3" s="1060">
        <v>23</v>
      </c>
    </row>
    <row r="4" spans="1:16" x14ac:dyDescent="0.2">
      <c r="A4" s="1057" t="s">
        <v>374</v>
      </c>
      <c r="B4" s="1057">
        <v>23</v>
      </c>
      <c r="C4" s="1059">
        <v>693137</v>
      </c>
      <c r="D4" s="1059">
        <v>693885</v>
      </c>
      <c r="E4" s="1059">
        <v>694255</v>
      </c>
      <c r="F4" s="1059">
        <v>694594</v>
      </c>
      <c r="G4" s="1059">
        <v>694265</v>
      </c>
      <c r="H4" s="1059">
        <v>693750</v>
      </c>
      <c r="I4" s="1059">
        <v>693070</v>
      </c>
      <c r="J4" s="1059">
        <v>692456</v>
      </c>
      <c r="K4" s="1059">
        <v>692762</v>
      </c>
      <c r="L4" s="1059">
        <v>694115</v>
      </c>
      <c r="M4" s="1059">
        <v>695665</v>
      </c>
      <c r="N4" s="1059">
        <v>696981</v>
      </c>
      <c r="O4" s="1060">
        <v>8328935</v>
      </c>
    </row>
    <row r="5" spans="1:16" x14ac:dyDescent="0.2">
      <c r="A5" s="1057" t="s">
        <v>1122</v>
      </c>
      <c r="B5" s="1057">
        <v>53</v>
      </c>
      <c r="C5" s="1059">
        <v>5</v>
      </c>
      <c r="D5" s="1059">
        <v>5</v>
      </c>
      <c r="E5" s="1059">
        <v>5</v>
      </c>
      <c r="F5" s="1059">
        <v>5</v>
      </c>
      <c r="G5" s="1059">
        <v>5</v>
      </c>
      <c r="H5" s="1059">
        <v>5</v>
      </c>
      <c r="I5" s="1059">
        <v>5</v>
      </c>
      <c r="J5" s="1059">
        <v>5</v>
      </c>
      <c r="K5" s="1059">
        <v>5</v>
      </c>
      <c r="L5" s="1059">
        <v>5</v>
      </c>
      <c r="M5" s="1059">
        <v>4</v>
      </c>
      <c r="N5" s="1059">
        <v>4</v>
      </c>
      <c r="O5" s="1060">
        <v>58</v>
      </c>
    </row>
    <row r="6" spans="1:16" x14ac:dyDescent="0.2">
      <c r="A6" s="1057" t="s">
        <v>1256</v>
      </c>
      <c r="B6" s="1057">
        <v>61</v>
      </c>
      <c r="C6" s="1059">
        <v>1</v>
      </c>
      <c r="D6" s="1059">
        <v>1</v>
      </c>
      <c r="E6" s="1059">
        <v>1</v>
      </c>
      <c r="F6" s="1059">
        <v>1</v>
      </c>
      <c r="G6" s="1059">
        <v>1</v>
      </c>
      <c r="H6" s="1059">
        <v>1</v>
      </c>
      <c r="I6" s="1059">
        <v>1</v>
      </c>
      <c r="J6" s="1059">
        <v>1</v>
      </c>
      <c r="K6" s="1059">
        <v>1</v>
      </c>
      <c r="L6" s="1059">
        <v>1</v>
      </c>
      <c r="M6" s="1059">
        <v>1</v>
      </c>
      <c r="N6" s="1059">
        <v>1</v>
      </c>
      <c r="O6" s="1060">
        <v>12</v>
      </c>
    </row>
    <row r="7" spans="1:16" x14ac:dyDescent="0.2">
      <c r="A7" s="1057" t="s">
        <v>1257</v>
      </c>
      <c r="B7" s="1057">
        <v>31</v>
      </c>
      <c r="C7" s="1059">
        <v>52431</v>
      </c>
      <c r="D7" s="1059">
        <v>52460</v>
      </c>
      <c r="E7" s="1059">
        <v>52458</v>
      </c>
      <c r="F7" s="1059">
        <v>52390</v>
      </c>
      <c r="G7" s="1059">
        <v>52248</v>
      </c>
      <c r="H7" s="1059">
        <v>52084</v>
      </c>
      <c r="I7" s="1059">
        <v>51997</v>
      </c>
      <c r="J7" s="1059">
        <v>51676</v>
      </c>
      <c r="K7" s="1059">
        <v>51661</v>
      </c>
      <c r="L7" s="1059">
        <v>51751</v>
      </c>
      <c r="M7" s="1059">
        <v>51896</v>
      </c>
      <c r="N7" s="1059">
        <v>52071</v>
      </c>
      <c r="O7" s="1060">
        <v>625123</v>
      </c>
    </row>
    <row r="8" spans="1:16" x14ac:dyDescent="0.2">
      <c r="A8" s="1057" t="s">
        <v>1258</v>
      </c>
      <c r="B8" s="1057">
        <v>41</v>
      </c>
      <c r="C8" s="1059">
        <v>1441</v>
      </c>
      <c r="D8" s="1059">
        <v>1439</v>
      </c>
      <c r="E8" s="1059">
        <v>1453</v>
      </c>
      <c r="F8" s="1059">
        <v>1453</v>
      </c>
      <c r="G8" s="1059">
        <v>1451</v>
      </c>
      <c r="H8" s="1059">
        <v>1450</v>
      </c>
      <c r="I8" s="1059">
        <v>1451</v>
      </c>
      <c r="J8" s="1059">
        <v>1444</v>
      </c>
      <c r="K8" s="1059">
        <v>1420</v>
      </c>
      <c r="L8" s="1059">
        <v>1395</v>
      </c>
      <c r="M8" s="1059">
        <v>1394</v>
      </c>
      <c r="N8" s="1059">
        <v>1395</v>
      </c>
      <c r="O8" s="1060">
        <v>17186</v>
      </c>
    </row>
    <row r="9" spans="1:16" x14ac:dyDescent="0.2">
      <c r="A9" s="1057" t="s">
        <v>1259</v>
      </c>
      <c r="B9" s="1057">
        <v>61</v>
      </c>
      <c r="C9" s="1059">
        <v>21</v>
      </c>
      <c r="D9" s="1059">
        <v>21</v>
      </c>
      <c r="E9" s="1059">
        <v>21</v>
      </c>
      <c r="F9" s="1059">
        <v>22</v>
      </c>
      <c r="G9" s="1059">
        <v>23</v>
      </c>
      <c r="H9" s="1059">
        <v>24</v>
      </c>
      <c r="I9" s="1059">
        <v>24</v>
      </c>
      <c r="J9" s="1059">
        <v>24</v>
      </c>
      <c r="K9" s="1059">
        <v>25</v>
      </c>
      <c r="L9" s="1059">
        <v>24</v>
      </c>
      <c r="M9" s="1059">
        <v>24</v>
      </c>
      <c r="N9" s="1059">
        <v>24</v>
      </c>
      <c r="O9" s="1060">
        <v>277</v>
      </c>
    </row>
    <row r="10" spans="1:16" x14ac:dyDescent="0.2">
      <c r="A10" s="1057" t="s">
        <v>1243</v>
      </c>
      <c r="B10" s="1057">
        <v>85</v>
      </c>
      <c r="C10" s="1059">
        <v>25</v>
      </c>
      <c r="D10" s="1059">
        <v>25</v>
      </c>
      <c r="E10" s="1059">
        <v>25</v>
      </c>
      <c r="F10" s="1059">
        <v>27</v>
      </c>
      <c r="G10" s="1059">
        <v>27</v>
      </c>
      <c r="H10" s="1059">
        <v>27</v>
      </c>
      <c r="I10" s="1059">
        <v>27</v>
      </c>
      <c r="J10" s="1059">
        <v>27</v>
      </c>
      <c r="K10" s="1059">
        <v>27</v>
      </c>
      <c r="L10" s="1059">
        <v>27</v>
      </c>
      <c r="M10" s="1059">
        <v>27</v>
      </c>
      <c r="N10" s="1059">
        <v>27</v>
      </c>
      <c r="O10" s="1060">
        <v>318</v>
      </c>
    </row>
    <row r="11" spans="1:16" x14ac:dyDescent="0.2">
      <c r="A11" s="1057" t="s">
        <v>1244</v>
      </c>
      <c r="B11" s="1057">
        <v>86</v>
      </c>
      <c r="C11" s="1059">
        <v>335</v>
      </c>
      <c r="D11" s="1059">
        <v>334</v>
      </c>
      <c r="E11" s="1059">
        <v>334</v>
      </c>
      <c r="F11" s="1059">
        <v>332</v>
      </c>
      <c r="G11" s="1059">
        <v>332</v>
      </c>
      <c r="H11" s="1059">
        <v>332</v>
      </c>
      <c r="I11" s="1059">
        <v>330</v>
      </c>
      <c r="J11" s="1059">
        <v>327</v>
      </c>
      <c r="K11" s="1059">
        <v>326</v>
      </c>
      <c r="L11" s="1059">
        <v>320</v>
      </c>
      <c r="M11" s="1059">
        <v>318</v>
      </c>
      <c r="N11" s="1059">
        <v>318</v>
      </c>
      <c r="O11" s="1060">
        <v>3938</v>
      </c>
    </row>
    <row r="12" spans="1:16" x14ac:dyDescent="0.2">
      <c r="A12" s="1057" t="s">
        <v>1260</v>
      </c>
      <c r="B12" s="1057">
        <v>87</v>
      </c>
      <c r="C12" s="1059">
        <v>8</v>
      </c>
      <c r="D12" s="1059">
        <v>8</v>
      </c>
      <c r="E12" s="1059">
        <v>8</v>
      </c>
      <c r="F12" s="1059">
        <v>8</v>
      </c>
      <c r="G12" s="1059">
        <v>8</v>
      </c>
      <c r="H12" s="1059">
        <v>8</v>
      </c>
      <c r="I12" s="1059">
        <v>8</v>
      </c>
      <c r="J12" s="1059">
        <v>8</v>
      </c>
      <c r="K12" s="1059">
        <v>8</v>
      </c>
      <c r="L12" s="1059">
        <v>8</v>
      </c>
      <c r="M12" s="1059">
        <v>8</v>
      </c>
      <c r="N12" s="1059">
        <v>8</v>
      </c>
      <c r="O12" s="1060">
        <v>96</v>
      </c>
    </row>
    <row r="13" spans="1:16" x14ac:dyDescent="0.2">
      <c r="A13" s="1057" t="s">
        <v>1131</v>
      </c>
      <c r="B13" s="1057">
        <v>31</v>
      </c>
      <c r="C13" s="1059">
        <v>2418</v>
      </c>
      <c r="D13" s="1059">
        <v>2410</v>
      </c>
      <c r="E13" s="1059">
        <v>2401</v>
      </c>
      <c r="F13" s="1059">
        <v>2393</v>
      </c>
      <c r="G13" s="1059">
        <v>2389</v>
      </c>
      <c r="H13" s="1059">
        <v>2381</v>
      </c>
      <c r="I13" s="1059">
        <v>2375</v>
      </c>
      <c r="J13" s="1059">
        <v>2368</v>
      </c>
      <c r="K13" s="1059">
        <v>2362</v>
      </c>
      <c r="L13" s="1059">
        <v>2363</v>
      </c>
      <c r="M13" s="1059">
        <v>2365</v>
      </c>
      <c r="N13" s="1059">
        <v>2375</v>
      </c>
      <c r="O13" s="1060">
        <v>28600</v>
      </c>
    </row>
    <row r="14" spans="1:16" x14ac:dyDescent="0.2">
      <c r="A14" s="1057" t="s">
        <v>1132</v>
      </c>
      <c r="B14" s="1057">
        <v>41</v>
      </c>
      <c r="C14" s="1059">
        <v>102</v>
      </c>
      <c r="D14" s="1059">
        <v>103</v>
      </c>
      <c r="E14" s="1059">
        <v>106</v>
      </c>
      <c r="F14" s="1059">
        <v>105</v>
      </c>
      <c r="G14" s="1059">
        <v>106</v>
      </c>
      <c r="H14" s="1059">
        <v>106</v>
      </c>
      <c r="I14" s="1059">
        <v>106</v>
      </c>
      <c r="J14" s="1059">
        <v>106</v>
      </c>
      <c r="K14" s="1059">
        <v>106</v>
      </c>
      <c r="L14" s="1059">
        <v>106</v>
      </c>
      <c r="M14" s="1059">
        <v>105</v>
      </c>
      <c r="N14" s="1059">
        <v>105</v>
      </c>
      <c r="O14" s="1060">
        <v>1262</v>
      </c>
    </row>
    <row r="15" spans="1:16" x14ac:dyDescent="0.2">
      <c r="A15" s="1057" t="s">
        <v>1261</v>
      </c>
      <c r="B15" s="1057">
        <v>61</v>
      </c>
      <c r="C15" s="1059">
        <v>0</v>
      </c>
      <c r="D15" s="1059">
        <v>0</v>
      </c>
      <c r="E15" s="1059">
        <v>0</v>
      </c>
      <c r="F15" s="1059">
        <v>0</v>
      </c>
      <c r="G15" s="1059">
        <v>0</v>
      </c>
      <c r="H15" s="1059">
        <v>0</v>
      </c>
      <c r="I15" s="1059">
        <v>0</v>
      </c>
      <c r="J15" s="1059">
        <v>0</v>
      </c>
      <c r="K15" s="1059">
        <v>0</v>
      </c>
      <c r="L15" s="1059">
        <v>0</v>
      </c>
      <c r="M15" s="1059">
        <v>0</v>
      </c>
      <c r="N15" s="1059">
        <v>0</v>
      </c>
      <c r="O15" s="1060">
        <v>0</v>
      </c>
    </row>
    <row r="16" spans="1:16" x14ac:dyDescent="0.2">
      <c r="A16" s="1057" t="s">
        <v>1246</v>
      </c>
      <c r="B16" s="1057">
        <v>85</v>
      </c>
      <c r="C16" s="1059">
        <v>8</v>
      </c>
      <c r="D16" s="1059">
        <v>9</v>
      </c>
      <c r="E16" s="1059">
        <v>8</v>
      </c>
      <c r="F16" s="1059">
        <v>8</v>
      </c>
      <c r="G16" s="1059">
        <v>7</v>
      </c>
      <c r="H16" s="1059">
        <v>7</v>
      </c>
      <c r="I16" s="1059">
        <v>7</v>
      </c>
      <c r="J16" s="1059">
        <v>7</v>
      </c>
      <c r="K16" s="1059">
        <v>7</v>
      </c>
      <c r="L16" s="1059">
        <v>7</v>
      </c>
      <c r="M16" s="1059">
        <v>7</v>
      </c>
      <c r="N16" s="1059">
        <v>7</v>
      </c>
      <c r="O16" s="1060">
        <v>89</v>
      </c>
    </row>
    <row r="17" spans="1:16" x14ac:dyDescent="0.2">
      <c r="A17" s="1057" t="s">
        <v>1247</v>
      </c>
      <c r="B17" s="1057">
        <v>86</v>
      </c>
      <c r="C17" s="1059">
        <v>10</v>
      </c>
      <c r="D17" s="1059">
        <v>10</v>
      </c>
      <c r="E17" s="1059">
        <v>10</v>
      </c>
      <c r="F17" s="1059">
        <v>10</v>
      </c>
      <c r="G17" s="1059">
        <v>10</v>
      </c>
      <c r="H17" s="1059">
        <v>10</v>
      </c>
      <c r="I17" s="1059">
        <v>10</v>
      </c>
      <c r="J17" s="1059">
        <v>10</v>
      </c>
      <c r="K17" s="1059">
        <v>10</v>
      </c>
      <c r="L17" s="1059">
        <v>10</v>
      </c>
      <c r="M17" s="1059">
        <v>10</v>
      </c>
      <c r="N17" s="1059">
        <v>10</v>
      </c>
      <c r="O17" s="1060">
        <v>120</v>
      </c>
    </row>
    <row r="18" spans="1:16" x14ac:dyDescent="0.2">
      <c r="A18" s="1057" t="s">
        <v>1248</v>
      </c>
      <c r="B18" s="1057">
        <v>87</v>
      </c>
      <c r="C18" s="1059">
        <v>1</v>
      </c>
      <c r="D18" s="1059">
        <v>1</v>
      </c>
      <c r="E18" s="1059">
        <v>1</v>
      </c>
      <c r="F18" s="1059">
        <v>1</v>
      </c>
      <c r="G18" s="1059">
        <v>1</v>
      </c>
      <c r="H18" s="1059">
        <v>1</v>
      </c>
      <c r="I18" s="1059">
        <v>1</v>
      </c>
      <c r="J18" s="1059">
        <v>1</v>
      </c>
      <c r="K18" s="1059">
        <v>1</v>
      </c>
      <c r="L18" s="1059">
        <v>1</v>
      </c>
      <c r="M18" s="1059">
        <v>1</v>
      </c>
      <c r="N18" s="1059">
        <v>1</v>
      </c>
      <c r="O18" s="1060">
        <v>12</v>
      </c>
    </row>
    <row r="19" spans="1:16" x14ac:dyDescent="0.2">
      <c r="A19" s="1054" t="s">
        <v>1158</v>
      </c>
      <c r="B19" s="1061" t="s">
        <v>808</v>
      </c>
      <c r="C19" s="1059">
        <v>30</v>
      </c>
      <c r="D19" s="1059">
        <v>30</v>
      </c>
      <c r="E19" s="1059">
        <v>30</v>
      </c>
      <c r="F19" s="1059">
        <v>30</v>
      </c>
      <c r="G19" s="1059">
        <v>30</v>
      </c>
      <c r="H19" s="1059">
        <v>30</v>
      </c>
      <c r="I19" s="1059">
        <v>30</v>
      </c>
      <c r="J19" s="1059">
        <v>30</v>
      </c>
      <c r="K19" s="1059">
        <v>29</v>
      </c>
      <c r="L19" s="1059">
        <v>30</v>
      </c>
      <c r="M19" s="1059">
        <v>30</v>
      </c>
      <c r="N19" s="1059">
        <v>30</v>
      </c>
      <c r="O19" s="1060">
        <v>359</v>
      </c>
    </row>
    <row r="20" spans="1:16" x14ac:dyDescent="0.2">
      <c r="A20" s="1054" t="s">
        <v>1159</v>
      </c>
      <c r="B20" s="1061" t="s">
        <v>809</v>
      </c>
      <c r="C20" s="1059">
        <v>35</v>
      </c>
      <c r="D20" s="1059">
        <v>35</v>
      </c>
      <c r="E20" s="1059">
        <v>35</v>
      </c>
      <c r="F20" s="1059">
        <v>36</v>
      </c>
      <c r="G20" s="1059">
        <v>36</v>
      </c>
      <c r="H20" s="1059">
        <v>36</v>
      </c>
      <c r="I20" s="1059">
        <v>36</v>
      </c>
      <c r="J20" s="1059">
        <v>36</v>
      </c>
      <c r="K20" s="1059">
        <v>37</v>
      </c>
      <c r="L20" s="1059">
        <v>36</v>
      </c>
      <c r="M20" s="1059">
        <v>35</v>
      </c>
      <c r="N20" s="1059">
        <v>35</v>
      </c>
      <c r="O20" s="1060">
        <v>428</v>
      </c>
    </row>
    <row r="21" spans="1:16" x14ac:dyDescent="0.2">
      <c r="A21" s="1054" t="s">
        <v>1249</v>
      </c>
      <c r="B21" s="1061" t="s">
        <v>811</v>
      </c>
      <c r="C21" s="1059">
        <v>2</v>
      </c>
      <c r="D21" s="1059">
        <v>2</v>
      </c>
      <c r="E21" s="1059">
        <v>2</v>
      </c>
      <c r="F21" s="1059">
        <v>2</v>
      </c>
      <c r="G21" s="1059">
        <v>2</v>
      </c>
      <c r="H21" s="1059">
        <v>2</v>
      </c>
      <c r="I21" s="1059">
        <v>2</v>
      </c>
      <c r="J21" s="1059">
        <v>2</v>
      </c>
      <c r="K21" s="1059">
        <v>2</v>
      </c>
      <c r="L21" s="1059">
        <v>2</v>
      </c>
      <c r="M21" s="1059">
        <v>2</v>
      </c>
      <c r="N21" s="1059">
        <v>2</v>
      </c>
      <c r="O21" s="1060">
        <v>24</v>
      </c>
    </row>
    <row r="22" spans="1:16" x14ac:dyDescent="0.2">
      <c r="A22" s="1054" t="s">
        <v>1161</v>
      </c>
      <c r="B22" s="1061" t="s">
        <v>808</v>
      </c>
      <c r="C22" s="1059">
        <v>17</v>
      </c>
      <c r="D22" s="1059">
        <v>17</v>
      </c>
      <c r="E22" s="1059">
        <v>16</v>
      </c>
      <c r="F22" s="1059">
        <v>16</v>
      </c>
      <c r="G22" s="1059">
        <v>16</v>
      </c>
      <c r="H22" s="1059">
        <v>16</v>
      </c>
      <c r="I22" s="1059">
        <v>15</v>
      </c>
      <c r="J22" s="1059">
        <v>16</v>
      </c>
      <c r="K22" s="1059">
        <v>16</v>
      </c>
      <c r="L22" s="1059">
        <v>16</v>
      </c>
      <c r="M22" s="1059">
        <v>16</v>
      </c>
      <c r="N22" s="1059">
        <v>16</v>
      </c>
      <c r="O22" s="1060">
        <v>193</v>
      </c>
    </row>
    <row r="23" spans="1:16" x14ac:dyDescent="0.2">
      <c r="A23" s="1054" t="s">
        <v>1162</v>
      </c>
      <c r="B23" s="1061" t="s">
        <v>809</v>
      </c>
      <c r="C23" s="1059">
        <v>62</v>
      </c>
      <c r="D23" s="1059">
        <v>61</v>
      </c>
      <c r="E23" s="1059">
        <v>62</v>
      </c>
      <c r="F23" s="1059">
        <v>62</v>
      </c>
      <c r="G23" s="1059">
        <v>62</v>
      </c>
      <c r="H23" s="1059">
        <v>63</v>
      </c>
      <c r="I23" s="1059">
        <v>63</v>
      </c>
      <c r="J23" s="1059">
        <v>62</v>
      </c>
      <c r="K23" s="1059">
        <v>62</v>
      </c>
      <c r="L23" s="1059">
        <v>62</v>
      </c>
      <c r="M23" s="1059">
        <v>62</v>
      </c>
      <c r="N23" s="1059">
        <v>63</v>
      </c>
      <c r="O23" s="1060">
        <v>746</v>
      </c>
    </row>
    <row r="24" spans="1:16" x14ac:dyDescent="0.2">
      <c r="A24" s="1057" t="s">
        <v>1250</v>
      </c>
      <c r="B24" s="1061" t="s">
        <v>810</v>
      </c>
      <c r="C24" s="1059">
        <v>1</v>
      </c>
      <c r="D24" s="1059">
        <v>1</v>
      </c>
      <c r="E24" s="1059">
        <v>1</v>
      </c>
      <c r="F24" s="1059">
        <v>1</v>
      </c>
      <c r="G24" s="1059">
        <v>1</v>
      </c>
      <c r="H24" s="1059">
        <v>1</v>
      </c>
      <c r="I24" s="1059">
        <v>1</v>
      </c>
      <c r="J24" s="1059">
        <v>1</v>
      </c>
      <c r="K24" s="1059">
        <v>1</v>
      </c>
      <c r="L24" s="1059">
        <v>1</v>
      </c>
      <c r="M24" s="1059">
        <v>1</v>
      </c>
      <c r="N24" s="1059">
        <v>1</v>
      </c>
      <c r="O24" s="1060">
        <v>12</v>
      </c>
    </row>
    <row r="25" spans="1:16" x14ac:dyDescent="0.2">
      <c r="A25" s="1054" t="s">
        <v>1251</v>
      </c>
      <c r="B25" s="1061" t="s">
        <v>811</v>
      </c>
      <c r="C25" s="1059">
        <v>11</v>
      </c>
      <c r="D25" s="1059">
        <v>11</v>
      </c>
      <c r="E25" s="1059">
        <v>11</v>
      </c>
      <c r="F25" s="1059">
        <v>11</v>
      </c>
      <c r="G25" s="1059">
        <v>11</v>
      </c>
      <c r="H25" s="1059">
        <v>11</v>
      </c>
      <c r="I25" s="1059">
        <v>11</v>
      </c>
      <c r="J25" s="1059">
        <v>11</v>
      </c>
      <c r="K25" s="1059">
        <v>11</v>
      </c>
      <c r="L25" s="1059">
        <v>11</v>
      </c>
      <c r="M25" s="1059">
        <v>11</v>
      </c>
      <c r="N25" s="1059">
        <v>10</v>
      </c>
      <c r="O25" s="1060">
        <v>131</v>
      </c>
    </row>
    <row r="26" spans="1:16" x14ac:dyDescent="0.2">
      <c r="A26" s="1057" t="s">
        <v>1252</v>
      </c>
      <c r="B26" s="1057">
        <v>99</v>
      </c>
      <c r="C26" s="1059">
        <v>12</v>
      </c>
      <c r="D26" s="1059">
        <v>12</v>
      </c>
      <c r="E26" s="1059">
        <v>12</v>
      </c>
      <c r="F26" s="1059">
        <v>12</v>
      </c>
      <c r="G26" s="1059">
        <v>12</v>
      </c>
      <c r="H26" s="1059">
        <v>12</v>
      </c>
      <c r="I26" s="1059">
        <v>12</v>
      </c>
      <c r="J26" s="1059">
        <v>12</v>
      </c>
      <c r="K26" s="1059">
        <v>12</v>
      </c>
      <c r="L26" s="1059">
        <v>12</v>
      </c>
      <c r="M26" s="1059">
        <v>12</v>
      </c>
      <c r="N26" s="1059">
        <v>12</v>
      </c>
      <c r="O26" s="1060">
        <v>144</v>
      </c>
    </row>
    <row r="27" spans="1:16" x14ac:dyDescent="0.2">
      <c r="A27" s="1057" t="s">
        <v>23</v>
      </c>
      <c r="B27" s="1057"/>
      <c r="C27" s="1062">
        <v>750114</v>
      </c>
      <c r="D27" s="1062">
        <v>750882</v>
      </c>
      <c r="E27" s="1062">
        <v>751257</v>
      </c>
      <c r="F27" s="1062">
        <v>751521</v>
      </c>
      <c r="G27" s="1062">
        <v>751045</v>
      </c>
      <c r="H27" s="1062">
        <v>750359</v>
      </c>
      <c r="I27" s="1062">
        <v>749584</v>
      </c>
      <c r="J27" s="1062">
        <v>748632</v>
      </c>
      <c r="K27" s="1062">
        <v>748893</v>
      </c>
      <c r="L27" s="1062">
        <v>750305</v>
      </c>
      <c r="M27" s="1062">
        <v>751996</v>
      </c>
      <c r="N27" s="1062">
        <v>753498</v>
      </c>
      <c r="O27" s="1062">
        <v>9008086</v>
      </c>
    </row>
    <row r="29" spans="1:16" x14ac:dyDescent="0.2">
      <c r="A29" s="1054" t="s">
        <v>69</v>
      </c>
      <c r="C29" s="1055">
        <v>40179</v>
      </c>
      <c r="D29" s="1055">
        <v>40210</v>
      </c>
      <c r="E29" s="1055">
        <v>40238</v>
      </c>
      <c r="F29" s="1055">
        <v>40269</v>
      </c>
      <c r="G29" s="1055">
        <v>40299</v>
      </c>
      <c r="H29" s="1055">
        <v>40330</v>
      </c>
      <c r="I29" s="1055">
        <v>40360</v>
      </c>
      <c r="J29" s="1055">
        <v>40391</v>
      </c>
      <c r="K29" s="1055">
        <v>40422</v>
      </c>
      <c r="L29" s="1055">
        <v>40452</v>
      </c>
      <c r="M29" s="1055">
        <v>40483</v>
      </c>
      <c r="N29" s="1055">
        <v>40513</v>
      </c>
      <c r="O29" s="1056" t="s">
        <v>23</v>
      </c>
      <c r="P29" s="1056" t="s">
        <v>373</v>
      </c>
    </row>
    <row r="30" spans="1:16" x14ac:dyDescent="0.2">
      <c r="A30" s="1054" t="s">
        <v>89</v>
      </c>
      <c r="C30" s="1053">
        <f t="shared" ref="C30:N30" si="0">SUM(C3:C5)</f>
        <v>693143</v>
      </c>
      <c r="D30" s="1053">
        <f t="shared" si="0"/>
        <v>693892</v>
      </c>
      <c r="E30" s="1053">
        <f t="shared" si="0"/>
        <v>694262</v>
      </c>
      <c r="F30" s="1053">
        <f t="shared" si="0"/>
        <v>694601</v>
      </c>
      <c r="G30" s="1053">
        <f t="shared" si="0"/>
        <v>694272</v>
      </c>
      <c r="H30" s="1053">
        <f t="shared" si="0"/>
        <v>693757</v>
      </c>
      <c r="I30" s="1053">
        <f t="shared" si="0"/>
        <v>693077</v>
      </c>
      <c r="J30" s="1053">
        <f t="shared" si="0"/>
        <v>692463</v>
      </c>
      <c r="K30" s="1053">
        <f t="shared" si="0"/>
        <v>692769</v>
      </c>
      <c r="L30" s="1053">
        <f t="shared" si="0"/>
        <v>694122</v>
      </c>
      <c r="M30" s="1053">
        <f t="shared" si="0"/>
        <v>695671</v>
      </c>
      <c r="N30" s="1053">
        <f t="shared" si="0"/>
        <v>696987</v>
      </c>
      <c r="O30" s="1053">
        <f t="shared" ref="O30:O37" si="1">SUM(C30:N30)</f>
        <v>8329016</v>
      </c>
      <c r="P30" s="1053">
        <f t="shared" ref="P30:P37" si="2">AVERAGE(C30:N30)</f>
        <v>694084.66666666663</v>
      </c>
    </row>
    <row r="31" spans="1:16" x14ac:dyDescent="0.2">
      <c r="A31" s="1054" t="s">
        <v>1794</v>
      </c>
      <c r="C31" s="1053">
        <f t="shared" ref="C31:N31" si="3">SUM(C6:C7,C9,C13,C15)</f>
        <v>54871</v>
      </c>
      <c r="D31" s="1053">
        <f t="shared" si="3"/>
        <v>54892</v>
      </c>
      <c r="E31" s="1053">
        <f t="shared" si="3"/>
        <v>54881</v>
      </c>
      <c r="F31" s="1053">
        <f t="shared" si="3"/>
        <v>54806</v>
      </c>
      <c r="G31" s="1053">
        <f t="shared" si="3"/>
        <v>54661</v>
      </c>
      <c r="H31" s="1053">
        <f t="shared" si="3"/>
        <v>54490</v>
      </c>
      <c r="I31" s="1053">
        <f t="shared" si="3"/>
        <v>54397</v>
      </c>
      <c r="J31" s="1053">
        <f t="shared" si="3"/>
        <v>54069</v>
      </c>
      <c r="K31" s="1053">
        <f t="shared" si="3"/>
        <v>54049</v>
      </c>
      <c r="L31" s="1053">
        <f t="shared" si="3"/>
        <v>54139</v>
      </c>
      <c r="M31" s="1053">
        <f t="shared" si="3"/>
        <v>54286</v>
      </c>
      <c r="N31" s="1053">
        <f t="shared" si="3"/>
        <v>54471</v>
      </c>
      <c r="O31" s="1053">
        <f t="shared" si="1"/>
        <v>654012</v>
      </c>
      <c r="P31" s="1053">
        <f t="shared" si="2"/>
        <v>54501</v>
      </c>
    </row>
    <row r="32" spans="1:16" x14ac:dyDescent="0.2">
      <c r="A32" s="1054" t="s">
        <v>1796</v>
      </c>
      <c r="C32" s="1053">
        <f t="shared" ref="C32:N32" si="4">SUM(C8,C14,C19,C22)</f>
        <v>1590</v>
      </c>
      <c r="D32" s="1053">
        <f t="shared" si="4"/>
        <v>1589</v>
      </c>
      <c r="E32" s="1053">
        <f t="shared" si="4"/>
        <v>1605</v>
      </c>
      <c r="F32" s="1053">
        <f t="shared" si="4"/>
        <v>1604</v>
      </c>
      <c r="G32" s="1053">
        <f t="shared" si="4"/>
        <v>1603</v>
      </c>
      <c r="H32" s="1053">
        <f t="shared" si="4"/>
        <v>1602</v>
      </c>
      <c r="I32" s="1053">
        <f t="shared" si="4"/>
        <v>1602</v>
      </c>
      <c r="J32" s="1053">
        <f t="shared" si="4"/>
        <v>1596</v>
      </c>
      <c r="K32" s="1053">
        <f t="shared" si="4"/>
        <v>1571</v>
      </c>
      <c r="L32" s="1053">
        <f t="shared" si="4"/>
        <v>1547</v>
      </c>
      <c r="M32" s="1053">
        <f t="shared" si="4"/>
        <v>1545</v>
      </c>
      <c r="N32" s="1053">
        <f t="shared" si="4"/>
        <v>1546</v>
      </c>
      <c r="O32" s="1053">
        <f t="shared" si="1"/>
        <v>19000</v>
      </c>
      <c r="P32" s="1053">
        <f t="shared" si="2"/>
        <v>1583.3333333333333</v>
      </c>
    </row>
    <row r="33" spans="1:16" x14ac:dyDescent="0.2">
      <c r="A33" s="1054" t="s">
        <v>163</v>
      </c>
      <c r="C33" s="1053">
        <f t="shared" ref="C33:N33" si="5">SUM(C10,C16,C20,C23)</f>
        <v>130</v>
      </c>
      <c r="D33" s="1053">
        <f t="shared" si="5"/>
        <v>130</v>
      </c>
      <c r="E33" s="1053">
        <f t="shared" si="5"/>
        <v>130</v>
      </c>
      <c r="F33" s="1053">
        <f t="shared" si="5"/>
        <v>133</v>
      </c>
      <c r="G33" s="1053">
        <f t="shared" si="5"/>
        <v>132</v>
      </c>
      <c r="H33" s="1053">
        <f t="shared" si="5"/>
        <v>133</v>
      </c>
      <c r="I33" s="1053">
        <f t="shared" si="5"/>
        <v>133</v>
      </c>
      <c r="J33" s="1053">
        <f t="shared" si="5"/>
        <v>132</v>
      </c>
      <c r="K33" s="1053">
        <f t="shared" si="5"/>
        <v>133</v>
      </c>
      <c r="L33" s="1053">
        <f t="shared" si="5"/>
        <v>132</v>
      </c>
      <c r="M33" s="1053">
        <f t="shared" si="5"/>
        <v>131</v>
      </c>
      <c r="N33" s="1053">
        <f t="shared" si="5"/>
        <v>132</v>
      </c>
      <c r="O33" s="1053">
        <f t="shared" si="1"/>
        <v>1581</v>
      </c>
      <c r="P33" s="1053">
        <f t="shared" si="2"/>
        <v>131.75</v>
      </c>
    </row>
    <row r="34" spans="1:16" x14ac:dyDescent="0.2">
      <c r="A34" s="1054" t="s">
        <v>802</v>
      </c>
      <c r="C34" s="1053">
        <f t="shared" ref="C34:N34" si="6">SUM(C11,C17,C24)</f>
        <v>346</v>
      </c>
      <c r="D34" s="1053">
        <f t="shared" si="6"/>
        <v>345</v>
      </c>
      <c r="E34" s="1053">
        <f t="shared" si="6"/>
        <v>345</v>
      </c>
      <c r="F34" s="1053">
        <f t="shared" si="6"/>
        <v>343</v>
      </c>
      <c r="G34" s="1053">
        <f t="shared" si="6"/>
        <v>343</v>
      </c>
      <c r="H34" s="1053">
        <f t="shared" si="6"/>
        <v>343</v>
      </c>
      <c r="I34" s="1053">
        <f t="shared" si="6"/>
        <v>341</v>
      </c>
      <c r="J34" s="1053">
        <f t="shared" si="6"/>
        <v>338</v>
      </c>
      <c r="K34" s="1053">
        <f t="shared" si="6"/>
        <v>337</v>
      </c>
      <c r="L34" s="1053">
        <f t="shared" si="6"/>
        <v>331</v>
      </c>
      <c r="M34" s="1053">
        <f t="shared" si="6"/>
        <v>329</v>
      </c>
      <c r="N34" s="1053">
        <f t="shared" si="6"/>
        <v>329</v>
      </c>
      <c r="O34" s="1053">
        <f t="shared" si="1"/>
        <v>4070</v>
      </c>
      <c r="P34" s="1053">
        <f t="shared" si="2"/>
        <v>339.16666666666669</v>
      </c>
    </row>
    <row r="35" spans="1:16" x14ac:dyDescent="0.2">
      <c r="A35" s="1054" t="s">
        <v>1800</v>
      </c>
      <c r="C35" s="1053">
        <f t="shared" ref="C35:N35" si="7">SUM(C12,C18,C21,C25)</f>
        <v>22</v>
      </c>
      <c r="D35" s="1053">
        <f t="shared" si="7"/>
        <v>22</v>
      </c>
      <c r="E35" s="1053">
        <f t="shared" si="7"/>
        <v>22</v>
      </c>
      <c r="F35" s="1053">
        <f t="shared" si="7"/>
        <v>22</v>
      </c>
      <c r="G35" s="1053">
        <f t="shared" si="7"/>
        <v>22</v>
      </c>
      <c r="H35" s="1053">
        <f t="shared" si="7"/>
        <v>22</v>
      </c>
      <c r="I35" s="1053">
        <f t="shared" si="7"/>
        <v>22</v>
      </c>
      <c r="J35" s="1053">
        <f t="shared" si="7"/>
        <v>22</v>
      </c>
      <c r="K35" s="1053">
        <f t="shared" si="7"/>
        <v>22</v>
      </c>
      <c r="L35" s="1053">
        <f t="shared" si="7"/>
        <v>22</v>
      </c>
      <c r="M35" s="1053">
        <f t="shared" si="7"/>
        <v>22</v>
      </c>
      <c r="N35" s="1053">
        <f t="shared" si="7"/>
        <v>21</v>
      </c>
      <c r="O35" s="1053">
        <f t="shared" si="1"/>
        <v>263</v>
      </c>
      <c r="P35" s="1053">
        <f t="shared" si="2"/>
        <v>21.916666666666668</v>
      </c>
    </row>
    <row r="36" spans="1:16" x14ac:dyDescent="0.2">
      <c r="A36" s="1054" t="s">
        <v>144</v>
      </c>
      <c r="C36" s="1053">
        <f t="shared" ref="C36:N36" si="8">C26</f>
        <v>12</v>
      </c>
      <c r="D36" s="1053">
        <f t="shared" si="8"/>
        <v>12</v>
      </c>
      <c r="E36" s="1053">
        <f t="shared" si="8"/>
        <v>12</v>
      </c>
      <c r="F36" s="1053">
        <f t="shared" si="8"/>
        <v>12</v>
      </c>
      <c r="G36" s="1053">
        <f t="shared" si="8"/>
        <v>12</v>
      </c>
      <c r="H36" s="1053">
        <f t="shared" si="8"/>
        <v>12</v>
      </c>
      <c r="I36" s="1053">
        <f t="shared" si="8"/>
        <v>12</v>
      </c>
      <c r="J36" s="1053">
        <f t="shared" si="8"/>
        <v>12</v>
      </c>
      <c r="K36" s="1053">
        <f t="shared" si="8"/>
        <v>12</v>
      </c>
      <c r="L36" s="1053">
        <f t="shared" si="8"/>
        <v>12</v>
      </c>
      <c r="M36" s="1053">
        <f t="shared" si="8"/>
        <v>12</v>
      </c>
      <c r="N36" s="1053">
        <f t="shared" si="8"/>
        <v>12</v>
      </c>
      <c r="O36" s="1053">
        <f t="shared" si="1"/>
        <v>144</v>
      </c>
      <c r="P36" s="1053">
        <f t="shared" si="2"/>
        <v>12</v>
      </c>
    </row>
    <row r="37" spans="1:16" x14ac:dyDescent="0.2">
      <c r="A37" s="1054" t="s">
        <v>23</v>
      </c>
      <c r="C37" s="1053">
        <f t="shared" ref="C37:N37" si="9">SUM(C30:C36)</f>
        <v>750114</v>
      </c>
      <c r="D37" s="1053">
        <f t="shared" si="9"/>
        <v>750882</v>
      </c>
      <c r="E37" s="1053">
        <f t="shared" si="9"/>
        <v>751257</v>
      </c>
      <c r="F37" s="1053">
        <f t="shared" si="9"/>
        <v>751521</v>
      </c>
      <c r="G37" s="1053">
        <f t="shared" si="9"/>
        <v>751045</v>
      </c>
      <c r="H37" s="1053">
        <f t="shared" si="9"/>
        <v>750359</v>
      </c>
      <c r="I37" s="1053">
        <f t="shared" si="9"/>
        <v>749584</v>
      </c>
      <c r="J37" s="1053">
        <f t="shared" si="9"/>
        <v>748632</v>
      </c>
      <c r="K37" s="1053">
        <f t="shared" si="9"/>
        <v>748893</v>
      </c>
      <c r="L37" s="1053">
        <f t="shared" si="9"/>
        <v>750305</v>
      </c>
      <c r="M37" s="1053">
        <f t="shared" si="9"/>
        <v>751996</v>
      </c>
      <c r="N37" s="1053">
        <f t="shared" si="9"/>
        <v>753498</v>
      </c>
      <c r="O37" s="1053">
        <f t="shared" si="1"/>
        <v>9008086</v>
      </c>
      <c r="P37" s="1053">
        <f t="shared" si="2"/>
        <v>750673.83333333337</v>
      </c>
    </row>
    <row r="38" spans="1:16" x14ac:dyDescent="0.2">
      <c r="A38" s="1054" t="s">
        <v>131</v>
      </c>
      <c r="C38" s="1053">
        <f t="shared" ref="C38:O38" si="10">C37-C27</f>
        <v>0</v>
      </c>
      <c r="D38" s="1053">
        <f t="shared" si="10"/>
        <v>0</v>
      </c>
      <c r="E38" s="1053">
        <f t="shared" si="10"/>
        <v>0</v>
      </c>
      <c r="F38" s="1053">
        <f t="shared" si="10"/>
        <v>0</v>
      </c>
      <c r="G38" s="1053">
        <f t="shared" si="10"/>
        <v>0</v>
      </c>
      <c r="H38" s="1053">
        <f t="shared" si="10"/>
        <v>0</v>
      </c>
      <c r="I38" s="1053">
        <f t="shared" si="10"/>
        <v>0</v>
      </c>
      <c r="J38" s="1053">
        <f t="shared" si="10"/>
        <v>0</v>
      </c>
      <c r="K38" s="1053">
        <f t="shared" si="10"/>
        <v>0</v>
      </c>
      <c r="L38" s="1053">
        <f t="shared" si="10"/>
        <v>0</v>
      </c>
      <c r="M38" s="1053">
        <f t="shared" si="10"/>
        <v>0</v>
      </c>
      <c r="N38" s="1053">
        <f t="shared" si="10"/>
        <v>0</v>
      </c>
      <c r="O38" s="1053">
        <f t="shared" si="10"/>
        <v>0</v>
      </c>
    </row>
    <row r="40" spans="1:16" x14ac:dyDescent="0.2">
      <c r="A40" s="1054" t="s">
        <v>1821</v>
      </c>
      <c r="C40" s="1055">
        <v>40179</v>
      </c>
      <c r="D40" s="1055">
        <v>40210</v>
      </c>
      <c r="E40" s="1055">
        <v>40238</v>
      </c>
      <c r="F40" s="1055">
        <v>40269</v>
      </c>
      <c r="G40" s="1055">
        <v>40299</v>
      </c>
      <c r="H40" s="1055">
        <v>40330</v>
      </c>
      <c r="I40" s="1055">
        <v>40360</v>
      </c>
      <c r="J40" s="1055">
        <v>40391</v>
      </c>
      <c r="K40" s="1055">
        <v>40422</v>
      </c>
      <c r="L40" s="1055">
        <v>40452</v>
      </c>
      <c r="M40" s="1055">
        <v>40483</v>
      </c>
      <c r="N40" s="1055">
        <v>40513</v>
      </c>
      <c r="O40" s="1056" t="s">
        <v>23</v>
      </c>
      <c r="P40" s="1056" t="s">
        <v>373</v>
      </c>
    </row>
    <row r="41" spans="1:16" x14ac:dyDescent="0.2">
      <c r="A41" s="1054" t="s">
        <v>89</v>
      </c>
      <c r="C41" s="1053">
        <f t="shared" ref="C41:N41" si="11">SUM(C3:C5)</f>
        <v>693143</v>
      </c>
      <c r="D41" s="1053">
        <f t="shared" si="11"/>
        <v>693892</v>
      </c>
      <c r="E41" s="1053">
        <f t="shared" si="11"/>
        <v>694262</v>
      </c>
      <c r="F41" s="1053">
        <f t="shared" si="11"/>
        <v>694601</v>
      </c>
      <c r="G41" s="1053">
        <f t="shared" si="11"/>
        <v>694272</v>
      </c>
      <c r="H41" s="1053">
        <f t="shared" si="11"/>
        <v>693757</v>
      </c>
      <c r="I41" s="1053">
        <f t="shared" si="11"/>
        <v>693077</v>
      </c>
      <c r="J41" s="1053">
        <f t="shared" si="11"/>
        <v>692463</v>
      </c>
      <c r="K41" s="1053">
        <f t="shared" si="11"/>
        <v>692769</v>
      </c>
      <c r="L41" s="1053">
        <f t="shared" si="11"/>
        <v>694122</v>
      </c>
      <c r="M41" s="1053">
        <f t="shared" si="11"/>
        <v>695671</v>
      </c>
      <c r="N41" s="1053">
        <f t="shared" si="11"/>
        <v>696987</v>
      </c>
      <c r="O41" s="1053">
        <f t="shared" ref="O41:O47" si="12">SUM(C41:N41)</f>
        <v>8329016</v>
      </c>
      <c r="P41" s="1053">
        <f t="shared" ref="P41:P47" si="13">AVERAGE(C41:N41)</f>
        <v>694084.66666666663</v>
      </c>
    </row>
    <row r="42" spans="1:16" x14ac:dyDescent="0.2">
      <c r="A42" s="1054" t="s">
        <v>1794</v>
      </c>
      <c r="C42" s="1054">
        <f t="shared" ref="C42:N42" si="14">SUM(C6:C7,C9,C13,C15)</f>
        <v>54871</v>
      </c>
      <c r="D42" s="1054">
        <f t="shared" si="14"/>
        <v>54892</v>
      </c>
      <c r="E42" s="1054">
        <f t="shared" si="14"/>
        <v>54881</v>
      </c>
      <c r="F42" s="1054">
        <f t="shared" si="14"/>
        <v>54806</v>
      </c>
      <c r="G42" s="1054">
        <f t="shared" si="14"/>
        <v>54661</v>
      </c>
      <c r="H42" s="1054">
        <f t="shared" si="14"/>
        <v>54490</v>
      </c>
      <c r="I42" s="1054">
        <f t="shared" si="14"/>
        <v>54397</v>
      </c>
      <c r="J42" s="1054">
        <f t="shared" si="14"/>
        <v>54069</v>
      </c>
      <c r="K42" s="1054">
        <f t="shared" si="14"/>
        <v>54049</v>
      </c>
      <c r="L42" s="1054">
        <f t="shared" si="14"/>
        <v>54139</v>
      </c>
      <c r="M42" s="1054">
        <f t="shared" si="14"/>
        <v>54286</v>
      </c>
      <c r="N42" s="1054">
        <f t="shared" si="14"/>
        <v>54471</v>
      </c>
      <c r="O42" s="1053">
        <f t="shared" si="12"/>
        <v>654012</v>
      </c>
      <c r="P42" s="1053">
        <f t="shared" si="13"/>
        <v>54501</v>
      </c>
    </row>
    <row r="43" spans="1:16" x14ac:dyDescent="0.2">
      <c r="A43" s="1054" t="s">
        <v>1822</v>
      </c>
      <c r="C43" s="1053">
        <f t="shared" ref="C43:N43" si="15">SUM(C8,C14)</f>
        <v>1543</v>
      </c>
      <c r="D43" s="1053">
        <f t="shared" si="15"/>
        <v>1542</v>
      </c>
      <c r="E43" s="1053">
        <f t="shared" si="15"/>
        <v>1559</v>
      </c>
      <c r="F43" s="1053">
        <f t="shared" si="15"/>
        <v>1558</v>
      </c>
      <c r="G43" s="1053">
        <f t="shared" si="15"/>
        <v>1557</v>
      </c>
      <c r="H43" s="1053">
        <f t="shared" si="15"/>
        <v>1556</v>
      </c>
      <c r="I43" s="1053">
        <f t="shared" si="15"/>
        <v>1557</v>
      </c>
      <c r="J43" s="1053">
        <f t="shared" si="15"/>
        <v>1550</v>
      </c>
      <c r="K43" s="1053">
        <f t="shared" si="15"/>
        <v>1526</v>
      </c>
      <c r="L43" s="1053">
        <f t="shared" si="15"/>
        <v>1501</v>
      </c>
      <c r="M43" s="1053">
        <f t="shared" si="15"/>
        <v>1499</v>
      </c>
      <c r="N43" s="1053">
        <f t="shared" si="15"/>
        <v>1500</v>
      </c>
      <c r="O43" s="1053">
        <f t="shared" si="12"/>
        <v>18448</v>
      </c>
      <c r="P43" s="1053">
        <f t="shared" si="13"/>
        <v>1537.3333333333333</v>
      </c>
    </row>
    <row r="44" spans="1:16" x14ac:dyDescent="0.2">
      <c r="A44" s="1054" t="s">
        <v>837</v>
      </c>
      <c r="C44" s="1053">
        <f t="shared" ref="C44:N46" si="16">SUM(C10,C16)</f>
        <v>33</v>
      </c>
      <c r="D44" s="1053">
        <f t="shared" si="16"/>
        <v>34</v>
      </c>
      <c r="E44" s="1053">
        <f t="shared" si="16"/>
        <v>33</v>
      </c>
      <c r="F44" s="1053">
        <f t="shared" si="16"/>
        <v>35</v>
      </c>
      <c r="G44" s="1053">
        <f t="shared" si="16"/>
        <v>34</v>
      </c>
      <c r="H44" s="1053">
        <f t="shared" si="16"/>
        <v>34</v>
      </c>
      <c r="I44" s="1053">
        <f t="shared" si="16"/>
        <v>34</v>
      </c>
      <c r="J44" s="1053">
        <f t="shared" si="16"/>
        <v>34</v>
      </c>
      <c r="K44" s="1053">
        <f t="shared" si="16"/>
        <v>34</v>
      </c>
      <c r="L44" s="1053">
        <f t="shared" si="16"/>
        <v>34</v>
      </c>
      <c r="M44" s="1053">
        <f t="shared" si="16"/>
        <v>34</v>
      </c>
      <c r="N44" s="1053">
        <f t="shared" si="16"/>
        <v>34</v>
      </c>
      <c r="O44" s="1053">
        <f t="shared" si="12"/>
        <v>407</v>
      </c>
      <c r="P44" s="1053">
        <f t="shared" si="13"/>
        <v>33.916666666666664</v>
      </c>
    </row>
    <row r="45" spans="1:16" x14ac:dyDescent="0.2">
      <c r="A45" s="1054" t="s">
        <v>1798</v>
      </c>
      <c r="C45" s="1053">
        <f t="shared" si="16"/>
        <v>345</v>
      </c>
      <c r="D45" s="1053">
        <f t="shared" si="16"/>
        <v>344</v>
      </c>
      <c r="E45" s="1053">
        <f t="shared" si="16"/>
        <v>344</v>
      </c>
      <c r="F45" s="1053">
        <f t="shared" si="16"/>
        <v>342</v>
      </c>
      <c r="G45" s="1053">
        <f t="shared" si="16"/>
        <v>342</v>
      </c>
      <c r="H45" s="1053">
        <f t="shared" si="16"/>
        <v>342</v>
      </c>
      <c r="I45" s="1053">
        <f t="shared" si="16"/>
        <v>340</v>
      </c>
      <c r="J45" s="1053">
        <f t="shared" si="16"/>
        <v>337</v>
      </c>
      <c r="K45" s="1053">
        <f t="shared" si="16"/>
        <v>336</v>
      </c>
      <c r="L45" s="1053">
        <f t="shared" si="16"/>
        <v>330</v>
      </c>
      <c r="M45" s="1053">
        <f t="shared" si="16"/>
        <v>328</v>
      </c>
      <c r="N45" s="1053">
        <f t="shared" si="16"/>
        <v>328</v>
      </c>
      <c r="O45" s="1053">
        <f t="shared" si="12"/>
        <v>4058</v>
      </c>
      <c r="P45" s="1053">
        <f t="shared" si="13"/>
        <v>338.16666666666669</v>
      </c>
    </row>
    <row r="46" spans="1:16" x14ac:dyDescent="0.2">
      <c r="A46" s="1054" t="s">
        <v>1823</v>
      </c>
      <c r="C46" s="1053">
        <f t="shared" si="16"/>
        <v>9</v>
      </c>
      <c r="D46" s="1053">
        <f t="shared" si="16"/>
        <v>9</v>
      </c>
      <c r="E46" s="1053">
        <f t="shared" si="16"/>
        <v>9</v>
      </c>
      <c r="F46" s="1053">
        <f t="shared" si="16"/>
        <v>9</v>
      </c>
      <c r="G46" s="1053">
        <f t="shared" si="16"/>
        <v>9</v>
      </c>
      <c r="H46" s="1053">
        <f t="shared" si="16"/>
        <v>9</v>
      </c>
      <c r="I46" s="1053">
        <f t="shared" si="16"/>
        <v>9</v>
      </c>
      <c r="J46" s="1053">
        <f t="shared" si="16"/>
        <v>9</v>
      </c>
      <c r="K46" s="1053">
        <f t="shared" si="16"/>
        <v>9</v>
      </c>
      <c r="L46" s="1053">
        <f t="shared" si="16"/>
        <v>9</v>
      </c>
      <c r="M46" s="1053">
        <f t="shared" si="16"/>
        <v>9</v>
      </c>
      <c r="N46" s="1053">
        <f t="shared" si="16"/>
        <v>9</v>
      </c>
      <c r="O46" s="1053">
        <f t="shared" si="12"/>
        <v>108</v>
      </c>
      <c r="P46" s="1053">
        <f t="shared" si="13"/>
        <v>9</v>
      </c>
    </row>
    <row r="47" spans="1:16" x14ac:dyDescent="0.2">
      <c r="A47" s="1054" t="s">
        <v>23</v>
      </c>
      <c r="C47" s="1053">
        <f t="shared" ref="C47:N47" si="17">SUM(C41:C46)</f>
        <v>749944</v>
      </c>
      <c r="D47" s="1053">
        <f t="shared" si="17"/>
        <v>750713</v>
      </c>
      <c r="E47" s="1053">
        <f t="shared" si="17"/>
        <v>751088</v>
      </c>
      <c r="F47" s="1053">
        <f t="shared" si="17"/>
        <v>751351</v>
      </c>
      <c r="G47" s="1053">
        <f t="shared" si="17"/>
        <v>750875</v>
      </c>
      <c r="H47" s="1053">
        <f t="shared" si="17"/>
        <v>750188</v>
      </c>
      <c r="I47" s="1053">
        <f t="shared" si="17"/>
        <v>749414</v>
      </c>
      <c r="J47" s="1053">
        <f t="shared" si="17"/>
        <v>748462</v>
      </c>
      <c r="K47" s="1053">
        <f t="shared" si="17"/>
        <v>748723</v>
      </c>
      <c r="L47" s="1053">
        <f t="shared" si="17"/>
        <v>750135</v>
      </c>
      <c r="M47" s="1053">
        <f t="shared" si="17"/>
        <v>751827</v>
      </c>
      <c r="N47" s="1053">
        <f t="shared" si="17"/>
        <v>753329</v>
      </c>
      <c r="O47" s="1053">
        <f t="shared" si="12"/>
        <v>9006049</v>
      </c>
      <c r="P47" s="1053">
        <f t="shared" si="13"/>
        <v>750504.08333333337</v>
      </c>
    </row>
    <row r="49" spans="1:1" x14ac:dyDescent="0.2">
      <c r="A49" s="1063" t="s">
        <v>1824</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30"/>
  <sheetViews>
    <sheetView workbookViewId="0">
      <selection activeCell="C35" sqref="C35"/>
    </sheetView>
  </sheetViews>
  <sheetFormatPr defaultRowHeight="12.75" x14ac:dyDescent="0.2"/>
  <cols>
    <col min="1" max="1" width="18.7109375" style="1025" customWidth="1"/>
    <col min="2" max="2" width="11.85546875" style="1025" bestFit="1" customWidth="1"/>
    <col min="3" max="5" width="10.140625" style="1025" customWidth="1"/>
    <col min="6" max="256" width="9.140625" style="1025"/>
    <col min="257" max="257" width="18.7109375" style="1025" customWidth="1"/>
    <col min="258" max="258" width="11.85546875" style="1025" bestFit="1" customWidth="1"/>
    <col min="259" max="261" width="10.140625" style="1025" customWidth="1"/>
    <col min="262" max="512" width="9.140625" style="1025"/>
    <col min="513" max="513" width="18.7109375" style="1025" customWidth="1"/>
    <col min="514" max="514" width="11.85546875" style="1025" bestFit="1" customWidth="1"/>
    <col min="515" max="517" width="10.140625" style="1025" customWidth="1"/>
    <col min="518" max="768" width="9.140625" style="1025"/>
    <col min="769" max="769" width="18.7109375" style="1025" customWidth="1"/>
    <col min="770" max="770" width="11.85546875" style="1025" bestFit="1" customWidth="1"/>
    <col min="771" max="773" width="10.140625" style="1025" customWidth="1"/>
    <col min="774" max="1024" width="9.140625" style="1025"/>
    <col min="1025" max="1025" width="18.7109375" style="1025" customWidth="1"/>
    <col min="1026" max="1026" width="11.85546875" style="1025" bestFit="1" customWidth="1"/>
    <col min="1027" max="1029" width="10.140625" style="1025" customWidth="1"/>
    <col min="1030" max="1280" width="9.140625" style="1025"/>
    <col min="1281" max="1281" width="18.7109375" style="1025" customWidth="1"/>
    <col min="1282" max="1282" width="11.85546875" style="1025" bestFit="1" customWidth="1"/>
    <col min="1283" max="1285" width="10.140625" style="1025" customWidth="1"/>
    <col min="1286" max="1536" width="9.140625" style="1025"/>
    <col min="1537" max="1537" width="18.7109375" style="1025" customWidth="1"/>
    <col min="1538" max="1538" width="11.85546875" style="1025" bestFit="1" customWidth="1"/>
    <col min="1539" max="1541" width="10.140625" style="1025" customWidth="1"/>
    <col min="1542" max="1792" width="9.140625" style="1025"/>
    <col min="1793" max="1793" width="18.7109375" style="1025" customWidth="1"/>
    <col min="1794" max="1794" width="11.85546875" style="1025" bestFit="1" customWidth="1"/>
    <col min="1795" max="1797" width="10.140625" style="1025" customWidth="1"/>
    <col min="1798" max="2048" width="9.140625" style="1025"/>
    <col min="2049" max="2049" width="18.7109375" style="1025" customWidth="1"/>
    <col min="2050" max="2050" width="11.85546875" style="1025" bestFit="1" customWidth="1"/>
    <col min="2051" max="2053" width="10.140625" style="1025" customWidth="1"/>
    <col min="2054" max="2304" width="9.140625" style="1025"/>
    <col min="2305" max="2305" width="18.7109375" style="1025" customWidth="1"/>
    <col min="2306" max="2306" width="11.85546875" style="1025" bestFit="1" customWidth="1"/>
    <col min="2307" max="2309" width="10.140625" style="1025" customWidth="1"/>
    <col min="2310" max="2560" width="9.140625" style="1025"/>
    <col min="2561" max="2561" width="18.7109375" style="1025" customWidth="1"/>
    <col min="2562" max="2562" width="11.85546875" style="1025" bestFit="1" customWidth="1"/>
    <col min="2563" max="2565" width="10.140625" style="1025" customWidth="1"/>
    <col min="2566" max="2816" width="9.140625" style="1025"/>
    <col min="2817" max="2817" width="18.7109375" style="1025" customWidth="1"/>
    <col min="2818" max="2818" width="11.85546875" style="1025" bestFit="1" customWidth="1"/>
    <col min="2819" max="2821" width="10.140625" style="1025" customWidth="1"/>
    <col min="2822" max="3072" width="9.140625" style="1025"/>
    <col min="3073" max="3073" width="18.7109375" style="1025" customWidth="1"/>
    <col min="3074" max="3074" width="11.85546875" style="1025" bestFit="1" customWidth="1"/>
    <col min="3075" max="3077" width="10.140625" style="1025" customWidth="1"/>
    <col min="3078" max="3328" width="9.140625" style="1025"/>
    <col min="3329" max="3329" width="18.7109375" style="1025" customWidth="1"/>
    <col min="3330" max="3330" width="11.85546875" style="1025" bestFit="1" customWidth="1"/>
    <col min="3331" max="3333" width="10.140625" style="1025" customWidth="1"/>
    <col min="3334" max="3584" width="9.140625" style="1025"/>
    <col min="3585" max="3585" width="18.7109375" style="1025" customWidth="1"/>
    <col min="3586" max="3586" width="11.85546875" style="1025" bestFit="1" customWidth="1"/>
    <col min="3587" max="3589" width="10.140625" style="1025" customWidth="1"/>
    <col min="3590" max="3840" width="9.140625" style="1025"/>
    <col min="3841" max="3841" width="18.7109375" style="1025" customWidth="1"/>
    <col min="3842" max="3842" width="11.85546875" style="1025" bestFit="1" customWidth="1"/>
    <col min="3843" max="3845" width="10.140625" style="1025" customWidth="1"/>
    <col min="3846" max="4096" width="9.140625" style="1025"/>
    <col min="4097" max="4097" width="18.7109375" style="1025" customWidth="1"/>
    <col min="4098" max="4098" width="11.85546875" style="1025" bestFit="1" customWidth="1"/>
    <col min="4099" max="4101" width="10.140625" style="1025" customWidth="1"/>
    <col min="4102" max="4352" width="9.140625" style="1025"/>
    <col min="4353" max="4353" width="18.7109375" style="1025" customWidth="1"/>
    <col min="4354" max="4354" width="11.85546875" style="1025" bestFit="1" customWidth="1"/>
    <col min="4355" max="4357" width="10.140625" style="1025" customWidth="1"/>
    <col min="4358" max="4608" width="9.140625" style="1025"/>
    <col min="4609" max="4609" width="18.7109375" style="1025" customWidth="1"/>
    <col min="4610" max="4610" width="11.85546875" style="1025" bestFit="1" customWidth="1"/>
    <col min="4611" max="4613" width="10.140625" style="1025" customWidth="1"/>
    <col min="4614" max="4864" width="9.140625" style="1025"/>
    <col min="4865" max="4865" width="18.7109375" style="1025" customWidth="1"/>
    <col min="4866" max="4866" width="11.85546875" style="1025" bestFit="1" customWidth="1"/>
    <col min="4867" max="4869" width="10.140625" style="1025" customWidth="1"/>
    <col min="4870" max="5120" width="9.140625" style="1025"/>
    <col min="5121" max="5121" width="18.7109375" style="1025" customWidth="1"/>
    <col min="5122" max="5122" width="11.85546875" style="1025" bestFit="1" customWidth="1"/>
    <col min="5123" max="5125" width="10.140625" style="1025" customWidth="1"/>
    <col min="5126" max="5376" width="9.140625" style="1025"/>
    <col min="5377" max="5377" width="18.7109375" style="1025" customWidth="1"/>
    <col min="5378" max="5378" width="11.85546875" style="1025" bestFit="1" customWidth="1"/>
    <col min="5379" max="5381" width="10.140625" style="1025" customWidth="1"/>
    <col min="5382" max="5632" width="9.140625" style="1025"/>
    <col min="5633" max="5633" width="18.7109375" style="1025" customWidth="1"/>
    <col min="5634" max="5634" width="11.85546875" style="1025" bestFit="1" customWidth="1"/>
    <col min="5635" max="5637" width="10.140625" style="1025" customWidth="1"/>
    <col min="5638" max="5888" width="9.140625" style="1025"/>
    <col min="5889" max="5889" width="18.7109375" style="1025" customWidth="1"/>
    <col min="5890" max="5890" width="11.85546875" style="1025" bestFit="1" customWidth="1"/>
    <col min="5891" max="5893" width="10.140625" style="1025" customWidth="1"/>
    <col min="5894" max="6144" width="9.140625" style="1025"/>
    <col min="6145" max="6145" width="18.7109375" style="1025" customWidth="1"/>
    <col min="6146" max="6146" width="11.85546875" style="1025" bestFit="1" customWidth="1"/>
    <col min="6147" max="6149" width="10.140625" style="1025" customWidth="1"/>
    <col min="6150" max="6400" width="9.140625" style="1025"/>
    <col min="6401" max="6401" width="18.7109375" style="1025" customWidth="1"/>
    <col min="6402" max="6402" width="11.85546875" style="1025" bestFit="1" customWidth="1"/>
    <col min="6403" max="6405" width="10.140625" style="1025" customWidth="1"/>
    <col min="6406" max="6656" width="9.140625" style="1025"/>
    <col min="6657" max="6657" width="18.7109375" style="1025" customWidth="1"/>
    <col min="6658" max="6658" width="11.85546875" style="1025" bestFit="1" customWidth="1"/>
    <col min="6659" max="6661" width="10.140625" style="1025" customWidth="1"/>
    <col min="6662" max="6912" width="9.140625" style="1025"/>
    <col min="6913" max="6913" width="18.7109375" style="1025" customWidth="1"/>
    <col min="6914" max="6914" width="11.85546875" style="1025" bestFit="1" customWidth="1"/>
    <col min="6915" max="6917" width="10.140625" style="1025" customWidth="1"/>
    <col min="6918" max="7168" width="9.140625" style="1025"/>
    <col min="7169" max="7169" width="18.7109375" style="1025" customWidth="1"/>
    <col min="7170" max="7170" width="11.85546875" style="1025" bestFit="1" customWidth="1"/>
    <col min="7171" max="7173" width="10.140625" style="1025" customWidth="1"/>
    <col min="7174" max="7424" width="9.140625" style="1025"/>
    <col min="7425" max="7425" width="18.7109375" style="1025" customWidth="1"/>
    <col min="7426" max="7426" width="11.85546875" style="1025" bestFit="1" customWidth="1"/>
    <col min="7427" max="7429" width="10.140625" style="1025" customWidth="1"/>
    <col min="7430" max="7680" width="9.140625" style="1025"/>
    <col min="7681" max="7681" width="18.7109375" style="1025" customWidth="1"/>
    <col min="7682" max="7682" width="11.85546875" style="1025" bestFit="1" customWidth="1"/>
    <col min="7683" max="7685" width="10.140625" style="1025" customWidth="1"/>
    <col min="7686" max="7936" width="9.140625" style="1025"/>
    <col min="7937" max="7937" width="18.7109375" style="1025" customWidth="1"/>
    <col min="7938" max="7938" width="11.85546875" style="1025" bestFit="1" customWidth="1"/>
    <col min="7939" max="7941" width="10.140625" style="1025" customWidth="1"/>
    <col min="7942" max="8192" width="9.140625" style="1025"/>
    <col min="8193" max="8193" width="18.7109375" style="1025" customWidth="1"/>
    <col min="8194" max="8194" width="11.85546875" style="1025" bestFit="1" customWidth="1"/>
    <col min="8195" max="8197" width="10.140625" style="1025" customWidth="1"/>
    <col min="8198" max="8448" width="9.140625" style="1025"/>
    <col min="8449" max="8449" width="18.7109375" style="1025" customWidth="1"/>
    <col min="8450" max="8450" width="11.85546875" style="1025" bestFit="1" customWidth="1"/>
    <col min="8451" max="8453" width="10.140625" style="1025" customWidth="1"/>
    <col min="8454" max="8704" width="9.140625" style="1025"/>
    <col min="8705" max="8705" width="18.7109375" style="1025" customWidth="1"/>
    <col min="8706" max="8706" width="11.85546875" style="1025" bestFit="1" customWidth="1"/>
    <col min="8707" max="8709" width="10.140625" style="1025" customWidth="1"/>
    <col min="8710" max="8960" width="9.140625" style="1025"/>
    <col min="8961" max="8961" width="18.7109375" style="1025" customWidth="1"/>
    <col min="8962" max="8962" width="11.85546875" style="1025" bestFit="1" customWidth="1"/>
    <col min="8963" max="8965" width="10.140625" style="1025" customWidth="1"/>
    <col min="8966" max="9216" width="9.140625" style="1025"/>
    <col min="9217" max="9217" width="18.7109375" style="1025" customWidth="1"/>
    <col min="9218" max="9218" width="11.85546875" style="1025" bestFit="1" customWidth="1"/>
    <col min="9219" max="9221" width="10.140625" style="1025" customWidth="1"/>
    <col min="9222" max="9472" width="9.140625" style="1025"/>
    <col min="9473" max="9473" width="18.7109375" style="1025" customWidth="1"/>
    <col min="9474" max="9474" width="11.85546875" style="1025" bestFit="1" customWidth="1"/>
    <col min="9475" max="9477" width="10.140625" style="1025" customWidth="1"/>
    <col min="9478" max="9728" width="9.140625" style="1025"/>
    <col min="9729" max="9729" width="18.7109375" style="1025" customWidth="1"/>
    <col min="9730" max="9730" width="11.85546875" style="1025" bestFit="1" customWidth="1"/>
    <col min="9731" max="9733" width="10.140625" style="1025" customWidth="1"/>
    <col min="9734" max="9984" width="9.140625" style="1025"/>
    <col min="9985" max="9985" width="18.7109375" style="1025" customWidth="1"/>
    <col min="9986" max="9986" width="11.85546875" style="1025" bestFit="1" customWidth="1"/>
    <col min="9987" max="9989" width="10.140625" style="1025" customWidth="1"/>
    <col min="9990" max="10240" width="9.140625" style="1025"/>
    <col min="10241" max="10241" width="18.7109375" style="1025" customWidth="1"/>
    <col min="10242" max="10242" width="11.85546875" style="1025" bestFit="1" customWidth="1"/>
    <col min="10243" max="10245" width="10.140625" style="1025" customWidth="1"/>
    <col min="10246" max="10496" width="9.140625" style="1025"/>
    <col min="10497" max="10497" width="18.7109375" style="1025" customWidth="1"/>
    <col min="10498" max="10498" width="11.85546875" style="1025" bestFit="1" customWidth="1"/>
    <col min="10499" max="10501" width="10.140625" style="1025" customWidth="1"/>
    <col min="10502" max="10752" width="9.140625" style="1025"/>
    <col min="10753" max="10753" width="18.7109375" style="1025" customWidth="1"/>
    <col min="10754" max="10754" width="11.85546875" style="1025" bestFit="1" customWidth="1"/>
    <col min="10755" max="10757" width="10.140625" style="1025" customWidth="1"/>
    <col min="10758" max="11008" width="9.140625" style="1025"/>
    <col min="11009" max="11009" width="18.7109375" style="1025" customWidth="1"/>
    <col min="11010" max="11010" width="11.85546875" style="1025" bestFit="1" customWidth="1"/>
    <col min="11011" max="11013" width="10.140625" style="1025" customWidth="1"/>
    <col min="11014" max="11264" width="9.140625" style="1025"/>
    <col min="11265" max="11265" width="18.7109375" style="1025" customWidth="1"/>
    <col min="11266" max="11266" width="11.85546875" style="1025" bestFit="1" customWidth="1"/>
    <col min="11267" max="11269" width="10.140625" style="1025" customWidth="1"/>
    <col min="11270" max="11520" width="9.140625" style="1025"/>
    <col min="11521" max="11521" width="18.7109375" style="1025" customWidth="1"/>
    <col min="11522" max="11522" width="11.85546875" style="1025" bestFit="1" customWidth="1"/>
    <col min="11523" max="11525" width="10.140625" style="1025" customWidth="1"/>
    <col min="11526" max="11776" width="9.140625" style="1025"/>
    <col min="11777" max="11777" width="18.7109375" style="1025" customWidth="1"/>
    <col min="11778" max="11778" width="11.85546875" style="1025" bestFit="1" customWidth="1"/>
    <col min="11779" max="11781" width="10.140625" style="1025" customWidth="1"/>
    <col min="11782" max="12032" width="9.140625" style="1025"/>
    <col min="12033" max="12033" width="18.7109375" style="1025" customWidth="1"/>
    <col min="12034" max="12034" width="11.85546875" style="1025" bestFit="1" customWidth="1"/>
    <col min="12035" max="12037" width="10.140625" style="1025" customWidth="1"/>
    <col min="12038" max="12288" width="9.140625" style="1025"/>
    <col min="12289" max="12289" width="18.7109375" style="1025" customWidth="1"/>
    <col min="12290" max="12290" width="11.85546875" style="1025" bestFit="1" customWidth="1"/>
    <col min="12291" max="12293" width="10.140625" style="1025" customWidth="1"/>
    <col min="12294" max="12544" width="9.140625" style="1025"/>
    <col min="12545" max="12545" width="18.7109375" style="1025" customWidth="1"/>
    <col min="12546" max="12546" width="11.85546875" style="1025" bestFit="1" customWidth="1"/>
    <col min="12547" max="12549" width="10.140625" style="1025" customWidth="1"/>
    <col min="12550" max="12800" width="9.140625" style="1025"/>
    <col min="12801" max="12801" width="18.7109375" style="1025" customWidth="1"/>
    <col min="12802" max="12802" width="11.85546875" style="1025" bestFit="1" customWidth="1"/>
    <col min="12803" max="12805" width="10.140625" style="1025" customWidth="1"/>
    <col min="12806" max="13056" width="9.140625" style="1025"/>
    <col min="13057" max="13057" width="18.7109375" style="1025" customWidth="1"/>
    <col min="13058" max="13058" width="11.85546875" style="1025" bestFit="1" customWidth="1"/>
    <col min="13059" max="13061" width="10.140625" style="1025" customWidth="1"/>
    <col min="13062" max="13312" width="9.140625" style="1025"/>
    <col min="13313" max="13313" width="18.7109375" style="1025" customWidth="1"/>
    <col min="13314" max="13314" width="11.85546875" style="1025" bestFit="1" customWidth="1"/>
    <col min="13315" max="13317" width="10.140625" style="1025" customWidth="1"/>
    <col min="13318" max="13568" width="9.140625" style="1025"/>
    <col min="13569" max="13569" width="18.7109375" style="1025" customWidth="1"/>
    <col min="13570" max="13570" width="11.85546875" style="1025" bestFit="1" customWidth="1"/>
    <col min="13571" max="13573" width="10.140625" style="1025" customWidth="1"/>
    <col min="13574" max="13824" width="9.140625" style="1025"/>
    <col min="13825" max="13825" width="18.7109375" style="1025" customWidth="1"/>
    <col min="13826" max="13826" width="11.85546875" style="1025" bestFit="1" customWidth="1"/>
    <col min="13827" max="13829" width="10.140625" style="1025" customWidth="1"/>
    <col min="13830" max="14080" width="9.140625" style="1025"/>
    <col min="14081" max="14081" width="18.7109375" style="1025" customWidth="1"/>
    <col min="14082" max="14082" width="11.85546875" style="1025" bestFit="1" customWidth="1"/>
    <col min="14083" max="14085" width="10.140625" style="1025" customWidth="1"/>
    <col min="14086" max="14336" width="9.140625" style="1025"/>
    <col min="14337" max="14337" width="18.7109375" style="1025" customWidth="1"/>
    <col min="14338" max="14338" width="11.85546875" style="1025" bestFit="1" customWidth="1"/>
    <col min="14339" max="14341" width="10.140625" style="1025" customWidth="1"/>
    <col min="14342" max="14592" width="9.140625" style="1025"/>
    <col min="14593" max="14593" width="18.7109375" style="1025" customWidth="1"/>
    <col min="14594" max="14594" width="11.85546875" style="1025" bestFit="1" customWidth="1"/>
    <col min="14595" max="14597" width="10.140625" style="1025" customWidth="1"/>
    <col min="14598" max="14848" width="9.140625" style="1025"/>
    <col min="14849" max="14849" width="18.7109375" style="1025" customWidth="1"/>
    <col min="14850" max="14850" width="11.85546875" style="1025" bestFit="1" customWidth="1"/>
    <col min="14851" max="14853" width="10.140625" style="1025" customWidth="1"/>
    <col min="14854" max="15104" width="9.140625" style="1025"/>
    <col min="15105" max="15105" width="18.7109375" style="1025" customWidth="1"/>
    <col min="15106" max="15106" width="11.85546875" style="1025" bestFit="1" customWidth="1"/>
    <col min="15107" max="15109" width="10.140625" style="1025" customWidth="1"/>
    <col min="15110" max="15360" width="9.140625" style="1025"/>
    <col min="15361" max="15361" width="18.7109375" style="1025" customWidth="1"/>
    <col min="15362" max="15362" width="11.85546875" style="1025" bestFit="1" customWidth="1"/>
    <col min="15363" max="15365" width="10.140625" style="1025" customWidth="1"/>
    <col min="15366" max="15616" width="9.140625" style="1025"/>
    <col min="15617" max="15617" width="18.7109375" style="1025" customWidth="1"/>
    <col min="15618" max="15618" width="11.85546875" style="1025" bestFit="1" customWidth="1"/>
    <col min="15619" max="15621" width="10.140625" style="1025" customWidth="1"/>
    <col min="15622" max="15872" width="9.140625" style="1025"/>
    <col min="15873" max="15873" width="18.7109375" style="1025" customWidth="1"/>
    <col min="15874" max="15874" width="11.85546875" style="1025" bestFit="1" customWidth="1"/>
    <col min="15875" max="15877" width="10.140625" style="1025" customWidth="1"/>
    <col min="15878" max="16128" width="9.140625" style="1025"/>
    <col min="16129" max="16129" width="18.7109375" style="1025" customWidth="1"/>
    <col min="16130" max="16130" width="11.85546875" style="1025" bestFit="1" customWidth="1"/>
    <col min="16131" max="16133" width="10.140625" style="1025" customWidth="1"/>
    <col min="16134" max="16384" width="9.140625" style="1025"/>
  </cols>
  <sheetData>
    <row r="1" spans="1:5" x14ac:dyDescent="0.2">
      <c r="A1" s="1025" t="s">
        <v>1825</v>
      </c>
    </row>
    <row r="4" spans="1:5" x14ac:dyDescent="0.2">
      <c r="A4" s="1064"/>
      <c r="B4" s="1065" t="s">
        <v>25</v>
      </c>
      <c r="C4" s="1064" t="s">
        <v>309</v>
      </c>
      <c r="D4" s="1065" t="s">
        <v>1826</v>
      </c>
      <c r="E4" s="1065" t="s">
        <v>23</v>
      </c>
    </row>
    <row r="5" spans="1:5" x14ac:dyDescent="0.2">
      <c r="A5" s="1028" t="s">
        <v>1827</v>
      </c>
      <c r="B5" s="1028" t="s">
        <v>1828</v>
      </c>
      <c r="C5" s="295">
        <f>SUM('JKP-8.1 - Cust Count Net of Mig'!O3:O5)</f>
        <v>8329016</v>
      </c>
      <c r="D5" s="295"/>
      <c r="E5" s="295">
        <f t="shared" ref="E5:E12" si="0">SUM(C5:D5)</f>
        <v>8329016</v>
      </c>
    </row>
    <row r="6" spans="1:5" x14ac:dyDescent="0.2">
      <c r="A6" s="1066" t="s">
        <v>1829</v>
      </c>
      <c r="B6" s="1066" t="s">
        <v>1830</v>
      </c>
      <c r="C6" s="295">
        <f>SUM('JKP-8.1 - Cust Count Net of Mig'!O6:O7,'JKP-8.1 - Cust Count Net of Mig'!O9,'JKP-8.1 - Cust Count Net of Mig'!O13,'JKP-8.1 - Cust Count Net of Mig'!O15)</f>
        <v>654012</v>
      </c>
      <c r="D6" s="295"/>
      <c r="E6" s="295">
        <f t="shared" si="0"/>
        <v>654012</v>
      </c>
    </row>
    <row r="7" spans="1:5" x14ac:dyDescent="0.2">
      <c r="A7" s="1028" t="s">
        <v>1831</v>
      </c>
      <c r="B7" s="1028" t="s">
        <v>1832</v>
      </c>
      <c r="C7" s="295">
        <f>SUM('JKP-8.1 - Cust Count Net of Mig'!O8,'JKP-8.1 - Cust Count Net of Mig'!O14)</f>
        <v>18448</v>
      </c>
      <c r="D7" s="295">
        <f>SUM('JKP-8.1 - Cust Count Net of Mig'!O19,'JKP-8.1 - Cust Count Net of Mig'!O22)</f>
        <v>552</v>
      </c>
      <c r="E7" s="295">
        <f t="shared" si="0"/>
        <v>19000</v>
      </c>
    </row>
    <row r="8" spans="1:5" x14ac:dyDescent="0.2">
      <c r="A8" s="1027" t="s">
        <v>1833</v>
      </c>
      <c r="B8" s="1028" t="s">
        <v>1834</v>
      </c>
      <c r="C8" s="295">
        <f>SUM('JKP-8.1 - Cust Count Net of Mig'!O10,'JKP-8.1 - Cust Count Net of Mig'!O16)</f>
        <v>407</v>
      </c>
      <c r="D8" s="295">
        <f>SUM('JKP-8.1 - Cust Count Net of Mig'!O20,'JKP-8.1 - Cust Count Net of Mig'!O23)</f>
        <v>1174</v>
      </c>
      <c r="E8" s="295">
        <f t="shared" si="0"/>
        <v>1581</v>
      </c>
    </row>
    <row r="9" spans="1:5" x14ac:dyDescent="0.2">
      <c r="A9" s="1027" t="s">
        <v>1835</v>
      </c>
      <c r="B9" s="1028" t="s">
        <v>1836</v>
      </c>
      <c r="C9" s="295">
        <f>SUM('JKP-8.1 - Cust Count Net of Mig'!O11,'JKP-8.1 - Cust Count Net of Mig'!O17)</f>
        <v>4058</v>
      </c>
      <c r="D9" s="295">
        <f>SUM('JKP-8.1 - Cust Count Net of Mig'!O24)</f>
        <v>12</v>
      </c>
      <c r="E9" s="295">
        <f t="shared" si="0"/>
        <v>4070</v>
      </c>
    </row>
    <row r="10" spans="1:5" x14ac:dyDescent="0.2">
      <c r="A10" s="1027" t="s">
        <v>1837</v>
      </c>
      <c r="B10" s="1027" t="s">
        <v>1838</v>
      </c>
      <c r="C10" s="295">
        <f>SUM('JKP-8.1 - Cust Count Net of Mig'!O12,'JKP-8.1 - Cust Count Net of Mig'!O18)</f>
        <v>108</v>
      </c>
      <c r="D10" s="295">
        <f>SUM('JKP-8.1 - Cust Count Net of Mig'!O21,'JKP-8.1 - Cust Count Net of Mig'!O25)</f>
        <v>155</v>
      </c>
      <c r="E10" s="295">
        <f t="shared" si="0"/>
        <v>263</v>
      </c>
    </row>
    <row r="11" spans="1:5" x14ac:dyDescent="0.2">
      <c r="A11" s="1027" t="s">
        <v>1839</v>
      </c>
      <c r="C11" s="295">
        <v>0</v>
      </c>
      <c r="D11" s="295">
        <f>SUM('JKP-8.1 - Cust Count Net of Mig'!O26)</f>
        <v>144</v>
      </c>
      <c r="E11" s="295">
        <f t="shared" si="0"/>
        <v>144</v>
      </c>
    </row>
    <row r="12" spans="1:5" x14ac:dyDescent="0.2">
      <c r="A12" s="1027" t="s">
        <v>1840</v>
      </c>
      <c r="C12" s="295">
        <v>0</v>
      </c>
      <c r="D12" s="295"/>
      <c r="E12" s="295">
        <f t="shared" si="0"/>
        <v>0</v>
      </c>
    </row>
    <row r="13" spans="1:5" x14ac:dyDescent="0.2">
      <c r="A13" s="1027" t="s">
        <v>23</v>
      </c>
      <c r="C13" s="295">
        <f>SUM(C5:C12)</f>
        <v>9006049</v>
      </c>
      <c r="D13" s="295">
        <f>SUM(D5:D12)</f>
        <v>2037</v>
      </c>
      <c r="E13" s="295">
        <f>SUM(E5:E12)</f>
        <v>9008086</v>
      </c>
    </row>
    <row r="14" spans="1:5" x14ac:dyDescent="0.2">
      <c r="C14" s="1045"/>
    </row>
    <row r="15" spans="1:5" x14ac:dyDescent="0.2">
      <c r="A15" s="1067" t="s">
        <v>1841</v>
      </c>
      <c r="B15" s="1065"/>
      <c r="C15" s="1065"/>
      <c r="D15" s="1065"/>
      <c r="E15" s="1068"/>
    </row>
    <row r="16" spans="1:5" x14ac:dyDescent="0.2">
      <c r="A16" s="1028" t="s">
        <v>1827</v>
      </c>
      <c r="B16" s="1028" t="s">
        <v>1828</v>
      </c>
      <c r="C16" s="295">
        <f t="shared" ref="C16:D23" si="1">C5/12</f>
        <v>694084.66666666663</v>
      </c>
      <c r="D16" s="295">
        <f t="shared" si="1"/>
        <v>0</v>
      </c>
      <c r="E16" s="295">
        <f t="shared" ref="E16:E23" si="2">SUM(C16:D16)</f>
        <v>694084.66666666663</v>
      </c>
    </row>
    <row r="17" spans="1:5" x14ac:dyDescent="0.2">
      <c r="A17" s="1066" t="s">
        <v>1829</v>
      </c>
      <c r="B17" s="1066" t="s">
        <v>1830</v>
      </c>
      <c r="C17" s="295">
        <f t="shared" si="1"/>
        <v>54501</v>
      </c>
      <c r="D17" s="295">
        <f t="shared" si="1"/>
        <v>0</v>
      </c>
      <c r="E17" s="295">
        <f t="shared" si="2"/>
        <v>54501</v>
      </c>
    </row>
    <row r="18" spans="1:5" x14ac:dyDescent="0.2">
      <c r="A18" s="1028" t="s">
        <v>1831</v>
      </c>
      <c r="B18" s="1028" t="s">
        <v>1832</v>
      </c>
      <c r="C18" s="295">
        <f>C7/12</f>
        <v>1537.3333333333333</v>
      </c>
      <c r="D18" s="295">
        <f t="shared" si="1"/>
        <v>46</v>
      </c>
      <c r="E18" s="295">
        <f t="shared" si="2"/>
        <v>1583.3333333333333</v>
      </c>
    </row>
    <row r="19" spans="1:5" x14ac:dyDescent="0.2">
      <c r="A19" s="1027" t="s">
        <v>1833</v>
      </c>
      <c r="B19" s="1028" t="s">
        <v>1834</v>
      </c>
      <c r="C19" s="295">
        <f t="shared" si="1"/>
        <v>33.916666666666664</v>
      </c>
      <c r="D19" s="295">
        <f t="shared" si="1"/>
        <v>97.833333333333329</v>
      </c>
      <c r="E19" s="295">
        <f t="shared" si="2"/>
        <v>131.75</v>
      </c>
    </row>
    <row r="20" spans="1:5" x14ac:dyDescent="0.2">
      <c r="A20" s="1027" t="s">
        <v>1835</v>
      </c>
      <c r="B20" s="1028" t="s">
        <v>1842</v>
      </c>
      <c r="C20" s="295">
        <f t="shared" si="1"/>
        <v>338.16666666666669</v>
      </c>
      <c r="D20" s="295">
        <f t="shared" si="1"/>
        <v>1</v>
      </c>
      <c r="E20" s="295">
        <f t="shared" si="2"/>
        <v>339.16666666666669</v>
      </c>
    </row>
    <row r="21" spans="1:5" x14ac:dyDescent="0.2">
      <c r="A21" s="1027" t="s">
        <v>1837</v>
      </c>
      <c r="B21" s="1027" t="s">
        <v>1838</v>
      </c>
      <c r="C21" s="295">
        <f t="shared" si="1"/>
        <v>9</v>
      </c>
      <c r="D21" s="295">
        <f t="shared" si="1"/>
        <v>12.916666666666666</v>
      </c>
      <c r="E21" s="295">
        <f t="shared" si="2"/>
        <v>21.916666666666664</v>
      </c>
    </row>
    <row r="22" spans="1:5" x14ac:dyDescent="0.2">
      <c r="A22" s="1027" t="s">
        <v>1839</v>
      </c>
      <c r="C22" s="295">
        <f t="shared" si="1"/>
        <v>0</v>
      </c>
      <c r="D22" s="295">
        <f t="shared" si="1"/>
        <v>12</v>
      </c>
      <c r="E22" s="295">
        <f t="shared" si="2"/>
        <v>12</v>
      </c>
    </row>
    <row r="23" spans="1:5" x14ac:dyDescent="0.2">
      <c r="A23" s="1027" t="s">
        <v>1840</v>
      </c>
      <c r="C23" s="295">
        <f t="shared" si="1"/>
        <v>0</v>
      </c>
      <c r="D23" s="295">
        <f t="shared" si="1"/>
        <v>0</v>
      </c>
      <c r="E23" s="295">
        <f t="shared" si="2"/>
        <v>0</v>
      </c>
    </row>
    <row r="24" spans="1:5" x14ac:dyDescent="0.2">
      <c r="A24" s="1027" t="s">
        <v>23</v>
      </c>
      <c r="C24" s="295">
        <f>SUM(C16:C23)</f>
        <v>750504.08333333326</v>
      </c>
      <c r="D24" s="295">
        <f>SUM(D16:D23)</f>
        <v>169.74999999999997</v>
      </c>
      <c r="E24" s="295">
        <f>SUM(E16:E23)</f>
        <v>750673.83333333326</v>
      </c>
    </row>
    <row r="26" spans="1:5" x14ac:dyDescent="0.2">
      <c r="A26" s="1067" t="s">
        <v>1843</v>
      </c>
      <c r="B26" s="1065"/>
      <c r="C26" s="1065"/>
      <c r="D26" s="1065"/>
      <c r="E26" s="1065"/>
    </row>
    <row r="27" spans="1:5" x14ac:dyDescent="0.2">
      <c r="A27" s="1027" t="s">
        <v>1827</v>
      </c>
      <c r="B27" s="1046">
        <v>23</v>
      </c>
      <c r="E27" s="1045">
        <f>'JKP-8.1 - Cust Count Net of Mig'!O4/12</f>
        <v>694077.91666666663</v>
      </c>
    </row>
    <row r="28" spans="1:5" x14ac:dyDescent="0.2">
      <c r="A28" s="1027" t="s">
        <v>1829</v>
      </c>
      <c r="B28" s="1046">
        <v>31</v>
      </c>
      <c r="E28" s="330">
        <f>SUM('JKP-8.1 - Cust Count Net of Mig'!O7,'JKP-8.1 - Cust Count Net of Mig'!O13)/12</f>
        <v>54476.916666666664</v>
      </c>
    </row>
    <row r="29" spans="1:5" x14ac:dyDescent="0.2">
      <c r="A29" s="1027" t="s">
        <v>1831</v>
      </c>
      <c r="B29" s="1025" t="s">
        <v>1832</v>
      </c>
      <c r="E29" s="330">
        <f>SUM('JKP-8.1 - Cust Count Net of Mig'!O8,'JKP-8.1 - Cust Count Net of Mig'!O14,'JKP-8.1 - Cust Count Net of Mig'!O19,'JKP-8.1 - Cust Count Net of Mig'!O22)/12</f>
        <v>1583.3333333333333</v>
      </c>
    </row>
    <row r="30" spans="1:5" x14ac:dyDescent="0.2">
      <c r="A30" s="1027" t="s">
        <v>23</v>
      </c>
      <c r="E30" s="1045">
        <f>SUM(E27:E29)</f>
        <v>750138.16666666663</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U46"/>
  <sheetViews>
    <sheetView workbookViewId="0">
      <selection activeCell="C35" sqref="C35"/>
    </sheetView>
  </sheetViews>
  <sheetFormatPr defaultRowHeight="11.25" x14ac:dyDescent="0.2"/>
  <cols>
    <col min="1" max="1" width="14.42578125" style="967" bestFit="1" customWidth="1"/>
    <col min="2" max="2" width="12.85546875" style="967" customWidth="1"/>
    <col min="3" max="3" width="3.5703125" style="967" customWidth="1"/>
    <col min="4" max="4" width="14.42578125" style="967" bestFit="1" customWidth="1"/>
    <col min="5" max="5" width="13.5703125" style="967" customWidth="1"/>
    <col min="6" max="6" width="3.5703125" style="967" customWidth="1"/>
    <col min="7" max="7" width="14.42578125" style="967" bestFit="1" customWidth="1"/>
    <col min="8" max="8" width="13.7109375" style="967" customWidth="1"/>
    <col min="9" max="9" width="3.5703125" style="967" customWidth="1"/>
    <col min="10" max="10" width="14.42578125" style="967" bestFit="1" customWidth="1"/>
    <col min="11" max="11" width="13.7109375" style="967" customWidth="1"/>
    <col min="12" max="12" width="3.5703125" style="967" customWidth="1"/>
    <col min="13" max="13" width="14.42578125" style="967" customWidth="1"/>
    <col min="14" max="14" width="13.7109375" style="967" customWidth="1"/>
    <col min="15" max="15" width="3.5703125" style="967" customWidth="1"/>
    <col min="16" max="16" width="14.42578125" style="967" bestFit="1" customWidth="1"/>
    <col min="17" max="17" width="13.7109375" style="967" customWidth="1"/>
    <col min="18" max="18" width="7.85546875" style="967" bestFit="1" customWidth="1"/>
    <col min="19" max="19" width="3.140625" style="967" customWidth="1"/>
    <col min="20" max="20" width="26.7109375" style="967" bestFit="1" customWidth="1"/>
    <col min="21" max="21" width="14.28515625" style="967" customWidth="1"/>
    <col min="22" max="22" width="9.140625" style="967"/>
    <col min="23" max="23" width="14.42578125" style="967" customWidth="1"/>
    <col min="24" max="24" width="10.42578125" style="967" customWidth="1"/>
    <col min="25" max="25" width="14.42578125" style="967" customWidth="1"/>
    <col min="26" max="16384" width="9.140625" style="967"/>
  </cols>
  <sheetData>
    <row r="1" spans="1:18" x14ac:dyDescent="0.2">
      <c r="A1" s="966" t="s">
        <v>1786</v>
      </c>
      <c r="B1" s="966" t="s">
        <v>1748</v>
      </c>
      <c r="D1" s="966" t="s">
        <v>1786</v>
      </c>
      <c r="E1" s="966" t="s">
        <v>1748</v>
      </c>
      <c r="G1" s="966" t="s">
        <v>1786</v>
      </c>
      <c r="H1" s="966" t="s">
        <v>1748</v>
      </c>
      <c r="J1" s="966" t="s">
        <v>1786</v>
      </c>
      <c r="K1" s="966" t="s">
        <v>1748</v>
      </c>
      <c r="M1" s="966" t="s">
        <v>1786</v>
      </c>
      <c r="N1" s="966" t="s">
        <v>1748</v>
      </c>
      <c r="P1" s="968" t="s">
        <v>1786</v>
      </c>
      <c r="Q1" s="968" t="s">
        <v>1748</v>
      </c>
      <c r="R1" s="969"/>
    </row>
    <row r="2" spans="1:18" x14ac:dyDescent="0.2">
      <c r="A2" s="966" t="s">
        <v>739</v>
      </c>
      <c r="B2" s="970">
        <v>2006</v>
      </c>
      <c r="D2" s="966" t="s">
        <v>739</v>
      </c>
      <c r="E2" s="970">
        <v>2007</v>
      </c>
      <c r="G2" s="966" t="s">
        <v>739</v>
      </c>
      <c r="H2" s="970">
        <v>2008</v>
      </c>
      <c r="J2" s="966" t="s">
        <v>739</v>
      </c>
      <c r="K2" s="970">
        <v>2009</v>
      </c>
      <c r="M2" s="966" t="s">
        <v>739</v>
      </c>
      <c r="N2" s="970">
        <v>2010</v>
      </c>
      <c r="P2" s="968" t="s">
        <v>739</v>
      </c>
      <c r="Q2" s="971" t="s">
        <v>1787</v>
      </c>
      <c r="R2" s="969"/>
    </row>
    <row r="3" spans="1:18" x14ac:dyDescent="0.2">
      <c r="P3" s="969"/>
      <c r="Q3" s="969"/>
      <c r="R3" s="969"/>
    </row>
    <row r="4" spans="1:18" x14ac:dyDescent="0.2">
      <c r="A4" s="972" t="s">
        <v>1788</v>
      </c>
      <c r="B4" s="973"/>
      <c r="D4" s="972" t="s">
        <v>1788</v>
      </c>
      <c r="E4" s="973"/>
      <c r="G4" s="972" t="s">
        <v>1788</v>
      </c>
      <c r="H4" s="973"/>
      <c r="J4" s="972" t="s">
        <v>1788</v>
      </c>
      <c r="K4" s="973"/>
      <c r="M4" s="972" t="s">
        <v>1788</v>
      </c>
      <c r="N4" s="973"/>
      <c r="P4" s="974" t="s">
        <v>1788</v>
      </c>
      <c r="Q4" s="975"/>
      <c r="R4" s="975"/>
    </row>
    <row r="5" spans="1:18" x14ac:dyDescent="0.2">
      <c r="A5" s="972" t="s">
        <v>1789</v>
      </c>
      <c r="B5" s="973" t="s">
        <v>23</v>
      </c>
      <c r="D5" s="972" t="s">
        <v>1789</v>
      </c>
      <c r="E5" s="973" t="s">
        <v>23</v>
      </c>
      <c r="G5" s="972" t="s">
        <v>1789</v>
      </c>
      <c r="H5" s="973" t="s">
        <v>23</v>
      </c>
      <c r="J5" s="972" t="s">
        <v>1789</v>
      </c>
      <c r="K5" s="973" t="s">
        <v>23</v>
      </c>
      <c r="M5" s="972" t="s">
        <v>1789</v>
      </c>
      <c r="N5" s="973" t="s">
        <v>23</v>
      </c>
      <c r="P5" s="974" t="s">
        <v>1789</v>
      </c>
      <c r="Q5" s="975" t="s">
        <v>23</v>
      </c>
      <c r="R5" s="976" t="s">
        <v>1790</v>
      </c>
    </row>
    <row r="6" spans="1:18" x14ac:dyDescent="0.2">
      <c r="A6" s="977">
        <v>7</v>
      </c>
      <c r="B6" s="978">
        <v>4796916.28</v>
      </c>
      <c r="D6" s="977">
        <v>7</v>
      </c>
      <c r="E6" s="978">
        <v>5567273.6400000015</v>
      </c>
      <c r="G6" s="977">
        <v>7</v>
      </c>
      <c r="H6" s="978">
        <v>7283836.8499999968</v>
      </c>
      <c r="J6" s="977">
        <v>7</v>
      </c>
      <c r="K6" s="978">
        <v>9570841.9200000037</v>
      </c>
      <c r="M6" s="977">
        <v>7</v>
      </c>
      <c r="N6" s="978">
        <v>10055319.000000009</v>
      </c>
      <c r="P6" s="979">
        <v>7</v>
      </c>
      <c r="Q6" s="980">
        <f>SUM(N6,K6,H6,E6,B6)</f>
        <v>37274187.690000013</v>
      </c>
      <c r="R6" s="981">
        <f t="shared" ref="R6:R12" si="0">+Q6/$Q$13</f>
        <v>0.87706012542352207</v>
      </c>
    </row>
    <row r="7" spans="1:18" x14ac:dyDescent="0.2">
      <c r="A7" s="982">
        <v>24</v>
      </c>
      <c r="B7" s="983">
        <v>301370.53000000003</v>
      </c>
      <c r="D7" s="982">
        <v>24</v>
      </c>
      <c r="E7" s="983">
        <v>603587.43999999994</v>
      </c>
      <c r="G7" s="982">
        <v>24</v>
      </c>
      <c r="H7" s="983">
        <v>528014.52</v>
      </c>
      <c r="J7" s="982">
        <v>24</v>
      </c>
      <c r="K7" s="983">
        <v>838283.16</v>
      </c>
      <c r="M7" s="982">
        <v>24</v>
      </c>
      <c r="N7" s="983">
        <v>979702.62</v>
      </c>
      <c r="P7" s="984">
        <v>24</v>
      </c>
      <c r="Q7" s="985">
        <f>SUM(N7,K7,H7,E7,B7)</f>
        <v>3250958.2699999996</v>
      </c>
      <c r="R7" s="986">
        <f t="shared" si="0"/>
        <v>7.6494916314374412E-2</v>
      </c>
    </row>
    <row r="8" spans="1:18" x14ac:dyDescent="0.2">
      <c r="A8" s="982" t="s">
        <v>1791</v>
      </c>
      <c r="B8" s="983">
        <v>96721.39</v>
      </c>
      <c r="D8" s="982" t="s">
        <v>1791</v>
      </c>
      <c r="E8" s="983">
        <v>438636.63</v>
      </c>
      <c r="G8" s="982" t="s">
        <v>1791</v>
      </c>
      <c r="H8" s="983">
        <v>293697.75</v>
      </c>
      <c r="J8" s="982" t="s">
        <v>1791</v>
      </c>
      <c r="K8" s="983">
        <v>348390.29</v>
      </c>
      <c r="M8" s="982" t="s">
        <v>1791</v>
      </c>
      <c r="N8" s="983">
        <v>215516.55000000002</v>
      </c>
      <c r="P8" s="984" t="s">
        <v>1791</v>
      </c>
      <c r="Q8" s="985">
        <f>SUM(N8,K8,H8,E8,B8)</f>
        <v>1392962.6099999999</v>
      </c>
      <c r="R8" s="986">
        <f t="shared" si="0"/>
        <v>3.2776353749075518E-2</v>
      </c>
    </row>
    <row r="9" spans="1:18" x14ac:dyDescent="0.2">
      <c r="A9" s="982">
        <v>31</v>
      </c>
      <c r="B9" s="983">
        <v>0</v>
      </c>
      <c r="D9" s="982">
        <v>26</v>
      </c>
      <c r="E9" s="983">
        <v>134052.47</v>
      </c>
      <c r="G9" s="982">
        <v>26</v>
      </c>
      <c r="H9" s="983">
        <v>117947.53</v>
      </c>
      <c r="J9" s="982">
        <v>26</v>
      </c>
      <c r="K9" s="983">
        <v>0</v>
      </c>
      <c r="M9" s="982">
        <v>26</v>
      </c>
      <c r="N9" s="983">
        <v>48933.08</v>
      </c>
      <c r="P9" s="984">
        <v>26</v>
      </c>
      <c r="Q9" s="985">
        <f>SUM(N9,K9,H9,E9)</f>
        <v>300933.07999999996</v>
      </c>
      <c r="R9" s="986">
        <f t="shared" si="0"/>
        <v>7.080943173972805E-3</v>
      </c>
    </row>
    <row r="10" spans="1:18" x14ac:dyDescent="0.2">
      <c r="A10" s="982" t="s">
        <v>1792</v>
      </c>
      <c r="B10" s="983">
        <v>7486.58</v>
      </c>
      <c r="D10" s="982">
        <v>31</v>
      </c>
      <c r="E10" s="983">
        <v>161848.41</v>
      </c>
      <c r="G10" s="982">
        <v>31</v>
      </c>
      <c r="H10" s="983">
        <v>769.79000000000099</v>
      </c>
      <c r="J10" s="982" t="s">
        <v>1792</v>
      </c>
      <c r="K10" s="983">
        <v>27151.06</v>
      </c>
      <c r="M10" s="982">
        <v>31</v>
      </c>
      <c r="N10" s="983">
        <v>22601.63</v>
      </c>
      <c r="P10" s="984">
        <v>31</v>
      </c>
      <c r="Q10" s="985">
        <f>SUM(N10,H10,E10,B9)</f>
        <v>185219.83000000002</v>
      </c>
      <c r="R10" s="986">
        <f t="shared" si="0"/>
        <v>4.3582150919496913E-3</v>
      </c>
    </row>
    <row r="11" spans="1:18" x14ac:dyDescent="0.2">
      <c r="A11" s="987" t="s">
        <v>143</v>
      </c>
      <c r="B11" s="988">
        <v>5202494.78</v>
      </c>
      <c r="D11" s="982">
        <v>49</v>
      </c>
      <c r="E11" s="983">
        <v>32670.36</v>
      </c>
      <c r="G11" s="982" t="s">
        <v>1792</v>
      </c>
      <c r="H11" s="983">
        <v>1431.11</v>
      </c>
      <c r="J11" s="987" t="s">
        <v>143</v>
      </c>
      <c r="K11" s="988">
        <v>10784666.430000005</v>
      </c>
      <c r="M11" s="982" t="s">
        <v>1792</v>
      </c>
      <c r="N11" s="983">
        <v>15169.68</v>
      </c>
      <c r="P11" s="984">
        <v>49</v>
      </c>
      <c r="Q11" s="985">
        <f>E11</f>
        <v>32670.36</v>
      </c>
      <c r="R11" s="986">
        <f t="shared" si="0"/>
        <v>7.687322464955804E-4</v>
      </c>
    </row>
    <row r="12" spans="1:18" x14ac:dyDescent="0.2">
      <c r="D12" s="982" t="s">
        <v>1792</v>
      </c>
      <c r="E12" s="983">
        <v>10840.47</v>
      </c>
      <c r="G12" s="987" t="s">
        <v>143</v>
      </c>
      <c r="H12" s="988">
        <v>8225697.549999998</v>
      </c>
      <c r="M12" s="987" t="s">
        <v>143</v>
      </c>
      <c r="N12" s="988">
        <v>11337242.56000001</v>
      </c>
      <c r="P12" s="984" t="s">
        <v>1792</v>
      </c>
      <c r="Q12" s="985">
        <f>SUM(N11,K10,H11,E12,B10)</f>
        <v>62078.900000000009</v>
      </c>
      <c r="R12" s="986">
        <f t="shared" si="0"/>
        <v>1.4607140006101707E-3</v>
      </c>
    </row>
    <row r="13" spans="1:18" x14ac:dyDescent="0.2">
      <c r="D13" s="987" t="s">
        <v>143</v>
      </c>
      <c r="E13" s="988">
        <v>6948909.4200000018</v>
      </c>
      <c r="P13" s="989" t="s">
        <v>143</v>
      </c>
      <c r="Q13" s="990">
        <f>SUM(Q6:Q12)</f>
        <v>42499010.740000002</v>
      </c>
      <c r="R13" s="991">
        <f>SUM(R6:R12)</f>
        <v>1.0000000000000002</v>
      </c>
    </row>
    <row r="15" spans="1:18" x14ac:dyDescent="0.2">
      <c r="A15" s="966" t="s">
        <v>1786</v>
      </c>
      <c r="B15" s="966" t="s">
        <v>1746</v>
      </c>
      <c r="D15" s="966" t="s">
        <v>1786</v>
      </c>
      <c r="E15" s="966" t="s">
        <v>1746</v>
      </c>
      <c r="G15" s="966" t="s">
        <v>1786</v>
      </c>
      <c r="H15" s="966" t="s">
        <v>1746</v>
      </c>
      <c r="J15" s="966" t="s">
        <v>1786</v>
      </c>
      <c r="K15" s="966" t="s">
        <v>1746</v>
      </c>
      <c r="M15" s="966" t="s">
        <v>1786</v>
      </c>
      <c r="N15" s="966" t="s">
        <v>1746</v>
      </c>
      <c r="P15" s="992" t="s">
        <v>1786</v>
      </c>
      <c r="Q15" s="992" t="s">
        <v>1746</v>
      </c>
      <c r="R15" s="993"/>
    </row>
    <row r="16" spans="1:18" x14ac:dyDescent="0.2">
      <c r="A16" s="966" t="s">
        <v>739</v>
      </c>
      <c r="B16" s="970">
        <v>2006</v>
      </c>
      <c r="D16" s="966" t="s">
        <v>739</v>
      </c>
      <c r="E16" s="970">
        <v>2007</v>
      </c>
      <c r="G16" s="966" t="s">
        <v>739</v>
      </c>
      <c r="H16" s="970">
        <v>2008</v>
      </c>
      <c r="J16" s="966" t="s">
        <v>739</v>
      </c>
      <c r="K16" s="970">
        <v>2009</v>
      </c>
      <c r="M16" s="966" t="s">
        <v>739</v>
      </c>
      <c r="N16" s="970">
        <v>2010</v>
      </c>
      <c r="P16" s="992" t="s">
        <v>739</v>
      </c>
      <c r="Q16" s="994" t="s">
        <v>1787</v>
      </c>
      <c r="R16" s="993"/>
    </row>
    <row r="17" spans="1:21" x14ac:dyDescent="0.2">
      <c r="P17" s="993"/>
      <c r="Q17" s="993"/>
      <c r="R17" s="993"/>
    </row>
    <row r="18" spans="1:21" x14ac:dyDescent="0.2">
      <c r="A18" s="972" t="s">
        <v>1788</v>
      </c>
      <c r="B18" s="973"/>
      <c r="D18" s="972" t="s">
        <v>1788</v>
      </c>
      <c r="E18" s="973"/>
      <c r="G18" s="972" t="s">
        <v>1788</v>
      </c>
      <c r="H18" s="973"/>
      <c r="J18" s="972" t="s">
        <v>1788</v>
      </c>
      <c r="K18" s="973"/>
      <c r="M18" s="972" t="s">
        <v>1788</v>
      </c>
      <c r="N18" s="973"/>
      <c r="P18" s="995" t="s">
        <v>1788</v>
      </c>
      <c r="Q18" s="996"/>
      <c r="R18" s="993"/>
    </row>
    <row r="19" spans="1:21" x14ac:dyDescent="0.2">
      <c r="A19" s="972" t="s">
        <v>1789</v>
      </c>
      <c r="B19" s="973" t="s">
        <v>23</v>
      </c>
      <c r="D19" s="972" t="s">
        <v>1789</v>
      </c>
      <c r="E19" s="973" t="s">
        <v>23</v>
      </c>
      <c r="G19" s="972" t="s">
        <v>1789</v>
      </c>
      <c r="H19" s="973" t="s">
        <v>23</v>
      </c>
      <c r="J19" s="972" t="s">
        <v>1789</v>
      </c>
      <c r="K19" s="973" t="s">
        <v>23</v>
      </c>
      <c r="M19" s="972" t="s">
        <v>1789</v>
      </c>
      <c r="N19" s="973" t="s">
        <v>23</v>
      </c>
      <c r="P19" s="995" t="s">
        <v>1789</v>
      </c>
      <c r="Q19" s="996" t="s">
        <v>23</v>
      </c>
      <c r="R19" s="997" t="s">
        <v>1790</v>
      </c>
      <c r="T19" s="967" t="s">
        <v>69</v>
      </c>
      <c r="U19" s="967" t="s">
        <v>1793</v>
      </c>
    </row>
    <row r="20" spans="1:21" x14ac:dyDescent="0.2">
      <c r="A20" s="998">
        <v>23</v>
      </c>
      <c r="B20" s="999">
        <v>1950406.37</v>
      </c>
      <c r="C20" s="1000"/>
      <c r="D20" s="998">
        <v>23</v>
      </c>
      <c r="E20" s="999">
        <v>2626647.96</v>
      </c>
      <c r="F20" s="1000"/>
      <c r="G20" s="998">
        <v>23</v>
      </c>
      <c r="H20" s="999">
        <v>3081657.19</v>
      </c>
      <c r="I20" s="1000"/>
      <c r="J20" s="998">
        <v>23</v>
      </c>
      <c r="K20" s="999">
        <v>4890894.25</v>
      </c>
      <c r="L20" s="1000"/>
      <c r="M20" s="977">
        <v>23</v>
      </c>
      <c r="N20" s="978">
        <v>4562056.1500000004</v>
      </c>
      <c r="P20" s="1001">
        <v>23</v>
      </c>
      <c r="Q20" s="1002">
        <f t="shared" ref="Q20:Q25" si="1">SUM(N20,K20,H20,E20,B20)</f>
        <v>17111661.920000002</v>
      </c>
      <c r="R20" s="1003" t="e">
        <f t="shared" ref="R20:R35" si="2">+Q20/$Q$36</f>
        <v>#REF!</v>
      </c>
      <c r="T20" s="967" t="s">
        <v>89</v>
      </c>
      <c r="U20" s="1004" t="e">
        <f>SUM(Q20:Q21,Q34)</f>
        <v>#REF!</v>
      </c>
    </row>
    <row r="21" spans="1:21" x14ac:dyDescent="0.2">
      <c r="A21" s="1005">
        <v>24</v>
      </c>
      <c r="B21" s="1006">
        <v>-53066.31</v>
      </c>
      <c r="C21" s="1000"/>
      <c r="D21" s="1005">
        <v>24</v>
      </c>
      <c r="E21" s="1006">
        <v>-15866.33</v>
      </c>
      <c r="F21" s="1000"/>
      <c r="G21" s="1005">
        <v>24</v>
      </c>
      <c r="H21" s="1006">
        <v>-33720.720000000001</v>
      </c>
      <c r="I21" s="1000"/>
      <c r="J21" s="1005">
        <v>24</v>
      </c>
      <c r="K21" s="1006">
        <v>-25150.23</v>
      </c>
      <c r="L21" s="1000"/>
      <c r="M21" s="982">
        <v>24</v>
      </c>
      <c r="N21" s="983">
        <v>-18131.14</v>
      </c>
      <c r="P21" s="1007">
        <v>24</v>
      </c>
      <c r="Q21" s="1008">
        <f t="shared" si="1"/>
        <v>-145934.72999999998</v>
      </c>
      <c r="R21" s="1009" t="e">
        <f t="shared" si="2"/>
        <v>#REF!</v>
      </c>
      <c r="T21" s="967" t="s">
        <v>1794</v>
      </c>
      <c r="U21" s="1004" t="e">
        <f>SUM(Q22:Q24,Q28,Q35)</f>
        <v>#REF!</v>
      </c>
    </row>
    <row r="22" spans="1:21" x14ac:dyDescent="0.2">
      <c r="A22" s="1005" t="s">
        <v>1795</v>
      </c>
      <c r="B22" s="1006">
        <v>308588.40999999997</v>
      </c>
      <c r="C22" s="1000"/>
      <c r="D22" s="1005" t="s">
        <v>1795</v>
      </c>
      <c r="E22" s="1006">
        <v>612536.30000000005</v>
      </c>
      <c r="F22" s="1000"/>
      <c r="G22" s="1005" t="s">
        <v>1795</v>
      </c>
      <c r="H22" s="1006">
        <v>555838.64</v>
      </c>
      <c r="I22" s="1000"/>
      <c r="J22" s="1005" t="s">
        <v>1795</v>
      </c>
      <c r="K22" s="1006">
        <v>735335.05</v>
      </c>
      <c r="L22" s="1000"/>
      <c r="M22" s="1010" t="s">
        <v>1795</v>
      </c>
      <c r="N22" s="983">
        <v>1010494.6600000001</v>
      </c>
      <c r="P22" s="1007" t="s">
        <v>1795</v>
      </c>
      <c r="Q22" s="1008">
        <f t="shared" si="1"/>
        <v>3222793.0600000005</v>
      </c>
      <c r="R22" s="1009" t="e">
        <f t="shared" si="2"/>
        <v>#REF!</v>
      </c>
      <c r="T22" s="967" t="s">
        <v>1796</v>
      </c>
      <c r="U22" s="1004">
        <f>SUM(Q25:Q26)</f>
        <v>212446.96</v>
      </c>
    </row>
    <row r="23" spans="1:21" x14ac:dyDescent="0.2">
      <c r="A23" s="1005" t="s">
        <v>1797</v>
      </c>
      <c r="B23" s="1006">
        <v>27310.42</v>
      </c>
      <c r="C23" s="1000"/>
      <c r="D23" s="1005" t="s">
        <v>1797</v>
      </c>
      <c r="E23" s="1006">
        <v>40355.9</v>
      </c>
      <c r="F23" s="1000"/>
      <c r="G23" s="1005" t="s">
        <v>1797</v>
      </c>
      <c r="H23" s="1006">
        <v>14084.68</v>
      </c>
      <c r="I23" s="1000"/>
      <c r="J23" s="1005" t="s">
        <v>1797</v>
      </c>
      <c r="K23" s="1006">
        <v>69174.820000000007</v>
      </c>
      <c r="L23" s="1000"/>
      <c r="M23" s="982" t="s">
        <v>1797</v>
      </c>
      <c r="N23" s="983">
        <v>41757.979999999996</v>
      </c>
      <c r="P23" s="1007" t="s">
        <v>1797</v>
      </c>
      <c r="Q23" s="1008">
        <f t="shared" si="1"/>
        <v>192683.8</v>
      </c>
      <c r="R23" s="1009" t="e">
        <f t="shared" si="2"/>
        <v>#REF!</v>
      </c>
      <c r="T23" s="967" t="s">
        <v>163</v>
      </c>
      <c r="U23" s="1004" t="e">
        <f>Q27</f>
        <v>#REF!</v>
      </c>
    </row>
    <row r="24" spans="1:21" x14ac:dyDescent="0.2">
      <c r="A24" s="1005">
        <v>36</v>
      </c>
      <c r="B24" s="1006">
        <v>3946.8</v>
      </c>
      <c r="C24" s="1000"/>
      <c r="D24" s="1005">
        <v>36</v>
      </c>
      <c r="E24" s="1006">
        <v>10718.17</v>
      </c>
      <c r="F24" s="1000"/>
      <c r="G24" s="1005">
        <v>36</v>
      </c>
      <c r="H24" s="1006">
        <v>-7056.38</v>
      </c>
      <c r="I24" s="1000"/>
      <c r="J24" s="1005">
        <v>36</v>
      </c>
      <c r="K24" s="1006">
        <v>13325.69</v>
      </c>
      <c r="L24" s="1000"/>
      <c r="M24" s="982">
        <v>36</v>
      </c>
      <c r="N24" s="983">
        <v>15798.960000000001</v>
      </c>
      <c r="P24" s="1007">
        <v>36</v>
      </c>
      <c r="Q24" s="1008">
        <f t="shared" si="1"/>
        <v>36733.240000000005</v>
      </c>
      <c r="R24" s="1009" t="e">
        <f t="shared" si="2"/>
        <v>#REF!</v>
      </c>
      <c r="T24" s="967" t="s">
        <v>1798</v>
      </c>
      <c r="U24" s="1004">
        <f>Q33</f>
        <v>19817.580000000002</v>
      </c>
    </row>
    <row r="25" spans="1:21" x14ac:dyDescent="0.2">
      <c r="A25" s="1005" t="s">
        <v>1799</v>
      </c>
      <c r="B25" s="1006">
        <v>20614.32</v>
      </c>
      <c r="C25" s="1000"/>
      <c r="D25" s="1005" t="s">
        <v>1799</v>
      </c>
      <c r="E25" s="1006">
        <v>54005.83</v>
      </c>
      <c r="F25" s="1000"/>
      <c r="G25" s="1005" t="s">
        <v>1799</v>
      </c>
      <c r="H25" s="1006">
        <v>13334.84</v>
      </c>
      <c r="I25" s="1000"/>
      <c r="J25" s="1005" t="s">
        <v>1799</v>
      </c>
      <c r="K25" s="1006">
        <v>38028.14</v>
      </c>
      <c r="L25" s="1000"/>
      <c r="M25" s="982" t="s">
        <v>1799</v>
      </c>
      <c r="N25" s="983">
        <v>43388.649999999994</v>
      </c>
      <c r="P25" s="1007" t="s">
        <v>1799</v>
      </c>
      <c r="Q25" s="1008">
        <f t="shared" si="1"/>
        <v>169371.78</v>
      </c>
      <c r="R25" s="1009" t="e">
        <f t="shared" si="2"/>
        <v>#REF!</v>
      </c>
      <c r="T25" s="967" t="s">
        <v>1800</v>
      </c>
      <c r="U25" s="967">
        <v>0</v>
      </c>
    </row>
    <row r="26" spans="1:21" x14ac:dyDescent="0.2">
      <c r="A26" s="1005">
        <v>71</v>
      </c>
      <c r="B26" s="1006">
        <v>12170.26</v>
      </c>
      <c r="C26" s="1000"/>
      <c r="D26" s="1005" t="s">
        <v>1801</v>
      </c>
      <c r="E26" s="1006">
        <v>43052.18</v>
      </c>
      <c r="F26" s="1000"/>
      <c r="G26" s="1005" t="s">
        <v>1801</v>
      </c>
      <c r="H26" s="1006">
        <v>23</v>
      </c>
      <c r="I26" s="1000"/>
      <c r="J26" s="1005" t="s">
        <v>1802</v>
      </c>
      <c r="K26" s="1006">
        <v>11764.46</v>
      </c>
      <c r="L26" s="1000"/>
      <c r="M26" s="982">
        <v>71</v>
      </c>
      <c r="N26" s="983">
        <v>5937.22</v>
      </c>
      <c r="P26" s="1007" t="s">
        <v>1801</v>
      </c>
      <c r="Q26" s="1008">
        <f>SUM(H26,E26)</f>
        <v>43075.18</v>
      </c>
      <c r="R26" s="1009" t="e">
        <f t="shared" si="2"/>
        <v>#REF!</v>
      </c>
      <c r="T26" s="967" t="s">
        <v>144</v>
      </c>
      <c r="U26" s="967">
        <v>0</v>
      </c>
    </row>
    <row r="27" spans="1:21" x14ac:dyDescent="0.2">
      <c r="A27" s="1005">
        <v>72</v>
      </c>
      <c r="B27" s="1006">
        <v>25671.39</v>
      </c>
      <c r="C27" s="1000"/>
      <c r="D27" s="1005" t="s">
        <v>1803</v>
      </c>
      <c r="E27" s="1006">
        <v>1.51</v>
      </c>
      <c r="F27" s="1000"/>
      <c r="G27" s="1005">
        <v>71</v>
      </c>
      <c r="H27" s="1006">
        <v>30456.95</v>
      </c>
      <c r="I27" s="1000"/>
      <c r="J27" s="1005">
        <v>71</v>
      </c>
      <c r="K27" s="1006">
        <v>2949.15</v>
      </c>
      <c r="L27" s="1000"/>
      <c r="M27" s="982">
        <v>72</v>
      </c>
      <c r="N27" s="983">
        <v>8809.6699999999983</v>
      </c>
      <c r="P27" s="1007" t="s">
        <v>1802</v>
      </c>
      <c r="Q27" s="1008" t="e">
        <f>SUM(GETPIVOTDATA("Grand Total",$J$18,"Tariff","57-I"))</f>
        <v>#REF!</v>
      </c>
      <c r="R27" s="1009" t="e">
        <f t="shared" si="2"/>
        <v>#REF!</v>
      </c>
      <c r="T27" s="967" t="s">
        <v>90</v>
      </c>
      <c r="U27" s="1004">
        <f>SUM(Q29:Q32)</f>
        <v>169391.44999999998</v>
      </c>
    </row>
    <row r="28" spans="1:21" x14ac:dyDescent="0.2">
      <c r="A28" s="1005">
        <v>74</v>
      </c>
      <c r="B28" s="1006">
        <v>3398.45</v>
      </c>
      <c r="C28" s="1000"/>
      <c r="D28" s="1005">
        <v>71</v>
      </c>
      <c r="E28" s="1006">
        <v>25800.12</v>
      </c>
      <c r="F28" s="1000"/>
      <c r="G28" s="1005">
        <v>72</v>
      </c>
      <c r="H28" s="1006">
        <v>14393.54</v>
      </c>
      <c r="I28" s="1000"/>
      <c r="J28" s="1005">
        <v>72</v>
      </c>
      <c r="K28" s="1006">
        <v>7848.77</v>
      </c>
      <c r="L28" s="1000"/>
      <c r="M28" s="982">
        <v>74</v>
      </c>
      <c r="N28" s="983">
        <v>2648.4000000000005</v>
      </c>
      <c r="P28" s="1007" t="s">
        <v>1803</v>
      </c>
      <c r="Q28" s="1008" t="e">
        <f>SUM(GETPIVOTDATA("Grand Total",$D$18,"Tariff","61-C"))</f>
        <v>#REF!</v>
      </c>
      <c r="R28" s="1009" t="e">
        <f t="shared" si="2"/>
        <v>#REF!</v>
      </c>
      <c r="T28" s="967" t="s">
        <v>23</v>
      </c>
      <c r="U28" s="1004" t="e">
        <f>SUM(U20:U27)</f>
        <v>#REF!</v>
      </c>
    </row>
    <row r="29" spans="1:21" x14ac:dyDescent="0.2">
      <c r="A29" s="1005">
        <v>75</v>
      </c>
      <c r="B29" s="1006">
        <v>-139.16</v>
      </c>
      <c r="C29" s="1000"/>
      <c r="D29" s="1005">
        <v>72</v>
      </c>
      <c r="E29" s="1006">
        <v>13610.16</v>
      </c>
      <c r="F29" s="1000"/>
      <c r="G29" s="1005">
        <v>74</v>
      </c>
      <c r="H29" s="1006">
        <v>8874.84</v>
      </c>
      <c r="I29" s="1000"/>
      <c r="J29" s="1005">
        <v>74</v>
      </c>
      <c r="K29" s="1006">
        <v>1502.14</v>
      </c>
      <c r="L29" s="1000"/>
      <c r="M29" s="982">
        <v>75</v>
      </c>
      <c r="N29" s="983">
        <v>-2.52</v>
      </c>
      <c r="P29" s="1007">
        <v>71</v>
      </c>
      <c r="Q29" s="1008">
        <f>SUM(N26,K27,H27,E28,B26)</f>
        <v>77313.7</v>
      </c>
      <c r="R29" s="1009" t="e">
        <f t="shared" si="2"/>
        <v>#REF!</v>
      </c>
    </row>
    <row r="30" spans="1:21" x14ac:dyDescent="0.2">
      <c r="A30" s="982" t="s">
        <v>1804</v>
      </c>
      <c r="B30" s="983">
        <v>9882.6200000000008</v>
      </c>
      <c r="D30" s="982">
        <v>74</v>
      </c>
      <c r="E30" s="1006">
        <v>5475.23</v>
      </c>
      <c r="G30" s="982">
        <v>75</v>
      </c>
      <c r="H30" s="983">
        <v>-13.16</v>
      </c>
      <c r="J30" s="987" t="s">
        <v>143</v>
      </c>
      <c r="K30" s="988">
        <v>5745672.2399999993</v>
      </c>
      <c r="M30" s="987" t="s">
        <v>143</v>
      </c>
      <c r="N30" s="988">
        <v>5672758.0300000021</v>
      </c>
      <c r="P30" s="1007">
        <v>72</v>
      </c>
      <c r="Q30" s="1008">
        <f>SUM(N27,K28,H28,E29,B27)</f>
        <v>70333.53</v>
      </c>
      <c r="R30" s="1009" t="e">
        <f t="shared" si="2"/>
        <v>#REF!</v>
      </c>
    </row>
    <row r="31" spans="1:21" x14ac:dyDescent="0.2">
      <c r="A31" s="987" t="s">
        <v>143</v>
      </c>
      <c r="B31" s="988">
        <v>2308783.5699999998</v>
      </c>
      <c r="D31" s="982">
        <v>94</v>
      </c>
      <c r="E31" s="983">
        <v>1.9</v>
      </c>
      <c r="G31" s="982" t="s">
        <v>1804</v>
      </c>
      <c r="H31" s="983">
        <v>9934.9599999999991</v>
      </c>
      <c r="P31" s="1007">
        <v>74</v>
      </c>
      <c r="Q31" s="1008">
        <f>SUM(N28,K29,H29,E30,B28)</f>
        <v>21899.06</v>
      </c>
      <c r="R31" s="1009" t="e">
        <f t="shared" si="2"/>
        <v>#REF!</v>
      </c>
    </row>
    <row r="32" spans="1:21" x14ac:dyDescent="0.2">
      <c r="D32" s="982">
        <v>97</v>
      </c>
      <c r="E32" s="983">
        <v>1.61</v>
      </c>
      <c r="G32" s="987" t="s">
        <v>143</v>
      </c>
      <c r="H32" s="988">
        <v>3687808.38</v>
      </c>
      <c r="P32" s="1007">
        <v>75</v>
      </c>
      <c r="Q32" s="1008">
        <f>SUM(N29,H30,B29)</f>
        <v>-154.84</v>
      </c>
      <c r="R32" s="1009" t="e">
        <f t="shared" si="2"/>
        <v>#REF!</v>
      </c>
    </row>
    <row r="33" spans="1:18" x14ac:dyDescent="0.2">
      <c r="D33" s="987" t="s">
        <v>143</v>
      </c>
      <c r="E33" s="988">
        <v>3416340.54</v>
      </c>
      <c r="P33" s="1007" t="s">
        <v>1804</v>
      </c>
      <c r="Q33" s="1008">
        <f>SUM(H31,B30)</f>
        <v>19817.580000000002</v>
      </c>
      <c r="R33" s="1009" t="e">
        <f t="shared" si="2"/>
        <v>#REF!</v>
      </c>
    </row>
    <row r="34" spans="1:18" x14ac:dyDescent="0.2">
      <c r="P34" s="1007">
        <v>94</v>
      </c>
      <c r="Q34" s="1008" t="e">
        <f>SUM(GETPIVOTDATA("Grand Total",$D$18,"Tariff",94))</f>
        <v>#REF!</v>
      </c>
      <c r="R34" s="1009" t="e">
        <f t="shared" si="2"/>
        <v>#REF!</v>
      </c>
    </row>
    <row r="35" spans="1:18" x14ac:dyDescent="0.2">
      <c r="P35" s="1007">
        <v>97</v>
      </c>
      <c r="Q35" s="1011" t="e">
        <f>SUM(GETPIVOTDATA("Grand Total",$D$18,"Tariff",97))</f>
        <v>#REF!</v>
      </c>
      <c r="R35" s="1012" t="e">
        <f t="shared" si="2"/>
        <v>#REF!</v>
      </c>
    </row>
    <row r="36" spans="1:18" x14ac:dyDescent="0.2">
      <c r="P36" s="1013" t="s">
        <v>143</v>
      </c>
      <c r="Q36" s="1014" t="e">
        <f>SUM(Q20:Q35)</f>
        <v>#REF!</v>
      </c>
      <c r="R36" s="1015" t="e">
        <f>SUM(R20:R35)</f>
        <v>#REF!</v>
      </c>
    </row>
    <row r="38" spans="1:18" x14ac:dyDescent="0.2">
      <c r="P38" s="1016"/>
      <c r="Q38" s="1016"/>
    </row>
    <row r="39" spans="1:18" x14ac:dyDescent="0.2">
      <c r="A39" s="966" t="s">
        <v>739</v>
      </c>
      <c r="B39" s="970">
        <v>2006</v>
      </c>
      <c r="D39" s="966" t="s">
        <v>739</v>
      </c>
      <c r="E39" s="970">
        <v>2007</v>
      </c>
      <c r="G39" s="966" t="s">
        <v>739</v>
      </c>
      <c r="H39" s="970">
        <v>2008</v>
      </c>
      <c r="J39" s="966" t="s">
        <v>739</v>
      </c>
      <c r="K39" s="970">
        <v>2009</v>
      </c>
      <c r="M39" s="966" t="s">
        <v>739</v>
      </c>
      <c r="N39" s="970">
        <v>2010</v>
      </c>
      <c r="P39" s="1017" t="s">
        <v>739</v>
      </c>
      <c r="Q39" s="1018" t="s">
        <v>1787</v>
      </c>
    </row>
    <row r="41" spans="1:18" x14ac:dyDescent="0.2">
      <c r="A41" s="972" t="s">
        <v>1788</v>
      </c>
      <c r="B41" s="973"/>
      <c r="D41" s="972" t="s">
        <v>1788</v>
      </c>
      <c r="E41" s="973"/>
      <c r="G41" s="972" t="s">
        <v>1788</v>
      </c>
      <c r="H41" s="973"/>
      <c r="J41" s="972" t="s">
        <v>1788</v>
      </c>
      <c r="K41" s="973"/>
      <c r="M41" s="972" t="s">
        <v>1788</v>
      </c>
      <c r="N41" s="973"/>
      <c r="P41" s="972" t="s">
        <v>1788</v>
      </c>
      <c r="Q41" s="973"/>
      <c r="R41" s="973"/>
    </row>
    <row r="42" spans="1:18" x14ac:dyDescent="0.2">
      <c r="A42" s="972" t="s">
        <v>1786</v>
      </c>
      <c r="B42" s="973" t="s">
        <v>23</v>
      </c>
      <c r="D42" s="972" t="s">
        <v>1786</v>
      </c>
      <c r="E42" s="973" t="s">
        <v>23</v>
      </c>
      <c r="G42" s="972" t="s">
        <v>1786</v>
      </c>
      <c r="H42" s="973" t="s">
        <v>23</v>
      </c>
      <c r="J42" s="972" t="s">
        <v>1786</v>
      </c>
      <c r="K42" s="973" t="s">
        <v>23</v>
      </c>
      <c r="M42" s="972" t="s">
        <v>1786</v>
      </c>
      <c r="N42" s="973" t="s">
        <v>23</v>
      </c>
      <c r="P42" s="972" t="s">
        <v>1789</v>
      </c>
      <c r="Q42" s="973" t="s">
        <v>23</v>
      </c>
      <c r="R42" s="1019" t="s">
        <v>1790</v>
      </c>
    </row>
    <row r="43" spans="1:18" x14ac:dyDescent="0.2">
      <c r="A43" s="972" t="s">
        <v>1748</v>
      </c>
      <c r="B43" s="978">
        <v>5202494.78</v>
      </c>
      <c r="D43" s="972" t="s">
        <v>1748</v>
      </c>
      <c r="E43" s="978">
        <v>6948909.4200000027</v>
      </c>
      <c r="G43" s="972" t="s">
        <v>1748</v>
      </c>
      <c r="H43" s="978">
        <v>8225697.549999997</v>
      </c>
      <c r="J43" s="972" t="s">
        <v>1748</v>
      </c>
      <c r="K43" s="978">
        <v>10784666.430000003</v>
      </c>
      <c r="M43" s="972" t="s">
        <v>1748</v>
      </c>
      <c r="N43" s="978">
        <v>11337242.560000008</v>
      </c>
      <c r="P43" s="972" t="s">
        <v>1748</v>
      </c>
      <c r="Q43" s="978">
        <f>SUM(N43,K43,H43,E43,B43)</f>
        <v>42499010.74000001</v>
      </c>
      <c r="R43" s="1020">
        <f>+Q43/$Q$46</f>
        <v>0.67746302646399803</v>
      </c>
    </row>
    <row r="44" spans="1:18" x14ac:dyDescent="0.2">
      <c r="A44" s="1021" t="s">
        <v>1746</v>
      </c>
      <c r="B44" s="983">
        <v>2308783.5699999998</v>
      </c>
      <c r="D44" s="1021" t="s">
        <v>1746</v>
      </c>
      <c r="E44" s="983">
        <v>3416340.54</v>
      </c>
      <c r="G44" s="1021" t="s">
        <v>1746</v>
      </c>
      <c r="H44" s="983">
        <v>3687808.38</v>
      </c>
      <c r="J44" s="1021" t="s">
        <v>1746</v>
      </c>
      <c r="K44" s="983">
        <v>5745672.2400000002</v>
      </c>
      <c r="M44" s="1021" t="s">
        <v>1746</v>
      </c>
      <c r="N44" s="983">
        <v>5672758.0300000049</v>
      </c>
      <c r="P44" s="1021" t="s">
        <v>1746</v>
      </c>
      <c r="Q44" s="983">
        <f>SUM(N44,K44,H44,E44,B44)</f>
        <v>20831362.760000005</v>
      </c>
      <c r="R44" s="1022">
        <f>+Q44/$Q$46</f>
        <v>0.33206603671544721</v>
      </c>
    </row>
    <row r="45" spans="1:18" x14ac:dyDescent="0.2">
      <c r="A45" s="1021" t="s">
        <v>1338</v>
      </c>
      <c r="B45" s="983">
        <v>-148768.93</v>
      </c>
      <c r="D45" s="1021" t="s">
        <v>1338</v>
      </c>
      <c r="E45" s="983">
        <v>-50866.03</v>
      </c>
      <c r="G45" s="1021" t="s">
        <v>1338</v>
      </c>
      <c r="H45" s="983">
        <v>-126027.5</v>
      </c>
      <c r="J45" s="1021" t="s">
        <v>1338</v>
      </c>
      <c r="K45" s="983">
        <v>-124689.58</v>
      </c>
      <c r="M45" s="1021" t="s">
        <v>1338</v>
      </c>
      <c r="N45" s="983">
        <v>-147430.78</v>
      </c>
      <c r="P45" s="1021" t="s">
        <v>1338</v>
      </c>
      <c r="Q45" s="983">
        <f>SUM(N45,K45,H45,E45,B45)</f>
        <v>-597782.82000000007</v>
      </c>
      <c r="R45" s="1022">
        <f>+Q45/$Q$46</f>
        <v>-9.5290631794452772E-3</v>
      </c>
    </row>
    <row r="46" spans="1:18" x14ac:dyDescent="0.2">
      <c r="A46" s="987" t="s">
        <v>143</v>
      </c>
      <c r="B46" s="988">
        <v>7362509.4199999981</v>
      </c>
      <c r="D46" s="987" t="s">
        <v>143</v>
      </c>
      <c r="E46" s="988">
        <v>10314383.930000002</v>
      </c>
      <c r="G46" s="987" t="s">
        <v>143</v>
      </c>
      <c r="H46" s="988">
        <v>11787478.429999994</v>
      </c>
      <c r="J46" s="987" t="s">
        <v>143</v>
      </c>
      <c r="K46" s="988">
        <v>16405649.090000004</v>
      </c>
      <c r="M46" s="987" t="s">
        <v>143</v>
      </c>
      <c r="N46" s="988">
        <v>16862569.81000001</v>
      </c>
      <c r="P46" s="987" t="s">
        <v>143</v>
      </c>
      <c r="Q46" s="988">
        <f>SUM(Q43:Q45)</f>
        <v>62732590.680000015</v>
      </c>
      <c r="R46" s="1023">
        <f>SUM(R43:R45)</f>
        <v>1</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U46"/>
  <sheetViews>
    <sheetView workbookViewId="0">
      <selection activeCell="C35" sqref="C35"/>
    </sheetView>
  </sheetViews>
  <sheetFormatPr defaultRowHeight="11.25" x14ac:dyDescent="0.2"/>
  <cols>
    <col min="1" max="1" width="14.42578125" style="967" bestFit="1" customWidth="1"/>
    <col min="2" max="2" width="12.85546875" style="967" customWidth="1"/>
    <col min="3" max="3" width="3.5703125" style="967" customWidth="1"/>
    <col min="4" max="4" width="14.42578125" style="967" bestFit="1" customWidth="1"/>
    <col min="5" max="5" width="13.5703125" style="967" customWidth="1"/>
    <col min="6" max="6" width="3.5703125" style="967" customWidth="1"/>
    <col min="7" max="7" width="14.42578125" style="967" bestFit="1" customWidth="1"/>
    <col min="8" max="8" width="13.7109375" style="967" customWidth="1"/>
    <col min="9" max="9" width="3.5703125" style="967" customWidth="1"/>
    <col min="10" max="10" width="14.42578125" style="967" bestFit="1" customWidth="1"/>
    <col min="11" max="11" width="13.7109375" style="967" customWidth="1"/>
    <col min="12" max="12" width="3.5703125" style="967" customWidth="1"/>
    <col min="13" max="13" width="14.42578125" style="967" customWidth="1"/>
    <col min="14" max="14" width="13.7109375" style="967" customWidth="1"/>
    <col min="15" max="15" width="3.5703125" style="967" customWidth="1"/>
    <col min="16" max="16" width="14.42578125" style="967" bestFit="1" customWidth="1"/>
    <col min="17" max="17" width="13.7109375" style="967" customWidth="1"/>
    <col min="18" max="18" width="7.85546875" style="967" bestFit="1" customWidth="1"/>
    <col min="19" max="19" width="3.140625" style="967" customWidth="1"/>
    <col min="20" max="20" width="26.7109375" style="967" bestFit="1" customWidth="1"/>
    <col min="21" max="21" width="14.28515625" style="967" customWidth="1"/>
    <col min="22" max="22" width="9.140625" style="967"/>
    <col min="23" max="23" width="14.42578125" style="967" customWidth="1"/>
    <col min="24" max="24" width="10.42578125" style="967" customWidth="1"/>
    <col min="25" max="25" width="14.42578125" style="967" customWidth="1"/>
    <col min="26" max="256" width="9.140625" style="967"/>
    <col min="257" max="257" width="14.42578125" style="967" bestFit="1" customWidth="1"/>
    <col min="258" max="258" width="12.85546875" style="967" customWidth="1"/>
    <col min="259" max="259" width="3.5703125" style="967" customWidth="1"/>
    <col min="260" max="260" width="14.42578125" style="967" bestFit="1" customWidth="1"/>
    <col min="261" max="261" width="13.5703125" style="967" customWidth="1"/>
    <col min="262" max="262" width="3.5703125" style="967" customWidth="1"/>
    <col min="263" max="263" width="14.42578125" style="967" bestFit="1" customWidth="1"/>
    <col min="264" max="264" width="13.7109375" style="967" customWidth="1"/>
    <col min="265" max="265" width="3.5703125" style="967" customWidth="1"/>
    <col min="266" max="266" width="14.42578125" style="967" bestFit="1" customWidth="1"/>
    <col min="267" max="267" width="13.7109375" style="967" customWidth="1"/>
    <col min="268" max="268" width="3.5703125" style="967" customWidth="1"/>
    <col min="269" max="269" width="14.42578125" style="967" customWidth="1"/>
    <col min="270" max="270" width="13.7109375" style="967" customWidth="1"/>
    <col min="271" max="271" width="3.5703125" style="967" customWidth="1"/>
    <col min="272" max="272" width="14.42578125" style="967" bestFit="1" customWidth="1"/>
    <col min="273" max="273" width="13.7109375" style="967" customWidth="1"/>
    <col min="274" max="274" width="7.85546875" style="967" bestFit="1" customWidth="1"/>
    <col min="275" max="275" width="3.140625" style="967" customWidth="1"/>
    <col min="276" max="276" width="26.7109375" style="967" bestFit="1" customWidth="1"/>
    <col min="277" max="277" width="14.28515625" style="967" customWidth="1"/>
    <col min="278" max="278" width="9.140625" style="967"/>
    <col min="279" max="279" width="14.42578125" style="967" customWidth="1"/>
    <col min="280" max="280" width="10.42578125" style="967" customWidth="1"/>
    <col min="281" max="281" width="14.42578125" style="967" customWidth="1"/>
    <col min="282" max="512" width="9.140625" style="967"/>
    <col min="513" max="513" width="14.42578125" style="967" bestFit="1" customWidth="1"/>
    <col min="514" max="514" width="12.85546875" style="967" customWidth="1"/>
    <col min="515" max="515" width="3.5703125" style="967" customWidth="1"/>
    <col min="516" max="516" width="14.42578125" style="967" bestFit="1" customWidth="1"/>
    <col min="517" max="517" width="13.5703125" style="967" customWidth="1"/>
    <col min="518" max="518" width="3.5703125" style="967" customWidth="1"/>
    <col min="519" max="519" width="14.42578125" style="967" bestFit="1" customWidth="1"/>
    <col min="520" max="520" width="13.7109375" style="967" customWidth="1"/>
    <col min="521" max="521" width="3.5703125" style="967" customWidth="1"/>
    <col min="522" max="522" width="14.42578125" style="967" bestFit="1" customWidth="1"/>
    <col min="523" max="523" width="13.7109375" style="967" customWidth="1"/>
    <col min="524" max="524" width="3.5703125" style="967" customWidth="1"/>
    <col min="525" max="525" width="14.42578125" style="967" customWidth="1"/>
    <col min="526" max="526" width="13.7109375" style="967" customWidth="1"/>
    <col min="527" max="527" width="3.5703125" style="967" customWidth="1"/>
    <col min="528" max="528" width="14.42578125" style="967" bestFit="1" customWidth="1"/>
    <col min="529" max="529" width="13.7109375" style="967" customWidth="1"/>
    <col min="530" max="530" width="7.85546875" style="967" bestFit="1" customWidth="1"/>
    <col min="531" max="531" width="3.140625" style="967" customWidth="1"/>
    <col min="532" max="532" width="26.7109375" style="967" bestFit="1" customWidth="1"/>
    <col min="533" max="533" width="14.28515625" style="967" customWidth="1"/>
    <col min="534" max="534" width="9.140625" style="967"/>
    <col min="535" max="535" width="14.42578125" style="967" customWidth="1"/>
    <col min="536" max="536" width="10.42578125" style="967" customWidth="1"/>
    <col min="537" max="537" width="14.42578125" style="967" customWidth="1"/>
    <col min="538" max="768" width="9.140625" style="967"/>
    <col min="769" max="769" width="14.42578125" style="967" bestFit="1" customWidth="1"/>
    <col min="770" max="770" width="12.85546875" style="967" customWidth="1"/>
    <col min="771" max="771" width="3.5703125" style="967" customWidth="1"/>
    <col min="772" max="772" width="14.42578125" style="967" bestFit="1" customWidth="1"/>
    <col min="773" max="773" width="13.5703125" style="967" customWidth="1"/>
    <col min="774" max="774" width="3.5703125" style="967" customWidth="1"/>
    <col min="775" max="775" width="14.42578125" style="967" bestFit="1" customWidth="1"/>
    <col min="776" max="776" width="13.7109375" style="967" customWidth="1"/>
    <col min="777" max="777" width="3.5703125" style="967" customWidth="1"/>
    <col min="778" max="778" width="14.42578125" style="967" bestFit="1" customWidth="1"/>
    <col min="779" max="779" width="13.7109375" style="967" customWidth="1"/>
    <col min="780" max="780" width="3.5703125" style="967" customWidth="1"/>
    <col min="781" max="781" width="14.42578125" style="967" customWidth="1"/>
    <col min="782" max="782" width="13.7109375" style="967" customWidth="1"/>
    <col min="783" max="783" width="3.5703125" style="967" customWidth="1"/>
    <col min="784" max="784" width="14.42578125" style="967" bestFit="1" customWidth="1"/>
    <col min="785" max="785" width="13.7109375" style="967" customWidth="1"/>
    <col min="786" max="786" width="7.85546875" style="967" bestFit="1" customWidth="1"/>
    <col min="787" max="787" width="3.140625" style="967" customWidth="1"/>
    <col min="788" max="788" width="26.7109375" style="967" bestFit="1" customWidth="1"/>
    <col min="789" max="789" width="14.28515625" style="967" customWidth="1"/>
    <col min="790" max="790" width="9.140625" style="967"/>
    <col min="791" max="791" width="14.42578125" style="967" customWidth="1"/>
    <col min="792" max="792" width="10.42578125" style="967" customWidth="1"/>
    <col min="793" max="793" width="14.42578125" style="967" customWidth="1"/>
    <col min="794" max="1024" width="9.140625" style="967"/>
    <col min="1025" max="1025" width="14.42578125" style="967" bestFit="1" customWidth="1"/>
    <col min="1026" max="1026" width="12.85546875" style="967" customWidth="1"/>
    <col min="1027" max="1027" width="3.5703125" style="967" customWidth="1"/>
    <col min="1028" max="1028" width="14.42578125" style="967" bestFit="1" customWidth="1"/>
    <col min="1029" max="1029" width="13.5703125" style="967" customWidth="1"/>
    <col min="1030" max="1030" width="3.5703125" style="967" customWidth="1"/>
    <col min="1031" max="1031" width="14.42578125" style="967" bestFit="1" customWidth="1"/>
    <col min="1032" max="1032" width="13.7109375" style="967" customWidth="1"/>
    <col min="1033" max="1033" width="3.5703125" style="967" customWidth="1"/>
    <col min="1034" max="1034" width="14.42578125" style="967" bestFit="1" customWidth="1"/>
    <col min="1035" max="1035" width="13.7109375" style="967" customWidth="1"/>
    <col min="1036" max="1036" width="3.5703125" style="967" customWidth="1"/>
    <col min="1037" max="1037" width="14.42578125" style="967" customWidth="1"/>
    <col min="1038" max="1038" width="13.7109375" style="967" customWidth="1"/>
    <col min="1039" max="1039" width="3.5703125" style="967" customWidth="1"/>
    <col min="1040" max="1040" width="14.42578125" style="967" bestFit="1" customWidth="1"/>
    <col min="1041" max="1041" width="13.7109375" style="967" customWidth="1"/>
    <col min="1042" max="1042" width="7.85546875" style="967" bestFit="1" customWidth="1"/>
    <col min="1043" max="1043" width="3.140625" style="967" customWidth="1"/>
    <col min="1044" max="1044" width="26.7109375" style="967" bestFit="1" customWidth="1"/>
    <col min="1045" max="1045" width="14.28515625" style="967" customWidth="1"/>
    <col min="1046" max="1046" width="9.140625" style="967"/>
    <col min="1047" max="1047" width="14.42578125" style="967" customWidth="1"/>
    <col min="1048" max="1048" width="10.42578125" style="967" customWidth="1"/>
    <col min="1049" max="1049" width="14.42578125" style="967" customWidth="1"/>
    <col min="1050" max="1280" width="9.140625" style="967"/>
    <col min="1281" max="1281" width="14.42578125" style="967" bestFit="1" customWidth="1"/>
    <col min="1282" max="1282" width="12.85546875" style="967" customWidth="1"/>
    <col min="1283" max="1283" width="3.5703125" style="967" customWidth="1"/>
    <col min="1284" max="1284" width="14.42578125" style="967" bestFit="1" customWidth="1"/>
    <col min="1285" max="1285" width="13.5703125" style="967" customWidth="1"/>
    <col min="1286" max="1286" width="3.5703125" style="967" customWidth="1"/>
    <col min="1287" max="1287" width="14.42578125" style="967" bestFit="1" customWidth="1"/>
    <col min="1288" max="1288" width="13.7109375" style="967" customWidth="1"/>
    <col min="1289" max="1289" width="3.5703125" style="967" customWidth="1"/>
    <col min="1290" max="1290" width="14.42578125" style="967" bestFit="1" customWidth="1"/>
    <col min="1291" max="1291" width="13.7109375" style="967" customWidth="1"/>
    <col min="1292" max="1292" width="3.5703125" style="967" customWidth="1"/>
    <col min="1293" max="1293" width="14.42578125" style="967" customWidth="1"/>
    <col min="1294" max="1294" width="13.7109375" style="967" customWidth="1"/>
    <col min="1295" max="1295" width="3.5703125" style="967" customWidth="1"/>
    <col min="1296" max="1296" width="14.42578125" style="967" bestFit="1" customWidth="1"/>
    <col min="1297" max="1297" width="13.7109375" style="967" customWidth="1"/>
    <col min="1298" max="1298" width="7.85546875" style="967" bestFit="1" customWidth="1"/>
    <col min="1299" max="1299" width="3.140625" style="967" customWidth="1"/>
    <col min="1300" max="1300" width="26.7109375" style="967" bestFit="1" customWidth="1"/>
    <col min="1301" max="1301" width="14.28515625" style="967" customWidth="1"/>
    <col min="1302" max="1302" width="9.140625" style="967"/>
    <col min="1303" max="1303" width="14.42578125" style="967" customWidth="1"/>
    <col min="1304" max="1304" width="10.42578125" style="967" customWidth="1"/>
    <col min="1305" max="1305" width="14.42578125" style="967" customWidth="1"/>
    <col min="1306" max="1536" width="9.140625" style="967"/>
    <col min="1537" max="1537" width="14.42578125" style="967" bestFit="1" customWidth="1"/>
    <col min="1538" max="1538" width="12.85546875" style="967" customWidth="1"/>
    <col min="1539" max="1539" width="3.5703125" style="967" customWidth="1"/>
    <col min="1540" max="1540" width="14.42578125" style="967" bestFit="1" customWidth="1"/>
    <col min="1541" max="1541" width="13.5703125" style="967" customWidth="1"/>
    <col min="1542" max="1542" width="3.5703125" style="967" customWidth="1"/>
    <col min="1543" max="1543" width="14.42578125" style="967" bestFit="1" customWidth="1"/>
    <col min="1544" max="1544" width="13.7109375" style="967" customWidth="1"/>
    <col min="1545" max="1545" width="3.5703125" style="967" customWidth="1"/>
    <col min="1546" max="1546" width="14.42578125" style="967" bestFit="1" customWidth="1"/>
    <col min="1547" max="1547" width="13.7109375" style="967" customWidth="1"/>
    <col min="1548" max="1548" width="3.5703125" style="967" customWidth="1"/>
    <col min="1549" max="1549" width="14.42578125" style="967" customWidth="1"/>
    <col min="1550" max="1550" width="13.7109375" style="967" customWidth="1"/>
    <col min="1551" max="1551" width="3.5703125" style="967" customWidth="1"/>
    <col min="1552" max="1552" width="14.42578125" style="967" bestFit="1" customWidth="1"/>
    <col min="1553" max="1553" width="13.7109375" style="967" customWidth="1"/>
    <col min="1554" max="1554" width="7.85546875" style="967" bestFit="1" customWidth="1"/>
    <col min="1555" max="1555" width="3.140625" style="967" customWidth="1"/>
    <col min="1556" max="1556" width="26.7109375" style="967" bestFit="1" customWidth="1"/>
    <col min="1557" max="1557" width="14.28515625" style="967" customWidth="1"/>
    <col min="1558" max="1558" width="9.140625" style="967"/>
    <col min="1559" max="1559" width="14.42578125" style="967" customWidth="1"/>
    <col min="1560" max="1560" width="10.42578125" style="967" customWidth="1"/>
    <col min="1561" max="1561" width="14.42578125" style="967" customWidth="1"/>
    <col min="1562" max="1792" width="9.140625" style="967"/>
    <col min="1793" max="1793" width="14.42578125" style="967" bestFit="1" customWidth="1"/>
    <col min="1794" max="1794" width="12.85546875" style="967" customWidth="1"/>
    <col min="1795" max="1795" width="3.5703125" style="967" customWidth="1"/>
    <col min="1796" max="1796" width="14.42578125" style="967" bestFit="1" customWidth="1"/>
    <col min="1797" max="1797" width="13.5703125" style="967" customWidth="1"/>
    <col min="1798" max="1798" width="3.5703125" style="967" customWidth="1"/>
    <col min="1799" max="1799" width="14.42578125" style="967" bestFit="1" customWidth="1"/>
    <col min="1800" max="1800" width="13.7109375" style="967" customWidth="1"/>
    <col min="1801" max="1801" width="3.5703125" style="967" customWidth="1"/>
    <col min="1802" max="1802" width="14.42578125" style="967" bestFit="1" customWidth="1"/>
    <col min="1803" max="1803" width="13.7109375" style="967" customWidth="1"/>
    <col min="1804" max="1804" width="3.5703125" style="967" customWidth="1"/>
    <col min="1805" max="1805" width="14.42578125" style="967" customWidth="1"/>
    <col min="1806" max="1806" width="13.7109375" style="967" customWidth="1"/>
    <col min="1807" max="1807" width="3.5703125" style="967" customWidth="1"/>
    <col min="1808" max="1808" width="14.42578125" style="967" bestFit="1" customWidth="1"/>
    <col min="1809" max="1809" width="13.7109375" style="967" customWidth="1"/>
    <col min="1810" max="1810" width="7.85546875" style="967" bestFit="1" customWidth="1"/>
    <col min="1811" max="1811" width="3.140625" style="967" customWidth="1"/>
    <col min="1812" max="1812" width="26.7109375" style="967" bestFit="1" customWidth="1"/>
    <col min="1813" max="1813" width="14.28515625" style="967" customWidth="1"/>
    <col min="1814" max="1814" width="9.140625" style="967"/>
    <col min="1815" max="1815" width="14.42578125" style="967" customWidth="1"/>
    <col min="1816" max="1816" width="10.42578125" style="967" customWidth="1"/>
    <col min="1817" max="1817" width="14.42578125" style="967" customWidth="1"/>
    <col min="1818" max="2048" width="9.140625" style="967"/>
    <col min="2049" max="2049" width="14.42578125" style="967" bestFit="1" customWidth="1"/>
    <col min="2050" max="2050" width="12.85546875" style="967" customWidth="1"/>
    <col min="2051" max="2051" width="3.5703125" style="967" customWidth="1"/>
    <col min="2052" max="2052" width="14.42578125" style="967" bestFit="1" customWidth="1"/>
    <col min="2053" max="2053" width="13.5703125" style="967" customWidth="1"/>
    <col min="2054" max="2054" width="3.5703125" style="967" customWidth="1"/>
    <col min="2055" max="2055" width="14.42578125" style="967" bestFit="1" customWidth="1"/>
    <col min="2056" max="2056" width="13.7109375" style="967" customWidth="1"/>
    <col min="2057" max="2057" width="3.5703125" style="967" customWidth="1"/>
    <col min="2058" max="2058" width="14.42578125" style="967" bestFit="1" customWidth="1"/>
    <col min="2059" max="2059" width="13.7109375" style="967" customWidth="1"/>
    <col min="2060" max="2060" width="3.5703125" style="967" customWidth="1"/>
    <col min="2061" max="2061" width="14.42578125" style="967" customWidth="1"/>
    <col min="2062" max="2062" width="13.7109375" style="967" customWidth="1"/>
    <col min="2063" max="2063" width="3.5703125" style="967" customWidth="1"/>
    <col min="2064" max="2064" width="14.42578125" style="967" bestFit="1" customWidth="1"/>
    <col min="2065" max="2065" width="13.7109375" style="967" customWidth="1"/>
    <col min="2066" max="2066" width="7.85546875" style="967" bestFit="1" customWidth="1"/>
    <col min="2067" max="2067" width="3.140625" style="967" customWidth="1"/>
    <col min="2068" max="2068" width="26.7109375" style="967" bestFit="1" customWidth="1"/>
    <col min="2069" max="2069" width="14.28515625" style="967" customWidth="1"/>
    <col min="2070" max="2070" width="9.140625" style="967"/>
    <col min="2071" max="2071" width="14.42578125" style="967" customWidth="1"/>
    <col min="2072" max="2072" width="10.42578125" style="967" customWidth="1"/>
    <col min="2073" max="2073" width="14.42578125" style="967" customWidth="1"/>
    <col min="2074" max="2304" width="9.140625" style="967"/>
    <col min="2305" max="2305" width="14.42578125" style="967" bestFit="1" customWidth="1"/>
    <col min="2306" max="2306" width="12.85546875" style="967" customWidth="1"/>
    <col min="2307" max="2307" width="3.5703125" style="967" customWidth="1"/>
    <col min="2308" max="2308" width="14.42578125" style="967" bestFit="1" customWidth="1"/>
    <col min="2309" max="2309" width="13.5703125" style="967" customWidth="1"/>
    <col min="2310" max="2310" width="3.5703125" style="967" customWidth="1"/>
    <col min="2311" max="2311" width="14.42578125" style="967" bestFit="1" customWidth="1"/>
    <col min="2312" max="2312" width="13.7109375" style="967" customWidth="1"/>
    <col min="2313" max="2313" width="3.5703125" style="967" customWidth="1"/>
    <col min="2314" max="2314" width="14.42578125" style="967" bestFit="1" customWidth="1"/>
    <col min="2315" max="2315" width="13.7109375" style="967" customWidth="1"/>
    <col min="2316" max="2316" width="3.5703125" style="967" customWidth="1"/>
    <col min="2317" max="2317" width="14.42578125" style="967" customWidth="1"/>
    <col min="2318" max="2318" width="13.7109375" style="967" customWidth="1"/>
    <col min="2319" max="2319" width="3.5703125" style="967" customWidth="1"/>
    <col min="2320" max="2320" width="14.42578125" style="967" bestFit="1" customWidth="1"/>
    <col min="2321" max="2321" width="13.7109375" style="967" customWidth="1"/>
    <col min="2322" max="2322" width="7.85546875" style="967" bestFit="1" customWidth="1"/>
    <col min="2323" max="2323" width="3.140625" style="967" customWidth="1"/>
    <col min="2324" max="2324" width="26.7109375" style="967" bestFit="1" customWidth="1"/>
    <col min="2325" max="2325" width="14.28515625" style="967" customWidth="1"/>
    <col min="2326" max="2326" width="9.140625" style="967"/>
    <col min="2327" max="2327" width="14.42578125" style="967" customWidth="1"/>
    <col min="2328" max="2328" width="10.42578125" style="967" customWidth="1"/>
    <col min="2329" max="2329" width="14.42578125" style="967" customWidth="1"/>
    <col min="2330" max="2560" width="9.140625" style="967"/>
    <col min="2561" max="2561" width="14.42578125" style="967" bestFit="1" customWidth="1"/>
    <col min="2562" max="2562" width="12.85546875" style="967" customWidth="1"/>
    <col min="2563" max="2563" width="3.5703125" style="967" customWidth="1"/>
    <col min="2564" max="2564" width="14.42578125" style="967" bestFit="1" customWidth="1"/>
    <col min="2565" max="2565" width="13.5703125" style="967" customWidth="1"/>
    <col min="2566" max="2566" width="3.5703125" style="967" customWidth="1"/>
    <col min="2567" max="2567" width="14.42578125" style="967" bestFit="1" customWidth="1"/>
    <col min="2568" max="2568" width="13.7109375" style="967" customWidth="1"/>
    <col min="2569" max="2569" width="3.5703125" style="967" customWidth="1"/>
    <col min="2570" max="2570" width="14.42578125" style="967" bestFit="1" customWidth="1"/>
    <col min="2571" max="2571" width="13.7109375" style="967" customWidth="1"/>
    <col min="2572" max="2572" width="3.5703125" style="967" customWidth="1"/>
    <col min="2573" max="2573" width="14.42578125" style="967" customWidth="1"/>
    <col min="2574" max="2574" width="13.7109375" style="967" customWidth="1"/>
    <col min="2575" max="2575" width="3.5703125" style="967" customWidth="1"/>
    <col min="2576" max="2576" width="14.42578125" style="967" bestFit="1" customWidth="1"/>
    <col min="2577" max="2577" width="13.7109375" style="967" customWidth="1"/>
    <col min="2578" max="2578" width="7.85546875" style="967" bestFit="1" customWidth="1"/>
    <col min="2579" max="2579" width="3.140625" style="967" customWidth="1"/>
    <col min="2580" max="2580" width="26.7109375" style="967" bestFit="1" customWidth="1"/>
    <col min="2581" max="2581" width="14.28515625" style="967" customWidth="1"/>
    <col min="2582" max="2582" width="9.140625" style="967"/>
    <col min="2583" max="2583" width="14.42578125" style="967" customWidth="1"/>
    <col min="2584" max="2584" width="10.42578125" style="967" customWidth="1"/>
    <col min="2585" max="2585" width="14.42578125" style="967" customWidth="1"/>
    <col min="2586" max="2816" width="9.140625" style="967"/>
    <col min="2817" max="2817" width="14.42578125" style="967" bestFit="1" customWidth="1"/>
    <col min="2818" max="2818" width="12.85546875" style="967" customWidth="1"/>
    <col min="2819" max="2819" width="3.5703125" style="967" customWidth="1"/>
    <col min="2820" max="2820" width="14.42578125" style="967" bestFit="1" customWidth="1"/>
    <col min="2821" max="2821" width="13.5703125" style="967" customWidth="1"/>
    <col min="2822" max="2822" width="3.5703125" style="967" customWidth="1"/>
    <col min="2823" max="2823" width="14.42578125" style="967" bestFit="1" customWidth="1"/>
    <col min="2824" max="2824" width="13.7109375" style="967" customWidth="1"/>
    <col min="2825" max="2825" width="3.5703125" style="967" customWidth="1"/>
    <col min="2826" max="2826" width="14.42578125" style="967" bestFit="1" customWidth="1"/>
    <col min="2827" max="2827" width="13.7109375" style="967" customWidth="1"/>
    <col min="2828" max="2828" width="3.5703125" style="967" customWidth="1"/>
    <col min="2829" max="2829" width="14.42578125" style="967" customWidth="1"/>
    <col min="2830" max="2830" width="13.7109375" style="967" customWidth="1"/>
    <col min="2831" max="2831" width="3.5703125" style="967" customWidth="1"/>
    <col min="2832" max="2832" width="14.42578125" style="967" bestFit="1" customWidth="1"/>
    <col min="2833" max="2833" width="13.7109375" style="967" customWidth="1"/>
    <col min="2834" max="2834" width="7.85546875" style="967" bestFit="1" customWidth="1"/>
    <col min="2835" max="2835" width="3.140625" style="967" customWidth="1"/>
    <col min="2836" max="2836" width="26.7109375" style="967" bestFit="1" customWidth="1"/>
    <col min="2837" max="2837" width="14.28515625" style="967" customWidth="1"/>
    <col min="2838" max="2838" width="9.140625" style="967"/>
    <col min="2839" max="2839" width="14.42578125" style="967" customWidth="1"/>
    <col min="2840" max="2840" width="10.42578125" style="967" customWidth="1"/>
    <col min="2841" max="2841" width="14.42578125" style="967" customWidth="1"/>
    <col min="2842" max="3072" width="9.140625" style="967"/>
    <col min="3073" max="3073" width="14.42578125" style="967" bestFit="1" customWidth="1"/>
    <col min="3074" max="3074" width="12.85546875" style="967" customWidth="1"/>
    <col min="3075" max="3075" width="3.5703125" style="967" customWidth="1"/>
    <col min="3076" max="3076" width="14.42578125" style="967" bestFit="1" customWidth="1"/>
    <col min="3077" max="3077" width="13.5703125" style="967" customWidth="1"/>
    <col min="3078" max="3078" width="3.5703125" style="967" customWidth="1"/>
    <col min="3079" max="3079" width="14.42578125" style="967" bestFit="1" customWidth="1"/>
    <col min="3080" max="3080" width="13.7109375" style="967" customWidth="1"/>
    <col min="3081" max="3081" width="3.5703125" style="967" customWidth="1"/>
    <col min="3082" max="3082" width="14.42578125" style="967" bestFit="1" customWidth="1"/>
    <col min="3083" max="3083" width="13.7109375" style="967" customWidth="1"/>
    <col min="3084" max="3084" width="3.5703125" style="967" customWidth="1"/>
    <col min="3085" max="3085" width="14.42578125" style="967" customWidth="1"/>
    <col min="3086" max="3086" width="13.7109375" style="967" customWidth="1"/>
    <col min="3087" max="3087" width="3.5703125" style="967" customWidth="1"/>
    <col min="3088" max="3088" width="14.42578125" style="967" bestFit="1" customWidth="1"/>
    <col min="3089" max="3089" width="13.7109375" style="967" customWidth="1"/>
    <col min="3090" max="3090" width="7.85546875" style="967" bestFit="1" customWidth="1"/>
    <col min="3091" max="3091" width="3.140625" style="967" customWidth="1"/>
    <col min="3092" max="3092" width="26.7109375" style="967" bestFit="1" customWidth="1"/>
    <col min="3093" max="3093" width="14.28515625" style="967" customWidth="1"/>
    <col min="3094" max="3094" width="9.140625" style="967"/>
    <col min="3095" max="3095" width="14.42578125" style="967" customWidth="1"/>
    <col min="3096" max="3096" width="10.42578125" style="967" customWidth="1"/>
    <col min="3097" max="3097" width="14.42578125" style="967" customWidth="1"/>
    <col min="3098" max="3328" width="9.140625" style="967"/>
    <col min="3329" max="3329" width="14.42578125" style="967" bestFit="1" customWidth="1"/>
    <col min="3330" max="3330" width="12.85546875" style="967" customWidth="1"/>
    <col min="3331" max="3331" width="3.5703125" style="967" customWidth="1"/>
    <col min="3332" max="3332" width="14.42578125" style="967" bestFit="1" customWidth="1"/>
    <col min="3333" max="3333" width="13.5703125" style="967" customWidth="1"/>
    <col min="3334" max="3334" width="3.5703125" style="967" customWidth="1"/>
    <col min="3335" max="3335" width="14.42578125" style="967" bestFit="1" customWidth="1"/>
    <col min="3336" max="3336" width="13.7109375" style="967" customWidth="1"/>
    <col min="3337" max="3337" width="3.5703125" style="967" customWidth="1"/>
    <col min="3338" max="3338" width="14.42578125" style="967" bestFit="1" customWidth="1"/>
    <col min="3339" max="3339" width="13.7109375" style="967" customWidth="1"/>
    <col min="3340" max="3340" width="3.5703125" style="967" customWidth="1"/>
    <col min="3341" max="3341" width="14.42578125" style="967" customWidth="1"/>
    <col min="3342" max="3342" width="13.7109375" style="967" customWidth="1"/>
    <col min="3343" max="3343" width="3.5703125" style="967" customWidth="1"/>
    <col min="3344" max="3344" width="14.42578125" style="967" bestFit="1" customWidth="1"/>
    <col min="3345" max="3345" width="13.7109375" style="967" customWidth="1"/>
    <col min="3346" max="3346" width="7.85546875" style="967" bestFit="1" customWidth="1"/>
    <col min="3347" max="3347" width="3.140625" style="967" customWidth="1"/>
    <col min="3348" max="3348" width="26.7109375" style="967" bestFit="1" customWidth="1"/>
    <col min="3349" max="3349" width="14.28515625" style="967" customWidth="1"/>
    <col min="3350" max="3350" width="9.140625" style="967"/>
    <col min="3351" max="3351" width="14.42578125" style="967" customWidth="1"/>
    <col min="3352" max="3352" width="10.42578125" style="967" customWidth="1"/>
    <col min="3353" max="3353" width="14.42578125" style="967" customWidth="1"/>
    <col min="3354" max="3584" width="9.140625" style="967"/>
    <col min="3585" max="3585" width="14.42578125" style="967" bestFit="1" customWidth="1"/>
    <col min="3586" max="3586" width="12.85546875" style="967" customWidth="1"/>
    <col min="3587" max="3587" width="3.5703125" style="967" customWidth="1"/>
    <col min="3588" max="3588" width="14.42578125" style="967" bestFit="1" customWidth="1"/>
    <col min="3589" max="3589" width="13.5703125" style="967" customWidth="1"/>
    <col min="3590" max="3590" width="3.5703125" style="967" customWidth="1"/>
    <col min="3591" max="3591" width="14.42578125" style="967" bestFit="1" customWidth="1"/>
    <col min="3592" max="3592" width="13.7109375" style="967" customWidth="1"/>
    <col min="3593" max="3593" width="3.5703125" style="967" customWidth="1"/>
    <col min="3594" max="3594" width="14.42578125" style="967" bestFit="1" customWidth="1"/>
    <col min="3595" max="3595" width="13.7109375" style="967" customWidth="1"/>
    <col min="3596" max="3596" width="3.5703125" style="967" customWidth="1"/>
    <col min="3597" max="3597" width="14.42578125" style="967" customWidth="1"/>
    <col min="3598" max="3598" width="13.7109375" style="967" customWidth="1"/>
    <col min="3599" max="3599" width="3.5703125" style="967" customWidth="1"/>
    <col min="3600" max="3600" width="14.42578125" style="967" bestFit="1" customWidth="1"/>
    <col min="3601" max="3601" width="13.7109375" style="967" customWidth="1"/>
    <col min="3602" max="3602" width="7.85546875" style="967" bestFit="1" customWidth="1"/>
    <col min="3603" max="3603" width="3.140625" style="967" customWidth="1"/>
    <col min="3604" max="3604" width="26.7109375" style="967" bestFit="1" customWidth="1"/>
    <col min="3605" max="3605" width="14.28515625" style="967" customWidth="1"/>
    <col min="3606" max="3606" width="9.140625" style="967"/>
    <col min="3607" max="3607" width="14.42578125" style="967" customWidth="1"/>
    <col min="3608" max="3608" width="10.42578125" style="967" customWidth="1"/>
    <col min="3609" max="3609" width="14.42578125" style="967" customWidth="1"/>
    <col min="3610" max="3840" width="9.140625" style="967"/>
    <col min="3841" max="3841" width="14.42578125" style="967" bestFit="1" customWidth="1"/>
    <col min="3842" max="3842" width="12.85546875" style="967" customWidth="1"/>
    <col min="3843" max="3843" width="3.5703125" style="967" customWidth="1"/>
    <col min="3844" max="3844" width="14.42578125" style="967" bestFit="1" customWidth="1"/>
    <col min="3845" max="3845" width="13.5703125" style="967" customWidth="1"/>
    <col min="3846" max="3846" width="3.5703125" style="967" customWidth="1"/>
    <col min="3847" max="3847" width="14.42578125" style="967" bestFit="1" customWidth="1"/>
    <col min="3848" max="3848" width="13.7109375" style="967" customWidth="1"/>
    <col min="3849" max="3849" width="3.5703125" style="967" customWidth="1"/>
    <col min="3850" max="3850" width="14.42578125" style="967" bestFit="1" customWidth="1"/>
    <col min="3851" max="3851" width="13.7109375" style="967" customWidth="1"/>
    <col min="3852" max="3852" width="3.5703125" style="967" customWidth="1"/>
    <col min="3853" max="3853" width="14.42578125" style="967" customWidth="1"/>
    <col min="3854" max="3854" width="13.7109375" style="967" customWidth="1"/>
    <col min="3855" max="3855" width="3.5703125" style="967" customWidth="1"/>
    <col min="3856" max="3856" width="14.42578125" style="967" bestFit="1" customWidth="1"/>
    <col min="3857" max="3857" width="13.7109375" style="967" customWidth="1"/>
    <col min="3858" max="3858" width="7.85546875" style="967" bestFit="1" customWidth="1"/>
    <col min="3859" max="3859" width="3.140625" style="967" customWidth="1"/>
    <col min="3860" max="3860" width="26.7109375" style="967" bestFit="1" customWidth="1"/>
    <col min="3861" max="3861" width="14.28515625" style="967" customWidth="1"/>
    <col min="3862" max="3862" width="9.140625" style="967"/>
    <col min="3863" max="3863" width="14.42578125" style="967" customWidth="1"/>
    <col min="3864" max="3864" width="10.42578125" style="967" customWidth="1"/>
    <col min="3865" max="3865" width="14.42578125" style="967" customWidth="1"/>
    <col min="3866" max="4096" width="9.140625" style="967"/>
    <col min="4097" max="4097" width="14.42578125" style="967" bestFit="1" customWidth="1"/>
    <col min="4098" max="4098" width="12.85546875" style="967" customWidth="1"/>
    <col min="4099" max="4099" width="3.5703125" style="967" customWidth="1"/>
    <col min="4100" max="4100" width="14.42578125" style="967" bestFit="1" customWidth="1"/>
    <col min="4101" max="4101" width="13.5703125" style="967" customWidth="1"/>
    <col min="4102" max="4102" width="3.5703125" style="967" customWidth="1"/>
    <col min="4103" max="4103" width="14.42578125" style="967" bestFit="1" customWidth="1"/>
    <col min="4104" max="4104" width="13.7109375" style="967" customWidth="1"/>
    <col min="4105" max="4105" width="3.5703125" style="967" customWidth="1"/>
    <col min="4106" max="4106" width="14.42578125" style="967" bestFit="1" customWidth="1"/>
    <col min="4107" max="4107" width="13.7109375" style="967" customWidth="1"/>
    <col min="4108" max="4108" width="3.5703125" style="967" customWidth="1"/>
    <col min="4109" max="4109" width="14.42578125" style="967" customWidth="1"/>
    <col min="4110" max="4110" width="13.7109375" style="967" customWidth="1"/>
    <col min="4111" max="4111" width="3.5703125" style="967" customWidth="1"/>
    <col min="4112" max="4112" width="14.42578125" style="967" bestFit="1" customWidth="1"/>
    <col min="4113" max="4113" width="13.7109375" style="967" customWidth="1"/>
    <col min="4114" max="4114" width="7.85546875" style="967" bestFit="1" customWidth="1"/>
    <col min="4115" max="4115" width="3.140625" style="967" customWidth="1"/>
    <col min="4116" max="4116" width="26.7109375" style="967" bestFit="1" customWidth="1"/>
    <col min="4117" max="4117" width="14.28515625" style="967" customWidth="1"/>
    <col min="4118" max="4118" width="9.140625" style="967"/>
    <col min="4119" max="4119" width="14.42578125" style="967" customWidth="1"/>
    <col min="4120" max="4120" width="10.42578125" style="967" customWidth="1"/>
    <col min="4121" max="4121" width="14.42578125" style="967" customWidth="1"/>
    <col min="4122" max="4352" width="9.140625" style="967"/>
    <col min="4353" max="4353" width="14.42578125" style="967" bestFit="1" customWidth="1"/>
    <col min="4354" max="4354" width="12.85546875" style="967" customWidth="1"/>
    <col min="4355" max="4355" width="3.5703125" style="967" customWidth="1"/>
    <col min="4356" max="4356" width="14.42578125" style="967" bestFit="1" customWidth="1"/>
    <col min="4357" max="4357" width="13.5703125" style="967" customWidth="1"/>
    <col min="4358" max="4358" width="3.5703125" style="967" customWidth="1"/>
    <col min="4359" max="4359" width="14.42578125" style="967" bestFit="1" customWidth="1"/>
    <col min="4360" max="4360" width="13.7109375" style="967" customWidth="1"/>
    <col min="4361" max="4361" width="3.5703125" style="967" customWidth="1"/>
    <col min="4362" max="4362" width="14.42578125" style="967" bestFit="1" customWidth="1"/>
    <col min="4363" max="4363" width="13.7109375" style="967" customWidth="1"/>
    <col min="4364" max="4364" width="3.5703125" style="967" customWidth="1"/>
    <col min="4365" max="4365" width="14.42578125" style="967" customWidth="1"/>
    <col min="4366" max="4366" width="13.7109375" style="967" customWidth="1"/>
    <col min="4367" max="4367" width="3.5703125" style="967" customWidth="1"/>
    <col min="4368" max="4368" width="14.42578125" style="967" bestFit="1" customWidth="1"/>
    <col min="4369" max="4369" width="13.7109375" style="967" customWidth="1"/>
    <col min="4370" max="4370" width="7.85546875" style="967" bestFit="1" customWidth="1"/>
    <col min="4371" max="4371" width="3.140625" style="967" customWidth="1"/>
    <col min="4372" max="4372" width="26.7109375" style="967" bestFit="1" customWidth="1"/>
    <col min="4373" max="4373" width="14.28515625" style="967" customWidth="1"/>
    <col min="4374" max="4374" width="9.140625" style="967"/>
    <col min="4375" max="4375" width="14.42578125" style="967" customWidth="1"/>
    <col min="4376" max="4376" width="10.42578125" style="967" customWidth="1"/>
    <col min="4377" max="4377" width="14.42578125" style="967" customWidth="1"/>
    <col min="4378" max="4608" width="9.140625" style="967"/>
    <col min="4609" max="4609" width="14.42578125" style="967" bestFit="1" customWidth="1"/>
    <col min="4610" max="4610" width="12.85546875" style="967" customWidth="1"/>
    <col min="4611" max="4611" width="3.5703125" style="967" customWidth="1"/>
    <col min="4612" max="4612" width="14.42578125" style="967" bestFit="1" customWidth="1"/>
    <col min="4613" max="4613" width="13.5703125" style="967" customWidth="1"/>
    <col min="4614" max="4614" width="3.5703125" style="967" customWidth="1"/>
    <col min="4615" max="4615" width="14.42578125" style="967" bestFit="1" customWidth="1"/>
    <col min="4616" max="4616" width="13.7109375" style="967" customWidth="1"/>
    <col min="4617" max="4617" width="3.5703125" style="967" customWidth="1"/>
    <col min="4618" max="4618" width="14.42578125" style="967" bestFit="1" customWidth="1"/>
    <col min="4619" max="4619" width="13.7109375" style="967" customWidth="1"/>
    <col min="4620" max="4620" width="3.5703125" style="967" customWidth="1"/>
    <col min="4621" max="4621" width="14.42578125" style="967" customWidth="1"/>
    <col min="4622" max="4622" width="13.7109375" style="967" customWidth="1"/>
    <col min="4623" max="4623" width="3.5703125" style="967" customWidth="1"/>
    <col min="4624" max="4624" width="14.42578125" style="967" bestFit="1" customWidth="1"/>
    <col min="4625" max="4625" width="13.7109375" style="967" customWidth="1"/>
    <col min="4626" max="4626" width="7.85546875" style="967" bestFit="1" customWidth="1"/>
    <col min="4627" max="4627" width="3.140625" style="967" customWidth="1"/>
    <col min="4628" max="4628" width="26.7109375" style="967" bestFit="1" customWidth="1"/>
    <col min="4629" max="4629" width="14.28515625" style="967" customWidth="1"/>
    <col min="4630" max="4630" width="9.140625" style="967"/>
    <col min="4631" max="4631" width="14.42578125" style="967" customWidth="1"/>
    <col min="4632" max="4632" width="10.42578125" style="967" customWidth="1"/>
    <col min="4633" max="4633" width="14.42578125" style="967" customWidth="1"/>
    <col min="4634" max="4864" width="9.140625" style="967"/>
    <col min="4865" max="4865" width="14.42578125" style="967" bestFit="1" customWidth="1"/>
    <col min="4866" max="4866" width="12.85546875" style="967" customWidth="1"/>
    <col min="4867" max="4867" width="3.5703125" style="967" customWidth="1"/>
    <col min="4868" max="4868" width="14.42578125" style="967" bestFit="1" customWidth="1"/>
    <col min="4869" max="4869" width="13.5703125" style="967" customWidth="1"/>
    <col min="4870" max="4870" width="3.5703125" style="967" customWidth="1"/>
    <col min="4871" max="4871" width="14.42578125" style="967" bestFit="1" customWidth="1"/>
    <col min="4872" max="4872" width="13.7109375" style="967" customWidth="1"/>
    <col min="4873" max="4873" width="3.5703125" style="967" customWidth="1"/>
    <col min="4874" max="4874" width="14.42578125" style="967" bestFit="1" customWidth="1"/>
    <col min="4875" max="4875" width="13.7109375" style="967" customWidth="1"/>
    <col min="4876" max="4876" width="3.5703125" style="967" customWidth="1"/>
    <col min="4877" max="4877" width="14.42578125" style="967" customWidth="1"/>
    <col min="4878" max="4878" width="13.7109375" style="967" customWidth="1"/>
    <col min="4879" max="4879" width="3.5703125" style="967" customWidth="1"/>
    <col min="4880" max="4880" width="14.42578125" style="967" bestFit="1" customWidth="1"/>
    <col min="4881" max="4881" width="13.7109375" style="967" customWidth="1"/>
    <col min="4882" max="4882" width="7.85546875" style="967" bestFit="1" customWidth="1"/>
    <col min="4883" max="4883" width="3.140625" style="967" customWidth="1"/>
    <col min="4884" max="4884" width="26.7109375" style="967" bestFit="1" customWidth="1"/>
    <col min="4885" max="4885" width="14.28515625" style="967" customWidth="1"/>
    <col min="4886" max="4886" width="9.140625" style="967"/>
    <col min="4887" max="4887" width="14.42578125" style="967" customWidth="1"/>
    <col min="4888" max="4888" width="10.42578125" style="967" customWidth="1"/>
    <col min="4889" max="4889" width="14.42578125" style="967" customWidth="1"/>
    <col min="4890" max="5120" width="9.140625" style="967"/>
    <col min="5121" max="5121" width="14.42578125" style="967" bestFit="1" customWidth="1"/>
    <col min="5122" max="5122" width="12.85546875" style="967" customWidth="1"/>
    <col min="5123" max="5123" width="3.5703125" style="967" customWidth="1"/>
    <col min="5124" max="5124" width="14.42578125" style="967" bestFit="1" customWidth="1"/>
    <col min="5125" max="5125" width="13.5703125" style="967" customWidth="1"/>
    <col min="5126" max="5126" width="3.5703125" style="967" customWidth="1"/>
    <col min="5127" max="5127" width="14.42578125" style="967" bestFit="1" customWidth="1"/>
    <col min="5128" max="5128" width="13.7109375" style="967" customWidth="1"/>
    <col min="5129" max="5129" width="3.5703125" style="967" customWidth="1"/>
    <col min="5130" max="5130" width="14.42578125" style="967" bestFit="1" customWidth="1"/>
    <col min="5131" max="5131" width="13.7109375" style="967" customWidth="1"/>
    <col min="5132" max="5132" width="3.5703125" style="967" customWidth="1"/>
    <col min="5133" max="5133" width="14.42578125" style="967" customWidth="1"/>
    <col min="5134" max="5134" width="13.7109375" style="967" customWidth="1"/>
    <col min="5135" max="5135" width="3.5703125" style="967" customWidth="1"/>
    <col min="5136" max="5136" width="14.42578125" style="967" bestFit="1" customWidth="1"/>
    <col min="5137" max="5137" width="13.7109375" style="967" customWidth="1"/>
    <col min="5138" max="5138" width="7.85546875" style="967" bestFit="1" customWidth="1"/>
    <col min="5139" max="5139" width="3.140625" style="967" customWidth="1"/>
    <col min="5140" max="5140" width="26.7109375" style="967" bestFit="1" customWidth="1"/>
    <col min="5141" max="5141" width="14.28515625" style="967" customWidth="1"/>
    <col min="5142" max="5142" width="9.140625" style="967"/>
    <col min="5143" max="5143" width="14.42578125" style="967" customWidth="1"/>
    <col min="5144" max="5144" width="10.42578125" style="967" customWidth="1"/>
    <col min="5145" max="5145" width="14.42578125" style="967" customWidth="1"/>
    <col min="5146" max="5376" width="9.140625" style="967"/>
    <col min="5377" max="5377" width="14.42578125" style="967" bestFit="1" customWidth="1"/>
    <col min="5378" max="5378" width="12.85546875" style="967" customWidth="1"/>
    <col min="5379" max="5379" width="3.5703125" style="967" customWidth="1"/>
    <col min="5380" max="5380" width="14.42578125" style="967" bestFit="1" customWidth="1"/>
    <col min="5381" max="5381" width="13.5703125" style="967" customWidth="1"/>
    <col min="5382" max="5382" width="3.5703125" style="967" customWidth="1"/>
    <col min="5383" max="5383" width="14.42578125" style="967" bestFit="1" customWidth="1"/>
    <col min="5384" max="5384" width="13.7109375" style="967" customWidth="1"/>
    <col min="5385" max="5385" width="3.5703125" style="967" customWidth="1"/>
    <col min="5386" max="5386" width="14.42578125" style="967" bestFit="1" customWidth="1"/>
    <col min="5387" max="5387" width="13.7109375" style="967" customWidth="1"/>
    <col min="5388" max="5388" width="3.5703125" style="967" customWidth="1"/>
    <col min="5389" max="5389" width="14.42578125" style="967" customWidth="1"/>
    <col min="5390" max="5390" width="13.7109375" style="967" customWidth="1"/>
    <col min="5391" max="5391" width="3.5703125" style="967" customWidth="1"/>
    <col min="5392" max="5392" width="14.42578125" style="967" bestFit="1" customWidth="1"/>
    <col min="5393" max="5393" width="13.7109375" style="967" customWidth="1"/>
    <col min="5394" max="5394" width="7.85546875" style="967" bestFit="1" customWidth="1"/>
    <col min="5395" max="5395" width="3.140625" style="967" customWidth="1"/>
    <col min="5396" max="5396" width="26.7109375" style="967" bestFit="1" customWidth="1"/>
    <col min="5397" max="5397" width="14.28515625" style="967" customWidth="1"/>
    <col min="5398" max="5398" width="9.140625" style="967"/>
    <col min="5399" max="5399" width="14.42578125" style="967" customWidth="1"/>
    <col min="5400" max="5400" width="10.42578125" style="967" customWidth="1"/>
    <col min="5401" max="5401" width="14.42578125" style="967" customWidth="1"/>
    <col min="5402" max="5632" width="9.140625" style="967"/>
    <col min="5633" max="5633" width="14.42578125" style="967" bestFit="1" customWidth="1"/>
    <col min="5634" max="5634" width="12.85546875" style="967" customWidth="1"/>
    <col min="5635" max="5635" width="3.5703125" style="967" customWidth="1"/>
    <col min="5636" max="5636" width="14.42578125" style="967" bestFit="1" customWidth="1"/>
    <col min="5637" max="5637" width="13.5703125" style="967" customWidth="1"/>
    <col min="5638" max="5638" width="3.5703125" style="967" customWidth="1"/>
    <col min="5639" max="5639" width="14.42578125" style="967" bestFit="1" customWidth="1"/>
    <col min="5640" max="5640" width="13.7109375" style="967" customWidth="1"/>
    <col min="5641" max="5641" width="3.5703125" style="967" customWidth="1"/>
    <col min="5642" max="5642" width="14.42578125" style="967" bestFit="1" customWidth="1"/>
    <col min="5643" max="5643" width="13.7109375" style="967" customWidth="1"/>
    <col min="5644" max="5644" width="3.5703125" style="967" customWidth="1"/>
    <col min="5645" max="5645" width="14.42578125" style="967" customWidth="1"/>
    <col min="5646" max="5646" width="13.7109375" style="967" customWidth="1"/>
    <col min="5647" max="5647" width="3.5703125" style="967" customWidth="1"/>
    <col min="5648" max="5648" width="14.42578125" style="967" bestFit="1" customWidth="1"/>
    <col min="5649" max="5649" width="13.7109375" style="967" customWidth="1"/>
    <col min="5650" max="5650" width="7.85546875" style="967" bestFit="1" customWidth="1"/>
    <col min="5651" max="5651" width="3.140625" style="967" customWidth="1"/>
    <col min="5652" max="5652" width="26.7109375" style="967" bestFit="1" customWidth="1"/>
    <col min="5653" max="5653" width="14.28515625" style="967" customWidth="1"/>
    <col min="5654" max="5654" width="9.140625" style="967"/>
    <col min="5655" max="5655" width="14.42578125" style="967" customWidth="1"/>
    <col min="5656" max="5656" width="10.42578125" style="967" customWidth="1"/>
    <col min="5657" max="5657" width="14.42578125" style="967" customWidth="1"/>
    <col min="5658" max="5888" width="9.140625" style="967"/>
    <col min="5889" max="5889" width="14.42578125" style="967" bestFit="1" customWidth="1"/>
    <col min="5890" max="5890" width="12.85546875" style="967" customWidth="1"/>
    <col min="5891" max="5891" width="3.5703125" style="967" customWidth="1"/>
    <col min="5892" max="5892" width="14.42578125" style="967" bestFit="1" customWidth="1"/>
    <col min="5893" max="5893" width="13.5703125" style="967" customWidth="1"/>
    <col min="5894" max="5894" width="3.5703125" style="967" customWidth="1"/>
    <col min="5895" max="5895" width="14.42578125" style="967" bestFit="1" customWidth="1"/>
    <col min="5896" max="5896" width="13.7109375" style="967" customWidth="1"/>
    <col min="5897" max="5897" width="3.5703125" style="967" customWidth="1"/>
    <col min="5898" max="5898" width="14.42578125" style="967" bestFit="1" customWidth="1"/>
    <col min="5899" max="5899" width="13.7109375" style="967" customWidth="1"/>
    <col min="5900" max="5900" width="3.5703125" style="967" customWidth="1"/>
    <col min="5901" max="5901" width="14.42578125" style="967" customWidth="1"/>
    <col min="5902" max="5902" width="13.7109375" style="967" customWidth="1"/>
    <col min="5903" max="5903" width="3.5703125" style="967" customWidth="1"/>
    <col min="5904" max="5904" width="14.42578125" style="967" bestFit="1" customWidth="1"/>
    <col min="5905" max="5905" width="13.7109375" style="967" customWidth="1"/>
    <col min="5906" max="5906" width="7.85546875" style="967" bestFit="1" customWidth="1"/>
    <col min="5907" max="5907" width="3.140625" style="967" customWidth="1"/>
    <col min="5908" max="5908" width="26.7109375" style="967" bestFit="1" customWidth="1"/>
    <col min="5909" max="5909" width="14.28515625" style="967" customWidth="1"/>
    <col min="5910" max="5910" width="9.140625" style="967"/>
    <col min="5911" max="5911" width="14.42578125" style="967" customWidth="1"/>
    <col min="5912" max="5912" width="10.42578125" style="967" customWidth="1"/>
    <col min="5913" max="5913" width="14.42578125" style="967" customWidth="1"/>
    <col min="5914" max="6144" width="9.140625" style="967"/>
    <col min="6145" max="6145" width="14.42578125" style="967" bestFit="1" customWidth="1"/>
    <col min="6146" max="6146" width="12.85546875" style="967" customWidth="1"/>
    <col min="6147" max="6147" width="3.5703125" style="967" customWidth="1"/>
    <col min="6148" max="6148" width="14.42578125" style="967" bestFit="1" customWidth="1"/>
    <col min="6149" max="6149" width="13.5703125" style="967" customWidth="1"/>
    <col min="6150" max="6150" width="3.5703125" style="967" customWidth="1"/>
    <col min="6151" max="6151" width="14.42578125" style="967" bestFit="1" customWidth="1"/>
    <col min="6152" max="6152" width="13.7109375" style="967" customWidth="1"/>
    <col min="6153" max="6153" width="3.5703125" style="967" customWidth="1"/>
    <col min="6154" max="6154" width="14.42578125" style="967" bestFit="1" customWidth="1"/>
    <col min="6155" max="6155" width="13.7109375" style="967" customWidth="1"/>
    <col min="6156" max="6156" width="3.5703125" style="967" customWidth="1"/>
    <col min="6157" max="6157" width="14.42578125" style="967" customWidth="1"/>
    <col min="6158" max="6158" width="13.7109375" style="967" customWidth="1"/>
    <col min="6159" max="6159" width="3.5703125" style="967" customWidth="1"/>
    <col min="6160" max="6160" width="14.42578125" style="967" bestFit="1" customWidth="1"/>
    <col min="6161" max="6161" width="13.7109375" style="967" customWidth="1"/>
    <col min="6162" max="6162" width="7.85546875" style="967" bestFit="1" customWidth="1"/>
    <col min="6163" max="6163" width="3.140625" style="967" customWidth="1"/>
    <col min="6164" max="6164" width="26.7109375" style="967" bestFit="1" customWidth="1"/>
    <col min="6165" max="6165" width="14.28515625" style="967" customWidth="1"/>
    <col min="6166" max="6166" width="9.140625" style="967"/>
    <col min="6167" max="6167" width="14.42578125" style="967" customWidth="1"/>
    <col min="6168" max="6168" width="10.42578125" style="967" customWidth="1"/>
    <col min="6169" max="6169" width="14.42578125" style="967" customWidth="1"/>
    <col min="6170" max="6400" width="9.140625" style="967"/>
    <col min="6401" max="6401" width="14.42578125" style="967" bestFit="1" customWidth="1"/>
    <col min="6402" max="6402" width="12.85546875" style="967" customWidth="1"/>
    <col min="6403" max="6403" width="3.5703125" style="967" customWidth="1"/>
    <col min="6404" max="6404" width="14.42578125" style="967" bestFit="1" customWidth="1"/>
    <col min="6405" max="6405" width="13.5703125" style="967" customWidth="1"/>
    <col min="6406" max="6406" width="3.5703125" style="967" customWidth="1"/>
    <col min="6407" max="6407" width="14.42578125" style="967" bestFit="1" customWidth="1"/>
    <col min="6408" max="6408" width="13.7109375" style="967" customWidth="1"/>
    <col min="6409" max="6409" width="3.5703125" style="967" customWidth="1"/>
    <col min="6410" max="6410" width="14.42578125" style="967" bestFit="1" customWidth="1"/>
    <col min="6411" max="6411" width="13.7109375" style="967" customWidth="1"/>
    <col min="6412" max="6412" width="3.5703125" style="967" customWidth="1"/>
    <col min="6413" max="6413" width="14.42578125" style="967" customWidth="1"/>
    <col min="6414" max="6414" width="13.7109375" style="967" customWidth="1"/>
    <col min="6415" max="6415" width="3.5703125" style="967" customWidth="1"/>
    <col min="6416" max="6416" width="14.42578125" style="967" bestFit="1" customWidth="1"/>
    <col min="6417" max="6417" width="13.7109375" style="967" customWidth="1"/>
    <col min="6418" max="6418" width="7.85546875" style="967" bestFit="1" customWidth="1"/>
    <col min="6419" max="6419" width="3.140625" style="967" customWidth="1"/>
    <col min="6420" max="6420" width="26.7109375" style="967" bestFit="1" customWidth="1"/>
    <col min="6421" max="6421" width="14.28515625" style="967" customWidth="1"/>
    <col min="6422" max="6422" width="9.140625" style="967"/>
    <col min="6423" max="6423" width="14.42578125" style="967" customWidth="1"/>
    <col min="6424" max="6424" width="10.42578125" style="967" customWidth="1"/>
    <col min="6425" max="6425" width="14.42578125" style="967" customWidth="1"/>
    <col min="6426" max="6656" width="9.140625" style="967"/>
    <col min="6657" max="6657" width="14.42578125" style="967" bestFit="1" customWidth="1"/>
    <col min="6658" max="6658" width="12.85546875" style="967" customWidth="1"/>
    <col min="6659" max="6659" width="3.5703125" style="967" customWidth="1"/>
    <col min="6660" max="6660" width="14.42578125" style="967" bestFit="1" customWidth="1"/>
    <col min="6661" max="6661" width="13.5703125" style="967" customWidth="1"/>
    <col min="6662" max="6662" width="3.5703125" style="967" customWidth="1"/>
    <col min="6663" max="6663" width="14.42578125" style="967" bestFit="1" customWidth="1"/>
    <col min="6664" max="6664" width="13.7109375" style="967" customWidth="1"/>
    <col min="6665" max="6665" width="3.5703125" style="967" customWidth="1"/>
    <col min="6666" max="6666" width="14.42578125" style="967" bestFit="1" customWidth="1"/>
    <col min="6667" max="6667" width="13.7109375" style="967" customWidth="1"/>
    <col min="6668" max="6668" width="3.5703125" style="967" customWidth="1"/>
    <col min="6669" max="6669" width="14.42578125" style="967" customWidth="1"/>
    <col min="6670" max="6670" width="13.7109375" style="967" customWidth="1"/>
    <col min="6671" max="6671" width="3.5703125" style="967" customWidth="1"/>
    <col min="6672" max="6672" width="14.42578125" style="967" bestFit="1" customWidth="1"/>
    <col min="6673" max="6673" width="13.7109375" style="967" customWidth="1"/>
    <col min="6674" max="6674" width="7.85546875" style="967" bestFit="1" customWidth="1"/>
    <col min="6675" max="6675" width="3.140625" style="967" customWidth="1"/>
    <col min="6676" max="6676" width="26.7109375" style="967" bestFit="1" customWidth="1"/>
    <col min="6677" max="6677" width="14.28515625" style="967" customWidth="1"/>
    <col min="6678" max="6678" width="9.140625" style="967"/>
    <col min="6679" max="6679" width="14.42578125" style="967" customWidth="1"/>
    <col min="6680" max="6680" width="10.42578125" style="967" customWidth="1"/>
    <col min="6681" max="6681" width="14.42578125" style="967" customWidth="1"/>
    <col min="6682" max="6912" width="9.140625" style="967"/>
    <col min="6913" max="6913" width="14.42578125" style="967" bestFit="1" customWidth="1"/>
    <col min="6914" max="6914" width="12.85546875" style="967" customWidth="1"/>
    <col min="6915" max="6915" width="3.5703125" style="967" customWidth="1"/>
    <col min="6916" max="6916" width="14.42578125" style="967" bestFit="1" customWidth="1"/>
    <col min="6917" max="6917" width="13.5703125" style="967" customWidth="1"/>
    <col min="6918" max="6918" width="3.5703125" style="967" customWidth="1"/>
    <col min="6919" max="6919" width="14.42578125" style="967" bestFit="1" customWidth="1"/>
    <col min="6920" max="6920" width="13.7109375" style="967" customWidth="1"/>
    <col min="6921" max="6921" width="3.5703125" style="967" customWidth="1"/>
    <col min="6922" max="6922" width="14.42578125" style="967" bestFit="1" customWidth="1"/>
    <col min="6923" max="6923" width="13.7109375" style="967" customWidth="1"/>
    <col min="6924" max="6924" width="3.5703125" style="967" customWidth="1"/>
    <col min="6925" max="6925" width="14.42578125" style="967" customWidth="1"/>
    <col min="6926" max="6926" width="13.7109375" style="967" customWidth="1"/>
    <col min="6927" max="6927" width="3.5703125" style="967" customWidth="1"/>
    <col min="6928" max="6928" width="14.42578125" style="967" bestFit="1" customWidth="1"/>
    <col min="6929" max="6929" width="13.7109375" style="967" customWidth="1"/>
    <col min="6930" max="6930" width="7.85546875" style="967" bestFit="1" customWidth="1"/>
    <col min="6931" max="6931" width="3.140625" style="967" customWidth="1"/>
    <col min="6932" max="6932" width="26.7109375" style="967" bestFit="1" customWidth="1"/>
    <col min="6933" max="6933" width="14.28515625" style="967" customWidth="1"/>
    <col min="6934" max="6934" width="9.140625" style="967"/>
    <col min="6935" max="6935" width="14.42578125" style="967" customWidth="1"/>
    <col min="6936" max="6936" width="10.42578125" style="967" customWidth="1"/>
    <col min="6937" max="6937" width="14.42578125" style="967" customWidth="1"/>
    <col min="6938" max="7168" width="9.140625" style="967"/>
    <col min="7169" max="7169" width="14.42578125" style="967" bestFit="1" customWidth="1"/>
    <col min="7170" max="7170" width="12.85546875" style="967" customWidth="1"/>
    <col min="7171" max="7171" width="3.5703125" style="967" customWidth="1"/>
    <col min="7172" max="7172" width="14.42578125" style="967" bestFit="1" customWidth="1"/>
    <col min="7173" max="7173" width="13.5703125" style="967" customWidth="1"/>
    <col min="7174" max="7174" width="3.5703125" style="967" customWidth="1"/>
    <col min="7175" max="7175" width="14.42578125" style="967" bestFit="1" customWidth="1"/>
    <col min="7176" max="7176" width="13.7109375" style="967" customWidth="1"/>
    <col min="7177" max="7177" width="3.5703125" style="967" customWidth="1"/>
    <col min="7178" max="7178" width="14.42578125" style="967" bestFit="1" customWidth="1"/>
    <col min="7179" max="7179" width="13.7109375" style="967" customWidth="1"/>
    <col min="7180" max="7180" width="3.5703125" style="967" customWidth="1"/>
    <col min="7181" max="7181" width="14.42578125" style="967" customWidth="1"/>
    <col min="7182" max="7182" width="13.7109375" style="967" customWidth="1"/>
    <col min="7183" max="7183" width="3.5703125" style="967" customWidth="1"/>
    <col min="7184" max="7184" width="14.42578125" style="967" bestFit="1" customWidth="1"/>
    <col min="7185" max="7185" width="13.7109375" style="967" customWidth="1"/>
    <col min="7186" max="7186" width="7.85546875" style="967" bestFit="1" customWidth="1"/>
    <col min="7187" max="7187" width="3.140625" style="967" customWidth="1"/>
    <col min="7188" max="7188" width="26.7109375" style="967" bestFit="1" customWidth="1"/>
    <col min="7189" max="7189" width="14.28515625" style="967" customWidth="1"/>
    <col min="7190" max="7190" width="9.140625" style="967"/>
    <col min="7191" max="7191" width="14.42578125" style="967" customWidth="1"/>
    <col min="7192" max="7192" width="10.42578125" style="967" customWidth="1"/>
    <col min="7193" max="7193" width="14.42578125" style="967" customWidth="1"/>
    <col min="7194" max="7424" width="9.140625" style="967"/>
    <col min="7425" max="7425" width="14.42578125" style="967" bestFit="1" customWidth="1"/>
    <col min="7426" max="7426" width="12.85546875" style="967" customWidth="1"/>
    <col min="7427" max="7427" width="3.5703125" style="967" customWidth="1"/>
    <col min="7428" max="7428" width="14.42578125" style="967" bestFit="1" customWidth="1"/>
    <col min="7429" max="7429" width="13.5703125" style="967" customWidth="1"/>
    <col min="7430" max="7430" width="3.5703125" style="967" customWidth="1"/>
    <col min="7431" max="7431" width="14.42578125" style="967" bestFit="1" customWidth="1"/>
    <col min="7432" max="7432" width="13.7109375" style="967" customWidth="1"/>
    <col min="7433" max="7433" width="3.5703125" style="967" customWidth="1"/>
    <col min="7434" max="7434" width="14.42578125" style="967" bestFit="1" customWidth="1"/>
    <col min="7435" max="7435" width="13.7109375" style="967" customWidth="1"/>
    <col min="7436" max="7436" width="3.5703125" style="967" customWidth="1"/>
    <col min="7437" max="7437" width="14.42578125" style="967" customWidth="1"/>
    <col min="7438" max="7438" width="13.7109375" style="967" customWidth="1"/>
    <col min="7439" max="7439" width="3.5703125" style="967" customWidth="1"/>
    <col min="7440" max="7440" width="14.42578125" style="967" bestFit="1" customWidth="1"/>
    <col min="7441" max="7441" width="13.7109375" style="967" customWidth="1"/>
    <col min="7442" max="7442" width="7.85546875" style="967" bestFit="1" customWidth="1"/>
    <col min="7443" max="7443" width="3.140625" style="967" customWidth="1"/>
    <col min="7444" max="7444" width="26.7109375" style="967" bestFit="1" customWidth="1"/>
    <col min="7445" max="7445" width="14.28515625" style="967" customWidth="1"/>
    <col min="7446" max="7446" width="9.140625" style="967"/>
    <col min="7447" max="7447" width="14.42578125" style="967" customWidth="1"/>
    <col min="7448" max="7448" width="10.42578125" style="967" customWidth="1"/>
    <col min="7449" max="7449" width="14.42578125" style="967" customWidth="1"/>
    <col min="7450" max="7680" width="9.140625" style="967"/>
    <col min="7681" max="7681" width="14.42578125" style="967" bestFit="1" customWidth="1"/>
    <col min="7682" max="7682" width="12.85546875" style="967" customWidth="1"/>
    <col min="7683" max="7683" width="3.5703125" style="967" customWidth="1"/>
    <col min="7684" max="7684" width="14.42578125" style="967" bestFit="1" customWidth="1"/>
    <col min="7685" max="7685" width="13.5703125" style="967" customWidth="1"/>
    <col min="7686" max="7686" width="3.5703125" style="967" customWidth="1"/>
    <col min="7687" max="7687" width="14.42578125" style="967" bestFit="1" customWidth="1"/>
    <col min="7688" max="7688" width="13.7109375" style="967" customWidth="1"/>
    <col min="7689" max="7689" width="3.5703125" style="967" customWidth="1"/>
    <col min="7690" max="7690" width="14.42578125" style="967" bestFit="1" customWidth="1"/>
    <col min="7691" max="7691" width="13.7109375" style="967" customWidth="1"/>
    <col min="7692" max="7692" width="3.5703125" style="967" customWidth="1"/>
    <col min="7693" max="7693" width="14.42578125" style="967" customWidth="1"/>
    <col min="7694" max="7694" width="13.7109375" style="967" customWidth="1"/>
    <col min="7695" max="7695" width="3.5703125" style="967" customWidth="1"/>
    <col min="7696" max="7696" width="14.42578125" style="967" bestFit="1" customWidth="1"/>
    <col min="7697" max="7697" width="13.7109375" style="967" customWidth="1"/>
    <col min="7698" max="7698" width="7.85546875" style="967" bestFit="1" customWidth="1"/>
    <col min="7699" max="7699" width="3.140625" style="967" customWidth="1"/>
    <col min="7700" max="7700" width="26.7109375" style="967" bestFit="1" customWidth="1"/>
    <col min="7701" max="7701" width="14.28515625" style="967" customWidth="1"/>
    <col min="7702" max="7702" width="9.140625" style="967"/>
    <col min="7703" max="7703" width="14.42578125" style="967" customWidth="1"/>
    <col min="7704" max="7704" width="10.42578125" style="967" customWidth="1"/>
    <col min="7705" max="7705" width="14.42578125" style="967" customWidth="1"/>
    <col min="7706" max="7936" width="9.140625" style="967"/>
    <col min="7937" max="7937" width="14.42578125" style="967" bestFit="1" customWidth="1"/>
    <col min="7938" max="7938" width="12.85546875" style="967" customWidth="1"/>
    <col min="7939" max="7939" width="3.5703125" style="967" customWidth="1"/>
    <col min="7940" max="7940" width="14.42578125" style="967" bestFit="1" customWidth="1"/>
    <col min="7941" max="7941" width="13.5703125" style="967" customWidth="1"/>
    <col min="7942" max="7942" width="3.5703125" style="967" customWidth="1"/>
    <col min="7943" max="7943" width="14.42578125" style="967" bestFit="1" customWidth="1"/>
    <col min="7944" max="7944" width="13.7109375" style="967" customWidth="1"/>
    <col min="7945" max="7945" width="3.5703125" style="967" customWidth="1"/>
    <col min="7946" max="7946" width="14.42578125" style="967" bestFit="1" customWidth="1"/>
    <col min="7947" max="7947" width="13.7109375" style="967" customWidth="1"/>
    <col min="7948" max="7948" width="3.5703125" style="967" customWidth="1"/>
    <col min="7949" max="7949" width="14.42578125" style="967" customWidth="1"/>
    <col min="7950" max="7950" width="13.7109375" style="967" customWidth="1"/>
    <col min="7951" max="7951" width="3.5703125" style="967" customWidth="1"/>
    <col min="7952" max="7952" width="14.42578125" style="967" bestFit="1" customWidth="1"/>
    <col min="7953" max="7953" width="13.7109375" style="967" customWidth="1"/>
    <col min="7954" max="7954" width="7.85546875" style="967" bestFit="1" customWidth="1"/>
    <col min="7955" max="7955" width="3.140625" style="967" customWidth="1"/>
    <col min="7956" max="7956" width="26.7109375" style="967" bestFit="1" customWidth="1"/>
    <col min="7957" max="7957" width="14.28515625" style="967" customWidth="1"/>
    <col min="7958" max="7958" width="9.140625" style="967"/>
    <col min="7959" max="7959" width="14.42578125" style="967" customWidth="1"/>
    <col min="7960" max="7960" width="10.42578125" style="967" customWidth="1"/>
    <col min="7961" max="7961" width="14.42578125" style="967" customWidth="1"/>
    <col min="7962" max="8192" width="9.140625" style="967"/>
    <col min="8193" max="8193" width="14.42578125" style="967" bestFit="1" customWidth="1"/>
    <col min="8194" max="8194" width="12.85546875" style="967" customWidth="1"/>
    <col min="8195" max="8195" width="3.5703125" style="967" customWidth="1"/>
    <col min="8196" max="8196" width="14.42578125" style="967" bestFit="1" customWidth="1"/>
    <col min="8197" max="8197" width="13.5703125" style="967" customWidth="1"/>
    <col min="8198" max="8198" width="3.5703125" style="967" customWidth="1"/>
    <col min="8199" max="8199" width="14.42578125" style="967" bestFit="1" customWidth="1"/>
    <col min="8200" max="8200" width="13.7109375" style="967" customWidth="1"/>
    <col min="8201" max="8201" width="3.5703125" style="967" customWidth="1"/>
    <col min="8202" max="8202" width="14.42578125" style="967" bestFit="1" customWidth="1"/>
    <col min="8203" max="8203" width="13.7109375" style="967" customWidth="1"/>
    <col min="8204" max="8204" width="3.5703125" style="967" customWidth="1"/>
    <col min="8205" max="8205" width="14.42578125" style="967" customWidth="1"/>
    <col min="8206" max="8206" width="13.7109375" style="967" customWidth="1"/>
    <col min="8207" max="8207" width="3.5703125" style="967" customWidth="1"/>
    <col min="8208" max="8208" width="14.42578125" style="967" bestFit="1" customWidth="1"/>
    <col min="8209" max="8209" width="13.7109375" style="967" customWidth="1"/>
    <col min="8210" max="8210" width="7.85546875" style="967" bestFit="1" customWidth="1"/>
    <col min="8211" max="8211" width="3.140625" style="967" customWidth="1"/>
    <col min="8212" max="8212" width="26.7109375" style="967" bestFit="1" customWidth="1"/>
    <col min="8213" max="8213" width="14.28515625" style="967" customWidth="1"/>
    <col min="8214" max="8214" width="9.140625" style="967"/>
    <col min="8215" max="8215" width="14.42578125" style="967" customWidth="1"/>
    <col min="8216" max="8216" width="10.42578125" style="967" customWidth="1"/>
    <col min="8217" max="8217" width="14.42578125" style="967" customWidth="1"/>
    <col min="8218" max="8448" width="9.140625" style="967"/>
    <col min="8449" max="8449" width="14.42578125" style="967" bestFit="1" customWidth="1"/>
    <col min="8450" max="8450" width="12.85546875" style="967" customWidth="1"/>
    <col min="8451" max="8451" width="3.5703125" style="967" customWidth="1"/>
    <col min="8452" max="8452" width="14.42578125" style="967" bestFit="1" customWidth="1"/>
    <col min="8453" max="8453" width="13.5703125" style="967" customWidth="1"/>
    <col min="8454" max="8454" width="3.5703125" style="967" customWidth="1"/>
    <col min="8455" max="8455" width="14.42578125" style="967" bestFit="1" customWidth="1"/>
    <col min="8456" max="8456" width="13.7109375" style="967" customWidth="1"/>
    <col min="8457" max="8457" width="3.5703125" style="967" customWidth="1"/>
    <col min="8458" max="8458" width="14.42578125" style="967" bestFit="1" customWidth="1"/>
    <col min="8459" max="8459" width="13.7109375" style="967" customWidth="1"/>
    <col min="8460" max="8460" width="3.5703125" style="967" customWidth="1"/>
    <col min="8461" max="8461" width="14.42578125" style="967" customWidth="1"/>
    <col min="8462" max="8462" width="13.7109375" style="967" customWidth="1"/>
    <col min="8463" max="8463" width="3.5703125" style="967" customWidth="1"/>
    <col min="8464" max="8464" width="14.42578125" style="967" bestFit="1" customWidth="1"/>
    <col min="8465" max="8465" width="13.7109375" style="967" customWidth="1"/>
    <col min="8466" max="8466" width="7.85546875" style="967" bestFit="1" customWidth="1"/>
    <col min="8467" max="8467" width="3.140625" style="967" customWidth="1"/>
    <col min="8468" max="8468" width="26.7109375" style="967" bestFit="1" customWidth="1"/>
    <col min="8469" max="8469" width="14.28515625" style="967" customWidth="1"/>
    <col min="8470" max="8470" width="9.140625" style="967"/>
    <col min="8471" max="8471" width="14.42578125" style="967" customWidth="1"/>
    <col min="8472" max="8472" width="10.42578125" style="967" customWidth="1"/>
    <col min="8473" max="8473" width="14.42578125" style="967" customWidth="1"/>
    <col min="8474" max="8704" width="9.140625" style="967"/>
    <col min="8705" max="8705" width="14.42578125" style="967" bestFit="1" customWidth="1"/>
    <col min="8706" max="8706" width="12.85546875" style="967" customWidth="1"/>
    <col min="8707" max="8707" width="3.5703125" style="967" customWidth="1"/>
    <col min="8708" max="8708" width="14.42578125" style="967" bestFit="1" customWidth="1"/>
    <col min="8709" max="8709" width="13.5703125" style="967" customWidth="1"/>
    <col min="8710" max="8710" width="3.5703125" style="967" customWidth="1"/>
    <col min="8711" max="8711" width="14.42578125" style="967" bestFit="1" customWidth="1"/>
    <col min="8712" max="8712" width="13.7109375" style="967" customWidth="1"/>
    <col min="8713" max="8713" width="3.5703125" style="967" customWidth="1"/>
    <col min="8714" max="8714" width="14.42578125" style="967" bestFit="1" customWidth="1"/>
    <col min="8715" max="8715" width="13.7109375" style="967" customWidth="1"/>
    <col min="8716" max="8716" width="3.5703125" style="967" customWidth="1"/>
    <col min="8717" max="8717" width="14.42578125" style="967" customWidth="1"/>
    <col min="8718" max="8718" width="13.7109375" style="967" customWidth="1"/>
    <col min="8719" max="8719" width="3.5703125" style="967" customWidth="1"/>
    <col min="8720" max="8720" width="14.42578125" style="967" bestFit="1" customWidth="1"/>
    <col min="8721" max="8721" width="13.7109375" style="967" customWidth="1"/>
    <col min="8722" max="8722" width="7.85546875" style="967" bestFit="1" customWidth="1"/>
    <col min="8723" max="8723" width="3.140625" style="967" customWidth="1"/>
    <col min="8724" max="8724" width="26.7109375" style="967" bestFit="1" customWidth="1"/>
    <col min="8725" max="8725" width="14.28515625" style="967" customWidth="1"/>
    <col min="8726" max="8726" width="9.140625" style="967"/>
    <col min="8727" max="8727" width="14.42578125" style="967" customWidth="1"/>
    <col min="8728" max="8728" width="10.42578125" style="967" customWidth="1"/>
    <col min="8729" max="8729" width="14.42578125" style="967" customWidth="1"/>
    <col min="8730" max="8960" width="9.140625" style="967"/>
    <col min="8961" max="8961" width="14.42578125" style="967" bestFit="1" customWidth="1"/>
    <col min="8962" max="8962" width="12.85546875" style="967" customWidth="1"/>
    <col min="8963" max="8963" width="3.5703125" style="967" customWidth="1"/>
    <col min="8964" max="8964" width="14.42578125" style="967" bestFit="1" customWidth="1"/>
    <col min="8965" max="8965" width="13.5703125" style="967" customWidth="1"/>
    <col min="8966" max="8966" width="3.5703125" style="967" customWidth="1"/>
    <col min="8967" max="8967" width="14.42578125" style="967" bestFit="1" customWidth="1"/>
    <col min="8968" max="8968" width="13.7109375" style="967" customWidth="1"/>
    <col min="8969" max="8969" width="3.5703125" style="967" customWidth="1"/>
    <col min="8970" max="8970" width="14.42578125" style="967" bestFit="1" customWidth="1"/>
    <col min="8971" max="8971" width="13.7109375" style="967" customWidth="1"/>
    <col min="8972" max="8972" width="3.5703125" style="967" customWidth="1"/>
    <col min="8973" max="8973" width="14.42578125" style="967" customWidth="1"/>
    <col min="8974" max="8974" width="13.7109375" style="967" customWidth="1"/>
    <col min="8975" max="8975" width="3.5703125" style="967" customWidth="1"/>
    <col min="8976" max="8976" width="14.42578125" style="967" bestFit="1" customWidth="1"/>
    <col min="8977" max="8977" width="13.7109375" style="967" customWidth="1"/>
    <col min="8978" max="8978" width="7.85546875" style="967" bestFit="1" customWidth="1"/>
    <col min="8979" max="8979" width="3.140625" style="967" customWidth="1"/>
    <col min="8980" max="8980" width="26.7109375" style="967" bestFit="1" customWidth="1"/>
    <col min="8981" max="8981" width="14.28515625" style="967" customWidth="1"/>
    <col min="8982" max="8982" width="9.140625" style="967"/>
    <col min="8983" max="8983" width="14.42578125" style="967" customWidth="1"/>
    <col min="8984" max="8984" width="10.42578125" style="967" customWidth="1"/>
    <col min="8985" max="8985" width="14.42578125" style="967" customWidth="1"/>
    <col min="8986" max="9216" width="9.140625" style="967"/>
    <col min="9217" max="9217" width="14.42578125" style="967" bestFit="1" customWidth="1"/>
    <col min="9218" max="9218" width="12.85546875" style="967" customWidth="1"/>
    <col min="9219" max="9219" width="3.5703125" style="967" customWidth="1"/>
    <col min="9220" max="9220" width="14.42578125" style="967" bestFit="1" customWidth="1"/>
    <col min="9221" max="9221" width="13.5703125" style="967" customWidth="1"/>
    <col min="9222" max="9222" width="3.5703125" style="967" customWidth="1"/>
    <col min="9223" max="9223" width="14.42578125" style="967" bestFit="1" customWidth="1"/>
    <col min="9224" max="9224" width="13.7109375" style="967" customWidth="1"/>
    <col min="9225" max="9225" width="3.5703125" style="967" customWidth="1"/>
    <col min="9226" max="9226" width="14.42578125" style="967" bestFit="1" customWidth="1"/>
    <col min="9227" max="9227" width="13.7109375" style="967" customWidth="1"/>
    <col min="9228" max="9228" width="3.5703125" style="967" customWidth="1"/>
    <col min="9229" max="9229" width="14.42578125" style="967" customWidth="1"/>
    <col min="9230" max="9230" width="13.7109375" style="967" customWidth="1"/>
    <col min="9231" max="9231" width="3.5703125" style="967" customWidth="1"/>
    <col min="9232" max="9232" width="14.42578125" style="967" bestFit="1" customWidth="1"/>
    <col min="9233" max="9233" width="13.7109375" style="967" customWidth="1"/>
    <col min="9234" max="9234" width="7.85546875" style="967" bestFit="1" customWidth="1"/>
    <col min="9235" max="9235" width="3.140625" style="967" customWidth="1"/>
    <col min="9236" max="9236" width="26.7109375" style="967" bestFit="1" customWidth="1"/>
    <col min="9237" max="9237" width="14.28515625" style="967" customWidth="1"/>
    <col min="9238" max="9238" width="9.140625" style="967"/>
    <col min="9239" max="9239" width="14.42578125" style="967" customWidth="1"/>
    <col min="9240" max="9240" width="10.42578125" style="967" customWidth="1"/>
    <col min="9241" max="9241" width="14.42578125" style="967" customWidth="1"/>
    <col min="9242" max="9472" width="9.140625" style="967"/>
    <col min="9473" max="9473" width="14.42578125" style="967" bestFit="1" customWidth="1"/>
    <col min="9474" max="9474" width="12.85546875" style="967" customWidth="1"/>
    <col min="9475" max="9475" width="3.5703125" style="967" customWidth="1"/>
    <col min="9476" max="9476" width="14.42578125" style="967" bestFit="1" customWidth="1"/>
    <col min="9477" max="9477" width="13.5703125" style="967" customWidth="1"/>
    <col min="9478" max="9478" width="3.5703125" style="967" customWidth="1"/>
    <col min="9479" max="9479" width="14.42578125" style="967" bestFit="1" customWidth="1"/>
    <col min="9480" max="9480" width="13.7109375" style="967" customWidth="1"/>
    <col min="9481" max="9481" width="3.5703125" style="967" customWidth="1"/>
    <col min="9482" max="9482" width="14.42578125" style="967" bestFit="1" customWidth="1"/>
    <col min="9483" max="9483" width="13.7109375" style="967" customWidth="1"/>
    <col min="9484" max="9484" width="3.5703125" style="967" customWidth="1"/>
    <col min="9485" max="9485" width="14.42578125" style="967" customWidth="1"/>
    <col min="9486" max="9486" width="13.7109375" style="967" customWidth="1"/>
    <col min="9487" max="9487" width="3.5703125" style="967" customWidth="1"/>
    <col min="9488" max="9488" width="14.42578125" style="967" bestFit="1" customWidth="1"/>
    <col min="9489" max="9489" width="13.7109375" style="967" customWidth="1"/>
    <col min="9490" max="9490" width="7.85546875" style="967" bestFit="1" customWidth="1"/>
    <col min="9491" max="9491" width="3.140625" style="967" customWidth="1"/>
    <col min="9492" max="9492" width="26.7109375" style="967" bestFit="1" customWidth="1"/>
    <col min="9493" max="9493" width="14.28515625" style="967" customWidth="1"/>
    <col min="9494" max="9494" width="9.140625" style="967"/>
    <col min="9495" max="9495" width="14.42578125" style="967" customWidth="1"/>
    <col min="9496" max="9496" width="10.42578125" style="967" customWidth="1"/>
    <col min="9497" max="9497" width="14.42578125" style="967" customWidth="1"/>
    <col min="9498" max="9728" width="9.140625" style="967"/>
    <col min="9729" max="9729" width="14.42578125" style="967" bestFit="1" customWidth="1"/>
    <col min="9730" max="9730" width="12.85546875" style="967" customWidth="1"/>
    <col min="9731" max="9731" width="3.5703125" style="967" customWidth="1"/>
    <col min="9732" max="9732" width="14.42578125" style="967" bestFit="1" customWidth="1"/>
    <col min="9733" max="9733" width="13.5703125" style="967" customWidth="1"/>
    <col min="9734" max="9734" width="3.5703125" style="967" customWidth="1"/>
    <col min="9735" max="9735" width="14.42578125" style="967" bestFit="1" customWidth="1"/>
    <col min="9736" max="9736" width="13.7109375" style="967" customWidth="1"/>
    <col min="9737" max="9737" width="3.5703125" style="967" customWidth="1"/>
    <col min="9738" max="9738" width="14.42578125" style="967" bestFit="1" customWidth="1"/>
    <col min="9739" max="9739" width="13.7109375" style="967" customWidth="1"/>
    <col min="9740" max="9740" width="3.5703125" style="967" customWidth="1"/>
    <col min="9741" max="9741" width="14.42578125" style="967" customWidth="1"/>
    <col min="9742" max="9742" width="13.7109375" style="967" customWidth="1"/>
    <col min="9743" max="9743" width="3.5703125" style="967" customWidth="1"/>
    <col min="9744" max="9744" width="14.42578125" style="967" bestFit="1" customWidth="1"/>
    <col min="9745" max="9745" width="13.7109375" style="967" customWidth="1"/>
    <col min="9746" max="9746" width="7.85546875" style="967" bestFit="1" customWidth="1"/>
    <col min="9747" max="9747" width="3.140625" style="967" customWidth="1"/>
    <col min="9748" max="9748" width="26.7109375" style="967" bestFit="1" customWidth="1"/>
    <col min="9749" max="9749" width="14.28515625" style="967" customWidth="1"/>
    <col min="9750" max="9750" width="9.140625" style="967"/>
    <col min="9751" max="9751" width="14.42578125" style="967" customWidth="1"/>
    <col min="9752" max="9752" width="10.42578125" style="967" customWidth="1"/>
    <col min="9753" max="9753" width="14.42578125" style="967" customWidth="1"/>
    <col min="9754" max="9984" width="9.140625" style="967"/>
    <col min="9985" max="9985" width="14.42578125" style="967" bestFit="1" customWidth="1"/>
    <col min="9986" max="9986" width="12.85546875" style="967" customWidth="1"/>
    <col min="9987" max="9987" width="3.5703125" style="967" customWidth="1"/>
    <col min="9988" max="9988" width="14.42578125" style="967" bestFit="1" customWidth="1"/>
    <col min="9989" max="9989" width="13.5703125" style="967" customWidth="1"/>
    <col min="9990" max="9990" width="3.5703125" style="967" customWidth="1"/>
    <col min="9991" max="9991" width="14.42578125" style="967" bestFit="1" customWidth="1"/>
    <col min="9992" max="9992" width="13.7109375" style="967" customWidth="1"/>
    <col min="9993" max="9993" width="3.5703125" style="967" customWidth="1"/>
    <col min="9994" max="9994" width="14.42578125" style="967" bestFit="1" customWidth="1"/>
    <col min="9995" max="9995" width="13.7109375" style="967" customWidth="1"/>
    <col min="9996" max="9996" width="3.5703125" style="967" customWidth="1"/>
    <col min="9997" max="9997" width="14.42578125" style="967" customWidth="1"/>
    <col min="9998" max="9998" width="13.7109375" style="967" customWidth="1"/>
    <col min="9999" max="9999" width="3.5703125" style="967" customWidth="1"/>
    <col min="10000" max="10000" width="14.42578125" style="967" bestFit="1" customWidth="1"/>
    <col min="10001" max="10001" width="13.7109375" style="967" customWidth="1"/>
    <col min="10002" max="10002" width="7.85546875" style="967" bestFit="1" customWidth="1"/>
    <col min="10003" max="10003" width="3.140625" style="967" customWidth="1"/>
    <col min="10004" max="10004" width="26.7109375" style="967" bestFit="1" customWidth="1"/>
    <col min="10005" max="10005" width="14.28515625" style="967" customWidth="1"/>
    <col min="10006" max="10006" width="9.140625" style="967"/>
    <col min="10007" max="10007" width="14.42578125" style="967" customWidth="1"/>
    <col min="10008" max="10008" width="10.42578125" style="967" customWidth="1"/>
    <col min="10009" max="10009" width="14.42578125" style="967" customWidth="1"/>
    <col min="10010" max="10240" width="9.140625" style="967"/>
    <col min="10241" max="10241" width="14.42578125" style="967" bestFit="1" customWidth="1"/>
    <col min="10242" max="10242" width="12.85546875" style="967" customWidth="1"/>
    <col min="10243" max="10243" width="3.5703125" style="967" customWidth="1"/>
    <col min="10244" max="10244" width="14.42578125" style="967" bestFit="1" customWidth="1"/>
    <col min="10245" max="10245" width="13.5703125" style="967" customWidth="1"/>
    <col min="10246" max="10246" width="3.5703125" style="967" customWidth="1"/>
    <col min="10247" max="10247" width="14.42578125" style="967" bestFit="1" customWidth="1"/>
    <col min="10248" max="10248" width="13.7109375" style="967" customWidth="1"/>
    <col min="10249" max="10249" width="3.5703125" style="967" customWidth="1"/>
    <col min="10250" max="10250" width="14.42578125" style="967" bestFit="1" customWidth="1"/>
    <col min="10251" max="10251" width="13.7109375" style="967" customWidth="1"/>
    <col min="10252" max="10252" width="3.5703125" style="967" customWidth="1"/>
    <col min="10253" max="10253" width="14.42578125" style="967" customWidth="1"/>
    <col min="10254" max="10254" width="13.7109375" style="967" customWidth="1"/>
    <col min="10255" max="10255" width="3.5703125" style="967" customWidth="1"/>
    <col min="10256" max="10256" width="14.42578125" style="967" bestFit="1" customWidth="1"/>
    <col min="10257" max="10257" width="13.7109375" style="967" customWidth="1"/>
    <col min="10258" max="10258" width="7.85546875" style="967" bestFit="1" customWidth="1"/>
    <col min="10259" max="10259" width="3.140625" style="967" customWidth="1"/>
    <col min="10260" max="10260" width="26.7109375" style="967" bestFit="1" customWidth="1"/>
    <col min="10261" max="10261" width="14.28515625" style="967" customWidth="1"/>
    <col min="10262" max="10262" width="9.140625" style="967"/>
    <col min="10263" max="10263" width="14.42578125" style="967" customWidth="1"/>
    <col min="10264" max="10264" width="10.42578125" style="967" customWidth="1"/>
    <col min="10265" max="10265" width="14.42578125" style="967" customWidth="1"/>
    <col min="10266" max="10496" width="9.140625" style="967"/>
    <col min="10497" max="10497" width="14.42578125" style="967" bestFit="1" customWidth="1"/>
    <col min="10498" max="10498" width="12.85546875" style="967" customWidth="1"/>
    <col min="10499" max="10499" width="3.5703125" style="967" customWidth="1"/>
    <col min="10500" max="10500" width="14.42578125" style="967" bestFit="1" customWidth="1"/>
    <col min="10501" max="10501" width="13.5703125" style="967" customWidth="1"/>
    <col min="10502" max="10502" width="3.5703125" style="967" customWidth="1"/>
    <col min="10503" max="10503" width="14.42578125" style="967" bestFit="1" customWidth="1"/>
    <col min="10504" max="10504" width="13.7109375" style="967" customWidth="1"/>
    <col min="10505" max="10505" width="3.5703125" style="967" customWidth="1"/>
    <col min="10506" max="10506" width="14.42578125" style="967" bestFit="1" customWidth="1"/>
    <col min="10507" max="10507" width="13.7109375" style="967" customWidth="1"/>
    <col min="10508" max="10508" width="3.5703125" style="967" customWidth="1"/>
    <col min="10509" max="10509" width="14.42578125" style="967" customWidth="1"/>
    <col min="10510" max="10510" width="13.7109375" style="967" customWidth="1"/>
    <col min="10511" max="10511" width="3.5703125" style="967" customWidth="1"/>
    <col min="10512" max="10512" width="14.42578125" style="967" bestFit="1" customWidth="1"/>
    <col min="10513" max="10513" width="13.7109375" style="967" customWidth="1"/>
    <col min="10514" max="10514" width="7.85546875" style="967" bestFit="1" customWidth="1"/>
    <col min="10515" max="10515" width="3.140625" style="967" customWidth="1"/>
    <col min="10516" max="10516" width="26.7109375" style="967" bestFit="1" customWidth="1"/>
    <col min="10517" max="10517" width="14.28515625" style="967" customWidth="1"/>
    <col min="10518" max="10518" width="9.140625" style="967"/>
    <col min="10519" max="10519" width="14.42578125" style="967" customWidth="1"/>
    <col min="10520" max="10520" width="10.42578125" style="967" customWidth="1"/>
    <col min="10521" max="10521" width="14.42578125" style="967" customWidth="1"/>
    <col min="10522" max="10752" width="9.140625" style="967"/>
    <col min="10753" max="10753" width="14.42578125" style="967" bestFit="1" customWidth="1"/>
    <col min="10754" max="10754" width="12.85546875" style="967" customWidth="1"/>
    <col min="10755" max="10755" width="3.5703125" style="967" customWidth="1"/>
    <col min="10756" max="10756" width="14.42578125" style="967" bestFit="1" customWidth="1"/>
    <col min="10757" max="10757" width="13.5703125" style="967" customWidth="1"/>
    <col min="10758" max="10758" width="3.5703125" style="967" customWidth="1"/>
    <col min="10759" max="10759" width="14.42578125" style="967" bestFit="1" customWidth="1"/>
    <col min="10760" max="10760" width="13.7109375" style="967" customWidth="1"/>
    <col min="10761" max="10761" width="3.5703125" style="967" customWidth="1"/>
    <col min="10762" max="10762" width="14.42578125" style="967" bestFit="1" customWidth="1"/>
    <col min="10763" max="10763" width="13.7109375" style="967" customWidth="1"/>
    <col min="10764" max="10764" width="3.5703125" style="967" customWidth="1"/>
    <col min="10765" max="10765" width="14.42578125" style="967" customWidth="1"/>
    <col min="10766" max="10766" width="13.7109375" style="967" customWidth="1"/>
    <col min="10767" max="10767" width="3.5703125" style="967" customWidth="1"/>
    <col min="10768" max="10768" width="14.42578125" style="967" bestFit="1" customWidth="1"/>
    <col min="10769" max="10769" width="13.7109375" style="967" customWidth="1"/>
    <col min="10770" max="10770" width="7.85546875" style="967" bestFit="1" customWidth="1"/>
    <col min="10771" max="10771" width="3.140625" style="967" customWidth="1"/>
    <col min="10772" max="10772" width="26.7109375" style="967" bestFit="1" customWidth="1"/>
    <col min="10773" max="10773" width="14.28515625" style="967" customWidth="1"/>
    <col min="10774" max="10774" width="9.140625" style="967"/>
    <col min="10775" max="10775" width="14.42578125" style="967" customWidth="1"/>
    <col min="10776" max="10776" width="10.42578125" style="967" customWidth="1"/>
    <col min="10777" max="10777" width="14.42578125" style="967" customWidth="1"/>
    <col min="10778" max="11008" width="9.140625" style="967"/>
    <col min="11009" max="11009" width="14.42578125" style="967" bestFit="1" customWidth="1"/>
    <col min="11010" max="11010" width="12.85546875" style="967" customWidth="1"/>
    <col min="11011" max="11011" width="3.5703125" style="967" customWidth="1"/>
    <col min="11012" max="11012" width="14.42578125" style="967" bestFit="1" customWidth="1"/>
    <col min="11013" max="11013" width="13.5703125" style="967" customWidth="1"/>
    <col min="11014" max="11014" width="3.5703125" style="967" customWidth="1"/>
    <col min="11015" max="11015" width="14.42578125" style="967" bestFit="1" customWidth="1"/>
    <col min="11016" max="11016" width="13.7109375" style="967" customWidth="1"/>
    <col min="11017" max="11017" width="3.5703125" style="967" customWidth="1"/>
    <col min="11018" max="11018" width="14.42578125" style="967" bestFit="1" customWidth="1"/>
    <col min="11019" max="11019" width="13.7109375" style="967" customWidth="1"/>
    <col min="11020" max="11020" width="3.5703125" style="967" customWidth="1"/>
    <col min="11021" max="11021" width="14.42578125" style="967" customWidth="1"/>
    <col min="11022" max="11022" width="13.7109375" style="967" customWidth="1"/>
    <col min="11023" max="11023" width="3.5703125" style="967" customWidth="1"/>
    <col min="11024" max="11024" width="14.42578125" style="967" bestFit="1" customWidth="1"/>
    <col min="11025" max="11025" width="13.7109375" style="967" customWidth="1"/>
    <col min="11026" max="11026" width="7.85546875" style="967" bestFit="1" customWidth="1"/>
    <col min="11027" max="11027" width="3.140625" style="967" customWidth="1"/>
    <col min="11028" max="11028" width="26.7109375" style="967" bestFit="1" customWidth="1"/>
    <col min="11029" max="11029" width="14.28515625" style="967" customWidth="1"/>
    <col min="11030" max="11030" width="9.140625" style="967"/>
    <col min="11031" max="11031" width="14.42578125" style="967" customWidth="1"/>
    <col min="11032" max="11032" width="10.42578125" style="967" customWidth="1"/>
    <col min="11033" max="11033" width="14.42578125" style="967" customWidth="1"/>
    <col min="11034" max="11264" width="9.140625" style="967"/>
    <col min="11265" max="11265" width="14.42578125" style="967" bestFit="1" customWidth="1"/>
    <col min="11266" max="11266" width="12.85546875" style="967" customWidth="1"/>
    <col min="11267" max="11267" width="3.5703125" style="967" customWidth="1"/>
    <col min="11268" max="11268" width="14.42578125" style="967" bestFit="1" customWidth="1"/>
    <col min="11269" max="11269" width="13.5703125" style="967" customWidth="1"/>
    <col min="11270" max="11270" width="3.5703125" style="967" customWidth="1"/>
    <col min="11271" max="11271" width="14.42578125" style="967" bestFit="1" customWidth="1"/>
    <col min="11272" max="11272" width="13.7109375" style="967" customWidth="1"/>
    <col min="11273" max="11273" width="3.5703125" style="967" customWidth="1"/>
    <col min="11274" max="11274" width="14.42578125" style="967" bestFit="1" customWidth="1"/>
    <col min="11275" max="11275" width="13.7109375" style="967" customWidth="1"/>
    <col min="11276" max="11276" width="3.5703125" style="967" customWidth="1"/>
    <col min="11277" max="11277" width="14.42578125" style="967" customWidth="1"/>
    <col min="11278" max="11278" width="13.7109375" style="967" customWidth="1"/>
    <col min="11279" max="11279" width="3.5703125" style="967" customWidth="1"/>
    <col min="11280" max="11280" width="14.42578125" style="967" bestFit="1" customWidth="1"/>
    <col min="11281" max="11281" width="13.7109375" style="967" customWidth="1"/>
    <col min="11282" max="11282" width="7.85546875" style="967" bestFit="1" customWidth="1"/>
    <col min="11283" max="11283" width="3.140625" style="967" customWidth="1"/>
    <col min="11284" max="11284" width="26.7109375" style="967" bestFit="1" customWidth="1"/>
    <col min="11285" max="11285" width="14.28515625" style="967" customWidth="1"/>
    <col min="11286" max="11286" width="9.140625" style="967"/>
    <col min="11287" max="11287" width="14.42578125" style="967" customWidth="1"/>
    <col min="11288" max="11288" width="10.42578125" style="967" customWidth="1"/>
    <col min="11289" max="11289" width="14.42578125" style="967" customWidth="1"/>
    <col min="11290" max="11520" width="9.140625" style="967"/>
    <col min="11521" max="11521" width="14.42578125" style="967" bestFit="1" customWidth="1"/>
    <col min="11522" max="11522" width="12.85546875" style="967" customWidth="1"/>
    <col min="11523" max="11523" width="3.5703125" style="967" customWidth="1"/>
    <col min="11524" max="11524" width="14.42578125" style="967" bestFit="1" customWidth="1"/>
    <col min="11525" max="11525" width="13.5703125" style="967" customWidth="1"/>
    <col min="11526" max="11526" width="3.5703125" style="967" customWidth="1"/>
    <col min="11527" max="11527" width="14.42578125" style="967" bestFit="1" customWidth="1"/>
    <col min="11528" max="11528" width="13.7109375" style="967" customWidth="1"/>
    <col min="11529" max="11529" width="3.5703125" style="967" customWidth="1"/>
    <col min="11530" max="11530" width="14.42578125" style="967" bestFit="1" customWidth="1"/>
    <col min="11531" max="11531" width="13.7109375" style="967" customWidth="1"/>
    <col min="11532" max="11532" width="3.5703125" style="967" customWidth="1"/>
    <col min="11533" max="11533" width="14.42578125" style="967" customWidth="1"/>
    <col min="11534" max="11534" width="13.7109375" style="967" customWidth="1"/>
    <col min="11535" max="11535" width="3.5703125" style="967" customWidth="1"/>
    <col min="11536" max="11536" width="14.42578125" style="967" bestFit="1" customWidth="1"/>
    <col min="11537" max="11537" width="13.7109375" style="967" customWidth="1"/>
    <col min="11538" max="11538" width="7.85546875" style="967" bestFit="1" customWidth="1"/>
    <col min="11539" max="11539" width="3.140625" style="967" customWidth="1"/>
    <col min="11540" max="11540" width="26.7109375" style="967" bestFit="1" customWidth="1"/>
    <col min="11541" max="11541" width="14.28515625" style="967" customWidth="1"/>
    <col min="11542" max="11542" width="9.140625" style="967"/>
    <col min="11543" max="11543" width="14.42578125" style="967" customWidth="1"/>
    <col min="11544" max="11544" width="10.42578125" style="967" customWidth="1"/>
    <col min="11545" max="11545" width="14.42578125" style="967" customWidth="1"/>
    <col min="11546" max="11776" width="9.140625" style="967"/>
    <col min="11777" max="11777" width="14.42578125" style="967" bestFit="1" customWidth="1"/>
    <col min="11778" max="11778" width="12.85546875" style="967" customWidth="1"/>
    <col min="11779" max="11779" width="3.5703125" style="967" customWidth="1"/>
    <col min="11780" max="11780" width="14.42578125" style="967" bestFit="1" customWidth="1"/>
    <col min="11781" max="11781" width="13.5703125" style="967" customWidth="1"/>
    <col min="11782" max="11782" width="3.5703125" style="967" customWidth="1"/>
    <col min="11783" max="11783" width="14.42578125" style="967" bestFit="1" customWidth="1"/>
    <col min="11784" max="11784" width="13.7109375" style="967" customWidth="1"/>
    <col min="11785" max="11785" width="3.5703125" style="967" customWidth="1"/>
    <col min="11786" max="11786" width="14.42578125" style="967" bestFit="1" customWidth="1"/>
    <col min="11787" max="11787" width="13.7109375" style="967" customWidth="1"/>
    <col min="11788" max="11788" width="3.5703125" style="967" customWidth="1"/>
    <col min="11789" max="11789" width="14.42578125" style="967" customWidth="1"/>
    <col min="11790" max="11790" width="13.7109375" style="967" customWidth="1"/>
    <col min="11791" max="11791" width="3.5703125" style="967" customWidth="1"/>
    <col min="11792" max="11792" width="14.42578125" style="967" bestFit="1" customWidth="1"/>
    <col min="11793" max="11793" width="13.7109375" style="967" customWidth="1"/>
    <col min="11794" max="11794" width="7.85546875" style="967" bestFit="1" customWidth="1"/>
    <col min="11795" max="11795" width="3.140625" style="967" customWidth="1"/>
    <col min="11796" max="11796" width="26.7109375" style="967" bestFit="1" customWidth="1"/>
    <col min="11797" max="11797" width="14.28515625" style="967" customWidth="1"/>
    <col min="11798" max="11798" width="9.140625" style="967"/>
    <col min="11799" max="11799" width="14.42578125" style="967" customWidth="1"/>
    <col min="11800" max="11800" width="10.42578125" style="967" customWidth="1"/>
    <col min="11801" max="11801" width="14.42578125" style="967" customWidth="1"/>
    <col min="11802" max="12032" width="9.140625" style="967"/>
    <col min="12033" max="12033" width="14.42578125" style="967" bestFit="1" customWidth="1"/>
    <col min="12034" max="12034" width="12.85546875" style="967" customWidth="1"/>
    <col min="12035" max="12035" width="3.5703125" style="967" customWidth="1"/>
    <col min="12036" max="12036" width="14.42578125" style="967" bestFit="1" customWidth="1"/>
    <col min="12037" max="12037" width="13.5703125" style="967" customWidth="1"/>
    <col min="12038" max="12038" width="3.5703125" style="967" customWidth="1"/>
    <col min="12039" max="12039" width="14.42578125" style="967" bestFit="1" customWidth="1"/>
    <col min="12040" max="12040" width="13.7109375" style="967" customWidth="1"/>
    <col min="12041" max="12041" width="3.5703125" style="967" customWidth="1"/>
    <col min="12042" max="12042" width="14.42578125" style="967" bestFit="1" customWidth="1"/>
    <col min="12043" max="12043" width="13.7109375" style="967" customWidth="1"/>
    <col min="12044" max="12044" width="3.5703125" style="967" customWidth="1"/>
    <col min="12045" max="12045" width="14.42578125" style="967" customWidth="1"/>
    <col min="12046" max="12046" width="13.7109375" style="967" customWidth="1"/>
    <col min="12047" max="12047" width="3.5703125" style="967" customWidth="1"/>
    <col min="12048" max="12048" width="14.42578125" style="967" bestFit="1" customWidth="1"/>
    <col min="12049" max="12049" width="13.7109375" style="967" customWidth="1"/>
    <col min="12050" max="12050" width="7.85546875" style="967" bestFit="1" customWidth="1"/>
    <col min="12051" max="12051" width="3.140625" style="967" customWidth="1"/>
    <col min="12052" max="12052" width="26.7109375" style="967" bestFit="1" customWidth="1"/>
    <col min="12053" max="12053" width="14.28515625" style="967" customWidth="1"/>
    <col min="12054" max="12054" width="9.140625" style="967"/>
    <col min="12055" max="12055" width="14.42578125" style="967" customWidth="1"/>
    <col min="12056" max="12056" width="10.42578125" style="967" customWidth="1"/>
    <col min="12057" max="12057" width="14.42578125" style="967" customWidth="1"/>
    <col min="12058" max="12288" width="9.140625" style="967"/>
    <col min="12289" max="12289" width="14.42578125" style="967" bestFit="1" customWidth="1"/>
    <col min="12290" max="12290" width="12.85546875" style="967" customWidth="1"/>
    <col min="12291" max="12291" width="3.5703125" style="967" customWidth="1"/>
    <col min="12292" max="12292" width="14.42578125" style="967" bestFit="1" customWidth="1"/>
    <col min="12293" max="12293" width="13.5703125" style="967" customWidth="1"/>
    <col min="12294" max="12294" width="3.5703125" style="967" customWidth="1"/>
    <col min="12295" max="12295" width="14.42578125" style="967" bestFit="1" customWidth="1"/>
    <col min="12296" max="12296" width="13.7109375" style="967" customWidth="1"/>
    <col min="12297" max="12297" width="3.5703125" style="967" customWidth="1"/>
    <col min="12298" max="12298" width="14.42578125" style="967" bestFit="1" customWidth="1"/>
    <col min="12299" max="12299" width="13.7109375" style="967" customWidth="1"/>
    <col min="12300" max="12300" width="3.5703125" style="967" customWidth="1"/>
    <col min="12301" max="12301" width="14.42578125" style="967" customWidth="1"/>
    <col min="12302" max="12302" width="13.7109375" style="967" customWidth="1"/>
    <col min="12303" max="12303" width="3.5703125" style="967" customWidth="1"/>
    <col min="12304" max="12304" width="14.42578125" style="967" bestFit="1" customWidth="1"/>
    <col min="12305" max="12305" width="13.7109375" style="967" customWidth="1"/>
    <col min="12306" max="12306" width="7.85546875" style="967" bestFit="1" customWidth="1"/>
    <col min="12307" max="12307" width="3.140625" style="967" customWidth="1"/>
    <col min="12308" max="12308" width="26.7109375" style="967" bestFit="1" customWidth="1"/>
    <col min="12309" max="12309" width="14.28515625" style="967" customWidth="1"/>
    <col min="12310" max="12310" width="9.140625" style="967"/>
    <col min="12311" max="12311" width="14.42578125" style="967" customWidth="1"/>
    <col min="12312" max="12312" width="10.42578125" style="967" customWidth="1"/>
    <col min="12313" max="12313" width="14.42578125" style="967" customWidth="1"/>
    <col min="12314" max="12544" width="9.140625" style="967"/>
    <col min="12545" max="12545" width="14.42578125" style="967" bestFit="1" customWidth="1"/>
    <col min="12546" max="12546" width="12.85546875" style="967" customWidth="1"/>
    <col min="12547" max="12547" width="3.5703125" style="967" customWidth="1"/>
    <col min="12548" max="12548" width="14.42578125" style="967" bestFit="1" customWidth="1"/>
    <col min="12549" max="12549" width="13.5703125" style="967" customWidth="1"/>
    <col min="12550" max="12550" width="3.5703125" style="967" customWidth="1"/>
    <col min="12551" max="12551" width="14.42578125" style="967" bestFit="1" customWidth="1"/>
    <col min="12552" max="12552" width="13.7109375" style="967" customWidth="1"/>
    <col min="12553" max="12553" width="3.5703125" style="967" customWidth="1"/>
    <col min="12554" max="12554" width="14.42578125" style="967" bestFit="1" customWidth="1"/>
    <col min="12555" max="12555" width="13.7109375" style="967" customWidth="1"/>
    <col min="12556" max="12556" width="3.5703125" style="967" customWidth="1"/>
    <col min="12557" max="12557" width="14.42578125" style="967" customWidth="1"/>
    <col min="12558" max="12558" width="13.7109375" style="967" customWidth="1"/>
    <col min="12559" max="12559" width="3.5703125" style="967" customWidth="1"/>
    <col min="12560" max="12560" width="14.42578125" style="967" bestFit="1" customWidth="1"/>
    <col min="12561" max="12561" width="13.7109375" style="967" customWidth="1"/>
    <col min="12562" max="12562" width="7.85546875" style="967" bestFit="1" customWidth="1"/>
    <col min="12563" max="12563" width="3.140625" style="967" customWidth="1"/>
    <col min="12564" max="12564" width="26.7109375" style="967" bestFit="1" customWidth="1"/>
    <col min="12565" max="12565" width="14.28515625" style="967" customWidth="1"/>
    <col min="12566" max="12566" width="9.140625" style="967"/>
    <col min="12567" max="12567" width="14.42578125" style="967" customWidth="1"/>
    <col min="12568" max="12568" width="10.42578125" style="967" customWidth="1"/>
    <col min="12569" max="12569" width="14.42578125" style="967" customWidth="1"/>
    <col min="12570" max="12800" width="9.140625" style="967"/>
    <col min="12801" max="12801" width="14.42578125" style="967" bestFit="1" customWidth="1"/>
    <col min="12802" max="12802" width="12.85546875" style="967" customWidth="1"/>
    <col min="12803" max="12803" width="3.5703125" style="967" customWidth="1"/>
    <col min="12804" max="12804" width="14.42578125" style="967" bestFit="1" customWidth="1"/>
    <col min="12805" max="12805" width="13.5703125" style="967" customWidth="1"/>
    <col min="12806" max="12806" width="3.5703125" style="967" customWidth="1"/>
    <col min="12807" max="12807" width="14.42578125" style="967" bestFit="1" customWidth="1"/>
    <col min="12808" max="12808" width="13.7109375" style="967" customWidth="1"/>
    <col min="12809" max="12809" width="3.5703125" style="967" customWidth="1"/>
    <col min="12810" max="12810" width="14.42578125" style="967" bestFit="1" customWidth="1"/>
    <col min="12811" max="12811" width="13.7109375" style="967" customWidth="1"/>
    <col min="12812" max="12812" width="3.5703125" style="967" customWidth="1"/>
    <col min="12813" max="12813" width="14.42578125" style="967" customWidth="1"/>
    <col min="12814" max="12814" width="13.7109375" style="967" customWidth="1"/>
    <col min="12815" max="12815" width="3.5703125" style="967" customWidth="1"/>
    <col min="12816" max="12816" width="14.42578125" style="967" bestFit="1" customWidth="1"/>
    <col min="12817" max="12817" width="13.7109375" style="967" customWidth="1"/>
    <col min="12818" max="12818" width="7.85546875" style="967" bestFit="1" customWidth="1"/>
    <col min="12819" max="12819" width="3.140625" style="967" customWidth="1"/>
    <col min="12820" max="12820" width="26.7109375" style="967" bestFit="1" customWidth="1"/>
    <col min="12821" max="12821" width="14.28515625" style="967" customWidth="1"/>
    <col min="12822" max="12822" width="9.140625" style="967"/>
    <col min="12823" max="12823" width="14.42578125" style="967" customWidth="1"/>
    <col min="12824" max="12824" width="10.42578125" style="967" customWidth="1"/>
    <col min="12825" max="12825" width="14.42578125" style="967" customWidth="1"/>
    <col min="12826" max="13056" width="9.140625" style="967"/>
    <col min="13057" max="13057" width="14.42578125" style="967" bestFit="1" customWidth="1"/>
    <col min="13058" max="13058" width="12.85546875" style="967" customWidth="1"/>
    <col min="13059" max="13059" width="3.5703125" style="967" customWidth="1"/>
    <col min="13060" max="13060" width="14.42578125" style="967" bestFit="1" customWidth="1"/>
    <col min="13061" max="13061" width="13.5703125" style="967" customWidth="1"/>
    <col min="13062" max="13062" width="3.5703125" style="967" customWidth="1"/>
    <col min="13063" max="13063" width="14.42578125" style="967" bestFit="1" customWidth="1"/>
    <col min="13064" max="13064" width="13.7109375" style="967" customWidth="1"/>
    <col min="13065" max="13065" width="3.5703125" style="967" customWidth="1"/>
    <col min="13066" max="13066" width="14.42578125" style="967" bestFit="1" customWidth="1"/>
    <col min="13067" max="13067" width="13.7109375" style="967" customWidth="1"/>
    <col min="13068" max="13068" width="3.5703125" style="967" customWidth="1"/>
    <col min="13069" max="13069" width="14.42578125" style="967" customWidth="1"/>
    <col min="13070" max="13070" width="13.7109375" style="967" customWidth="1"/>
    <col min="13071" max="13071" width="3.5703125" style="967" customWidth="1"/>
    <col min="13072" max="13072" width="14.42578125" style="967" bestFit="1" customWidth="1"/>
    <col min="13073" max="13073" width="13.7109375" style="967" customWidth="1"/>
    <col min="13074" max="13074" width="7.85546875" style="967" bestFit="1" customWidth="1"/>
    <col min="13075" max="13075" width="3.140625" style="967" customWidth="1"/>
    <col min="13076" max="13076" width="26.7109375" style="967" bestFit="1" customWidth="1"/>
    <col min="13077" max="13077" width="14.28515625" style="967" customWidth="1"/>
    <col min="13078" max="13078" width="9.140625" style="967"/>
    <col min="13079" max="13079" width="14.42578125" style="967" customWidth="1"/>
    <col min="13080" max="13080" width="10.42578125" style="967" customWidth="1"/>
    <col min="13081" max="13081" width="14.42578125" style="967" customWidth="1"/>
    <col min="13082" max="13312" width="9.140625" style="967"/>
    <col min="13313" max="13313" width="14.42578125" style="967" bestFit="1" customWidth="1"/>
    <col min="13314" max="13314" width="12.85546875" style="967" customWidth="1"/>
    <col min="13315" max="13315" width="3.5703125" style="967" customWidth="1"/>
    <col min="13316" max="13316" width="14.42578125" style="967" bestFit="1" customWidth="1"/>
    <col min="13317" max="13317" width="13.5703125" style="967" customWidth="1"/>
    <col min="13318" max="13318" width="3.5703125" style="967" customWidth="1"/>
    <col min="13319" max="13319" width="14.42578125" style="967" bestFit="1" customWidth="1"/>
    <col min="13320" max="13320" width="13.7109375" style="967" customWidth="1"/>
    <col min="13321" max="13321" width="3.5703125" style="967" customWidth="1"/>
    <col min="13322" max="13322" width="14.42578125" style="967" bestFit="1" customWidth="1"/>
    <col min="13323" max="13323" width="13.7109375" style="967" customWidth="1"/>
    <col min="13324" max="13324" width="3.5703125" style="967" customWidth="1"/>
    <col min="13325" max="13325" width="14.42578125" style="967" customWidth="1"/>
    <col min="13326" max="13326" width="13.7109375" style="967" customWidth="1"/>
    <col min="13327" max="13327" width="3.5703125" style="967" customWidth="1"/>
    <col min="13328" max="13328" width="14.42578125" style="967" bestFit="1" customWidth="1"/>
    <col min="13329" max="13329" width="13.7109375" style="967" customWidth="1"/>
    <col min="13330" max="13330" width="7.85546875" style="967" bestFit="1" customWidth="1"/>
    <col min="13331" max="13331" width="3.140625" style="967" customWidth="1"/>
    <col min="13332" max="13332" width="26.7109375" style="967" bestFit="1" customWidth="1"/>
    <col min="13333" max="13333" width="14.28515625" style="967" customWidth="1"/>
    <col min="13334" max="13334" width="9.140625" style="967"/>
    <col min="13335" max="13335" width="14.42578125" style="967" customWidth="1"/>
    <col min="13336" max="13336" width="10.42578125" style="967" customWidth="1"/>
    <col min="13337" max="13337" width="14.42578125" style="967" customWidth="1"/>
    <col min="13338" max="13568" width="9.140625" style="967"/>
    <col min="13569" max="13569" width="14.42578125" style="967" bestFit="1" customWidth="1"/>
    <col min="13570" max="13570" width="12.85546875" style="967" customWidth="1"/>
    <col min="13571" max="13571" width="3.5703125" style="967" customWidth="1"/>
    <col min="13572" max="13572" width="14.42578125" style="967" bestFit="1" customWidth="1"/>
    <col min="13573" max="13573" width="13.5703125" style="967" customWidth="1"/>
    <col min="13574" max="13574" width="3.5703125" style="967" customWidth="1"/>
    <col min="13575" max="13575" width="14.42578125" style="967" bestFit="1" customWidth="1"/>
    <col min="13576" max="13576" width="13.7109375" style="967" customWidth="1"/>
    <col min="13577" max="13577" width="3.5703125" style="967" customWidth="1"/>
    <col min="13578" max="13578" width="14.42578125" style="967" bestFit="1" customWidth="1"/>
    <col min="13579" max="13579" width="13.7109375" style="967" customWidth="1"/>
    <col min="13580" max="13580" width="3.5703125" style="967" customWidth="1"/>
    <col min="13581" max="13581" width="14.42578125" style="967" customWidth="1"/>
    <col min="13582" max="13582" width="13.7109375" style="967" customWidth="1"/>
    <col min="13583" max="13583" width="3.5703125" style="967" customWidth="1"/>
    <col min="13584" max="13584" width="14.42578125" style="967" bestFit="1" customWidth="1"/>
    <col min="13585" max="13585" width="13.7109375" style="967" customWidth="1"/>
    <col min="13586" max="13586" width="7.85546875" style="967" bestFit="1" customWidth="1"/>
    <col min="13587" max="13587" width="3.140625" style="967" customWidth="1"/>
    <col min="13588" max="13588" width="26.7109375" style="967" bestFit="1" customWidth="1"/>
    <col min="13589" max="13589" width="14.28515625" style="967" customWidth="1"/>
    <col min="13590" max="13590" width="9.140625" style="967"/>
    <col min="13591" max="13591" width="14.42578125" style="967" customWidth="1"/>
    <col min="13592" max="13592" width="10.42578125" style="967" customWidth="1"/>
    <col min="13593" max="13593" width="14.42578125" style="967" customWidth="1"/>
    <col min="13594" max="13824" width="9.140625" style="967"/>
    <col min="13825" max="13825" width="14.42578125" style="967" bestFit="1" customWidth="1"/>
    <col min="13826" max="13826" width="12.85546875" style="967" customWidth="1"/>
    <col min="13827" max="13827" width="3.5703125" style="967" customWidth="1"/>
    <col min="13828" max="13828" width="14.42578125" style="967" bestFit="1" customWidth="1"/>
    <col min="13829" max="13829" width="13.5703125" style="967" customWidth="1"/>
    <col min="13830" max="13830" width="3.5703125" style="967" customWidth="1"/>
    <col min="13831" max="13831" width="14.42578125" style="967" bestFit="1" customWidth="1"/>
    <col min="13832" max="13832" width="13.7109375" style="967" customWidth="1"/>
    <col min="13833" max="13833" width="3.5703125" style="967" customWidth="1"/>
    <col min="13834" max="13834" width="14.42578125" style="967" bestFit="1" customWidth="1"/>
    <col min="13835" max="13835" width="13.7109375" style="967" customWidth="1"/>
    <col min="13836" max="13836" width="3.5703125" style="967" customWidth="1"/>
    <col min="13837" max="13837" width="14.42578125" style="967" customWidth="1"/>
    <col min="13838" max="13838" width="13.7109375" style="967" customWidth="1"/>
    <col min="13839" max="13839" width="3.5703125" style="967" customWidth="1"/>
    <col min="13840" max="13840" width="14.42578125" style="967" bestFit="1" customWidth="1"/>
    <col min="13841" max="13841" width="13.7109375" style="967" customWidth="1"/>
    <col min="13842" max="13842" width="7.85546875" style="967" bestFit="1" customWidth="1"/>
    <col min="13843" max="13843" width="3.140625" style="967" customWidth="1"/>
    <col min="13844" max="13844" width="26.7109375" style="967" bestFit="1" customWidth="1"/>
    <col min="13845" max="13845" width="14.28515625" style="967" customWidth="1"/>
    <col min="13846" max="13846" width="9.140625" style="967"/>
    <col min="13847" max="13847" width="14.42578125" style="967" customWidth="1"/>
    <col min="13848" max="13848" width="10.42578125" style="967" customWidth="1"/>
    <col min="13849" max="13849" width="14.42578125" style="967" customWidth="1"/>
    <col min="13850" max="14080" width="9.140625" style="967"/>
    <col min="14081" max="14081" width="14.42578125" style="967" bestFit="1" customWidth="1"/>
    <col min="14082" max="14082" width="12.85546875" style="967" customWidth="1"/>
    <col min="14083" max="14083" width="3.5703125" style="967" customWidth="1"/>
    <col min="14084" max="14084" width="14.42578125" style="967" bestFit="1" customWidth="1"/>
    <col min="14085" max="14085" width="13.5703125" style="967" customWidth="1"/>
    <col min="14086" max="14086" width="3.5703125" style="967" customWidth="1"/>
    <col min="14087" max="14087" width="14.42578125" style="967" bestFit="1" customWidth="1"/>
    <col min="14088" max="14088" width="13.7109375" style="967" customWidth="1"/>
    <col min="14089" max="14089" width="3.5703125" style="967" customWidth="1"/>
    <col min="14090" max="14090" width="14.42578125" style="967" bestFit="1" customWidth="1"/>
    <col min="14091" max="14091" width="13.7109375" style="967" customWidth="1"/>
    <col min="14092" max="14092" width="3.5703125" style="967" customWidth="1"/>
    <col min="14093" max="14093" width="14.42578125" style="967" customWidth="1"/>
    <col min="14094" max="14094" width="13.7109375" style="967" customWidth="1"/>
    <col min="14095" max="14095" width="3.5703125" style="967" customWidth="1"/>
    <col min="14096" max="14096" width="14.42578125" style="967" bestFit="1" customWidth="1"/>
    <col min="14097" max="14097" width="13.7109375" style="967" customWidth="1"/>
    <col min="14098" max="14098" width="7.85546875" style="967" bestFit="1" customWidth="1"/>
    <col min="14099" max="14099" width="3.140625" style="967" customWidth="1"/>
    <col min="14100" max="14100" width="26.7109375" style="967" bestFit="1" customWidth="1"/>
    <col min="14101" max="14101" width="14.28515625" style="967" customWidth="1"/>
    <col min="14102" max="14102" width="9.140625" style="967"/>
    <col min="14103" max="14103" width="14.42578125" style="967" customWidth="1"/>
    <col min="14104" max="14104" width="10.42578125" style="967" customWidth="1"/>
    <col min="14105" max="14105" width="14.42578125" style="967" customWidth="1"/>
    <col min="14106" max="14336" width="9.140625" style="967"/>
    <col min="14337" max="14337" width="14.42578125" style="967" bestFit="1" customWidth="1"/>
    <col min="14338" max="14338" width="12.85546875" style="967" customWidth="1"/>
    <col min="14339" max="14339" width="3.5703125" style="967" customWidth="1"/>
    <col min="14340" max="14340" width="14.42578125" style="967" bestFit="1" customWidth="1"/>
    <col min="14341" max="14341" width="13.5703125" style="967" customWidth="1"/>
    <col min="14342" max="14342" width="3.5703125" style="967" customWidth="1"/>
    <col min="14343" max="14343" width="14.42578125" style="967" bestFit="1" customWidth="1"/>
    <col min="14344" max="14344" width="13.7109375" style="967" customWidth="1"/>
    <col min="14345" max="14345" width="3.5703125" style="967" customWidth="1"/>
    <col min="14346" max="14346" width="14.42578125" style="967" bestFit="1" customWidth="1"/>
    <col min="14347" max="14347" width="13.7109375" style="967" customWidth="1"/>
    <col min="14348" max="14348" width="3.5703125" style="967" customWidth="1"/>
    <col min="14349" max="14349" width="14.42578125" style="967" customWidth="1"/>
    <col min="14350" max="14350" width="13.7109375" style="967" customWidth="1"/>
    <col min="14351" max="14351" width="3.5703125" style="967" customWidth="1"/>
    <col min="14352" max="14352" width="14.42578125" style="967" bestFit="1" customWidth="1"/>
    <col min="14353" max="14353" width="13.7109375" style="967" customWidth="1"/>
    <col min="14354" max="14354" width="7.85546875" style="967" bestFit="1" customWidth="1"/>
    <col min="14355" max="14355" width="3.140625" style="967" customWidth="1"/>
    <col min="14356" max="14356" width="26.7109375" style="967" bestFit="1" customWidth="1"/>
    <col min="14357" max="14357" width="14.28515625" style="967" customWidth="1"/>
    <col min="14358" max="14358" width="9.140625" style="967"/>
    <col min="14359" max="14359" width="14.42578125" style="967" customWidth="1"/>
    <col min="14360" max="14360" width="10.42578125" style="967" customWidth="1"/>
    <col min="14361" max="14361" width="14.42578125" style="967" customWidth="1"/>
    <col min="14362" max="14592" width="9.140625" style="967"/>
    <col min="14593" max="14593" width="14.42578125" style="967" bestFit="1" customWidth="1"/>
    <col min="14594" max="14594" width="12.85546875" style="967" customWidth="1"/>
    <col min="14595" max="14595" width="3.5703125" style="967" customWidth="1"/>
    <col min="14596" max="14596" width="14.42578125" style="967" bestFit="1" customWidth="1"/>
    <col min="14597" max="14597" width="13.5703125" style="967" customWidth="1"/>
    <col min="14598" max="14598" width="3.5703125" style="967" customWidth="1"/>
    <col min="14599" max="14599" width="14.42578125" style="967" bestFit="1" customWidth="1"/>
    <col min="14600" max="14600" width="13.7109375" style="967" customWidth="1"/>
    <col min="14601" max="14601" width="3.5703125" style="967" customWidth="1"/>
    <col min="14602" max="14602" width="14.42578125" style="967" bestFit="1" customWidth="1"/>
    <col min="14603" max="14603" width="13.7109375" style="967" customWidth="1"/>
    <col min="14604" max="14604" width="3.5703125" style="967" customWidth="1"/>
    <col min="14605" max="14605" width="14.42578125" style="967" customWidth="1"/>
    <col min="14606" max="14606" width="13.7109375" style="967" customWidth="1"/>
    <col min="14607" max="14607" width="3.5703125" style="967" customWidth="1"/>
    <col min="14608" max="14608" width="14.42578125" style="967" bestFit="1" customWidth="1"/>
    <col min="14609" max="14609" width="13.7109375" style="967" customWidth="1"/>
    <col min="14610" max="14610" width="7.85546875" style="967" bestFit="1" customWidth="1"/>
    <col min="14611" max="14611" width="3.140625" style="967" customWidth="1"/>
    <col min="14612" max="14612" width="26.7109375" style="967" bestFit="1" customWidth="1"/>
    <col min="14613" max="14613" width="14.28515625" style="967" customWidth="1"/>
    <col min="14614" max="14614" width="9.140625" style="967"/>
    <col min="14615" max="14615" width="14.42578125" style="967" customWidth="1"/>
    <col min="14616" max="14616" width="10.42578125" style="967" customWidth="1"/>
    <col min="14617" max="14617" width="14.42578125" style="967" customWidth="1"/>
    <col min="14618" max="14848" width="9.140625" style="967"/>
    <col min="14849" max="14849" width="14.42578125" style="967" bestFit="1" customWidth="1"/>
    <col min="14850" max="14850" width="12.85546875" style="967" customWidth="1"/>
    <col min="14851" max="14851" width="3.5703125" style="967" customWidth="1"/>
    <col min="14852" max="14852" width="14.42578125" style="967" bestFit="1" customWidth="1"/>
    <col min="14853" max="14853" width="13.5703125" style="967" customWidth="1"/>
    <col min="14854" max="14854" width="3.5703125" style="967" customWidth="1"/>
    <col min="14855" max="14855" width="14.42578125" style="967" bestFit="1" customWidth="1"/>
    <col min="14856" max="14856" width="13.7109375" style="967" customWidth="1"/>
    <col min="14857" max="14857" width="3.5703125" style="967" customWidth="1"/>
    <col min="14858" max="14858" width="14.42578125" style="967" bestFit="1" customWidth="1"/>
    <col min="14859" max="14859" width="13.7109375" style="967" customWidth="1"/>
    <col min="14860" max="14860" width="3.5703125" style="967" customWidth="1"/>
    <col min="14861" max="14861" width="14.42578125" style="967" customWidth="1"/>
    <col min="14862" max="14862" width="13.7109375" style="967" customWidth="1"/>
    <col min="14863" max="14863" width="3.5703125" style="967" customWidth="1"/>
    <col min="14864" max="14864" width="14.42578125" style="967" bestFit="1" customWidth="1"/>
    <col min="14865" max="14865" width="13.7109375" style="967" customWidth="1"/>
    <col min="14866" max="14866" width="7.85546875" style="967" bestFit="1" customWidth="1"/>
    <col min="14867" max="14867" width="3.140625" style="967" customWidth="1"/>
    <col min="14868" max="14868" width="26.7109375" style="967" bestFit="1" customWidth="1"/>
    <col min="14869" max="14869" width="14.28515625" style="967" customWidth="1"/>
    <col min="14870" max="14870" width="9.140625" style="967"/>
    <col min="14871" max="14871" width="14.42578125" style="967" customWidth="1"/>
    <col min="14872" max="14872" width="10.42578125" style="967" customWidth="1"/>
    <col min="14873" max="14873" width="14.42578125" style="967" customWidth="1"/>
    <col min="14874" max="15104" width="9.140625" style="967"/>
    <col min="15105" max="15105" width="14.42578125" style="967" bestFit="1" customWidth="1"/>
    <col min="15106" max="15106" width="12.85546875" style="967" customWidth="1"/>
    <col min="15107" max="15107" width="3.5703125" style="967" customWidth="1"/>
    <col min="15108" max="15108" width="14.42578125" style="967" bestFit="1" customWidth="1"/>
    <col min="15109" max="15109" width="13.5703125" style="967" customWidth="1"/>
    <col min="15110" max="15110" width="3.5703125" style="967" customWidth="1"/>
    <col min="15111" max="15111" width="14.42578125" style="967" bestFit="1" customWidth="1"/>
    <col min="15112" max="15112" width="13.7109375" style="967" customWidth="1"/>
    <col min="15113" max="15113" width="3.5703125" style="967" customWidth="1"/>
    <col min="15114" max="15114" width="14.42578125" style="967" bestFit="1" customWidth="1"/>
    <col min="15115" max="15115" width="13.7109375" style="967" customWidth="1"/>
    <col min="15116" max="15116" width="3.5703125" style="967" customWidth="1"/>
    <col min="15117" max="15117" width="14.42578125" style="967" customWidth="1"/>
    <col min="15118" max="15118" width="13.7109375" style="967" customWidth="1"/>
    <col min="15119" max="15119" width="3.5703125" style="967" customWidth="1"/>
    <col min="15120" max="15120" width="14.42578125" style="967" bestFit="1" customWidth="1"/>
    <col min="15121" max="15121" width="13.7109375" style="967" customWidth="1"/>
    <col min="15122" max="15122" width="7.85546875" style="967" bestFit="1" customWidth="1"/>
    <col min="15123" max="15123" width="3.140625" style="967" customWidth="1"/>
    <col min="15124" max="15124" width="26.7109375" style="967" bestFit="1" customWidth="1"/>
    <col min="15125" max="15125" width="14.28515625" style="967" customWidth="1"/>
    <col min="15126" max="15126" width="9.140625" style="967"/>
    <col min="15127" max="15127" width="14.42578125" style="967" customWidth="1"/>
    <col min="15128" max="15128" width="10.42578125" style="967" customWidth="1"/>
    <col min="15129" max="15129" width="14.42578125" style="967" customWidth="1"/>
    <col min="15130" max="15360" width="9.140625" style="967"/>
    <col min="15361" max="15361" width="14.42578125" style="967" bestFit="1" customWidth="1"/>
    <col min="15362" max="15362" width="12.85546875" style="967" customWidth="1"/>
    <col min="15363" max="15363" width="3.5703125" style="967" customWidth="1"/>
    <col min="15364" max="15364" width="14.42578125" style="967" bestFit="1" customWidth="1"/>
    <col min="15365" max="15365" width="13.5703125" style="967" customWidth="1"/>
    <col min="15366" max="15366" width="3.5703125" style="967" customWidth="1"/>
    <col min="15367" max="15367" width="14.42578125" style="967" bestFit="1" customWidth="1"/>
    <col min="15368" max="15368" width="13.7109375" style="967" customWidth="1"/>
    <col min="15369" max="15369" width="3.5703125" style="967" customWidth="1"/>
    <col min="15370" max="15370" width="14.42578125" style="967" bestFit="1" customWidth="1"/>
    <col min="15371" max="15371" width="13.7109375" style="967" customWidth="1"/>
    <col min="15372" max="15372" width="3.5703125" style="967" customWidth="1"/>
    <col min="15373" max="15373" width="14.42578125" style="967" customWidth="1"/>
    <col min="15374" max="15374" width="13.7109375" style="967" customWidth="1"/>
    <col min="15375" max="15375" width="3.5703125" style="967" customWidth="1"/>
    <col min="15376" max="15376" width="14.42578125" style="967" bestFit="1" customWidth="1"/>
    <col min="15377" max="15377" width="13.7109375" style="967" customWidth="1"/>
    <col min="15378" max="15378" width="7.85546875" style="967" bestFit="1" customWidth="1"/>
    <col min="15379" max="15379" width="3.140625" style="967" customWidth="1"/>
    <col min="15380" max="15380" width="26.7109375" style="967" bestFit="1" customWidth="1"/>
    <col min="15381" max="15381" width="14.28515625" style="967" customWidth="1"/>
    <col min="15382" max="15382" width="9.140625" style="967"/>
    <col min="15383" max="15383" width="14.42578125" style="967" customWidth="1"/>
    <col min="15384" max="15384" width="10.42578125" style="967" customWidth="1"/>
    <col min="15385" max="15385" width="14.42578125" style="967" customWidth="1"/>
    <col min="15386" max="15616" width="9.140625" style="967"/>
    <col min="15617" max="15617" width="14.42578125" style="967" bestFit="1" customWidth="1"/>
    <col min="15618" max="15618" width="12.85546875" style="967" customWidth="1"/>
    <col min="15619" max="15619" width="3.5703125" style="967" customWidth="1"/>
    <col min="15620" max="15620" width="14.42578125" style="967" bestFit="1" customWidth="1"/>
    <col min="15621" max="15621" width="13.5703125" style="967" customWidth="1"/>
    <col min="15622" max="15622" width="3.5703125" style="967" customWidth="1"/>
    <col min="15623" max="15623" width="14.42578125" style="967" bestFit="1" customWidth="1"/>
    <col min="15624" max="15624" width="13.7109375" style="967" customWidth="1"/>
    <col min="15625" max="15625" width="3.5703125" style="967" customWidth="1"/>
    <col min="15626" max="15626" width="14.42578125" style="967" bestFit="1" customWidth="1"/>
    <col min="15627" max="15627" width="13.7109375" style="967" customWidth="1"/>
    <col min="15628" max="15628" width="3.5703125" style="967" customWidth="1"/>
    <col min="15629" max="15629" width="14.42578125" style="967" customWidth="1"/>
    <col min="15630" max="15630" width="13.7109375" style="967" customWidth="1"/>
    <col min="15631" max="15631" width="3.5703125" style="967" customWidth="1"/>
    <col min="15632" max="15632" width="14.42578125" style="967" bestFit="1" customWidth="1"/>
    <col min="15633" max="15633" width="13.7109375" style="967" customWidth="1"/>
    <col min="15634" max="15634" width="7.85546875" style="967" bestFit="1" customWidth="1"/>
    <col min="15635" max="15635" width="3.140625" style="967" customWidth="1"/>
    <col min="15636" max="15636" width="26.7109375" style="967" bestFit="1" customWidth="1"/>
    <col min="15637" max="15637" width="14.28515625" style="967" customWidth="1"/>
    <col min="15638" max="15638" width="9.140625" style="967"/>
    <col min="15639" max="15639" width="14.42578125" style="967" customWidth="1"/>
    <col min="15640" max="15640" width="10.42578125" style="967" customWidth="1"/>
    <col min="15641" max="15641" width="14.42578125" style="967" customWidth="1"/>
    <col min="15642" max="15872" width="9.140625" style="967"/>
    <col min="15873" max="15873" width="14.42578125" style="967" bestFit="1" customWidth="1"/>
    <col min="15874" max="15874" width="12.85546875" style="967" customWidth="1"/>
    <col min="15875" max="15875" width="3.5703125" style="967" customWidth="1"/>
    <col min="15876" max="15876" width="14.42578125" style="967" bestFit="1" customWidth="1"/>
    <col min="15877" max="15877" width="13.5703125" style="967" customWidth="1"/>
    <col min="15878" max="15878" width="3.5703125" style="967" customWidth="1"/>
    <col min="15879" max="15879" width="14.42578125" style="967" bestFit="1" customWidth="1"/>
    <col min="15880" max="15880" width="13.7109375" style="967" customWidth="1"/>
    <col min="15881" max="15881" width="3.5703125" style="967" customWidth="1"/>
    <col min="15882" max="15882" width="14.42578125" style="967" bestFit="1" customWidth="1"/>
    <col min="15883" max="15883" width="13.7109375" style="967" customWidth="1"/>
    <col min="15884" max="15884" width="3.5703125" style="967" customWidth="1"/>
    <col min="15885" max="15885" width="14.42578125" style="967" customWidth="1"/>
    <col min="15886" max="15886" width="13.7109375" style="967" customWidth="1"/>
    <col min="15887" max="15887" width="3.5703125" style="967" customWidth="1"/>
    <col min="15888" max="15888" width="14.42578125" style="967" bestFit="1" customWidth="1"/>
    <col min="15889" max="15889" width="13.7109375" style="967" customWidth="1"/>
    <col min="15890" max="15890" width="7.85546875" style="967" bestFit="1" customWidth="1"/>
    <col min="15891" max="15891" width="3.140625" style="967" customWidth="1"/>
    <col min="15892" max="15892" width="26.7109375" style="967" bestFit="1" customWidth="1"/>
    <col min="15893" max="15893" width="14.28515625" style="967" customWidth="1"/>
    <col min="15894" max="15894" width="9.140625" style="967"/>
    <col min="15895" max="15895" width="14.42578125" style="967" customWidth="1"/>
    <col min="15896" max="15896" width="10.42578125" style="967" customWidth="1"/>
    <col min="15897" max="15897" width="14.42578125" style="967" customWidth="1"/>
    <col min="15898" max="16128" width="9.140625" style="967"/>
    <col min="16129" max="16129" width="14.42578125" style="967" bestFit="1" customWidth="1"/>
    <col min="16130" max="16130" width="12.85546875" style="967" customWidth="1"/>
    <col min="16131" max="16131" width="3.5703125" style="967" customWidth="1"/>
    <col min="16132" max="16132" width="14.42578125" style="967" bestFit="1" customWidth="1"/>
    <col min="16133" max="16133" width="13.5703125" style="967" customWidth="1"/>
    <col min="16134" max="16134" width="3.5703125" style="967" customWidth="1"/>
    <col min="16135" max="16135" width="14.42578125" style="967" bestFit="1" customWidth="1"/>
    <col min="16136" max="16136" width="13.7109375" style="967" customWidth="1"/>
    <col min="16137" max="16137" width="3.5703125" style="967" customWidth="1"/>
    <col min="16138" max="16138" width="14.42578125" style="967" bestFit="1" customWidth="1"/>
    <col min="16139" max="16139" width="13.7109375" style="967" customWidth="1"/>
    <col min="16140" max="16140" width="3.5703125" style="967" customWidth="1"/>
    <col min="16141" max="16141" width="14.42578125" style="967" customWidth="1"/>
    <col min="16142" max="16142" width="13.7109375" style="967" customWidth="1"/>
    <col min="16143" max="16143" width="3.5703125" style="967" customWidth="1"/>
    <col min="16144" max="16144" width="14.42578125" style="967" bestFit="1" customWidth="1"/>
    <col min="16145" max="16145" width="13.7109375" style="967" customWidth="1"/>
    <col min="16146" max="16146" width="7.85546875" style="967" bestFit="1" customWidth="1"/>
    <col min="16147" max="16147" width="3.140625" style="967" customWidth="1"/>
    <col min="16148" max="16148" width="26.7109375" style="967" bestFit="1" customWidth="1"/>
    <col min="16149" max="16149" width="14.28515625" style="967" customWidth="1"/>
    <col min="16150" max="16150" width="9.140625" style="967"/>
    <col min="16151" max="16151" width="14.42578125" style="967" customWidth="1"/>
    <col min="16152" max="16152" width="10.42578125" style="967" customWidth="1"/>
    <col min="16153" max="16153" width="14.42578125" style="967" customWidth="1"/>
    <col min="16154" max="16384" width="9.140625" style="967"/>
  </cols>
  <sheetData>
    <row r="1" spans="1:18" x14ac:dyDescent="0.2">
      <c r="A1" s="966" t="s">
        <v>1786</v>
      </c>
      <c r="B1" s="966" t="s">
        <v>1748</v>
      </c>
      <c r="D1" s="966" t="s">
        <v>1786</v>
      </c>
      <c r="E1" s="966" t="s">
        <v>1748</v>
      </c>
      <c r="G1" s="966" t="s">
        <v>1786</v>
      </c>
      <c r="H1" s="966" t="s">
        <v>1748</v>
      </c>
      <c r="J1" s="966" t="s">
        <v>1786</v>
      </c>
      <c r="K1" s="966" t="s">
        <v>1748</v>
      </c>
      <c r="M1" s="966" t="s">
        <v>1786</v>
      </c>
      <c r="N1" s="966" t="s">
        <v>1748</v>
      </c>
      <c r="P1" s="968" t="s">
        <v>1786</v>
      </c>
      <c r="Q1" s="968" t="s">
        <v>1748</v>
      </c>
      <c r="R1" s="969"/>
    </row>
    <row r="2" spans="1:18" x14ac:dyDescent="0.2">
      <c r="A2" s="966" t="s">
        <v>739</v>
      </c>
      <c r="B2" s="970">
        <v>2006</v>
      </c>
      <c r="D2" s="966" t="s">
        <v>739</v>
      </c>
      <c r="E2" s="970">
        <v>2007</v>
      </c>
      <c r="G2" s="966" t="s">
        <v>739</v>
      </c>
      <c r="H2" s="970">
        <v>2008</v>
      </c>
      <c r="J2" s="966" t="s">
        <v>739</v>
      </c>
      <c r="K2" s="970">
        <v>2009</v>
      </c>
      <c r="M2" s="966" t="s">
        <v>739</v>
      </c>
      <c r="N2" s="970">
        <v>2010</v>
      </c>
      <c r="P2" s="968" t="s">
        <v>739</v>
      </c>
      <c r="Q2" s="971" t="s">
        <v>1787</v>
      </c>
      <c r="R2" s="969"/>
    </row>
    <row r="3" spans="1:18" x14ac:dyDescent="0.2">
      <c r="P3" s="969"/>
      <c r="Q3" s="969"/>
      <c r="R3" s="969"/>
    </row>
    <row r="4" spans="1:18" x14ac:dyDescent="0.2">
      <c r="A4" s="972" t="s">
        <v>1788</v>
      </c>
      <c r="B4" s="973"/>
      <c r="D4" s="972" t="s">
        <v>1788</v>
      </c>
      <c r="E4" s="973"/>
      <c r="G4" s="972" t="s">
        <v>1788</v>
      </c>
      <c r="H4" s="973"/>
      <c r="J4" s="972" t="s">
        <v>1788</v>
      </c>
      <c r="K4" s="973"/>
      <c r="M4" s="972" t="s">
        <v>1788</v>
      </c>
      <c r="N4" s="973"/>
      <c r="P4" s="974" t="s">
        <v>1788</v>
      </c>
      <c r="Q4" s="975"/>
      <c r="R4" s="975"/>
    </row>
    <row r="5" spans="1:18" x14ac:dyDescent="0.2">
      <c r="A5" s="972" t="s">
        <v>1789</v>
      </c>
      <c r="B5" s="973" t="s">
        <v>23</v>
      </c>
      <c r="D5" s="972" t="s">
        <v>1789</v>
      </c>
      <c r="E5" s="973" t="s">
        <v>23</v>
      </c>
      <c r="G5" s="972" t="s">
        <v>1789</v>
      </c>
      <c r="H5" s="973" t="s">
        <v>23</v>
      </c>
      <c r="J5" s="972" t="s">
        <v>1789</v>
      </c>
      <c r="K5" s="973" t="s">
        <v>23</v>
      </c>
      <c r="M5" s="972" t="s">
        <v>1789</v>
      </c>
      <c r="N5" s="973" t="s">
        <v>23</v>
      </c>
      <c r="P5" s="974" t="s">
        <v>1789</v>
      </c>
      <c r="Q5" s="975" t="s">
        <v>23</v>
      </c>
      <c r="R5" s="976" t="s">
        <v>1790</v>
      </c>
    </row>
    <row r="6" spans="1:18" x14ac:dyDescent="0.2">
      <c r="A6" s="977">
        <v>7</v>
      </c>
      <c r="B6" s="978">
        <v>4796916.28</v>
      </c>
      <c r="D6" s="977">
        <v>7</v>
      </c>
      <c r="E6" s="978">
        <v>5567273.6400000015</v>
      </c>
      <c r="G6" s="977">
        <v>7</v>
      </c>
      <c r="H6" s="978">
        <v>7283836.8499999968</v>
      </c>
      <c r="J6" s="977">
        <v>7</v>
      </c>
      <c r="K6" s="978">
        <v>9570841.9200000037</v>
      </c>
      <c r="M6" s="977">
        <v>7</v>
      </c>
      <c r="N6" s="978">
        <v>10055319.000000009</v>
      </c>
      <c r="P6" s="979">
        <v>7</v>
      </c>
      <c r="Q6" s="980">
        <f>SUM(N6,K6,H6,E6,B6)</f>
        <v>37274187.690000013</v>
      </c>
      <c r="R6" s="981">
        <f>+Q6/$Q$13</f>
        <v>0.87706012542352207</v>
      </c>
    </row>
    <row r="7" spans="1:18" x14ac:dyDescent="0.2">
      <c r="A7" s="982">
        <v>24</v>
      </c>
      <c r="B7" s="983">
        <v>301370.53000000003</v>
      </c>
      <c r="D7" s="982">
        <v>24</v>
      </c>
      <c r="E7" s="983">
        <v>603587.43999999994</v>
      </c>
      <c r="G7" s="982">
        <v>24</v>
      </c>
      <c r="H7" s="983">
        <v>528014.52</v>
      </c>
      <c r="J7" s="982">
        <v>24</v>
      </c>
      <c r="K7" s="983">
        <v>838283.16</v>
      </c>
      <c r="M7" s="982">
        <v>24</v>
      </c>
      <c r="N7" s="983">
        <v>979702.62</v>
      </c>
      <c r="P7" s="984">
        <v>24</v>
      </c>
      <c r="Q7" s="985">
        <f>SUM(N7,K7,H7,E7,B7)</f>
        <v>3250958.2699999996</v>
      </c>
      <c r="R7" s="986">
        <f t="shared" ref="R7:R12" si="0">+Q7/$Q$13</f>
        <v>7.6494916314374412E-2</v>
      </c>
    </row>
    <row r="8" spans="1:18" x14ac:dyDescent="0.2">
      <c r="A8" s="982" t="s">
        <v>1791</v>
      </c>
      <c r="B8" s="983">
        <v>96721.39</v>
      </c>
      <c r="D8" s="982" t="s">
        <v>1791</v>
      </c>
      <c r="E8" s="983">
        <v>438636.63</v>
      </c>
      <c r="G8" s="982" t="s">
        <v>1791</v>
      </c>
      <c r="H8" s="983">
        <v>293697.75</v>
      </c>
      <c r="J8" s="982" t="s">
        <v>1791</v>
      </c>
      <c r="K8" s="983">
        <v>348390.29</v>
      </c>
      <c r="M8" s="982" t="s">
        <v>1791</v>
      </c>
      <c r="N8" s="983">
        <v>215516.55000000002</v>
      </c>
      <c r="P8" s="984" t="s">
        <v>1791</v>
      </c>
      <c r="Q8" s="985">
        <f>SUM(N8,K8,H8,E8,B8)</f>
        <v>1392962.6099999999</v>
      </c>
      <c r="R8" s="986">
        <f t="shared" si="0"/>
        <v>3.2776353749075518E-2</v>
      </c>
    </row>
    <row r="9" spans="1:18" x14ac:dyDescent="0.2">
      <c r="A9" s="982">
        <v>31</v>
      </c>
      <c r="B9" s="983">
        <v>0</v>
      </c>
      <c r="D9" s="982">
        <v>26</v>
      </c>
      <c r="E9" s="983">
        <v>134052.47</v>
      </c>
      <c r="G9" s="982">
        <v>26</v>
      </c>
      <c r="H9" s="983">
        <v>117947.53</v>
      </c>
      <c r="J9" s="982">
        <v>26</v>
      </c>
      <c r="K9" s="983">
        <v>0</v>
      </c>
      <c r="M9" s="982">
        <v>26</v>
      </c>
      <c r="N9" s="983">
        <v>48933.08</v>
      </c>
      <c r="P9" s="984">
        <v>26</v>
      </c>
      <c r="Q9" s="985">
        <f>SUM(N9,K9,H9,E9)</f>
        <v>300933.07999999996</v>
      </c>
      <c r="R9" s="986">
        <f t="shared" si="0"/>
        <v>7.080943173972805E-3</v>
      </c>
    </row>
    <row r="10" spans="1:18" x14ac:dyDescent="0.2">
      <c r="A10" s="982" t="s">
        <v>1792</v>
      </c>
      <c r="B10" s="983">
        <v>7486.58</v>
      </c>
      <c r="D10" s="982">
        <v>31</v>
      </c>
      <c r="E10" s="983">
        <v>161848.41</v>
      </c>
      <c r="G10" s="982">
        <v>31</v>
      </c>
      <c r="H10" s="983">
        <v>769.79000000000099</v>
      </c>
      <c r="J10" s="982" t="s">
        <v>1792</v>
      </c>
      <c r="K10" s="983">
        <v>27151.06</v>
      </c>
      <c r="M10" s="982">
        <v>31</v>
      </c>
      <c r="N10" s="983">
        <v>22601.63</v>
      </c>
      <c r="P10" s="984">
        <v>31</v>
      </c>
      <c r="Q10" s="985">
        <f>SUM(N10,H10,E10,B9)</f>
        <v>185219.83000000002</v>
      </c>
      <c r="R10" s="986">
        <f t="shared" si="0"/>
        <v>4.3582150919496913E-3</v>
      </c>
    </row>
    <row r="11" spans="1:18" x14ac:dyDescent="0.2">
      <c r="A11" s="987" t="s">
        <v>143</v>
      </c>
      <c r="B11" s="988">
        <v>5202494.78</v>
      </c>
      <c r="D11" s="982">
        <v>49</v>
      </c>
      <c r="E11" s="983">
        <v>32670.36</v>
      </c>
      <c r="G11" s="982" t="s">
        <v>1792</v>
      </c>
      <c r="H11" s="983">
        <v>1431.11</v>
      </c>
      <c r="J11" s="987" t="s">
        <v>143</v>
      </c>
      <c r="K11" s="988">
        <v>10784666.430000005</v>
      </c>
      <c r="M11" s="982" t="s">
        <v>1792</v>
      </c>
      <c r="N11" s="983">
        <v>15169.68</v>
      </c>
      <c r="P11" s="984">
        <v>49</v>
      </c>
      <c r="Q11" s="985">
        <f>E11</f>
        <v>32670.36</v>
      </c>
      <c r="R11" s="986">
        <f t="shared" si="0"/>
        <v>7.687322464955804E-4</v>
      </c>
    </row>
    <row r="12" spans="1:18" x14ac:dyDescent="0.2">
      <c r="D12" s="982" t="s">
        <v>1792</v>
      </c>
      <c r="E12" s="983">
        <v>10840.47</v>
      </c>
      <c r="G12" s="987" t="s">
        <v>143</v>
      </c>
      <c r="H12" s="988">
        <v>8225697.549999998</v>
      </c>
      <c r="M12" s="987" t="s">
        <v>143</v>
      </c>
      <c r="N12" s="988">
        <v>11337242.56000001</v>
      </c>
      <c r="P12" s="984" t="s">
        <v>1792</v>
      </c>
      <c r="Q12" s="985">
        <f>SUM(N11,K10,H11,E12,B10)</f>
        <v>62078.900000000009</v>
      </c>
      <c r="R12" s="986">
        <f t="shared" si="0"/>
        <v>1.4607140006101707E-3</v>
      </c>
    </row>
    <row r="13" spans="1:18" x14ac:dyDescent="0.2">
      <c r="D13" s="987" t="s">
        <v>143</v>
      </c>
      <c r="E13" s="988">
        <v>6948909.4200000018</v>
      </c>
      <c r="P13" s="989" t="s">
        <v>143</v>
      </c>
      <c r="Q13" s="990">
        <f>SUM(Q6:Q12)</f>
        <v>42499010.740000002</v>
      </c>
      <c r="R13" s="991">
        <f>SUM(R6:R12)</f>
        <v>1.0000000000000002</v>
      </c>
    </row>
    <row r="15" spans="1:18" x14ac:dyDescent="0.2">
      <c r="A15" s="966" t="s">
        <v>1786</v>
      </c>
      <c r="B15" s="966" t="s">
        <v>1746</v>
      </c>
      <c r="D15" s="966" t="s">
        <v>1786</v>
      </c>
      <c r="E15" s="966" t="s">
        <v>1746</v>
      </c>
      <c r="G15" s="966" t="s">
        <v>1786</v>
      </c>
      <c r="H15" s="966" t="s">
        <v>1746</v>
      </c>
      <c r="J15" s="966" t="s">
        <v>1786</v>
      </c>
      <c r="K15" s="966" t="s">
        <v>1746</v>
      </c>
      <c r="M15" s="966" t="s">
        <v>1786</v>
      </c>
      <c r="N15" s="966" t="s">
        <v>1746</v>
      </c>
      <c r="P15" s="992" t="s">
        <v>1786</v>
      </c>
      <c r="Q15" s="992" t="s">
        <v>1746</v>
      </c>
      <c r="R15" s="993"/>
    </row>
    <row r="16" spans="1:18" x14ac:dyDescent="0.2">
      <c r="A16" s="966" t="s">
        <v>739</v>
      </c>
      <c r="B16" s="970">
        <v>2006</v>
      </c>
      <c r="D16" s="966" t="s">
        <v>739</v>
      </c>
      <c r="E16" s="970">
        <v>2007</v>
      </c>
      <c r="G16" s="966" t="s">
        <v>739</v>
      </c>
      <c r="H16" s="970">
        <v>2008</v>
      </c>
      <c r="J16" s="966" t="s">
        <v>739</v>
      </c>
      <c r="K16" s="970">
        <v>2009</v>
      </c>
      <c r="M16" s="966" t="s">
        <v>739</v>
      </c>
      <c r="N16" s="970">
        <v>2010</v>
      </c>
      <c r="P16" s="992" t="s">
        <v>739</v>
      </c>
      <c r="Q16" s="994" t="s">
        <v>1787</v>
      </c>
      <c r="R16" s="993"/>
    </row>
    <row r="17" spans="1:21" x14ac:dyDescent="0.2">
      <c r="P17" s="993"/>
      <c r="Q17" s="993"/>
      <c r="R17" s="993"/>
    </row>
    <row r="18" spans="1:21" x14ac:dyDescent="0.2">
      <c r="A18" s="972" t="s">
        <v>1788</v>
      </c>
      <c r="B18" s="973"/>
      <c r="D18" s="972" t="s">
        <v>1788</v>
      </c>
      <c r="E18" s="973"/>
      <c r="G18" s="972" t="s">
        <v>1788</v>
      </c>
      <c r="H18" s="973"/>
      <c r="J18" s="972" t="s">
        <v>1788</v>
      </c>
      <c r="K18" s="973"/>
      <c r="M18" s="972" t="s">
        <v>1788</v>
      </c>
      <c r="N18" s="973"/>
      <c r="P18" s="995" t="s">
        <v>1788</v>
      </c>
      <c r="Q18" s="996"/>
      <c r="R18" s="993"/>
    </row>
    <row r="19" spans="1:21" x14ac:dyDescent="0.2">
      <c r="A19" s="972" t="s">
        <v>1789</v>
      </c>
      <c r="B19" s="973" t="s">
        <v>23</v>
      </c>
      <c r="D19" s="972" t="s">
        <v>1789</v>
      </c>
      <c r="E19" s="973" t="s">
        <v>23</v>
      </c>
      <c r="G19" s="972" t="s">
        <v>1789</v>
      </c>
      <c r="H19" s="973" t="s">
        <v>23</v>
      </c>
      <c r="J19" s="972" t="s">
        <v>1789</v>
      </c>
      <c r="K19" s="973" t="s">
        <v>23</v>
      </c>
      <c r="M19" s="972" t="s">
        <v>1789</v>
      </c>
      <c r="N19" s="973" t="s">
        <v>23</v>
      </c>
      <c r="P19" s="995" t="s">
        <v>1789</v>
      </c>
      <c r="Q19" s="996" t="s">
        <v>23</v>
      </c>
      <c r="R19" s="997" t="s">
        <v>1790</v>
      </c>
      <c r="T19" s="967" t="s">
        <v>69</v>
      </c>
      <c r="U19" s="967" t="s">
        <v>1793</v>
      </c>
    </row>
    <row r="20" spans="1:21" x14ac:dyDescent="0.2">
      <c r="A20" s="998">
        <v>23</v>
      </c>
      <c r="B20" s="999">
        <v>1950406.37</v>
      </c>
      <c r="C20" s="1000"/>
      <c r="D20" s="998">
        <v>23</v>
      </c>
      <c r="E20" s="999">
        <v>2626647.96</v>
      </c>
      <c r="F20" s="1000"/>
      <c r="G20" s="998">
        <v>23</v>
      </c>
      <c r="H20" s="999">
        <v>3081657.19</v>
      </c>
      <c r="I20" s="1000"/>
      <c r="J20" s="998">
        <v>23</v>
      </c>
      <c r="K20" s="999">
        <v>4890894.25</v>
      </c>
      <c r="L20" s="1000"/>
      <c r="M20" s="977">
        <v>23</v>
      </c>
      <c r="N20" s="978">
        <v>4562056.1500000004</v>
      </c>
      <c r="P20" s="1001">
        <v>23</v>
      </c>
      <c r="Q20" s="1002">
        <f t="shared" ref="Q20:Q25" si="1">SUM(N20,K20,H20,E20,B20)</f>
        <v>17111661.920000002</v>
      </c>
      <c r="R20" s="1003" t="e">
        <f>+Q20/$Q$36</f>
        <v>#REF!</v>
      </c>
      <c r="T20" s="967" t="s">
        <v>89</v>
      </c>
      <c r="U20" s="1004" t="e">
        <f>SUM(Q20:Q21,Q34)</f>
        <v>#REF!</v>
      </c>
    </row>
    <row r="21" spans="1:21" x14ac:dyDescent="0.2">
      <c r="A21" s="1005">
        <v>24</v>
      </c>
      <c r="B21" s="1006">
        <v>-53066.31</v>
      </c>
      <c r="C21" s="1000"/>
      <c r="D21" s="1005">
        <v>24</v>
      </c>
      <c r="E21" s="1006">
        <v>-15866.33</v>
      </c>
      <c r="F21" s="1000"/>
      <c r="G21" s="1005">
        <v>24</v>
      </c>
      <c r="H21" s="1006">
        <v>-33720.720000000001</v>
      </c>
      <c r="I21" s="1000"/>
      <c r="J21" s="1005">
        <v>24</v>
      </c>
      <c r="K21" s="1006">
        <v>-25150.23</v>
      </c>
      <c r="L21" s="1000"/>
      <c r="M21" s="982">
        <v>24</v>
      </c>
      <c r="N21" s="983">
        <v>-18131.14</v>
      </c>
      <c r="P21" s="1007">
        <v>24</v>
      </c>
      <c r="Q21" s="1008">
        <f t="shared" si="1"/>
        <v>-145934.72999999998</v>
      </c>
      <c r="R21" s="1009" t="e">
        <f t="shared" ref="R21:R35" si="2">+Q21/$Q$36</f>
        <v>#REF!</v>
      </c>
      <c r="T21" s="967" t="s">
        <v>1794</v>
      </c>
      <c r="U21" s="1004" t="e">
        <f>SUM(Q22:Q24,Q28,Q35)</f>
        <v>#REF!</v>
      </c>
    </row>
    <row r="22" spans="1:21" x14ac:dyDescent="0.2">
      <c r="A22" s="1005" t="s">
        <v>1795</v>
      </c>
      <c r="B22" s="1006">
        <v>308588.40999999997</v>
      </c>
      <c r="C22" s="1000"/>
      <c r="D22" s="1005" t="s">
        <v>1795</v>
      </c>
      <c r="E22" s="1006">
        <v>612536.30000000005</v>
      </c>
      <c r="F22" s="1000"/>
      <c r="G22" s="1005" t="s">
        <v>1795</v>
      </c>
      <c r="H22" s="1006">
        <v>555838.64</v>
      </c>
      <c r="I22" s="1000"/>
      <c r="J22" s="1005" t="s">
        <v>1795</v>
      </c>
      <c r="K22" s="1006">
        <v>735335.05</v>
      </c>
      <c r="L22" s="1000"/>
      <c r="M22" s="1010" t="s">
        <v>1795</v>
      </c>
      <c r="N22" s="983">
        <v>1010494.6600000001</v>
      </c>
      <c r="P22" s="1007" t="s">
        <v>1795</v>
      </c>
      <c r="Q22" s="1008">
        <f t="shared" si="1"/>
        <v>3222793.0600000005</v>
      </c>
      <c r="R22" s="1009" t="e">
        <f t="shared" si="2"/>
        <v>#REF!</v>
      </c>
      <c r="T22" s="967" t="s">
        <v>1796</v>
      </c>
      <c r="U22" s="1004">
        <f>SUM(Q25:Q26)</f>
        <v>212446.96</v>
      </c>
    </row>
    <row r="23" spans="1:21" x14ac:dyDescent="0.2">
      <c r="A23" s="1005" t="s">
        <v>1797</v>
      </c>
      <c r="B23" s="1006">
        <v>27310.42</v>
      </c>
      <c r="C23" s="1000"/>
      <c r="D23" s="1005" t="s">
        <v>1797</v>
      </c>
      <c r="E23" s="1006">
        <v>40355.9</v>
      </c>
      <c r="F23" s="1000"/>
      <c r="G23" s="1005" t="s">
        <v>1797</v>
      </c>
      <c r="H23" s="1006">
        <v>14084.68</v>
      </c>
      <c r="I23" s="1000"/>
      <c r="J23" s="1005" t="s">
        <v>1797</v>
      </c>
      <c r="K23" s="1006">
        <v>69174.820000000007</v>
      </c>
      <c r="L23" s="1000"/>
      <c r="M23" s="982" t="s">
        <v>1797</v>
      </c>
      <c r="N23" s="983">
        <v>41757.979999999996</v>
      </c>
      <c r="P23" s="1007" t="s">
        <v>1797</v>
      </c>
      <c r="Q23" s="1008">
        <f t="shared" si="1"/>
        <v>192683.8</v>
      </c>
      <c r="R23" s="1009" t="e">
        <f t="shared" si="2"/>
        <v>#REF!</v>
      </c>
      <c r="T23" s="967" t="s">
        <v>163</v>
      </c>
      <c r="U23" s="1004" t="e">
        <f>Q27</f>
        <v>#REF!</v>
      </c>
    </row>
    <row r="24" spans="1:21" x14ac:dyDescent="0.2">
      <c r="A24" s="1005">
        <v>36</v>
      </c>
      <c r="B24" s="1006">
        <v>3946.8</v>
      </c>
      <c r="C24" s="1000"/>
      <c r="D24" s="1005">
        <v>36</v>
      </c>
      <c r="E24" s="1006">
        <v>10718.17</v>
      </c>
      <c r="F24" s="1000"/>
      <c r="G24" s="1005">
        <v>36</v>
      </c>
      <c r="H24" s="1006">
        <v>-7056.38</v>
      </c>
      <c r="I24" s="1000"/>
      <c r="J24" s="1005">
        <v>36</v>
      </c>
      <c r="K24" s="1006">
        <v>13325.69</v>
      </c>
      <c r="L24" s="1000"/>
      <c r="M24" s="982">
        <v>36</v>
      </c>
      <c r="N24" s="983">
        <v>15798.960000000001</v>
      </c>
      <c r="P24" s="1007">
        <v>36</v>
      </c>
      <c r="Q24" s="1008">
        <f t="shared" si="1"/>
        <v>36733.240000000005</v>
      </c>
      <c r="R24" s="1009" t="e">
        <f t="shared" si="2"/>
        <v>#REF!</v>
      </c>
      <c r="T24" s="967" t="s">
        <v>1798</v>
      </c>
      <c r="U24" s="1004">
        <f>Q33</f>
        <v>19817.580000000002</v>
      </c>
    </row>
    <row r="25" spans="1:21" x14ac:dyDescent="0.2">
      <c r="A25" s="1005" t="s">
        <v>1799</v>
      </c>
      <c r="B25" s="1006">
        <v>20614.32</v>
      </c>
      <c r="C25" s="1000"/>
      <c r="D25" s="1005" t="s">
        <v>1799</v>
      </c>
      <c r="E25" s="1006">
        <v>54005.83</v>
      </c>
      <c r="F25" s="1000"/>
      <c r="G25" s="1005" t="s">
        <v>1799</v>
      </c>
      <c r="H25" s="1006">
        <v>13334.84</v>
      </c>
      <c r="I25" s="1000"/>
      <c r="J25" s="1005" t="s">
        <v>1799</v>
      </c>
      <c r="K25" s="1006">
        <v>38028.14</v>
      </c>
      <c r="L25" s="1000"/>
      <c r="M25" s="982" t="s">
        <v>1799</v>
      </c>
      <c r="N25" s="983">
        <v>43388.649999999994</v>
      </c>
      <c r="P25" s="1007" t="s">
        <v>1799</v>
      </c>
      <c r="Q25" s="1008">
        <f t="shared" si="1"/>
        <v>169371.78</v>
      </c>
      <c r="R25" s="1009" t="e">
        <f t="shared" si="2"/>
        <v>#REF!</v>
      </c>
      <c r="T25" s="967" t="s">
        <v>1800</v>
      </c>
      <c r="U25" s="967">
        <v>0</v>
      </c>
    </row>
    <row r="26" spans="1:21" x14ac:dyDescent="0.2">
      <c r="A26" s="1005">
        <v>71</v>
      </c>
      <c r="B26" s="1006">
        <v>12170.26</v>
      </c>
      <c r="C26" s="1000"/>
      <c r="D26" s="1005" t="s">
        <v>1801</v>
      </c>
      <c r="E26" s="1006">
        <v>43052.18</v>
      </c>
      <c r="F26" s="1000"/>
      <c r="G26" s="1005" t="s">
        <v>1801</v>
      </c>
      <c r="H26" s="1006">
        <v>23</v>
      </c>
      <c r="I26" s="1000"/>
      <c r="J26" s="1005" t="s">
        <v>1802</v>
      </c>
      <c r="K26" s="1006">
        <v>11764.46</v>
      </c>
      <c r="L26" s="1000"/>
      <c r="M26" s="982">
        <v>71</v>
      </c>
      <c r="N26" s="983">
        <v>5937.22</v>
      </c>
      <c r="P26" s="1007" t="s">
        <v>1801</v>
      </c>
      <c r="Q26" s="1008">
        <f>SUM(H26,E26)</f>
        <v>43075.18</v>
      </c>
      <c r="R26" s="1009" t="e">
        <f t="shared" si="2"/>
        <v>#REF!</v>
      </c>
      <c r="T26" s="967" t="s">
        <v>144</v>
      </c>
      <c r="U26" s="967">
        <v>0</v>
      </c>
    </row>
    <row r="27" spans="1:21" x14ac:dyDescent="0.2">
      <c r="A27" s="1005">
        <v>72</v>
      </c>
      <c r="B27" s="1006">
        <v>25671.39</v>
      </c>
      <c r="C27" s="1000"/>
      <c r="D27" s="1005" t="s">
        <v>1803</v>
      </c>
      <c r="E27" s="1006">
        <v>1.51</v>
      </c>
      <c r="F27" s="1000"/>
      <c r="G27" s="1005">
        <v>71</v>
      </c>
      <c r="H27" s="1006">
        <v>30456.95</v>
      </c>
      <c r="I27" s="1000"/>
      <c r="J27" s="1005">
        <v>71</v>
      </c>
      <c r="K27" s="1006">
        <v>2949.15</v>
      </c>
      <c r="L27" s="1000"/>
      <c r="M27" s="982">
        <v>72</v>
      </c>
      <c r="N27" s="983">
        <v>8809.6699999999983</v>
      </c>
      <c r="P27" s="1007" t="s">
        <v>1802</v>
      </c>
      <c r="Q27" s="1008" t="e">
        <f>SUM(GETPIVOTDATA("Grand Total",$J$18,"Tariff","57-I"))</f>
        <v>#REF!</v>
      </c>
      <c r="R27" s="1009" t="e">
        <f t="shared" si="2"/>
        <v>#REF!</v>
      </c>
      <c r="T27" s="967" t="s">
        <v>90</v>
      </c>
      <c r="U27" s="1004">
        <f>SUM(Q29:Q32)</f>
        <v>169391.44999999998</v>
      </c>
    </row>
    <row r="28" spans="1:21" x14ac:dyDescent="0.2">
      <c r="A28" s="1005">
        <v>74</v>
      </c>
      <c r="B28" s="1006">
        <v>3398.45</v>
      </c>
      <c r="C28" s="1000"/>
      <c r="D28" s="1005">
        <v>71</v>
      </c>
      <c r="E28" s="1006">
        <v>25800.12</v>
      </c>
      <c r="F28" s="1000"/>
      <c r="G28" s="1005">
        <v>72</v>
      </c>
      <c r="H28" s="1006">
        <v>14393.54</v>
      </c>
      <c r="I28" s="1000"/>
      <c r="J28" s="1005">
        <v>72</v>
      </c>
      <c r="K28" s="1006">
        <v>7848.77</v>
      </c>
      <c r="L28" s="1000"/>
      <c r="M28" s="982">
        <v>74</v>
      </c>
      <c r="N28" s="983">
        <v>2648.4000000000005</v>
      </c>
      <c r="P28" s="1007" t="s">
        <v>1803</v>
      </c>
      <c r="Q28" s="1008" t="e">
        <f>SUM(GETPIVOTDATA("Grand Total",$D$18,"Tariff","61-C"))</f>
        <v>#REF!</v>
      </c>
      <c r="R28" s="1009" t="e">
        <f t="shared" si="2"/>
        <v>#REF!</v>
      </c>
      <c r="T28" s="967" t="s">
        <v>23</v>
      </c>
      <c r="U28" s="1004" t="e">
        <f>SUM(U20:U27)</f>
        <v>#REF!</v>
      </c>
    </row>
    <row r="29" spans="1:21" x14ac:dyDescent="0.2">
      <c r="A29" s="1005">
        <v>75</v>
      </c>
      <c r="B29" s="1006">
        <v>-139.16</v>
      </c>
      <c r="C29" s="1000"/>
      <c r="D29" s="1005">
        <v>72</v>
      </c>
      <c r="E29" s="1006">
        <v>13610.16</v>
      </c>
      <c r="F29" s="1000"/>
      <c r="G29" s="1005">
        <v>74</v>
      </c>
      <c r="H29" s="1006">
        <v>8874.84</v>
      </c>
      <c r="I29" s="1000"/>
      <c r="J29" s="1005">
        <v>74</v>
      </c>
      <c r="K29" s="1006">
        <v>1502.14</v>
      </c>
      <c r="L29" s="1000"/>
      <c r="M29" s="982">
        <v>75</v>
      </c>
      <c r="N29" s="983">
        <v>-2.52</v>
      </c>
      <c r="P29" s="1007">
        <v>71</v>
      </c>
      <c r="Q29" s="1008">
        <f>SUM(N26,K27,H27,E28,B26)</f>
        <v>77313.7</v>
      </c>
      <c r="R29" s="1009" t="e">
        <f t="shared" si="2"/>
        <v>#REF!</v>
      </c>
    </row>
    <row r="30" spans="1:21" x14ac:dyDescent="0.2">
      <c r="A30" s="982" t="s">
        <v>1804</v>
      </c>
      <c r="B30" s="983">
        <v>9882.6200000000008</v>
      </c>
      <c r="D30" s="982">
        <v>74</v>
      </c>
      <c r="E30" s="1006">
        <v>5475.23</v>
      </c>
      <c r="G30" s="982">
        <v>75</v>
      </c>
      <c r="H30" s="983">
        <v>-13.16</v>
      </c>
      <c r="J30" s="987" t="s">
        <v>143</v>
      </c>
      <c r="K30" s="988">
        <v>5745672.2399999993</v>
      </c>
      <c r="M30" s="987" t="s">
        <v>143</v>
      </c>
      <c r="N30" s="988">
        <v>5672758.0300000021</v>
      </c>
      <c r="P30" s="1007">
        <v>72</v>
      </c>
      <c r="Q30" s="1008">
        <f>SUM(N27,K28,H28,E29,B27)</f>
        <v>70333.53</v>
      </c>
      <c r="R30" s="1009" t="e">
        <f t="shared" si="2"/>
        <v>#REF!</v>
      </c>
    </row>
    <row r="31" spans="1:21" x14ac:dyDescent="0.2">
      <c r="A31" s="987" t="s">
        <v>143</v>
      </c>
      <c r="B31" s="988">
        <v>2308783.5699999998</v>
      </c>
      <c r="D31" s="982">
        <v>94</v>
      </c>
      <c r="E31" s="983">
        <v>1.9</v>
      </c>
      <c r="G31" s="982" t="s">
        <v>1804</v>
      </c>
      <c r="H31" s="983">
        <v>9934.9599999999991</v>
      </c>
      <c r="P31" s="1007">
        <v>74</v>
      </c>
      <c r="Q31" s="1008">
        <f>SUM(N28,K29,H29,E30,B28)</f>
        <v>21899.06</v>
      </c>
      <c r="R31" s="1009" t="e">
        <f t="shared" si="2"/>
        <v>#REF!</v>
      </c>
    </row>
    <row r="32" spans="1:21" x14ac:dyDescent="0.2">
      <c r="D32" s="982">
        <v>97</v>
      </c>
      <c r="E32" s="983">
        <v>1.61</v>
      </c>
      <c r="G32" s="987" t="s">
        <v>143</v>
      </c>
      <c r="H32" s="988">
        <v>3687808.38</v>
      </c>
      <c r="P32" s="1007">
        <v>75</v>
      </c>
      <c r="Q32" s="1008">
        <f>SUM(N29,H30,B29)</f>
        <v>-154.84</v>
      </c>
      <c r="R32" s="1009" t="e">
        <f t="shared" si="2"/>
        <v>#REF!</v>
      </c>
    </row>
    <row r="33" spans="1:18" x14ac:dyDescent="0.2">
      <c r="D33" s="987" t="s">
        <v>143</v>
      </c>
      <c r="E33" s="988">
        <v>3416340.54</v>
      </c>
      <c r="P33" s="1007" t="s">
        <v>1804</v>
      </c>
      <c r="Q33" s="1008">
        <f>SUM(H31,B30)</f>
        <v>19817.580000000002</v>
      </c>
      <c r="R33" s="1009" t="e">
        <f t="shared" si="2"/>
        <v>#REF!</v>
      </c>
    </row>
    <row r="34" spans="1:18" x14ac:dyDescent="0.2">
      <c r="P34" s="1007">
        <v>94</v>
      </c>
      <c r="Q34" s="1008" t="e">
        <f>SUM(GETPIVOTDATA("Grand Total",$D$18,"Tariff",94))</f>
        <v>#REF!</v>
      </c>
      <c r="R34" s="1009" t="e">
        <f t="shared" si="2"/>
        <v>#REF!</v>
      </c>
    </row>
    <row r="35" spans="1:18" x14ac:dyDescent="0.2">
      <c r="P35" s="1007">
        <v>97</v>
      </c>
      <c r="Q35" s="1011" t="e">
        <f>SUM(GETPIVOTDATA("Grand Total",$D$18,"Tariff",97))</f>
        <v>#REF!</v>
      </c>
      <c r="R35" s="1012" t="e">
        <f t="shared" si="2"/>
        <v>#REF!</v>
      </c>
    </row>
    <row r="36" spans="1:18" x14ac:dyDescent="0.2">
      <c r="P36" s="1013" t="s">
        <v>143</v>
      </c>
      <c r="Q36" s="1014" t="e">
        <f>SUM(Q20:Q35)</f>
        <v>#REF!</v>
      </c>
      <c r="R36" s="1015" t="e">
        <f>SUM(R20:R35)</f>
        <v>#REF!</v>
      </c>
    </row>
    <row r="38" spans="1:18" x14ac:dyDescent="0.2">
      <c r="P38" s="1016"/>
      <c r="Q38" s="1016"/>
    </row>
    <row r="39" spans="1:18" x14ac:dyDescent="0.2">
      <c r="A39" s="966" t="s">
        <v>739</v>
      </c>
      <c r="B39" s="970">
        <v>2006</v>
      </c>
      <c r="D39" s="966" t="s">
        <v>739</v>
      </c>
      <c r="E39" s="970">
        <v>2007</v>
      </c>
      <c r="G39" s="966" t="s">
        <v>739</v>
      </c>
      <c r="H39" s="970">
        <v>2008</v>
      </c>
      <c r="J39" s="966" t="s">
        <v>739</v>
      </c>
      <c r="K39" s="970">
        <v>2009</v>
      </c>
      <c r="M39" s="966" t="s">
        <v>739</v>
      </c>
      <c r="N39" s="970">
        <v>2010</v>
      </c>
      <c r="P39" s="1017" t="s">
        <v>739</v>
      </c>
      <c r="Q39" s="1018" t="s">
        <v>1787</v>
      </c>
    </row>
    <row r="41" spans="1:18" x14ac:dyDescent="0.2">
      <c r="A41" s="972" t="s">
        <v>1788</v>
      </c>
      <c r="B41" s="973"/>
      <c r="D41" s="972" t="s">
        <v>1788</v>
      </c>
      <c r="E41" s="973"/>
      <c r="G41" s="972" t="s">
        <v>1788</v>
      </c>
      <c r="H41" s="973"/>
      <c r="J41" s="972" t="s">
        <v>1788</v>
      </c>
      <c r="K41" s="973"/>
      <c r="M41" s="972" t="s">
        <v>1788</v>
      </c>
      <c r="N41" s="973"/>
      <c r="P41" s="972" t="s">
        <v>1788</v>
      </c>
      <c r="Q41" s="973"/>
      <c r="R41" s="973"/>
    </row>
    <row r="42" spans="1:18" x14ac:dyDescent="0.2">
      <c r="A42" s="972" t="s">
        <v>1786</v>
      </c>
      <c r="B42" s="973" t="s">
        <v>23</v>
      </c>
      <c r="D42" s="972" t="s">
        <v>1786</v>
      </c>
      <c r="E42" s="973" t="s">
        <v>23</v>
      </c>
      <c r="G42" s="972" t="s">
        <v>1786</v>
      </c>
      <c r="H42" s="973" t="s">
        <v>23</v>
      </c>
      <c r="J42" s="972" t="s">
        <v>1786</v>
      </c>
      <c r="K42" s="973" t="s">
        <v>23</v>
      </c>
      <c r="M42" s="972" t="s">
        <v>1786</v>
      </c>
      <c r="N42" s="973" t="s">
        <v>23</v>
      </c>
      <c r="P42" s="972" t="s">
        <v>1789</v>
      </c>
      <c r="Q42" s="973" t="s">
        <v>23</v>
      </c>
      <c r="R42" s="1019" t="s">
        <v>1790</v>
      </c>
    </row>
    <row r="43" spans="1:18" x14ac:dyDescent="0.2">
      <c r="A43" s="972" t="s">
        <v>1748</v>
      </c>
      <c r="B43" s="978">
        <v>5202494.78</v>
      </c>
      <c r="D43" s="972" t="s">
        <v>1748</v>
      </c>
      <c r="E43" s="978">
        <v>6948909.4200000027</v>
      </c>
      <c r="G43" s="972" t="s">
        <v>1748</v>
      </c>
      <c r="H43" s="978">
        <v>8225697.549999997</v>
      </c>
      <c r="J43" s="972" t="s">
        <v>1748</v>
      </c>
      <c r="K43" s="978">
        <v>10784666.430000003</v>
      </c>
      <c r="M43" s="972" t="s">
        <v>1748</v>
      </c>
      <c r="N43" s="978">
        <v>11337242.560000008</v>
      </c>
      <c r="P43" s="972" t="s">
        <v>1748</v>
      </c>
      <c r="Q43" s="978">
        <f>SUM(N43,K43,H43,E43,B43)</f>
        <v>42499010.74000001</v>
      </c>
      <c r="R43" s="1020">
        <f>+Q43/$Q$46</f>
        <v>0.67746302646399803</v>
      </c>
    </row>
    <row r="44" spans="1:18" x14ac:dyDescent="0.2">
      <c r="A44" s="1021" t="s">
        <v>1746</v>
      </c>
      <c r="B44" s="983">
        <v>2308783.5699999998</v>
      </c>
      <c r="D44" s="1021" t="s">
        <v>1746</v>
      </c>
      <c r="E44" s="983">
        <v>3416340.54</v>
      </c>
      <c r="G44" s="1021" t="s">
        <v>1746</v>
      </c>
      <c r="H44" s="983">
        <v>3687808.38</v>
      </c>
      <c r="J44" s="1021" t="s">
        <v>1746</v>
      </c>
      <c r="K44" s="983">
        <v>5745672.2400000002</v>
      </c>
      <c r="M44" s="1021" t="s">
        <v>1746</v>
      </c>
      <c r="N44" s="983">
        <v>5672758.0300000049</v>
      </c>
      <c r="P44" s="1021" t="s">
        <v>1746</v>
      </c>
      <c r="Q44" s="983">
        <f>SUM(N44,K44,H44,E44,B44)</f>
        <v>20831362.760000005</v>
      </c>
      <c r="R44" s="1022">
        <f>+Q44/$Q$46</f>
        <v>0.33206603671544721</v>
      </c>
    </row>
    <row r="45" spans="1:18" x14ac:dyDescent="0.2">
      <c r="A45" s="1021" t="s">
        <v>1338</v>
      </c>
      <c r="B45" s="983">
        <v>-148768.93</v>
      </c>
      <c r="D45" s="1021" t="s">
        <v>1338</v>
      </c>
      <c r="E45" s="983">
        <v>-50866.03</v>
      </c>
      <c r="G45" s="1021" t="s">
        <v>1338</v>
      </c>
      <c r="H45" s="983">
        <v>-126027.5</v>
      </c>
      <c r="J45" s="1021" t="s">
        <v>1338</v>
      </c>
      <c r="K45" s="983">
        <v>-124689.58</v>
      </c>
      <c r="M45" s="1021" t="s">
        <v>1338</v>
      </c>
      <c r="N45" s="983">
        <v>-147430.78</v>
      </c>
      <c r="P45" s="1021" t="s">
        <v>1338</v>
      </c>
      <c r="Q45" s="983">
        <f>SUM(N45,K45,H45,E45,B45)</f>
        <v>-597782.82000000007</v>
      </c>
      <c r="R45" s="1022">
        <f>+Q45/$Q$46</f>
        <v>-9.5290631794452772E-3</v>
      </c>
    </row>
    <row r="46" spans="1:18" x14ac:dyDescent="0.2">
      <c r="A46" s="987" t="s">
        <v>143</v>
      </c>
      <c r="B46" s="988">
        <v>7362509.4199999981</v>
      </c>
      <c r="D46" s="987" t="s">
        <v>143</v>
      </c>
      <c r="E46" s="988">
        <v>10314383.930000002</v>
      </c>
      <c r="G46" s="987" t="s">
        <v>143</v>
      </c>
      <c r="H46" s="988">
        <v>11787478.429999994</v>
      </c>
      <c r="J46" s="987" t="s">
        <v>143</v>
      </c>
      <c r="K46" s="988">
        <v>16405649.090000004</v>
      </c>
      <c r="M46" s="987" t="s">
        <v>143</v>
      </c>
      <c r="N46" s="988">
        <v>16862569.81000001</v>
      </c>
      <c r="P46" s="987" t="s">
        <v>143</v>
      </c>
      <c r="Q46" s="988">
        <f>SUM(Q43:Q45)</f>
        <v>62732590.680000015</v>
      </c>
      <c r="R46" s="1023">
        <f>SUM(R43:R45)</f>
        <v>1</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275"/>
  <sheetViews>
    <sheetView workbookViewId="0">
      <selection activeCell="C35" sqref="C35"/>
    </sheetView>
  </sheetViews>
  <sheetFormatPr defaultColWidth="16.5703125" defaultRowHeight="12.75" x14ac:dyDescent="0.2"/>
  <cols>
    <col min="1" max="1" width="27.7109375" style="32" customWidth="1"/>
    <col min="2" max="2" width="8.5703125" style="32" customWidth="1"/>
    <col min="3" max="3" width="33" style="32" customWidth="1"/>
    <col min="4" max="4" width="9.28515625" style="32" bestFit="1" customWidth="1"/>
    <col min="5" max="5" width="6.5703125" style="32" customWidth="1"/>
    <col min="6" max="6" width="11" style="32" bestFit="1" customWidth="1"/>
    <col min="7" max="7" width="15.28515625" style="32" bestFit="1" customWidth="1"/>
    <col min="8" max="8" width="9.140625" style="278" bestFit="1" customWidth="1"/>
    <col min="9" max="9" width="8.5703125" style="32" customWidth="1"/>
    <col min="10" max="10" width="10.28515625" style="279" bestFit="1" customWidth="1"/>
    <col min="11" max="11" width="13.85546875" style="280" customWidth="1"/>
    <col min="12" max="12" width="16" style="280" customWidth="1"/>
    <col min="13" max="13" width="14" style="280" customWidth="1"/>
    <col min="14" max="14" width="16.5703125" style="32" customWidth="1"/>
    <col min="15" max="15" width="8.5703125" style="294" bestFit="1" customWidth="1"/>
    <col min="16" max="16" width="15.42578125" style="280" customWidth="1"/>
    <col min="17" max="256" width="16.5703125" style="32"/>
    <col min="257" max="257" width="27.7109375" style="32" customWidth="1"/>
    <col min="258" max="258" width="8.5703125" style="32" customWidth="1"/>
    <col min="259" max="259" width="33" style="32" customWidth="1"/>
    <col min="260" max="260" width="9.28515625" style="32" bestFit="1" customWidth="1"/>
    <col min="261" max="261" width="6.5703125" style="32" customWidth="1"/>
    <col min="262" max="262" width="11" style="32" bestFit="1" customWidth="1"/>
    <col min="263" max="263" width="15.28515625" style="32" bestFit="1" customWidth="1"/>
    <col min="264" max="264" width="9.140625" style="32" bestFit="1" customWidth="1"/>
    <col min="265" max="265" width="8.5703125" style="32" customWidth="1"/>
    <col min="266" max="266" width="10.28515625" style="32" bestFit="1" customWidth="1"/>
    <col min="267" max="267" width="13.85546875" style="32" customWidth="1"/>
    <col min="268" max="268" width="16" style="32" customWidth="1"/>
    <col min="269" max="269" width="14" style="32" customWidth="1"/>
    <col min="270" max="270" width="16.5703125" style="32" customWidth="1"/>
    <col min="271" max="271" width="8.5703125" style="32" bestFit="1" customWidth="1"/>
    <col min="272" max="272" width="15.42578125" style="32" customWidth="1"/>
    <col min="273" max="512" width="16.5703125" style="32"/>
    <col min="513" max="513" width="27.7109375" style="32" customWidth="1"/>
    <col min="514" max="514" width="8.5703125" style="32" customWidth="1"/>
    <col min="515" max="515" width="33" style="32" customWidth="1"/>
    <col min="516" max="516" width="9.28515625" style="32" bestFit="1" customWidth="1"/>
    <col min="517" max="517" width="6.5703125" style="32" customWidth="1"/>
    <col min="518" max="518" width="11" style="32" bestFit="1" customWidth="1"/>
    <col min="519" max="519" width="15.28515625" style="32" bestFit="1" customWidth="1"/>
    <col min="520" max="520" width="9.140625" style="32" bestFit="1" customWidth="1"/>
    <col min="521" max="521" width="8.5703125" style="32" customWidth="1"/>
    <col min="522" max="522" width="10.28515625" style="32" bestFit="1" customWidth="1"/>
    <col min="523" max="523" width="13.85546875" style="32" customWidth="1"/>
    <col min="524" max="524" width="16" style="32" customWidth="1"/>
    <col min="525" max="525" width="14" style="32" customWidth="1"/>
    <col min="526" max="526" width="16.5703125" style="32" customWidth="1"/>
    <col min="527" max="527" width="8.5703125" style="32" bestFit="1" customWidth="1"/>
    <col min="528" max="528" width="15.42578125" style="32" customWidth="1"/>
    <col min="529" max="768" width="16.5703125" style="32"/>
    <col min="769" max="769" width="27.7109375" style="32" customWidth="1"/>
    <col min="770" max="770" width="8.5703125" style="32" customWidth="1"/>
    <col min="771" max="771" width="33" style="32" customWidth="1"/>
    <col min="772" max="772" width="9.28515625" style="32" bestFit="1" customWidth="1"/>
    <col min="773" max="773" width="6.5703125" style="32" customWidth="1"/>
    <col min="774" max="774" width="11" style="32" bestFit="1" customWidth="1"/>
    <col min="775" max="775" width="15.28515625" style="32" bestFit="1" customWidth="1"/>
    <col min="776" max="776" width="9.140625" style="32" bestFit="1" customWidth="1"/>
    <col min="777" max="777" width="8.5703125" style="32" customWidth="1"/>
    <col min="778" max="778" width="10.28515625" style="32" bestFit="1" customWidth="1"/>
    <col min="779" max="779" width="13.85546875" style="32" customWidth="1"/>
    <col min="780" max="780" width="16" style="32" customWidth="1"/>
    <col min="781" max="781" width="14" style="32" customWidth="1"/>
    <col min="782" max="782" width="16.5703125" style="32" customWidth="1"/>
    <col min="783" max="783" width="8.5703125" style="32" bestFit="1" customWidth="1"/>
    <col min="784" max="784" width="15.42578125" style="32" customWidth="1"/>
    <col min="785" max="1024" width="16.5703125" style="32"/>
    <col min="1025" max="1025" width="27.7109375" style="32" customWidth="1"/>
    <col min="1026" max="1026" width="8.5703125" style="32" customWidth="1"/>
    <col min="1027" max="1027" width="33" style="32" customWidth="1"/>
    <col min="1028" max="1028" width="9.28515625" style="32" bestFit="1" customWidth="1"/>
    <col min="1029" max="1029" width="6.5703125" style="32" customWidth="1"/>
    <col min="1030" max="1030" width="11" style="32" bestFit="1" customWidth="1"/>
    <col min="1031" max="1031" width="15.28515625" style="32" bestFit="1" customWidth="1"/>
    <col min="1032" max="1032" width="9.140625" style="32" bestFit="1" customWidth="1"/>
    <col min="1033" max="1033" width="8.5703125" style="32" customWidth="1"/>
    <col min="1034" max="1034" width="10.28515625" style="32" bestFit="1" customWidth="1"/>
    <col min="1035" max="1035" width="13.85546875" style="32" customWidth="1"/>
    <col min="1036" max="1036" width="16" style="32" customWidth="1"/>
    <col min="1037" max="1037" width="14" style="32" customWidth="1"/>
    <col min="1038" max="1038" width="16.5703125" style="32" customWidth="1"/>
    <col min="1039" max="1039" width="8.5703125" style="32" bestFit="1" customWidth="1"/>
    <col min="1040" max="1040" width="15.42578125" style="32" customWidth="1"/>
    <col min="1041" max="1280" width="16.5703125" style="32"/>
    <col min="1281" max="1281" width="27.7109375" style="32" customWidth="1"/>
    <col min="1282" max="1282" width="8.5703125" style="32" customWidth="1"/>
    <col min="1283" max="1283" width="33" style="32" customWidth="1"/>
    <col min="1284" max="1284" width="9.28515625" style="32" bestFit="1" customWidth="1"/>
    <col min="1285" max="1285" width="6.5703125" style="32" customWidth="1"/>
    <col min="1286" max="1286" width="11" style="32" bestFit="1" customWidth="1"/>
    <col min="1287" max="1287" width="15.28515625" style="32" bestFit="1" customWidth="1"/>
    <col min="1288" max="1288" width="9.140625" style="32" bestFit="1" customWidth="1"/>
    <col min="1289" max="1289" width="8.5703125" style="32" customWidth="1"/>
    <col min="1290" max="1290" width="10.28515625" style="32" bestFit="1" customWidth="1"/>
    <col min="1291" max="1291" width="13.85546875" style="32" customWidth="1"/>
    <col min="1292" max="1292" width="16" style="32" customWidth="1"/>
    <col min="1293" max="1293" width="14" style="32" customWidth="1"/>
    <col min="1294" max="1294" width="16.5703125" style="32" customWidth="1"/>
    <col min="1295" max="1295" width="8.5703125" style="32" bestFit="1" customWidth="1"/>
    <col min="1296" max="1296" width="15.42578125" style="32" customWidth="1"/>
    <col min="1297" max="1536" width="16.5703125" style="32"/>
    <col min="1537" max="1537" width="27.7109375" style="32" customWidth="1"/>
    <col min="1538" max="1538" width="8.5703125" style="32" customWidth="1"/>
    <col min="1539" max="1539" width="33" style="32" customWidth="1"/>
    <col min="1540" max="1540" width="9.28515625" style="32" bestFit="1" customWidth="1"/>
    <col min="1541" max="1541" width="6.5703125" style="32" customWidth="1"/>
    <col min="1542" max="1542" width="11" style="32" bestFit="1" customWidth="1"/>
    <col min="1543" max="1543" width="15.28515625" style="32" bestFit="1" customWidth="1"/>
    <col min="1544" max="1544" width="9.140625" style="32" bestFit="1" customWidth="1"/>
    <col min="1545" max="1545" width="8.5703125" style="32" customWidth="1"/>
    <col min="1546" max="1546" width="10.28515625" style="32" bestFit="1" customWidth="1"/>
    <col min="1547" max="1547" width="13.85546875" style="32" customWidth="1"/>
    <col min="1548" max="1548" width="16" style="32" customWidth="1"/>
    <col min="1549" max="1549" width="14" style="32" customWidth="1"/>
    <col min="1550" max="1550" width="16.5703125" style="32" customWidth="1"/>
    <col min="1551" max="1551" width="8.5703125" style="32" bestFit="1" customWidth="1"/>
    <col min="1552" max="1552" width="15.42578125" style="32" customWidth="1"/>
    <col min="1553" max="1792" width="16.5703125" style="32"/>
    <col min="1793" max="1793" width="27.7109375" style="32" customWidth="1"/>
    <col min="1794" max="1794" width="8.5703125" style="32" customWidth="1"/>
    <col min="1795" max="1795" width="33" style="32" customWidth="1"/>
    <col min="1796" max="1796" width="9.28515625" style="32" bestFit="1" customWidth="1"/>
    <col min="1797" max="1797" width="6.5703125" style="32" customWidth="1"/>
    <col min="1798" max="1798" width="11" style="32" bestFit="1" customWidth="1"/>
    <col min="1799" max="1799" width="15.28515625" style="32" bestFit="1" customWidth="1"/>
    <col min="1800" max="1800" width="9.140625" style="32" bestFit="1" customWidth="1"/>
    <col min="1801" max="1801" width="8.5703125" style="32" customWidth="1"/>
    <col min="1802" max="1802" width="10.28515625" style="32" bestFit="1" customWidth="1"/>
    <col min="1803" max="1803" width="13.85546875" style="32" customWidth="1"/>
    <col min="1804" max="1804" width="16" style="32" customWidth="1"/>
    <col min="1805" max="1805" width="14" style="32" customWidth="1"/>
    <col min="1806" max="1806" width="16.5703125" style="32" customWidth="1"/>
    <col min="1807" max="1807" width="8.5703125" style="32" bestFit="1" customWidth="1"/>
    <col min="1808" max="1808" width="15.42578125" style="32" customWidth="1"/>
    <col min="1809" max="2048" width="16.5703125" style="32"/>
    <col min="2049" max="2049" width="27.7109375" style="32" customWidth="1"/>
    <col min="2050" max="2050" width="8.5703125" style="32" customWidth="1"/>
    <col min="2051" max="2051" width="33" style="32" customWidth="1"/>
    <col min="2052" max="2052" width="9.28515625" style="32" bestFit="1" customWidth="1"/>
    <col min="2053" max="2053" width="6.5703125" style="32" customWidth="1"/>
    <col min="2054" max="2054" width="11" style="32" bestFit="1" customWidth="1"/>
    <col min="2055" max="2055" width="15.28515625" style="32" bestFit="1" customWidth="1"/>
    <col min="2056" max="2056" width="9.140625" style="32" bestFit="1" customWidth="1"/>
    <col min="2057" max="2057" width="8.5703125" style="32" customWidth="1"/>
    <col min="2058" max="2058" width="10.28515625" style="32" bestFit="1" customWidth="1"/>
    <col min="2059" max="2059" width="13.85546875" style="32" customWidth="1"/>
    <col min="2060" max="2060" width="16" style="32" customWidth="1"/>
    <col min="2061" max="2061" width="14" style="32" customWidth="1"/>
    <col min="2062" max="2062" width="16.5703125" style="32" customWidth="1"/>
    <col min="2063" max="2063" width="8.5703125" style="32" bestFit="1" customWidth="1"/>
    <col min="2064" max="2064" width="15.42578125" style="32" customWidth="1"/>
    <col min="2065" max="2304" width="16.5703125" style="32"/>
    <col min="2305" max="2305" width="27.7109375" style="32" customWidth="1"/>
    <col min="2306" max="2306" width="8.5703125" style="32" customWidth="1"/>
    <col min="2307" max="2307" width="33" style="32" customWidth="1"/>
    <col min="2308" max="2308" width="9.28515625" style="32" bestFit="1" customWidth="1"/>
    <col min="2309" max="2309" width="6.5703125" style="32" customWidth="1"/>
    <col min="2310" max="2310" width="11" style="32" bestFit="1" customWidth="1"/>
    <col min="2311" max="2311" width="15.28515625" style="32" bestFit="1" customWidth="1"/>
    <col min="2312" max="2312" width="9.140625" style="32" bestFit="1" customWidth="1"/>
    <col min="2313" max="2313" width="8.5703125" style="32" customWidth="1"/>
    <col min="2314" max="2314" width="10.28515625" style="32" bestFit="1" customWidth="1"/>
    <col min="2315" max="2315" width="13.85546875" style="32" customWidth="1"/>
    <col min="2316" max="2316" width="16" style="32" customWidth="1"/>
    <col min="2317" max="2317" width="14" style="32" customWidth="1"/>
    <col min="2318" max="2318" width="16.5703125" style="32" customWidth="1"/>
    <col min="2319" max="2319" width="8.5703125" style="32" bestFit="1" customWidth="1"/>
    <col min="2320" max="2320" width="15.42578125" style="32" customWidth="1"/>
    <col min="2321" max="2560" width="16.5703125" style="32"/>
    <col min="2561" max="2561" width="27.7109375" style="32" customWidth="1"/>
    <col min="2562" max="2562" width="8.5703125" style="32" customWidth="1"/>
    <col min="2563" max="2563" width="33" style="32" customWidth="1"/>
    <col min="2564" max="2564" width="9.28515625" style="32" bestFit="1" customWidth="1"/>
    <col min="2565" max="2565" width="6.5703125" style="32" customWidth="1"/>
    <col min="2566" max="2566" width="11" style="32" bestFit="1" customWidth="1"/>
    <col min="2567" max="2567" width="15.28515625" style="32" bestFit="1" customWidth="1"/>
    <col min="2568" max="2568" width="9.140625" style="32" bestFit="1" customWidth="1"/>
    <col min="2569" max="2569" width="8.5703125" style="32" customWidth="1"/>
    <col min="2570" max="2570" width="10.28515625" style="32" bestFit="1" customWidth="1"/>
    <col min="2571" max="2571" width="13.85546875" style="32" customWidth="1"/>
    <col min="2572" max="2572" width="16" style="32" customWidth="1"/>
    <col min="2573" max="2573" width="14" style="32" customWidth="1"/>
    <col min="2574" max="2574" width="16.5703125" style="32" customWidth="1"/>
    <col min="2575" max="2575" width="8.5703125" style="32" bestFit="1" customWidth="1"/>
    <col min="2576" max="2576" width="15.42578125" style="32" customWidth="1"/>
    <col min="2577" max="2816" width="16.5703125" style="32"/>
    <col min="2817" max="2817" width="27.7109375" style="32" customWidth="1"/>
    <col min="2818" max="2818" width="8.5703125" style="32" customWidth="1"/>
    <col min="2819" max="2819" width="33" style="32" customWidth="1"/>
    <col min="2820" max="2820" width="9.28515625" style="32" bestFit="1" customWidth="1"/>
    <col min="2821" max="2821" width="6.5703125" style="32" customWidth="1"/>
    <col min="2822" max="2822" width="11" style="32" bestFit="1" customWidth="1"/>
    <col min="2823" max="2823" width="15.28515625" style="32" bestFit="1" customWidth="1"/>
    <col min="2824" max="2824" width="9.140625" style="32" bestFit="1" customWidth="1"/>
    <col min="2825" max="2825" width="8.5703125" style="32" customWidth="1"/>
    <col min="2826" max="2826" width="10.28515625" style="32" bestFit="1" customWidth="1"/>
    <col min="2827" max="2827" width="13.85546875" style="32" customWidth="1"/>
    <col min="2828" max="2828" width="16" style="32" customWidth="1"/>
    <col min="2829" max="2829" width="14" style="32" customWidth="1"/>
    <col min="2830" max="2830" width="16.5703125" style="32" customWidth="1"/>
    <col min="2831" max="2831" width="8.5703125" style="32" bestFit="1" customWidth="1"/>
    <col min="2832" max="2832" width="15.42578125" style="32" customWidth="1"/>
    <col min="2833" max="3072" width="16.5703125" style="32"/>
    <col min="3073" max="3073" width="27.7109375" style="32" customWidth="1"/>
    <col min="3074" max="3074" width="8.5703125" style="32" customWidth="1"/>
    <col min="3075" max="3075" width="33" style="32" customWidth="1"/>
    <col min="3076" max="3076" width="9.28515625" style="32" bestFit="1" customWidth="1"/>
    <col min="3077" max="3077" width="6.5703125" style="32" customWidth="1"/>
    <col min="3078" max="3078" width="11" style="32" bestFit="1" customWidth="1"/>
    <col min="3079" max="3079" width="15.28515625" style="32" bestFit="1" customWidth="1"/>
    <col min="3080" max="3080" width="9.140625" style="32" bestFit="1" customWidth="1"/>
    <col min="3081" max="3081" width="8.5703125" style="32" customWidth="1"/>
    <col min="3082" max="3082" width="10.28515625" style="32" bestFit="1" customWidth="1"/>
    <col min="3083" max="3083" width="13.85546875" style="32" customWidth="1"/>
    <col min="3084" max="3084" width="16" style="32" customWidth="1"/>
    <col min="3085" max="3085" width="14" style="32" customWidth="1"/>
    <col min="3086" max="3086" width="16.5703125" style="32" customWidth="1"/>
    <col min="3087" max="3087" width="8.5703125" style="32" bestFit="1" customWidth="1"/>
    <col min="3088" max="3088" width="15.42578125" style="32" customWidth="1"/>
    <col min="3089" max="3328" width="16.5703125" style="32"/>
    <col min="3329" max="3329" width="27.7109375" style="32" customWidth="1"/>
    <col min="3330" max="3330" width="8.5703125" style="32" customWidth="1"/>
    <col min="3331" max="3331" width="33" style="32" customWidth="1"/>
    <col min="3332" max="3332" width="9.28515625" style="32" bestFit="1" customWidth="1"/>
    <col min="3333" max="3333" width="6.5703125" style="32" customWidth="1"/>
    <col min="3334" max="3334" width="11" style="32" bestFit="1" customWidth="1"/>
    <col min="3335" max="3335" width="15.28515625" style="32" bestFit="1" customWidth="1"/>
    <col min="3336" max="3336" width="9.140625" style="32" bestFit="1" customWidth="1"/>
    <col min="3337" max="3337" width="8.5703125" style="32" customWidth="1"/>
    <col min="3338" max="3338" width="10.28515625" style="32" bestFit="1" customWidth="1"/>
    <col min="3339" max="3339" width="13.85546875" style="32" customWidth="1"/>
    <col min="3340" max="3340" width="16" style="32" customWidth="1"/>
    <col min="3341" max="3341" width="14" style="32" customWidth="1"/>
    <col min="3342" max="3342" width="16.5703125" style="32" customWidth="1"/>
    <col min="3343" max="3343" width="8.5703125" style="32" bestFit="1" customWidth="1"/>
    <col min="3344" max="3344" width="15.42578125" style="32" customWidth="1"/>
    <col min="3345" max="3584" width="16.5703125" style="32"/>
    <col min="3585" max="3585" width="27.7109375" style="32" customWidth="1"/>
    <col min="3586" max="3586" width="8.5703125" style="32" customWidth="1"/>
    <col min="3587" max="3587" width="33" style="32" customWidth="1"/>
    <col min="3588" max="3588" width="9.28515625" style="32" bestFit="1" customWidth="1"/>
    <col min="3589" max="3589" width="6.5703125" style="32" customWidth="1"/>
    <col min="3590" max="3590" width="11" style="32" bestFit="1" customWidth="1"/>
    <col min="3591" max="3591" width="15.28515625" style="32" bestFit="1" customWidth="1"/>
    <col min="3592" max="3592" width="9.140625" style="32" bestFit="1" customWidth="1"/>
    <col min="3593" max="3593" width="8.5703125" style="32" customWidth="1"/>
    <col min="3594" max="3594" width="10.28515625" style="32" bestFit="1" customWidth="1"/>
    <col min="3595" max="3595" width="13.85546875" style="32" customWidth="1"/>
    <col min="3596" max="3596" width="16" style="32" customWidth="1"/>
    <col min="3597" max="3597" width="14" style="32" customWidth="1"/>
    <col min="3598" max="3598" width="16.5703125" style="32" customWidth="1"/>
    <col min="3599" max="3599" width="8.5703125" style="32" bestFit="1" customWidth="1"/>
    <col min="3600" max="3600" width="15.42578125" style="32" customWidth="1"/>
    <col min="3601" max="3840" width="16.5703125" style="32"/>
    <col min="3841" max="3841" width="27.7109375" style="32" customWidth="1"/>
    <col min="3842" max="3842" width="8.5703125" style="32" customWidth="1"/>
    <col min="3843" max="3843" width="33" style="32" customWidth="1"/>
    <col min="3844" max="3844" width="9.28515625" style="32" bestFit="1" customWidth="1"/>
    <col min="3845" max="3845" width="6.5703125" style="32" customWidth="1"/>
    <col min="3846" max="3846" width="11" style="32" bestFit="1" customWidth="1"/>
    <col min="3847" max="3847" width="15.28515625" style="32" bestFit="1" customWidth="1"/>
    <col min="3848" max="3848" width="9.140625" style="32" bestFit="1" customWidth="1"/>
    <col min="3849" max="3849" width="8.5703125" style="32" customWidth="1"/>
    <col min="3850" max="3850" width="10.28515625" style="32" bestFit="1" customWidth="1"/>
    <col min="3851" max="3851" width="13.85546875" style="32" customWidth="1"/>
    <col min="3852" max="3852" width="16" style="32" customWidth="1"/>
    <col min="3853" max="3853" width="14" style="32" customWidth="1"/>
    <col min="3854" max="3854" width="16.5703125" style="32" customWidth="1"/>
    <col min="3855" max="3855" width="8.5703125" style="32" bestFit="1" customWidth="1"/>
    <col min="3856" max="3856" width="15.42578125" style="32" customWidth="1"/>
    <col min="3857" max="4096" width="16.5703125" style="32"/>
    <col min="4097" max="4097" width="27.7109375" style="32" customWidth="1"/>
    <col min="4098" max="4098" width="8.5703125" style="32" customWidth="1"/>
    <col min="4099" max="4099" width="33" style="32" customWidth="1"/>
    <col min="4100" max="4100" width="9.28515625" style="32" bestFit="1" customWidth="1"/>
    <col min="4101" max="4101" width="6.5703125" style="32" customWidth="1"/>
    <col min="4102" max="4102" width="11" style="32" bestFit="1" customWidth="1"/>
    <col min="4103" max="4103" width="15.28515625" style="32" bestFit="1" customWidth="1"/>
    <col min="4104" max="4104" width="9.140625" style="32" bestFit="1" customWidth="1"/>
    <col min="4105" max="4105" width="8.5703125" style="32" customWidth="1"/>
    <col min="4106" max="4106" width="10.28515625" style="32" bestFit="1" customWidth="1"/>
    <col min="4107" max="4107" width="13.85546875" style="32" customWidth="1"/>
    <col min="4108" max="4108" width="16" style="32" customWidth="1"/>
    <col min="4109" max="4109" width="14" style="32" customWidth="1"/>
    <col min="4110" max="4110" width="16.5703125" style="32" customWidth="1"/>
    <col min="4111" max="4111" width="8.5703125" style="32" bestFit="1" customWidth="1"/>
    <col min="4112" max="4112" width="15.42578125" style="32" customWidth="1"/>
    <col min="4113" max="4352" width="16.5703125" style="32"/>
    <col min="4353" max="4353" width="27.7109375" style="32" customWidth="1"/>
    <col min="4354" max="4354" width="8.5703125" style="32" customWidth="1"/>
    <col min="4355" max="4355" width="33" style="32" customWidth="1"/>
    <col min="4356" max="4356" width="9.28515625" style="32" bestFit="1" customWidth="1"/>
    <col min="4357" max="4357" width="6.5703125" style="32" customWidth="1"/>
    <col min="4358" max="4358" width="11" style="32" bestFit="1" customWidth="1"/>
    <col min="4359" max="4359" width="15.28515625" style="32" bestFit="1" customWidth="1"/>
    <col min="4360" max="4360" width="9.140625" style="32" bestFit="1" customWidth="1"/>
    <col min="4361" max="4361" width="8.5703125" style="32" customWidth="1"/>
    <col min="4362" max="4362" width="10.28515625" style="32" bestFit="1" customWidth="1"/>
    <col min="4363" max="4363" width="13.85546875" style="32" customWidth="1"/>
    <col min="4364" max="4364" width="16" style="32" customWidth="1"/>
    <col min="4365" max="4365" width="14" style="32" customWidth="1"/>
    <col min="4366" max="4366" width="16.5703125" style="32" customWidth="1"/>
    <col min="4367" max="4367" width="8.5703125" style="32" bestFit="1" customWidth="1"/>
    <col min="4368" max="4368" width="15.42578125" style="32" customWidth="1"/>
    <col min="4369" max="4608" width="16.5703125" style="32"/>
    <col min="4609" max="4609" width="27.7109375" style="32" customWidth="1"/>
    <col min="4610" max="4610" width="8.5703125" style="32" customWidth="1"/>
    <col min="4611" max="4611" width="33" style="32" customWidth="1"/>
    <col min="4612" max="4612" width="9.28515625" style="32" bestFit="1" customWidth="1"/>
    <col min="4613" max="4613" width="6.5703125" style="32" customWidth="1"/>
    <col min="4614" max="4614" width="11" style="32" bestFit="1" customWidth="1"/>
    <col min="4615" max="4615" width="15.28515625" style="32" bestFit="1" customWidth="1"/>
    <col min="4616" max="4616" width="9.140625" style="32" bestFit="1" customWidth="1"/>
    <col min="4617" max="4617" width="8.5703125" style="32" customWidth="1"/>
    <col min="4618" max="4618" width="10.28515625" style="32" bestFit="1" customWidth="1"/>
    <col min="4619" max="4619" width="13.85546875" style="32" customWidth="1"/>
    <col min="4620" max="4620" width="16" style="32" customWidth="1"/>
    <col min="4621" max="4621" width="14" style="32" customWidth="1"/>
    <col min="4622" max="4622" width="16.5703125" style="32" customWidth="1"/>
    <col min="4623" max="4623" width="8.5703125" style="32" bestFit="1" customWidth="1"/>
    <col min="4624" max="4624" width="15.42578125" style="32" customWidth="1"/>
    <col min="4625" max="4864" width="16.5703125" style="32"/>
    <col min="4865" max="4865" width="27.7109375" style="32" customWidth="1"/>
    <col min="4866" max="4866" width="8.5703125" style="32" customWidth="1"/>
    <col min="4867" max="4867" width="33" style="32" customWidth="1"/>
    <col min="4868" max="4868" width="9.28515625" style="32" bestFit="1" customWidth="1"/>
    <col min="4869" max="4869" width="6.5703125" style="32" customWidth="1"/>
    <col min="4870" max="4870" width="11" style="32" bestFit="1" customWidth="1"/>
    <col min="4871" max="4871" width="15.28515625" style="32" bestFit="1" customWidth="1"/>
    <col min="4872" max="4872" width="9.140625" style="32" bestFit="1" customWidth="1"/>
    <col min="4873" max="4873" width="8.5703125" style="32" customWidth="1"/>
    <col min="4874" max="4874" width="10.28515625" style="32" bestFit="1" customWidth="1"/>
    <col min="4875" max="4875" width="13.85546875" style="32" customWidth="1"/>
    <col min="4876" max="4876" width="16" style="32" customWidth="1"/>
    <col min="4877" max="4877" width="14" style="32" customWidth="1"/>
    <col min="4878" max="4878" width="16.5703125" style="32" customWidth="1"/>
    <col min="4879" max="4879" width="8.5703125" style="32" bestFit="1" customWidth="1"/>
    <col min="4880" max="4880" width="15.42578125" style="32" customWidth="1"/>
    <col min="4881" max="5120" width="16.5703125" style="32"/>
    <col min="5121" max="5121" width="27.7109375" style="32" customWidth="1"/>
    <col min="5122" max="5122" width="8.5703125" style="32" customWidth="1"/>
    <col min="5123" max="5123" width="33" style="32" customWidth="1"/>
    <col min="5124" max="5124" width="9.28515625" style="32" bestFit="1" customWidth="1"/>
    <col min="5125" max="5125" width="6.5703125" style="32" customWidth="1"/>
    <col min="5126" max="5126" width="11" style="32" bestFit="1" customWidth="1"/>
    <col min="5127" max="5127" width="15.28515625" style="32" bestFit="1" customWidth="1"/>
    <col min="5128" max="5128" width="9.140625" style="32" bestFit="1" customWidth="1"/>
    <col min="5129" max="5129" width="8.5703125" style="32" customWidth="1"/>
    <col min="5130" max="5130" width="10.28515625" style="32" bestFit="1" customWidth="1"/>
    <col min="5131" max="5131" width="13.85546875" style="32" customWidth="1"/>
    <col min="5132" max="5132" width="16" style="32" customWidth="1"/>
    <col min="5133" max="5133" width="14" style="32" customWidth="1"/>
    <col min="5134" max="5134" width="16.5703125" style="32" customWidth="1"/>
    <col min="5135" max="5135" width="8.5703125" style="32" bestFit="1" customWidth="1"/>
    <col min="5136" max="5136" width="15.42578125" style="32" customWidth="1"/>
    <col min="5137" max="5376" width="16.5703125" style="32"/>
    <col min="5377" max="5377" width="27.7109375" style="32" customWidth="1"/>
    <col min="5378" max="5378" width="8.5703125" style="32" customWidth="1"/>
    <col min="5379" max="5379" width="33" style="32" customWidth="1"/>
    <col min="5380" max="5380" width="9.28515625" style="32" bestFit="1" customWidth="1"/>
    <col min="5381" max="5381" width="6.5703125" style="32" customWidth="1"/>
    <col min="5382" max="5382" width="11" style="32" bestFit="1" customWidth="1"/>
    <col min="5383" max="5383" width="15.28515625" style="32" bestFit="1" customWidth="1"/>
    <col min="5384" max="5384" width="9.140625" style="32" bestFit="1" customWidth="1"/>
    <col min="5385" max="5385" width="8.5703125" style="32" customWidth="1"/>
    <col min="5386" max="5386" width="10.28515625" style="32" bestFit="1" customWidth="1"/>
    <col min="5387" max="5387" width="13.85546875" style="32" customWidth="1"/>
    <col min="5388" max="5388" width="16" style="32" customWidth="1"/>
    <col min="5389" max="5389" width="14" style="32" customWidth="1"/>
    <col min="5390" max="5390" width="16.5703125" style="32" customWidth="1"/>
    <col min="5391" max="5391" width="8.5703125" style="32" bestFit="1" customWidth="1"/>
    <col min="5392" max="5392" width="15.42578125" style="32" customWidth="1"/>
    <col min="5393" max="5632" width="16.5703125" style="32"/>
    <col min="5633" max="5633" width="27.7109375" style="32" customWidth="1"/>
    <col min="5634" max="5634" width="8.5703125" style="32" customWidth="1"/>
    <col min="5635" max="5635" width="33" style="32" customWidth="1"/>
    <col min="5636" max="5636" width="9.28515625" style="32" bestFit="1" customWidth="1"/>
    <col min="5637" max="5637" width="6.5703125" style="32" customWidth="1"/>
    <col min="5638" max="5638" width="11" style="32" bestFit="1" customWidth="1"/>
    <col min="5639" max="5639" width="15.28515625" style="32" bestFit="1" customWidth="1"/>
    <col min="5640" max="5640" width="9.140625" style="32" bestFit="1" customWidth="1"/>
    <col min="5641" max="5641" width="8.5703125" style="32" customWidth="1"/>
    <col min="5642" max="5642" width="10.28515625" style="32" bestFit="1" customWidth="1"/>
    <col min="5643" max="5643" width="13.85546875" style="32" customWidth="1"/>
    <col min="5644" max="5644" width="16" style="32" customWidth="1"/>
    <col min="5645" max="5645" width="14" style="32" customWidth="1"/>
    <col min="5646" max="5646" width="16.5703125" style="32" customWidth="1"/>
    <col min="5647" max="5647" width="8.5703125" style="32" bestFit="1" customWidth="1"/>
    <col min="5648" max="5648" width="15.42578125" style="32" customWidth="1"/>
    <col min="5649" max="5888" width="16.5703125" style="32"/>
    <col min="5889" max="5889" width="27.7109375" style="32" customWidth="1"/>
    <col min="5890" max="5890" width="8.5703125" style="32" customWidth="1"/>
    <col min="5891" max="5891" width="33" style="32" customWidth="1"/>
    <col min="5892" max="5892" width="9.28515625" style="32" bestFit="1" customWidth="1"/>
    <col min="5893" max="5893" width="6.5703125" style="32" customWidth="1"/>
    <col min="5894" max="5894" width="11" style="32" bestFit="1" customWidth="1"/>
    <col min="5895" max="5895" width="15.28515625" style="32" bestFit="1" customWidth="1"/>
    <col min="5896" max="5896" width="9.140625" style="32" bestFit="1" customWidth="1"/>
    <col min="5897" max="5897" width="8.5703125" style="32" customWidth="1"/>
    <col min="5898" max="5898" width="10.28515625" style="32" bestFit="1" customWidth="1"/>
    <col min="5899" max="5899" width="13.85546875" style="32" customWidth="1"/>
    <col min="5900" max="5900" width="16" style="32" customWidth="1"/>
    <col min="5901" max="5901" width="14" style="32" customWidth="1"/>
    <col min="5902" max="5902" width="16.5703125" style="32" customWidth="1"/>
    <col min="5903" max="5903" width="8.5703125" style="32" bestFit="1" customWidth="1"/>
    <col min="5904" max="5904" width="15.42578125" style="32" customWidth="1"/>
    <col min="5905" max="6144" width="16.5703125" style="32"/>
    <col min="6145" max="6145" width="27.7109375" style="32" customWidth="1"/>
    <col min="6146" max="6146" width="8.5703125" style="32" customWidth="1"/>
    <col min="6147" max="6147" width="33" style="32" customWidth="1"/>
    <col min="6148" max="6148" width="9.28515625" style="32" bestFit="1" customWidth="1"/>
    <col min="6149" max="6149" width="6.5703125" style="32" customWidth="1"/>
    <col min="6150" max="6150" width="11" style="32" bestFit="1" customWidth="1"/>
    <col min="6151" max="6151" width="15.28515625" style="32" bestFit="1" customWidth="1"/>
    <col min="6152" max="6152" width="9.140625" style="32" bestFit="1" customWidth="1"/>
    <col min="6153" max="6153" width="8.5703125" style="32" customWidth="1"/>
    <col min="6154" max="6154" width="10.28515625" style="32" bestFit="1" customWidth="1"/>
    <col min="6155" max="6155" width="13.85546875" style="32" customWidth="1"/>
    <col min="6156" max="6156" width="16" style="32" customWidth="1"/>
    <col min="6157" max="6157" width="14" style="32" customWidth="1"/>
    <col min="6158" max="6158" width="16.5703125" style="32" customWidth="1"/>
    <col min="6159" max="6159" width="8.5703125" style="32" bestFit="1" customWidth="1"/>
    <col min="6160" max="6160" width="15.42578125" style="32" customWidth="1"/>
    <col min="6161" max="6400" width="16.5703125" style="32"/>
    <col min="6401" max="6401" width="27.7109375" style="32" customWidth="1"/>
    <col min="6402" max="6402" width="8.5703125" style="32" customWidth="1"/>
    <col min="6403" max="6403" width="33" style="32" customWidth="1"/>
    <col min="6404" max="6404" width="9.28515625" style="32" bestFit="1" customWidth="1"/>
    <col min="6405" max="6405" width="6.5703125" style="32" customWidth="1"/>
    <col min="6406" max="6406" width="11" style="32" bestFit="1" customWidth="1"/>
    <col min="6407" max="6407" width="15.28515625" style="32" bestFit="1" customWidth="1"/>
    <col min="6408" max="6408" width="9.140625" style="32" bestFit="1" customWidth="1"/>
    <col min="6409" max="6409" width="8.5703125" style="32" customWidth="1"/>
    <col min="6410" max="6410" width="10.28515625" style="32" bestFit="1" customWidth="1"/>
    <col min="6411" max="6411" width="13.85546875" style="32" customWidth="1"/>
    <col min="6412" max="6412" width="16" style="32" customWidth="1"/>
    <col min="6413" max="6413" width="14" style="32" customWidth="1"/>
    <col min="6414" max="6414" width="16.5703125" style="32" customWidth="1"/>
    <col min="6415" max="6415" width="8.5703125" style="32" bestFit="1" customWidth="1"/>
    <col min="6416" max="6416" width="15.42578125" style="32" customWidth="1"/>
    <col min="6417" max="6656" width="16.5703125" style="32"/>
    <col min="6657" max="6657" width="27.7109375" style="32" customWidth="1"/>
    <col min="6658" max="6658" width="8.5703125" style="32" customWidth="1"/>
    <col min="6659" max="6659" width="33" style="32" customWidth="1"/>
    <col min="6660" max="6660" width="9.28515625" style="32" bestFit="1" customWidth="1"/>
    <col min="6661" max="6661" width="6.5703125" style="32" customWidth="1"/>
    <col min="6662" max="6662" width="11" style="32" bestFit="1" customWidth="1"/>
    <col min="6663" max="6663" width="15.28515625" style="32" bestFit="1" customWidth="1"/>
    <col min="6664" max="6664" width="9.140625" style="32" bestFit="1" customWidth="1"/>
    <col min="6665" max="6665" width="8.5703125" style="32" customWidth="1"/>
    <col min="6666" max="6666" width="10.28515625" style="32" bestFit="1" customWidth="1"/>
    <col min="6667" max="6667" width="13.85546875" style="32" customWidth="1"/>
    <col min="6668" max="6668" width="16" style="32" customWidth="1"/>
    <col min="6669" max="6669" width="14" style="32" customWidth="1"/>
    <col min="6670" max="6670" width="16.5703125" style="32" customWidth="1"/>
    <col min="6671" max="6671" width="8.5703125" style="32" bestFit="1" customWidth="1"/>
    <col min="6672" max="6672" width="15.42578125" style="32" customWidth="1"/>
    <col min="6673" max="6912" width="16.5703125" style="32"/>
    <col min="6913" max="6913" width="27.7109375" style="32" customWidth="1"/>
    <col min="6914" max="6914" width="8.5703125" style="32" customWidth="1"/>
    <col min="6915" max="6915" width="33" style="32" customWidth="1"/>
    <col min="6916" max="6916" width="9.28515625" style="32" bestFit="1" customWidth="1"/>
    <col min="6917" max="6917" width="6.5703125" style="32" customWidth="1"/>
    <col min="6918" max="6918" width="11" style="32" bestFit="1" customWidth="1"/>
    <col min="6919" max="6919" width="15.28515625" style="32" bestFit="1" customWidth="1"/>
    <col min="6920" max="6920" width="9.140625" style="32" bestFit="1" customWidth="1"/>
    <col min="6921" max="6921" width="8.5703125" style="32" customWidth="1"/>
    <col min="6922" max="6922" width="10.28515625" style="32" bestFit="1" customWidth="1"/>
    <col min="6923" max="6923" width="13.85546875" style="32" customWidth="1"/>
    <col min="6924" max="6924" width="16" style="32" customWidth="1"/>
    <col min="6925" max="6925" width="14" style="32" customWidth="1"/>
    <col min="6926" max="6926" width="16.5703125" style="32" customWidth="1"/>
    <col min="6927" max="6927" width="8.5703125" style="32" bestFit="1" customWidth="1"/>
    <col min="6928" max="6928" width="15.42578125" style="32" customWidth="1"/>
    <col min="6929" max="7168" width="16.5703125" style="32"/>
    <col min="7169" max="7169" width="27.7109375" style="32" customWidth="1"/>
    <col min="7170" max="7170" width="8.5703125" style="32" customWidth="1"/>
    <col min="7171" max="7171" width="33" style="32" customWidth="1"/>
    <col min="7172" max="7172" width="9.28515625" style="32" bestFit="1" customWidth="1"/>
    <col min="7173" max="7173" width="6.5703125" style="32" customWidth="1"/>
    <col min="7174" max="7174" width="11" style="32" bestFit="1" customWidth="1"/>
    <col min="7175" max="7175" width="15.28515625" style="32" bestFit="1" customWidth="1"/>
    <col min="7176" max="7176" width="9.140625" style="32" bestFit="1" customWidth="1"/>
    <col min="7177" max="7177" width="8.5703125" style="32" customWidth="1"/>
    <col min="7178" max="7178" width="10.28515625" style="32" bestFit="1" customWidth="1"/>
    <col min="7179" max="7179" width="13.85546875" style="32" customWidth="1"/>
    <col min="7180" max="7180" width="16" style="32" customWidth="1"/>
    <col min="7181" max="7181" width="14" style="32" customWidth="1"/>
    <col min="7182" max="7182" width="16.5703125" style="32" customWidth="1"/>
    <col min="7183" max="7183" width="8.5703125" style="32" bestFit="1" customWidth="1"/>
    <col min="7184" max="7184" width="15.42578125" style="32" customWidth="1"/>
    <col min="7185" max="7424" width="16.5703125" style="32"/>
    <col min="7425" max="7425" width="27.7109375" style="32" customWidth="1"/>
    <col min="7426" max="7426" width="8.5703125" style="32" customWidth="1"/>
    <col min="7427" max="7427" width="33" style="32" customWidth="1"/>
    <col min="7428" max="7428" width="9.28515625" style="32" bestFit="1" customWidth="1"/>
    <col min="7429" max="7429" width="6.5703125" style="32" customWidth="1"/>
    <col min="7430" max="7430" width="11" style="32" bestFit="1" customWidth="1"/>
    <col min="7431" max="7431" width="15.28515625" style="32" bestFit="1" customWidth="1"/>
    <col min="7432" max="7432" width="9.140625" style="32" bestFit="1" customWidth="1"/>
    <col min="7433" max="7433" width="8.5703125" style="32" customWidth="1"/>
    <col min="7434" max="7434" width="10.28515625" style="32" bestFit="1" customWidth="1"/>
    <col min="7435" max="7435" width="13.85546875" style="32" customWidth="1"/>
    <col min="7436" max="7436" width="16" style="32" customWidth="1"/>
    <col min="7437" max="7437" width="14" style="32" customWidth="1"/>
    <col min="7438" max="7438" width="16.5703125" style="32" customWidth="1"/>
    <col min="7439" max="7439" width="8.5703125" style="32" bestFit="1" customWidth="1"/>
    <col min="7440" max="7440" width="15.42578125" style="32" customWidth="1"/>
    <col min="7441" max="7680" width="16.5703125" style="32"/>
    <col min="7681" max="7681" width="27.7109375" style="32" customWidth="1"/>
    <col min="7682" max="7682" width="8.5703125" style="32" customWidth="1"/>
    <col min="7683" max="7683" width="33" style="32" customWidth="1"/>
    <col min="7684" max="7684" width="9.28515625" style="32" bestFit="1" customWidth="1"/>
    <col min="7685" max="7685" width="6.5703125" style="32" customWidth="1"/>
    <col min="7686" max="7686" width="11" style="32" bestFit="1" customWidth="1"/>
    <col min="7687" max="7687" width="15.28515625" style="32" bestFit="1" customWidth="1"/>
    <col min="7688" max="7688" width="9.140625" style="32" bestFit="1" customWidth="1"/>
    <col min="7689" max="7689" width="8.5703125" style="32" customWidth="1"/>
    <col min="7690" max="7690" width="10.28515625" style="32" bestFit="1" customWidth="1"/>
    <col min="7691" max="7691" width="13.85546875" style="32" customWidth="1"/>
    <col min="7692" max="7692" width="16" style="32" customWidth="1"/>
    <col min="7693" max="7693" width="14" style="32" customWidth="1"/>
    <col min="7694" max="7694" width="16.5703125" style="32" customWidth="1"/>
    <col min="7695" max="7695" width="8.5703125" style="32" bestFit="1" customWidth="1"/>
    <col min="7696" max="7696" width="15.42578125" style="32" customWidth="1"/>
    <col min="7697" max="7936" width="16.5703125" style="32"/>
    <col min="7937" max="7937" width="27.7109375" style="32" customWidth="1"/>
    <col min="7938" max="7938" width="8.5703125" style="32" customWidth="1"/>
    <col min="7939" max="7939" width="33" style="32" customWidth="1"/>
    <col min="7940" max="7940" width="9.28515625" style="32" bestFit="1" customWidth="1"/>
    <col min="7941" max="7941" width="6.5703125" style="32" customWidth="1"/>
    <col min="7942" max="7942" width="11" style="32" bestFit="1" customWidth="1"/>
    <col min="7943" max="7943" width="15.28515625" style="32" bestFit="1" customWidth="1"/>
    <col min="7944" max="7944" width="9.140625" style="32" bestFit="1" customWidth="1"/>
    <col min="7945" max="7945" width="8.5703125" style="32" customWidth="1"/>
    <col min="7946" max="7946" width="10.28515625" style="32" bestFit="1" customWidth="1"/>
    <col min="7947" max="7947" width="13.85546875" style="32" customWidth="1"/>
    <col min="7948" max="7948" width="16" style="32" customWidth="1"/>
    <col min="7949" max="7949" width="14" style="32" customWidth="1"/>
    <col min="7950" max="7950" width="16.5703125" style="32" customWidth="1"/>
    <col min="7951" max="7951" width="8.5703125" style="32" bestFit="1" customWidth="1"/>
    <col min="7952" max="7952" width="15.42578125" style="32" customWidth="1"/>
    <col min="7953" max="8192" width="16.5703125" style="32"/>
    <col min="8193" max="8193" width="27.7109375" style="32" customWidth="1"/>
    <col min="8194" max="8194" width="8.5703125" style="32" customWidth="1"/>
    <col min="8195" max="8195" width="33" style="32" customWidth="1"/>
    <col min="8196" max="8196" width="9.28515625" style="32" bestFit="1" customWidth="1"/>
    <col min="8197" max="8197" width="6.5703125" style="32" customWidth="1"/>
    <col min="8198" max="8198" width="11" style="32" bestFit="1" customWidth="1"/>
    <col min="8199" max="8199" width="15.28515625" style="32" bestFit="1" customWidth="1"/>
    <col min="8200" max="8200" width="9.140625" style="32" bestFit="1" customWidth="1"/>
    <col min="8201" max="8201" width="8.5703125" style="32" customWidth="1"/>
    <col min="8202" max="8202" width="10.28515625" style="32" bestFit="1" customWidth="1"/>
    <col min="8203" max="8203" width="13.85546875" style="32" customWidth="1"/>
    <col min="8204" max="8204" width="16" style="32" customWidth="1"/>
    <col min="8205" max="8205" width="14" style="32" customWidth="1"/>
    <col min="8206" max="8206" width="16.5703125" style="32" customWidth="1"/>
    <col min="8207" max="8207" width="8.5703125" style="32" bestFit="1" customWidth="1"/>
    <col min="8208" max="8208" width="15.42578125" style="32" customWidth="1"/>
    <col min="8209" max="8448" width="16.5703125" style="32"/>
    <col min="8449" max="8449" width="27.7109375" style="32" customWidth="1"/>
    <col min="8450" max="8450" width="8.5703125" style="32" customWidth="1"/>
    <col min="8451" max="8451" width="33" style="32" customWidth="1"/>
    <col min="8452" max="8452" width="9.28515625" style="32" bestFit="1" customWidth="1"/>
    <col min="8453" max="8453" width="6.5703125" style="32" customWidth="1"/>
    <col min="8454" max="8454" width="11" style="32" bestFit="1" customWidth="1"/>
    <col min="8455" max="8455" width="15.28515625" style="32" bestFit="1" customWidth="1"/>
    <col min="8456" max="8456" width="9.140625" style="32" bestFit="1" customWidth="1"/>
    <col min="8457" max="8457" width="8.5703125" style="32" customWidth="1"/>
    <col min="8458" max="8458" width="10.28515625" style="32" bestFit="1" customWidth="1"/>
    <col min="8459" max="8459" width="13.85546875" style="32" customWidth="1"/>
    <col min="8460" max="8460" width="16" style="32" customWidth="1"/>
    <col min="8461" max="8461" width="14" style="32" customWidth="1"/>
    <col min="8462" max="8462" width="16.5703125" style="32" customWidth="1"/>
    <col min="8463" max="8463" width="8.5703125" style="32" bestFit="1" customWidth="1"/>
    <col min="8464" max="8464" width="15.42578125" style="32" customWidth="1"/>
    <col min="8465" max="8704" width="16.5703125" style="32"/>
    <col min="8705" max="8705" width="27.7109375" style="32" customWidth="1"/>
    <col min="8706" max="8706" width="8.5703125" style="32" customWidth="1"/>
    <col min="8707" max="8707" width="33" style="32" customWidth="1"/>
    <col min="8708" max="8708" width="9.28515625" style="32" bestFit="1" customWidth="1"/>
    <col min="8709" max="8709" width="6.5703125" style="32" customWidth="1"/>
    <col min="8710" max="8710" width="11" style="32" bestFit="1" customWidth="1"/>
    <col min="8711" max="8711" width="15.28515625" style="32" bestFit="1" customWidth="1"/>
    <col min="8712" max="8712" width="9.140625" style="32" bestFit="1" customWidth="1"/>
    <col min="8713" max="8713" width="8.5703125" style="32" customWidth="1"/>
    <col min="8714" max="8714" width="10.28515625" style="32" bestFit="1" customWidth="1"/>
    <col min="8715" max="8715" width="13.85546875" style="32" customWidth="1"/>
    <col min="8716" max="8716" width="16" style="32" customWidth="1"/>
    <col min="8717" max="8717" width="14" style="32" customWidth="1"/>
    <col min="8718" max="8718" width="16.5703125" style="32" customWidth="1"/>
    <col min="8719" max="8719" width="8.5703125" style="32" bestFit="1" customWidth="1"/>
    <col min="8720" max="8720" width="15.42578125" style="32" customWidth="1"/>
    <col min="8721" max="8960" width="16.5703125" style="32"/>
    <col min="8961" max="8961" width="27.7109375" style="32" customWidth="1"/>
    <col min="8962" max="8962" width="8.5703125" style="32" customWidth="1"/>
    <col min="8963" max="8963" width="33" style="32" customWidth="1"/>
    <col min="8964" max="8964" width="9.28515625" style="32" bestFit="1" customWidth="1"/>
    <col min="8965" max="8965" width="6.5703125" style="32" customWidth="1"/>
    <col min="8966" max="8966" width="11" style="32" bestFit="1" customWidth="1"/>
    <col min="8967" max="8967" width="15.28515625" style="32" bestFit="1" customWidth="1"/>
    <col min="8968" max="8968" width="9.140625" style="32" bestFit="1" customWidth="1"/>
    <col min="8969" max="8969" width="8.5703125" style="32" customWidth="1"/>
    <col min="8970" max="8970" width="10.28515625" style="32" bestFit="1" customWidth="1"/>
    <col min="8971" max="8971" width="13.85546875" style="32" customWidth="1"/>
    <col min="8972" max="8972" width="16" style="32" customWidth="1"/>
    <col min="8973" max="8973" width="14" style="32" customWidth="1"/>
    <col min="8974" max="8974" width="16.5703125" style="32" customWidth="1"/>
    <col min="8975" max="8975" width="8.5703125" style="32" bestFit="1" customWidth="1"/>
    <col min="8976" max="8976" width="15.42578125" style="32" customWidth="1"/>
    <col min="8977" max="9216" width="16.5703125" style="32"/>
    <col min="9217" max="9217" width="27.7109375" style="32" customWidth="1"/>
    <col min="9218" max="9218" width="8.5703125" style="32" customWidth="1"/>
    <col min="9219" max="9219" width="33" style="32" customWidth="1"/>
    <col min="9220" max="9220" width="9.28515625" style="32" bestFit="1" customWidth="1"/>
    <col min="9221" max="9221" width="6.5703125" style="32" customWidth="1"/>
    <col min="9222" max="9222" width="11" style="32" bestFit="1" customWidth="1"/>
    <col min="9223" max="9223" width="15.28515625" style="32" bestFit="1" customWidth="1"/>
    <col min="9224" max="9224" width="9.140625" style="32" bestFit="1" customWidth="1"/>
    <col min="9225" max="9225" width="8.5703125" style="32" customWidth="1"/>
    <col min="9226" max="9226" width="10.28515625" style="32" bestFit="1" customWidth="1"/>
    <col min="9227" max="9227" width="13.85546875" style="32" customWidth="1"/>
    <col min="9228" max="9228" width="16" style="32" customWidth="1"/>
    <col min="9229" max="9229" width="14" style="32" customWidth="1"/>
    <col min="9230" max="9230" width="16.5703125" style="32" customWidth="1"/>
    <col min="9231" max="9231" width="8.5703125" style="32" bestFit="1" customWidth="1"/>
    <col min="9232" max="9232" width="15.42578125" style="32" customWidth="1"/>
    <col min="9233" max="9472" width="16.5703125" style="32"/>
    <col min="9473" max="9473" width="27.7109375" style="32" customWidth="1"/>
    <col min="9474" max="9474" width="8.5703125" style="32" customWidth="1"/>
    <col min="9475" max="9475" width="33" style="32" customWidth="1"/>
    <col min="9476" max="9476" width="9.28515625" style="32" bestFit="1" customWidth="1"/>
    <col min="9477" max="9477" width="6.5703125" style="32" customWidth="1"/>
    <col min="9478" max="9478" width="11" style="32" bestFit="1" customWidth="1"/>
    <col min="9479" max="9479" width="15.28515625" style="32" bestFit="1" customWidth="1"/>
    <col min="9480" max="9480" width="9.140625" style="32" bestFit="1" customWidth="1"/>
    <col min="9481" max="9481" width="8.5703125" style="32" customWidth="1"/>
    <col min="9482" max="9482" width="10.28515625" style="32" bestFit="1" customWidth="1"/>
    <col min="9483" max="9483" width="13.85546875" style="32" customWidth="1"/>
    <col min="9484" max="9484" width="16" style="32" customWidth="1"/>
    <col min="9485" max="9485" width="14" style="32" customWidth="1"/>
    <col min="9486" max="9486" width="16.5703125" style="32" customWidth="1"/>
    <col min="9487" max="9487" width="8.5703125" style="32" bestFit="1" customWidth="1"/>
    <col min="9488" max="9488" width="15.42578125" style="32" customWidth="1"/>
    <col min="9489" max="9728" width="16.5703125" style="32"/>
    <col min="9729" max="9729" width="27.7109375" style="32" customWidth="1"/>
    <col min="9730" max="9730" width="8.5703125" style="32" customWidth="1"/>
    <col min="9731" max="9731" width="33" style="32" customWidth="1"/>
    <col min="9732" max="9732" width="9.28515625" style="32" bestFit="1" customWidth="1"/>
    <col min="9733" max="9733" width="6.5703125" style="32" customWidth="1"/>
    <col min="9734" max="9734" width="11" style="32" bestFit="1" customWidth="1"/>
    <col min="9735" max="9735" width="15.28515625" style="32" bestFit="1" customWidth="1"/>
    <col min="9736" max="9736" width="9.140625" style="32" bestFit="1" customWidth="1"/>
    <col min="9737" max="9737" width="8.5703125" style="32" customWidth="1"/>
    <col min="9738" max="9738" width="10.28515625" style="32" bestFit="1" customWidth="1"/>
    <col min="9739" max="9739" width="13.85546875" style="32" customWidth="1"/>
    <col min="9740" max="9740" width="16" style="32" customWidth="1"/>
    <col min="9741" max="9741" width="14" style="32" customWidth="1"/>
    <col min="9742" max="9742" width="16.5703125" style="32" customWidth="1"/>
    <col min="9743" max="9743" width="8.5703125" style="32" bestFit="1" customWidth="1"/>
    <col min="9744" max="9744" width="15.42578125" style="32" customWidth="1"/>
    <col min="9745" max="9984" width="16.5703125" style="32"/>
    <col min="9985" max="9985" width="27.7109375" style="32" customWidth="1"/>
    <col min="9986" max="9986" width="8.5703125" style="32" customWidth="1"/>
    <col min="9987" max="9987" width="33" style="32" customWidth="1"/>
    <col min="9988" max="9988" width="9.28515625" style="32" bestFit="1" customWidth="1"/>
    <col min="9989" max="9989" width="6.5703125" style="32" customWidth="1"/>
    <col min="9990" max="9990" width="11" style="32" bestFit="1" customWidth="1"/>
    <col min="9991" max="9991" width="15.28515625" style="32" bestFit="1" customWidth="1"/>
    <col min="9992" max="9992" width="9.140625" style="32" bestFit="1" customWidth="1"/>
    <col min="9993" max="9993" width="8.5703125" style="32" customWidth="1"/>
    <col min="9994" max="9994" width="10.28515625" style="32" bestFit="1" customWidth="1"/>
    <col min="9995" max="9995" width="13.85546875" style="32" customWidth="1"/>
    <col min="9996" max="9996" width="16" style="32" customWidth="1"/>
    <col min="9997" max="9997" width="14" style="32" customWidth="1"/>
    <col min="9998" max="9998" width="16.5703125" style="32" customWidth="1"/>
    <col min="9999" max="9999" width="8.5703125" style="32" bestFit="1" customWidth="1"/>
    <col min="10000" max="10000" width="15.42578125" style="32" customWidth="1"/>
    <col min="10001" max="10240" width="16.5703125" style="32"/>
    <col min="10241" max="10241" width="27.7109375" style="32" customWidth="1"/>
    <col min="10242" max="10242" width="8.5703125" style="32" customWidth="1"/>
    <col min="10243" max="10243" width="33" style="32" customWidth="1"/>
    <col min="10244" max="10244" width="9.28515625" style="32" bestFit="1" customWidth="1"/>
    <col min="10245" max="10245" width="6.5703125" style="32" customWidth="1"/>
    <col min="10246" max="10246" width="11" style="32" bestFit="1" customWidth="1"/>
    <col min="10247" max="10247" width="15.28515625" style="32" bestFit="1" customWidth="1"/>
    <col min="10248" max="10248" width="9.140625" style="32" bestFit="1" customWidth="1"/>
    <col min="10249" max="10249" width="8.5703125" style="32" customWidth="1"/>
    <col min="10250" max="10250" width="10.28515625" style="32" bestFit="1" customWidth="1"/>
    <col min="10251" max="10251" width="13.85546875" style="32" customWidth="1"/>
    <col min="10252" max="10252" width="16" style="32" customWidth="1"/>
    <col min="10253" max="10253" width="14" style="32" customWidth="1"/>
    <col min="10254" max="10254" width="16.5703125" style="32" customWidth="1"/>
    <col min="10255" max="10255" width="8.5703125" style="32" bestFit="1" customWidth="1"/>
    <col min="10256" max="10256" width="15.42578125" style="32" customWidth="1"/>
    <col min="10257" max="10496" width="16.5703125" style="32"/>
    <col min="10497" max="10497" width="27.7109375" style="32" customWidth="1"/>
    <col min="10498" max="10498" width="8.5703125" style="32" customWidth="1"/>
    <col min="10499" max="10499" width="33" style="32" customWidth="1"/>
    <col min="10500" max="10500" width="9.28515625" style="32" bestFit="1" customWidth="1"/>
    <col min="10501" max="10501" width="6.5703125" style="32" customWidth="1"/>
    <col min="10502" max="10502" width="11" style="32" bestFit="1" customWidth="1"/>
    <col min="10503" max="10503" width="15.28515625" style="32" bestFit="1" customWidth="1"/>
    <col min="10504" max="10504" width="9.140625" style="32" bestFit="1" customWidth="1"/>
    <col min="10505" max="10505" width="8.5703125" style="32" customWidth="1"/>
    <col min="10506" max="10506" width="10.28515625" style="32" bestFit="1" customWidth="1"/>
    <col min="10507" max="10507" width="13.85546875" style="32" customWidth="1"/>
    <col min="10508" max="10508" width="16" style="32" customWidth="1"/>
    <col min="10509" max="10509" width="14" style="32" customWidth="1"/>
    <col min="10510" max="10510" width="16.5703125" style="32" customWidth="1"/>
    <col min="10511" max="10511" width="8.5703125" style="32" bestFit="1" customWidth="1"/>
    <col min="10512" max="10512" width="15.42578125" style="32" customWidth="1"/>
    <col min="10513" max="10752" width="16.5703125" style="32"/>
    <col min="10753" max="10753" width="27.7109375" style="32" customWidth="1"/>
    <col min="10754" max="10754" width="8.5703125" style="32" customWidth="1"/>
    <col min="10755" max="10755" width="33" style="32" customWidth="1"/>
    <col min="10756" max="10756" width="9.28515625" style="32" bestFit="1" customWidth="1"/>
    <col min="10757" max="10757" width="6.5703125" style="32" customWidth="1"/>
    <col min="10758" max="10758" width="11" style="32" bestFit="1" customWidth="1"/>
    <col min="10759" max="10759" width="15.28515625" style="32" bestFit="1" customWidth="1"/>
    <col min="10760" max="10760" width="9.140625" style="32" bestFit="1" customWidth="1"/>
    <col min="10761" max="10761" width="8.5703125" style="32" customWidth="1"/>
    <col min="10762" max="10762" width="10.28515625" style="32" bestFit="1" customWidth="1"/>
    <col min="10763" max="10763" width="13.85546875" style="32" customWidth="1"/>
    <col min="10764" max="10764" width="16" style="32" customWidth="1"/>
    <col min="10765" max="10765" width="14" style="32" customWidth="1"/>
    <col min="10766" max="10766" width="16.5703125" style="32" customWidth="1"/>
    <col min="10767" max="10767" width="8.5703125" style="32" bestFit="1" customWidth="1"/>
    <col min="10768" max="10768" width="15.42578125" style="32" customWidth="1"/>
    <col min="10769" max="11008" width="16.5703125" style="32"/>
    <col min="11009" max="11009" width="27.7109375" style="32" customWidth="1"/>
    <col min="11010" max="11010" width="8.5703125" style="32" customWidth="1"/>
    <col min="11011" max="11011" width="33" style="32" customWidth="1"/>
    <col min="11012" max="11012" width="9.28515625" style="32" bestFit="1" customWidth="1"/>
    <col min="11013" max="11013" width="6.5703125" style="32" customWidth="1"/>
    <col min="11014" max="11014" width="11" style="32" bestFit="1" customWidth="1"/>
    <col min="11015" max="11015" width="15.28515625" style="32" bestFit="1" customWidth="1"/>
    <col min="11016" max="11016" width="9.140625" style="32" bestFit="1" customWidth="1"/>
    <col min="11017" max="11017" width="8.5703125" style="32" customWidth="1"/>
    <col min="11018" max="11018" width="10.28515625" style="32" bestFit="1" customWidth="1"/>
    <col min="11019" max="11019" width="13.85546875" style="32" customWidth="1"/>
    <col min="11020" max="11020" width="16" style="32" customWidth="1"/>
    <col min="11021" max="11021" width="14" style="32" customWidth="1"/>
    <col min="11022" max="11022" width="16.5703125" style="32" customWidth="1"/>
    <col min="11023" max="11023" width="8.5703125" style="32" bestFit="1" customWidth="1"/>
    <col min="11024" max="11024" width="15.42578125" style="32" customWidth="1"/>
    <col min="11025" max="11264" width="16.5703125" style="32"/>
    <col min="11265" max="11265" width="27.7109375" style="32" customWidth="1"/>
    <col min="11266" max="11266" width="8.5703125" style="32" customWidth="1"/>
    <col min="11267" max="11267" width="33" style="32" customWidth="1"/>
    <col min="11268" max="11268" width="9.28515625" style="32" bestFit="1" customWidth="1"/>
    <col min="11269" max="11269" width="6.5703125" style="32" customWidth="1"/>
    <col min="11270" max="11270" width="11" style="32" bestFit="1" customWidth="1"/>
    <col min="11271" max="11271" width="15.28515625" style="32" bestFit="1" customWidth="1"/>
    <col min="11272" max="11272" width="9.140625" style="32" bestFit="1" customWidth="1"/>
    <col min="11273" max="11273" width="8.5703125" style="32" customWidth="1"/>
    <col min="11274" max="11274" width="10.28515625" style="32" bestFit="1" customWidth="1"/>
    <col min="11275" max="11275" width="13.85546875" style="32" customWidth="1"/>
    <col min="11276" max="11276" width="16" style="32" customWidth="1"/>
    <col min="11277" max="11277" width="14" style="32" customWidth="1"/>
    <col min="11278" max="11278" width="16.5703125" style="32" customWidth="1"/>
    <col min="11279" max="11279" width="8.5703125" style="32" bestFit="1" customWidth="1"/>
    <col min="11280" max="11280" width="15.42578125" style="32" customWidth="1"/>
    <col min="11281" max="11520" width="16.5703125" style="32"/>
    <col min="11521" max="11521" width="27.7109375" style="32" customWidth="1"/>
    <col min="11522" max="11522" width="8.5703125" style="32" customWidth="1"/>
    <col min="11523" max="11523" width="33" style="32" customWidth="1"/>
    <col min="11524" max="11524" width="9.28515625" style="32" bestFit="1" customWidth="1"/>
    <col min="11525" max="11525" width="6.5703125" style="32" customWidth="1"/>
    <col min="11526" max="11526" width="11" style="32" bestFit="1" customWidth="1"/>
    <col min="11527" max="11527" width="15.28515625" style="32" bestFit="1" customWidth="1"/>
    <col min="11528" max="11528" width="9.140625" style="32" bestFit="1" customWidth="1"/>
    <col min="11529" max="11529" width="8.5703125" style="32" customWidth="1"/>
    <col min="11530" max="11530" width="10.28515625" style="32" bestFit="1" customWidth="1"/>
    <col min="11531" max="11531" width="13.85546875" style="32" customWidth="1"/>
    <col min="11532" max="11532" width="16" style="32" customWidth="1"/>
    <col min="11533" max="11533" width="14" style="32" customWidth="1"/>
    <col min="11534" max="11534" width="16.5703125" style="32" customWidth="1"/>
    <col min="11535" max="11535" width="8.5703125" style="32" bestFit="1" customWidth="1"/>
    <col min="11536" max="11536" width="15.42578125" style="32" customWidth="1"/>
    <col min="11537" max="11776" width="16.5703125" style="32"/>
    <col min="11777" max="11777" width="27.7109375" style="32" customWidth="1"/>
    <col min="11778" max="11778" width="8.5703125" style="32" customWidth="1"/>
    <col min="11779" max="11779" width="33" style="32" customWidth="1"/>
    <col min="11780" max="11780" width="9.28515625" style="32" bestFit="1" customWidth="1"/>
    <col min="11781" max="11781" width="6.5703125" style="32" customWidth="1"/>
    <col min="11782" max="11782" width="11" style="32" bestFit="1" customWidth="1"/>
    <col min="11783" max="11783" width="15.28515625" style="32" bestFit="1" customWidth="1"/>
    <col min="11784" max="11784" width="9.140625" style="32" bestFit="1" customWidth="1"/>
    <col min="11785" max="11785" width="8.5703125" style="32" customWidth="1"/>
    <col min="11786" max="11786" width="10.28515625" style="32" bestFit="1" customWidth="1"/>
    <col min="11787" max="11787" width="13.85546875" style="32" customWidth="1"/>
    <col min="11788" max="11788" width="16" style="32" customWidth="1"/>
    <col min="11789" max="11789" width="14" style="32" customWidth="1"/>
    <col min="11790" max="11790" width="16.5703125" style="32" customWidth="1"/>
    <col min="11791" max="11791" width="8.5703125" style="32" bestFit="1" customWidth="1"/>
    <col min="11792" max="11792" width="15.42578125" style="32" customWidth="1"/>
    <col min="11793" max="12032" width="16.5703125" style="32"/>
    <col min="12033" max="12033" width="27.7109375" style="32" customWidth="1"/>
    <col min="12034" max="12034" width="8.5703125" style="32" customWidth="1"/>
    <col min="12035" max="12035" width="33" style="32" customWidth="1"/>
    <col min="12036" max="12036" width="9.28515625" style="32" bestFit="1" customWidth="1"/>
    <col min="12037" max="12037" width="6.5703125" style="32" customWidth="1"/>
    <col min="12038" max="12038" width="11" style="32" bestFit="1" customWidth="1"/>
    <col min="12039" max="12039" width="15.28515625" style="32" bestFit="1" customWidth="1"/>
    <col min="12040" max="12040" width="9.140625" style="32" bestFit="1" customWidth="1"/>
    <col min="12041" max="12041" width="8.5703125" style="32" customWidth="1"/>
    <col min="12042" max="12042" width="10.28515625" style="32" bestFit="1" customWidth="1"/>
    <col min="12043" max="12043" width="13.85546875" style="32" customWidth="1"/>
    <col min="12044" max="12044" width="16" style="32" customWidth="1"/>
    <col min="12045" max="12045" width="14" style="32" customWidth="1"/>
    <col min="12046" max="12046" width="16.5703125" style="32" customWidth="1"/>
    <col min="12047" max="12047" width="8.5703125" style="32" bestFit="1" customWidth="1"/>
    <col min="12048" max="12048" width="15.42578125" style="32" customWidth="1"/>
    <col min="12049" max="12288" width="16.5703125" style="32"/>
    <col min="12289" max="12289" width="27.7109375" style="32" customWidth="1"/>
    <col min="12290" max="12290" width="8.5703125" style="32" customWidth="1"/>
    <col min="12291" max="12291" width="33" style="32" customWidth="1"/>
    <col min="12292" max="12292" width="9.28515625" style="32" bestFit="1" customWidth="1"/>
    <col min="12293" max="12293" width="6.5703125" style="32" customWidth="1"/>
    <col min="12294" max="12294" width="11" style="32" bestFit="1" customWidth="1"/>
    <col min="12295" max="12295" width="15.28515625" style="32" bestFit="1" customWidth="1"/>
    <col min="12296" max="12296" width="9.140625" style="32" bestFit="1" customWidth="1"/>
    <col min="12297" max="12297" width="8.5703125" style="32" customWidth="1"/>
    <col min="12298" max="12298" width="10.28515625" style="32" bestFit="1" customWidth="1"/>
    <col min="12299" max="12299" width="13.85546875" style="32" customWidth="1"/>
    <col min="12300" max="12300" width="16" style="32" customWidth="1"/>
    <col min="12301" max="12301" width="14" style="32" customWidth="1"/>
    <col min="12302" max="12302" width="16.5703125" style="32" customWidth="1"/>
    <col min="12303" max="12303" width="8.5703125" style="32" bestFit="1" customWidth="1"/>
    <col min="12304" max="12304" width="15.42578125" style="32" customWidth="1"/>
    <col min="12305" max="12544" width="16.5703125" style="32"/>
    <col min="12545" max="12545" width="27.7109375" style="32" customWidth="1"/>
    <col min="12546" max="12546" width="8.5703125" style="32" customWidth="1"/>
    <col min="12547" max="12547" width="33" style="32" customWidth="1"/>
    <col min="12548" max="12548" width="9.28515625" style="32" bestFit="1" customWidth="1"/>
    <col min="12549" max="12549" width="6.5703125" style="32" customWidth="1"/>
    <col min="12550" max="12550" width="11" style="32" bestFit="1" customWidth="1"/>
    <col min="12551" max="12551" width="15.28515625" style="32" bestFit="1" customWidth="1"/>
    <col min="12552" max="12552" width="9.140625" style="32" bestFit="1" customWidth="1"/>
    <col min="12553" max="12553" width="8.5703125" style="32" customWidth="1"/>
    <col min="12554" max="12554" width="10.28515625" style="32" bestFit="1" customWidth="1"/>
    <col min="12555" max="12555" width="13.85546875" style="32" customWidth="1"/>
    <col min="12556" max="12556" width="16" style="32" customWidth="1"/>
    <col min="12557" max="12557" width="14" style="32" customWidth="1"/>
    <col min="12558" max="12558" width="16.5703125" style="32" customWidth="1"/>
    <col min="12559" max="12559" width="8.5703125" style="32" bestFit="1" customWidth="1"/>
    <col min="12560" max="12560" width="15.42578125" style="32" customWidth="1"/>
    <col min="12561" max="12800" width="16.5703125" style="32"/>
    <col min="12801" max="12801" width="27.7109375" style="32" customWidth="1"/>
    <col min="12802" max="12802" width="8.5703125" style="32" customWidth="1"/>
    <col min="12803" max="12803" width="33" style="32" customWidth="1"/>
    <col min="12804" max="12804" width="9.28515625" style="32" bestFit="1" customWidth="1"/>
    <col min="12805" max="12805" width="6.5703125" style="32" customWidth="1"/>
    <col min="12806" max="12806" width="11" style="32" bestFit="1" customWidth="1"/>
    <col min="12807" max="12807" width="15.28515625" style="32" bestFit="1" customWidth="1"/>
    <col min="12808" max="12808" width="9.140625" style="32" bestFit="1" customWidth="1"/>
    <col min="12809" max="12809" width="8.5703125" style="32" customWidth="1"/>
    <col min="12810" max="12810" width="10.28515625" style="32" bestFit="1" customWidth="1"/>
    <col min="12811" max="12811" width="13.85546875" style="32" customWidth="1"/>
    <col min="12812" max="12812" width="16" style="32" customWidth="1"/>
    <col min="12813" max="12813" width="14" style="32" customWidth="1"/>
    <col min="12814" max="12814" width="16.5703125" style="32" customWidth="1"/>
    <col min="12815" max="12815" width="8.5703125" style="32" bestFit="1" customWidth="1"/>
    <col min="12816" max="12816" width="15.42578125" style="32" customWidth="1"/>
    <col min="12817" max="13056" width="16.5703125" style="32"/>
    <col min="13057" max="13057" width="27.7109375" style="32" customWidth="1"/>
    <col min="13058" max="13058" width="8.5703125" style="32" customWidth="1"/>
    <col min="13059" max="13059" width="33" style="32" customWidth="1"/>
    <col min="13060" max="13060" width="9.28515625" style="32" bestFit="1" customWidth="1"/>
    <col min="13061" max="13061" width="6.5703125" style="32" customWidth="1"/>
    <col min="13062" max="13062" width="11" style="32" bestFit="1" customWidth="1"/>
    <col min="13063" max="13063" width="15.28515625" style="32" bestFit="1" customWidth="1"/>
    <col min="13064" max="13064" width="9.140625" style="32" bestFit="1" customWidth="1"/>
    <col min="13065" max="13065" width="8.5703125" style="32" customWidth="1"/>
    <col min="13066" max="13066" width="10.28515625" style="32" bestFit="1" customWidth="1"/>
    <col min="13067" max="13067" width="13.85546875" style="32" customWidth="1"/>
    <col min="13068" max="13068" width="16" style="32" customWidth="1"/>
    <col min="13069" max="13069" width="14" style="32" customWidth="1"/>
    <col min="13070" max="13070" width="16.5703125" style="32" customWidth="1"/>
    <col min="13071" max="13071" width="8.5703125" style="32" bestFit="1" customWidth="1"/>
    <col min="13072" max="13072" width="15.42578125" style="32" customWidth="1"/>
    <col min="13073" max="13312" width="16.5703125" style="32"/>
    <col min="13313" max="13313" width="27.7109375" style="32" customWidth="1"/>
    <col min="13314" max="13314" width="8.5703125" style="32" customWidth="1"/>
    <col min="13315" max="13315" width="33" style="32" customWidth="1"/>
    <col min="13316" max="13316" width="9.28515625" style="32" bestFit="1" customWidth="1"/>
    <col min="13317" max="13317" width="6.5703125" style="32" customWidth="1"/>
    <col min="13318" max="13318" width="11" style="32" bestFit="1" customWidth="1"/>
    <col min="13319" max="13319" width="15.28515625" style="32" bestFit="1" customWidth="1"/>
    <col min="13320" max="13320" width="9.140625" style="32" bestFit="1" customWidth="1"/>
    <col min="13321" max="13321" width="8.5703125" style="32" customWidth="1"/>
    <col min="13322" max="13322" width="10.28515625" style="32" bestFit="1" customWidth="1"/>
    <col min="13323" max="13323" width="13.85546875" style="32" customWidth="1"/>
    <col min="13324" max="13324" width="16" style="32" customWidth="1"/>
    <col min="13325" max="13325" width="14" style="32" customWidth="1"/>
    <col min="13326" max="13326" width="16.5703125" style="32" customWidth="1"/>
    <col min="13327" max="13327" width="8.5703125" style="32" bestFit="1" customWidth="1"/>
    <col min="13328" max="13328" width="15.42578125" style="32" customWidth="1"/>
    <col min="13329" max="13568" width="16.5703125" style="32"/>
    <col min="13569" max="13569" width="27.7109375" style="32" customWidth="1"/>
    <col min="13570" max="13570" width="8.5703125" style="32" customWidth="1"/>
    <col min="13571" max="13571" width="33" style="32" customWidth="1"/>
    <col min="13572" max="13572" width="9.28515625" style="32" bestFit="1" customWidth="1"/>
    <col min="13573" max="13573" width="6.5703125" style="32" customWidth="1"/>
    <col min="13574" max="13574" width="11" style="32" bestFit="1" customWidth="1"/>
    <col min="13575" max="13575" width="15.28515625" style="32" bestFit="1" customWidth="1"/>
    <col min="13576" max="13576" width="9.140625" style="32" bestFit="1" customWidth="1"/>
    <col min="13577" max="13577" width="8.5703125" style="32" customWidth="1"/>
    <col min="13578" max="13578" width="10.28515625" style="32" bestFit="1" customWidth="1"/>
    <col min="13579" max="13579" width="13.85546875" style="32" customWidth="1"/>
    <col min="13580" max="13580" width="16" style="32" customWidth="1"/>
    <col min="13581" max="13581" width="14" style="32" customWidth="1"/>
    <col min="13582" max="13582" width="16.5703125" style="32" customWidth="1"/>
    <col min="13583" max="13583" width="8.5703125" style="32" bestFit="1" customWidth="1"/>
    <col min="13584" max="13584" width="15.42578125" style="32" customWidth="1"/>
    <col min="13585" max="13824" width="16.5703125" style="32"/>
    <col min="13825" max="13825" width="27.7109375" style="32" customWidth="1"/>
    <col min="13826" max="13826" width="8.5703125" style="32" customWidth="1"/>
    <col min="13827" max="13827" width="33" style="32" customWidth="1"/>
    <col min="13828" max="13828" width="9.28515625" style="32" bestFit="1" customWidth="1"/>
    <col min="13829" max="13829" width="6.5703125" style="32" customWidth="1"/>
    <col min="13830" max="13830" width="11" style="32" bestFit="1" customWidth="1"/>
    <col min="13831" max="13831" width="15.28515625" style="32" bestFit="1" customWidth="1"/>
    <col min="13832" max="13832" width="9.140625" style="32" bestFit="1" customWidth="1"/>
    <col min="13833" max="13833" width="8.5703125" style="32" customWidth="1"/>
    <col min="13834" max="13834" width="10.28515625" style="32" bestFit="1" customWidth="1"/>
    <col min="13835" max="13835" width="13.85546875" style="32" customWidth="1"/>
    <col min="13836" max="13836" width="16" style="32" customWidth="1"/>
    <col min="13837" max="13837" width="14" style="32" customWidth="1"/>
    <col min="13838" max="13838" width="16.5703125" style="32" customWidth="1"/>
    <col min="13839" max="13839" width="8.5703125" style="32" bestFit="1" customWidth="1"/>
    <col min="13840" max="13840" width="15.42578125" style="32" customWidth="1"/>
    <col min="13841" max="14080" width="16.5703125" style="32"/>
    <col min="14081" max="14081" width="27.7109375" style="32" customWidth="1"/>
    <col min="14082" max="14082" width="8.5703125" style="32" customWidth="1"/>
    <col min="14083" max="14083" width="33" style="32" customWidth="1"/>
    <col min="14084" max="14084" width="9.28515625" style="32" bestFit="1" customWidth="1"/>
    <col min="14085" max="14085" width="6.5703125" style="32" customWidth="1"/>
    <col min="14086" max="14086" width="11" style="32" bestFit="1" customWidth="1"/>
    <col min="14087" max="14087" width="15.28515625" style="32" bestFit="1" customWidth="1"/>
    <col min="14088" max="14088" width="9.140625" style="32" bestFit="1" customWidth="1"/>
    <col min="14089" max="14089" width="8.5703125" style="32" customWidth="1"/>
    <col min="14090" max="14090" width="10.28515625" style="32" bestFit="1" customWidth="1"/>
    <col min="14091" max="14091" width="13.85546875" style="32" customWidth="1"/>
    <col min="14092" max="14092" width="16" style="32" customWidth="1"/>
    <col min="14093" max="14093" width="14" style="32" customWidth="1"/>
    <col min="14094" max="14094" width="16.5703125" style="32" customWidth="1"/>
    <col min="14095" max="14095" width="8.5703125" style="32" bestFit="1" customWidth="1"/>
    <col min="14096" max="14096" width="15.42578125" style="32" customWidth="1"/>
    <col min="14097" max="14336" width="16.5703125" style="32"/>
    <col min="14337" max="14337" width="27.7109375" style="32" customWidth="1"/>
    <col min="14338" max="14338" width="8.5703125" style="32" customWidth="1"/>
    <col min="14339" max="14339" width="33" style="32" customWidth="1"/>
    <col min="14340" max="14340" width="9.28515625" style="32" bestFit="1" customWidth="1"/>
    <col min="14341" max="14341" width="6.5703125" style="32" customWidth="1"/>
    <col min="14342" max="14342" width="11" style="32" bestFit="1" customWidth="1"/>
    <col min="14343" max="14343" width="15.28515625" style="32" bestFit="1" customWidth="1"/>
    <col min="14344" max="14344" width="9.140625" style="32" bestFit="1" customWidth="1"/>
    <col min="14345" max="14345" width="8.5703125" style="32" customWidth="1"/>
    <col min="14346" max="14346" width="10.28515625" style="32" bestFit="1" customWidth="1"/>
    <col min="14347" max="14347" width="13.85546875" style="32" customWidth="1"/>
    <col min="14348" max="14348" width="16" style="32" customWidth="1"/>
    <col min="14349" max="14349" width="14" style="32" customWidth="1"/>
    <col min="14350" max="14350" width="16.5703125" style="32" customWidth="1"/>
    <col min="14351" max="14351" width="8.5703125" style="32" bestFit="1" customWidth="1"/>
    <col min="14352" max="14352" width="15.42578125" style="32" customWidth="1"/>
    <col min="14353" max="14592" width="16.5703125" style="32"/>
    <col min="14593" max="14593" width="27.7109375" style="32" customWidth="1"/>
    <col min="14594" max="14594" width="8.5703125" style="32" customWidth="1"/>
    <col min="14595" max="14595" width="33" style="32" customWidth="1"/>
    <col min="14596" max="14596" width="9.28515625" style="32" bestFit="1" customWidth="1"/>
    <col min="14597" max="14597" width="6.5703125" style="32" customWidth="1"/>
    <col min="14598" max="14598" width="11" style="32" bestFit="1" customWidth="1"/>
    <col min="14599" max="14599" width="15.28515625" style="32" bestFit="1" customWidth="1"/>
    <col min="14600" max="14600" width="9.140625" style="32" bestFit="1" customWidth="1"/>
    <col min="14601" max="14601" width="8.5703125" style="32" customWidth="1"/>
    <col min="14602" max="14602" width="10.28515625" style="32" bestFit="1" customWidth="1"/>
    <col min="14603" max="14603" width="13.85546875" style="32" customWidth="1"/>
    <col min="14604" max="14604" width="16" style="32" customWidth="1"/>
    <col min="14605" max="14605" width="14" style="32" customWidth="1"/>
    <col min="14606" max="14606" width="16.5703125" style="32" customWidth="1"/>
    <col min="14607" max="14607" width="8.5703125" style="32" bestFit="1" customWidth="1"/>
    <col min="14608" max="14608" width="15.42578125" style="32" customWidth="1"/>
    <col min="14609" max="14848" width="16.5703125" style="32"/>
    <col min="14849" max="14849" width="27.7109375" style="32" customWidth="1"/>
    <col min="14850" max="14850" width="8.5703125" style="32" customWidth="1"/>
    <col min="14851" max="14851" width="33" style="32" customWidth="1"/>
    <col min="14852" max="14852" width="9.28515625" style="32" bestFit="1" customWidth="1"/>
    <col min="14853" max="14853" width="6.5703125" style="32" customWidth="1"/>
    <col min="14854" max="14854" width="11" style="32" bestFit="1" customWidth="1"/>
    <col min="14855" max="14855" width="15.28515625" style="32" bestFit="1" customWidth="1"/>
    <col min="14856" max="14856" width="9.140625" style="32" bestFit="1" customWidth="1"/>
    <col min="14857" max="14857" width="8.5703125" style="32" customWidth="1"/>
    <col min="14858" max="14858" width="10.28515625" style="32" bestFit="1" customWidth="1"/>
    <col min="14859" max="14859" width="13.85546875" style="32" customWidth="1"/>
    <col min="14860" max="14860" width="16" style="32" customWidth="1"/>
    <col min="14861" max="14861" width="14" style="32" customWidth="1"/>
    <col min="14862" max="14862" width="16.5703125" style="32" customWidth="1"/>
    <col min="14863" max="14863" width="8.5703125" style="32" bestFit="1" customWidth="1"/>
    <col min="14864" max="14864" width="15.42578125" style="32" customWidth="1"/>
    <col min="14865" max="15104" width="16.5703125" style="32"/>
    <col min="15105" max="15105" width="27.7109375" style="32" customWidth="1"/>
    <col min="15106" max="15106" width="8.5703125" style="32" customWidth="1"/>
    <col min="15107" max="15107" width="33" style="32" customWidth="1"/>
    <col min="15108" max="15108" width="9.28515625" style="32" bestFit="1" customWidth="1"/>
    <col min="15109" max="15109" width="6.5703125" style="32" customWidth="1"/>
    <col min="15110" max="15110" width="11" style="32" bestFit="1" customWidth="1"/>
    <col min="15111" max="15111" width="15.28515625" style="32" bestFit="1" customWidth="1"/>
    <col min="15112" max="15112" width="9.140625" style="32" bestFit="1" customWidth="1"/>
    <col min="15113" max="15113" width="8.5703125" style="32" customWidth="1"/>
    <col min="15114" max="15114" width="10.28515625" style="32" bestFit="1" customWidth="1"/>
    <col min="15115" max="15115" width="13.85546875" style="32" customWidth="1"/>
    <col min="15116" max="15116" width="16" style="32" customWidth="1"/>
    <col min="15117" max="15117" width="14" style="32" customWidth="1"/>
    <col min="15118" max="15118" width="16.5703125" style="32" customWidth="1"/>
    <col min="15119" max="15119" width="8.5703125" style="32" bestFit="1" customWidth="1"/>
    <col min="15120" max="15120" width="15.42578125" style="32" customWidth="1"/>
    <col min="15121" max="15360" width="16.5703125" style="32"/>
    <col min="15361" max="15361" width="27.7109375" style="32" customWidth="1"/>
    <col min="15362" max="15362" width="8.5703125" style="32" customWidth="1"/>
    <col min="15363" max="15363" width="33" style="32" customWidth="1"/>
    <col min="15364" max="15364" width="9.28515625" style="32" bestFit="1" customWidth="1"/>
    <col min="15365" max="15365" width="6.5703125" style="32" customWidth="1"/>
    <col min="15366" max="15366" width="11" style="32" bestFit="1" customWidth="1"/>
    <col min="15367" max="15367" width="15.28515625" style="32" bestFit="1" customWidth="1"/>
    <col min="15368" max="15368" width="9.140625" style="32" bestFit="1" customWidth="1"/>
    <col min="15369" max="15369" width="8.5703125" style="32" customWidth="1"/>
    <col min="15370" max="15370" width="10.28515625" style="32" bestFit="1" customWidth="1"/>
    <col min="15371" max="15371" width="13.85546875" style="32" customWidth="1"/>
    <col min="15372" max="15372" width="16" style="32" customWidth="1"/>
    <col min="15373" max="15373" width="14" style="32" customWidth="1"/>
    <col min="15374" max="15374" width="16.5703125" style="32" customWidth="1"/>
    <col min="15375" max="15375" width="8.5703125" style="32" bestFit="1" customWidth="1"/>
    <col min="15376" max="15376" width="15.42578125" style="32" customWidth="1"/>
    <col min="15377" max="15616" width="16.5703125" style="32"/>
    <col min="15617" max="15617" width="27.7109375" style="32" customWidth="1"/>
    <col min="15618" max="15618" width="8.5703125" style="32" customWidth="1"/>
    <col min="15619" max="15619" width="33" style="32" customWidth="1"/>
    <col min="15620" max="15620" width="9.28515625" style="32" bestFit="1" customWidth="1"/>
    <col min="15621" max="15621" width="6.5703125" style="32" customWidth="1"/>
    <col min="15622" max="15622" width="11" style="32" bestFit="1" customWidth="1"/>
    <col min="15623" max="15623" width="15.28515625" style="32" bestFit="1" customWidth="1"/>
    <col min="15624" max="15624" width="9.140625" style="32" bestFit="1" customWidth="1"/>
    <col min="15625" max="15625" width="8.5703125" style="32" customWidth="1"/>
    <col min="15626" max="15626" width="10.28515625" style="32" bestFit="1" customWidth="1"/>
    <col min="15627" max="15627" width="13.85546875" style="32" customWidth="1"/>
    <col min="15628" max="15628" width="16" style="32" customWidth="1"/>
    <col min="15629" max="15629" width="14" style="32" customWidth="1"/>
    <col min="15630" max="15630" width="16.5703125" style="32" customWidth="1"/>
    <col min="15631" max="15631" width="8.5703125" style="32" bestFit="1" customWidth="1"/>
    <col min="15632" max="15632" width="15.42578125" style="32" customWidth="1"/>
    <col min="15633" max="15872" width="16.5703125" style="32"/>
    <col min="15873" max="15873" width="27.7109375" style="32" customWidth="1"/>
    <col min="15874" max="15874" width="8.5703125" style="32" customWidth="1"/>
    <col min="15875" max="15875" width="33" style="32" customWidth="1"/>
    <col min="15876" max="15876" width="9.28515625" style="32" bestFit="1" customWidth="1"/>
    <col min="15877" max="15877" width="6.5703125" style="32" customWidth="1"/>
    <col min="15878" max="15878" width="11" style="32" bestFit="1" customWidth="1"/>
    <col min="15879" max="15879" width="15.28515625" style="32" bestFit="1" customWidth="1"/>
    <col min="15880" max="15880" width="9.140625" style="32" bestFit="1" customWidth="1"/>
    <col min="15881" max="15881" width="8.5703125" style="32" customWidth="1"/>
    <col min="15882" max="15882" width="10.28515625" style="32" bestFit="1" customWidth="1"/>
    <col min="15883" max="15883" width="13.85546875" style="32" customWidth="1"/>
    <col min="15884" max="15884" width="16" style="32" customWidth="1"/>
    <col min="15885" max="15885" width="14" style="32" customWidth="1"/>
    <col min="15886" max="15886" width="16.5703125" style="32" customWidth="1"/>
    <col min="15887" max="15887" width="8.5703125" style="32" bestFit="1" customWidth="1"/>
    <col min="15888" max="15888" width="15.42578125" style="32" customWidth="1"/>
    <col min="15889" max="16128" width="16.5703125" style="32"/>
    <col min="16129" max="16129" width="27.7109375" style="32" customWidth="1"/>
    <col min="16130" max="16130" width="8.5703125" style="32" customWidth="1"/>
    <col min="16131" max="16131" width="33" style="32" customWidth="1"/>
    <col min="16132" max="16132" width="9.28515625" style="32" bestFit="1" customWidth="1"/>
    <col min="16133" max="16133" width="6.5703125" style="32" customWidth="1"/>
    <col min="16134" max="16134" width="11" style="32" bestFit="1" customWidth="1"/>
    <col min="16135" max="16135" width="15.28515625" style="32" bestFit="1" customWidth="1"/>
    <col min="16136" max="16136" width="9.140625" style="32" bestFit="1" customWidth="1"/>
    <col min="16137" max="16137" width="8.5703125" style="32" customWidth="1"/>
    <col min="16138" max="16138" width="10.28515625" style="32" bestFit="1" customWidth="1"/>
    <col min="16139" max="16139" width="13.85546875" style="32" customWidth="1"/>
    <col min="16140" max="16140" width="16" style="32" customWidth="1"/>
    <col min="16141" max="16141" width="14" style="32" customWidth="1"/>
    <col min="16142" max="16142" width="16.5703125" style="32" customWidth="1"/>
    <col min="16143" max="16143" width="8.5703125" style="32" bestFit="1" customWidth="1"/>
    <col min="16144" max="16144" width="15.42578125" style="32" customWidth="1"/>
    <col min="16145" max="16384" width="16.5703125" style="32"/>
  </cols>
  <sheetData>
    <row r="1" spans="1:16" s="276" customFormat="1" ht="51" x14ac:dyDescent="0.2">
      <c r="A1" s="269" t="s">
        <v>442</v>
      </c>
      <c r="B1" s="269" t="s">
        <v>446</v>
      </c>
      <c r="C1" s="269" t="s">
        <v>447</v>
      </c>
      <c r="D1" s="269" t="s">
        <v>443</v>
      </c>
      <c r="E1" s="269" t="s">
        <v>444</v>
      </c>
      <c r="F1" s="269" t="s">
        <v>573</v>
      </c>
      <c r="G1" s="269" t="s">
        <v>445</v>
      </c>
      <c r="H1" s="270" t="s">
        <v>448</v>
      </c>
      <c r="I1" s="269" t="s">
        <v>449</v>
      </c>
      <c r="J1" s="269" t="s">
        <v>451</v>
      </c>
      <c r="K1" s="271" t="s">
        <v>452</v>
      </c>
      <c r="L1" s="271" t="s">
        <v>453</v>
      </c>
      <c r="M1" s="272" t="s">
        <v>454</v>
      </c>
      <c r="N1" s="273" t="s">
        <v>574</v>
      </c>
      <c r="O1" s="274" t="s">
        <v>456</v>
      </c>
      <c r="P1" s="275" t="s">
        <v>457</v>
      </c>
    </row>
    <row r="2" spans="1:16" x14ac:dyDescent="0.2">
      <c r="A2" s="32" t="s">
        <v>575</v>
      </c>
      <c r="B2" s="32" t="s">
        <v>576</v>
      </c>
      <c r="C2" s="32" t="s">
        <v>577</v>
      </c>
      <c r="D2" s="32" t="s">
        <v>578</v>
      </c>
      <c r="E2" s="277" t="s">
        <v>556</v>
      </c>
      <c r="F2" s="277" t="s">
        <v>579</v>
      </c>
      <c r="G2" s="32" t="str">
        <f t="shared" ref="G2:G65" si="0">D2&amp;" "&amp;E2&amp;" "&amp;F2</f>
        <v>.625" PE EUF</v>
      </c>
      <c r="H2" s="278" t="s">
        <v>467</v>
      </c>
      <c r="I2" s="32" t="s">
        <v>462</v>
      </c>
      <c r="J2" s="279">
        <v>0</v>
      </c>
      <c r="K2" s="280">
        <v>7.0000000000000007E-2</v>
      </c>
      <c r="L2" s="280">
        <v>0.04</v>
      </c>
      <c r="M2" s="280">
        <v>0.03</v>
      </c>
      <c r="N2" s="281">
        <v>344</v>
      </c>
      <c r="O2" s="282">
        <v>529</v>
      </c>
      <c r="P2" s="280">
        <f t="shared" ref="P2:P65" si="1">+(O2/N2)*K2</f>
        <v>0.10764534883720932</v>
      </c>
    </row>
    <row r="3" spans="1:16" x14ac:dyDescent="0.2">
      <c r="A3" s="32" t="s">
        <v>580</v>
      </c>
      <c r="B3" s="32" t="s">
        <v>576</v>
      </c>
      <c r="C3" s="32" t="s">
        <v>577</v>
      </c>
      <c r="D3" s="32" t="s">
        <v>578</v>
      </c>
      <c r="E3" s="32" t="s">
        <v>556</v>
      </c>
      <c r="F3" s="32" t="s">
        <v>581</v>
      </c>
      <c r="G3" s="32" t="str">
        <f t="shared" si="0"/>
        <v>.625" PE EXTN</v>
      </c>
      <c r="H3" s="278" t="s">
        <v>467</v>
      </c>
      <c r="I3" s="32" t="s">
        <v>462</v>
      </c>
      <c r="J3" s="279">
        <v>605</v>
      </c>
      <c r="K3" s="280">
        <v>387544.25</v>
      </c>
      <c r="L3" s="280">
        <v>200428.19</v>
      </c>
      <c r="M3" s="280">
        <v>187116.06</v>
      </c>
      <c r="N3" s="281">
        <v>344</v>
      </c>
      <c r="O3" s="282">
        <v>529</v>
      </c>
      <c r="P3" s="280">
        <f t="shared" si="1"/>
        <v>595961.94258720928</v>
      </c>
    </row>
    <row r="4" spans="1:16" x14ac:dyDescent="0.2">
      <c r="A4" s="32" t="s">
        <v>580</v>
      </c>
      <c r="B4" s="32" t="s">
        <v>576</v>
      </c>
      <c r="C4" s="32" t="s">
        <v>577</v>
      </c>
      <c r="D4" s="32" t="s">
        <v>578</v>
      </c>
      <c r="E4" s="32" t="s">
        <v>556</v>
      </c>
      <c r="F4" s="32" t="s">
        <v>581</v>
      </c>
      <c r="G4" s="32" t="str">
        <f t="shared" si="0"/>
        <v>.625" PE EXTN</v>
      </c>
      <c r="H4" s="278" t="s">
        <v>473</v>
      </c>
      <c r="I4" s="32" t="s">
        <v>462</v>
      </c>
      <c r="J4" s="279">
        <v>14917</v>
      </c>
      <c r="K4" s="280">
        <v>9884231.5299999993</v>
      </c>
      <c r="L4" s="280">
        <v>4755848.6100000003</v>
      </c>
      <c r="M4" s="280">
        <v>5128382.92</v>
      </c>
      <c r="N4" s="281">
        <v>351</v>
      </c>
      <c r="O4" s="282">
        <v>529</v>
      </c>
      <c r="P4" s="280">
        <f t="shared" si="1"/>
        <v>14896747.804472934</v>
      </c>
    </row>
    <row r="5" spans="1:16" x14ac:dyDescent="0.2">
      <c r="A5" s="32" t="s">
        <v>580</v>
      </c>
      <c r="B5" s="32" t="s">
        <v>576</v>
      </c>
      <c r="C5" s="32" t="s">
        <v>577</v>
      </c>
      <c r="D5" s="32" t="s">
        <v>578</v>
      </c>
      <c r="E5" s="32" t="s">
        <v>556</v>
      </c>
      <c r="F5" s="32" t="s">
        <v>581</v>
      </c>
      <c r="G5" s="32" t="str">
        <f t="shared" si="0"/>
        <v>.625" PE EXTN</v>
      </c>
      <c r="H5" s="278" t="s">
        <v>479</v>
      </c>
      <c r="I5" s="32" t="s">
        <v>462</v>
      </c>
      <c r="J5" s="279">
        <v>23760</v>
      </c>
      <c r="K5" s="280">
        <v>13539138.710000001</v>
      </c>
      <c r="L5" s="280">
        <v>6020027.0700000003</v>
      </c>
      <c r="M5" s="280">
        <v>7519111.6399999997</v>
      </c>
      <c r="N5" s="281">
        <v>357</v>
      </c>
      <c r="O5" s="282">
        <v>529</v>
      </c>
      <c r="P5" s="280">
        <f t="shared" si="1"/>
        <v>20062197.136106446</v>
      </c>
    </row>
    <row r="6" spans="1:16" x14ac:dyDescent="0.2">
      <c r="A6" s="32" t="s">
        <v>580</v>
      </c>
      <c r="B6" s="32" t="s">
        <v>576</v>
      </c>
      <c r="C6" s="32" t="s">
        <v>577</v>
      </c>
      <c r="D6" s="32" t="s">
        <v>578</v>
      </c>
      <c r="E6" s="32" t="s">
        <v>556</v>
      </c>
      <c r="F6" s="32" t="s">
        <v>581</v>
      </c>
      <c r="G6" s="32" t="str">
        <f t="shared" si="0"/>
        <v>.625" PE EXTN</v>
      </c>
      <c r="H6" s="278" t="s">
        <v>480</v>
      </c>
      <c r="I6" s="32" t="s">
        <v>462</v>
      </c>
      <c r="J6" s="279">
        <v>17938</v>
      </c>
      <c r="K6" s="280">
        <v>23042154.550000001</v>
      </c>
      <c r="L6" s="280">
        <v>9397036.7200000007</v>
      </c>
      <c r="M6" s="280">
        <v>13645117.83</v>
      </c>
      <c r="N6" s="281">
        <v>365</v>
      </c>
      <c r="O6" s="282">
        <v>529</v>
      </c>
      <c r="P6" s="280">
        <f t="shared" si="1"/>
        <v>33395341.799863014</v>
      </c>
    </row>
    <row r="7" spans="1:16" x14ac:dyDescent="0.2">
      <c r="A7" s="32" t="s">
        <v>580</v>
      </c>
      <c r="B7" s="32" t="s">
        <v>576</v>
      </c>
      <c r="C7" s="32" t="s">
        <v>577</v>
      </c>
      <c r="D7" s="32" t="s">
        <v>578</v>
      </c>
      <c r="E7" s="32" t="s">
        <v>556</v>
      </c>
      <c r="F7" s="32" t="s">
        <v>581</v>
      </c>
      <c r="G7" s="32" t="str">
        <f t="shared" si="0"/>
        <v>.625" PE EXTN</v>
      </c>
      <c r="H7" s="278" t="s">
        <v>472</v>
      </c>
      <c r="I7" s="32" t="s">
        <v>462</v>
      </c>
      <c r="J7" s="279">
        <v>17428</v>
      </c>
      <c r="K7" s="280">
        <v>11601286.789999999</v>
      </c>
      <c r="L7" s="280">
        <v>4302655.78</v>
      </c>
      <c r="M7" s="280">
        <v>7298631.0099999998</v>
      </c>
      <c r="N7" s="281">
        <v>370</v>
      </c>
      <c r="O7" s="282">
        <v>529</v>
      </c>
      <c r="P7" s="280">
        <f t="shared" si="1"/>
        <v>16586704.626783783</v>
      </c>
    </row>
    <row r="8" spans="1:16" x14ac:dyDescent="0.2">
      <c r="A8" s="32" t="s">
        <v>580</v>
      </c>
      <c r="B8" s="32" t="s">
        <v>576</v>
      </c>
      <c r="C8" s="32" t="s">
        <v>577</v>
      </c>
      <c r="D8" s="32" t="s">
        <v>578</v>
      </c>
      <c r="E8" s="32" t="s">
        <v>556</v>
      </c>
      <c r="F8" s="32" t="s">
        <v>581</v>
      </c>
      <c r="G8" s="32" t="str">
        <f t="shared" si="0"/>
        <v>.625" PE EXTN</v>
      </c>
      <c r="H8" s="278" t="s">
        <v>478</v>
      </c>
      <c r="I8" s="32" t="s">
        <v>462</v>
      </c>
      <c r="J8" s="279">
        <v>9266</v>
      </c>
      <c r="K8" s="280">
        <v>7843251.6799999997</v>
      </c>
      <c r="L8" s="280">
        <v>2619702.92</v>
      </c>
      <c r="M8" s="280">
        <v>5223548.76</v>
      </c>
      <c r="N8" s="281">
        <v>378</v>
      </c>
      <c r="O8" s="282">
        <v>529</v>
      </c>
      <c r="P8" s="280">
        <f t="shared" si="1"/>
        <v>10976402.483386243</v>
      </c>
    </row>
    <row r="9" spans="1:16" x14ac:dyDescent="0.2">
      <c r="A9" s="32" t="s">
        <v>580</v>
      </c>
      <c r="B9" s="32" t="s">
        <v>576</v>
      </c>
      <c r="C9" s="32" t="s">
        <v>577</v>
      </c>
      <c r="D9" s="32" t="s">
        <v>578</v>
      </c>
      <c r="E9" s="32" t="s">
        <v>556</v>
      </c>
      <c r="F9" s="32" t="s">
        <v>581</v>
      </c>
      <c r="G9" s="32" t="str">
        <f t="shared" si="0"/>
        <v>.625" PE EXTN</v>
      </c>
      <c r="H9" s="278" t="s">
        <v>475</v>
      </c>
      <c r="I9" s="32" t="s">
        <v>462</v>
      </c>
      <c r="J9" s="279">
        <v>7727</v>
      </c>
      <c r="K9" s="280">
        <v>5054905.8600000003</v>
      </c>
      <c r="L9" s="280">
        <v>1503188.02</v>
      </c>
      <c r="M9" s="280">
        <v>3551717.84</v>
      </c>
      <c r="N9" s="281">
        <v>393</v>
      </c>
      <c r="O9" s="282">
        <v>529</v>
      </c>
      <c r="P9" s="280">
        <f t="shared" si="1"/>
        <v>6804186.2593893129</v>
      </c>
    </row>
    <row r="10" spans="1:16" x14ac:dyDescent="0.2">
      <c r="A10" s="32" t="s">
        <v>580</v>
      </c>
      <c r="B10" s="32" t="s">
        <v>576</v>
      </c>
      <c r="C10" s="32" t="s">
        <v>577</v>
      </c>
      <c r="D10" s="32" t="s">
        <v>578</v>
      </c>
      <c r="E10" s="32" t="s">
        <v>556</v>
      </c>
      <c r="F10" s="32" t="s">
        <v>581</v>
      </c>
      <c r="G10" s="32" t="str">
        <f t="shared" si="0"/>
        <v>.625" PE EXTN</v>
      </c>
      <c r="H10" s="278" t="s">
        <v>471</v>
      </c>
      <c r="I10" s="32" t="s">
        <v>462</v>
      </c>
      <c r="J10" s="279">
        <v>14135</v>
      </c>
      <c r="K10" s="280">
        <v>6766532.5499999998</v>
      </c>
      <c r="L10" s="280">
        <v>1767117.26</v>
      </c>
      <c r="M10" s="280">
        <v>4999415.29</v>
      </c>
      <c r="N10" s="281">
        <v>398</v>
      </c>
      <c r="O10" s="282">
        <v>529</v>
      </c>
      <c r="P10" s="280">
        <f t="shared" si="1"/>
        <v>8993707.8365577888</v>
      </c>
    </row>
    <row r="11" spans="1:16" x14ac:dyDescent="0.2">
      <c r="A11" s="32" t="s">
        <v>580</v>
      </c>
      <c r="B11" s="32" t="s">
        <v>576</v>
      </c>
      <c r="C11" s="32" t="s">
        <v>577</v>
      </c>
      <c r="D11" s="32" t="s">
        <v>578</v>
      </c>
      <c r="E11" s="32" t="s">
        <v>556</v>
      </c>
      <c r="F11" s="32" t="s">
        <v>581</v>
      </c>
      <c r="G11" s="32" t="str">
        <f t="shared" si="0"/>
        <v>.625" PE EXTN</v>
      </c>
      <c r="H11" s="278" t="s">
        <v>476</v>
      </c>
      <c r="I11" s="32" t="s">
        <v>462</v>
      </c>
      <c r="J11" s="279">
        <v>21930</v>
      </c>
      <c r="K11" s="280">
        <v>7154150.6600000001</v>
      </c>
      <c r="L11" s="280">
        <v>1613171.9</v>
      </c>
      <c r="M11" s="280">
        <v>5540978.7599999998</v>
      </c>
      <c r="N11" s="281">
        <v>409</v>
      </c>
      <c r="O11" s="282">
        <v>529</v>
      </c>
      <c r="P11" s="280">
        <f t="shared" si="1"/>
        <v>9253167.9685574584</v>
      </c>
    </row>
    <row r="12" spans="1:16" x14ac:dyDescent="0.2">
      <c r="A12" s="32" t="s">
        <v>580</v>
      </c>
      <c r="B12" s="32" t="s">
        <v>576</v>
      </c>
      <c r="C12" s="32" t="s">
        <v>577</v>
      </c>
      <c r="D12" s="32" t="s">
        <v>578</v>
      </c>
      <c r="E12" s="32" t="s">
        <v>556</v>
      </c>
      <c r="F12" s="32" t="s">
        <v>581</v>
      </c>
      <c r="G12" s="32" t="str">
        <f t="shared" si="0"/>
        <v>.625" PE EXTN</v>
      </c>
      <c r="H12" s="278" t="s">
        <v>474</v>
      </c>
      <c r="I12" s="32" t="s">
        <v>462</v>
      </c>
      <c r="J12" s="279">
        <v>20798</v>
      </c>
      <c r="K12" s="280">
        <v>7602073.04</v>
      </c>
      <c r="L12" s="280">
        <v>1447961.3</v>
      </c>
      <c r="M12" s="280">
        <v>6154111.7400000002</v>
      </c>
      <c r="N12" s="281">
        <v>431</v>
      </c>
      <c r="O12" s="282">
        <v>529</v>
      </c>
      <c r="P12" s="280">
        <f t="shared" si="1"/>
        <v>9330618.6500232015</v>
      </c>
    </row>
    <row r="13" spans="1:16" x14ac:dyDescent="0.2">
      <c r="A13" s="32" t="s">
        <v>580</v>
      </c>
      <c r="B13" s="32" t="s">
        <v>576</v>
      </c>
      <c r="C13" s="32" t="s">
        <v>577</v>
      </c>
      <c r="D13" s="32" t="s">
        <v>578</v>
      </c>
      <c r="E13" s="32" t="s">
        <v>556</v>
      </c>
      <c r="F13" s="32" t="s">
        <v>581</v>
      </c>
      <c r="G13" s="32" t="str">
        <f t="shared" si="0"/>
        <v>.625" PE EXTN</v>
      </c>
      <c r="H13" s="278" t="s">
        <v>477</v>
      </c>
      <c r="I13" s="32" t="s">
        <v>462</v>
      </c>
      <c r="J13" s="279">
        <v>18499</v>
      </c>
      <c r="K13" s="280">
        <v>11228428.58</v>
      </c>
      <c r="L13" s="280">
        <v>1753198.87</v>
      </c>
      <c r="M13" s="280">
        <v>9475229.7100000009</v>
      </c>
      <c r="N13" s="281">
        <v>450</v>
      </c>
      <c r="O13" s="282">
        <v>529</v>
      </c>
      <c r="P13" s="280">
        <f t="shared" si="1"/>
        <v>13199641.597377777</v>
      </c>
    </row>
    <row r="14" spans="1:16" x14ac:dyDescent="0.2">
      <c r="A14" s="32" t="s">
        <v>580</v>
      </c>
      <c r="B14" s="32" t="s">
        <v>576</v>
      </c>
      <c r="C14" s="32" t="s">
        <v>577</v>
      </c>
      <c r="D14" s="32" t="s">
        <v>578</v>
      </c>
      <c r="E14" s="32" t="s">
        <v>556</v>
      </c>
      <c r="F14" s="32" t="s">
        <v>581</v>
      </c>
      <c r="G14" s="32" t="str">
        <f t="shared" si="0"/>
        <v>.625" PE EXTN</v>
      </c>
      <c r="H14" s="278" t="s">
        <v>470</v>
      </c>
      <c r="I14" s="32" t="s">
        <v>462</v>
      </c>
      <c r="J14" s="279">
        <v>54</v>
      </c>
      <c r="K14" s="280">
        <v>82479.09</v>
      </c>
      <c r="L14" s="280">
        <v>10096.4</v>
      </c>
      <c r="M14" s="280">
        <v>72382.69</v>
      </c>
      <c r="N14" s="281">
        <v>467</v>
      </c>
      <c r="O14" s="282">
        <v>529</v>
      </c>
      <c r="P14" s="280">
        <f t="shared" si="1"/>
        <v>93429.204732334038</v>
      </c>
    </row>
    <row r="15" spans="1:16" x14ac:dyDescent="0.2">
      <c r="A15" s="32" t="s">
        <v>580</v>
      </c>
      <c r="B15" s="32" t="s">
        <v>576</v>
      </c>
      <c r="C15" s="32" t="s">
        <v>577</v>
      </c>
      <c r="D15" s="32" t="s">
        <v>578</v>
      </c>
      <c r="E15" s="32" t="s">
        <v>556</v>
      </c>
      <c r="F15" s="32" t="s">
        <v>581</v>
      </c>
      <c r="G15" s="32" t="str">
        <f t="shared" si="0"/>
        <v>.625" PE EXTN</v>
      </c>
      <c r="H15" s="278" t="s">
        <v>470</v>
      </c>
      <c r="I15" s="32" t="s">
        <v>462</v>
      </c>
      <c r="J15" s="279">
        <v>1382</v>
      </c>
      <c r="K15" s="280">
        <v>742134.33</v>
      </c>
      <c r="L15" s="280">
        <v>90845.84</v>
      </c>
      <c r="M15" s="280">
        <v>651288.49</v>
      </c>
      <c r="N15" s="281">
        <v>467</v>
      </c>
      <c r="O15" s="282">
        <v>529</v>
      </c>
      <c r="P15" s="280">
        <f t="shared" si="1"/>
        <v>840661.79993576009</v>
      </c>
    </row>
    <row r="16" spans="1:16" x14ac:dyDescent="0.2">
      <c r="A16" s="32" t="s">
        <v>580</v>
      </c>
      <c r="B16" s="32" t="s">
        <v>576</v>
      </c>
      <c r="C16" s="32" t="s">
        <v>577</v>
      </c>
      <c r="D16" s="32" t="s">
        <v>578</v>
      </c>
      <c r="E16" s="32" t="s">
        <v>556</v>
      </c>
      <c r="F16" s="32" t="s">
        <v>581</v>
      </c>
      <c r="G16" s="32" t="str">
        <f t="shared" si="0"/>
        <v>.625" PE EXTN</v>
      </c>
      <c r="H16" s="278" t="s">
        <v>470</v>
      </c>
      <c r="I16" s="32" t="s">
        <v>462</v>
      </c>
      <c r="J16" s="279">
        <v>3290</v>
      </c>
      <c r="K16" s="280">
        <v>1869486.54</v>
      </c>
      <c r="L16" s="280">
        <v>228846.8</v>
      </c>
      <c r="M16" s="280">
        <v>1640639.74</v>
      </c>
      <c r="N16" s="281">
        <v>467</v>
      </c>
      <c r="O16" s="282">
        <v>529</v>
      </c>
      <c r="P16" s="280">
        <f t="shared" si="1"/>
        <v>2117683.8964882228</v>
      </c>
    </row>
    <row r="17" spans="1:16" x14ac:dyDescent="0.2">
      <c r="A17" s="32" t="s">
        <v>580</v>
      </c>
      <c r="B17" s="32" t="s">
        <v>576</v>
      </c>
      <c r="C17" s="32" t="s">
        <v>577</v>
      </c>
      <c r="D17" s="32" t="s">
        <v>578</v>
      </c>
      <c r="E17" s="32" t="s">
        <v>556</v>
      </c>
      <c r="F17" s="32" t="s">
        <v>581</v>
      </c>
      <c r="G17" s="32" t="str">
        <f t="shared" si="0"/>
        <v>.625" PE EXTN</v>
      </c>
      <c r="H17" s="278" t="s">
        <v>470</v>
      </c>
      <c r="I17" s="32" t="s">
        <v>462</v>
      </c>
      <c r="J17" s="279">
        <v>3775</v>
      </c>
      <c r="K17" s="280">
        <v>3521100.44</v>
      </c>
      <c r="L17" s="280">
        <v>431023.47</v>
      </c>
      <c r="M17" s="280">
        <v>3090076.97</v>
      </c>
      <c r="N17" s="281">
        <v>467</v>
      </c>
      <c r="O17" s="282">
        <v>529</v>
      </c>
      <c r="P17" s="280">
        <f t="shared" si="1"/>
        <v>3988569.8774304064</v>
      </c>
    </row>
    <row r="18" spans="1:16" x14ac:dyDescent="0.2">
      <c r="A18" s="32" t="s">
        <v>580</v>
      </c>
      <c r="B18" s="32" t="s">
        <v>576</v>
      </c>
      <c r="C18" s="32" t="s">
        <v>577</v>
      </c>
      <c r="D18" s="32" t="s">
        <v>578</v>
      </c>
      <c r="E18" s="32" t="s">
        <v>556</v>
      </c>
      <c r="F18" s="32" t="s">
        <v>581</v>
      </c>
      <c r="G18" s="32" t="str">
        <f t="shared" si="0"/>
        <v>.625" PE EXTN</v>
      </c>
      <c r="H18" s="278" t="s">
        <v>470</v>
      </c>
      <c r="I18" s="32" t="s">
        <v>462</v>
      </c>
      <c r="J18" s="279">
        <v>6866</v>
      </c>
      <c r="K18" s="280">
        <v>7181744.04</v>
      </c>
      <c r="L18" s="280">
        <v>879128.64</v>
      </c>
      <c r="M18" s="280">
        <v>6302615.4000000004</v>
      </c>
      <c r="N18" s="281">
        <v>467</v>
      </c>
      <c r="O18" s="282">
        <v>529</v>
      </c>
      <c r="P18" s="280">
        <f t="shared" si="1"/>
        <v>8135208.9874946456</v>
      </c>
    </row>
    <row r="19" spans="1:16" x14ac:dyDescent="0.2">
      <c r="A19" s="32" t="s">
        <v>580</v>
      </c>
      <c r="B19" s="32" t="s">
        <v>576</v>
      </c>
      <c r="C19" s="32" t="s">
        <v>577</v>
      </c>
      <c r="D19" s="32" t="s">
        <v>578</v>
      </c>
      <c r="E19" s="32" t="s">
        <v>556</v>
      </c>
      <c r="F19" s="32" t="s">
        <v>581</v>
      </c>
      <c r="G19" s="32" t="str">
        <f t="shared" si="0"/>
        <v>.625" PE EXTN</v>
      </c>
      <c r="H19" s="278" t="s">
        <v>461</v>
      </c>
      <c r="I19" s="32" t="s">
        <v>462</v>
      </c>
      <c r="J19" s="279">
        <v>0</v>
      </c>
      <c r="K19" s="280">
        <v>8174.5</v>
      </c>
      <c r="L19" s="280">
        <v>727.67</v>
      </c>
      <c r="M19" s="280">
        <v>7446.83</v>
      </c>
      <c r="N19" s="281">
        <v>491</v>
      </c>
      <c r="O19" s="282">
        <v>529</v>
      </c>
      <c r="P19" s="280">
        <f t="shared" si="1"/>
        <v>8807.1496945010167</v>
      </c>
    </row>
    <row r="20" spans="1:16" x14ac:dyDescent="0.2">
      <c r="A20" s="32" t="s">
        <v>580</v>
      </c>
      <c r="B20" s="32" t="s">
        <v>576</v>
      </c>
      <c r="C20" s="32" t="s">
        <v>577</v>
      </c>
      <c r="D20" s="32" t="s">
        <v>578</v>
      </c>
      <c r="E20" s="32" t="s">
        <v>556</v>
      </c>
      <c r="F20" s="32" t="s">
        <v>581</v>
      </c>
      <c r="G20" s="32" t="str">
        <f t="shared" si="0"/>
        <v>.625" PE EXTN</v>
      </c>
      <c r="H20" s="278" t="s">
        <v>461</v>
      </c>
      <c r="I20" s="32" t="s">
        <v>462</v>
      </c>
      <c r="J20" s="279">
        <v>1</v>
      </c>
      <c r="K20" s="280">
        <v>8319.14</v>
      </c>
      <c r="L20" s="280">
        <v>740.55</v>
      </c>
      <c r="M20" s="280">
        <v>7578.59</v>
      </c>
      <c r="N20" s="281">
        <v>491</v>
      </c>
      <c r="O20" s="282">
        <v>529</v>
      </c>
      <c r="P20" s="280">
        <f t="shared" si="1"/>
        <v>8962.9838289205691</v>
      </c>
    </row>
    <row r="21" spans="1:16" x14ac:dyDescent="0.2">
      <c r="A21" s="32" t="s">
        <v>580</v>
      </c>
      <c r="B21" s="32" t="s">
        <v>576</v>
      </c>
      <c r="C21" s="32" t="s">
        <v>577</v>
      </c>
      <c r="D21" s="32" t="s">
        <v>578</v>
      </c>
      <c r="E21" s="32" t="s">
        <v>556</v>
      </c>
      <c r="F21" s="32" t="s">
        <v>581</v>
      </c>
      <c r="G21" s="32" t="str">
        <f t="shared" si="0"/>
        <v>.625" PE EXTN</v>
      </c>
      <c r="H21" s="278" t="s">
        <v>461</v>
      </c>
      <c r="I21" s="32" t="s">
        <v>462</v>
      </c>
      <c r="J21" s="279">
        <v>3</v>
      </c>
      <c r="K21" s="280">
        <v>2245.27</v>
      </c>
      <c r="L21" s="280">
        <v>199.87</v>
      </c>
      <c r="M21" s="280">
        <v>2045.4</v>
      </c>
      <c r="N21" s="281">
        <v>491</v>
      </c>
      <c r="O21" s="282">
        <v>529</v>
      </c>
      <c r="P21" s="280">
        <f t="shared" si="1"/>
        <v>2419.0383503054986</v>
      </c>
    </row>
    <row r="22" spans="1:16" x14ac:dyDescent="0.2">
      <c r="A22" s="32" t="s">
        <v>580</v>
      </c>
      <c r="B22" s="32" t="s">
        <v>576</v>
      </c>
      <c r="C22" s="32" t="s">
        <v>577</v>
      </c>
      <c r="D22" s="32" t="s">
        <v>578</v>
      </c>
      <c r="E22" s="32" t="s">
        <v>556</v>
      </c>
      <c r="F22" s="32" t="s">
        <v>581</v>
      </c>
      <c r="G22" s="32" t="str">
        <f t="shared" si="0"/>
        <v>.625" PE EXTN</v>
      </c>
      <c r="H22" s="278" t="s">
        <v>461</v>
      </c>
      <c r="I22" s="32" t="s">
        <v>462</v>
      </c>
      <c r="J22" s="279">
        <v>26</v>
      </c>
      <c r="K22" s="280">
        <v>55804.99</v>
      </c>
      <c r="L22" s="280">
        <v>4967.6000000000004</v>
      </c>
      <c r="M22" s="280">
        <v>50837.39</v>
      </c>
      <c r="N22" s="281">
        <v>491</v>
      </c>
      <c r="O22" s="282">
        <v>529</v>
      </c>
      <c r="P22" s="280">
        <f t="shared" si="1"/>
        <v>60123.909796334003</v>
      </c>
    </row>
    <row r="23" spans="1:16" x14ac:dyDescent="0.2">
      <c r="A23" s="32" t="s">
        <v>580</v>
      </c>
      <c r="B23" s="32" t="s">
        <v>576</v>
      </c>
      <c r="C23" s="32" t="s">
        <v>577</v>
      </c>
      <c r="D23" s="32" t="s">
        <v>578</v>
      </c>
      <c r="E23" s="32" t="s">
        <v>556</v>
      </c>
      <c r="F23" s="32" t="s">
        <v>581</v>
      </c>
      <c r="G23" s="32" t="str">
        <f t="shared" si="0"/>
        <v>.625" PE EXTN</v>
      </c>
      <c r="H23" s="278" t="s">
        <v>461</v>
      </c>
      <c r="I23" s="32" t="s">
        <v>462</v>
      </c>
      <c r="J23" s="279">
        <v>174</v>
      </c>
      <c r="K23" s="280">
        <v>112481.69</v>
      </c>
      <c r="L23" s="280">
        <v>10012.790000000001</v>
      </c>
      <c r="M23" s="280">
        <v>102468.9</v>
      </c>
      <c r="N23" s="281">
        <v>491</v>
      </c>
      <c r="O23" s="282">
        <v>529</v>
      </c>
      <c r="P23" s="280">
        <f t="shared" si="1"/>
        <v>121186.99391038695</v>
      </c>
    </row>
    <row r="24" spans="1:16" x14ac:dyDescent="0.2">
      <c r="A24" s="32" t="s">
        <v>580</v>
      </c>
      <c r="B24" s="32" t="s">
        <v>576</v>
      </c>
      <c r="C24" s="32" t="s">
        <v>577</v>
      </c>
      <c r="D24" s="32" t="s">
        <v>578</v>
      </c>
      <c r="E24" s="32" t="s">
        <v>556</v>
      </c>
      <c r="F24" s="32" t="s">
        <v>581</v>
      </c>
      <c r="G24" s="32" t="str">
        <f t="shared" si="0"/>
        <v>.625" PE EXTN</v>
      </c>
      <c r="H24" s="278" t="s">
        <v>461</v>
      </c>
      <c r="I24" s="32" t="s">
        <v>462</v>
      </c>
      <c r="J24" s="279">
        <v>874</v>
      </c>
      <c r="K24" s="280">
        <v>949026.45</v>
      </c>
      <c r="L24" s="280">
        <v>84479.59</v>
      </c>
      <c r="M24" s="280">
        <v>864546.86</v>
      </c>
      <c r="N24" s="281">
        <v>491</v>
      </c>
      <c r="O24" s="282">
        <v>529</v>
      </c>
      <c r="P24" s="280">
        <f t="shared" si="1"/>
        <v>1022474.5255600814</v>
      </c>
    </row>
    <row r="25" spans="1:16" x14ac:dyDescent="0.2">
      <c r="A25" s="32" t="s">
        <v>580</v>
      </c>
      <c r="B25" s="32" t="s">
        <v>576</v>
      </c>
      <c r="C25" s="32" t="s">
        <v>577</v>
      </c>
      <c r="D25" s="32" t="s">
        <v>578</v>
      </c>
      <c r="E25" s="32" t="s">
        <v>556</v>
      </c>
      <c r="F25" s="32" t="s">
        <v>581</v>
      </c>
      <c r="G25" s="32" t="str">
        <f t="shared" si="0"/>
        <v>.625" PE EXTN</v>
      </c>
      <c r="H25" s="278" t="s">
        <v>461</v>
      </c>
      <c r="I25" s="32" t="s">
        <v>462</v>
      </c>
      <c r="J25" s="279">
        <v>2006</v>
      </c>
      <c r="K25" s="280">
        <v>2607104.46</v>
      </c>
      <c r="L25" s="280">
        <v>232076.9</v>
      </c>
      <c r="M25" s="280">
        <v>2375027.56</v>
      </c>
      <c r="N25" s="281">
        <v>491</v>
      </c>
      <c r="O25" s="282">
        <v>529</v>
      </c>
      <c r="P25" s="280">
        <f t="shared" si="1"/>
        <v>2808876.2919348264</v>
      </c>
    </row>
    <row r="26" spans="1:16" x14ac:dyDescent="0.2">
      <c r="A26" s="32" t="s">
        <v>580</v>
      </c>
      <c r="B26" s="32" t="s">
        <v>576</v>
      </c>
      <c r="C26" s="32" t="s">
        <v>577</v>
      </c>
      <c r="D26" s="32" t="s">
        <v>578</v>
      </c>
      <c r="E26" s="32" t="s">
        <v>556</v>
      </c>
      <c r="F26" s="32" t="s">
        <v>581</v>
      </c>
      <c r="G26" s="32" t="str">
        <f t="shared" si="0"/>
        <v>.625" PE EXTN</v>
      </c>
      <c r="H26" s="278" t="s">
        <v>461</v>
      </c>
      <c r="I26" s="32" t="s">
        <v>462</v>
      </c>
      <c r="J26" s="279">
        <v>2295</v>
      </c>
      <c r="K26" s="280">
        <v>4116741.71</v>
      </c>
      <c r="L26" s="280">
        <v>366460.45</v>
      </c>
      <c r="M26" s="280">
        <v>3750281.26</v>
      </c>
      <c r="N26" s="281">
        <v>491</v>
      </c>
      <c r="O26" s="282">
        <v>529</v>
      </c>
      <c r="P26" s="280">
        <f t="shared" si="1"/>
        <v>4435349.0113849286</v>
      </c>
    </row>
    <row r="27" spans="1:16" x14ac:dyDescent="0.2">
      <c r="A27" s="32" t="s">
        <v>580</v>
      </c>
      <c r="B27" s="32" t="s">
        <v>576</v>
      </c>
      <c r="C27" s="32" t="s">
        <v>577</v>
      </c>
      <c r="D27" s="32" t="s">
        <v>578</v>
      </c>
      <c r="E27" s="32" t="s">
        <v>556</v>
      </c>
      <c r="F27" s="32" t="s">
        <v>581</v>
      </c>
      <c r="G27" s="32" t="str">
        <f t="shared" si="0"/>
        <v>.625" PE EXTN</v>
      </c>
      <c r="H27" s="278" t="s">
        <v>461</v>
      </c>
      <c r="I27" s="32" t="s">
        <v>462</v>
      </c>
      <c r="J27" s="279">
        <v>5189</v>
      </c>
      <c r="K27" s="280">
        <v>10312604.9</v>
      </c>
      <c r="L27" s="280">
        <v>917998.28</v>
      </c>
      <c r="M27" s="280">
        <v>9394606.6199999992</v>
      </c>
      <c r="N27" s="281">
        <v>491</v>
      </c>
      <c r="O27" s="282">
        <v>529</v>
      </c>
      <c r="P27" s="280">
        <f t="shared" si="1"/>
        <v>11110729.10814664</v>
      </c>
    </row>
    <row r="28" spans="1:16" x14ac:dyDescent="0.2">
      <c r="A28" s="32" t="s">
        <v>580</v>
      </c>
      <c r="B28" s="32" t="s">
        <v>576</v>
      </c>
      <c r="C28" s="32" t="s">
        <v>577</v>
      </c>
      <c r="D28" s="32" t="s">
        <v>578</v>
      </c>
      <c r="E28" s="32" t="s">
        <v>556</v>
      </c>
      <c r="F28" s="32" t="s">
        <v>581</v>
      </c>
      <c r="G28" s="32" t="str">
        <f t="shared" si="0"/>
        <v>.625" PE EXTN</v>
      </c>
      <c r="H28" s="278" t="s">
        <v>468</v>
      </c>
      <c r="I28" s="32" t="s">
        <v>462</v>
      </c>
      <c r="J28" s="279">
        <v>0</v>
      </c>
      <c r="K28" s="280">
        <v>13535.31</v>
      </c>
      <c r="L28" s="280">
        <v>748.5</v>
      </c>
      <c r="M28" s="280">
        <v>12786.81</v>
      </c>
      <c r="N28" s="281">
        <v>517</v>
      </c>
      <c r="O28" s="282">
        <v>529</v>
      </c>
      <c r="P28" s="280">
        <f t="shared" si="1"/>
        <v>13849.475802707932</v>
      </c>
    </row>
    <row r="29" spans="1:16" x14ac:dyDescent="0.2">
      <c r="A29" s="32" t="s">
        <v>580</v>
      </c>
      <c r="B29" s="32" t="s">
        <v>576</v>
      </c>
      <c r="C29" s="32" t="s">
        <v>577</v>
      </c>
      <c r="D29" s="32" t="s">
        <v>578</v>
      </c>
      <c r="E29" s="32" t="s">
        <v>556</v>
      </c>
      <c r="F29" s="32" t="s">
        <v>581</v>
      </c>
      <c r="G29" s="32" t="str">
        <f t="shared" si="0"/>
        <v>.625" PE EXTN</v>
      </c>
      <c r="H29" s="278" t="s">
        <v>468</v>
      </c>
      <c r="I29" s="32" t="s">
        <v>462</v>
      </c>
      <c r="J29" s="279">
        <v>1</v>
      </c>
      <c r="K29" s="280">
        <v>117.2</v>
      </c>
      <c r="L29" s="280">
        <v>6.48</v>
      </c>
      <c r="M29" s="280">
        <v>110.72</v>
      </c>
      <c r="N29" s="281">
        <v>517</v>
      </c>
      <c r="O29" s="282">
        <v>529</v>
      </c>
      <c r="P29" s="280">
        <f t="shared" si="1"/>
        <v>119.92030947775629</v>
      </c>
    </row>
    <row r="30" spans="1:16" x14ac:dyDescent="0.2">
      <c r="A30" s="32" t="s">
        <v>580</v>
      </c>
      <c r="B30" s="32" t="s">
        <v>576</v>
      </c>
      <c r="C30" s="32" t="s">
        <v>577</v>
      </c>
      <c r="D30" s="32" t="s">
        <v>578</v>
      </c>
      <c r="E30" s="32" t="s">
        <v>556</v>
      </c>
      <c r="F30" s="32" t="s">
        <v>581</v>
      </c>
      <c r="G30" s="32" t="str">
        <f t="shared" si="0"/>
        <v>.625" PE EXTN</v>
      </c>
      <c r="H30" s="278" t="s">
        <v>468</v>
      </c>
      <c r="I30" s="32" t="s">
        <v>462</v>
      </c>
      <c r="J30" s="279">
        <v>1</v>
      </c>
      <c r="K30" s="280">
        <v>2603.66</v>
      </c>
      <c r="L30" s="280">
        <v>143.97999999999999</v>
      </c>
      <c r="M30" s="280">
        <v>2459.6799999999998</v>
      </c>
      <c r="N30" s="281">
        <v>517</v>
      </c>
      <c r="O30" s="282">
        <v>529</v>
      </c>
      <c r="P30" s="280">
        <f t="shared" si="1"/>
        <v>2664.0931141199226</v>
      </c>
    </row>
    <row r="31" spans="1:16" x14ac:dyDescent="0.2">
      <c r="A31" s="32" t="s">
        <v>580</v>
      </c>
      <c r="B31" s="32" t="s">
        <v>576</v>
      </c>
      <c r="C31" s="32" t="s">
        <v>577</v>
      </c>
      <c r="D31" s="32" t="s">
        <v>578</v>
      </c>
      <c r="E31" s="32" t="s">
        <v>556</v>
      </c>
      <c r="F31" s="32" t="s">
        <v>581</v>
      </c>
      <c r="G31" s="32" t="str">
        <f t="shared" si="0"/>
        <v>.625" PE EXTN</v>
      </c>
      <c r="H31" s="278" t="s">
        <v>468</v>
      </c>
      <c r="I31" s="32" t="s">
        <v>462</v>
      </c>
      <c r="J31" s="279">
        <v>12</v>
      </c>
      <c r="K31" s="280">
        <v>12522.72</v>
      </c>
      <c r="L31" s="280">
        <v>692.51</v>
      </c>
      <c r="M31" s="280">
        <v>11830.21</v>
      </c>
      <c r="N31" s="281">
        <v>517</v>
      </c>
      <c r="O31" s="282">
        <v>529</v>
      </c>
      <c r="P31" s="280">
        <f t="shared" si="1"/>
        <v>12813.382746615087</v>
      </c>
    </row>
    <row r="32" spans="1:16" x14ac:dyDescent="0.2">
      <c r="A32" s="32" t="s">
        <v>580</v>
      </c>
      <c r="B32" s="32" t="s">
        <v>576</v>
      </c>
      <c r="C32" s="32" t="s">
        <v>577</v>
      </c>
      <c r="D32" s="32" t="s">
        <v>578</v>
      </c>
      <c r="E32" s="32" t="s">
        <v>556</v>
      </c>
      <c r="F32" s="32" t="s">
        <v>581</v>
      </c>
      <c r="G32" s="32" t="str">
        <f t="shared" si="0"/>
        <v>.625" PE EXTN</v>
      </c>
      <c r="H32" s="278" t="s">
        <v>468</v>
      </c>
      <c r="I32" s="32" t="s">
        <v>462</v>
      </c>
      <c r="J32" s="279">
        <v>23</v>
      </c>
      <c r="K32" s="280">
        <v>47059.8</v>
      </c>
      <c r="L32" s="280">
        <v>2602.4</v>
      </c>
      <c r="M32" s="280">
        <v>44457.4</v>
      </c>
      <c r="N32" s="281">
        <v>517</v>
      </c>
      <c r="O32" s="282">
        <v>529</v>
      </c>
      <c r="P32" s="280">
        <f t="shared" si="1"/>
        <v>48152.097098646038</v>
      </c>
    </row>
    <row r="33" spans="1:16" x14ac:dyDescent="0.2">
      <c r="A33" s="32" t="s">
        <v>580</v>
      </c>
      <c r="B33" s="32" t="s">
        <v>576</v>
      </c>
      <c r="C33" s="32" t="s">
        <v>577</v>
      </c>
      <c r="D33" s="32" t="s">
        <v>578</v>
      </c>
      <c r="E33" s="32" t="s">
        <v>556</v>
      </c>
      <c r="F33" s="32" t="s">
        <v>581</v>
      </c>
      <c r="G33" s="32" t="str">
        <f t="shared" si="0"/>
        <v>.625" PE EXTN</v>
      </c>
      <c r="H33" s="278" t="s">
        <v>468</v>
      </c>
      <c r="I33" s="32" t="s">
        <v>462</v>
      </c>
      <c r="J33" s="279">
        <v>52</v>
      </c>
      <c r="K33" s="280">
        <v>163424.87</v>
      </c>
      <c r="L33" s="280">
        <v>9037.39</v>
      </c>
      <c r="M33" s="280">
        <v>154387.48000000001</v>
      </c>
      <c r="N33" s="281">
        <v>517</v>
      </c>
      <c r="O33" s="282">
        <v>529</v>
      </c>
      <c r="P33" s="280">
        <f t="shared" si="1"/>
        <v>167218.09715667312</v>
      </c>
    </row>
    <row r="34" spans="1:16" x14ac:dyDescent="0.2">
      <c r="A34" s="32" t="s">
        <v>580</v>
      </c>
      <c r="B34" s="32" t="s">
        <v>576</v>
      </c>
      <c r="C34" s="32" t="s">
        <v>577</v>
      </c>
      <c r="D34" s="32" t="s">
        <v>578</v>
      </c>
      <c r="E34" s="32" t="s">
        <v>556</v>
      </c>
      <c r="F34" s="32" t="s">
        <v>581</v>
      </c>
      <c r="G34" s="32" t="str">
        <f t="shared" si="0"/>
        <v>.625" PE EXTN</v>
      </c>
      <c r="H34" s="278" t="s">
        <v>468</v>
      </c>
      <c r="I34" s="32" t="s">
        <v>462</v>
      </c>
      <c r="J34" s="279">
        <v>777</v>
      </c>
      <c r="K34" s="280">
        <v>1038989.97</v>
      </c>
      <c r="L34" s="280">
        <v>57456.08</v>
      </c>
      <c r="M34" s="280">
        <v>981533.89</v>
      </c>
      <c r="N34" s="281">
        <v>517</v>
      </c>
      <c r="O34" s="282">
        <v>529</v>
      </c>
      <c r="P34" s="280">
        <f t="shared" si="1"/>
        <v>1063105.7913539652</v>
      </c>
    </row>
    <row r="35" spans="1:16" x14ac:dyDescent="0.2">
      <c r="A35" s="32" t="s">
        <v>580</v>
      </c>
      <c r="B35" s="32" t="s">
        <v>576</v>
      </c>
      <c r="C35" s="32" t="s">
        <v>577</v>
      </c>
      <c r="D35" s="32" t="s">
        <v>578</v>
      </c>
      <c r="E35" s="32" t="s">
        <v>556</v>
      </c>
      <c r="F35" s="32" t="s">
        <v>581</v>
      </c>
      <c r="G35" s="32" t="str">
        <f t="shared" si="0"/>
        <v>.625" PE EXTN</v>
      </c>
      <c r="H35" s="278" t="s">
        <v>468</v>
      </c>
      <c r="I35" s="32" t="s">
        <v>462</v>
      </c>
      <c r="J35" s="279">
        <v>1617</v>
      </c>
      <c r="K35" s="280">
        <v>3283993.66</v>
      </c>
      <c r="L35" s="280">
        <v>181604.65</v>
      </c>
      <c r="M35" s="280">
        <v>3102389.01</v>
      </c>
      <c r="N35" s="281">
        <v>517</v>
      </c>
      <c r="O35" s="282">
        <v>529</v>
      </c>
      <c r="P35" s="280">
        <f t="shared" si="1"/>
        <v>3360217.884216635</v>
      </c>
    </row>
    <row r="36" spans="1:16" x14ac:dyDescent="0.2">
      <c r="A36" s="32" t="s">
        <v>580</v>
      </c>
      <c r="B36" s="32" t="s">
        <v>576</v>
      </c>
      <c r="C36" s="32" t="s">
        <v>577</v>
      </c>
      <c r="D36" s="32" t="s">
        <v>578</v>
      </c>
      <c r="E36" s="32" t="s">
        <v>556</v>
      </c>
      <c r="F36" s="32" t="s">
        <v>581</v>
      </c>
      <c r="G36" s="32" t="str">
        <f t="shared" si="0"/>
        <v>.625" PE EXTN</v>
      </c>
      <c r="H36" s="278" t="s">
        <v>468</v>
      </c>
      <c r="I36" s="32" t="s">
        <v>462</v>
      </c>
      <c r="J36" s="279">
        <v>1810</v>
      </c>
      <c r="K36" s="280">
        <v>2468727.5499999998</v>
      </c>
      <c r="L36" s="280">
        <v>136520.49</v>
      </c>
      <c r="M36" s="280">
        <v>2332207.06</v>
      </c>
      <c r="N36" s="281">
        <v>517</v>
      </c>
      <c r="O36" s="282">
        <v>529</v>
      </c>
      <c r="P36" s="280">
        <f t="shared" si="1"/>
        <v>2526028.7697292068</v>
      </c>
    </row>
    <row r="37" spans="1:16" x14ac:dyDescent="0.2">
      <c r="A37" s="32" t="s">
        <v>580</v>
      </c>
      <c r="B37" s="32" t="s">
        <v>576</v>
      </c>
      <c r="C37" s="32" t="s">
        <v>577</v>
      </c>
      <c r="D37" s="32" t="s">
        <v>578</v>
      </c>
      <c r="E37" s="32" t="s">
        <v>556</v>
      </c>
      <c r="F37" s="32" t="s">
        <v>581</v>
      </c>
      <c r="G37" s="32" t="str">
        <f t="shared" si="0"/>
        <v>.625" PE EXTN</v>
      </c>
      <c r="H37" s="278" t="s">
        <v>468</v>
      </c>
      <c r="I37" s="32" t="s">
        <v>462</v>
      </c>
      <c r="J37" s="279">
        <v>3617</v>
      </c>
      <c r="K37" s="280">
        <v>10257923.23</v>
      </c>
      <c r="L37" s="280">
        <v>567262.54</v>
      </c>
      <c r="M37" s="280">
        <v>9690660.6899999995</v>
      </c>
      <c r="N37" s="281">
        <v>517</v>
      </c>
      <c r="O37" s="282">
        <v>529</v>
      </c>
      <c r="P37" s="280">
        <f t="shared" si="1"/>
        <v>10496018.15990329</v>
      </c>
    </row>
    <row r="38" spans="1:16" x14ac:dyDescent="0.2">
      <c r="A38" s="32" t="s">
        <v>580</v>
      </c>
      <c r="B38" s="32" t="s">
        <v>576</v>
      </c>
      <c r="C38" s="32" t="s">
        <v>577</v>
      </c>
      <c r="D38" s="32" t="s">
        <v>578</v>
      </c>
      <c r="E38" s="32" t="s">
        <v>556</v>
      </c>
      <c r="F38" s="32" t="s">
        <v>581</v>
      </c>
      <c r="G38" s="32" t="str">
        <f t="shared" si="0"/>
        <v>.625" PE EXTN</v>
      </c>
      <c r="H38" s="278" t="s">
        <v>469</v>
      </c>
      <c r="I38" s="32" t="s">
        <v>462</v>
      </c>
      <c r="J38" s="279">
        <v>1</v>
      </c>
      <c r="K38" s="280">
        <v>1006.22</v>
      </c>
      <c r="L38" s="280">
        <v>19.78</v>
      </c>
      <c r="M38" s="280">
        <v>986.44</v>
      </c>
      <c r="N38" s="281">
        <v>529</v>
      </c>
      <c r="O38" s="282">
        <v>529</v>
      </c>
      <c r="P38" s="280">
        <f t="shared" si="1"/>
        <v>1006.22</v>
      </c>
    </row>
    <row r="39" spans="1:16" x14ac:dyDescent="0.2">
      <c r="A39" s="32" t="s">
        <v>580</v>
      </c>
      <c r="B39" s="32" t="s">
        <v>576</v>
      </c>
      <c r="C39" s="32" t="s">
        <v>577</v>
      </c>
      <c r="D39" s="32" t="s">
        <v>578</v>
      </c>
      <c r="E39" s="32" t="s">
        <v>556</v>
      </c>
      <c r="F39" s="32" t="s">
        <v>581</v>
      </c>
      <c r="G39" s="32" t="str">
        <f t="shared" si="0"/>
        <v>.625" PE EXTN</v>
      </c>
      <c r="H39" s="278" t="s">
        <v>469</v>
      </c>
      <c r="I39" s="32" t="s">
        <v>462</v>
      </c>
      <c r="J39" s="279">
        <v>9</v>
      </c>
      <c r="K39" s="280">
        <v>16789.71</v>
      </c>
      <c r="L39" s="280">
        <v>330.11</v>
      </c>
      <c r="M39" s="280">
        <v>16459.599999999999</v>
      </c>
      <c r="N39" s="281">
        <v>529</v>
      </c>
      <c r="O39" s="282">
        <v>529</v>
      </c>
      <c r="P39" s="280">
        <f t="shared" si="1"/>
        <v>16789.71</v>
      </c>
    </row>
    <row r="40" spans="1:16" x14ac:dyDescent="0.2">
      <c r="A40" s="32" t="s">
        <v>580</v>
      </c>
      <c r="B40" s="32" t="s">
        <v>576</v>
      </c>
      <c r="C40" s="32" t="s">
        <v>577</v>
      </c>
      <c r="D40" s="32" t="s">
        <v>578</v>
      </c>
      <c r="E40" s="32" t="s">
        <v>556</v>
      </c>
      <c r="F40" s="32" t="s">
        <v>581</v>
      </c>
      <c r="G40" s="32" t="str">
        <f t="shared" si="0"/>
        <v>.625" PE EXTN</v>
      </c>
      <c r="H40" s="278" t="s">
        <v>469</v>
      </c>
      <c r="I40" s="32" t="s">
        <v>462</v>
      </c>
      <c r="J40" s="279">
        <v>26</v>
      </c>
      <c r="K40" s="280">
        <v>93376.36</v>
      </c>
      <c r="L40" s="280">
        <v>1835.91</v>
      </c>
      <c r="M40" s="280">
        <v>91540.45</v>
      </c>
      <c r="N40" s="281">
        <v>529</v>
      </c>
      <c r="O40" s="282">
        <v>529</v>
      </c>
      <c r="P40" s="280">
        <f t="shared" si="1"/>
        <v>93376.36</v>
      </c>
    </row>
    <row r="41" spans="1:16" x14ac:dyDescent="0.2">
      <c r="A41" s="32" t="s">
        <v>580</v>
      </c>
      <c r="B41" s="32" t="s">
        <v>576</v>
      </c>
      <c r="C41" s="32" t="s">
        <v>577</v>
      </c>
      <c r="D41" s="32" t="s">
        <v>578</v>
      </c>
      <c r="E41" s="32" t="s">
        <v>556</v>
      </c>
      <c r="F41" s="32" t="s">
        <v>581</v>
      </c>
      <c r="G41" s="32" t="str">
        <f t="shared" si="0"/>
        <v>.625" PE EXTN</v>
      </c>
      <c r="H41" s="278" t="s">
        <v>469</v>
      </c>
      <c r="I41" s="32" t="s">
        <v>462</v>
      </c>
      <c r="J41" s="279">
        <v>602</v>
      </c>
      <c r="K41" s="280">
        <v>771504.65</v>
      </c>
      <c r="L41" s="280">
        <v>15168.87</v>
      </c>
      <c r="M41" s="280">
        <v>756335.78</v>
      </c>
      <c r="N41" s="281">
        <v>529</v>
      </c>
      <c r="O41" s="282">
        <v>529</v>
      </c>
      <c r="P41" s="280">
        <f t="shared" si="1"/>
        <v>771504.65</v>
      </c>
    </row>
    <row r="42" spans="1:16" x14ac:dyDescent="0.2">
      <c r="A42" s="32" t="s">
        <v>580</v>
      </c>
      <c r="B42" s="32" t="s">
        <v>576</v>
      </c>
      <c r="C42" s="32" t="s">
        <v>577</v>
      </c>
      <c r="D42" s="32" t="s">
        <v>578</v>
      </c>
      <c r="E42" s="32" t="s">
        <v>556</v>
      </c>
      <c r="F42" s="32" t="s">
        <v>581</v>
      </c>
      <c r="G42" s="32" t="str">
        <f t="shared" si="0"/>
        <v>.625" PE EXTN</v>
      </c>
      <c r="H42" s="278" t="s">
        <v>469</v>
      </c>
      <c r="I42" s="32" t="s">
        <v>462</v>
      </c>
      <c r="J42" s="279">
        <v>1065</v>
      </c>
      <c r="K42" s="280">
        <v>1569322.85</v>
      </c>
      <c r="L42" s="280">
        <v>30855.1</v>
      </c>
      <c r="M42" s="280">
        <v>1538467.75</v>
      </c>
      <c r="N42" s="281">
        <v>529</v>
      </c>
      <c r="O42" s="282">
        <v>529</v>
      </c>
      <c r="P42" s="280">
        <f t="shared" si="1"/>
        <v>1569322.85</v>
      </c>
    </row>
    <row r="43" spans="1:16" x14ac:dyDescent="0.2">
      <c r="A43" s="32" t="s">
        <v>580</v>
      </c>
      <c r="B43" s="32" t="s">
        <v>576</v>
      </c>
      <c r="C43" s="32" t="s">
        <v>577</v>
      </c>
      <c r="D43" s="32" t="s">
        <v>578</v>
      </c>
      <c r="E43" s="32" t="s">
        <v>556</v>
      </c>
      <c r="F43" s="32" t="s">
        <v>581</v>
      </c>
      <c r="G43" s="32" t="str">
        <f t="shared" si="0"/>
        <v>.625" PE EXTN</v>
      </c>
      <c r="H43" s="278" t="s">
        <v>469</v>
      </c>
      <c r="I43" s="32" t="s">
        <v>462</v>
      </c>
      <c r="J43" s="279">
        <v>1218</v>
      </c>
      <c r="K43" s="280">
        <v>2294697.21</v>
      </c>
      <c r="L43" s="280">
        <v>45116.98</v>
      </c>
      <c r="M43" s="280">
        <v>2249580.23</v>
      </c>
      <c r="N43" s="281">
        <v>529</v>
      </c>
      <c r="O43" s="282">
        <v>529</v>
      </c>
      <c r="P43" s="280">
        <f t="shared" si="1"/>
        <v>2294697.21</v>
      </c>
    </row>
    <row r="44" spans="1:16" x14ac:dyDescent="0.2">
      <c r="A44" s="32" t="s">
        <v>580</v>
      </c>
      <c r="B44" s="32" t="s">
        <v>576</v>
      </c>
      <c r="C44" s="32" t="s">
        <v>577</v>
      </c>
      <c r="D44" s="32" t="s">
        <v>578</v>
      </c>
      <c r="E44" s="32" t="s">
        <v>556</v>
      </c>
      <c r="F44" s="32" t="s">
        <v>581</v>
      </c>
      <c r="G44" s="32" t="str">
        <f t="shared" si="0"/>
        <v>.625" PE EXTN</v>
      </c>
      <c r="H44" s="278" t="s">
        <v>469</v>
      </c>
      <c r="I44" s="32" t="s">
        <v>462</v>
      </c>
      <c r="J44" s="279">
        <v>1917</v>
      </c>
      <c r="K44" s="280">
        <v>4688170.9400000004</v>
      </c>
      <c r="L44" s="280">
        <v>92176.05</v>
      </c>
      <c r="M44" s="280">
        <v>4595994.8899999997</v>
      </c>
      <c r="N44" s="281">
        <v>529</v>
      </c>
      <c r="O44" s="282">
        <v>529</v>
      </c>
      <c r="P44" s="280">
        <f t="shared" si="1"/>
        <v>4688170.9400000004</v>
      </c>
    </row>
    <row r="45" spans="1:16" x14ac:dyDescent="0.2">
      <c r="A45" s="32" t="s">
        <v>582</v>
      </c>
      <c r="B45" s="32" t="s">
        <v>576</v>
      </c>
      <c r="C45" s="32" t="s">
        <v>577</v>
      </c>
      <c r="D45" s="32" t="s">
        <v>578</v>
      </c>
      <c r="E45" s="32" t="s">
        <v>556</v>
      </c>
      <c r="F45" s="32" t="s">
        <v>581</v>
      </c>
      <c r="G45" s="32" t="str">
        <f t="shared" si="0"/>
        <v>.625" PE EXTN</v>
      </c>
      <c r="H45" s="278" t="s">
        <v>525</v>
      </c>
      <c r="I45" s="32" t="s">
        <v>462</v>
      </c>
      <c r="J45" s="279">
        <v>4129</v>
      </c>
      <c r="K45" s="280">
        <v>680179.92</v>
      </c>
      <c r="L45" s="280">
        <v>677380</v>
      </c>
      <c r="M45" s="280">
        <v>2799.92</v>
      </c>
      <c r="N45" s="281">
        <v>111</v>
      </c>
      <c r="O45" s="282">
        <v>529</v>
      </c>
      <c r="P45" s="280">
        <f t="shared" si="1"/>
        <v>3241578.1772972974</v>
      </c>
    </row>
    <row r="46" spans="1:16" x14ac:dyDescent="0.2">
      <c r="A46" s="32" t="s">
        <v>582</v>
      </c>
      <c r="B46" s="32" t="s">
        <v>576</v>
      </c>
      <c r="C46" s="32" t="s">
        <v>577</v>
      </c>
      <c r="D46" s="32" t="s">
        <v>578</v>
      </c>
      <c r="E46" s="32" t="s">
        <v>556</v>
      </c>
      <c r="F46" s="32" t="s">
        <v>581</v>
      </c>
      <c r="G46" s="32" t="str">
        <f t="shared" si="0"/>
        <v>.625" PE EXTN</v>
      </c>
      <c r="H46" s="278" t="s">
        <v>524</v>
      </c>
      <c r="I46" s="32" t="s">
        <v>462</v>
      </c>
      <c r="J46" s="279">
        <v>3683</v>
      </c>
      <c r="K46" s="280">
        <v>736974.17</v>
      </c>
      <c r="L46" s="280">
        <v>727941.2</v>
      </c>
      <c r="M46" s="280">
        <v>9032.9699999999993</v>
      </c>
      <c r="N46" s="281">
        <v>131</v>
      </c>
      <c r="O46" s="282">
        <v>529</v>
      </c>
      <c r="P46" s="280">
        <f t="shared" si="1"/>
        <v>2976025.4651145041</v>
      </c>
    </row>
    <row r="47" spans="1:16" x14ac:dyDescent="0.2">
      <c r="A47" s="32" t="s">
        <v>582</v>
      </c>
      <c r="B47" s="32" t="s">
        <v>576</v>
      </c>
      <c r="C47" s="32" t="s">
        <v>577</v>
      </c>
      <c r="D47" s="32" t="s">
        <v>578</v>
      </c>
      <c r="E47" s="32" t="s">
        <v>556</v>
      </c>
      <c r="F47" s="32" t="s">
        <v>581</v>
      </c>
      <c r="G47" s="32" t="str">
        <f t="shared" si="0"/>
        <v>.625" PE EXTN</v>
      </c>
      <c r="H47" s="278" t="s">
        <v>522</v>
      </c>
      <c r="I47" s="32" t="s">
        <v>462</v>
      </c>
      <c r="J47" s="279">
        <v>4492</v>
      </c>
      <c r="K47" s="280">
        <v>1117803.4099999999</v>
      </c>
      <c r="L47" s="280">
        <v>1093934.56</v>
      </c>
      <c r="M47" s="280">
        <v>23868.85</v>
      </c>
      <c r="N47" s="281">
        <v>141</v>
      </c>
      <c r="O47" s="282">
        <v>529</v>
      </c>
      <c r="P47" s="280">
        <f t="shared" si="1"/>
        <v>4193744.7084397161</v>
      </c>
    </row>
    <row r="48" spans="1:16" x14ac:dyDescent="0.2">
      <c r="A48" s="32" t="s">
        <v>582</v>
      </c>
      <c r="B48" s="32" t="s">
        <v>576</v>
      </c>
      <c r="C48" s="32" t="s">
        <v>577</v>
      </c>
      <c r="D48" s="32" t="s">
        <v>578</v>
      </c>
      <c r="E48" s="32" t="s">
        <v>556</v>
      </c>
      <c r="F48" s="32" t="s">
        <v>581</v>
      </c>
      <c r="G48" s="32" t="str">
        <f t="shared" si="0"/>
        <v>.625" PE EXTN</v>
      </c>
      <c r="H48" s="278" t="s">
        <v>526</v>
      </c>
      <c r="I48" s="32" t="s">
        <v>462</v>
      </c>
      <c r="J48" s="279">
        <v>5396</v>
      </c>
      <c r="K48" s="280">
        <v>994442.58</v>
      </c>
      <c r="L48" s="280">
        <v>963128.62</v>
      </c>
      <c r="M48" s="280">
        <v>31313.96</v>
      </c>
      <c r="N48" s="281">
        <v>149</v>
      </c>
      <c r="O48" s="282">
        <v>529</v>
      </c>
      <c r="P48" s="280">
        <f t="shared" si="1"/>
        <v>3530604.864563758</v>
      </c>
    </row>
    <row r="49" spans="1:16" x14ac:dyDescent="0.2">
      <c r="A49" s="32" t="s">
        <v>582</v>
      </c>
      <c r="B49" s="32" t="s">
        <v>576</v>
      </c>
      <c r="C49" s="32" t="s">
        <v>577</v>
      </c>
      <c r="D49" s="32" t="s">
        <v>578</v>
      </c>
      <c r="E49" s="32" t="s">
        <v>556</v>
      </c>
      <c r="F49" s="32" t="s">
        <v>581</v>
      </c>
      <c r="G49" s="32" t="str">
        <f t="shared" si="0"/>
        <v>.625" PE EXTN</v>
      </c>
      <c r="H49" s="278" t="s">
        <v>486</v>
      </c>
      <c r="I49" s="32" t="s">
        <v>462</v>
      </c>
      <c r="J49" s="279">
        <v>5723</v>
      </c>
      <c r="K49" s="280">
        <v>1316940.55</v>
      </c>
      <c r="L49" s="280">
        <v>1260653.8</v>
      </c>
      <c r="M49" s="280">
        <v>56286.75</v>
      </c>
      <c r="N49" s="281">
        <v>160</v>
      </c>
      <c r="O49" s="282">
        <v>529</v>
      </c>
      <c r="P49" s="280">
        <f t="shared" si="1"/>
        <v>4354134.6934374999</v>
      </c>
    </row>
    <row r="50" spans="1:16" x14ac:dyDescent="0.2">
      <c r="A50" s="32" t="s">
        <v>582</v>
      </c>
      <c r="B50" s="32" t="s">
        <v>576</v>
      </c>
      <c r="C50" s="32" t="s">
        <v>577</v>
      </c>
      <c r="D50" s="32" t="s">
        <v>578</v>
      </c>
      <c r="E50" s="32" t="s">
        <v>556</v>
      </c>
      <c r="F50" s="32" t="s">
        <v>581</v>
      </c>
      <c r="G50" s="32" t="str">
        <f t="shared" si="0"/>
        <v>.625" PE EXTN</v>
      </c>
      <c r="H50" s="278" t="s">
        <v>519</v>
      </c>
      <c r="I50" s="32" t="s">
        <v>462</v>
      </c>
      <c r="J50" s="279">
        <v>8123</v>
      </c>
      <c r="K50" s="280">
        <v>2054244.88</v>
      </c>
      <c r="L50" s="280">
        <v>1940878.81</v>
      </c>
      <c r="M50" s="280">
        <v>113366.07</v>
      </c>
      <c r="N50" s="281">
        <v>172</v>
      </c>
      <c r="O50" s="282">
        <v>529</v>
      </c>
      <c r="P50" s="280">
        <f t="shared" si="1"/>
        <v>6317997.3344186042</v>
      </c>
    </row>
    <row r="51" spans="1:16" x14ac:dyDescent="0.2">
      <c r="A51" s="32" t="s">
        <v>582</v>
      </c>
      <c r="B51" s="32" t="s">
        <v>576</v>
      </c>
      <c r="C51" s="32" t="s">
        <v>577</v>
      </c>
      <c r="D51" s="32" t="s">
        <v>578</v>
      </c>
      <c r="E51" s="32" t="s">
        <v>556</v>
      </c>
      <c r="F51" s="32" t="s">
        <v>581</v>
      </c>
      <c r="G51" s="32" t="str">
        <f t="shared" si="0"/>
        <v>.625" PE EXTN</v>
      </c>
      <c r="H51" s="278" t="s">
        <v>521</v>
      </c>
      <c r="I51" s="32" t="s">
        <v>462</v>
      </c>
      <c r="J51" s="279">
        <v>8634</v>
      </c>
      <c r="K51" s="280">
        <v>3322665.18</v>
      </c>
      <c r="L51" s="280">
        <v>3093740.33</v>
      </c>
      <c r="M51" s="280">
        <v>228924.85</v>
      </c>
      <c r="N51" s="281">
        <v>192</v>
      </c>
      <c r="O51" s="282">
        <v>529</v>
      </c>
      <c r="P51" s="280">
        <f t="shared" si="1"/>
        <v>9154634.7928125001</v>
      </c>
    </row>
    <row r="52" spans="1:16" x14ac:dyDescent="0.2">
      <c r="A52" s="32" t="s">
        <v>582</v>
      </c>
      <c r="B52" s="32" t="s">
        <v>576</v>
      </c>
      <c r="C52" s="32" t="s">
        <v>577</v>
      </c>
      <c r="D52" s="32" t="s">
        <v>578</v>
      </c>
      <c r="E52" s="32" t="s">
        <v>556</v>
      </c>
      <c r="F52" s="32" t="s">
        <v>581</v>
      </c>
      <c r="G52" s="32" t="str">
        <f t="shared" si="0"/>
        <v>.625" PE EXTN</v>
      </c>
      <c r="H52" s="278" t="s">
        <v>520</v>
      </c>
      <c r="I52" s="32" t="s">
        <v>462</v>
      </c>
      <c r="J52" s="279">
        <v>8960</v>
      </c>
      <c r="K52" s="280">
        <v>2778112.11</v>
      </c>
      <c r="L52" s="280">
        <v>2544911.27</v>
      </c>
      <c r="M52" s="280">
        <v>233200.84</v>
      </c>
      <c r="N52" s="281">
        <v>216</v>
      </c>
      <c r="O52" s="282">
        <v>529</v>
      </c>
      <c r="P52" s="280">
        <f t="shared" si="1"/>
        <v>6803802.3434722219</v>
      </c>
    </row>
    <row r="53" spans="1:16" x14ac:dyDescent="0.2">
      <c r="A53" s="32" t="s">
        <v>582</v>
      </c>
      <c r="B53" s="32" t="s">
        <v>576</v>
      </c>
      <c r="C53" s="32" t="s">
        <v>577</v>
      </c>
      <c r="D53" s="32" t="s">
        <v>578</v>
      </c>
      <c r="E53" s="32" t="s">
        <v>556</v>
      </c>
      <c r="F53" s="32" t="s">
        <v>581</v>
      </c>
      <c r="G53" s="32" t="str">
        <f t="shared" si="0"/>
        <v>.625" PE EXTN</v>
      </c>
      <c r="H53" s="278" t="s">
        <v>518</v>
      </c>
      <c r="I53" s="32" t="s">
        <v>462</v>
      </c>
      <c r="J53" s="279">
        <v>5832</v>
      </c>
      <c r="K53" s="280">
        <v>2363463.2799999998</v>
      </c>
      <c r="L53" s="280">
        <v>2126218.7200000002</v>
      </c>
      <c r="M53" s="280">
        <v>237244.56</v>
      </c>
      <c r="N53" s="281">
        <v>238</v>
      </c>
      <c r="O53" s="282">
        <v>529</v>
      </c>
      <c r="P53" s="280">
        <f t="shared" si="1"/>
        <v>5253244.0131092435</v>
      </c>
    </row>
    <row r="54" spans="1:16" x14ac:dyDescent="0.2">
      <c r="A54" s="32" t="s">
        <v>582</v>
      </c>
      <c r="B54" s="32" t="s">
        <v>576</v>
      </c>
      <c r="C54" s="32" t="s">
        <v>577</v>
      </c>
      <c r="D54" s="32" t="s">
        <v>578</v>
      </c>
      <c r="E54" s="32" t="s">
        <v>556</v>
      </c>
      <c r="F54" s="32" t="s">
        <v>581</v>
      </c>
      <c r="G54" s="32" t="str">
        <f t="shared" si="0"/>
        <v>.625" PE EXTN</v>
      </c>
      <c r="H54" s="278" t="s">
        <v>517</v>
      </c>
      <c r="I54" s="32" t="s">
        <v>462</v>
      </c>
      <c r="J54" s="279">
        <v>6594</v>
      </c>
      <c r="K54" s="280">
        <v>2905368</v>
      </c>
      <c r="L54" s="280">
        <v>2561781.6800000002</v>
      </c>
      <c r="M54" s="280">
        <v>343586.32</v>
      </c>
      <c r="N54" s="281">
        <v>249</v>
      </c>
      <c r="O54" s="282">
        <v>529</v>
      </c>
      <c r="P54" s="280">
        <f t="shared" si="1"/>
        <v>6172448.4819277115</v>
      </c>
    </row>
    <row r="55" spans="1:16" x14ac:dyDescent="0.2">
      <c r="A55" s="32" t="s">
        <v>582</v>
      </c>
      <c r="B55" s="32" t="s">
        <v>576</v>
      </c>
      <c r="C55" s="32" t="s">
        <v>577</v>
      </c>
      <c r="D55" s="32" t="s">
        <v>578</v>
      </c>
      <c r="E55" s="32" t="s">
        <v>556</v>
      </c>
      <c r="F55" s="32" t="s">
        <v>581</v>
      </c>
      <c r="G55" s="32" t="str">
        <f t="shared" si="0"/>
        <v>.625" PE EXTN</v>
      </c>
      <c r="H55" s="278" t="s">
        <v>463</v>
      </c>
      <c r="I55" s="32" t="s">
        <v>462</v>
      </c>
      <c r="J55" s="279">
        <v>7475</v>
      </c>
      <c r="K55" s="280">
        <v>3552739.46</v>
      </c>
      <c r="L55" s="280">
        <v>3063773.09</v>
      </c>
      <c r="M55" s="280">
        <v>488966.37</v>
      </c>
      <c r="N55" s="281">
        <v>258</v>
      </c>
      <c r="O55" s="282">
        <v>529</v>
      </c>
      <c r="P55" s="280">
        <f t="shared" si="1"/>
        <v>7284492.9237984503</v>
      </c>
    </row>
    <row r="56" spans="1:16" x14ac:dyDescent="0.2">
      <c r="A56" s="32" t="s">
        <v>582</v>
      </c>
      <c r="B56" s="32" t="s">
        <v>576</v>
      </c>
      <c r="C56" s="32" t="s">
        <v>577</v>
      </c>
      <c r="D56" s="32" t="s">
        <v>578</v>
      </c>
      <c r="E56" s="32" t="s">
        <v>556</v>
      </c>
      <c r="F56" s="32" t="s">
        <v>581</v>
      </c>
      <c r="G56" s="32" t="str">
        <f t="shared" si="0"/>
        <v>.625" PE EXTN</v>
      </c>
      <c r="H56" s="278" t="s">
        <v>464</v>
      </c>
      <c r="I56" s="32" t="s">
        <v>462</v>
      </c>
      <c r="J56" s="279">
        <v>8410</v>
      </c>
      <c r="K56" s="280">
        <v>3952783.62</v>
      </c>
      <c r="L56" s="280">
        <v>3326206.5</v>
      </c>
      <c r="M56" s="280">
        <v>626577.12</v>
      </c>
      <c r="N56" s="281">
        <v>263</v>
      </c>
      <c r="O56" s="282">
        <v>529</v>
      </c>
      <c r="P56" s="280">
        <f t="shared" si="1"/>
        <v>7950656.0265399246</v>
      </c>
    </row>
    <row r="57" spans="1:16" x14ac:dyDescent="0.2">
      <c r="A57" s="32" t="s">
        <v>582</v>
      </c>
      <c r="B57" s="32" t="s">
        <v>576</v>
      </c>
      <c r="C57" s="32" t="s">
        <v>577</v>
      </c>
      <c r="D57" s="32" t="s">
        <v>578</v>
      </c>
      <c r="E57" s="32" t="s">
        <v>556</v>
      </c>
      <c r="F57" s="32" t="s">
        <v>581</v>
      </c>
      <c r="G57" s="32" t="str">
        <f t="shared" si="0"/>
        <v>.625" PE EXTN</v>
      </c>
      <c r="H57" s="278" t="s">
        <v>515</v>
      </c>
      <c r="I57" s="32" t="s">
        <v>462</v>
      </c>
      <c r="J57" s="279">
        <v>12415</v>
      </c>
      <c r="K57" s="280">
        <v>5482394.1100000003</v>
      </c>
      <c r="L57" s="280">
        <v>4490409.2300000004</v>
      </c>
      <c r="M57" s="280">
        <v>991984.88</v>
      </c>
      <c r="N57" s="281">
        <v>267</v>
      </c>
      <c r="O57" s="282">
        <v>529</v>
      </c>
      <c r="P57" s="280">
        <f t="shared" si="1"/>
        <v>10862121.663632959</v>
      </c>
    </row>
    <row r="58" spans="1:16" x14ac:dyDescent="0.2">
      <c r="A58" s="32" t="s">
        <v>582</v>
      </c>
      <c r="B58" s="32" t="s">
        <v>576</v>
      </c>
      <c r="C58" s="32" t="s">
        <v>577</v>
      </c>
      <c r="D58" s="32" t="s">
        <v>578</v>
      </c>
      <c r="E58" s="32" t="s">
        <v>556</v>
      </c>
      <c r="F58" s="32" t="s">
        <v>581</v>
      </c>
      <c r="G58" s="32" t="str">
        <f t="shared" si="0"/>
        <v>.625" PE EXTN</v>
      </c>
      <c r="H58" s="278" t="s">
        <v>523</v>
      </c>
      <c r="I58" s="32" t="s">
        <v>462</v>
      </c>
      <c r="J58" s="279">
        <v>12281</v>
      </c>
      <c r="K58" s="280">
        <v>7680618.25</v>
      </c>
      <c r="L58" s="280">
        <v>6106804.7300000004</v>
      </c>
      <c r="M58" s="280">
        <v>1573813.52</v>
      </c>
      <c r="N58" s="281">
        <v>274</v>
      </c>
      <c r="O58" s="282">
        <v>529</v>
      </c>
      <c r="P58" s="280">
        <f t="shared" si="1"/>
        <v>14828638.884124087</v>
      </c>
    </row>
    <row r="59" spans="1:16" x14ac:dyDescent="0.2">
      <c r="A59" s="32" t="s">
        <v>582</v>
      </c>
      <c r="B59" s="32" t="s">
        <v>576</v>
      </c>
      <c r="C59" s="32" t="s">
        <v>577</v>
      </c>
      <c r="D59" s="32" t="s">
        <v>578</v>
      </c>
      <c r="E59" s="32" t="s">
        <v>556</v>
      </c>
      <c r="F59" s="32" t="s">
        <v>581</v>
      </c>
      <c r="G59" s="32" t="str">
        <f t="shared" si="0"/>
        <v>.625" PE EXTN</v>
      </c>
      <c r="H59" s="278" t="s">
        <v>516</v>
      </c>
      <c r="I59" s="32" t="s">
        <v>462</v>
      </c>
      <c r="J59" s="279">
        <v>15189</v>
      </c>
      <c r="K59" s="280">
        <v>8109452.3600000003</v>
      </c>
      <c r="L59" s="280">
        <v>6240939.7400000002</v>
      </c>
      <c r="M59" s="280">
        <v>1868512.62</v>
      </c>
      <c r="N59" s="281">
        <v>281</v>
      </c>
      <c r="O59" s="282">
        <v>529</v>
      </c>
      <c r="P59" s="280">
        <f t="shared" si="1"/>
        <v>15266549.104768684</v>
      </c>
    </row>
    <row r="60" spans="1:16" x14ac:dyDescent="0.2">
      <c r="A60" s="32" t="s">
        <v>582</v>
      </c>
      <c r="B60" s="32" t="s">
        <v>576</v>
      </c>
      <c r="C60" s="32" t="s">
        <v>577</v>
      </c>
      <c r="D60" s="32" t="s">
        <v>578</v>
      </c>
      <c r="E60" s="32" t="s">
        <v>556</v>
      </c>
      <c r="F60" s="32" t="s">
        <v>581</v>
      </c>
      <c r="G60" s="32" t="str">
        <f t="shared" si="0"/>
        <v>.625" PE EXTN</v>
      </c>
      <c r="H60" s="278" t="s">
        <v>466</v>
      </c>
      <c r="I60" s="32" t="s">
        <v>462</v>
      </c>
      <c r="J60" s="279">
        <v>18807</v>
      </c>
      <c r="K60" s="280">
        <v>9510905.2300000004</v>
      </c>
      <c r="L60" s="280">
        <v>7062636.54</v>
      </c>
      <c r="M60" s="280">
        <v>2448268.69</v>
      </c>
      <c r="N60" s="281">
        <v>290</v>
      </c>
      <c r="O60" s="282">
        <v>529</v>
      </c>
      <c r="P60" s="280">
        <f t="shared" si="1"/>
        <v>17349202.988517243</v>
      </c>
    </row>
    <row r="61" spans="1:16" x14ac:dyDescent="0.2">
      <c r="A61" s="32" t="s">
        <v>582</v>
      </c>
      <c r="B61" s="32" t="s">
        <v>576</v>
      </c>
      <c r="C61" s="32" t="s">
        <v>577</v>
      </c>
      <c r="D61" s="32" t="s">
        <v>578</v>
      </c>
      <c r="E61" s="32" t="s">
        <v>556</v>
      </c>
      <c r="F61" s="32" t="s">
        <v>581</v>
      </c>
      <c r="G61" s="32" t="str">
        <f t="shared" si="0"/>
        <v>.625" PE EXTN</v>
      </c>
      <c r="H61" s="278" t="s">
        <v>489</v>
      </c>
      <c r="I61" s="32" t="s">
        <v>462</v>
      </c>
      <c r="J61" s="279">
        <v>23500</v>
      </c>
      <c r="K61" s="280">
        <v>13143621.869999999</v>
      </c>
      <c r="L61" s="280">
        <v>9385964.6099999994</v>
      </c>
      <c r="M61" s="280">
        <v>3757657.26</v>
      </c>
      <c r="N61" s="281">
        <v>296</v>
      </c>
      <c r="O61" s="282">
        <v>529</v>
      </c>
      <c r="P61" s="280">
        <f t="shared" si="1"/>
        <v>23489783.67983108</v>
      </c>
    </row>
    <row r="62" spans="1:16" x14ac:dyDescent="0.2">
      <c r="A62" s="32" t="s">
        <v>582</v>
      </c>
      <c r="B62" s="32" t="s">
        <v>576</v>
      </c>
      <c r="C62" s="32" t="s">
        <v>577</v>
      </c>
      <c r="D62" s="32" t="s">
        <v>578</v>
      </c>
      <c r="E62" s="32" t="s">
        <v>556</v>
      </c>
      <c r="F62" s="32" t="s">
        <v>581</v>
      </c>
      <c r="G62" s="32" t="str">
        <f t="shared" si="0"/>
        <v>.625" PE EXTN</v>
      </c>
      <c r="H62" s="278" t="s">
        <v>465</v>
      </c>
      <c r="I62" s="32" t="s">
        <v>462</v>
      </c>
      <c r="J62" s="279">
        <v>23102</v>
      </c>
      <c r="K62" s="280">
        <v>15450039.51</v>
      </c>
      <c r="L62" s="280">
        <v>10571358.130000001</v>
      </c>
      <c r="M62" s="280">
        <v>4878681.38</v>
      </c>
      <c r="N62" s="281">
        <v>307</v>
      </c>
      <c r="O62" s="282">
        <v>529</v>
      </c>
      <c r="P62" s="280">
        <f t="shared" si="1"/>
        <v>26622380.784332249</v>
      </c>
    </row>
    <row r="63" spans="1:16" x14ac:dyDescent="0.2">
      <c r="A63" s="32" t="s">
        <v>582</v>
      </c>
      <c r="B63" s="32" t="s">
        <v>576</v>
      </c>
      <c r="C63" s="32" t="s">
        <v>577</v>
      </c>
      <c r="D63" s="32" t="s">
        <v>578</v>
      </c>
      <c r="E63" s="32" t="s">
        <v>556</v>
      </c>
      <c r="F63" s="32" t="s">
        <v>581</v>
      </c>
      <c r="G63" s="32" t="str">
        <f t="shared" si="0"/>
        <v>.625" PE EXTN</v>
      </c>
      <c r="H63" s="278" t="s">
        <v>490</v>
      </c>
      <c r="I63" s="32" t="s">
        <v>462</v>
      </c>
      <c r="J63" s="279">
        <v>25272</v>
      </c>
      <c r="K63" s="280">
        <v>16786744.309999999</v>
      </c>
      <c r="L63" s="280">
        <v>10962208.689999999</v>
      </c>
      <c r="M63" s="280">
        <v>5824535.6200000001</v>
      </c>
      <c r="N63" s="281">
        <v>310</v>
      </c>
      <c r="O63" s="282">
        <v>529</v>
      </c>
      <c r="P63" s="280">
        <f t="shared" si="1"/>
        <v>28645766.903193548</v>
      </c>
    </row>
    <row r="64" spans="1:16" x14ac:dyDescent="0.2">
      <c r="A64" s="32" t="s">
        <v>582</v>
      </c>
      <c r="B64" s="32" t="s">
        <v>576</v>
      </c>
      <c r="C64" s="32" t="s">
        <v>577</v>
      </c>
      <c r="D64" s="32" t="s">
        <v>578</v>
      </c>
      <c r="E64" s="32" t="s">
        <v>556</v>
      </c>
      <c r="F64" s="32" t="s">
        <v>581</v>
      </c>
      <c r="G64" s="32" t="str">
        <f t="shared" si="0"/>
        <v>.625" PE EXTN</v>
      </c>
      <c r="H64" s="278" t="s">
        <v>491</v>
      </c>
      <c r="I64" s="32" t="s">
        <v>462</v>
      </c>
      <c r="J64" s="279">
        <v>22656</v>
      </c>
      <c r="K64" s="280">
        <v>13053479.939999999</v>
      </c>
      <c r="L64" s="280">
        <v>8100886.6600000001</v>
      </c>
      <c r="M64" s="280">
        <v>4952593.28</v>
      </c>
      <c r="N64" s="281">
        <v>319</v>
      </c>
      <c r="O64" s="282">
        <v>529</v>
      </c>
      <c r="P64" s="280">
        <f t="shared" si="1"/>
        <v>21646679.900501568</v>
      </c>
    </row>
    <row r="65" spans="1:16" x14ac:dyDescent="0.2">
      <c r="A65" s="32" t="s">
        <v>582</v>
      </c>
      <c r="B65" s="32" t="s">
        <v>576</v>
      </c>
      <c r="C65" s="32" t="s">
        <v>577</v>
      </c>
      <c r="D65" s="32" t="s">
        <v>578</v>
      </c>
      <c r="E65" s="32" t="s">
        <v>556</v>
      </c>
      <c r="F65" s="32" t="s">
        <v>581</v>
      </c>
      <c r="G65" s="32" t="str">
        <f t="shared" si="0"/>
        <v>.625" PE EXTN</v>
      </c>
      <c r="H65" s="278" t="s">
        <v>514</v>
      </c>
      <c r="I65" s="32" t="s">
        <v>462</v>
      </c>
      <c r="J65" s="279">
        <v>21483</v>
      </c>
      <c r="K65" s="280">
        <v>8100792.5499999998</v>
      </c>
      <c r="L65" s="280">
        <v>4755588.01</v>
      </c>
      <c r="M65" s="280">
        <v>3345204.54</v>
      </c>
      <c r="N65" s="281">
        <v>326</v>
      </c>
      <c r="O65" s="282">
        <v>529</v>
      </c>
      <c r="P65" s="280">
        <f t="shared" si="1"/>
        <v>13145151.101073619</v>
      </c>
    </row>
    <row r="66" spans="1:16" x14ac:dyDescent="0.2">
      <c r="A66" s="32" t="s">
        <v>582</v>
      </c>
      <c r="B66" s="32" t="s">
        <v>576</v>
      </c>
      <c r="C66" s="32" t="s">
        <v>577</v>
      </c>
      <c r="D66" s="32" t="s">
        <v>578</v>
      </c>
      <c r="E66" s="32" t="s">
        <v>556</v>
      </c>
      <c r="F66" s="32" t="s">
        <v>581</v>
      </c>
      <c r="G66" s="32" t="str">
        <f t="shared" ref="G66:G129" si="2">D66&amp;" "&amp;E66&amp;" "&amp;F66</f>
        <v>.625" PE EXTN</v>
      </c>
      <c r="H66" s="278" t="s">
        <v>513</v>
      </c>
      <c r="I66" s="32" t="s">
        <v>462</v>
      </c>
      <c r="J66" s="279">
        <v>7192</v>
      </c>
      <c r="K66" s="280">
        <v>4909430.62</v>
      </c>
      <c r="L66" s="280">
        <v>2712609.96</v>
      </c>
      <c r="M66" s="280">
        <v>2196820.66</v>
      </c>
      <c r="N66" s="281">
        <v>338</v>
      </c>
      <c r="O66" s="282">
        <v>529</v>
      </c>
      <c r="P66" s="280">
        <f t="shared" ref="P66:P129" si="3">+(O66/N66)*K66</f>
        <v>7683694.668579882</v>
      </c>
    </row>
    <row r="67" spans="1:16" x14ac:dyDescent="0.2">
      <c r="A67" s="32" t="s">
        <v>582</v>
      </c>
      <c r="B67" s="32" t="s">
        <v>576</v>
      </c>
      <c r="C67" s="32" t="s">
        <v>577</v>
      </c>
      <c r="D67" s="32" t="s">
        <v>578</v>
      </c>
      <c r="E67" s="32" t="s">
        <v>556</v>
      </c>
      <c r="F67" s="32" t="s">
        <v>581</v>
      </c>
      <c r="G67" s="32" t="str">
        <f t="shared" si="2"/>
        <v>.625" PE EXTN</v>
      </c>
      <c r="H67" s="278" t="s">
        <v>467</v>
      </c>
      <c r="I67" s="32" t="s">
        <v>462</v>
      </c>
      <c r="J67" s="279">
        <v>18234</v>
      </c>
      <c r="K67" s="280">
        <v>10454328.67</v>
      </c>
      <c r="L67" s="280">
        <v>5406717.2199999997</v>
      </c>
      <c r="M67" s="280">
        <v>5047611.45</v>
      </c>
      <c r="N67" s="281">
        <v>344</v>
      </c>
      <c r="O67" s="282">
        <v>529</v>
      </c>
      <c r="P67" s="280">
        <f t="shared" si="3"/>
        <v>16076569.379156977</v>
      </c>
    </row>
    <row r="68" spans="1:16" x14ac:dyDescent="0.2">
      <c r="A68" s="32" t="s">
        <v>582</v>
      </c>
      <c r="B68" s="32" t="s">
        <v>576</v>
      </c>
      <c r="C68" s="32" t="s">
        <v>577</v>
      </c>
      <c r="D68" s="32" t="s">
        <v>578</v>
      </c>
      <c r="E68" s="32" t="s">
        <v>556</v>
      </c>
      <c r="F68" s="32" t="s">
        <v>581</v>
      </c>
      <c r="G68" s="32" t="str">
        <f t="shared" si="2"/>
        <v>.625" PE EXTN</v>
      </c>
      <c r="H68" s="278" t="s">
        <v>473</v>
      </c>
      <c r="I68" s="32" t="s">
        <v>462</v>
      </c>
      <c r="J68" s="279">
        <v>6267</v>
      </c>
      <c r="K68" s="280">
        <v>2605393.71</v>
      </c>
      <c r="L68" s="280">
        <v>1253598.52</v>
      </c>
      <c r="M68" s="280">
        <v>1351795.19</v>
      </c>
      <c r="N68" s="281">
        <v>351</v>
      </c>
      <c r="O68" s="282">
        <v>529</v>
      </c>
      <c r="P68" s="280">
        <f t="shared" si="3"/>
        <v>3926647.5002564103</v>
      </c>
    </row>
    <row r="69" spans="1:16" x14ac:dyDescent="0.2">
      <c r="A69" s="32" t="s">
        <v>582</v>
      </c>
      <c r="B69" s="32" t="s">
        <v>576</v>
      </c>
      <c r="C69" s="32" t="s">
        <v>577</v>
      </c>
      <c r="D69" s="32" t="s">
        <v>578</v>
      </c>
      <c r="E69" s="32" t="s">
        <v>556</v>
      </c>
      <c r="F69" s="32" t="s">
        <v>581</v>
      </c>
      <c r="G69" s="32" t="str">
        <f t="shared" si="2"/>
        <v>.625" PE EXTN</v>
      </c>
      <c r="H69" s="278" t="s">
        <v>479</v>
      </c>
      <c r="I69" s="32" t="s">
        <v>462</v>
      </c>
      <c r="J69" s="279">
        <v>13162</v>
      </c>
      <c r="K69" s="280">
        <v>3974124.34</v>
      </c>
      <c r="L69" s="280">
        <v>1767050.08</v>
      </c>
      <c r="M69" s="280">
        <v>2207074.2599999998</v>
      </c>
      <c r="N69" s="281">
        <v>357</v>
      </c>
      <c r="O69" s="282">
        <v>529</v>
      </c>
      <c r="P69" s="280">
        <f t="shared" si="3"/>
        <v>5888828.5038095238</v>
      </c>
    </row>
    <row r="70" spans="1:16" x14ac:dyDescent="0.2">
      <c r="A70" s="32" t="s">
        <v>582</v>
      </c>
      <c r="B70" s="32" t="s">
        <v>576</v>
      </c>
      <c r="C70" s="32" t="s">
        <v>577</v>
      </c>
      <c r="D70" s="32" t="s">
        <v>578</v>
      </c>
      <c r="E70" s="32" t="s">
        <v>556</v>
      </c>
      <c r="F70" s="32" t="s">
        <v>581</v>
      </c>
      <c r="G70" s="32" t="str">
        <f t="shared" si="2"/>
        <v>.625" PE EXTN</v>
      </c>
      <c r="H70" s="278" t="s">
        <v>480</v>
      </c>
      <c r="I70" s="32" t="s">
        <v>462</v>
      </c>
      <c r="J70" s="279">
        <v>1070</v>
      </c>
      <c r="K70" s="280">
        <v>216092.93</v>
      </c>
      <c r="L70" s="280">
        <v>88126.88</v>
      </c>
      <c r="M70" s="280">
        <v>127966.05</v>
      </c>
      <c r="N70" s="281">
        <v>365</v>
      </c>
      <c r="O70" s="282">
        <v>529</v>
      </c>
      <c r="P70" s="280">
        <f t="shared" si="3"/>
        <v>313186.73964383558</v>
      </c>
    </row>
    <row r="71" spans="1:16" x14ac:dyDescent="0.2">
      <c r="A71" s="32" t="s">
        <v>582</v>
      </c>
      <c r="B71" s="32" t="s">
        <v>576</v>
      </c>
      <c r="C71" s="32" t="s">
        <v>577</v>
      </c>
      <c r="D71" s="32" t="s">
        <v>578</v>
      </c>
      <c r="E71" s="32" t="s">
        <v>556</v>
      </c>
      <c r="F71" s="32" t="s">
        <v>581</v>
      </c>
      <c r="G71" s="32" t="str">
        <f t="shared" si="2"/>
        <v>.625" PE EXTN</v>
      </c>
      <c r="H71" s="278" t="s">
        <v>472</v>
      </c>
      <c r="I71" s="32" t="s">
        <v>462</v>
      </c>
      <c r="J71" s="279">
        <v>2969</v>
      </c>
      <c r="K71" s="280">
        <v>2988720.3</v>
      </c>
      <c r="L71" s="280">
        <v>1108448.99</v>
      </c>
      <c r="M71" s="280">
        <v>1880271.31</v>
      </c>
      <c r="N71" s="281">
        <v>370</v>
      </c>
      <c r="O71" s="282">
        <v>529</v>
      </c>
      <c r="P71" s="280">
        <f t="shared" si="3"/>
        <v>4273062.2667567562</v>
      </c>
    </row>
    <row r="72" spans="1:16" x14ac:dyDescent="0.2">
      <c r="A72" s="32" t="s">
        <v>582</v>
      </c>
      <c r="B72" s="32" t="s">
        <v>576</v>
      </c>
      <c r="C72" s="32" t="s">
        <v>577</v>
      </c>
      <c r="D72" s="32" t="s">
        <v>578</v>
      </c>
      <c r="E72" s="32" t="s">
        <v>556</v>
      </c>
      <c r="F72" s="32" t="s">
        <v>581</v>
      </c>
      <c r="G72" s="32" t="str">
        <f t="shared" si="2"/>
        <v>.625" PE EXTN</v>
      </c>
      <c r="H72" s="278" t="s">
        <v>478</v>
      </c>
      <c r="I72" s="32" t="s">
        <v>462</v>
      </c>
      <c r="J72" s="279">
        <v>11143</v>
      </c>
      <c r="K72" s="280">
        <v>3862341.43</v>
      </c>
      <c r="L72" s="280">
        <v>1290050.04</v>
      </c>
      <c r="M72" s="280">
        <v>2572291.39</v>
      </c>
      <c r="N72" s="281">
        <v>378</v>
      </c>
      <c r="O72" s="282">
        <v>529</v>
      </c>
      <c r="P72" s="280">
        <f t="shared" si="3"/>
        <v>5405234.4351058202</v>
      </c>
    </row>
    <row r="73" spans="1:16" x14ac:dyDescent="0.2">
      <c r="A73" s="32" t="s">
        <v>582</v>
      </c>
      <c r="B73" s="32" t="s">
        <v>576</v>
      </c>
      <c r="C73" s="32" t="s">
        <v>577</v>
      </c>
      <c r="D73" s="32" t="s">
        <v>578</v>
      </c>
      <c r="E73" s="32" t="s">
        <v>556</v>
      </c>
      <c r="F73" s="32" t="s">
        <v>581</v>
      </c>
      <c r="G73" s="32" t="str">
        <f t="shared" si="2"/>
        <v>.625" PE EXTN</v>
      </c>
      <c r="H73" s="278" t="s">
        <v>475</v>
      </c>
      <c r="I73" s="32" t="s">
        <v>462</v>
      </c>
      <c r="J73" s="279">
        <v>11624</v>
      </c>
      <c r="K73" s="280">
        <v>1539591.27</v>
      </c>
      <c r="L73" s="280">
        <v>457831.5</v>
      </c>
      <c r="M73" s="280">
        <v>1081759.77</v>
      </c>
      <c r="N73" s="281">
        <v>393</v>
      </c>
      <c r="O73" s="282">
        <v>529</v>
      </c>
      <c r="P73" s="280">
        <f t="shared" si="3"/>
        <v>2072376.0351908398</v>
      </c>
    </row>
    <row r="74" spans="1:16" x14ac:dyDescent="0.2">
      <c r="A74" s="32" t="s">
        <v>582</v>
      </c>
      <c r="B74" s="32" t="s">
        <v>576</v>
      </c>
      <c r="C74" s="32" t="s">
        <v>577</v>
      </c>
      <c r="D74" s="32" t="s">
        <v>578</v>
      </c>
      <c r="E74" s="32" t="s">
        <v>556</v>
      </c>
      <c r="F74" s="32" t="s">
        <v>581</v>
      </c>
      <c r="G74" s="32" t="str">
        <f t="shared" si="2"/>
        <v>.625" PE EXTN</v>
      </c>
      <c r="H74" s="278" t="s">
        <v>471</v>
      </c>
      <c r="I74" s="32" t="s">
        <v>462</v>
      </c>
      <c r="J74" s="279">
        <v>7741</v>
      </c>
      <c r="K74" s="280">
        <v>286102</v>
      </c>
      <c r="L74" s="280">
        <v>74717.11</v>
      </c>
      <c r="M74" s="280">
        <v>211384.89</v>
      </c>
      <c r="N74" s="281">
        <v>398</v>
      </c>
      <c r="O74" s="282">
        <v>529</v>
      </c>
      <c r="P74" s="280">
        <f t="shared" si="3"/>
        <v>380271.25125628139</v>
      </c>
    </row>
    <row r="75" spans="1:16" x14ac:dyDescent="0.2">
      <c r="A75" s="32" t="s">
        <v>582</v>
      </c>
      <c r="B75" s="32" t="s">
        <v>576</v>
      </c>
      <c r="C75" s="32" t="s">
        <v>577</v>
      </c>
      <c r="D75" s="32" t="s">
        <v>578</v>
      </c>
      <c r="E75" s="32" t="s">
        <v>556</v>
      </c>
      <c r="F75" s="32" t="s">
        <v>581</v>
      </c>
      <c r="G75" s="32" t="str">
        <f t="shared" si="2"/>
        <v>.625" PE EXTN</v>
      </c>
      <c r="H75" s="278" t="s">
        <v>476</v>
      </c>
      <c r="I75" s="32" t="s">
        <v>462</v>
      </c>
      <c r="J75" s="279">
        <v>6</v>
      </c>
      <c r="K75" s="280">
        <v>4316.96</v>
      </c>
      <c r="L75" s="280">
        <v>973.42</v>
      </c>
      <c r="M75" s="280">
        <v>3343.54</v>
      </c>
      <c r="N75" s="281">
        <v>409</v>
      </c>
      <c r="O75" s="282">
        <v>529</v>
      </c>
      <c r="P75" s="280">
        <f t="shared" si="3"/>
        <v>5583.5497310513447</v>
      </c>
    </row>
    <row r="76" spans="1:16" x14ac:dyDescent="0.2">
      <c r="A76" s="32" t="s">
        <v>582</v>
      </c>
      <c r="B76" s="32" t="s">
        <v>576</v>
      </c>
      <c r="C76" s="32" t="s">
        <v>577</v>
      </c>
      <c r="D76" s="32" t="s">
        <v>578</v>
      </c>
      <c r="E76" s="32" t="s">
        <v>556</v>
      </c>
      <c r="F76" s="32" t="s">
        <v>581</v>
      </c>
      <c r="G76" s="32" t="str">
        <f t="shared" si="2"/>
        <v>.625" PE EXTN</v>
      </c>
      <c r="H76" s="278" t="s">
        <v>474</v>
      </c>
      <c r="I76" s="32" t="s">
        <v>462</v>
      </c>
      <c r="J76" s="279">
        <v>1</v>
      </c>
      <c r="K76" s="280">
        <v>13857.21</v>
      </c>
      <c r="L76" s="280">
        <v>2639.37</v>
      </c>
      <c r="M76" s="280">
        <v>11217.84</v>
      </c>
      <c r="N76" s="281">
        <v>431</v>
      </c>
      <c r="O76" s="282">
        <v>529</v>
      </c>
      <c r="P76" s="280">
        <f t="shared" si="3"/>
        <v>17008.037331786541</v>
      </c>
    </row>
    <row r="77" spans="1:16" x14ac:dyDescent="0.2">
      <c r="A77" s="32" t="s">
        <v>582</v>
      </c>
      <c r="B77" s="32" t="s">
        <v>576</v>
      </c>
      <c r="C77" s="32" t="s">
        <v>577</v>
      </c>
      <c r="D77" s="32" t="s">
        <v>578</v>
      </c>
      <c r="E77" s="32" t="s">
        <v>556</v>
      </c>
      <c r="F77" s="32" t="s">
        <v>581</v>
      </c>
      <c r="G77" s="32" t="str">
        <f t="shared" si="2"/>
        <v>.625" PE EXTN</v>
      </c>
      <c r="H77" s="278" t="s">
        <v>470</v>
      </c>
      <c r="I77" s="32" t="s">
        <v>462</v>
      </c>
      <c r="J77" s="279">
        <v>1</v>
      </c>
      <c r="K77" s="280">
        <v>3935.68</v>
      </c>
      <c r="L77" s="280">
        <v>481.77</v>
      </c>
      <c r="M77" s="280">
        <v>3453.91</v>
      </c>
      <c r="N77" s="281">
        <v>467</v>
      </c>
      <c r="O77" s="282">
        <v>529</v>
      </c>
      <c r="P77" s="280">
        <f t="shared" si="3"/>
        <v>4458.1899785867236</v>
      </c>
    </row>
    <row r="78" spans="1:16" x14ac:dyDescent="0.2">
      <c r="A78" s="32" t="s">
        <v>583</v>
      </c>
      <c r="B78" s="32" t="s">
        <v>576</v>
      </c>
      <c r="C78" s="32" t="s">
        <v>577</v>
      </c>
      <c r="D78" s="32" t="s">
        <v>578</v>
      </c>
      <c r="E78" s="32" t="s">
        <v>556</v>
      </c>
      <c r="F78" s="32" t="s">
        <v>584</v>
      </c>
      <c r="G78" s="32" t="str">
        <f t="shared" si="2"/>
        <v>.625" PE STUB</v>
      </c>
      <c r="H78" s="278" t="s">
        <v>521</v>
      </c>
      <c r="I78" s="32" t="s">
        <v>462</v>
      </c>
      <c r="J78" s="279">
        <v>1</v>
      </c>
      <c r="K78" s="280">
        <v>1223.8</v>
      </c>
      <c r="L78" s="280">
        <v>1139.48</v>
      </c>
      <c r="M78" s="280">
        <v>84.32</v>
      </c>
      <c r="N78" s="281">
        <v>192</v>
      </c>
      <c r="O78" s="282">
        <v>529</v>
      </c>
      <c r="P78" s="280">
        <f t="shared" si="3"/>
        <v>3371.8239583333334</v>
      </c>
    </row>
    <row r="79" spans="1:16" x14ac:dyDescent="0.2">
      <c r="A79" s="32" t="s">
        <v>583</v>
      </c>
      <c r="B79" s="32" t="s">
        <v>576</v>
      </c>
      <c r="C79" s="32" t="s">
        <v>577</v>
      </c>
      <c r="D79" s="32" t="s">
        <v>578</v>
      </c>
      <c r="E79" s="32" t="s">
        <v>556</v>
      </c>
      <c r="F79" s="32" t="s">
        <v>584</v>
      </c>
      <c r="G79" s="32" t="str">
        <f t="shared" si="2"/>
        <v>.625" PE STUB</v>
      </c>
      <c r="H79" s="278" t="s">
        <v>467</v>
      </c>
      <c r="I79" s="32" t="s">
        <v>462</v>
      </c>
      <c r="J79" s="279">
        <v>4493</v>
      </c>
      <c r="K79" s="280">
        <v>1521503.91</v>
      </c>
      <c r="L79" s="280">
        <v>786883.75</v>
      </c>
      <c r="M79" s="280">
        <v>734620.16000000003</v>
      </c>
      <c r="N79" s="281">
        <v>344</v>
      </c>
      <c r="O79" s="282">
        <v>529</v>
      </c>
      <c r="P79" s="280">
        <f t="shared" si="3"/>
        <v>2339754.559273256</v>
      </c>
    </row>
    <row r="80" spans="1:16" x14ac:dyDescent="0.2">
      <c r="A80" s="32" t="s">
        <v>583</v>
      </c>
      <c r="B80" s="32" t="s">
        <v>576</v>
      </c>
      <c r="C80" s="32" t="s">
        <v>577</v>
      </c>
      <c r="D80" s="32" t="s">
        <v>578</v>
      </c>
      <c r="E80" s="32" t="s">
        <v>556</v>
      </c>
      <c r="F80" s="32" t="s">
        <v>584</v>
      </c>
      <c r="G80" s="32" t="str">
        <f t="shared" si="2"/>
        <v>.625" PE STUB</v>
      </c>
      <c r="H80" s="278" t="s">
        <v>473</v>
      </c>
      <c r="I80" s="32" t="s">
        <v>462</v>
      </c>
      <c r="J80" s="279">
        <v>18179</v>
      </c>
      <c r="K80" s="280">
        <v>5749190.4400000004</v>
      </c>
      <c r="L80" s="280">
        <v>2766252.42</v>
      </c>
      <c r="M80" s="280">
        <v>2982938.02</v>
      </c>
      <c r="N80" s="281">
        <v>351</v>
      </c>
      <c r="O80" s="282">
        <v>529</v>
      </c>
      <c r="P80" s="280">
        <f t="shared" si="3"/>
        <v>8664734.309857551</v>
      </c>
    </row>
    <row r="81" spans="1:16" x14ac:dyDescent="0.2">
      <c r="A81" s="32" t="s">
        <v>583</v>
      </c>
      <c r="B81" s="32" t="s">
        <v>576</v>
      </c>
      <c r="C81" s="32" t="s">
        <v>577</v>
      </c>
      <c r="D81" s="32" t="s">
        <v>578</v>
      </c>
      <c r="E81" s="32" t="s">
        <v>556</v>
      </c>
      <c r="F81" s="32" t="s">
        <v>584</v>
      </c>
      <c r="G81" s="32" t="str">
        <f t="shared" si="2"/>
        <v>.625" PE STUB</v>
      </c>
      <c r="H81" s="278" t="s">
        <v>479</v>
      </c>
      <c r="I81" s="32" t="s">
        <v>462</v>
      </c>
      <c r="J81" s="279">
        <v>27180</v>
      </c>
      <c r="K81" s="280">
        <v>5667143.4299999997</v>
      </c>
      <c r="L81" s="280">
        <v>2519832.14</v>
      </c>
      <c r="M81" s="280">
        <v>3147311.29</v>
      </c>
      <c r="N81" s="281">
        <v>357</v>
      </c>
      <c r="O81" s="282">
        <v>529</v>
      </c>
      <c r="P81" s="280">
        <f t="shared" si="3"/>
        <v>8397531.8612605035</v>
      </c>
    </row>
    <row r="82" spans="1:16" x14ac:dyDescent="0.2">
      <c r="A82" s="32" t="s">
        <v>583</v>
      </c>
      <c r="B82" s="32" t="s">
        <v>576</v>
      </c>
      <c r="C82" s="32" t="s">
        <v>577</v>
      </c>
      <c r="D82" s="32" t="s">
        <v>578</v>
      </c>
      <c r="E82" s="32" t="s">
        <v>556</v>
      </c>
      <c r="F82" s="32" t="s">
        <v>584</v>
      </c>
      <c r="G82" s="32" t="str">
        <f t="shared" si="2"/>
        <v>.625" PE STUB</v>
      </c>
      <c r="H82" s="278" t="s">
        <v>480</v>
      </c>
      <c r="I82" s="32" t="s">
        <v>462</v>
      </c>
      <c r="J82" s="279">
        <v>15415</v>
      </c>
      <c r="K82" s="280">
        <v>10050645.720000001</v>
      </c>
      <c r="L82" s="280">
        <v>4098847.91</v>
      </c>
      <c r="M82" s="280">
        <v>5951797.8099999996</v>
      </c>
      <c r="N82" s="281">
        <v>365</v>
      </c>
      <c r="O82" s="282">
        <v>529</v>
      </c>
      <c r="P82" s="280">
        <f t="shared" si="3"/>
        <v>14566552.290082192</v>
      </c>
    </row>
    <row r="83" spans="1:16" x14ac:dyDescent="0.2">
      <c r="A83" s="32" t="s">
        <v>583</v>
      </c>
      <c r="B83" s="32" t="s">
        <v>576</v>
      </c>
      <c r="C83" s="32" t="s">
        <v>577</v>
      </c>
      <c r="D83" s="32" t="s">
        <v>578</v>
      </c>
      <c r="E83" s="32" t="s">
        <v>556</v>
      </c>
      <c r="F83" s="32" t="s">
        <v>584</v>
      </c>
      <c r="G83" s="32" t="str">
        <f t="shared" si="2"/>
        <v>.625" PE STUB</v>
      </c>
      <c r="H83" s="278" t="s">
        <v>472</v>
      </c>
      <c r="I83" s="32" t="s">
        <v>462</v>
      </c>
      <c r="J83" s="279">
        <v>20283</v>
      </c>
      <c r="K83" s="280">
        <v>6072191.3300000001</v>
      </c>
      <c r="L83" s="280">
        <v>2252038.9</v>
      </c>
      <c r="M83" s="280">
        <v>3820152.43</v>
      </c>
      <c r="N83" s="281">
        <v>370</v>
      </c>
      <c r="O83" s="282">
        <v>529</v>
      </c>
      <c r="P83" s="280">
        <f t="shared" si="3"/>
        <v>8681592.4691081084</v>
      </c>
    </row>
    <row r="84" spans="1:16" x14ac:dyDescent="0.2">
      <c r="A84" s="32" t="s">
        <v>583</v>
      </c>
      <c r="B84" s="32" t="s">
        <v>576</v>
      </c>
      <c r="C84" s="32" t="s">
        <v>577</v>
      </c>
      <c r="D84" s="32" t="s">
        <v>578</v>
      </c>
      <c r="E84" s="32" t="s">
        <v>556</v>
      </c>
      <c r="F84" s="32" t="s">
        <v>584</v>
      </c>
      <c r="G84" s="32" t="str">
        <f t="shared" si="2"/>
        <v>.625" PE STUB</v>
      </c>
      <c r="H84" s="278" t="s">
        <v>478</v>
      </c>
      <c r="I84" s="32" t="s">
        <v>462</v>
      </c>
      <c r="J84" s="279">
        <v>17431</v>
      </c>
      <c r="K84" s="280">
        <v>6008590.2300000004</v>
      </c>
      <c r="L84" s="280">
        <v>2006912.7</v>
      </c>
      <c r="M84" s="280">
        <v>4001677.53</v>
      </c>
      <c r="N84" s="281">
        <v>378</v>
      </c>
      <c r="O84" s="282">
        <v>529</v>
      </c>
      <c r="P84" s="280">
        <f t="shared" si="3"/>
        <v>8408847.1737301592</v>
      </c>
    </row>
    <row r="85" spans="1:16" x14ac:dyDescent="0.2">
      <c r="A85" s="32" t="s">
        <v>583</v>
      </c>
      <c r="B85" s="32" t="s">
        <v>576</v>
      </c>
      <c r="C85" s="32" t="s">
        <v>577</v>
      </c>
      <c r="D85" s="32" t="s">
        <v>578</v>
      </c>
      <c r="E85" s="32" t="s">
        <v>556</v>
      </c>
      <c r="F85" s="32" t="s">
        <v>584</v>
      </c>
      <c r="G85" s="32" t="str">
        <f t="shared" si="2"/>
        <v>.625" PE STUB</v>
      </c>
      <c r="H85" s="278" t="s">
        <v>475</v>
      </c>
      <c r="I85" s="32" t="s">
        <v>462</v>
      </c>
      <c r="J85" s="279">
        <v>15639</v>
      </c>
      <c r="K85" s="280">
        <v>4819010.04</v>
      </c>
      <c r="L85" s="280">
        <v>1433039.18</v>
      </c>
      <c r="M85" s="280">
        <v>3385970.86</v>
      </c>
      <c r="N85" s="281">
        <v>393</v>
      </c>
      <c r="O85" s="282">
        <v>529</v>
      </c>
      <c r="P85" s="280">
        <f t="shared" si="3"/>
        <v>6486657.2803053437</v>
      </c>
    </row>
    <row r="86" spans="1:16" x14ac:dyDescent="0.2">
      <c r="A86" s="32" t="s">
        <v>583</v>
      </c>
      <c r="B86" s="32" t="s">
        <v>576</v>
      </c>
      <c r="C86" s="32" t="s">
        <v>577</v>
      </c>
      <c r="D86" s="32" t="s">
        <v>578</v>
      </c>
      <c r="E86" s="32" t="s">
        <v>556</v>
      </c>
      <c r="F86" s="32" t="s">
        <v>584</v>
      </c>
      <c r="G86" s="32" t="str">
        <f t="shared" si="2"/>
        <v>.625" PE STUB</v>
      </c>
      <c r="H86" s="278" t="s">
        <v>471</v>
      </c>
      <c r="I86" s="32" t="s">
        <v>462</v>
      </c>
      <c r="J86" s="279">
        <v>17229</v>
      </c>
      <c r="K86" s="280">
        <v>5024588.4800000004</v>
      </c>
      <c r="L86" s="280">
        <v>1312198.97</v>
      </c>
      <c r="M86" s="280">
        <v>3712389.51</v>
      </c>
      <c r="N86" s="281">
        <v>398</v>
      </c>
      <c r="O86" s="282">
        <v>529</v>
      </c>
      <c r="P86" s="280">
        <f t="shared" si="3"/>
        <v>6678410.3163819099</v>
      </c>
    </row>
    <row r="87" spans="1:16" x14ac:dyDescent="0.2">
      <c r="A87" s="32" t="s">
        <v>583</v>
      </c>
      <c r="B87" s="32" t="s">
        <v>576</v>
      </c>
      <c r="C87" s="32" t="s">
        <v>577</v>
      </c>
      <c r="D87" s="32" t="s">
        <v>578</v>
      </c>
      <c r="E87" s="32" t="s">
        <v>556</v>
      </c>
      <c r="F87" s="32" t="s">
        <v>584</v>
      </c>
      <c r="G87" s="32" t="str">
        <f t="shared" si="2"/>
        <v>.625" PE STUB</v>
      </c>
      <c r="H87" s="278" t="s">
        <v>476</v>
      </c>
      <c r="I87" s="32" t="s">
        <v>462</v>
      </c>
      <c r="J87" s="279">
        <v>20472</v>
      </c>
      <c r="K87" s="280">
        <v>4702202.3899999997</v>
      </c>
      <c r="L87" s="280">
        <v>1060288.1000000001</v>
      </c>
      <c r="M87" s="280">
        <v>3641914.29</v>
      </c>
      <c r="N87" s="281">
        <v>409</v>
      </c>
      <c r="O87" s="282">
        <v>529</v>
      </c>
      <c r="P87" s="280">
        <f t="shared" si="3"/>
        <v>6081821.6731295837</v>
      </c>
    </row>
    <row r="88" spans="1:16" x14ac:dyDescent="0.2">
      <c r="A88" s="32" t="s">
        <v>583</v>
      </c>
      <c r="B88" s="32" t="s">
        <v>576</v>
      </c>
      <c r="C88" s="32" t="s">
        <v>577</v>
      </c>
      <c r="D88" s="32" t="s">
        <v>578</v>
      </c>
      <c r="E88" s="32" t="s">
        <v>556</v>
      </c>
      <c r="F88" s="32" t="s">
        <v>584</v>
      </c>
      <c r="G88" s="32" t="str">
        <f t="shared" si="2"/>
        <v>.625" PE STUB</v>
      </c>
      <c r="H88" s="278" t="s">
        <v>474</v>
      </c>
      <c r="I88" s="32" t="s">
        <v>462</v>
      </c>
      <c r="J88" s="279">
        <v>18502</v>
      </c>
      <c r="K88" s="280">
        <v>5488467.1100000003</v>
      </c>
      <c r="L88" s="280">
        <v>1045384.32</v>
      </c>
      <c r="M88" s="280">
        <v>4443082.79</v>
      </c>
      <c r="N88" s="281">
        <v>431</v>
      </c>
      <c r="O88" s="282">
        <v>529</v>
      </c>
      <c r="P88" s="280">
        <f t="shared" si="3"/>
        <v>6736424.8287470993</v>
      </c>
    </row>
    <row r="89" spans="1:16" x14ac:dyDescent="0.2">
      <c r="A89" s="32" t="s">
        <v>583</v>
      </c>
      <c r="B89" s="32" t="s">
        <v>576</v>
      </c>
      <c r="C89" s="32" t="s">
        <v>577</v>
      </c>
      <c r="D89" s="32" t="s">
        <v>578</v>
      </c>
      <c r="E89" s="32" t="s">
        <v>556</v>
      </c>
      <c r="F89" s="32" t="s">
        <v>584</v>
      </c>
      <c r="G89" s="32" t="str">
        <f t="shared" si="2"/>
        <v>.625" PE STUB</v>
      </c>
      <c r="H89" s="278" t="s">
        <v>477</v>
      </c>
      <c r="I89" s="32" t="s">
        <v>462</v>
      </c>
      <c r="J89" s="279">
        <v>17516</v>
      </c>
      <c r="K89" s="280">
        <v>8926106.5099999998</v>
      </c>
      <c r="L89" s="280">
        <v>1393715.93</v>
      </c>
      <c r="M89" s="280">
        <v>7532390.5800000001</v>
      </c>
      <c r="N89" s="281">
        <v>450</v>
      </c>
      <c r="O89" s="282">
        <v>529</v>
      </c>
      <c r="P89" s="280">
        <f t="shared" si="3"/>
        <v>10493134.097311109</v>
      </c>
    </row>
    <row r="90" spans="1:16" x14ac:dyDescent="0.2">
      <c r="A90" s="32" t="s">
        <v>583</v>
      </c>
      <c r="B90" s="32" t="s">
        <v>576</v>
      </c>
      <c r="C90" s="32" t="s">
        <v>577</v>
      </c>
      <c r="D90" s="32" t="s">
        <v>578</v>
      </c>
      <c r="E90" s="32" t="s">
        <v>556</v>
      </c>
      <c r="F90" s="32" t="s">
        <v>584</v>
      </c>
      <c r="G90" s="32" t="str">
        <f t="shared" si="2"/>
        <v>.625" PE STUB</v>
      </c>
      <c r="H90" s="278" t="s">
        <v>470</v>
      </c>
      <c r="I90" s="32" t="s">
        <v>462</v>
      </c>
      <c r="J90" s="279">
        <v>14</v>
      </c>
      <c r="K90" s="280">
        <v>12567.58</v>
      </c>
      <c r="L90" s="280">
        <v>1538.42</v>
      </c>
      <c r="M90" s="280">
        <v>11029.16</v>
      </c>
      <c r="N90" s="281">
        <v>467</v>
      </c>
      <c r="O90" s="282">
        <v>529</v>
      </c>
      <c r="P90" s="280">
        <f t="shared" si="3"/>
        <v>14236.080985010705</v>
      </c>
    </row>
    <row r="91" spans="1:16" x14ac:dyDescent="0.2">
      <c r="A91" s="32" t="s">
        <v>583</v>
      </c>
      <c r="B91" s="32" t="s">
        <v>576</v>
      </c>
      <c r="C91" s="32" t="s">
        <v>577</v>
      </c>
      <c r="D91" s="32" t="s">
        <v>578</v>
      </c>
      <c r="E91" s="32" t="s">
        <v>556</v>
      </c>
      <c r="F91" s="32" t="s">
        <v>584</v>
      </c>
      <c r="G91" s="32" t="str">
        <f t="shared" si="2"/>
        <v>.625" PE STUB</v>
      </c>
      <c r="H91" s="278" t="s">
        <v>470</v>
      </c>
      <c r="I91" s="32" t="s">
        <v>462</v>
      </c>
      <c r="J91" s="279">
        <v>49</v>
      </c>
      <c r="K91" s="280">
        <v>36904.35</v>
      </c>
      <c r="L91" s="280">
        <v>4517.5200000000004</v>
      </c>
      <c r="M91" s="280">
        <v>32386.83</v>
      </c>
      <c r="N91" s="281">
        <v>467</v>
      </c>
      <c r="O91" s="282">
        <v>529</v>
      </c>
      <c r="P91" s="280">
        <f t="shared" si="3"/>
        <v>41803.856852248391</v>
      </c>
    </row>
    <row r="92" spans="1:16" x14ac:dyDescent="0.2">
      <c r="A92" s="32" t="s">
        <v>583</v>
      </c>
      <c r="B92" s="32" t="s">
        <v>576</v>
      </c>
      <c r="C92" s="32" t="s">
        <v>577</v>
      </c>
      <c r="D92" s="32" t="s">
        <v>578</v>
      </c>
      <c r="E92" s="32" t="s">
        <v>556</v>
      </c>
      <c r="F92" s="32" t="s">
        <v>584</v>
      </c>
      <c r="G92" s="32" t="str">
        <f t="shared" si="2"/>
        <v>.625" PE STUB</v>
      </c>
      <c r="H92" s="278" t="s">
        <v>470</v>
      </c>
      <c r="I92" s="32" t="s">
        <v>462</v>
      </c>
      <c r="J92" s="279">
        <v>91</v>
      </c>
      <c r="K92" s="280">
        <v>54789.98</v>
      </c>
      <c r="L92" s="280">
        <v>6706.93</v>
      </c>
      <c r="M92" s="280">
        <v>48083.05</v>
      </c>
      <c r="N92" s="281">
        <v>467</v>
      </c>
      <c r="O92" s="282">
        <v>529</v>
      </c>
      <c r="P92" s="280">
        <f t="shared" si="3"/>
        <v>62064.02445396145</v>
      </c>
    </row>
    <row r="93" spans="1:16" x14ac:dyDescent="0.2">
      <c r="A93" s="32" t="s">
        <v>583</v>
      </c>
      <c r="B93" s="32" t="s">
        <v>576</v>
      </c>
      <c r="C93" s="32" t="s">
        <v>577</v>
      </c>
      <c r="D93" s="32" t="s">
        <v>578</v>
      </c>
      <c r="E93" s="32" t="s">
        <v>556</v>
      </c>
      <c r="F93" s="32" t="s">
        <v>584</v>
      </c>
      <c r="G93" s="32" t="str">
        <f t="shared" si="2"/>
        <v>.625" PE STUB</v>
      </c>
      <c r="H93" s="278" t="s">
        <v>470</v>
      </c>
      <c r="I93" s="32" t="s">
        <v>462</v>
      </c>
      <c r="J93" s="279">
        <v>2331</v>
      </c>
      <c r="K93" s="280">
        <v>793322.59</v>
      </c>
      <c r="L93" s="280">
        <v>97111.87</v>
      </c>
      <c r="M93" s="280">
        <v>696210.72</v>
      </c>
      <c r="N93" s="281">
        <v>467</v>
      </c>
      <c r="O93" s="282">
        <v>529</v>
      </c>
      <c r="P93" s="280">
        <f t="shared" si="3"/>
        <v>898645.93171306199</v>
      </c>
    </row>
    <row r="94" spans="1:16" x14ac:dyDescent="0.2">
      <c r="A94" s="32" t="s">
        <v>583</v>
      </c>
      <c r="B94" s="32" t="s">
        <v>576</v>
      </c>
      <c r="C94" s="32" t="s">
        <v>577</v>
      </c>
      <c r="D94" s="32" t="s">
        <v>578</v>
      </c>
      <c r="E94" s="32" t="s">
        <v>556</v>
      </c>
      <c r="F94" s="32" t="s">
        <v>584</v>
      </c>
      <c r="G94" s="32" t="str">
        <f t="shared" si="2"/>
        <v>.625" PE STUB</v>
      </c>
      <c r="H94" s="278" t="s">
        <v>470</v>
      </c>
      <c r="I94" s="32" t="s">
        <v>462</v>
      </c>
      <c r="J94" s="279">
        <v>2751</v>
      </c>
      <c r="K94" s="280">
        <v>1894509.65</v>
      </c>
      <c r="L94" s="280">
        <v>231909.92</v>
      </c>
      <c r="M94" s="280">
        <v>1662599.73</v>
      </c>
      <c r="N94" s="281">
        <v>467</v>
      </c>
      <c r="O94" s="282">
        <v>529</v>
      </c>
      <c r="P94" s="280">
        <f t="shared" si="3"/>
        <v>2146029.1324411132</v>
      </c>
    </row>
    <row r="95" spans="1:16" x14ac:dyDescent="0.2">
      <c r="A95" s="32" t="s">
        <v>583</v>
      </c>
      <c r="B95" s="32" t="s">
        <v>576</v>
      </c>
      <c r="C95" s="32" t="s">
        <v>577</v>
      </c>
      <c r="D95" s="32" t="s">
        <v>578</v>
      </c>
      <c r="E95" s="32" t="s">
        <v>556</v>
      </c>
      <c r="F95" s="32" t="s">
        <v>584</v>
      </c>
      <c r="G95" s="32" t="str">
        <f t="shared" si="2"/>
        <v>.625" PE STUB</v>
      </c>
      <c r="H95" s="278" t="s">
        <v>470</v>
      </c>
      <c r="I95" s="32" t="s">
        <v>462</v>
      </c>
      <c r="J95" s="279">
        <v>3626</v>
      </c>
      <c r="K95" s="280">
        <v>2332360.94</v>
      </c>
      <c r="L95" s="280">
        <v>285507.99</v>
      </c>
      <c r="M95" s="280">
        <v>2046852.95</v>
      </c>
      <c r="N95" s="281">
        <v>467</v>
      </c>
      <c r="O95" s="282">
        <v>529</v>
      </c>
      <c r="P95" s="280">
        <f t="shared" si="3"/>
        <v>2642010.5722912201</v>
      </c>
    </row>
    <row r="96" spans="1:16" x14ac:dyDescent="0.2">
      <c r="A96" s="32" t="s">
        <v>583</v>
      </c>
      <c r="B96" s="32" t="s">
        <v>576</v>
      </c>
      <c r="C96" s="32" t="s">
        <v>577</v>
      </c>
      <c r="D96" s="32" t="s">
        <v>578</v>
      </c>
      <c r="E96" s="32" t="s">
        <v>556</v>
      </c>
      <c r="F96" s="32" t="s">
        <v>584</v>
      </c>
      <c r="G96" s="32" t="str">
        <f t="shared" si="2"/>
        <v>.625" PE STUB</v>
      </c>
      <c r="H96" s="278" t="s">
        <v>470</v>
      </c>
      <c r="I96" s="32" t="s">
        <v>462</v>
      </c>
      <c r="J96" s="279">
        <v>6551</v>
      </c>
      <c r="K96" s="280">
        <v>4221000.1500000004</v>
      </c>
      <c r="L96" s="280">
        <v>516699.3</v>
      </c>
      <c r="M96" s="280">
        <v>3704300.85</v>
      </c>
      <c r="N96" s="281">
        <v>467</v>
      </c>
      <c r="O96" s="282">
        <v>529</v>
      </c>
      <c r="P96" s="280">
        <f t="shared" si="3"/>
        <v>4781389.8915417558</v>
      </c>
    </row>
    <row r="97" spans="1:16" x14ac:dyDescent="0.2">
      <c r="A97" s="32" t="s">
        <v>583</v>
      </c>
      <c r="B97" s="32" t="s">
        <v>576</v>
      </c>
      <c r="C97" s="32" t="s">
        <v>577</v>
      </c>
      <c r="D97" s="32" t="s">
        <v>578</v>
      </c>
      <c r="E97" s="32" t="s">
        <v>556</v>
      </c>
      <c r="F97" s="32" t="s">
        <v>584</v>
      </c>
      <c r="G97" s="32" t="str">
        <f t="shared" si="2"/>
        <v>.625" PE STUB</v>
      </c>
      <c r="H97" s="278" t="s">
        <v>461</v>
      </c>
      <c r="I97" s="32" t="s">
        <v>462</v>
      </c>
      <c r="J97" s="279">
        <v>0</v>
      </c>
      <c r="K97" s="280">
        <v>4402.82</v>
      </c>
      <c r="L97" s="280">
        <v>391.93</v>
      </c>
      <c r="M97" s="280">
        <v>4010.89</v>
      </c>
      <c r="N97" s="281">
        <v>491</v>
      </c>
      <c r="O97" s="282">
        <v>529</v>
      </c>
      <c r="P97" s="280">
        <f t="shared" si="3"/>
        <v>4743.567780040732</v>
      </c>
    </row>
    <row r="98" spans="1:16" x14ac:dyDescent="0.2">
      <c r="A98" s="32" t="s">
        <v>583</v>
      </c>
      <c r="B98" s="32" t="s">
        <v>576</v>
      </c>
      <c r="C98" s="32" t="s">
        <v>577</v>
      </c>
      <c r="D98" s="32" t="s">
        <v>578</v>
      </c>
      <c r="E98" s="32" t="s">
        <v>556</v>
      </c>
      <c r="F98" s="32" t="s">
        <v>584</v>
      </c>
      <c r="G98" s="32" t="str">
        <f t="shared" si="2"/>
        <v>.625" PE STUB</v>
      </c>
      <c r="H98" s="278" t="s">
        <v>461</v>
      </c>
      <c r="I98" s="32" t="s">
        <v>462</v>
      </c>
      <c r="J98" s="279">
        <v>24</v>
      </c>
      <c r="K98" s="280">
        <v>25762.7</v>
      </c>
      <c r="L98" s="280">
        <v>2293.3200000000002</v>
      </c>
      <c r="M98" s="280">
        <v>23469.38</v>
      </c>
      <c r="N98" s="281">
        <v>491</v>
      </c>
      <c r="O98" s="282">
        <v>529</v>
      </c>
      <c r="P98" s="280">
        <f t="shared" si="3"/>
        <v>27756.554582484725</v>
      </c>
    </row>
    <row r="99" spans="1:16" x14ac:dyDescent="0.2">
      <c r="A99" s="32" t="s">
        <v>583</v>
      </c>
      <c r="B99" s="32" t="s">
        <v>576</v>
      </c>
      <c r="C99" s="32" t="s">
        <v>577</v>
      </c>
      <c r="D99" s="32" t="s">
        <v>578</v>
      </c>
      <c r="E99" s="32" t="s">
        <v>556</v>
      </c>
      <c r="F99" s="32" t="s">
        <v>584</v>
      </c>
      <c r="G99" s="32" t="str">
        <f t="shared" si="2"/>
        <v>.625" PE STUB</v>
      </c>
      <c r="H99" s="278" t="s">
        <v>461</v>
      </c>
      <c r="I99" s="32" t="s">
        <v>462</v>
      </c>
      <c r="J99" s="279">
        <v>49</v>
      </c>
      <c r="K99" s="280">
        <v>54656.22</v>
      </c>
      <c r="L99" s="280">
        <v>4865.34</v>
      </c>
      <c r="M99" s="280">
        <v>49790.879999999997</v>
      </c>
      <c r="N99" s="281">
        <v>491</v>
      </c>
      <c r="O99" s="282">
        <v>529</v>
      </c>
      <c r="P99" s="280">
        <f t="shared" si="3"/>
        <v>58886.232953156818</v>
      </c>
    </row>
    <row r="100" spans="1:16" x14ac:dyDescent="0.2">
      <c r="A100" s="32" t="s">
        <v>583</v>
      </c>
      <c r="B100" s="32" t="s">
        <v>576</v>
      </c>
      <c r="C100" s="32" t="s">
        <v>577</v>
      </c>
      <c r="D100" s="32" t="s">
        <v>578</v>
      </c>
      <c r="E100" s="32" t="s">
        <v>556</v>
      </c>
      <c r="F100" s="32" t="s">
        <v>584</v>
      </c>
      <c r="G100" s="32" t="str">
        <f t="shared" si="2"/>
        <v>.625" PE STUB</v>
      </c>
      <c r="H100" s="278" t="s">
        <v>461</v>
      </c>
      <c r="I100" s="32" t="s">
        <v>462</v>
      </c>
      <c r="J100" s="279">
        <v>1034</v>
      </c>
      <c r="K100" s="280">
        <v>456005.63</v>
      </c>
      <c r="L100" s="280">
        <v>40592.300000000003</v>
      </c>
      <c r="M100" s="280">
        <v>415413.33</v>
      </c>
      <c r="N100" s="281">
        <v>491</v>
      </c>
      <c r="O100" s="282">
        <v>529</v>
      </c>
      <c r="P100" s="280">
        <f t="shared" si="3"/>
        <v>491297.30808553967</v>
      </c>
    </row>
    <row r="101" spans="1:16" x14ac:dyDescent="0.2">
      <c r="A101" s="32" t="s">
        <v>583</v>
      </c>
      <c r="B101" s="32" t="s">
        <v>576</v>
      </c>
      <c r="C101" s="32" t="s">
        <v>577</v>
      </c>
      <c r="D101" s="32" t="s">
        <v>578</v>
      </c>
      <c r="E101" s="32" t="s">
        <v>556</v>
      </c>
      <c r="F101" s="32" t="s">
        <v>584</v>
      </c>
      <c r="G101" s="32" t="str">
        <f t="shared" si="2"/>
        <v>.625" PE STUB</v>
      </c>
      <c r="H101" s="278" t="s">
        <v>461</v>
      </c>
      <c r="I101" s="32" t="s">
        <v>462</v>
      </c>
      <c r="J101" s="279">
        <v>1655</v>
      </c>
      <c r="K101" s="280">
        <v>1580398.42</v>
      </c>
      <c r="L101" s="280">
        <v>140682.5</v>
      </c>
      <c r="M101" s="280">
        <v>1439715.92</v>
      </c>
      <c r="N101" s="281">
        <v>491</v>
      </c>
      <c r="O101" s="282">
        <v>529</v>
      </c>
      <c r="P101" s="280">
        <f t="shared" si="3"/>
        <v>1702710.3140122197</v>
      </c>
    </row>
    <row r="102" spans="1:16" x14ac:dyDescent="0.2">
      <c r="A102" s="32" t="s">
        <v>583</v>
      </c>
      <c r="B102" s="32" t="s">
        <v>576</v>
      </c>
      <c r="C102" s="32" t="s">
        <v>577</v>
      </c>
      <c r="D102" s="32" t="s">
        <v>578</v>
      </c>
      <c r="E102" s="32" t="s">
        <v>556</v>
      </c>
      <c r="F102" s="32" t="s">
        <v>584</v>
      </c>
      <c r="G102" s="32" t="str">
        <f t="shared" si="2"/>
        <v>.625" PE STUB</v>
      </c>
      <c r="H102" s="278" t="s">
        <v>461</v>
      </c>
      <c r="I102" s="32" t="s">
        <v>462</v>
      </c>
      <c r="J102" s="279">
        <v>2679</v>
      </c>
      <c r="K102" s="280">
        <v>1903027.82</v>
      </c>
      <c r="L102" s="280">
        <v>169402.04</v>
      </c>
      <c r="M102" s="280">
        <v>1733625.78</v>
      </c>
      <c r="N102" s="281">
        <v>491</v>
      </c>
      <c r="O102" s="282">
        <v>529</v>
      </c>
      <c r="P102" s="280">
        <f t="shared" si="3"/>
        <v>2050308.9954786149</v>
      </c>
    </row>
    <row r="103" spans="1:16" x14ac:dyDescent="0.2">
      <c r="A103" s="32" t="s">
        <v>583</v>
      </c>
      <c r="B103" s="32" t="s">
        <v>576</v>
      </c>
      <c r="C103" s="32" t="s">
        <v>577</v>
      </c>
      <c r="D103" s="32" t="s">
        <v>578</v>
      </c>
      <c r="E103" s="32" t="s">
        <v>556</v>
      </c>
      <c r="F103" s="32" t="s">
        <v>584</v>
      </c>
      <c r="G103" s="32" t="str">
        <f t="shared" si="2"/>
        <v>.625" PE STUB</v>
      </c>
      <c r="H103" s="278" t="s">
        <v>461</v>
      </c>
      <c r="I103" s="32" t="s">
        <v>462</v>
      </c>
      <c r="J103" s="279">
        <v>4647</v>
      </c>
      <c r="K103" s="280">
        <v>4657893.8899999997</v>
      </c>
      <c r="L103" s="280">
        <v>414632.25</v>
      </c>
      <c r="M103" s="280">
        <v>4243261.6399999997</v>
      </c>
      <c r="N103" s="281">
        <v>491</v>
      </c>
      <c r="O103" s="282">
        <v>529</v>
      </c>
      <c r="P103" s="280">
        <f t="shared" si="3"/>
        <v>5018382.6228309562</v>
      </c>
    </row>
    <row r="104" spans="1:16" x14ac:dyDescent="0.2">
      <c r="A104" s="32" t="s">
        <v>583</v>
      </c>
      <c r="B104" s="32" t="s">
        <v>576</v>
      </c>
      <c r="C104" s="32" t="s">
        <v>577</v>
      </c>
      <c r="D104" s="32" t="s">
        <v>578</v>
      </c>
      <c r="E104" s="32" t="s">
        <v>556</v>
      </c>
      <c r="F104" s="32" t="s">
        <v>584</v>
      </c>
      <c r="G104" s="32" t="str">
        <f t="shared" si="2"/>
        <v>.625" PE STUB</v>
      </c>
      <c r="H104" s="278" t="s">
        <v>468</v>
      </c>
      <c r="I104" s="32" t="s">
        <v>462</v>
      </c>
      <c r="J104" s="279">
        <v>1</v>
      </c>
      <c r="K104" s="280">
        <v>1901.2</v>
      </c>
      <c r="L104" s="280">
        <v>105.14</v>
      </c>
      <c r="M104" s="280">
        <v>1796.06</v>
      </c>
      <c r="N104" s="281">
        <v>517</v>
      </c>
      <c r="O104" s="282">
        <v>529</v>
      </c>
      <c r="P104" s="280">
        <f t="shared" si="3"/>
        <v>1945.328433268859</v>
      </c>
    </row>
    <row r="105" spans="1:16" x14ac:dyDescent="0.2">
      <c r="A105" s="32" t="s">
        <v>583</v>
      </c>
      <c r="B105" s="32" t="s">
        <v>576</v>
      </c>
      <c r="C105" s="32" t="s">
        <v>577</v>
      </c>
      <c r="D105" s="32" t="s">
        <v>578</v>
      </c>
      <c r="E105" s="32" t="s">
        <v>556</v>
      </c>
      <c r="F105" s="32" t="s">
        <v>584</v>
      </c>
      <c r="G105" s="32" t="str">
        <f t="shared" si="2"/>
        <v>.625" PE STUB</v>
      </c>
      <c r="H105" s="278" t="s">
        <v>468</v>
      </c>
      <c r="I105" s="32" t="s">
        <v>462</v>
      </c>
      <c r="J105" s="279">
        <v>13</v>
      </c>
      <c r="K105" s="280">
        <v>17348.41</v>
      </c>
      <c r="L105" s="280">
        <v>959.37</v>
      </c>
      <c r="M105" s="280">
        <v>16389.04</v>
      </c>
      <c r="N105" s="281">
        <v>517</v>
      </c>
      <c r="O105" s="282">
        <v>529</v>
      </c>
      <c r="P105" s="280">
        <f t="shared" si="3"/>
        <v>17751.081025145068</v>
      </c>
    </row>
    <row r="106" spans="1:16" x14ac:dyDescent="0.2">
      <c r="A106" s="32" t="s">
        <v>583</v>
      </c>
      <c r="B106" s="32" t="s">
        <v>576</v>
      </c>
      <c r="C106" s="32" t="s">
        <v>577</v>
      </c>
      <c r="D106" s="32" t="s">
        <v>578</v>
      </c>
      <c r="E106" s="32" t="s">
        <v>556</v>
      </c>
      <c r="F106" s="32" t="s">
        <v>584</v>
      </c>
      <c r="G106" s="32" t="str">
        <f t="shared" si="2"/>
        <v>.625" PE STUB</v>
      </c>
      <c r="H106" s="278" t="s">
        <v>468</v>
      </c>
      <c r="I106" s="32" t="s">
        <v>462</v>
      </c>
      <c r="J106" s="279">
        <v>45</v>
      </c>
      <c r="K106" s="280">
        <v>58855.69</v>
      </c>
      <c r="L106" s="280">
        <v>3254.72</v>
      </c>
      <c r="M106" s="280">
        <v>55600.97</v>
      </c>
      <c r="N106" s="281">
        <v>517</v>
      </c>
      <c r="O106" s="282">
        <v>529</v>
      </c>
      <c r="P106" s="280">
        <f t="shared" si="3"/>
        <v>60221.779516441013</v>
      </c>
    </row>
    <row r="107" spans="1:16" x14ac:dyDescent="0.2">
      <c r="A107" s="32" t="s">
        <v>583</v>
      </c>
      <c r="B107" s="32" t="s">
        <v>576</v>
      </c>
      <c r="C107" s="32" t="s">
        <v>577</v>
      </c>
      <c r="D107" s="32" t="s">
        <v>578</v>
      </c>
      <c r="E107" s="32" t="s">
        <v>556</v>
      </c>
      <c r="F107" s="32" t="s">
        <v>584</v>
      </c>
      <c r="G107" s="32" t="str">
        <f t="shared" si="2"/>
        <v>.625" PE STUB</v>
      </c>
      <c r="H107" s="278" t="s">
        <v>468</v>
      </c>
      <c r="I107" s="32" t="s">
        <v>462</v>
      </c>
      <c r="J107" s="279">
        <v>160</v>
      </c>
      <c r="K107" s="280">
        <v>198836.6</v>
      </c>
      <c r="L107" s="280">
        <v>10995.65</v>
      </c>
      <c r="M107" s="280">
        <v>187840.95</v>
      </c>
      <c r="N107" s="281">
        <v>517</v>
      </c>
      <c r="O107" s="282">
        <v>529</v>
      </c>
      <c r="P107" s="280">
        <f t="shared" si="3"/>
        <v>203451.76286266927</v>
      </c>
    </row>
    <row r="108" spans="1:16" x14ac:dyDescent="0.2">
      <c r="A108" s="32" t="s">
        <v>583</v>
      </c>
      <c r="B108" s="32" t="s">
        <v>576</v>
      </c>
      <c r="C108" s="32" t="s">
        <v>577</v>
      </c>
      <c r="D108" s="32" t="s">
        <v>578</v>
      </c>
      <c r="E108" s="32" t="s">
        <v>556</v>
      </c>
      <c r="F108" s="32" t="s">
        <v>584</v>
      </c>
      <c r="G108" s="32" t="str">
        <f t="shared" si="2"/>
        <v>.625" PE STUB</v>
      </c>
      <c r="H108" s="278" t="s">
        <v>468</v>
      </c>
      <c r="I108" s="32" t="s">
        <v>462</v>
      </c>
      <c r="J108" s="279">
        <v>462</v>
      </c>
      <c r="K108" s="280">
        <v>633684.42000000004</v>
      </c>
      <c r="L108" s="280">
        <v>35042.71</v>
      </c>
      <c r="M108" s="280">
        <v>598641.71</v>
      </c>
      <c r="N108" s="281">
        <v>517</v>
      </c>
      <c r="O108" s="282">
        <v>529</v>
      </c>
      <c r="P108" s="280">
        <f t="shared" si="3"/>
        <v>648392.76243713743</v>
      </c>
    </row>
    <row r="109" spans="1:16" x14ac:dyDescent="0.2">
      <c r="A109" s="32" t="s">
        <v>583</v>
      </c>
      <c r="B109" s="32" t="s">
        <v>576</v>
      </c>
      <c r="C109" s="32" t="s">
        <v>577</v>
      </c>
      <c r="D109" s="32" t="s">
        <v>578</v>
      </c>
      <c r="E109" s="32" t="s">
        <v>556</v>
      </c>
      <c r="F109" s="32" t="s">
        <v>584</v>
      </c>
      <c r="G109" s="32" t="str">
        <f t="shared" si="2"/>
        <v>.625" PE STUB</v>
      </c>
      <c r="H109" s="278" t="s">
        <v>468</v>
      </c>
      <c r="I109" s="32" t="s">
        <v>462</v>
      </c>
      <c r="J109" s="279">
        <v>1111</v>
      </c>
      <c r="K109" s="280">
        <v>1228260.8799999999</v>
      </c>
      <c r="L109" s="280">
        <v>67922.75</v>
      </c>
      <c r="M109" s="280">
        <v>1160338.1299999999</v>
      </c>
      <c r="N109" s="281">
        <v>517</v>
      </c>
      <c r="O109" s="282">
        <v>529</v>
      </c>
      <c r="P109" s="280">
        <f t="shared" si="3"/>
        <v>1256769.8365957446</v>
      </c>
    </row>
    <row r="110" spans="1:16" x14ac:dyDescent="0.2">
      <c r="A110" s="32" t="s">
        <v>583</v>
      </c>
      <c r="B110" s="32" t="s">
        <v>576</v>
      </c>
      <c r="C110" s="32" t="s">
        <v>577</v>
      </c>
      <c r="D110" s="32" t="s">
        <v>578</v>
      </c>
      <c r="E110" s="32" t="s">
        <v>556</v>
      </c>
      <c r="F110" s="32" t="s">
        <v>584</v>
      </c>
      <c r="G110" s="32" t="str">
        <f t="shared" si="2"/>
        <v>.625" PE STUB</v>
      </c>
      <c r="H110" s="278" t="s">
        <v>468</v>
      </c>
      <c r="I110" s="32" t="s">
        <v>462</v>
      </c>
      <c r="J110" s="279">
        <v>2967</v>
      </c>
      <c r="K110" s="280">
        <v>4181876.86</v>
      </c>
      <c r="L110" s="280">
        <v>231257.54</v>
      </c>
      <c r="M110" s="280">
        <v>3950619.32</v>
      </c>
      <c r="N110" s="281">
        <v>517</v>
      </c>
      <c r="O110" s="282">
        <v>529</v>
      </c>
      <c r="P110" s="280">
        <f t="shared" si="3"/>
        <v>4278941.7000773698</v>
      </c>
    </row>
    <row r="111" spans="1:16" x14ac:dyDescent="0.2">
      <c r="A111" s="32" t="s">
        <v>583</v>
      </c>
      <c r="B111" s="32" t="s">
        <v>576</v>
      </c>
      <c r="C111" s="32" t="s">
        <v>577</v>
      </c>
      <c r="D111" s="32" t="s">
        <v>578</v>
      </c>
      <c r="E111" s="32" t="s">
        <v>556</v>
      </c>
      <c r="F111" s="32" t="s">
        <v>584</v>
      </c>
      <c r="G111" s="32" t="str">
        <f t="shared" si="2"/>
        <v>.625" PE STUB</v>
      </c>
      <c r="H111" s="278" t="s">
        <v>469</v>
      </c>
      <c r="I111" s="32" t="s">
        <v>462</v>
      </c>
      <c r="J111" s="279">
        <v>5</v>
      </c>
      <c r="K111" s="280">
        <v>8565.76</v>
      </c>
      <c r="L111" s="280">
        <v>168.41</v>
      </c>
      <c r="M111" s="280">
        <v>8397.35</v>
      </c>
      <c r="N111" s="281">
        <v>529</v>
      </c>
      <c r="O111" s="282">
        <v>529</v>
      </c>
      <c r="P111" s="280">
        <f t="shared" si="3"/>
        <v>8565.76</v>
      </c>
    </row>
    <row r="112" spans="1:16" x14ac:dyDescent="0.2">
      <c r="A112" s="32" t="s">
        <v>583</v>
      </c>
      <c r="B112" s="32" t="s">
        <v>576</v>
      </c>
      <c r="C112" s="32" t="s">
        <v>577</v>
      </c>
      <c r="D112" s="32" t="s">
        <v>578</v>
      </c>
      <c r="E112" s="32" t="s">
        <v>556</v>
      </c>
      <c r="F112" s="32" t="s">
        <v>584</v>
      </c>
      <c r="G112" s="32" t="str">
        <f t="shared" si="2"/>
        <v>.625" PE STUB</v>
      </c>
      <c r="H112" s="278" t="s">
        <v>469</v>
      </c>
      <c r="I112" s="32" t="s">
        <v>462</v>
      </c>
      <c r="J112" s="279">
        <v>23</v>
      </c>
      <c r="K112" s="280">
        <v>42504.23</v>
      </c>
      <c r="L112" s="280">
        <v>835.69</v>
      </c>
      <c r="M112" s="280">
        <v>41668.54</v>
      </c>
      <c r="N112" s="281">
        <v>529</v>
      </c>
      <c r="O112" s="282">
        <v>529</v>
      </c>
      <c r="P112" s="280">
        <f t="shared" si="3"/>
        <v>42504.23</v>
      </c>
    </row>
    <row r="113" spans="1:16" x14ac:dyDescent="0.2">
      <c r="A113" s="32" t="s">
        <v>583</v>
      </c>
      <c r="B113" s="32" t="s">
        <v>576</v>
      </c>
      <c r="C113" s="32" t="s">
        <v>577</v>
      </c>
      <c r="D113" s="32" t="s">
        <v>578</v>
      </c>
      <c r="E113" s="32" t="s">
        <v>556</v>
      </c>
      <c r="F113" s="32" t="s">
        <v>584</v>
      </c>
      <c r="G113" s="32" t="str">
        <f t="shared" si="2"/>
        <v>.625" PE STUB</v>
      </c>
      <c r="H113" s="278" t="s">
        <v>469</v>
      </c>
      <c r="I113" s="32" t="s">
        <v>462</v>
      </c>
      <c r="J113" s="279">
        <v>140</v>
      </c>
      <c r="K113" s="280">
        <v>127719.36</v>
      </c>
      <c r="L113" s="280">
        <v>2511.14</v>
      </c>
      <c r="M113" s="280">
        <v>125208.22</v>
      </c>
      <c r="N113" s="281">
        <v>529</v>
      </c>
      <c r="O113" s="282">
        <v>529</v>
      </c>
      <c r="P113" s="280">
        <f t="shared" si="3"/>
        <v>127719.36</v>
      </c>
    </row>
    <row r="114" spans="1:16" x14ac:dyDescent="0.2">
      <c r="A114" s="32" t="s">
        <v>583</v>
      </c>
      <c r="B114" s="32" t="s">
        <v>576</v>
      </c>
      <c r="C114" s="32" t="s">
        <v>577</v>
      </c>
      <c r="D114" s="32" t="s">
        <v>578</v>
      </c>
      <c r="E114" s="32" t="s">
        <v>556</v>
      </c>
      <c r="F114" s="32" t="s">
        <v>584</v>
      </c>
      <c r="G114" s="32" t="str">
        <f t="shared" si="2"/>
        <v>.625" PE STUB</v>
      </c>
      <c r="H114" s="278" t="s">
        <v>469</v>
      </c>
      <c r="I114" s="32" t="s">
        <v>462</v>
      </c>
      <c r="J114" s="279">
        <v>289</v>
      </c>
      <c r="K114" s="280">
        <v>447777.77</v>
      </c>
      <c r="L114" s="280">
        <v>8803.94</v>
      </c>
      <c r="M114" s="280">
        <v>438973.83</v>
      </c>
      <c r="N114" s="281">
        <v>529</v>
      </c>
      <c r="O114" s="282">
        <v>529</v>
      </c>
      <c r="P114" s="280">
        <f t="shared" si="3"/>
        <v>447777.77</v>
      </c>
    </row>
    <row r="115" spans="1:16" x14ac:dyDescent="0.2">
      <c r="A115" s="32" t="s">
        <v>583</v>
      </c>
      <c r="B115" s="32" t="s">
        <v>576</v>
      </c>
      <c r="C115" s="32" t="s">
        <v>577</v>
      </c>
      <c r="D115" s="32" t="s">
        <v>578</v>
      </c>
      <c r="E115" s="32" t="s">
        <v>556</v>
      </c>
      <c r="F115" s="32" t="s">
        <v>584</v>
      </c>
      <c r="G115" s="32" t="str">
        <f t="shared" si="2"/>
        <v>.625" PE STUB</v>
      </c>
      <c r="H115" s="278" t="s">
        <v>469</v>
      </c>
      <c r="I115" s="32" t="s">
        <v>462</v>
      </c>
      <c r="J115" s="279">
        <v>560</v>
      </c>
      <c r="K115" s="280">
        <v>817258.14</v>
      </c>
      <c r="L115" s="280">
        <v>16068.45</v>
      </c>
      <c r="M115" s="280">
        <v>801189.69</v>
      </c>
      <c r="N115" s="281">
        <v>529</v>
      </c>
      <c r="O115" s="282">
        <v>529</v>
      </c>
      <c r="P115" s="280">
        <f t="shared" si="3"/>
        <v>817258.14</v>
      </c>
    </row>
    <row r="116" spans="1:16" x14ac:dyDescent="0.2">
      <c r="A116" s="32" t="s">
        <v>583</v>
      </c>
      <c r="B116" s="32" t="s">
        <v>576</v>
      </c>
      <c r="C116" s="32" t="s">
        <v>577</v>
      </c>
      <c r="D116" s="32" t="s">
        <v>578</v>
      </c>
      <c r="E116" s="32" t="s">
        <v>556</v>
      </c>
      <c r="F116" s="32" t="s">
        <v>584</v>
      </c>
      <c r="G116" s="32" t="str">
        <f t="shared" si="2"/>
        <v>.625" PE STUB</v>
      </c>
      <c r="H116" s="278" t="s">
        <v>469</v>
      </c>
      <c r="I116" s="32" t="s">
        <v>462</v>
      </c>
      <c r="J116" s="279">
        <v>1211</v>
      </c>
      <c r="K116" s="280">
        <v>2081693.16</v>
      </c>
      <c r="L116" s="280">
        <v>40929.019999999997</v>
      </c>
      <c r="M116" s="280">
        <v>2040764.14</v>
      </c>
      <c r="N116" s="281">
        <v>529</v>
      </c>
      <c r="O116" s="282">
        <v>529</v>
      </c>
      <c r="P116" s="280">
        <f t="shared" si="3"/>
        <v>2081693.16</v>
      </c>
    </row>
    <row r="117" spans="1:16" x14ac:dyDescent="0.2">
      <c r="A117" s="32" t="s">
        <v>585</v>
      </c>
      <c r="B117" s="32" t="s">
        <v>576</v>
      </c>
      <c r="C117" s="32" t="s">
        <v>577</v>
      </c>
      <c r="D117" s="32" t="s">
        <v>578</v>
      </c>
      <c r="E117" s="32" t="s">
        <v>556</v>
      </c>
      <c r="F117" s="32" t="s">
        <v>584</v>
      </c>
      <c r="G117" s="32" t="str">
        <f t="shared" si="2"/>
        <v>.625" PE STUB</v>
      </c>
      <c r="H117" s="278" t="s">
        <v>529</v>
      </c>
      <c r="I117" s="32" t="s">
        <v>462</v>
      </c>
      <c r="J117" s="279">
        <v>1</v>
      </c>
      <c r="K117" s="280">
        <v>92.31</v>
      </c>
      <c r="L117" s="280">
        <v>92.6</v>
      </c>
      <c r="M117" s="280">
        <v>-0.28999999999999998</v>
      </c>
      <c r="N117" s="281">
        <v>100</v>
      </c>
      <c r="O117" s="282">
        <v>529</v>
      </c>
      <c r="P117" s="280">
        <f t="shared" si="3"/>
        <v>488.31990000000002</v>
      </c>
    </row>
    <row r="118" spans="1:16" x14ac:dyDescent="0.2">
      <c r="A118" s="32" t="s">
        <v>585</v>
      </c>
      <c r="B118" s="32" t="s">
        <v>576</v>
      </c>
      <c r="C118" s="32" t="s">
        <v>577</v>
      </c>
      <c r="D118" s="32" t="s">
        <v>578</v>
      </c>
      <c r="E118" s="32" t="s">
        <v>556</v>
      </c>
      <c r="F118" s="32" t="s">
        <v>584</v>
      </c>
      <c r="G118" s="32" t="str">
        <f t="shared" si="2"/>
        <v>.625" PE STUB</v>
      </c>
      <c r="H118" s="278" t="s">
        <v>525</v>
      </c>
      <c r="I118" s="32" t="s">
        <v>462</v>
      </c>
      <c r="J118" s="279">
        <v>4191</v>
      </c>
      <c r="K118" s="280">
        <v>255350.51</v>
      </c>
      <c r="L118" s="280">
        <v>254299.37</v>
      </c>
      <c r="M118" s="280">
        <v>1051.1400000000001</v>
      </c>
      <c r="N118" s="281">
        <v>111</v>
      </c>
      <c r="O118" s="282">
        <v>529</v>
      </c>
      <c r="P118" s="280">
        <f t="shared" si="3"/>
        <v>1216940.7188288288</v>
      </c>
    </row>
    <row r="119" spans="1:16" x14ac:dyDescent="0.2">
      <c r="A119" s="32" t="s">
        <v>585</v>
      </c>
      <c r="B119" s="32" t="s">
        <v>576</v>
      </c>
      <c r="C119" s="32" t="s">
        <v>577</v>
      </c>
      <c r="D119" s="32" t="s">
        <v>578</v>
      </c>
      <c r="E119" s="32" t="s">
        <v>556</v>
      </c>
      <c r="F119" s="32" t="s">
        <v>584</v>
      </c>
      <c r="G119" s="32" t="str">
        <f t="shared" si="2"/>
        <v>.625" PE STUB</v>
      </c>
      <c r="H119" s="278" t="s">
        <v>524</v>
      </c>
      <c r="I119" s="32" t="s">
        <v>462</v>
      </c>
      <c r="J119" s="279">
        <v>3728</v>
      </c>
      <c r="K119" s="280">
        <v>275909.90000000002</v>
      </c>
      <c r="L119" s="280">
        <v>272528.12</v>
      </c>
      <c r="M119" s="280">
        <v>3381.78</v>
      </c>
      <c r="N119" s="281">
        <v>131</v>
      </c>
      <c r="O119" s="282">
        <v>529</v>
      </c>
      <c r="P119" s="280">
        <f t="shared" si="3"/>
        <v>1114170.5122137405</v>
      </c>
    </row>
    <row r="120" spans="1:16" x14ac:dyDescent="0.2">
      <c r="A120" s="32" t="s">
        <v>585</v>
      </c>
      <c r="B120" s="32" t="s">
        <v>576</v>
      </c>
      <c r="C120" s="32" t="s">
        <v>577</v>
      </c>
      <c r="D120" s="32" t="s">
        <v>578</v>
      </c>
      <c r="E120" s="32" t="s">
        <v>556</v>
      </c>
      <c r="F120" s="32" t="s">
        <v>584</v>
      </c>
      <c r="G120" s="32" t="str">
        <f t="shared" si="2"/>
        <v>.625" PE STUB</v>
      </c>
      <c r="H120" s="278" t="s">
        <v>522</v>
      </c>
      <c r="I120" s="32" t="s">
        <v>462</v>
      </c>
      <c r="J120" s="279">
        <v>4461</v>
      </c>
      <c r="K120" s="280">
        <v>414056.54</v>
      </c>
      <c r="L120" s="280">
        <v>405215.05</v>
      </c>
      <c r="M120" s="280">
        <v>8841.49</v>
      </c>
      <c r="N120" s="281">
        <v>141</v>
      </c>
      <c r="O120" s="282">
        <v>529</v>
      </c>
      <c r="P120" s="280">
        <f t="shared" si="3"/>
        <v>1553446.1678014183</v>
      </c>
    </row>
    <row r="121" spans="1:16" x14ac:dyDescent="0.2">
      <c r="A121" s="32" t="s">
        <v>585</v>
      </c>
      <c r="B121" s="32" t="s">
        <v>576</v>
      </c>
      <c r="C121" s="32" t="s">
        <v>577</v>
      </c>
      <c r="D121" s="32" t="s">
        <v>578</v>
      </c>
      <c r="E121" s="32" t="s">
        <v>556</v>
      </c>
      <c r="F121" s="32" t="s">
        <v>584</v>
      </c>
      <c r="G121" s="32" t="str">
        <f t="shared" si="2"/>
        <v>.625" PE STUB</v>
      </c>
      <c r="H121" s="278" t="s">
        <v>526</v>
      </c>
      <c r="I121" s="32" t="s">
        <v>462</v>
      </c>
      <c r="J121" s="279">
        <v>4872</v>
      </c>
      <c r="K121" s="280">
        <v>368591.22</v>
      </c>
      <c r="L121" s="280">
        <v>356984.67</v>
      </c>
      <c r="M121" s="280">
        <v>11606.55</v>
      </c>
      <c r="N121" s="281">
        <v>149</v>
      </c>
      <c r="O121" s="282">
        <v>529</v>
      </c>
      <c r="P121" s="280">
        <f t="shared" si="3"/>
        <v>1308622.5193288589</v>
      </c>
    </row>
    <row r="122" spans="1:16" x14ac:dyDescent="0.2">
      <c r="A122" s="32" t="s">
        <v>585</v>
      </c>
      <c r="B122" s="32" t="s">
        <v>576</v>
      </c>
      <c r="C122" s="32" t="s">
        <v>577</v>
      </c>
      <c r="D122" s="32" t="s">
        <v>578</v>
      </c>
      <c r="E122" s="32" t="s">
        <v>556</v>
      </c>
      <c r="F122" s="32" t="s">
        <v>584</v>
      </c>
      <c r="G122" s="32" t="str">
        <f t="shared" si="2"/>
        <v>.625" PE STUB</v>
      </c>
      <c r="H122" s="278" t="s">
        <v>486</v>
      </c>
      <c r="I122" s="32" t="s">
        <v>462</v>
      </c>
      <c r="J122" s="279">
        <v>5758</v>
      </c>
      <c r="K122" s="280">
        <v>490066.34</v>
      </c>
      <c r="L122" s="280">
        <v>469120.64</v>
      </c>
      <c r="M122" s="280">
        <v>20945.7</v>
      </c>
      <c r="N122" s="281">
        <v>160</v>
      </c>
      <c r="O122" s="282">
        <v>529</v>
      </c>
      <c r="P122" s="280">
        <f t="shared" si="3"/>
        <v>1620281.836625</v>
      </c>
    </row>
    <row r="123" spans="1:16" x14ac:dyDescent="0.2">
      <c r="A123" s="32" t="s">
        <v>585</v>
      </c>
      <c r="B123" s="32" t="s">
        <v>576</v>
      </c>
      <c r="C123" s="32" t="s">
        <v>577</v>
      </c>
      <c r="D123" s="32" t="s">
        <v>578</v>
      </c>
      <c r="E123" s="32" t="s">
        <v>556</v>
      </c>
      <c r="F123" s="32" t="s">
        <v>584</v>
      </c>
      <c r="G123" s="32" t="str">
        <f t="shared" si="2"/>
        <v>.625" PE STUB</v>
      </c>
      <c r="H123" s="278" t="s">
        <v>519</v>
      </c>
      <c r="I123" s="32" t="s">
        <v>462</v>
      </c>
      <c r="J123" s="279">
        <v>8199</v>
      </c>
      <c r="K123" s="280">
        <v>766897.39</v>
      </c>
      <c r="L123" s="280">
        <v>724575.2</v>
      </c>
      <c r="M123" s="280">
        <v>42322.19</v>
      </c>
      <c r="N123" s="281">
        <v>172</v>
      </c>
      <c r="O123" s="282">
        <v>529</v>
      </c>
      <c r="P123" s="280">
        <f t="shared" si="3"/>
        <v>2358655.3448255816</v>
      </c>
    </row>
    <row r="124" spans="1:16" x14ac:dyDescent="0.2">
      <c r="A124" s="32" t="s">
        <v>585</v>
      </c>
      <c r="B124" s="32" t="s">
        <v>576</v>
      </c>
      <c r="C124" s="32" t="s">
        <v>577</v>
      </c>
      <c r="D124" s="32" t="s">
        <v>578</v>
      </c>
      <c r="E124" s="32" t="s">
        <v>556</v>
      </c>
      <c r="F124" s="32" t="s">
        <v>584</v>
      </c>
      <c r="G124" s="32" t="str">
        <f t="shared" si="2"/>
        <v>.625" PE STUB</v>
      </c>
      <c r="H124" s="278" t="s">
        <v>521</v>
      </c>
      <c r="I124" s="32" t="s">
        <v>462</v>
      </c>
      <c r="J124" s="279">
        <v>8648</v>
      </c>
      <c r="K124" s="280">
        <v>1239413.26</v>
      </c>
      <c r="L124" s="280">
        <v>1154020.21</v>
      </c>
      <c r="M124" s="280">
        <v>85393.05</v>
      </c>
      <c r="N124" s="281">
        <v>192</v>
      </c>
      <c r="O124" s="282">
        <v>529</v>
      </c>
      <c r="P124" s="280">
        <f t="shared" si="3"/>
        <v>3414841.7423958336</v>
      </c>
    </row>
    <row r="125" spans="1:16" x14ac:dyDescent="0.2">
      <c r="A125" s="32" t="s">
        <v>585</v>
      </c>
      <c r="B125" s="32" t="s">
        <v>576</v>
      </c>
      <c r="C125" s="32" t="s">
        <v>577</v>
      </c>
      <c r="D125" s="32" t="s">
        <v>578</v>
      </c>
      <c r="E125" s="32" t="s">
        <v>556</v>
      </c>
      <c r="F125" s="32" t="s">
        <v>584</v>
      </c>
      <c r="G125" s="32" t="str">
        <f t="shared" si="2"/>
        <v>.625" PE STUB</v>
      </c>
      <c r="H125" s="278" t="s">
        <v>520</v>
      </c>
      <c r="I125" s="32" t="s">
        <v>462</v>
      </c>
      <c r="J125" s="279">
        <v>9019</v>
      </c>
      <c r="K125" s="280">
        <v>1034286.99</v>
      </c>
      <c r="L125" s="280">
        <v>947466.66</v>
      </c>
      <c r="M125" s="280">
        <v>86820.33</v>
      </c>
      <c r="N125" s="281">
        <v>216</v>
      </c>
      <c r="O125" s="282">
        <v>529</v>
      </c>
      <c r="P125" s="280">
        <f t="shared" si="3"/>
        <v>2533045.4523611111</v>
      </c>
    </row>
    <row r="126" spans="1:16" x14ac:dyDescent="0.2">
      <c r="A126" s="32" t="s">
        <v>585</v>
      </c>
      <c r="B126" s="32" t="s">
        <v>576</v>
      </c>
      <c r="C126" s="32" t="s">
        <v>577</v>
      </c>
      <c r="D126" s="32" t="s">
        <v>578</v>
      </c>
      <c r="E126" s="32" t="s">
        <v>556</v>
      </c>
      <c r="F126" s="32" t="s">
        <v>584</v>
      </c>
      <c r="G126" s="32" t="str">
        <f t="shared" si="2"/>
        <v>.625" PE STUB</v>
      </c>
      <c r="H126" s="278" t="s">
        <v>518</v>
      </c>
      <c r="I126" s="32" t="s">
        <v>462</v>
      </c>
      <c r="J126" s="279">
        <v>5876</v>
      </c>
      <c r="K126" s="280">
        <v>880752.91</v>
      </c>
      <c r="L126" s="280">
        <v>792342.89</v>
      </c>
      <c r="M126" s="280">
        <v>88410.02</v>
      </c>
      <c r="N126" s="281">
        <v>238</v>
      </c>
      <c r="O126" s="282">
        <v>529</v>
      </c>
      <c r="P126" s="280">
        <f t="shared" si="3"/>
        <v>1957639.8713865548</v>
      </c>
    </row>
    <row r="127" spans="1:16" x14ac:dyDescent="0.2">
      <c r="A127" s="32" t="s">
        <v>585</v>
      </c>
      <c r="B127" s="32" t="s">
        <v>576</v>
      </c>
      <c r="C127" s="32" t="s">
        <v>577</v>
      </c>
      <c r="D127" s="32" t="s">
        <v>578</v>
      </c>
      <c r="E127" s="32" t="s">
        <v>556</v>
      </c>
      <c r="F127" s="32" t="s">
        <v>584</v>
      </c>
      <c r="G127" s="32" t="str">
        <f t="shared" si="2"/>
        <v>.625" PE STUB</v>
      </c>
      <c r="H127" s="278" t="s">
        <v>517</v>
      </c>
      <c r="I127" s="32" t="s">
        <v>462</v>
      </c>
      <c r="J127" s="279">
        <v>6523</v>
      </c>
      <c r="K127" s="280">
        <v>1082430.6599999999</v>
      </c>
      <c r="L127" s="280">
        <v>954423.34</v>
      </c>
      <c r="M127" s="280">
        <v>128007.32</v>
      </c>
      <c r="N127" s="281">
        <v>249</v>
      </c>
      <c r="O127" s="282">
        <v>529</v>
      </c>
      <c r="P127" s="280">
        <f t="shared" si="3"/>
        <v>2299621.763614458</v>
      </c>
    </row>
    <row r="128" spans="1:16" x14ac:dyDescent="0.2">
      <c r="A128" s="32" t="s">
        <v>585</v>
      </c>
      <c r="B128" s="32" t="s">
        <v>576</v>
      </c>
      <c r="C128" s="32" t="s">
        <v>577</v>
      </c>
      <c r="D128" s="32" t="s">
        <v>578</v>
      </c>
      <c r="E128" s="32" t="s">
        <v>556</v>
      </c>
      <c r="F128" s="32" t="s">
        <v>584</v>
      </c>
      <c r="G128" s="32" t="str">
        <f t="shared" si="2"/>
        <v>.625" PE STUB</v>
      </c>
      <c r="H128" s="278" t="s">
        <v>463</v>
      </c>
      <c r="I128" s="32" t="s">
        <v>462</v>
      </c>
      <c r="J128" s="279">
        <v>7523</v>
      </c>
      <c r="K128" s="280">
        <v>1322491.1200000001</v>
      </c>
      <c r="L128" s="280">
        <v>1140475.6100000001</v>
      </c>
      <c r="M128" s="280">
        <v>182015.51</v>
      </c>
      <c r="N128" s="281">
        <v>258</v>
      </c>
      <c r="O128" s="282">
        <v>529</v>
      </c>
      <c r="P128" s="280">
        <f t="shared" si="3"/>
        <v>2711619.3894573646</v>
      </c>
    </row>
    <row r="129" spans="1:16" x14ac:dyDescent="0.2">
      <c r="A129" s="32" t="s">
        <v>585</v>
      </c>
      <c r="B129" s="32" t="s">
        <v>576</v>
      </c>
      <c r="C129" s="32" t="s">
        <v>577</v>
      </c>
      <c r="D129" s="32" t="s">
        <v>578</v>
      </c>
      <c r="E129" s="32" t="s">
        <v>556</v>
      </c>
      <c r="F129" s="32" t="s">
        <v>584</v>
      </c>
      <c r="G129" s="32" t="str">
        <f t="shared" si="2"/>
        <v>.625" PE STUB</v>
      </c>
      <c r="H129" s="278" t="s">
        <v>464</v>
      </c>
      <c r="I129" s="32" t="s">
        <v>462</v>
      </c>
      <c r="J129" s="279">
        <v>8413</v>
      </c>
      <c r="K129" s="280">
        <v>1472648.1</v>
      </c>
      <c r="L129" s="280">
        <v>1239210.68</v>
      </c>
      <c r="M129" s="280">
        <v>233437.42</v>
      </c>
      <c r="N129" s="281">
        <v>263</v>
      </c>
      <c r="O129" s="282">
        <v>529</v>
      </c>
      <c r="P129" s="280">
        <f t="shared" si="3"/>
        <v>2962094.4673003806</v>
      </c>
    </row>
    <row r="130" spans="1:16" x14ac:dyDescent="0.2">
      <c r="A130" s="32" t="s">
        <v>585</v>
      </c>
      <c r="B130" s="32" t="s">
        <v>576</v>
      </c>
      <c r="C130" s="32" t="s">
        <v>577</v>
      </c>
      <c r="D130" s="32" t="s">
        <v>578</v>
      </c>
      <c r="E130" s="32" t="s">
        <v>556</v>
      </c>
      <c r="F130" s="32" t="s">
        <v>584</v>
      </c>
      <c r="G130" s="32" t="str">
        <f t="shared" ref="G130:G193" si="4">D130&amp;" "&amp;E130&amp;" "&amp;F130</f>
        <v>.625" PE STUB</v>
      </c>
      <c r="H130" s="278" t="s">
        <v>515</v>
      </c>
      <c r="I130" s="32" t="s">
        <v>462</v>
      </c>
      <c r="J130" s="279">
        <v>12486</v>
      </c>
      <c r="K130" s="280">
        <v>2039330.9</v>
      </c>
      <c r="L130" s="280">
        <v>1670334.18</v>
      </c>
      <c r="M130" s="280">
        <v>368996.72</v>
      </c>
      <c r="N130" s="281">
        <v>267</v>
      </c>
      <c r="O130" s="282">
        <v>529</v>
      </c>
      <c r="P130" s="280">
        <f t="shared" ref="P130:P193" si="5">+(O130/N130)*K130</f>
        <v>4040472.0827715355</v>
      </c>
    </row>
    <row r="131" spans="1:16" x14ac:dyDescent="0.2">
      <c r="A131" s="32" t="s">
        <v>585</v>
      </c>
      <c r="B131" s="32" t="s">
        <v>576</v>
      </c>
      <c r="C131" s="32" t="s">
        <v>577</v>
      </c>
      <c r="D131" s="32" t="s">
        <v>578</v>
      </c>
      <c r="E131" s="32" t="s">
        <v>556</v>
      </c>
      <c r="F131" s="32" t="s">
        <v>584</v>
      </c>
      <c r="G131" s="32" t="str">
        <f t="shared" si="4"/>
        <v>.625" PE STUB</v>
      </c>
      <c r="H131" s="278" t="s">
        <v>523</v>
      </c>
      <c r="I131" s="32" t="s">
        <v>462</v>
      </c>
      <c r="J131" s="279">
        <v>12340</v>
      </c>
      <c r="K131" s="280">
        <v>2854424.82</v>
      </c>
      <c r="L131" s="280">
        <v>2269532.79</v>
      </c>
      <c r="M131" s="280">
        <v>584892.03</v>
      </c>
      <c r="N131" s="281">
        <v>274</v>
      </c>
      <c r="O131" s="282">
        <v>529</v>
      </c>
      <c r="P131" s="280">
        <f t="shared" si="5"/>
        <v>5510915.0721897809</v>
      </c>
    </row>
    <row r="132" spans="1:16" x14ac:dyDescent="0.2">
      <c r="A132" s="32" t="s">
        <v>585</v>
      </c>
      <c r="B132" s="32" t="s">
        <v>576</v>
      </c>
      <c r="C132" s="32" t="s">
        <v>577</v>
      </c>
      <c r="D132" s="32" t="s">
        <v>578</v>
      </c>
      <c r="E132" s="32" t="s">
        <v>556</v>
      </c>
      <c r="F132" s="32" t="s">
        <v>584</v>
      </c>
      <c r="G132" s="32" t="str">
        <f t="shared" si="4"/>
        <v>.625" PE STUB</v>
      </c>
      <c r="H132" s="278" t="s">
        <v>516</v>
      </c>
      <c r="I132" s="32" t="s">
        <v>462</v>
      </c>
      <c r="J132" s="279">
        <v>15114</v>
      </c>
      <c r="K132" s="280">
        <v>3012533.54</v>
      </c>
      <c r="L132" s="280">
        <v>2318410.6</v>
      </c>
      <c r="M132" s="280">
        <v>694122.94</v>
      </c>
      <c r="N132" s="281">
        <v>281</v>
      </c>
      <c r="O132" s="282">
        <v>529</v>
      </c>
      <c r="P132" s="280">
        <f t="shared" si="5"/>
        <v>5671282.0023487546</v>
      </c>
    </row>
    <row r="133" spans="1:16" x14ac:dyDescent="0.2">
      <c r="A133" s="32" t="s">
        <v>585</v>
      </c>
      <c r="B133" s="32" t="s">
        <v>576</v>
      </c>
      <c r="C133" s="32" t="s">
        <v>577</v>
      </c>
      <c r="D133" s="32" t="s">
        <v>578</v>
      </c>
      <c r="E133" s="32" t="s">
        <v>556</v>
      </c>
      <c r="F133" s="32" t="s">
        <v>584</v>
      </c>
      <c r="G133" s="32" t="str">
        <f t="shared" si="4"/>
        <v>.625" PE STUB</v>
      </c>
      <c r="H133" s="278" t="s">
        <v>466</v>
      </c>
      <c r="I133" s="32" t="s">
        <v>462</v>
      </c>
      <c r="J133" s="279">
        <v>18886</v>
      </c>
      <c r="K133" s="280">
        <v>3532309.75</v>
      </c>
      <c r="L133" s="280">
        <v>2623033.17</v>
      </c>
      <c r="M133" s="280">
        <v>909276.58</v>
      </c>
      <c r="N133" s="281">
        <v>290</v>
      </c>
      <c r="O133" s="282">
        <v>529</v>
      </c>
      <c r="P133" s="280">
        <f t="shared" si="5"/>
        <v>6443420.1991379308</v>
      </c>
    </row>
    <row r="134" spans="1:16" x14ac:dyDescent="0.2">
      <c r="A134" s="32" t="s">
        <v>585</v>
      </c>
      <c r="B134" s="32" t="s">
        <v>576</v>
      </c>
      <c r="C134" s="32" t="s">
        <v>577</v>
      </c>
      <c r="D134" s="32" t="s">
        <v>578</v>
      </c>
      <c r="E134" s="32" t="s">
        <v>556</v>
      </c>
      <c r="F134" s="32" t="s">
        <v>584</v>
      </c>
      <c r="G134" s="32" t="str">
        <f t="shared" si="4"/>
        <v>.625" PE STUB</v>
      </c>
      <c r="H134" s="278" t="s">
        <v>489</v>
      </c>
      <c r="I134" s="32" t="s">
        <v>462</v>
      </c>
      <c r="J134" s="279">
        <v>23612</v>
      </c>
      <c r="K134" s="280">
        <v>4884507.8</v>
      </c>
      <c r="L134" s="280">
        <v>3488065.75</v>
      </c>
      <c r="M134" s="280">
        <v>1396442.05</v>
      </c>
      <c r="N134" s="281">
        <v>296</v>
      </c>
      <c r="O134" s="282">
        <v>529</v>
      </c>
      <c r="P134" s="280">
        <f t="shared" si="5"/>
        <v>8729407.5209459458</v>
      </c>
    </row>
    <row r="135" spans="1:16" x14ac:dyDescent="0.2">
      <c r="A135" s="32" t="s">
        <v>585</v>
      </c>
      <c r="B135" s="32" t="s">
        <v>576</v>
      </c>
      <c r="C135" s="32" t="s">
        <v>577</v>
      </c>
      <c r="D135" s="32" t="s">
        <v>578</v>
      </c>
      <c r="E135" s="32" t="s">
        <v>556</v>
      </c>
      <c r="F135" s="32" t="s">
        <v>584</v>
      </c>
      <c r="G135" s="32" t="str">
        <f t="shared" si="4"/>
        <v>.625" PE STUB</v>
      </c>
      <c r="H135" s="278" t="s">
        <v>465</v>
      </c>
      <c r="I135" s="32" t="s">
        <v>462</v>
      </c>
      <c r="J135" s="279">
        <v>23294</v>
      </c>
      <c r="K135" s="280">
        <v>5756475.0899999999</v>
      </c>
      <c r="L135" s="280">
        <v>3938744.6</v>
      </c>
      <c r="M135" s="280">
        <v>1817730.49</v>
      </c>
      <c r="N135" s="281">
        <v>307</v>
      </c>
      <c r="O135" s="282">
        <v>529</v>
      </c>
      <c r="P135" s="280">
        <f t="shared" si="5"/>
        <v>9919137.8586644959</v>
      </c>
    </row>
    <row r="136" spans="1:16" x14ac:dyDescent="0.2">
      <c r="A136" s="32" t="s">
        <v>585</v>
      </c>
      <c r="B136" s="32" t="s">
        <v>576</v>
      </c>
      <c r="C136" s="32" t="s">
        <v>577</v>
      </c>
      <c r="D136" s="32" t="s">
        <v>578</v>
      </c>
      <c r="E136" s="32" t="s">
        <v>556</v>
      </c>
      <c r="F136" s="32" t="s">
        <v>584</v>
      </c>
      <c r="G136" s="32" t="str">
        <f t="shared" si="4"/>
        <v>.625" PE STUB</v>
      </c>
      <c r="H136" s="278" t="s">
        <v>490</v>
      </c>
      <c r="I136" s="32" t="s">
        <v>462</v>
      </c>
      <c r="J136" s="279">
        <v>25421</v>
      </c>
      <c r="K136" s="280">
        <v>6240021.6100000003</v>
      </c>
      <c r="L136" s="280">
        <v>4074906.84</v>
      </c>
      <c r="M136" s="280">
        <v>2165114.77</v>
      </c>
      <c r="N136" s="281">
        <v>310</v>
      </c>
      <c r="O136" s="282">
        <v>529</v>
      </c>
      <c r="P136" s="280">
        <f t="shared" si="5"/>
        <v>10648294.940935485</v>
      </c>
    </row>
    <row r="137" spans="1:16" x14ac:dyDescent="0.2">
      <c r="A137" s="32" t="s">
        <v>585</v>
      </c>
      <c r="B137" s="32" t="s">
        <v>576</v>
      </c>
      <c r="C137" s="32" t="s">
        <v>577</v>
      </c>
      <c r="D137" s="32" t="s">
        <v>578</v>
      </c>
      <c r="E137" s="32" t="s">
        <v>556</v>
      </c>
      <c r="F137" s="32" t="s">
        <v>584</v>
      </c>
      <c r="G137" s="32" t="str">
        <f t="shared" si="4"/>
        <v>.625" PE STUB</v>
      </c>
      <c r="H137" s="278" t="s">
        <v>491</v>
      </c>
      <c r="I137" s="32" t="s">
        <v>462</v>
      </c>
      <c r="J137" s="279">
        <v>22648</v>
      </c>
      <c r="K137" s="280">
        <v>4851853.41</v>
      </c>
      <c r="L137" s="280">
        <v>3011021.95</v>
      </c>
      <c r="M137" s="280">
        <v>1840831.46</v>
      </c>
      <c r="N137" s="281">
        <v>319</v>
      </c>
      <c r="O137" s="282">
        <v>529</v>
      </c>
      <c r="P137" s="280">
        <f t="shared" si="5"/>
        <v>8045863.4918181822</v>
      </c>
    </row>
    <row r="138" spans="1:16" x14ac:dyDescent="0.2">
      <c r="A138" s="32" t="s">
        <v>585</v>
      </c>
      <c r="B138" s="32" t="s">
        <v>576</v>
      </c>
      <c r="C138" s="32" t="s">
        <v>577</v>
      </c>
      <c r="D138" s="32" t="s">
        <v>578</v>
      </c>
      <c r="E138" s="32" t="s">
        <v>556</v>
      </c>
      <c r="F138" s="32" t="s">
        <v>584</v>
      </c>
      <c r="G138" s="32" t="str">
        <f t="shared" si="4"/>
        <v>.625" PE STUB</v>
      </c>
      <c r="H138" s="278" t="s">
        <v>514</v>
      </c>
      <c r="I138" s="32" t="s">
        <v>462</v>
      </c>
      <c r="J138" s="279">
        <v>22741</v>
      </c>
      <c r="K138" s="280">
        <v>7568270.25</v>
      </c>
      <c r="L138" s="280">
        <v>4442969.62</v>
      </c>
      <c r="M138" s="280">
        <v>3125300.63</v>
      </c>
      <c r="N138" s="281">
        <v>326</v>
      </c>
      <c r="O138" s="282">
        <v>529</v>
      </c>
      <c r="P138" s="280">
        <f t="shared" si="5"/>
        <v>12281027.491564417</v>
      </c>
    </row>
    <row r="139" spans="1:16" x14ac:dyDescent="0.2">
      <c r="A139" s="32" t="s">
        <v>585</v>
      </c>
      <c r="B139" s="32" t="s">
        <v>576</v>
      </c>
      <c r="C139" s="32" t="s">
        <v>577</v>
      </c>
      <c r="D139" s="32" t="s">
        <v>578</v>
      </c>
      <c r="E139" s="32" t="s">
        <v>556</v>
      </c>
      <c r="F139" s="32" t="s">
        <v>584</v>
      </c>
      <c r="G139" s="32" t="str">
        <f t="shared" si="4"/>
        <v>.625" PE STUB</v>
      </c>
      <c r="H139" s="278" t="s">
        <v>513</v>
      </c>
      <c r="I139" s="32" t="s">
        <v>462</v>
      </c>
      <c r="J139" s="279">
        <v>12437</v>
      </c>
      <c r="K139" s="280">
        <v>4213756.71</v>
      </c>
      <c r="L139" s="280">
        <v>2328228.9300000002</v>
      </c>
      <c r="M139" s="280">
        <v>1885527.78</v>
      </c>
      <c r="N139" s="281">
        <v>338</v>
      </c>
      <c r="O139" s="282">
        <v>529</v>
      </c>
      <c r="P139" s="280">
        <f t="shared" si="5"/>
        <v>6594903.2532248525</v>
      </c>
    </row>
    <row r="140" spans="1:16" x14ac:dyDescent="0.2">
      <c r="A140" s="32" t="s">
        <v>585</v>
      </c>
      <c r="B140" s="32" t="s">
        <v>576</v>
      </c>
      <c r="C140" s="32" t="s">
        <v>577</v>
      </c>
      <c r="D140" s="32" t="s">
        <v>578</v>
      </c>
      <c r="E140" s="32" t="s">
        <v>556</v>
      </c>
      <c r="F140" s="32" t="s">
        <v>584</v>
      </c>
      <c r="G140" s="32" t="str">
        <f t="shared" si="4"/>
        <v>.625" PE STUB</v>
      </c>
      <c r="H140" s="278" t="s">
        <v>467</v>
      </c>
      <c r="I140" s="32" t="s">
        <v>462</v>
      </c>
      <c r="J140" s="279">
        <v>14989</v>
      </c>
      <c r="K140" s="280">
        <v>4260099.5199999996</v>
      </c>
      <c r="L140" s="280">
        <v>2203216.88</v>
      </c>
      <c r="M140" s="280">
        <v>2056882.64</v>
      </c>
      <c r="N140" s="281">
        <v>344</v>
      </c>
      <c r="O140" s="282">
        <v>529</v>
      </c>
      <c r="P140" s="280">
        <f t="shared" si="5"/>
        <v>6551141.4130232558</v>
      </c>
    </row>
    <row r="141" spans="1:16" x14ac:dyDescent="0.2">
      <c r="A141" s="32" t="s">
        <v>585</v>
      </c>
      <c r="B141" s="32" t="s">
        <v>576</v>
      </c>
      <c r="C141" s="32" t="s">
        <v>577</v>
      </c>
      <c r="D141" s="32" t="s">
        <v>578</v>
      </c>
      <c r="E141" s="32" t="s">
        <v>556</v>
      </c>
      <c r="F141" s="32" t="s">
        <v>584</v>
      </c>
      <c r="G141" s="32" t="str">
        <f t="shared" si="4"/>
        <v>.625" PE STUB</v>
      </c>
      <c r="H141" s="278" t="s">
        <v>473</v>
      </c>
      <c r="I141" s="32" t="s">
        <v>462</v>
      </c>
      <c r="J141" s="279">
        <v>2150</v>
      </c>
      <c r="K141" s="280">
        <v>535119.27</v>
      </c>
      <c r="L141" s="280">
        <v>257475.38</v>
      </c>
      <c r="M141" s="280">
        <v>277643.89</v>
      </c>
      <c r="N141" s="281">
        <v>351</v>
      </c>
      <c r="O141" s="282">
        <v>529</v>
      </c>
      <c r="P141" s="280">
        <f t="shared" si="5"/>
        <v>806490.29581196583</v>
      </c>
    </row>
    <row r="142" spans="1:16" x14ac:dyDescent="0.2">
      <c r="A142" s="32" t="s">
        <v>585</v>
      </c>
      <c r="B142" s="32" t="s">
        <v>576</v>
      </c>
      <c r="C142" s="32" t="s">
        <v>577</v>
      </c>
      <c r="D142" s="32" t="s">
        <v>578</v>
      </c>
      <c r="E142" s="32" t="s">
        <v>556</v>
      </c>
      <c r="F142" s="32" t="s">
        <v>584</v>
      </c>
      <c r="G142" s="32" t="str">
        <f t="shared" si="4"/>
        <v>.625" PE STUB</v>
      </c>
      <c r="H142" s="278" t="s">
        <v>479</v>
      </c>
      <c r="I142" s="32" t="s">
        <v>462</v>
      </c>
      <c r="J142" s="279">
        <v>1236</v>
      </c>
      <c r="K142" s="280">
        <v>367587.2</v>
      </c>
      <c r="L142" s="280">
        <v>163443.54999999999</v>
      </c>
      <c r="M142" s="280">
        <v>204143.65</v>
      </c>
      <c r="N142" s="281">
        <v>357</v>
      </c>
      <c r="O142" s="282">
        <v>529</v>
      </c>
      <c r="P142" s="280">
        <f t="shared" si="5"/>
        <v>544688.03585434181</v>
      </c>
    </row>
    <row r="143" spans="1:16" x14ac:dyDescent="0.2">
      <c r="A143" s="32" t="s">
        <v>585</v>
      </c>
      <c r="B143" s="32" t="s">
        <v>576</v>
      </c>
      <c r="C143" s="32" t="s">
        <v>577</v>
      </c>
      <c r="D143" s="32" t="s">
        <v>578</v>
      </c>
      <c r="E143" s="32" t="s">
        <v>556</v>
      </c>
      <c r="F143" s="32" t="s">
        <v>584</v>
      </c>
      <c r="G143" s="32" t="str">
        <f t="shared" si="4"/>
        <v>.625" PE STUB</v>
      </c>
      <c r="H143" s="278" t="s">
        <v>480</v>
      </c>
      <c r="I143" s="32" t="s">
        <v>462</v>
      </c>
      <c r="J143" s="279">
        <v>61</v>
      </c>
      <c r="K143" s="280">
        <v>53957.26</v>
      </c>
      <c r="L143" s="280">
        <v>22004.82</v>
      </c>
      <c r="M143" s="280">
        <v>31952.44</v>
      </c>
      <c r="N143" s="281">
        <v>365</v>
      </c>
      <c r="O143" s="282">
        <v>529</v>
      </c>
      <c r="P143" s="280">
        <f t="shared" si="5"/>
        <v>78201.069972602738</v>
      </c>
    </row>
    <row r="144" spans="1:16" x14ac:dyDescent="0.2">
      <c r="A144" s="32" t="s">
        <v>585</v>
      </c>
      <c r="B144" s="32" t="s">
        <v>576</v>
      </c>
      <c r="C144" s="32" t="s">
        <v>577</v>
      </c>
      <c r="D144" s="32" t="s">
        <v>578</v>
      </c>
      <c r="E144" s="32" t="s">
        <v>556</v>
      </c>
      <c r="F144" s="32" t="s">
        <v>584</v>
      </c>
      <c r="G144" s="32" t="str">
        <f t="shared" si="4"/>
        <v>.625" PE STUB</v>
      </c>
      <c r="H144" s="278" t="s">
        <v>472</v>
      </c>
      <c r="I144" s="32" t="s">
        <v>462</v>
      </c>
      <c r="J144" s="279">
        <v>1519</v>
      </c>
      <c r="K144" s="280">
        <v>915076.45</v>
      </c>
      <c r="L144" s="280">
        <v>339381.23</v>
      </c>
      <c r="M144" s="280">
        <v>575695.22</v>
      </c>
      <c r="N144" s="281">
        <v>370</v>
      </c>
      <c r="O144" s="282">
        <v>529</v>
      </c>
      <c r="P144" s="280">
        <f t="shared" si="5"/>
        <v>1308312.0055405404</v>
      </c>
    </row>
    <row r="145" spans="1:16" x14ac:dyDescent="0.2">
      <c r="A145" s="32" t="s">
        <v>585</v>
      </c>
      <c r="B145" s="32" t="s">
        <v>576</v>
      </c>
      <c r="C145" s="32" t="s">
        <v>577</v>
      </c>
      <c r="D145" s="32" t="s">
        <v>578</v>
      </c>
      <c r="E145" s="32" t="s">
        <v>556</v>
      </c>
      <c r="F145" s="32" t="s">
        <v>584</v>
      </c>
      <c r="G145" s="32" t="str">
        <f t="shared" si="4"/>
        <v>.625" PE STUB</v>
      </c>
      <c r="H145" s="278" t="s">
        <v>478</v>
      </c>
      <c r="I145" s="32" t="s">
        <v>462</v>
      </c>
      <c r="J145" s="279">
        <v>2993</v>
      </c>
      <c r="K145" s="280">
        <v>967372.80000000005</v>
      </c>
      <c r="L145" s="280">
        <v>323109.53000000003</v>
      </c>
      <c r="M145" s="280">
        <v>644263.27</v>
      </c>
      <c r="N145" s="281">
        <v>378</v>
      </c>
      <c r="O145" s="282">
        <v>529</v>
      </c>
      <c r="P145" s="280">
        <f t="shared" si="5"/>
        <v>1353810.0825396827</v>
      </c>
    </row>
    <row r="146" spans="1:16" x14ac:dyDescent="0.2">
      <c r="A146" s="32" t="s">
        <v>585</v>
      </c>
      <c r="B146" s="32" t="s">
        <v>576</v>
      </c>
      <c r="C146" s="32" t="s">
        <v>577</v>
      </c>
      <c r="D146" s="32" t="s">
        <v>578</v>
      </c>
      <c r="E146" s="32" t="s">
        <v>556</v>
      </c>
      <c r="F146" s="32" t="s">
        <v>584</v>
      </c>
      <c r="G146" s="32" t="str">
        <f t="shared" si="4"/>
        <v>.625" PE STUB</v>
      </c>
      <c r="H146" s="278" t="s">
        <v>475</v>
      </c>
      <c r="I146" s="32" t="s">
        <v>462</v>
      </c>
      <c r="J146" s="279">
        <v>1882</v>
      </c>
      <c r="K146" s="280">
        <v>431976.74</v>
      </c>
      <c r="L146" s="280">
        <v>128457.83</v>
      </c>
      <c r="M146" s="280">
        <v>303518.90999999997</v>
      </c>
      <c r="N146" s="281">
        <v>393</v>
      </c>
      <c r="O146" s="282">
        <v>529</v>
      </c>
      <c r="P146" s="280">
        <f t="shared" si="5"/>
        <v>581464.87394402036</v>
      </c>
    </row>
    <row r="147" spans="1:16" x14ac:dyDescent="0.2">
      <c r="A147" s="32" t="s">
        <v>585</v>
      </c>
      <c r="B147" s="32" t="s">
        <v>576</v>
      </c>
      <c r="C147" s="32" t="s">
        <v>577</v>
      </c>
      <c r="D147" s="32" t="s">
        <v>578</v>
      </c>
      <c r="E147" s="32" t="s">
        <v>556</v>
      </c>
      <c r="F147" s="32" t="s">
        <v>584</v>
      </c>
      <c r="G147" s="32" t="str">
        <f t="shared" si="4"/>
        <v>.625" PE STUB</v>
      </c>
      <c r="H147" s="278" t="s">
        <v>471</v>
      </c>
      <c r="I147" s="32" t="s">
        <v>462</v>
      </c>
      <c r="J147" s="279">
        <v>19</v>
      </c>
      <c r="K147" s="280">
        <v>6554.41</v>
      </c>
      <c r="L147" s="280">
        <v>1711.72</v>
      </c>
      <c r="M147" s="280">
        <v>4842.6899999999996</v>
      </c>
      <c r="N147" s="281">
        <v>398</v>
      </c>
      <c r="O147" s="282">
        <v>529</v>
      </c>
      <c r="P147" s="280">
        <f t="shared" si="5"/>
        <v>8711.7660552763809</v>
      </c>
    </row>
    <row r="148" spans="1:16" x14ac:dyDescent="0.2">
      <c r="A148" s="32" t="s">
        <v>585</v>
      </c>
      <c r="B148" s="32" t="s">
        <v>576</v>
      </c>
      <c r="C148" s="32" t="s">
        <v>577</v>
      </c>
      <c r="D148" s="32" t="s">
        <v>578</v>
      </c>
      <c r="E148" s="32" t="s">
        <v>556</v>
      </c>
      <c r="F148" s="32" t="s">
        <v>584</v>
      </c>
      <c r="G148" s="32" t="str">
        <f t="shared" si="4"/>
        <v>.625" PE STUB</v>
      </c>
      <c r="H148" s="278" t="s">
        <v>474</v>
      </c>
      <c r="I148" s="32" t="s">
        <v>462</v>
      </c>
      <c r="J148" s="279">
        <v>1</v>
      </c>
      <c r="K148" s="280">
        <v>9400.43</v>
      </c>
      <c r="L148" s="280">
        <v>1790.49</v>
      </c>
      <c r="M148" s="280">
        <v>7609.94</v>
      </c>
      <c r="N148" s="281">
        <v>431</v>
      </c>
      <c r="O148" s="282">
        <v>529</v>
      </c>
      <c r="P148" s="280">
        <f t="shared" si="5"/>
        <v>11537.882761020881</v>
      </c>
    </row>
    <row r="149" spans="1:16" x14ac:dyDescent="0.2">
      <c r="A149" s="32" t="s">
        <v>585</v>
      </c>
      <c r="B149" s="32" t="s">
        <v>576</v>
      </c>
      <c r="C149" s="32" t="s">
        <v>577</v>
      </c>
      <c r="D149" s="32" t="s">
        <v>578</v>
      </c>
      <c r="E149" s="32" t="s">
        <v>556</v>
      </c>
      <c r="F149" s="32" t="s">
        <v>584</v>
      </c>
      <c r="G149" s="32" t="str">
        <f t="shared" si="4"/>
        <v>.625" PE STUB</v>
      </c>
      <c r="H149" s="278" t="s">
        <v>477</v>
      </c>
      <c r="I149" s="32" t="s">
        <v>462</v>
      </c>
      <c r="J149" s="279">
        <v>1</v>
      </c>
      <c r="K149" s="280">
        <v>1476.39</v>
      </c>
      <c r="L149" s="280">
        <v>230.52</v>
      </c>
      <c r="M149" s="280">
        <v>1245.8699999999999</v>
      </c>
      <c r="N149" s="281">
        <v>450</v>
      </c>
      <c r="O149" s="282">
        <v>529</v>
      </c>
      <c r="P149" s="280">
        <f t="shared" si="5"/>
        <v>1735.5784666666666</v>
      </c>
    </row>
    <row r="150" spans="1:16" x14ac:dyDescent="0.2">
      <c r="A150" s="32" t="s">
        <v>585</v>
      </c>
      <c r="B150" s="32" t="s">
        <v>576</v>
      </c>
      <c r="C150" s="32" t="s">
        <v>577</v>
      </c>
      <c r="D150" s="32" t="s">
        <v>578</v>
      </c>
      <c r="E150" s="32" t="s">
        <v>556</v>
      </c>
      <c r="F150" s="32" t="s">
        <v>584</v>
      </c>
      <c r="G150" s="32" t="str">
        <f t="shared" si="4"/>
        <v>.625" PE STUB</v>
      </c>
      <c r="H150" s="278" t="s">
        <v>470</v>
      </c>
      <c r="I150" s="32" t="s">
        <v>462</v>
      </c>
      <c r="J150" s="279">
        <v>1</v>
      </c>
      <c r="K150" s="280">
        <v>683.18</v>
      </c>
      <c r="L150" s="280">
        <v>83.63</v>
      </c>
      <c r="M150" s="280">
        <v>599.54999999999995</v>
      </c>
      <c r="N150" s="281">
        <v>467</v>
      </c>
      <c r="O150" s="282">
        <v>529</v>
      </c>
      <c r="P150" s="280">
        <f t="shared" si="5"/>
        <v>773.88055674518193</v>
      </c>
    </row>
    <row r="151" spans="1:16" x14ac:dyDescent="0.2">
      <c r="A151" s="32" t="s">
        <v>586</v>
      </c>
      <c r="B151" s="32" t="s">
        <v>576</v>
      </c>
      <c r="C151" s="32" t="s">
        <v>577</v>
      </c>
      <c r="D151" s="32" t="s">
        <v>578</v>
      </c>
      <c r="E151" s="32" t="s">
        <v>556</v>
      </c>
      <c r="F151" s="32" t="s">
        <v>587</v>
      </c>
      <c r="G151" s="32" t="str">
        <f t="shared" si="4"/>
        <v>.625" PE TWIN</v>
      </c>
      <c r="H151" s="278" t="s">
        <v>467</v>
      </c>
      <c r="I151" s="32" t="s">
        <v>462</v>
      </c>
      <c r="J151" s="279">
        <v>324</v>
      </c>
      <c r="K151" s="280">
        <v>174835.78</v>
      </c>
      <c r="L151" s="280">
        <v>90420.69</v>
      </c>
      <c r="M151" s="280">
        <v>84415.09</v>
      </c>
      <c r="N151" s="281">
        <v>344</v>
      </c>
      <c r="O151" s="282">
        <v>529</v>
      </c>
      <c r="P151" s="280">
        <f t="shared" si="5"/>
        <v>268860.83610465116</v>
      </c>
    </row>
    <row r="152" spans="1:16" x14ac:dyDescent="0.2">
      <c r="A152" s="32" t="s">
        <v>586</v>
      </c>
      <c r="B152" s="32" t="s">
        <v>576</v>
      </c>
      <c r="C152" s="32" t="s">
        <v>577</v>
      </c>
      <c r="D152" s="32" t="s">
        <v>578</v>
      </c>
      <c r="E152" s="32" t="s">
        <v>556</v>
      </c>
      <c r="F152" s="32" t="s">
        <v>587</v>
      </c>
      <c r="G152" s="32" t="str">
        <f t="shared" si="4"/>
        <v>.625" PE TWIN</v>
      </c>
      <c r="H152" s="278" t="s">
        <v>473</v>
      </c>
      <c r="I152" s="32" t="s">
        <v>462</v>
      </c>
      <c r="J152" s="279">
        <v>1899</v>
      </c>
      <c r="K152" s="280">
        <v>990167.27</v>
      </c>
      <c r="L152" s="280">
        <v>476424.05</v>
      </c>
      <c r="M152" s="280">
        <v>513743.22</v>
      </c>
      <c r="N152" s="281">
        <v>351</v>
      </c>
      <c r="O152" s="282">
        <v>529</v>
      </c>
      <c r="P152" s="280">
        <f t="shared" si="5"/>
        <v>1492303.3784330485</v>
      </c>
    </row>
    <row r="153" spans="1:16" x14ac:dyDescent="0.2">
      <c r="A153" s="32" t="s">
        <v>586</v>
      </c>
      <c r="B153" s="32" t="s">
        <v>576</v>
      </c>
      <c r="C153" s="32" t="s">
        <v>577</v>
      </c>
      <c r="D153" s="32" t="s">
        <v>578</v>
      </c>
      <c r="E153" s="32" t="s">
        <v>556</v>
      </c>
      <c r="F153" s="32" t="s">
        <v>587</v>
      </c>
      <c r="G153" s="32" t="str">
        <f t="shared" si="4"/>
        <v>.625" PE TWIN</v>
      </c>
      <c r="H153" s="278" t="s">
        <v>479</v>
      </c>
      <c r="I153" s="32" t="s">
        <v>462</v>
      </c>
      <c r="J153" s="279">
        <v>2198</v>
      </c>
      <c r="K153" s="280">
        <v>1011290.71</v>
      </c>
      <c r="L153" s="280">
        <v>449659.14</v>
      </c>
      <c r="M153" s="280">
        <v>561631.56999999995</v>
      </c>
      <c r="N153" s="281">
        <v>357</v>
      </c>
      <c r="O153" s="282">
        <v>529</v>
      </c>
      <c r="P153" s="280">
        <f t="shared" si="5"/>
        <v>1498523.2089355742</v>
      </c>
    </row>
    <row r="154" spans="1:16" x14ac:dyDescent="0.2">
      <c r="A154" s="32" t="s">
        <v>586</v>
      </c>
      <c r="B154" s="32" t="s">
        <v>576</v>
      </c>
      <c r="C154" s="32" t="s">
        <v>577</v>
      </c>
      <c r="D154" s="32" t="s">
        <v>578</v>
      </c>
      <c r="E154" s="32" t="s">
        <v>556</v>
      </c>
      <c r="F154" s="32" t="s">
        <v>587</v>
      </c>
      <c r="G154" s="32" t="str">
        <f t="shared" si="4"/>
        <v>.625" PE TWIN</v>
      </c>
      <c r="H154" s="278" t="s">
        <v>480</v>
      </c>
      <c r="I154" s="32" t="s">
        <v>462</v>
      </c>
      <c r="J154" s="279">
        <v>1028</v>
      </c>
      <c r="K154" s="280">
        <v>1079661.45</v>
      </c>
      <c r="L154" s="280">
        <v>440306.84</v>
      </c>
      <c r="M154" s="280">
        <v>639354.61</v>
      </c>
      <c r="N154" s="281">
        <v>365</v>
      </c>
      <c r="O154" s="282">
        <v>529</v>
      </c>
      <c r="P154" s="280">
        <f t="shared" si="5"/>
        <v>1564769.6083561643</v>
      </c>
    </row>
    <row r="155" spans="1:16" x14ac:dyDescent="0.2">
      <c r="A155" s="32" t="s">
        <v>586</v>
      </c>
      <c r="B155" s="32" t="s">
        <v>576</v>
      </c>
      <c r="C155" s="32" t="s">
        <v>577</v>
      </c>
      <c r="D155" s="32" t="s">
        <v>578</v>
      </c>
      <c r="E155" s="32" t="s">
        <v>556</v>
      </c>
      <c r="F155" s="32" t="s">
        <v>587</v>
      </c>
      <c r="G155" s="32" t="str">
        <f t="shared" si="4"/>
        <v>.625" PE TWIN</v>
      </c>
      <c r="H155" s="278" t="s">
        <v>472</v>
      </c>
      <c r="I155" s="32" t="s">
        <v>462</v>
      </c>
      <c r="J155" s="279">
        <v>1026</v>
      </c>
      <c r="K155" s="280">
        <v>681656.25</v>
      </c>
      <c r="L155" s="280">
        <v>252810.94</v>
      </c>
      <c r="M155" s="280">
        <v>428845.31</v>
      </c>
      <c r="N155" s="281">
        <v>370</v>
      </c>
      <c r="O155" s="282">
        <v>529</v>
      </c>
      <c r="P155" s="280">
        <f t="shared" si="5"/>
        <v>974584.20608108107</v>
      </c>
    </row>
    <row r="156" spans="1:16" x14ac:dyDescent="0.2">
      <c r="A156" s="32" t="s">
        <v>586</v>
      </c>
      <c r="B156" s="32" t="s">
        <v>576</v>
      </c>
      <c r="C156" s="32" t="s">
        <v>577</v>
      </c>
      <c r="D156" s="32" t="s">
        <v>578</v>
      </c>
      <c r="E156" s="32" t="s">
        <v>556</v>
      </c>
      <c r="F156" s="32" t="s">
        <v>587</v>
      </c>
      <c r="G156" s="32" t="str">
        <f t="shared" si="4"/>
        <v>.625" PE TWIN</v>
      </c>
      <c r="H156" s="278" t="s">
        <v>478</v>
      </c>
      <c r="I156" s="32" t="s">
        <v>462</v>
      </c>
      <c r="J156" s="279">
        <v>1134</v>
      </c>
      <c r="K156" s="280">
        <v>470420.33</v>
      </c>
      <c r="L156" s="280">
        <v>157123.79999999999</v>
      </c>
      <c r="M156" s="280">
        <v>313296.53000000003</v>
      </c>
      <c r="N156" s="281">
        <v>378</v>
      </c>
      <c r="O156" s="282">
        <v>529</v>
      </c>
      <c r="P156" s="280">
        <f t="shared" si="5"/>
        <v>658339.56235449738</v>
      </c>
    </row>
    <row r="157" spans="1:16" x14ac:dyDescent="0.2">
      <c r="A157" s="32" t="s">
        <v>586</v>
      </c>
      <c r="B157" s="32" t="s">
        <v>576</v>
      </c>
      <c r="C157" s="32" t="s">
        <v>577</v>
      </c>
      <c r="D157" s="32" t="s">
        <v>578</v>
      </c>
      <c r="E157" s="32" t="s">
        <v>556</v>
      </c>
      <c r="F157" s="32" t="s">
        <v>587</v>
      </c>
      <c r="G157" s="32" t="str">
        <f t="shared" si="4"/>
        <v>.625" PE TWIN</v>
      </c>
      <c r="H157" s="278" t="s">
        <v>475</v>
      </c>
      <c r="I157" s="32" t="s">
        <v>462</v>
      </c>
      <c r="J157" s="279">
        <v>1216</v>
      </c>
      <c r="K157" s="280">
        <v>486912.31</v>
      </c>
      <c r="L157" s="280">
        <v>144794.14000000001</v>
      </c>
      <c r="M157" s="280">
        <v>342118.17</v>
      </c>
      <c r="N157" s="281">
        <v>393</v>
      </c>
      <c r="O157" s="282">
        <v>529</v>
      </c>
      <c r="P157" s="280">
        <f t="shared" si="5"/>
        <v>655411.226437659</v>
      </c>
    </row>
    <row r="158" spans="1:16" x14ac:dyDescent="0.2">
      <c r="A158" s="32" t="s">
        <v>586</v>
      </c>
      <c r="B158" s="32" t="s">
        <v>576</v>
      </c>
      <c r="C158" s="32" t="s">
        <v>577</v>
      </c>
      <c r="D158" s="32" t="s">
        <v>578</v>
      </c>
      <c r="E158" s="32" t="s">
        <v>556</v>
      </c>
      <c r="F158" s="32" t="s">
        <v>587</v>
      </c>
      <c r="G158" s="32" t="str">
        <f t="shared" si="4"/>
        <v>.625" PE TWIN</v>
      </c>
      <c r="H158" s="278" t="s">
        <v>471</v>
      </c>
      <c r="I158" s="32" t="s">
        <v>462</v>
      </c>
      <c r="J158" s="279">
        <v>954</v>
      </c>
      <c r="K158" s="280">
        <v>391815.94</v>
      </c>
      <c r="L158" s="280">
        <v>102324.89</v>
      </c>
      <c r="M158" s="280">
        <v>289491.05</v>
      </c>
      <c r="N158" s="281">
        <v>398</v>
      </c>
      <c r="O158" s="282">
        <v>529</v>
      </c>
      <c r="P158" s="280">
        <f t="shared" si="5"/>
        <v>520780.48306532658</v>
      </c>
    </row>
    <row r="159" spans="1:16" x14ac:dyDescent="0.2">
      <c r="A159" s="32" t="s">
        <v>586</v>
      </c>
      <c r="B159" s="32" t="s">
        <v>576</v>
      </c>
      <c r="C159" s="32" t="s">
        <v>577</v>
      </c>
      <c r="D159" s="32" t="s">
        <v>578</v>
      </c>
      <c r="E159" s="32" t="s">
        <v>556</v>
      </c>
      <c r="F159" s="32" t="s">
        <v>587</v>
      </c>
      <c r="G159" s="32" t="str">
        <f t="shared" si="4"/>
        <v>.625" PE TWIN</v>
      </c>
      <c r="H159" s="278" t="s">
        <v>476</v>
      </c>
      <c r="I159" s="32" t="s">
        <v>462</v>
      </c>
      <c r="J159" s="279">
        <v>856</v>
      </c>
      <c r="K159" s="280">
        <v>419033.2</v>
      </c>
      <c r="L159" s="280">
        <v>94486.77</v>
      </c>
      <c r="M159" s="280">
        <v>324546.43</v>
      </c>
      <c r="N159" s="281">
        <v>409</v>
      </c>
      <c r="O159" s="282">
        <v>529</v>
      </c>
      <c r="P159" s="280">
        <f t="shared" si="5"/>
        <v>541976.92616136919</v>
      </c>
    </row>
    <row r="160" spans="1:16" x14ac:dyDescent="0.2">
      <c r="A160" s="32" t="s">
        <v>586</v>
      </c>
      <c r="B160" s="32" t="s">
        <v>576</v>
      </c>
      <c r="C160" s="32" t="s">
        <v>577</v>
      </c>
      <c r="D160" s="32" t="s">
        <v>578</v>
      </c>
      <c r="E160" s="32" t="s">
        <v>556</v>
      </c>
      <c r="F160" s="32" t="s">
        <v>587</v>
      </c>
      <c r="G160" s="32" t="str">
        <f t="shared" si="4"/>
        <v>.625" PE TWIN</v>
      </c>
      <c r="H160" s="278" t="s">
        <v>474</v>
      </c>
      <c r="I160" s="32" t="s">
        <v>462</v>
      </c>
      <c r="J160" s="279">
        <v>923</v>
      </c>
      <c r="K160" s="280">
        <v>470235.35</v>
      </c>
      <c r="L160" s="280">
        <v>89565.38</v>
      </c>
      <c r="M160" s="280">
        <v>380669.97</v>
      </c>
      <c r="N160" s="281">
        <v>431</v>
      </c>
      <c r="O160" s="282">
        <v>529</v>
      </c>
      <c r="P160" s="280">
        <f t="shared" si="5"/>
        <v>577156.61287703004</v>
      </c>
    </row>
    <row r="161" spans="1:16" x14ac:dyDescent="0.2">
      <c r="A161" s="32" t="s">
        <v>586</v>
      </c>
      <c r="B161" s="32" t="s">
        <v>576</v>
      </c>
      <c r="C161" s="32" t="s">
        <v>577</v>
      </c>
      <c r="D161" s="32" t="s">
        <v>578</v>
      </c>
      <c r="E161" s="32" t="s">
        <v>556</v>
      </c>
      <c r="F161" s="32" t="s">
        <v>587</v>
      </c>
      <c r="G161" s="32" t="str">
        <f t="shared" si="4"/>
        <v>.625" PE TWIN</v>
      </c>
      <c r="H161" s="278" t="s">
        <v>477</v>
      </c>
      <c r="I161" s="32" t="s">
        <v>462</v>
      </c>
      <c r="J161" s="279">
        <v>754</v>
      </c>
      <c r="K161" s="280">
        <v>647504.43000000005</v>
      </c>
      <c r="L161" s="280">
        <v>101100.88</v>
      </c>
      <c r="M161" s="280">
        <v>546403.55000000005</v>
      </c>
      <c r="N161" s="281">
        <v>450</v>
      </c>
      <c r="O161" s="282">
        <v>529</v>
      </c>
      <c r="P161" s="280">
        <f t="shared" si="5"/>
        <v>761177.4299333333</v>
      </c>
    </row>
    <row r="162" spans="1:16" x14ac:dyDescent="0.2">
      <c r="A162" s="32" t="s">
        <v>586</v>
      </c>
      <c r="B162" s="32" t="s">
        <v>576</v>
      </c>
      <c r="C162" s="32" t="s">
        <v>577</v>
      </c>
      <c r="D162" s="32" t="s">
        <v>578</v>
      </c>
      <c r="E162" s="32" t="s">
        <v>556</v>
      </c>
      <c r="F162" s="32" t="s">
        <v>587</v>
      </c>
      <c r="G162" s="32" t="str">
        <f t="shared" si="4"/>
        <v>.625" PE TWIN</v>
      </c>
      <c r="H162" s="278" t="s">
        <v>470</v>
      </c>
      <c r="I162" s="32" t="s">
        <v>462</v>
      </c>
      <c r="J162" s="279">
        <v>14</v>
      </c>
      <c r="K162" s="280">
        <v>10137.6</v>
      </c>
      <c r="L162" s="280">
        <v>1240.96</v>
      </c>
      <c r="M162" s="280">
        <v>8896.64</v>
      </c>
      <c r="N162" s="281">
        <v>467</v>
      </c>
      <c r="O162" s="282">
        <v>529</v>
      </c>
      <c r="P162" s="280">
        <f t="shared" si="5"/>
        <v>11483.491220556745</v>
      </c>
    </row>
    <row r="163" spans="1:16" x14ac:dyDescent="0.2">
      <c r="A163" s="32" t="s">
        <v>586</v>
      </c>
      <c r="B163" s="32" t="s">
        <v>576</v>
      </c>
      <c r="C163" s="32" t="s">
        <v>577</v>
      </c>
      <c r="D163" s="32" t="s">
        <v>578</v>
      </c>
      <c r="E163" s="32" t="s">
        <v>556</v>
      </c>
      <c r="F163" s="32" t="s">
        <v>587</v>
      </c>
      <c r="G163" s="32" t="str">
        <f t="shared" si="4"/>
        <v>.625" PE TWIN</v>
      </c>
      <c r="H163" s="278" t="s">
        <v>470</v>
      </c>
      <c r="I163" s="32" t="s">
        <v>462</v>
      </c>
      <c r="J163" s="279">
        <v>40</v>
      </c>
      <c r="K163" s="280">
        <v>52482.05</v>
      </c>
      <c r="L163" s="280">
        <v>6424.41</v>
      </c>
      <c r="M163" s="280">
        <v>46057.64</v>
      </c>
      <c r="N163" s="281">
        <v>467</v>
      </c>
      <c r="O163" s="282">
        <v>529</v>
      </c>
      <c r="P163" s="280">
        <f t="shared" si="5"/>
        <v>59449.688329764453</v>
      </c>
    </row>
    <row r="164" spans="1:16" x14ac:dyDescent="0.2">
      <c r="A164" s="32" t="s">
        <v>586</v>
      </c>
      <c r="B164" s="32" t="s">
        <v>576</v>
      </c>
      <c r="C164" s="32" t="s">
        <v>577</v>
      </c>
      <c r="D164" s="32" t="s">
        <v>578</v>
      </c>
      <c r="E164" s="32" t="s">
        <v>556</v>
      </c>
      <c r="F164" s="32" t="s">
        <v>587</v>
      </c>
      <c r="G164" s="32" t="str">
        <f t="shared" si="4"/>
        <v>.625" PE TWIN</v>
      </c>
      <c r="H164" s="278" t="s">
        <v>470</v>
      </c>
      <c r="I164" s="32" t="s">
        <v>462</v>
      </c>
      <c r="J164" s="279">
        <v>98</v>
      </c>
      <c r="K164" s="280">
        <v>157097.75</v>
      </c>
      <c r="L164" s="280">
        <v>19230.580000000002</v>
      </c>
      <c r="M164" s="280">
        <v>137867.17000000001</v>
      </c>
      <c r="N164" s="281">
        <v>467</v>
      </c>
      <c r="O164" s="282">
        <v>529</v>
      </c>
      <c r="P164" s="280">
        <f t="shared" si="5"/>
        <v>177954.41059957171</v>
      </c>
    </row>
    <row r="165" spans="1:16" x14ac:dyDescent="0.2">
      <c r="A165" s="32" t="s">
        <v>586</v>
      </c>
      <c r="B165" s="32" t="s">
        <v>576</v>
      </c>
      <c r="C165" s="32" t="s">
        <v>577</v>
      </c>
      <c r="D165" s="32" t="s">
        <v>578</v>
      </c>
      <c r="E165" s="32" t="s">
        <v>556</v>
      </c>
      <c r="F165" s="32" t="s">
        <v>587</v>
      </c>
      <c r="G165" s="32" t="str">
        <f t="shared" si="4"/>
        <v>.625" PE TWIN</v>
      </c>
      <c r="H165" s="278" t="s">
        <v>470</v>
      </c>
      <c r="I165" s="32" t="s">
        <v>462</v>
      </c>
      <c r="J165" s="279">
        <v>255</v>
      </c>
      <c r="K165" s="280">
        <v>387811.74</v>
      </c>
      <c r="L165" s="280">
        <v>47472.65</v>
      </c>
      <c r="M165" s="280">
        <v>340339.09</v>
      </c>
      <c r="N165" s="281">
        <v>467</v>
      </c>
      <c r="O165" s="282">
        <v>529</v>
      </c>
      <c r="P165" s="280">
        <f t="shared" si="5"/>
        <v>439298.52346895071</v>
      </c>
    </row>
    <row r="166" spans="1:16" x14ac:dyDescent="0.2">
      <c r="A166" s="32" t="s">
        <v>586</v>
      </c>
      <c r="B166" s="32" t="s">
        <v>576</v>
      </c>
      <c r="C166" s="32" t="s">
        <v>577</v>
      </c>
      <c r="D166" s="32" t="s">
        <v>578</v>
      </c>
      <c r="E166" s="32" t="s">
        <v>556</v>
      </c>
      <c r="F166" s="32" t="s">
        <v>587</v>
      </c>
      <c r="G166" s="32" t="str">
        <f t="shared" si="4"/>
        <v>.625" PE TWIN</v>
      </c>
      <c r="H166" s="278" t="s">
        <v>461</v>
      </c>
      <c r="I166" s="32" t="s">
        <v>462</v>
      </c>
      <c r="J166" s="279">
        <v>0</v>
      </c>
      <c r="K166" s="280">
        <v>18.79</v>
      </c>
      <c r="L166" s="280">
        <v>1.67</v>
      </c>
      <c r="M166" s="280">
        <v>17.12</v>
      </c>
      <c r="N166" s="281">
        <v>491</v>
      </c>
      <c r="O166" s="282">
        <v>529</v>
      </c>
      <c r="P166" s="280">
        <f t="shared" si="5"/>
        <v>20.244215885947042</v>
      </c>
    </row>
    <row r="167" spans="1:16" x14ac:dyDescent="0.2">
      <c r="A167" s="32" t="s">
        <v>586</v>
      </c>
      <c r="B167" s="32" t="s">
        <v>576</v>
      </c>
      <c r="C167" s="32" t="s">
        <v>577</v>
      </c>
      <c r="D167" s="32" t="s">
        <v>578</v>
      </c>
      <c r="E167" s="32" t="s">
        <v>556</v>
      </c>
      <c r="F167" s="32" t="s">
        <v>587</v>
      </c>
      <c r="G167" s="32" t="str">
        <f t="shared" si="4"/>
        <v>.625" PE TWIN</v>
      </c>
      <c r="H167" s="278" t="s">
        <v>461</v>
      </c>
      <c r="I167" s="32" t="s">
        <v>462</v>
      </c>
      <c r="J167" s="279">
        <v>2</v>
      </c>
      <c r="K167" s="280">
        <v>2328.92</v>
      </c>
      <c r="L167" s="280">
        <v>207.31</v>
      </c>
      <c r="M167" s="280">
        <v>2121.61</v>
      </c>
      <c r="N167" s="281">
        <v>491</v>
      </c>
      <c r="O167" s="282">
        <v>529</v>
      </c>
      <c r="P167" s="280">
        <f t="shared" si="5"/>
        <v>2509.1622810590629</v>
      </c>
    </row>
    <row r="168" spans="1:16" x14ac:dyDescent="0.2">
      <c r="A168" s="32" t="s">
        <v>586</v>
      </c>
      <c r="B168" s="32" t="s">
        <v>576</v>
      </c>
      <c r="C168" s="32" t="s">
        <v>577</v>
      </c>
      <c r="D168" s="32" t="s">
        <v>578</v>
      </c>
      <c r="E168" s="32" t="s">
        <v>556</v>
      </c>
      <c r="F168" s="32" t="s">
        <v>587</v>
      </c>
      <c r="G168" s="32" t="str">
        <f t="shared" si="4"/>
        <v>.625" PE TWIN</v>
      </c>
      <c r="H168" s="278" t="s">
        <v>461</v>
      </c>
      <c r="I168" s="32" t="s">
        <v>462</v>
      </c>
      <c r="J168" s="279">
        <v>3</v>
      </c>
      <c r="K168" s="280">
        <v>4234.05</v>
      </c>
      <c r="L168" s="280">
        <v>376.9</v>
      </c>
      <c r="M168" s="280">
        <v>3857.15</v>
      </c>
      <c r="N168" s="281">
        <v>491</v>
      </c>
      <c r="O168" s="282">
        <v>529</v>
      </c>
      <c r="P168" s="280">
        <f t="shared" si="5"/>
        <v>4561.7361507128307</v>
      </c>
    </row>
    <row r="169" spans="1:16" x14ac:dyDescent="0.2">
      <c r="A169" s="32" t="s">
        <v>586</v>
      </c>
      <c r="B169" s="32" t="s">
        <v>576</v>
      </c>
      <c r="C169" s="32" t="s">
        <v>577</v>
      </c>
      <c r="D169" s="32" t="s">
        <v>578</v>
      </c>
      <c r="E169" s="32" t="s">
        <v>556</v>
      </c>
      <c r="F169" s="32" t="s">
        <v>587</v>
      </c>
      <c r="G169" s="32" t="str">
        <f t="shared" si="4"/>
        <v>.625" PE TWIN</v>
      </c>
      <c r="H169" s="278" t="s">
        <v>461</v>
      </c>
      <c r="I169" s="32" t="s">
        <v>462</v>
      </c>
      <c r="J169" s="279">
        <v>13</v>
      </c>
      <c r="K169" s="280">
        <v>25426.77</v>
      </c>
      <c r="L169" s="280">
        <v>2263.42</v>
      </c>
      <c r="M169" s="280">
        <v>23163.35</v>
      </c>
      <c r="N169" s="281">
        <v>491</v>
      </c>
      <c r="O169" s="282">
        <v>529</v>
      </c>
      <c r="P169" s="280">
        <f t="shared" si="5"/>
        <v>27394.625926680241</v>
      </c>
    </row>
    <row r="170" spans="1:16" x14ac:dyDescent="0.2">
      <c r="A170" s="32" t="s">
        <v>586</v>
      </c>
      <c r="B170" s="32" t="s">
        <v>576</v>
      </c>
      <c r="C170" s="32" t="s">
        <v>577</v>
      </c>
      <c r="D170" s="32" t="s">
        <v>578</v>
      </c>
      <c r="E170" s="32" t="s">
        <v>556</v>
      </c>
      <c r="F170" s="32" t="s">
        <v>587</v>
      </c>
      <c r="G170" s="32" t="str">
        <f t="shared" si="4"/>
        <v>.625" PE TWIN</v>
      </c>
      <c r="H170" s="278" t="s">
        <v>461</v>
      </c>
      <c r="I170" s="32" t="s">
        <v>462</v>
      </c>
      <c r="J170" s="279">
        <v>60</v>
      </c>
      <c r="K170" s="280">
        <v>112815.1</v>
      </c>
      <c r="L170" s="280">
        <v>10042.469999999999</v>
      </c>
      <c r="M170" s="280">
        <v>102772.63</v>
      </c>
      <c r="N170" s="281">
        <v>491</v>
      </c>
      <c r="O170" s="282">
        <v>529</v>
      </c>
      <c r="P170" s="280">
        <f t="shared" si="5"/>
        <v>121546.20753564154</v>
      </c>
    </row>
    <row r="171" spans="1:16" x14ac:dyDescent="0.2">
      <c r="A171" s="32" t="s">
        <v>586</v>
      </c>
      <c r="B171" s="32" t="s">
        <v>576</v>
      </c>
      <c r="C171" s="32" t="s">
        <v>577</v>
      </c>
      <c r="D171" s="32" t="s">
        <v>578</v>
      </c>
      <c r="E171" s="32" t="s">
        <v>556</v>
      </c>
      <c r="F171" s="32" t="s">
        <v>587</v>
      </c>
      <c r="G171" s="32" t="str">
        <f t="shared" si="4"/>
        <v>.625" PE TWIN</v>
      </c>
      <c r="H171" s="278" t="s">
        <v>461</v>
      </c>
      <c r="I171" s="32" t="s">
        <v>462</v>
      </c>
      <c r="J171" s="279">
        <v>115</v>
      </c>
      <c r="K171" s="280">
        <v>176703.38</v>
      </c>
      <c r="L171" s="280">
        <v>15729.62</v>
      </c>
      <c r="M171" s="280">
        <v>160973.76000000001</v>
      </c>
      <c r="N171" s="281">
        <v>491</v>
      </c>
      <c r="O171" s="282">
        <v>529</v>
      </c>
      <c r="P171" s="280">
        <f t="shared" si="5"/>
        <v>190378.99800407331</v>
      </c>
    </row>
    <row r="172" spans="1:16" x14ac:dyDescent="0.2">
      <c r="A172" s="32" t="s">
        <v>586</v>
      </c>
      <c r="B172" s="32" t="s">
        <v>576</v>
      </c>
      <c r="C172" s="32" t="s">
        <v>577</v>
      </c>
      <c r="D172" s="32" t="s">
        <v>578</v>
      </c>
      <c r="E172" s="32" t="s">
        <v>556</v>
      </c>
      <c r="F172" s="32" t="s">
        <v>587</v>
      </c>
      <c r="G172" s="32" t="str">
        <f t="shared" si="4"/>
        <v>.625" PE TWIN</v>
      </c>
      <c r="H172" s="278" t="s">
        <v>461</v>
      </c>
      <c r="I172" s="32" t="s">
        <v>462</v>
      </c>
      <c r="J172" s="279">
        <v>276</v>
      </c>
      <c r="K172" s="280">
        <v>534405.86</v>
      </c>
      <c r="L172" s="280">
        <v>47571.27</v>
      </c>
      <c r="M172" s="280">
        <v>486834.59</v>
      </c>
      <c r="N172" s="281">
        <v>491</v>
      </c>
      <c r="O172" s="282">
        <v>529</v>
      </c>
      <c r="P172" s="280">
        <f t="shared" si="5"/>
        <v>575765.17299388989</v>
      </c>
    </row>
    <row r="173" spans="1:16" x14ac:dyDescent="0.2">
      <c r="A173" s="32" t="s">
        <v>586</v>
      </c>
      <c r="B173" s="32" t="s">
        <v>576</v>
      </c>
      <c r="C173" s="32" t="s">
        <v>577</v>
      </c>
      <c r="D173" s="32" t="s">
        <v>578</v>
      </c>
      <c r="E173" s="32" t="s">
        <v>556</v>
      </c>
      <c r="F173" s="32" t="s">
        <v>587</v>
      </c>
      <c r="G173" s="32" t="str">
        <f t="shared" si="4"/>
        <v>.625" PE TWIN</v>
      </c>
      <c r="H173" s="278" t="s">
        <v>468</v>
      </c>
      <c r="I173" s="32" t="s">
        <v>462</v>
      </c>
      <c r="J173" s="279">
        <v>2</v>
      </c>
      <c r="K173" s="280">
        <v>3965.93</v>
      </c>
      <c r="L173" s="280">
        <v>219.32</v>
      </c>
      <c r="M173" s="280">
        <v>3746.61</v>
      </c>
      <c r="N173" s="281">
        <v>517</v>
      </c>
      <c r="O173" s="282">
        <v>529</v>
      </c>
      <c r="P173" s="280">
        <f t="shared" si="5"/>
        <v>4057.9825338491296</v>
      </c>
    </row>
    <row r="174" spans="1:16" x14ac:dyDescent="0.2">
      <c r="A174" s="32" t="s">
        <v>586</v>
      </c>
      <c r="B174" s="32" t="s">
        <v>576</v>
      </c>
      <c r="C174" s="32" t="s">
        <v>577</v>
      </c>
      <c r="D174" s="32" t="s">
        <v>578</v>
      </c>
      <c r="E174" s="32" t="s">
        <v>556</v>
      </c>
      <c r="F174" s="32" t="s">
        <v>587</v>
      </c>
      <c r="G174" s="32" t="str">
        <f t="shared" si="4"/>
        <v>.625" PE TWIN</v>
      </c>
      <c r="H174" s="278" t="s">
        <v>468</v>
      </c>
      <c r="I174" s="32" t="s">
        <v>462</v>
      </c>
      <c r="J174" s="279">
        <v>4</v>
      </c>
      <c r="K174" s="280">
        <v>12230.46</v>
      </c>
      <c r="L174" s="280">
        <v>676.34</v>
      </c>
      <c r="M174" s="280">
        <v>11554.12</v>
      </c>
      <c r="N174" s="281">
        <v>517</v>
      </c>
      <c r="O174" s="282">
        <v>529</v>
      </c>
      <c r="P174" s="280">
        <f t="shared" si="5"/>
        <v>12514.339148936171</v>
      </c>
    </row>
    <row r="175" spans="1:16" x14ac:dyDescent="0.2">
      <c r="A175" s="32" t="s">
        <v>586</v>
      </c>
      <c r="B175" s="32" t="s">
        <v>576</v>
      </c>
      <c r="C175" s="32" t="s">
        <v>577</v>
      </c>
      <c r="D175" s="32" t="s">
        <v>578</v>
      </c>
      <c r="E175" s="32" t="s">
        <v>556</v>
      </c>
      <c r="F175" s="32" t="s">
        <v>587</v>
      </c>
      <c r="G175" s="32" t="str">
        <f t="shared" si="4"/>
        <v>.625" PE TWIN</v>
      </c>
      <c r="H175" s="278" t="s">
        <v>468</v>
      </c>
      <c r="I175" s="32" t="s">
        <v>462</v>
      </c>
      <c r="J175" s="279">
        <v>17</v>
      </c>
      <c r="K175" s="280">
        <v>40170.959999999999</v>
      </c>
      <c r="L175" s="280">
        <v>2221.4499999999998</v>
      </c>
      <c r="M175" s="280">
        <v>37949.51</v>
      </c>
      <c r="N175" s="281">
        <v>517</v>
      </c>
      <c r="O175" s="282">
        <v>529</v>
      </c>
      <c r="P175" s="280">
        <f t="shared" si="5"/>
        <v>41103.361392649902</v>
      </c>
    </row>
    <row r="176" spans="1:16" x14ac:dyDescent="0.2">
      <c r="A176" s="32" t="s">
        <v>586</v>
      </c>
      <c r="B176" s="32" t="s">
        <v>576</v>
      </c>
      <c r="C176" s="32" t="s">
        <v>577</v>
      </c>
      <c r="D176" s="32" t="s">
        <v>578</v>
      </c>
      <c r="E176" s="32" t="s">
        <v>556</v>
      </c>
      <c r="F176" s="32" t="s">
        <v>587</v>
      </c>
      <c r="G176" s="32" t="str">
        <f t="shared" si="4"/>
        <v>.625" PE TWIN</v>
      </c>
      <c r="H176" s="278" t="s">
        <v>468</v>
      </c>
      <c r="I176" s="32" t="s">
        <v>462</v>
      </c>
      <c r="J176" s="279">
        <v>42</v>
      </c>
      <c r="K176" s="280">
        <v>76156.570000000007</v>
      </c>
      <c r="L176" s="280">
        <v>4211.45</v>
      </c>
      <c r="M176" s="280">
        <v>71945.119999999995</v>
      </c>
      <c r="N176" s="281">
        <v>517</v>
      </c>
      <c r="O176" s="282">
        <v>529</v>
      </c>
      <c r="P176" s="280">
        <f t="shared" si="5"/>
        <v>77924.227330754366</v>
      </c>
    </row>
    <row r="177" spans="1:16" x14ac:dyDescent="0.2">
      <c r="A177" s="32" t="s">
        <v>586</v>
      </c>
      <c r="B177" s="32" t="s">
        <v>576</v>
      </c>
      <c r="C177" s="32" t="s">
        <v>577</v>
      </c>
      <c r="D177" s="32" t="s">
        <v>578</v>
      </c>
      <c r="E177" s="32" t="s">
        <v>556</v>
      </c>
      <c r="F177" s="32" t="s">
        <v>587</v>
      </c>
      <c r="G177" s="32" t="str">
        <f t="shared" si="4"/>
        <v>.625" PE TWIN</v>
      </c>
      <c r="H177" s="278" t="s">
        <v>468</v>
      </c>
      <c r="I177" s="32" t="s">
        <v>462</v>
      </c>
      <c r="J177" s="279">
        <v>97</v>
      </c>
      <c r="K177" s="280">
        <v>253679.6</v>
      </c>
      <c r="L177" s="280">
        <v>14028.47</v>
      </c>
      <c r="M177" s="280">
        <v>239651.13</v>
      </c>
      <c r="N177" s="281">
        <v>517</v>
      </c>
      <c r="O177" s="282">
        <v>529</v>
      </c>
      <c r="P177" s="280">
        <f t="shared" si="5"/>
        <v>259567.71450676984</v>
      </c>
    </row>
    <row r="178" spans="1:16" x14ac:dyDescent="0.2">
      <c r="A178" s="32" t="s">
        <v>586</v>
      </c>
      <c r="B178" s="32" t="s">
        <v>576</v>
      </c>
      <c r="C178" s="32" t="s">
        <v>577</v>
      </c>
      <c r="D178" s="32" t="s">
        <v>578</v>
      </c>
      <c r="E178" s="32" t="s">
        <v>556</v>
      </c>
      <c r="F178" s="32" t="s">
        <v>587</v>
      </c>
      <c r="G178" s="32" t="str">
        <f t="shared" si="4"/>
        <v>.625" PE TWIN</v>
      </c>
      <c r="H178" s="278" t="s">
        <v>469</v>
      </c>
      <c r="I178" s="32" t="s">
        <v>462</v>
      </c>
      <c r="J178" s="279">
        <v>2</v>
      </c>
      <c r="K178" s="280">
        <v>3182.76</v>
      </c>
      <c r="L178" s="280">
        <v>62.58</v>
      </c>
      <c r="M178" s="280">
        <v>3120.18</v>
      </c>
      <c r="N178" s="281">
        <v>529</v>
      </c>
      <c r="O178" s="282">
        <v>529</v>
      </c>
      <c r="P178" s="280">
        <f t="shared" si="5"/>
        <v>3182.76</v>
      </c>
    </row>
    <row r="179" spans="1:16" x14ac:dyDescent="0.2">
      <c r="A179" s="32" t="s">
        <v>586</v>
      </c>
      <c r="B179" s="32" t="s">
        <v>576</v>
      </c>
      <c r="C179" s="32" t="s">
        <v>577</v>
      </c>
      <c r="D179" s="32" t="s">
        <v>578</v>
      </c>
      <c r="E179" s="32" t="s">
        <v>556</v>
      </c>
      <c r="F179" s="32" t="s">
        <v>587</v>
      </c>
      <c r="G179" s="32" t="str">
        <f t="shared" si="4"/>
        <v>.625" PE TWIN</v>
      </c>
      <c r="H179" s="278" t="s">
        <v>469</v>
      </c>
      <c r="I179" s="32" t="s">
        <v>462</v>
      </c>
      <c r="J179" s="279">
        <v>2</v>
      </c>
      <c r="K179" s="280">
        <v>5890.86</v>
      </c>
      <c r="L179" s="280">
        <v>115.82</v>
      </c>
      <c r="M179" s="280">
        <v>5775.04</v>
      </c>
      <c r="N179" s="281">
        <v>529</v>
      </c>
      <c r="O179" s="282">
        <v>529</v>
      </c>
      <c r="P179" s="280">
        <f t="shared" si="5"/>
        <v>5890.86</v>
      </c>
    </row>
    <row r="180" spans="1:16" x14ac:dyDescent="0.2">
      <c r="A180" s="32" t="s">
        <v>586</v>
      </c>
      <c r="B180" s="32" t="s">
        <v>576</v>
      </c>
      <c r="C180" s="32" t="s">
        <v>577</v>
      </c>
      <c r="D180" s="32" t="s">
        <v>578</v>
      </c>
      <c r="E180" s="32" t="s">
        <v>556</v>
      </c>
      <c r="F180" s="32" t="s">
        <v>587</v>
      </c>
      <c r="G180" s="32" t="str">
        <f t="shared" si="4"/>
        <v>.625" PE TWIN</v>
      </c>
      <c r="H180" s="278" t="s">
        <v>469</v>
      </c>
      <c r="I180" s="32" t="s">
        <v>462</v>
      </c>
      <c r="J180" s="279">
        <v>4</v>
      </c>
      <c r="K180" s="280">
        <v>9194.74</v>
      </c>
      <c r="L180" s="280">
        <v>180.78</v>
      </c>
      <c r="M180" s="280">
        <v>9013.9599999999991</v>
      </c>
      <c r="N180" s="281">
        <v>529</v>
      </c>
      <c r="O180" s="282">
        <v>529</v>
      </c>
      <c r="P180" s="280">
        <f t="shared" si="5"/>
        <v>9194.74</v>
      </c>
    </row>
    <row r="181" spans="1:16" x14ac:dyDescent="0.2">
      <c r="A181" s="32" t="s">
        <v>586</v>
      </c>
      <c r="B181" s="32" t="s">
        <v>576</v>
      </c>
      <c r="C181" s="32" t="s">
        <v>577</v>
      </c>
      <c r="D181" s="32" t="s">
        <v>578</v>
      </c>
      <c r="E181" s="32" t="s">
        <v>556</v>
      </c>
      <c r="F181" s="32" t="s">
        <v>587</v>
      </c>
      <c r="G181" s="32" t="str">
        <f t="shared" si="4"/>
        <v>.625" PE TWIN</v>
      </c>
      <c r="H181" s="278" t="s">
        <v>469</v>
      </c>
      <c r="I181" s="32" t="s">
        <v>462</v>
      </c>
      <c r="J181" s="279">
        <v>8</v>
      </c>
      <c r="K181" s="280">
        <v>23928.58</v>
      </c>
      <c r="L181" s="280">
        <v>470.47</v>
      </c>
      <c r="M181" s="280">
        <v>23458.11</v>
      </c>
      <c r="N181" s="281">
        <v>529</v>
      </c>
      <c r="O181" s="282">
        <v>529</v>
      </c>
      <c r="P181" s="280">
        <f t="shared" si="5"/>
        <v>23928.58</v>
      </c>
    </row>
    <row r="182" spans="1:16" x14ac:dyDescent="0.2">
      <c r="A182" s="32" t="s">
        <v>588</v>
      </c>
      <c r="B182" s="32" t="s">
        <v>576</v>
      </c>
      <c r="C182" s="32" t="s">
        <v>577</v>
      </c>
      <c r="D182" s="32" t="s">
        <v>578</v>
      </c>
      <c r="E182" s="32" t="s">
        <v>556</v>
      </c>
      <c r="F182" s="32" t="s">
        <v>587</v>
      </c>
      <c r="G182" s="32" t="str">
        <f t="shared" si="4"/>
        <v>.625" PE TWIN</v>
      </c>
      <c r="H182" s="278" t="s">
        <v>514</v>
      </c>
      <c r="I182" s="32" t="s">
        <v>462</v>
      </c>
      <c r="J182" s="279">
        <v>1499</v>
      </c>
      <c r="K182" s="280">
        <v>308660.71999999997</v>
      </c>
      <c r="L182" s="280">
        <v>181199.95</v>
      </c>
      <c r="M182" s="280">
        <v>127460.77</v>
      </c>
      <c r="N182" s="281">
        <v>326</v>
      </c>
      <c r="O182" s="282">
        <v>529</v>
      </c>
      <c r="P182" s="280">
        <f t="shared" si="5"/>
        <v>500863.56098159502</v>
      </c>
    </row>
    <row r="183" spans="1:16" x14ac:dyDescent="0.2">
      <c r="A183" s="32" t="s">
        <v>588</v>
      </c>
      <c r="B183" s="32" t="s">
        <v>576</v>
      </c>
      <c r="C183" s="32" t="s">
        <v>577</v>
      </c>
      <c r="D183" s="32" t="s">
        <v>578</v>
      </c>
      <c r="E183" s="32" t="s">
        <v>556</v>
      </c>
      <c r="F183" s="32" t="s">
        <v>587</v>
      </c>
      <c r="G183" s="32" t="str">
        <f t="shared" si="4"/>
        <v>.625" PE TWIN</v>
      </c>
      <c r="H183" s="278" t="s">
        <v>513</v>
      </c>
      <c r="I183" s="32" t="s">
        <v>462</v>
      </c>
      <c r="J183" s="279">
        <v>784</v>
      </c>
      <c r="K183" s="280">
        <v>404125.95</v>
      </c>
      <c r="L183" s="280">
        <v>223291.9</v>
      </c>
      <c r="M183" s="280">
        <v>180834.05</v>
      </c>
      <c r="N183" s="281">
        <v>338</v>
      </c>
      <c r="O183" s="282">
        <v>529</v>
      </c>
      <c r="P183" s="280">
        <f t="shared" si="5"/>
        <v>632492.98091715982</v>
      </c>
    </row>
    <row r="184" spans="1:16" x14ac:dyDescent="0.2">
      <c r="A184" s="32" t="s">
        <v>588</v>
      </c>
      <c r="B184" s="32" t="s">
        <v>576</v>
      </c>
      <c r="C184" s="32" t="s">
        <v>577</v>
      </c>
      <c r="D184" s="32" t="s">
        <v>578</v>
      </c>
      <c r="E184" s="32" t="s">
        <v>556</v>
      </c>
      <c r="F184" s="32" t="s">
        <v>587</v>
      </c>
      <c r="G184" s="32" t="str">
        <f t="shared" si="4"/>
        <v>.625" PE TWIN</v>
      </c>
      <c r="H184" s="278" t="s">
        <v>467</v>
      </c>
      <c r="I184" s="32" t="s">
        <v>462</v>
      </c>
      <c r="J184" s="279">
        <v>2036</v>
      </c>
      <c r="K184" s="280">
        <v>1071343.77</v>
      </c>
      <c r="L184" s="280">
        <v>554072.18999999994</v>
      </c>
      <c r="M184" s="280">
        <v>517271.58</v>
      </c>
      <c r="N184" s="281">
        <v>344</v>
      </c>
      <c r="O184" s="282">
        <v>529</v>
      </c>
      <c r="P184" s="280">
        <f t="shared" si="5"/>
        <v>1647502.4835174419</v>
      </c>
    </row>
    <row r="185" spans="1:16" x14ac:dyDescent="0.2">
      <c r="A185" s="32" t="s">
        <v>588</v>
      </c>
      <c r="B185" s="32" t="s">
        <v>576</v>
      </c>
      <c r="C185" s="32" t="s">
        <v>577</v>
      </c>
      <c r="D185" s="32" t="s">
        <v>578</v>
      </c>
      <c r="E185" s="32" t="s">
        <v>556</v>
      </c>
      <c r="F185" s="32" t="s">
        <v>587</v>
      </c>
      <c r="G185" s="32" t="str">
        <f t="shared" si="4"/>
        <v>.625" PE TWIN</v>
      </c>
      <c r="H185" s="278" t="s">
        <v>473</v>
      </c>
      <c r="I185" s="32" t="s">
        <v>462</v>
      </c>
      <c r="J185" s="279">
        <v>174</v>
      </c>
      <c r="K185" s="280">
        <v>95279.48</v>
      </c>
      <c r="L185" s="280">
        <v>45844.21</v>
      </c>
      <c r="M185" s="280">
        <v>49435.27</v>
      </c>
      <c r="N185" s="281">
        <v>351</v>
      </c>
      <c r="O185" s="282">
        <v>529</v>
      </c>
      <c r="P185" s="280">
        <f t="shared" si="5"/>
        <v>143597.84877492877</v>
      </c>
    </row>
    <row r="186" spans="1:16" x14ac:dyDescent="0.2">
      <c r="A186" s="32" t="s">
        <v>588</v>
      </c>
      <c r="B186" s="32" t="s">
        <v>576</v>
      </c>
      <c r="C186" s="32" t="s">
        <v>577</v>
      </c>
      <c r="D186" s="32" t="s">
        <v>578</v>
      </c>
      <c r="E186" s="32" t="s">
        <v>556</v>
      </c>
      <c r="F186" s="32" t="s">
        <v>587</v>
      </c>
      <c r="G186" s="32" t="str">
        <f t="shared" si="4"/>
        <v>.625" PE TWIN</v>
      </c>
      <c r="H186" s="278" t="s">
        <v>479</v>
      </c>
      <c r="I186" s="32" t="s">
        <v>462</v>
      </c>
      <c r="J186" s="279">
        <v>163</v>
      </c>
      <c r="K186" s="280">
        <v>48879.29</v>
      </c>
      <c r="L186" s="280">
        <v>21733.63</v>
      </c>
      <c r="M186" s="280">
        <v>27145.66</v>
      </c>
      <c r="N186" s="281">
        <v>357</v>
      </c>
      <c r="O186" s="282">
        <v>529</v>
      </c>
      <c r="P186" s="280">
        <f t="shared" si="5"/>
        <v>72428.975938375355</v>
      </c>
    </row>
    <row r="187" spans="1:16" x14ac:dyDescent="0.2">
      <c r="A187" s="32" t="s">
        <v>588</v>
      </c>
      <c r="B187" s="32" t="s">
        <v>576</v>
      </c>
      <c r="C187" s="32" t="s">
        <v>577</v>
      </c>
      <c r="D187" s="32" t="s">
        <v>578</v>
      </c>
      <c r="E187" s="32" t="s">
        <v>556</v>
      </c>
      <c r="F187" s="32" t="s">
        <v>587</v>
      </c>
      <c r="G187" s="32" t="str">
        <f t="shared" si="4"/>
        <v>.625" PE TWIN</v>
      </c>
      <c r="H187" s="278" t="s">
        <v>480</v>
      </c>
      <c r="I187" s="32" t="s">
        <v>462</v>
      </c>
      <c r="J187" s="279">
        <v>3</v>
      </c>
      <c r="K187" s="280">
        <v>442.76</v>
      </c>
      <c r="L187" s="280">
        <v>180.57</v>
      </c>
      <c r="M187" s="280">
        <v>262.19</v>
      </c>
      <c r="N187" s="281">
        <v>365</v>
      </c>
      <c r="O187" s="282">
        <v>529</v>
      </c>
      <c r="P187" s="280">
        <f t="shared" si="5"/>
        <v>641.69873972602738</v>
      </c>
    </row>
    <row r="188" spans="1:16" x14ac:dyDescent="0.2">
      <c r="A188" s="32" t="s">
        <v>588</v>
      </c>
      <c r="B188" s="32" t="s">
        <v>576</v>
      </c>
      <c r="C188" s="32" t="s">
        <v>577</v>
      </c>
      <c r="D188" s="32" t="s">
        <v>578</v>
      </c>
      <c r="E188" s="32" t="s">
        <v>556</v>
      </c>
      <c r="F188" s="32" t="s">
        <v>587</v>
      </c>
      <c r="G188" s="32" t="str">
        <f t="shared" si="4"/>
        <v>.625" PE TWIN</v>
      </c>
      <c r="H188" s="278" t="s">
        <v>472</v>
      </c>
      <c r="I188" s="32" t="s">
        <v>462</v>
      </c>
      <c r="J188" s="279">
        <v>16</v>
      </c>
      <c r="K188" s="280">
        <v>10746.69</v>
      </c>
      <c r="L188" s="280">
        <v>3985.71</v>
      </c>
      <c r="M188" s="280">
        <v>6760.98</v>
      </c>
      <c r="N188" s="281">
        <v>370</v>
      </c>
      <c r="O188" s="282">
        <v>529</v>
      </c>
      <c r="P188" s="280">
        <f t="shared" si="5"/>
        <v>15364.862189189191</v>
      </c>
    </row>
    <row r="189" spans="1:16" x14ac:dyDescent="0.2">
      <c r="A189" s="32" t="s">
        <v>588</v>
      </c>
      <c r="B189" s="32" t="s">
        <v>576</v>
      </c>
      <c r="C189" s="32" t="s">
        <v>577</v>
      </c>
      <c r="D189" s="32" t="s">
        <v>578</v>
      </c>
      <c r="E189" s="32" t="s">
        <v>556</v>
      </c>
      <c r="F189" s="32" t="s">
        <v>587</v>
      </c>
      <c r="G189" s="32" t="str">
        <f t="shared" si="4"/>
        <v>.625" PE TWIN</v>
      </c>
      <c r="H189" s="278" t="s">
        <v>478</v>
      </c>
      <c r="I189" s="32" t="s">
        <v>462</v>
      </c>
      <c r="J189" s="279">
        <v>58</v>
      </c>
      <c r="K189" s="280">
        <v>29409.02</v>
      </c>
      <c r="L189" s="280">
        <v>9822.83</v>
      </c>
      <c r="M189" s="280">
        <v>19586.189999999999</v>
      </c>
      <c r="N189" s="281">
        <v>378</v>
      </c>
      <c r="O189" s="282">
        <v>529</v>
      </c>
      <c r="P189" s="280">
        <f t="shared" si="5"/>
        <v>41157.067671957673</v>
      </c>
    </row>
    <row r="190" spans="1:16" x14ac:dyDescent="0.2">
      <c r="A190" s="32" t="s">
        <v>588</v>
      </c>
      <c r="B190" s="32" t="s">
        <v>576</v>
      </c>
      <c r="C190" s="32" t="s">
        <v>577</v>
      </c>
      <c r="D190" s="32" t="s">
        <v>578</v>
      </c>
      <c r="E190" s="32" t="s">
        <v>556</v>
      </c>
      <c r="F190" s="32" t="s">
        <v>587</v>
      </c>
      <c r="G190" s="32" t="str">
        <f t="shared" si="4"/>
        <v>.625" PE TWIN</v>
      </c>
      <c r="H190" s="278" t="s">
        <v>475</v>
      </c>
      <c r="I190" s="32" t="s">
        <v>462</v>
      </c>
      <c r="J190" s="279">
        <v>23</v>
      </c>
      <c r="K190" s="280">
        <v>3873.09</v>
      </c>
      <c r="L190" s="280">
        <v>1151.75</v>
      </c>
      <c r="M190" s="280">
        <v>2721.34</v>
      </c>
      <c r="N190" s="281">
        <v>393</v>
      </c>
      <c r="O190" s="282">
        <v>529</v>
      </c>
      <c r="P190" s="280">
        <f t="shared" si="5"/>
        <v>5213.3959541984732</v>
      </c>
    </row>
    <row r="191" spans="1:16" x14ac:dyDescent="0.2">
      <c r="A191" s="32" t="s">
        <v>588</v>
      </c>
      <c r="B191" s="32" t="s">
        <v>576</v>
      </c>
      <c r="C191" s="32" t="s">
        <v>577</v>
      </c>
      <c r="D191" s="32" t="s">
        <v>578</v>
      </c>
      <c r="E191" s="32" t="s">
        <v>556</v>
      </c>
      <c r="F191" s="32" t="s">
        <v>587</v>
      </c>
      <c r="G191" s="32" t="str">
        <f t="shared" si="4"/>
        <v>.625" PE TWIN</v>
      </c>
      <c r="H191" s="278" t="s">
        <v>471</v>
      </c>
      <c r="I191" s="32" t="s">
        <v>462</v>
      </c>
      <c r="J191" s="279">
        <v>1</v>
      </c>
      <c r="K191" s="280">
        <v>665.8</v>
      </c>
      <c r="L191" s="280">
        <v>173.88</v>
      </c>
      <c r="M191" s="280">
        <v>491.92</v>
      </c>
      <c r="N191" s="281">
        <v>398</v>
      </c>
      <c r="O191" s="282">
        <v>529</v>
      </c>
      <c r="P191" s="280">
        <f t="shared" si="5"/>
        <v>884.94522613065317</v>
      </c>
    </row>
    <row r="192" spans="1:16" x14ac:dyDescent="0.2">
      <c r="A192" s="32" t="s">
        <v>589</v>
      </c>
      <c r="B192" s="32" t="s">
        <v>576</v>
      </c>
      <c r="C192" s="32" t="s">
        <v>577</v>
      </c>
      <c r="D192" s="32" t="s">
        <v>590</v>
      </c>
      <c r="E192" s="32" t="s">
        <v>556</v>
      </c>
      <c r="F192" s="32" t="s">
        <v>579</v>
      </c>
      <c r="G192" s="32" t="str">
        <f t="shared" si="4"/>
        <v>1.125" PE EUF</v>
      </c>
      <c r="H192" s="278" t="s">
        <v>479</v>
      </c>
      <c r="I192" s="32" t="s">
        <v>462</v>
      </c>
      <c r="J192" s="279">
        <v>1</v>
      </c>
      <c r="K192" s="280">
        <v>1169.02</v>
      </c>
      <c r="L192" s="280">
        <v>519.79</v>
      </c>
      <c r="M192" s="280">
        <v>649.23</v>
      </c>
      <c r="N192" s="281">
        <v>357</v>
      </c>
      <c r="O192" s="282">
        <v>529</v>
      </c>
      <c r="P192" s="280">
        <f t="shared" si="5"/>
        <v>1732.2453221288515</v>
      </c>
    </row>
    <row r="193" spans="1:16" x14ac:dyDescent="0.2">
      <c r="A193" s="32" t="s">
        <v>589</v>
      </c>
      <c r="B193" s="32" t="s">
        <v>576</v>
      </c>
      <c r="C193" s="32" t="s">
        <v>577</v>
      </c>
      <c r="D193" s="32" t="s">
        <v>590</v>
      </c>
      <c r="E193" s="32" t="s">
        <v>556</v>
      </c>
      <c r="F193" s="32" t="s">
        <v>579</v>
      </c>
      <c r="G193" s="32" t="str">
        <f t="shared" si="4"/>
        <v>1.125" PE EUF</v>
      </c>
      <c r="H193" s="278" t="s">
        <v>480</v>
      </c>
      <c r="I193" s="32" t="s">
        <v>462</v>
      </c>
      <c r="J193" s="279">
        <v>1</v>
      </c>
      <c r="K193" s="280">
        <v>37492.720000000001</v>
      </c>
      <c r="L193" s="280">
        <v>15290.26</v>
      </c>
      <c r="M193" s="280">
        <v>22202.46</v>
      </c>
      <c r="N193" s="281">
        <v>365</v>
      </c>
      <c r="O193" s="282">
        <v>529</v>
      </c>
      <c r="P193" s="280">
        <f t="shared" si="5"/>
        <v>54338.764054794519</v>
      </c>
    </row>
    <row r="194" spans="1:16" x14ac:dyDescent="0.2">
      <c r="A194" s="32" t="s">
        <v>589</v>
      </c>
      <c r="B194" s="32" t="s">
        <v>576</v>
      </c>
      <c r="C194" s="32" t="s">
        <v>577</v>
      </c>
      <c r="D194" s="32" t="s">
        <v>590</v>
      </c>
      <c r="E194" s="32" t="s">
        <v>556</v>
      </c>
      <c r="F194" s="32" t="s">
        <v>579</v>
      </c>
      <c r="G194" s="32" t="str">
        <f t="shared" ref="G194:G257" si="6">D194&amp;" "&amp;E194&amp;" "&amp;F194</f>
        <v>1.125" PE EUF</v>
      </c>
      <c r="H194" s="278" t="s">
        <v>478</v>
      </c>
      <c r="I194" s="32" t="s">
        <v>462</v>
      </c>
      <c r="J194" s="279">
        <v>2</v>
      </c>
      <c r="K194" s="280">
        <v>6273.74</v>
      </c>
      <c r="L194" s="280">
        <v>2095.4699999999998</v>
      </c>
      <c r="M194" s="280">
        <v>4178.2700000000004</v>
      </c>
      <c r="N194" s="281">
        <v>378</v>
      </c>
      <c r="O194" s="282">
        <v>529</v>
      </c>
      <c r="P194" s="280">
        <f t="shared" ref="P194:P257" si="7">+(O194/N194)*K194</f>
        <v>8779.916560846561</v>
      </c>
    </row>
    <row r="195" spans="1:16" x14ac:dyDescent="0.2">
      <c r="A195" s="32" t="s">
        <v>589</v>
      </c>
      <c r="B195" s="32" t="s">
        <v>576</v>
      </c>
      <c r="C195" s="32" t="s">
        <v>577</v>
      </c>
      <c r="D195" s="32" t="s">
        <v>590</v>
      </c>
      <c r="E195" s="32" t="s">
        <v>556</v>
      </c>
      <c r="F195" s="32" t="s">
        <v>579</v>
      </c>
      <c r="G195" s="32" t="str">
        <f t="shared" si="6"/>
        <v>1.125" PE EUF</v>
      </c>
      <c r="H195" s="278" t="s">
        <v>471</v>
      </c>
      <c r="I195" s="32" t="s">
        <v>462</v>
      </c>
      <c r="J195" s="279">
        <v>2</v>
      </c>
      <c r="K195" s="280">
        <v>3284.28</v>
      </c>
      <c r="L195" s="280">
        <v>857.71</v>
      </c>
      <c r="M195" s="280">
        <v>2426.5700000000002</v>
      </c>
      <c r="N195" s="281">
        <v>398</v>
      </c>
      <c r="O195" s="282">
        <v>529</v>
      </c>
      <c r="P195" s="280">
        <f t="shared" si="7"/>
        <v>4365.2867336683421</v>
      </c>
    </row>
    <row r="196" spans="1:16" x14ac:dyDescent="0.2">
      <c r="A196" s="32" t="s">
        <v>589</v>
      </c>
      <c r="B196" s="32" t="s">
        <v>576</v>
      </c>
      <c r="C196" s="32" t="s">
        <v>577</v>
      </c>
      <c r="D196" s="32" t="s">
        <v>590</v>
      </c>
      <c r="E196" s="32" t="s">
        <v>556</v>
      </c>
      <c r="F196" s="32" t="s">
        <v>579</v>
      </c>
      <c r="G196" s="32" t="str">
        <f t="shared" si="6"/>
        <v>1.125" PE EUF</v>
      </c>
      <c r="H196" s="278" t="s">
        <v>477</v>
      </c>
      <c r="I196" s="32" t="s">
        <v>462</v>
      </c>
      <c r="J196" s="279">
        <v>1</v>
      </c>
      <c r="K196" s="280">
        <v>3110.37</v>
      </c>
      <c r="L196" s="280">
        <v>485.65</v>
      </c>
      <c r="M196" s="280">
        <v>2624.72</v>
      </c>
      <c r="N196" s="281">
        <v>450</v>
      </c>
      <c r="O196" s="282">
        <v>529</v>
      </c>
      <c r="P196" s="280">
        <f t="shared" si="7"/>
        <v>3656.4127333333331</v>
      </c>
    </row>
    <row r="197" spans="1:16" x14ac:dyDescent="0.2">
      <c r="A197" s="32" t="s">
        <v>589</v>
      </c>
      <c r="B197" s="32" t="s">
        <v>576</v>
      </c>
      <c r="C197" s="32" t="s">
        <v>577</v>
      </c>
      <c r="D197" s="32" t="s">
        <v>590</v>
      </c>
      <c r="E197" s="32" t="s">
        <v>556</v>
      </c>
      <c r="F197" s="32" t="s">
        <v>579</v>
      </c>
      <c r="G197" s="32" t="str">
        <f t="shared" si="6"/>
        <v>1.125" PE EUF</v>
      </c>
      <c r="H197" s="278" t="s">
        <v>470</v>
      </c>
      <c r="I197" s="32" t="s">
        <v>462</v>
      </c>
      <c r="J197" s="279">
        <v>6</v>
      </c>
      <c r="K197" s="280">
        <v>54624.37</v>
      </c>
      <c r="L197" s="280">
        <v>6686.66</v>
      </c>
      <c r="M197" s="280">
        <v>47937.71</v>
      </c>
      <c r="N197" s="281">
        <v>467</v>
      </c>
      <c r="O197" s="282">
        <v>529</v>
      </c>
      <c r="P197" s="280">
        <f t="shared" si="7"/>
        <v>61876.427687366166</v>
      </c>
    </row>
    <row r="198" spans="1:16" x14ac:dyDescent="0.2">
      <c r="A198" s="32" t="s">
        <v>589</v>
      </c>
      <c r="B198" s="32" t="s">
        <v>576</v>
      </c>
      <c r="C198" s="32" t="s">
        <v>577</v>
      </c>
      <c r="D198" s="32" t="s">
        <v>590</v>
      </c>
      <c r="E198" s="32" t="s">
        <v>556</v>
      </c>
      <c r="F198" s="32" t="s">
        <v>579</v>
      </c>
      <c r="G198" s="32" t="str">
        <f t="shared" si="6"/>
        <v>1.125" PE EUF</v>
      </c>
      <c r="H198" s="278" t="s">
        <v>461</v>
      </c>
      <c r="I198" s="32" t="s">
        <v>462</v>
      </c>
      <c r="J198" s="279">
        <v>4</v>
      </c>
      <c r="K198" s="280">
        <v>11619.34</v>
      </c>
      <c r="L198" s="280">
        <v>1034.32</v>
      </c>
      <c r="M198" s="280">
        <v>10585.02</v>
      </c>
      <c r="N198" s="281">
        <v>491</v>
      </c>
      <c r="O198" s="282">
        <v>529</v>
      </c>
      <c r="P198" s="280">
        <f t="shared" si="7"/>
        <v>12518.596456211812</v>
      </c>
    </row>
    <row r="199" spans="1:16" x14ac:dyDescent="0.2">
      <c r="A199" s="32" t="s">
        <v>589</v>
      </c>
      <c r="B199" s="32" t="s">
        <v>576</v>
      </c>
      <c r="C199" s="32" t="s">
        <v>577</v>
      </c>
      <c r="D199" s="32" t="s">
        <v>590</v>
      </c>
      <c r="E199" s="32" t="s">
        <v>556</v>
      </c>
      <c r="F199" s="32" t="s">
        <v>579</v>
      </c>
      <c r="G199" s="32" t="str">
        <f t="shared" si="6"/>
        <v>1.125" PE EUF</v>
      </c>
      <c r="H199" s="278" t="s">
        <v>461</v>
      </c>
      <c r="I199" s="32" t="s">
        <v>462</v>
      </c>
      <c r="J199" s="279">
        <v>7</v>
      </c>
      <c r="K199" s="280">
        <v>17915.599999999999</v>
      </c>
      <c r="L199" s="280">
        <v>1594.79</v>
      </c>
      <c r="M199" s="280">
        <v>16320.81</v>
      </c>
      <c r="N199" s="281">
        <v>491</v>
      </c>
      <c r="O199" s="282">
        <v>529</v>
      </c>
      <c r="P199" s="280">
        <f t="shared" si="7"/>
        <v>19302.143380855392</v>
      </c>
    </row>
    <row r="200" spans="1:16" x14ac:dyDescent="0.2">
      <c r="A200" s="32" t="s">
        <v>589</v>
      </c>
      <c r="B200" s="32" t="s">
        <v>576</v>
      </c>
      <c r="C200" s="32" t="s">
        <v>577</v>
      </c>
      <c r="D200" s="32" t="s">
        <v>590</v>
      </c>
      <c r="E200" s="32" t="s">
        <v>556</v>
      </c>
      <c r="F200" s="32" t="s">
        <v>579</v>
      </c>
      <c r="G200" s="32" t="str">
        <f t="shared" si="6"/>
        <v>1.125" PE EUF</v>
      </c>
      <c r="H200" s="278" t="s">
        <v>468</v>
      </c>
      <c r="I200" s="32" t="s">
        <v>462</v>
      </c>
      <c r="J200" s="279">
        <v>1</v>
      </c>
      <c r="K200" s="280">
        <v>1904.11</v>
      </c>
      <c r="L200" s="280">
        <v>105.3</v>
      </c>
      <c r="M200" s="280">
        <v>1798.81</v>
      </c>
      <c r="N200" s="281">
        <v>517</v>
      </c>
      <c r="O200" s="282">
        <v>529</v>
      </c>
      <c r="P200" s="280">
        <f t="shared" si="7"/>
        <v>1948.3059767891684</v>
      </c>
    </row>
    <row r="201" spans="1:16" x14ac:dyDescent="0.2">
      <c r="A201" s="32" t="s">
        <v>589</v>
      </c>
      <c r="B201" s="32" t="s">
        <v>576</v>
      </c>
      <c r="C201" s="32" t="s">
        <v>577</v>
      </c>
      <c r="D201" s="32" t="s">
        <v>590</v>
      </c>
      <c r="E201" s="32" t="s">
        <v>556</v>
      </c>
      <c r="F201" s="32" t="s">
        <v>579</v>
      </c>
      <c r="G201" s="32" t="str">
        <f t="shared" si="6"/>
        <v>1.125" PE EUF</v>
      </c>
      <c r="H201" s="278" t="s">
        <v>468</v>
      </c>
      <c r="I201" s="32" t="s">
        <v>462</v>
      </c>
      <c r="J201" s="279">
        <v>2</v>
      </c>
      <c r="K201" s="280">
        <v>23863.87</v>
      </c>
      <c r="L201" s="280">
        <v>1319.67</v>
      </c>
      <c r="M201" s="280">
        <v>22544.2</v>
      </c>
      <c r="N201" s="281">
        <v>517</v>
      </c>
      <c r="O201" s="282">
        <v>529</v>
      </c>
      <c r="P201" s="280">
        <f t="shared" si="7"/>
        <v>24417.770270793037</v>
      </c>
    </row>
    <row r="202" spans="1:16" x14ac:dyDescent="0.2">
      <c r="A202" s="32" t="s">
        <v>589</v>
      </c>
      <c r="B202" s="32" t="s">
        <v>576</v>
      </c>
      <c r="C202" s="32" t="s">
        <v>577</v>
      </c>
      <c r="D202" s="32" t="s">
        <v>590</v>
      </c>
      <c r="E202" s="32" t="s">
        <v>556</v>
      </c>
      <c r="F202" s="32" t="s">
        <v>579</v>
      </c>
      <c r="G202" s="32" t="str">
        <f t="shared" si="6"/>
        <v>1.125" PE EUF</v>
      </c>
      <c r="H202" s="278" t="s">
        <v>468</v>
      </c>
      <c r="I202" s="32" t="s">
        <v>462</v>
      </c>
      <c r="J202" s="279">
        <v>9</v>
      </c>
      <c r="K202" s="280">
        <v>25209.99</v>
      </c>
      <c r="L202" s="280">
        <v>1394.11</v>
      </c>
      <c r="M202" s="280">
        <v>23815.88</v>
      </c>
      <c r="N202" s="281">
        <v>517</v>
      </c>
      <c r="O202" s="282">
        <v>529</v>
      </c>
      <c r="P202" s="280">
        <f t="shared" si="7"/>
        <v>25795.134835589946</v>
      </c>
    </row>
    <row r="203" spans="1:16" x14ac:dyDescent="0.2">
      <c r="A203" s="32" t="s">
        <v>589</v>
      </c>
      <c r="B203" s="32" t="s">
        <v>576</v>
      </c>
      <c r="C203" s="32" t="s">
        <v>577</v>
      </c>
      <c r="D203" s="32" t="s">
        <v>590</v>
      </c>
      <c r="E203" s="32" t="s">
        <v>556</v>
      </c>
      <c r="F203" s="32" t="s">
        <v>579</v>
      </c>
      <c r="G203" s="32" t="str">
        <f t="shared" si="6"/>
        <v>1.125" PE EUF</v>
      </c>
      <c r="H203" s="278" t="s">
        <v>468</v>
      </c>
      <c r="I203" s="32" t="s">
        <v>462</v>
      </c>
      <c r="J203" s="279">
        <v>21</v>
      </c>
      <c r="K203" s="280">
        <v>43979.21</v>
      </c>
      <c r="L203" s="280">
        <v>2432.0500000000002</v>
      </c>
      <c r="M203" s="280">
        <v>41547.160000000003</v>
      </c>
      <c r="N203" s="281">
        <v>517</v>
      </c>
      <c r="O203" s="282">
        <v>529</v>
      </c>
      <c r="P203" s="280">
        <f t="shared" si="7"/>
        <v>45000.004042553192</v>
      </c>
    </row>
    <row r="204" spans="1:16" x14ac:dyDescent="0.2">
      <c r="A204" s="32" t="s">
        <v>589</v>
      </c>
      <c r="B204" s="32" t="s">
        <v>576</v>
      </c>
      <c r="C204" s="32" t="s">
        <v>577</v>
      </c>
      <c r="D204" s="32" t="s">
        <v>590</v>
      </c>
      <c r="E204" s="32" t="s">
        <v>556</v>
      </c>
      <c r="F204" s="32" t="s">
        <v>579</v>
      </c>
      <c r="G204" s="32" t="str">
        <f t="shared" si="6"/>
        <v>1.125" PE EUF</v>
      </c>
      <c r="H204" s="278" t="s">
        <v>469</v>
      </c>
      <c r="I204" s="32" t="s">
        <v>462</v>
      </c>
      <c r="J204" s="279">
        <v>1</v>
      </c>
      <c r="K204" s="280">
        <v>1922.18</v>
      </c>
      <c r="L204" s="280">
        <v>37.79</v>
      </c>
      <c r="M204" s="280">
        <v>1884.39</v>
      </c>
      <c r="N204" s="281">
        <v>529</v>
      </c>
      <c r="O204" s="282">
        <v>529</v>
      </c>
      <c r="P204" s="280">
        <f t="shared" si="7"/>
        <v>1922.18</v>
      </c>
    </row>
    <row r="205" spans="1:16" x14ac:dyDescent="0.2">
      <c r="A205" s="32" t="s">
        <v>589</v>
      </c>
      <c r="B205" s="32" t="s">
        <v>576</v>
      </c>
      <c r="C205" s="32" t="s">
        <v>577</v>
      </c>
      <c r="D205" s="32" t="s">
        <v>590</v>
      </c>
      <c r="E205" s="32" t="s">
        <v>556</v>
      </c>
      <c r="F205" s="32" t="s">
        <v>579</v>
      </c>
      <c r="G205" s="32" t="str">
        <f t="shared" si="6"/>
        <v>1.125" PE EUF</v>
      </c>
      <c r="H205" s="278" t="s">
        <v>469</v>
      </c>
      <c r="I205" s="32" t="s">
        <v>462</v>
      </c>
      <c r="J205" s="279">
        <v>2</v>
      </c>
      <c r="K205" s="280">
        <v>1795.01</v>
      </c>
      <c r="L205" s="280">
        <v>35.29</v>
      </c>
      <c r="M205" s="280">
        <v>1759.72</v>
      </c>
      <c r="N205" s="281">
        <v>529</v>
      </c>
      <c r="O205" s="282">
        <v>529</v>
      </c>
      <c r="P205" s="280">
        <f t="shared" si="7"/>
        <v>1795.01</v>
      </c>
    </row>
    <row r="206" spans="1:16" x14ac:dyDescent="0.2">
      <c r="A206" s="32" t="s">
        <v>591</v>
      </c>
      <c r="B206" s="32" t="s">
        <v>576</v>
      </c>
      <c r="C206" s="32" t="s">
        <v>577</v>
      </c>
      <c r="D206" s="32" t="s">
        <v>590</v>
      </c>
      <c r="E206" s="32" t="s">
        <v>556</v>
      </c>
      <c r="F206" s="32" t="s">
        <v>579</v>
      </c>
      <c r="G206" s="32" t="str">
        <f t="shared" si="6"/>
        <v>1.125" PE EUF</v>
      </c>
      <c r="H206" s="278" t="s">
        <v>514</v>
      </c>
      <c r="I206" s="32" t="s">
        <v>462</v>
      </c>
      <c r="J206" s="279">
        <v>0</v>
      </c>
      <c r="K206" s="280">
        <v>0.13</v>
      </c>
      <c r="L206" s="280">
        <v>0.08</v>
      </c>
      <c r="M206" s="280">
        <v>0.05</v>
      </c>
      <c r="N206" s="281">
        <v>326</v>
      </c>
      <c r="O206" s="282">
        <v>529</v>
      </c>
      <c r="P206" s="280">
        <f t="shared" si="7"/>
        <v>0.21095092024539877</v>
      </c>
    </row>
    <row r="207" spans="1:16" x14ac:dyDescent="0.2">
      <c r="A207" s="32" t="s">
        <v>591</v>
      </c>
      <c r="B207" s="32" t="s">
        <v>576</v>
      </c>
      <c r="C207" s="32" t="s">
        <v>577</v>
      </c>
      <c r="D207" s="32" t="s">
        <v>590</v>
      </c>
      <c r="E207" s="32" t="s">
        <v>556</v>
      </c>
      <c r="F207" s="32" t="s">
        <v>579</v>
      </c>
      <c r="G207" s="32" t="str">
        <f t="shared" si="6"/>
        <v>1.125" PE EUF</v>
      </c>
      <c r="H207" s="278" t="s">
        <v>513</v>
      </c>
      <c r="I207" s="32" t="s">
        <v>462</v>
      </c>
      <c r="J207" s="279">
        <v>13</v>
      </c>
      <c r="K207" s="280">
        <v>10137.540000000001</v>
      </c>
      <c r="L207" s="280">
        <v>5601.3</v>
      </c>
      <c r="M207" s="280">
        <v>4536.24</v>
      </c>
      <c r="N207" s="281">
        <v>338</v>
      </c>
      <c r="O207" s="282">
        <v>529</v>
      </c>
      <c r="P207" s="280">
        <f t="shared" si="7"/>
        <v>15866.149881656807</v>
      </c>
    </row>
    <row r="208" spans="1:16" x14ac:dyDescent="0.2">
      <c r="A208" s="32" t="s">
        <v>591</v>
      </c>
      <c r="B208" s="32" t="s">
        <v>576</v>
      </c>
      <c r="C208" s="32" t="s">
        <v>577</v>
      </c>
      <c r="D208" s="32" t="s">
        <v>590</v>
      </c>
      <c r="E208" s="32" t="s">
        <v>556</v>
      </c>
      <c r="F208" s="32" t="s">
        <v>579</v>
      </c>
      <c r="G208" s="32" t="str">
        <f t="shared" si="6"/>
        <v>1.125" PE EUF</v>
      </c>
      <c r="H208" s="278" t="s">
        <v>467</v>
      </c>
      <c r="I208" s="32" t="s">
        <v>462</v>
      </c>
      <c r="J208" s="279">
        <v>20</v>
      </c>
      <c r="K208" s="280">
        <v>19271.5</v>
      </c>
      <c r="L208" s="280">
        <v>9966.74</v>
      </c>
      <c r="M208" s="280">
        <v>9304.76</v>
      </c>
      <c r="N208" s="281">
        <v>344</v>
      </c>
      <c r="O208" s="282">
        <v>529</v>
      </c>
      <c r="P208" s="280">
        <f t="shared" si="7"/>
        <v>29635.533430232561</v>
      </c>
    </row>
    <row r="209" spans="1:16" x14ac:dyDescent="0.2">
      <c r="A209" s="32" t="s">
        <v>591</v>
      </c>
      <c r="B209" s="32" t="s">
        <v>576</v>
      </c>
      <c r="C209" s="32" t="s">
        <v>577</v>
      </c>
      <c r="D209" s="32" t="s">
        <v>590</v>
      </c>
      <c r="E209" s="32" t="s">
        <v>556</v>
      </c>
      <c r="F209" s="32" t="s">
        <v>579</v>
      </c>
      <c r="G209" s="32" t="str">
        <f t="shared" si="6"/>
        <v>1.125" PE EUF</v>
      </c>
      <c r="H209" s="278" t="s">
        <v>479</v>
      </c>
      <c r="I209" s="32" t="s">
        <v>462</v>
      </c>
      <c r="J209" s="279">
        <v>1</v>
      </c>
      <c r="K209" s="280">
        <v>417.6</v>
      </c>
      <c r="L209" s="280">
        <v>185.68</v>
      </c>
      <c r="M209" s="280">
        <v>231.92</v>
      </c>
      <c r="N209" s="281">
        <v>357</v>
      </c>
      <c r="O209" s="282">
        <v>529</v>
      </c>
      <c r="P209" s="280">
        <f t="shared" si="7"/>
        <v>618.79663865546229</v>
      </c>
    </row>
    <row r="210" spans="1:16" x14ac:dyDescent="0.2">
      <c r="A210" s="32" t="s">
        <v>592</v>
      </c>
      <c r="B210" s="32" t="s">
        <v>576</v>
      </c>
      <c r="C210" s="32" t="s">
        <v>577</v>
      </c>
      <c r="D210" s="32" t="s">
        <v>590</v>
      </c>
      <c r="E210" s="32" t="s">
        <v>556</v>
      </c>
      <c r="F210" s="32" t="s">
        <v>581</v>
      </c>
      <c r="G210" s="32" t="str">
        <f t="shared" si="6"/>
        <v>1.125" PE EXTN</v>
      </c>
      <c r="H210" s="278" t="s">
        <v>473</v>
      </c>
      <c r="I210" s="32" t="s">
        <v>462</v>
      </c>
      <c r="J210" s="279">
        <v>512</v>
      </c>
      <c r="K210" s="280">
        <v>763275.54</v>
      </c>
      <c r="L210" s="280">
        <v>367253.93</v>
      </c>
      <c r="M210" s="280">
        <v>396021.61</v>
      </c>
      <c r="N210" s="281">
        <v>351</v>
      </c>
      <c r="O210" s="282">
        <v>529</v>
      </c>
      <c r="P210" s="280">
        <f t="shared" si="7"/>
        <v>1150349.7454700856</v>
      </c>
    </row>
    <row r="211" spans="1:16" x14ac:dyDescent="0.2">
      <c r="A211" s="32" t="s">
        <v>592</v>
      </c>
      <c r="B211" s="32" t="s">
        <v>576</v>
      </c>
      <c r="C211" s="32" t="s">
        <v>577</v>
      </c>
      <c r="D211" s="32" t="s">
        <v>590</v>
      </c>
      <c r="E211" s="32" t="s">
        <v>556</v>
      </c>
      <c r="F211" s="32" t="s">
        <v>581</v>
      </c>
      <c r="G211" s="32" t="str">
        <f t="shared" si="6"/>
        <v>1.125" PE EXTN</v>
      </c>
      <c r="H211" s="278" t="s">
        <v>479</v>
      </c>
      <c r="I211" s="32" t="s">
        <v>462</v>
      </c>
      <c r="J211" s="279">
        <v>2384</v>
      </c>
      <c r="K211" s="280">
        <v>1914632.96</v>
      </c>
      <c r="L211" s="280">
        <v>851320.2</v>
      </c>
      <c r="M211" s="280">
        <v>1063312.76</v>
      </c>
      <c r="N211" s="281">
        <v>357</v>
      </c>
      <c r="O211" s="282">
        <v>529</v>
      </c>
      <c r="P211" s="280">
        <f t="shared" si="7"/>
        <v>2837089.176022409</v>
      </c>
    </row>
    <row r="212" spans="1:16" x14ac:dyDescent="0.2">
      <c r="A212" s="32" t="s">
        <v>592</v>
      </c>
      <c r="B212" s="32" t="s">
        <v>576</v>
      </c>
      <c r="C212" s="32" t="s">
        <v>577</v>
      </c>
      <c r="D212" s="32" t="s">
        <v>590</v>
      </c>
      <c r="E212" s="32" t="s">
        <v>556</v>
      </c>
      <c r="F212" s="32" t="s">
        <v>581</v>
      </c>
      <c r="G212" s="32" t="str">
        <f t="shared" si="6"/>
        <v>1.125" PE EXTN</v>
      </c>
      <c r="H212" s="278" t="s">
        <v>480</v>
      </c>
      <c r="I212" s="32" t="s">
        <v>462</v>
      </c>
      <c r="J212" s="279">
        <v>1199</v>
      </c>
      <c r="K212" s="280">
        <v>2459864.14</v>
      </c>
      <c r="L212" s="280">
        <v>1003180.22</v>
      </c>
      <c r="M212" s="280">
        <v>1456683.92</v>
      </c>
      <c r="N212" s="281">
        <v>365</v>
      </c>
      <c r="O212" s="282">
        <v>529</v>
      </c>
      <c r="P212" s="280">
        <f t="shared" si="7"/>
        <v>3565118.1645479454</v>
      </c>
    </row>
    <row r="213" spans="1:16" x14ac:dyDescent="0.2">
      <c r="A213" s="32" t="s">
        <v>592</v>
      </c>
      <c r="B213" s="32" t="s">
        <v>576</v>
      </c>
      <c r="C213" s="32" t="s">
        <v>577</v>
      </c>
      <c r="D213" s="32" t="s">
        <v>590</v>
      </c>
      <c r="E213" s="32" t="s">
        <v>556</v>
      </c>
      <c r="F213" s="32" t="s">
        <v>581</v>
      </c>
      <c r="G213" s="32" t="str">
        <f t="shared" si="6"/>
        <v>1.125" PE EXTN</v>
      </c>
      <c r="H213" s="278" t="s">
        <v>472</v>
      </c>
      <c r="I213" s="32" t="s">
        <v>462</v>
      </c>
      <c r="J213" s="279">
        <v>2393</v>
      </c>
      <c r="K213" s="280">
        <v>1625488.84</v>
      </c>
      <c r="L213" s="280">
        <v>602857.17000000004</v>
      </c>
      <c r="M213" s="280">
        <v>1022631.67</v>
      </c>
      <c r="N213" s="281">
        <v>370</v>
      </c>
      <c r="O213" s="282">
        <v>529</v>
      </c>
      <c r="P213" s="280">
        <f t="shared" si="7"/>
        <v>2324009.7198918923</v>
      </c>
    </row>
    <row r="214" spans="1:16" x14ac:dyDescent="0.2">
      <c r="A214" s="32" t="s">
        <v>592</v>
      </c>
      <c r="B214" s="32" t="s">
        <v>576</v>
      </c>
      <c r="C214" s="32" t="s">
        <v>577</v>
      </c>
      <c r="D214" s="32" t="s">
        <v>590</v>
      </c>
      <c r="E214" s="32" t="s">
        <v>556</v>
      </c>
      <c r="F214" s="32" t="s">
        <v>581</v>
      </c>
      <c r="G214" s="32" t="str">
        <f t="shared" si="6"/>
        <v>1.125" PE EXTN</v>
      </c>
      <c r="H214" s="278" t="s">
        <v>478</v>
      </c>
      <c r="I214" s="32" t="s">
        <v>462</v>
      </c>
      <c r="J214" s="279">
        <v>2105</v>
      </c>
      <c r="K214" s="280">
        <v>1343091.75</v>
      </c>
      <c r="L214" s="280">
        <v>448602.38</v>
      </c>
      <c r="M214" s="280">
        <v>894489.37</v>
      </c>
      <c r="N214" s="281">
        <v>378</v>
      </c>
      <c r="O214" s="282">
        <v>529</v>
      </c>
      <c r="P214" s="280">
        <f t="shared" si="7"/>
        <v>1879617.8194444445</v>
      </c>
    </row>
    <row r="215" spans="1:16" x14ac:dyDescent="0.2">
      <c r="A215" s="32" t="s">
        <v>592</v>
      </c>
      <c r="B215" s="32" t="s">
        <v>576</v>
      </c>
      <c r="C215" s="32" t="s">
        <v>577</v>
      </c>
      <c r="D215" s="32" t="s">
        <v>590</v>
      </c>
      <c r="E215" s="32" t="s">
        <v>556</v>
      </c>
      <c r="F215" s="32" t="s">
        <v>581</v>
      </c>
      <c r="G215" s="32" t="str">
        <f t="shared" si="6"/>
        <v>1.125" PE EXTN</v>
      </c>
      <c r="H215" s="278" t="s">
        <v>475</v>
      </c>
      <c r="I215" s="32" t="s">
        <v>462</v>
      </c>
      <c r="J215" s="279">
        <v>1098</v>
      </c>
      <c r="K215" s="280">
        <v>946985.14</v>
      </c>
      <c r="L215" s="280">
        <v>281606.96999999997</v>
      </c>
      <c r="M215" s="280">
        <v>665378.17000000004</v>
      </c>
      <c r="N215" s="281">
        <v>393</v>
      </c>
      <c r="O215" s="282">
        <v>529</v>
      </c>
      <c r="P215" s="280">
        <f t="shared" si="7"/>
        <v>1274695.0103307888</v>
      </c>
    </row>
    <row r="216" spans="1:16" x14ac:dyDescent="0.2">
      <c r="A216" s="32" t="s">
        <v>592</v>
      </c>
      <c r="B216" s="32" t="s">
        <v>576</v>
      </c>
      <c r="C216" s="32" t="s">
        <v>577</v>
      </c>
      <c r="D216" s="32" t="s">
        <v>590</v>
      </c>
      <c r="E216" s="32" t="s">
        <v>556</v>
      </c>
      <c r="F216" s="32" t="s">
        <v>581</v>
      </c>
      <c r="G216" s="32" t="str">
        <f t="shared" si="6"/>
        <v>1.125" PE EXTN</v>
      </c>
      <c r="H216" s="278" t="s">
        <v>471</v>
      </c>
      <c r="I216" s="32" t="s">
        <v>462</v>
      </c>
      <c r="J216" s="279">
        <v>1424</v>
      </c>
      <c r="K216" s="280">
        <v>789124.52</v>
      </c>
      <c r="L216" s="280">
        <v>206084.22</v>
      </c>
      <c r="M216" s="280">
        <v>583040.30000000005</v>
      </c>
      <c r="N216" s="281">
        <v>398</v>
      </c>
      <c r="O216" s="282">
        <v>529</v>
      </c>
      <c r="P216" s="280">
        <f t="shared" si="7"/>
        <v>1048861.4851256281</v>
      </c>
    </row>
    <row r="217" spans="1:16" x14ac:dyDescent="0.2">
      <c r="A217" s="32" t="s">
        <v>592</v>
      </c>
      <c r="B217" s="32" t="s">
        <v>576</v>
      </c>
      <c r="C217" s="32" t="s">
        <v>577</v>
      </c>
      <c r="D217" s="32" t="s">
        <v>590</v>
      </c>
      <c r="E217" s="32" t="s">
        <v>556</v>
      </c>
      <c r="F217" s="32" t="s">
        <v>581</v>
      </c>
      <c r="G217" s="32" t="str">
        <f t="shared" si="6"/>
        <v>1.125" PE EXTN</v>
      </c>
      <c r="H217" s="278" t="s">
        <v>476</v>
      </c>
      <c r="I217" s="32" t="s">
        <v>462</v>
      </c>
      <c r="J217" s="279">
        <v>729</v>
      </c>
      <c r="K217" s="280">
        <v>614595.77</v>
      </c>
      <c r="L217" s="280">
        <v>138583.69</v>
      </c>
      <c r="M217" s="280">
        <v>476012.08</v>
      </c>
      <c r="N217" s="281">
        <v>409</v>
      </c>
      <c r="O217" s="282">
        <v>529</v>
      </c>
      <c r="P217" s="280">
        <f t="shared" si="7"/>
        <v>794917.26731051353</v>
      </c>
    </row>
    <row r="218" spans="1:16" x14ac:dyDescent="0.2">
      <c r="A218" s="32" t="s">
        <v>592</v>
      </c>
      <c r="B218" s="32" t="s">
        <v>576</v>
      </c>
      <c r="C218" s="32" t="s">
        <v>577</v>
      </c>
      <c r="D218" s="32" t="s">
        <v>590</v>
      </c>
      <c r="E218" s="32" t="s">
        <v>556</v>
      </c>
      <c r="F218" s="32" t="s">
        <v>581</v>
      </c>
      <c r="G218" s="32" t="str">
        <f t="shared" si="6"/>
        <v>1.125" PE EXTN</v>
      </c>
      <c r="H218" s="278" t="s">
        <v>474</v>
      </c>
      <c r="I218" s="32" t="s">
        <v>462</v>
      </c>
      <c r="J218" s="279">
        <v>653</v>
      </c>
      <c r="K218" s="280">
        <v>744466.95</v>
      </c>
      <c r="L218" s="280">
        <v>141798.07999999999</v>
      </c>
      <c r="M218" s="280">
        <v>602668.87</v>
      </c>
      <c r="N218" s="281">
        <v>431</v>
      </c>
      <c r="O218" s="282">
        <v>529</v>
      </c>
      <c r="P218" s="280">
        <f t="shared" si="7"/>
        <v>913742.4977958235</v>
      </c>
    </row>
    <row r="219" spans="1:16" x14ac:dyDescent="0.2">
      <c r="A219" s="32" t="s">
        <v>592</v>
      </c>
      <c r="B219" s="32" t="s">
        <v>576</v>
      </c>
      <c r="C219" s="32" t="s">
        <v>577</v>
      </c>
      <c r="D219" s="32" t="s">
        <v>590</v>
      </c>
      <c r="E219" s="32" t="s">
        <v>556</v>
      </c>
      <c r="F219" s="32" t="s">
        <v>581</v>
      </c>
      <c r="G219" s="32" t="str">
        <f t="shared" si="6"/>
        <v>1.125" PE EXTN</v>
      </c>
      <c r="H219" s="278" t="s">
        <v>477</v>
      </c>
      <c r="I219" s="32" t="s">
        <v>462</v>
      </c>
      <c r="J219" s="279">
        <v>2261</v>
      </c>
      <c r="K219" s="280">
        <v>2834197.8</v>
      </c>
      <c r="L219" s="280">
        <v>442529.63</v>
      </c>
      <c r="M219" s="280">
        <v>2391668.17</v>
      </c>
      <c r="N219" s="281">
        <v>450</v>
      </c>
      <c r="O219" s="282">
        <v>529</v>
      </c>
      <c r="P219" s="280">
        <f t="shared" si="7"/>
        <v>3331756.969333333</v>
      </c>
    </row>
    <row r="220" spans="1:16" x14ac:dyDescent="0.2">
      <c r="A220" s="32" t="s">
        <v>592</v>
      </c>
      <c r="B220" s="32" t="s">
        <v>576</v>
      </c>
      <c r="C220" s="32" t="s">
        <v>577</v>
      </c>
      <c r="D220" s="32" t="s">
        <v>590</v>
      </c>
      <c r="E220" s="32" t="s">
        <v>556</v>
      </c>
      <c r="F220" s="32" t="s">
        <v>581</v>
      </c>
      <c r="G220" s="32" t="str">
        <f t="shared" si="6"/>
        <v>1.125" PE EXTN</v>
      </c>
      <c r="H220" s="278" t="s">
        <v>470</v>
      </c>
      <c r="I220" s="32" t="s">
        <v>462</v>
      </c>
      <c r="J220" s="279">
        <v>0</v>
      </c>
      <c r="K220" s="280">
        <v>2551.17</v>
      </c>
      <c r="L220" s="280">
        <v>312.29000000000002</v>
      </c>
      <c r="M220" s="280">
        <v>2238.88</v>
      </c>
      <c r="N220" s="281">
        <v>467</v>
      </c>
      <c r="O220" s="282">
        <v>529</v>
      </c>
      <c r="P220" s="280">
        <f t="shared" si="7"/>
        <v>2889.8692291220555</v>
      </c>
    </row>
    <row r="221" spans="1:16" x14ac:dyDescent="0.2">
      <c r="A221" s="32" t="s">
        <v>592</v>
      </c>
      <c r="B221" s="32" t="s">
        <v>576</v>
      </c>
      <c r="C221" s="32" t="s">
        <v>577</v>
      </c>
      <c r="D221" s="32" t="s">
        <v>590</v>
      </c>
      <c r="E221" s="32" t="s">
        <v>556</v>
      </c>
      <c r="F221" s="32" t="s">
        <v>581</v>
      </c>
      <c r="G221" s="32" t="str">
        <f t="shared" si="6"/>
        <v>1.125" PE EXTN</v>
      </c>
      <c r="H221" s="278" t="s">
        <v>470</v>
      </c>
      <c r="I221" s="32" t="s">
        <v>462</v>
      </c>
      <c r="J221" s="279">
        <v>12</v>
      </c>
      <c r="K221" s="280">
        <v>29035.78</v>
      </c>
      <c r="L221" s="280">
        <v>3554.32</v>
      </c>
      <c r="M221" s="280">
        <v>25481.46</v>
      </c>
      <c r="N221" s="281">
        <v>467</v>
      </c>
      <c r="O221" s="282">
        <v>529</v>
      </c>
      <c r="P221" s="280">
        <f t="shared" si="7"/>
        <v>32890.637301927192</v>
      </c>
    </row>
    <row r="222" spans="1:16" x14ac:dyDescent="0.2">
      <c r="A222" s="32" t="s">
        <v>592</v>
      </c>
      <c r="B222" s="32" t="s">
        <v>576</v>
      </c>
      <c r="C222" s="32" t="s">
        <v>577</v>
      </c>
      <c r="D222" s="32" t="s">
        <v>590</v>
      </c>
      <c r="E222" s="32" t="s">
        <v>556</v>
      </c>
      <c r="F222" s="32" t="s">
        <v>581</v>
      </c>
      <c r="G222" s="32" t="str">
        <f t="shared" si="6"/>
        <v>1.125" PE EXTN</v>
      </c>
      <c r="H222" s="278" t="s">
        <v>470</v>
      </c>
      <c r="I222" s="32" t="s">
        <v>462</v>
      </c>
      <c r="J222" s="279">
        <v>100</v>
      </c>
      <c r="K222" s="280">
        <v>141400.98000000001</v>
      </c>
      <c r="L222" s="280">
        <v>17309.12</v>
      </c>
      <c r="M222" s="280">
        <v>124091.86</v>
      </c>
      <c r="N222" s="281">
        <v>467</v>
      </c>
      <c r="O222" s="282">
        <v>529</v>
      </c>
      <c r="P222" s="280">
        <f t="shared" si="7"/>
        <v>160173.70111349036</v>
      </c>
    </row>
    <row r="223" spans="1:16" x14ac:dyDescent="0.2">
      <c r="A223" s="32" t="s">
        <v>592</v>
      </c>
      <c r="B223" s="32" t="s">
        <v>576</v>
      </c>
      <c r="C223" s="32" t="s">
        <v>577</v>
      </c>
      <c r="D223" s="32" t="s">
        <v>590</v>
      </c>
      <c r="E223" s="32" t="s">
        <v>556</v>
      </c>
      <c r="F223" s="32" t="s">
        <v>581</v>
      </c>
      <c r="G223" s="32" t="str">
        <f t="shared" si="6"/>
        <v>1.125" PE EXTN</v>
      </c>
      <c r="H223" s="278" t="s">
        <v>470</v>
      </c>
      <c r="I223" s="32" t="s">
        <v>462</v>
      </c>
      <c r="J223" s="279">
        <v>115</v>
      </c>
      <c r="K223" s="280">
        <v>161151.59</v>
      </c>
      <c r="L223" s="280">
        <v>19726.82</v>
      </c>
      <c r="M223" s="280">
        <v>141424.76999999999</v>
      </c>
      <c r="N223" s="281">
        <v>467</v>
      </c>
      <c r="O223" s="282">
        <v>529</v>
      </c>
      <c r="P223" s="280">
        <f t="shared" si="7"/>
        <v>182546.44777301926</v>
      </c>
    </row>
    <row r="224" spans="1:16" x14ac:dyDescent="0.2">
      <c r="A224" s="32" t="s">
        <v>592</v>
      </c>
      <c r="B224" s="32" t="s">
        <v>576</v>
      </c>
      <c r="C224" s="32" t="s">
        <v>577</v>
      </c>
      <c r="D224" s="32" t="s">
        <v>590</v>
      </c>
      <c r="E224" s="32" t="s">
        <v>556</v>
      </c>
      <c r="F224" s="32" t="s">
        <v>581</v>
      </c>
      <c r="G224" s="32" t="str">
        <f t="shared" si="6"/>
        <v>1.125" PE EXTN</v>
      </c>
      <c r="H224" s="278" t="s">
        <v>470</v>
      </c>
      <c r="I224" s="32" t="s">
        <v>462</v>
      </c>
      <c r="J224" s="279">
        <v>416</v>
      </c>
      <c r="K224" s="280">
        <v>557810.13</v>
      </c>
      <c r="L224" s="280">
        <v>68282.42</v>
      </c>
      <c r="M224" s="280">
        <v>489527.71</v>
      </c>
      <c r="N224" s="281">
        <v>467</v>
      </c>
      <c r="O224" s="282">
        <v>529</v>
      </c>
      <c r="P224" s="280">
        <f t="shared" si="7"/>
        <v>631866.29286937893</v>
      </c>
    </row>
    <row r="225" spans="1:16" x14ac:dyDescent="0.2">
      <c r="A225" s="32" t="s">
        <v>592</v>
      </c>
      <c r="B225" s="32" t="s">
        <v>576</v>
      </c>
      <c r="C225" s="32" t="s">
        <v>577</v>
      </c>
      <c r="D225" s="32" t="s">
        <v>590</v>
      </c>
      <c r="E225" s="32" t="s">
        <v>556</v>
      </c>
      <c r="F225" s="32" t="s">
        <v>581</v>
      </c>
      <c r="G225" s="32" t="str">
        <f t="shared" si="6"/>
        <v>1.125" PE EXTN</v>
      </c>
      <c r="H225" s="278" t="s">
        <v>470</v>
      </c>
      <c r="I225" s="32" t="s">
        <v>462</v>
      </c>
      <c r="J225" s="279">
        <v>502</v>
      </c>
      <c r="K225" s="280">
        <v>840026.79</v>
      </c>
      <c r="L225" s="280">
        <v>102829.01</v>
      </c>
      <c r="M225" s="280">
        <v>737197.78</v>
      </c>
      <c r="N225" s="281">
        <v>467</v>
      </c>
      <c r="O225" s="282">
        <v>529</v>
      </c>
      <c r="P225" s="280">
        <f t="shared" si="7"/>
        <v>951550.68931477517</v>
      </c>
    </row>
    <row r="226" spans="1:16" x14ac:dyDescent="0.2">
      <c r="A226" s="32" t="s">
        <v>592</v>
      </c>
      <c r="B226" s="32" t="s">
        <v>576</v>
      </c>
      <c r="C226" s="32" t="s">
        <v>577</v>
      </c>
      <c r="D226" s="32" t="s">
        <v>590</v>
      </c>
      <c r="E226" s="32" t="s">
        <v>556</v>
      </c>
      <c r="F226" s="32" t="s">
        <v>581</v>
      </c>
      <c r="G226" s="32" t="str">
        <f t="shared" si="6"/>
        <v>1.125" PE EXTN</v>
      </c>
      <c r="H226" s="278" t="s">
        <v>470</v>
      </c>
      <c r="I226" s="32" t="s">
        <v>462</v>
      </c>
      <c r="J226" s="279">
        <v>1712</v>
      </c>
      <c r="K226" s="280">
        <v>2805338.13</v>
      </c>
      <c r="L226" s="280">
        <v>343405.87</v>
      </c>
      <c r="M226" s="280">
        <v>2461932.2599999998</v>
      </c>
      <c r="N226" s="281">
        <v>467</v>
      </c>
      <c r="O226" s="282">
        <v>529</v>
      </c>
      <c r="P226" s="280">
        <f t="shared" si="7"/>
        <v>3177781.307858672</v>
      </c>
    </row>
    <row r="227" spans="1:16" x14ac:dyDescent="0.2">
      <c r="A227" s="32" t="s">
        <v>592</v>
      </c>
      <c r="B227" s="32" t="s">
        <v>576</v>
      </c>
      <c r="C227" s="32" t="s">
        <v>577</v>
      </c>
      <c r="D227" s="32" t="s">
        <v>590</v>
      </c>
      <c r="E227" s="32" t="s">
        <v>556</v>
      </c>
      <c r="F227" s="32" t="s">
        <v>581</v>
      </c>
      <c r="G227" s="32" t="str">
        <f t="shared" si="6"/>
        <v>1.125" PE EXTN</v>
      </c>
      <c r="H227" s="278" t="s">
        <v>461</v>
      </c>
      <c r="I227" s="32" t="s">
        <v>462</v>
      </c>
      <c r="J227" s="279">
        <v>0</v>
      </c>
      <c r="K227" s="280">
        <v>6904.49</v>
      </c>
      <c r="L227" s="280">
        <v>614.62</v>
      </c>
      <c r="M227" s="280">
        <v>6289.87</v>
      </c>
      <c r="N227" s="281">
        <v>491</v>
      </c>
      <c r="O227" s="282">
        <v>529</v>
      </c>
      <c r="P227" s="280">
        <f t="shared" si="7"/>
        <v>7438.8497148676161</v>
      </c>
    </row>
    <row r="228" spans="1:16" x14ac:dyDescent="0.2">
      <c r="A228" s="32" t="s">
        <v>592</v>
      </c>
      <c r="B228" s="32" t="s">
        <v>576</v>
      </c>
      <c r="C228" s="32" t="s">
        <v>577</v>
      </c>
      <c r="D228" s="32" t="s">
        <v>590</v>
      </c>
      <c r="E228" s="32" t="s">
        <v>556</v>
      </c>
      <c r="F228" s="32" t="s">
        <v>581</v>
      </c>
      <c r="G228" s="32" t="str">
        <f t="shared" si="6"/>
        <v>1.125" PE EXTN</v>
      </c>
      <c r="H228" s="278" t="s">
        <v>461</v>
      </c>
      <c r="I228" s="32" t="s">
        <v>462</v>
      </c>
      <c r="J228" s="279">
        <v>8</v>
      </c>
      <c r="K228" s="280">
        <v>9352.49</v>
      </c>
      <c r="L228" s="280">
        <v>832.53</v>
      </c>
      <c r="M228" s="280">
        <v>8519.9599999999991</v>
      </c>
      <c r="N228" s="281">
        <v>491</v>
      </c>
      <c r="O228" s="282">
        <v>529</v>
      </c>
      <c r="P228" s="280">
        <f t="shared" si="7"/>
        <v>10076.307963340121</v>
      </c>
    </row>
    <row r="229" spans="1:16" x14ac:dyDescent="0.2">
      <c r="A229" s="32" t="s">
        <v>592</v>
      </c>
      <c r="B229" s="32" t="s">
        <v>576</v>
      </c>
      <c r="C229" s="32" t="s">
        <v>577</v>
      </c>
      <c r="D229" s="32" t="s">
        <v>590</v>
      </c>
      <c r="E229" s="32" t="s">
        <v>556</v>
      </c>
      <c r="F229" s="32" t="s">
        <v>581</v>
      </c>
      <c r="G229" s="32" t="str">
        <f t="shared" si="6"/>
        <v>1.125" PE EXTN</v>
      </c>
      <c r="H229" s="278" t="s">
        <v>461</v>
      </c>
      <c r="I229" s="32" t="s">
        <v>462</v>
      </c>
      <c r="J229" s="279">
        <v>10</v>
      </c>
      <c r="K229" s="280">
        <v>26871.91</v>
      </c>
      <c r="L229" s="280">
        <v>2392.06</v>
      </c>
      <c r="M229" s="280">
        <v>24479.85</v>
      </c>
      <c r="N229" s="281">
        <v>491</v>
      </c>
      <c r="O229" s="282">
        <v>529</v>
      </c>
      <c r="P229" s="280">
        <f t="shared" si="7"/>
        <v>28951.609755600814</v>
      </c>
    </row>
    <row r="230" spans="1:16" x14ac:dyDescent="0.2">
      <c r="A230" s="32" t="s">
        <v>592</v>
      </c>
      <c r="B230" s="32" t="s">
        <v>576</v>
      </c>
      <c r="C230" s="32" t="s">
        <v>577</v>
      </c>
      <c r="D230" s="32" t="s">
        <v>590</v>
      </c>
      <c r="E230" s="32" t="s">
        <v>556</v>
      </c>
      <c r="F230" s="32" t="s">
        <v>581</v>
      </c>
      <c r="G230" s="32" t="str">
        <f t="shared" si="6"/>
        <v>1.125" PE EXTN</v>
      </c>
      <c r="H230" s="278" t="s">
        <v>461</v>
      </c>
      <c r="I230" s="32" t="s">
        <v>462</v>
      </c>
      <c r="J230" s="279">
        <v>71</v>
      </c>
      <c r="K230" s="280">
        <v>106748.09</v>
      </c>
      <c r="L230" s="280">
        <v>9502.41</v>
      </c>
      <c r="M230" s="280">
        <v>97245.68</v>
      </c>
      <c r="N230" s="281">
        <v>491</v>
      </c>
      <c r="O230" s="282">
        <v>529</v>
      </c>
      <c r="P230" s="280">
        <f t="shared" si="7"/>
        <v>115009.65297352341</v>
      </c>
    </row>
    <row r="231" spans="1:16" x14ac:dyDescent="0.2">
      <c r="A231" s="32" t="s">
        <v>592</v>
      </c>
      <c r="B231" s="32" t="s">
        <v>576</v>
      </c>
      <c r="C231" s="32" t="s">
        <v>577</v>
      </c>
      <c r="D231" s="32" t="s">
        <v>590</v>
      </c>
      <c r="E231" s="32" t="s">
        <v>556</v>
      </c>
      <c r="F231" s="32" t="s">
        <v>581</v>
      </c>
      <c r="G231" s="32" t="str">
        <f t="shared" si="6"/>
        <v>1.125" PE EXTN</v>
      </c>
      <c r="H231" s="278" t="s">
        <v>461</v>
      </c>
      <c r="I231" s="32" t="s">
        <v>462</v>
      </c>
      <c r="J231" s="279">
        <v>381</v>
      </c>
      <c r="K231" s="280">
        <v>846223.07</v>
      </c>
      <c r="L231" s="280">
        <v>75328.33</v>
      </c>
      <c r="M231" s="280">
        <v>770894.74</v>
      </c>
      <c r="N231" s="281">
        <v>491</v>
      </c>
      <c r="O231" s="282">
        <v>529</v>
      </c>
      <c r="P231" s="280">
        <f t="shared" si="7"/>
        <v>911714.87582484714</v>
      </c>
    </row>
    <row r="232" spans="1:16" x14ac:dyDescent="0.2">
      <c r="A232" s="32" t="s">
        <v>592</v>
      </c>
      <c r="B232" s="32" t="s">
        <v>576</v>
      </c>
      <c r="C232" s="32" t="s">
        <v>577</v>
      </c>
      <c r="D232" s="32" t="s">
        <v>590</v>
      </c>
      <c r="E232" s="32" t="s">
        <v>556</v>
      </c>
      <c r="F232" s="32" t="s">
        <v>581</v>
      </c>
      <c r="G232" s="32" t="str">
        <f t="shared" si="6"/>
        <v>1.125" PE EXTN</v>
      </c>
      <c r="H232" s="278" t="s">
        <v>461</v>
      </c>
      <c r="I232" s="32" t="s">
        <v>462</v>
      </c>
      <c r="J232" s="279">
        <v>519</v>
      </c>
      <c r="K232" s="280">
        <v>1209721.57</v>
      </c>
      <c r="L232" s="280">
        <v>107685.92</v>
      </c>
      <c r="M232" s="280">
        <v>1102035.6499999999</v>
      </c>
      <c r="N232" s="281">
        <v>491</v>
      </c>
      <c r="O232" s="282">
        <v>529</v>
      </c>
      <c r="P232" s="280">
        <f t="shared" si="7"/>
        <v>1303345.6426272911</v>
      </c>
    </row>
    <row r="233" spans="1:16" x14ac:dyDescent="0.2">
      <c r="A233" s="32" t="s">
        <v>592</v>
      </c>
      <c r="B233" s="32" t="s">
        <v>576</v>
      </c>
      <c r="C233" s="32" t="s">
        <v>577</v>
      </c>
      <c r="D233" s="32" t="s">
        <v>590</v>
      </c>
      <c r="E233" s="32" t="s">
        <v>556</v>
      </c>
      <c r="F233" s="32" t="s">
        <v>581</v>
      </c>
      <c r="G233" s="32" t="str">
        <f t="shared" si="6"/>
        <v>1.125" PE EXTN</v>
      </c>
      <c r="H233" s="278" t="s">
        <v>461</v>
      </c>
      <c r="I233" s="32" t="s">
        <v>462</v>
      </c>
      <c r="J233" s="279">
        <v>662</v>
      </c>
      <c r="K233" s="280">
        <v>231138.68</v>
      </c>
      <c r="L233" s="280">
        <v>20575.3</v>
      </c>
      <c r="M233" s="280">
        <v>210563.38</v>
      </c>
      <c r="N233" s="281">
        <v>491</v>
      </c>
      <c r="O233" s="282">
        <v>529</v>
      </c>
      <c r="P233" s="280">
        <f t="shared" si="7"/>
        <v>249027.21327902237</v>
      </c>
    </row>
    <row r="234" spans="1:16" x14ac:dyDescent="0.2">
      <c r="A234" s="32" t="s">
        <v>592</v>
      </c>
      <c r="B234" s="32" t="s">
        <v>576</v>
      </c>
      <c r="C234" s="32" t="s">
        <v>577</v>
      </c>
      <c r="D234" s="32" t="s">
        <v>590</v>
      </c>
      <c r="E234" s="32" t="s">
        <v>556</v>
      </c>
      <c r="F234" s="32" t="s">
        <v>581</v>
      </c>
      <c r="G234" s="32" t="str">
        <f t="shared" si="6"/>
        <v>1.125" PE EXTN</v>
      </c>
      <c r="H234" s="278" t="s">
        <v>461</v>
      </c>
      <c r="I234" s="32" t="s">
        <v>462</v>
      </c>
      <c r="J234" s="279">
        <v>2299</v>
      </c>
      <c r="K234" s="280">
        <v>5460188.2999999998</v>
      </c>
      <c r="L234" s="280">
        <v>486050.18</v>
      </c>
      <c r="M234" s="280">
        <v>4974138.12</v>
      </c>
      <c r="N234" s="281">
        <v>491</v>
      </c>
      <c r="O234" s="282">
        <v>529</v>
      </c>
      <c r="P234" s="280">
        <f t="shared" si="7"/>
        <v>5882769.0645621177</v>
      </c>
    </row>
    <row r="235" spans="1:16" x14ac:dyDescent="0.2">
      <c r="A235" s="32" t="s">
        <v>592</v>
      </c>
      <c r="B235" s="32" t="s">
        <v>576</v>
      </c>
      <c r="C235" s="32" t="s">
        <v>577</v>
      </c>
      <c r="D235" s="32" t="s">
        <v>590</v>
      </c>
      <c r="E235" s="32" t="s">
        <v>556</v>
      </c>
      <c r="F235" s="32" t="s">
        <v>581</v>
      </c>
      <c r="G235" s="32" t="str">
        <f t="shared" si="6"/>
        <v>1.125" PE EXTN</v>
      </c>
      <c r="H235" s="278" t="s">
        <v>468</v>
      </c>
      <c r="I235" s="32" t="s">
        <v>462</v>
      </c>
      <c r="J235" s="279">
        <v>2</v>
      </c>
      <c r="K235" s="280">
        <v>2383.34</v>
      </c>
      <c r="L235" s="280">
        <v>131.80000000000001</v>
      </c>
      <c r="M235" s="280">
        <v>2251.54</v>
      </c>
      <c r="N235" s="281">
        <v>517</v>
      </c>
      <c r="O235" s="282">
        <v>529</v>
      </c>
      <c r="P235" s="280">
        <f t="shared" si="7"/>
        <v>2438.6593036750487</v>
      </c>
    </row>
    <row r="236" spans="1:16" x14ac:dyDescent="0.2">
      <c r="A236" s="32" t="s">
        <v>592</v>
      </c>
      <c r="B236" s="32" t="s">
        <v>576</v>
      </c>
      <c r="C236" s="32" t="s">
        <v>577</v>
      </c>
      <c r="D236" s="32" t="s">
        <v>590</v>
      </c>
      <c r="E236" s="32" t="s">
        <v>556</v>
      </c>
      <c r="F236" s="32" t="s">
        <v>581</v>
      </c>
      <c r="G236" s="32" t="str">
        <f t="shared" si="6"/>
        <v>1.125" PE EXTN</v>
      </c>
      <c r="H236" s="278" t="s">
        <v>468</v>
      </c>
      <c r="I236" s="32" t="s">
        <v>462</v>
      </c>
      <c r="J236" s="279">
        <v>6</v>
      </c>
      <c r="K236" s="280">
        <v>13979.31</v>
      </c>
      <c r="L236" s="280">
        <v>773.06</v>
      </c>
      <c r="M236" s="280">
        <v>13206.25</v>
      </c>
      <c r="N236" s="281">
        <v>517</v>
      </c>
      <c r="O236" s="282">
        <v>529</v>
      </c>
      <c r="P236" s="280">
        <f t="shared" si="7"/>
        <v>14303.781411992264</v>
      </c>
    </row>
    <row r="237" spans="1:16" x14ac:dyDescent="0.2">
      <c r="A237" s="32" t="s">
        <v>592</v>
      </c>
      <c r="B237" s="32" t="s">
        <v>576</v>
      </c>
      <c r="C237" s="32" t="s">
        <v>577</v>
      </c>
      <c r="D237" s="32" t="s">
        <v>590</v>
      </c>
      <c r="E237" s="32" t="s">
        <v>556</v>
      </c>
      <c r="F237" s="32" t="s">
        <v>581</v>
      </c>
      <c r="G237" s="32" t="str">
        <f t="shared" si="6"/>
        <v>1.125" PE EXTN</v>
      </c>
      <c r="H237" s="278" t="s">
        <v>468</v>
      </c>
      <c r="I237" s="32" t="s">
        <v>462</v>
      </c>
      <c r="J237" s="279">
        <v>28</v>
      </c>
      <c r="K237" s="280">
        <v>56522.36</v>
      </c>
      <c r="L237" s="280">
        <v>3125.68</v>
      </c>
      <c r="M237" s="280">
        <v>53396.68</v>
      </c>
      <c r="N237" s="281">
        <v>517</v>
      </c>
      <c r="O237" s="282">
        <v>529</v>
      </c>
      <c r="P237" s="280">
        <f t="shared" si="7"/>
        <v>57834.29098646035</v>
      </c>
    </row>
    <row r="238" spans="1:16" x14ac:dyDescent="0.2">
      <c r="A238" s="32" t="s">
        <v>592</v>
      </c>
      <c r="B238" s="32" t="s">
        <v>576</v>
      </c>
      <c r="C238" s="32" t="s">
        <v>577</v>
      </c>
      <c r="D238" s="32" t="s">
        <v>590</v>
      </c>
      <c r="E238" s="32" t="s">
        <v>556</v>
      </c>
      <c r="F238" s="32" t="s">
        <v>581</v>
      </c>
      <c r="G238" s="32" t="str">
        <f t="shared" si="6"/>
        <v>1.125" PE EXTN</v>
      </c>
      <c r="H238" s="278" t="s">
        <v>468</v>
      </c>
      <c r="I238" s="32" t="s">
        <v>462</v>
      </c>
      <c r="J238" s="279">
        <v>85</v>
      </c>
      <c r="K238" s="280">
        <v>217366.12</v>
      </c>
      <c r="L238" s="280">
        <v>12020.33</v>
      </c>
      <c r="M238" s="280">
        <v>205345.79</v>
      </c>
      <c r="N238" s="281">
        <v>517</v>
      </c>
      <c r="O238" s="282">
        <v>529</v>
      </c>
      <c r="P238" s="280">
        <f t="shared" si="7"/>
        <v>222411.36843326886</v>
      </c>
    </row>
    <row r="239" spans="1:16" x14ac:dyDescent="0.2">
      <c r="A239" s="32" t="s">
        <v>592</v>
      </c>
      <c r="B239" s="32" t="s">
        <v>576</v>
      </c>
      <c r="C239" s="32" t="s">
        <v>577</v>
      </c>
      <c r="D239" s="32" t="s">
        <v>590</v>
      </c>
      <c r="E239" s="32" t="s">
        <v>556</v>
      </c>
      <c r="F239" s="32" t="s">
        <v>581</v>
      </c>
      <c r="G239" s="32" t="str">
        <f t="shared" si="6"/>
        <v>1.125" PE EXTN</v>
      </c>
      <c r="H239" s="278" t="s">
        <v>468</v>
      </c>
      <c r="I239" s="32" t="s">
        <v>462</v>
      </c>
      <c r="J239" s="279">
        <v>375</v>
      </c>
      <c r="K239" s="280">
        <v>1016070.29</v>
      </c>
      <c r="L239" s="280">
        <v>56188.63</v>
      </c>
      <c r="M239" s="280">
        <v>959881.66</v>
      </c>
      <c r="N239" s="281">
        <v>517</v>
      </c>
      <c r="O239" s="282">
        <v>529</v>
      </c>
      <c r="P239" s="280">
        <f t="shared" si="7"/>
        <v>1039654.1265183754</v>
      </c>
    </row>
    <row r="240" spans="1:16" x14ac:dyDescent="0.2">
      <c r="A240" s="32" t="s">
        <v>592</v>
      </c>
      <c r="B240" s="32" t="s">
        <v>576</v>
      </c>
      <c r="C240" s="32" t="s">
        <v>577</v>
      </c>
      <c r="D240" s="32" t="s">
        <v>590</v>
      </c>
      <c r="E240" s="32" t="s">
        <v>556</v>
      </c>
      <c r="F240" s="32" t="s">
        <v>581</v>
      </c>
      <c r="G240" s="32" t="str">
        <f t="shared" si="6"/>
        <v>1.125" PE EXTN</v>
      </c>
      <c r="H240" s="278" t="s">
        <v>468</v>
      </c>
      <c r="I240" s="32" t="s">
        <v>462</v>
      </c>
      <c r="J240" s="279">
        <v>377</v>
      </c>
      <c r="K240" s="280">
        <v>987852.53</v>
      </c>
      <c r="L240" s="280">
        <v>54628.19</v>
      </c>
      <c r="M240" s="280">
        <v>933224.34</v>
      </c>
      <c r="N240" s="281">
        <v>517</v>
      </c>
      <c r="O240" s="282">
        <v>529</v>
      </c>
      <c r="P240" s="280">
        <f t="shared" si="7"/>
        <v>1010781.4088394585</v>
      </c>
    </row>
    <row r="241" spans="1:16" x14ac:dyDescent="0.2">
      <c r="A241" s="32" t="s">
        <v>592</v>
      </c>
      <c r="B241" s="32" t="s">
        <v>576</v>
      </c>
      <c r="C241" s="32" t="s">
        <v>577</v>
      </c>
      <c r="D241" s="32" t="s">
        <v>590</v>
      </c>
      <c r="E241" s="32" t="s">
        <v>556</v>
      </c>
      <c r="F241" s="32" t="s">
        <v>581</v>
      </c>
      <c r="G241" s="32" t="str">
        <f t="shared" si="6"/>
        <v>1.125" PE EXTN</v>
      </c>
      <c r="H241" s="278" t="s">
        <v>468</v>
      </c>
      <c r="I241" s="32" t="s">
        <v>462</v>
      </c>
      <c r="J241" s="279">
        <v>2031</v>
      </c>
      <c r="K241" s="280">
        <v>6531884.1399999997</v>
      </c>
      <c r="L241" s="280">
        <v>361212.8</v>
      </c>
      <c r="M241" s="280">
        <v>6170671.3399999999</v>
      </c>
      <c r="N241" s="281">
        <v>517</v>
      </c>
      <c r="O241" s="282">
        <v>529</v>
      </c>
      <c r="P241" s="280">
        <f t="shared" si="7"/>
        <v>6683494.6035976792</v>
      </c>
    </row>
    <row r="242" spans="1:16" x14ac:dyDescent="0.2">
      <c r="A242" s="32" t="s">
        <v>592</v>
      </c>
      <c r="B242" s="32" t="s">
        <v>576</v>
      </c>
      <c r="C242" s="32" t="s">
        <v>577</v>
      </c>
      <c r="D242" s="32" t="s">
        <v>590</v>
      </c>
      <c r="E242" s="32" t="s">
        <v>556</v>
      </c>
      <c r="F242" s="32" t="s">
        <v>581</v>
      </c>
      <c r="G242" s="32" t="str">
        <f t="shared" si="6"/>
        <v>1.125" PE EXTN</v>
      </c>
      <c r="H242" s="278" t="s">
        <v>469</v>
      </c>
      <c r="I242" s="32" t="s">
        <v>462</v>
      </c>
      <c r="J242" s="279">
        <v>1</v>
      </c>
      <c r="K242" s="280">
        <v>2518.66</v>
      </c>
      <c r="L242" s="280">
        <v>49.52</v>
      </c>
      <c r="M242" s="280">
        <v>2469.14</v>
      </c>
      <c r="N242" s="281">
        <v>529</v>
      </c>
      <c r="O242" s="282">
        <v>529</v>
      </c>
      <c r="P242" s="280">
        <f t="shared" si="7"/>
        <v>2518.66</v>
      </c>
    </row>
    <row r="243" spans="1:16" x14ac:dyDescent="0.2">
      <c r="A243" s="32" t="s">
        <v>592</v>
      </c>
      <c r="B243" s="32" t="s">
        <v>576</v>
      </c>
      <c r="C243" s="32" t="s">
        <v>577</v>
      </c>
      <c r="D243" s="32" t="s">
        <v>590</v>
      </c>
      <c r="E243" s="32" t="s">
        <v>556</v>
      </c>
      <c r="F243" s="32" t="s">
        <v>581</v>
      </c>
      <c r="G243" s="32" t="str">
        <f t="shared" si="6"/>
        <v>1.125" PE EXTN</v>
      </c>
      <c r="H243" s="278" t="s">
        <v>469</v>
      </c>
      <c r="I243" s="32" t="s">
        <v>462</v>
      </c>
      <c r="J243" s="279">
        <v>4</v>
      </c>
      <c r="K243" s="280">
        <v>14657.17</v>
      </c>
      <c r="L243" s="280">
        <v>288.18</v>
      </c>
      <c r="M243" s="280">
        <v>14368.99</v>
      </c>
      <c r="N243" s="281">
        <v>529</v>
      </c>
      <c r="O243" s="282">
        <v>529</v>
      </c>
      <c r="P243" s="280">
        <f t="shared" si="7"/>
        <v>14657.17</v>
      </c>
    </row>
    <row r="244" spans="1:16" x14ac:dyDescent="0.2">
      <c r="A244" s="32" t="s">
        <v>592</v>
      </c>
      <c r="B244" s="32" t="s">
        <v>576</v>
      </c>
      <c r="C244" s="32" t="s">
        <v>577</v>
      </c>
      <c r="D244" s="32" t="s">
        <v>590</v>
      </c>
      <c r="E244" s="32" t="s">
        <v>556</v>
      </c>
      <c r="F244" s="32" t="s">
        <v>581</v>
      </c>
      <c r="G244" s="32" t="str">
        <f t="shared" si="6"/>
        <v>1.125" PE EXTN</v>
      </c>
      <c r="H244" s="278" t="s">
        <v>469</v>
      </c>
      <c r="I244" s="32" t="s">
        <v>462</v>
      </c>
      <c r="J244" s="279">
        <v>23</v>
      </c>
      <c r="K244" s="280">
        <v>64165.14</v>
      </c>
      <c r="L244" s="280">
        <v>1261.58</v>
      </c>
      <c r="M244" s="280">
        <v>62903.56</v>
      </c>
      <c r="N244" s="281">
        <v>529</v>
      </c>
      <c r="O244" s="282">
        <v>529</v>
      </c>
      <c r="P244" s="280">
        <f t="shared" si="7"/>
        <v>64165.14</v>
      </c>
    </row>
    <row r="245" spans="1:16" x14ac:dyDescent="0.2">
      <c r="A245" s="32" t="s">
        <v>592</v>
      </c>
      <c r="B245" s="32" t="s">
        <v>576</v>
      </c>
      <c r="C245" s="32" t="s">
        <v>577</v>
      </c>
      <c r="D245" s="32" t="s">
        <v>590</v>
      </c>
      <c r="E245" s="32" t="s">
        <v>556</v>
      </c>
      <c r="F245" s="32" t="s">
        <v>581</v>
      </c>
      <c r="G245" s="32" t="str">
        <f t="shared" si="6"/>
        <v>1.125" PE EXTN</v>
      </c>
      <c r="H245" s="278" t="s">
        <v>469</v>
      </c>
      <c r="I245" s="32" t="s">
        <v>462</v>
      </c>
      <c r="J245" s="279">
        <v>130</v>
      </c>
      <c r="K245" s="280">
        <v>310275.24</v>
      </c>
      <c r="L245" s="280">
        <v>6100.45</v>
      </c>
      <c r="M245" s="280">
        <v>304174.78999999998</v>
      </c>
      <c r="N245" s="281">
        <v>529</v>
      </c>
      <c r="O245" s="282">
        <v>529</v>
      </c>
      <c r="P245" s="280">
        <f t="shared" si="7"/>
        <v>310275.24</v>
      </c>
    </row>
    <row r="246" spans="1:16" x14ac:dyDescent="0.2">
      <c r="A246" s="32" t="s">
        <v>592</v>
      </c>
      <c r="B246" s="32" t="s">
        <v>576</v>
      </c>
      <c r="C246" s="32" t="s">
        <v>577</v>
      </c>
      <c r="D246" s="32" t="s">
        <v>590</v>
      </c>
      <c r="E246" s="32" t="s">
        <v>556</v>
      </c>
      <c r="F246" s="32" t="s">
        <v>581</v>
      </c>
      <c r="G246" s="32" t="str">
        <f t="shared" si="6"/>
        <v>1.125" PE EXTN</v>
      </c>
      <c r="H246" s="278" t="s">
        <v>469</v>
      </c>
      <c r="I246" s="32" t="s">
        <v>462</v>
      </c>
      <c r="J246" s="279">
        <v>400</v>
      </c>
      <c r="K246" s="280">
        <v>1079767.98</v>
      </c>
      <c r="L246" s="280">
        <v>21229.759999999998</v>
      </c>
      <c r="M246" s="280">
        <v>1058538.22</v>
      </c>
      <c r="N246" s="281">
        <v>529</v>
      </c>
      <c r="O246" s="282">
        <v>529</v>
      </c>
      <c r="P246" s="280">
        <f t="shared" si="7"/>
        <v>1079767.98</v>
      </c>
    </row>
    <row r="247" spans="1:16" x14ac:dyDescent="0.2">
      <c r="A247" s="32" t="s">
        <v>592</v>
      </c>
      <c r="B247" s="32" t="s">
        <v>576</v>
      </c>
      <c r="C247" s="32" t="s">
        <v>577</v>
      </c>
      <c r="D247" s="32" t="s">
        <v>590</v>
      </c>
      <c r="E247" s="32" t="s">
        <v>556</v>
      </c>
      <c r="F247" s="32" t="s">
        <v>581</v>
      </c>
      <c r="G247" s="32" t="str">
        <f t="shared" si="6"/>
        <v>1.125" PE EXTN</v>
      </c>
      <c r="H247" s="278" t="s">
        <v>469</v>
      </c>
      <c r="I247" s="32" t="s">
        <v>462</v>
      </c>
      <c r="J247" s="279">
        <v>678</v>
      </c>
      <c r="K247" s="280">
        <v>1542033.19</v>
      </c>
      <c r="L247" s="280">
        <v>30318.55</v>
      </c>
      <c r="M247" s="280">
        <v>1511714.64</v>
      </c>
      <c r="N247" s="281">
        <v>529</v>
      </c>
      <c r="O247" s="282">
        <v>529</v>
      </c>
      <c r="P247" s="280">
        <f t="shared" si="7"/>
        <v>1542033.19</v>
      </c>
    </row>
    <row r="248" spans="1:16" x14ac:dyDescent="0.2">
      <c r="A248" s="32" t="s">
        <v>592</v>
      </c>
      <c r="B248" s="32" t="s">
        <v>576</v>
      </c>
      <c r="C248" s="32" t="s">
        <v>577</v>
      </c>
      <c r="D248" s="32" t="s">
        <v>590</v>
      </c>
      <c r="E248" s="32" t="s">
        <v>556</v>
      </c>
      <c r="F248" s="32" t="s">
        <v>581</v>
      </c>
      <c r="G248" s="32" t="str">
        <f t="shared" si="6"/>
        <v>1.125" PE EXTN</v>
      </c>
      <c r="H248" s="278" t="s">
        <v>469</v>
      </c>
      <c r="I248" s="32" t="s">
        <v>462</v>
      </c>
      <c r="J248" s="279">
        <v>1702</v>
      </c>
      <c r="K248" s="280">
        <v>4883457.63</v>
      </c>
      <c r="L248" s="280">
        <v>96015.66</v>
      </c>
      <c r="M248" s="280">
        <v>4787441.97</v>
      </c>
      <c r="N248" s="281">
        <v>529</v>
      </c>
      <c r="O248" s="282">
        <v>529</v>
      </c>
      <c r="P248" s="280">
        <f t="shared" si="7"/>
        <v>4883457.63</v>
      </c>
    </row>
    <row r="249" spans="1:16" x14ac:dyDescent="0.2">
      <c r="A249" s="32" t="s">
        <v>593</v>
      </c>
      <c r="B249" s="32" t="s">
        <v>576</v>
      </c>
      <c r="C249" s="32" t="s">
        <v>577</v>
      </c>
      <c r="D249" s="32" t="s">
        <v>590</v>
      </c>
      <c r="E249" s="32" t="s">
        <v>556</v>
      </c>
      <c r="F249" s="32" t="s">
        <v>581</v>
      </c>
      <c r="G249" s="32" t="str">
        <f t="shared" si="6"/>
        <v>1.125" PE EXTN</v>
      </c>
      <c r="H249" s="278" t="s">
        <v>524</v>
      </c>
      <c r="I249" s="32" t="s">
        <v>462</v>
      </c>
      <c r="J249" s="279">
        <v>109</v>
      </c>
      <c r="K249" s="280">
        <v>4726.49</v>
      </c>
      <c r="L249" s="280">
        <v>4668.5600000000004</v>
      </c>
      <c r="M249" s="280">
        <v>57.93</v>
      </c>
      <c r="N249" s="281">
        <v>131</v>
      </c>
      <c r="O249" s="282">
        <v>529</v>
      </c>
      <c r="P249" s="280">
        <f t="shared" si="7"/>
        <v>19086.360381679388</v>
      </c>
    </row>
    <row r="250" spans="1:16" x14ac:dyDescent="0.2">
      <c r="A250" s="32" t="s">
        <v>593</v>
      </c>
      <c r="B250" s="32" t="s">
        <v>576</v>
      </c>
      <c r="C250" s="32" t="s">
        <v>577</v>
      </c>
      <c r="D250" s="32" t="s">
        <v>590</v>
      </c>
      <c r="E250" s="32" t="s">
        <v>556</v>
      </c>
      <c r="F250" s="32" t="s">
        <v>581</v>
      </c>
      <c r="G250" s="32" t="str">
        <f t="shared" si="6"/>
        <v>1.125" PE EXTN</v>
      </c>
      <c r="H250" s="278" t="s">
        <v>522</v>
      </c>
      <c r="I250" s="32" t="s">
        <v>462</v>
      </c>
      <c r="J250" s="279">
        <v>286</v>
      </c>
      <c r="K250" s="280">
        <v>121807.84</v>
      </c>
      <c r="L250" s="280">
        <v>119206.83</v>
      </c>
      <c r="M250" s="280">
        <v>2601.0100000000002</v>
      </c>
      <c r="N250" s="281">
        <v>141</v>
      </c>
      <c r="O250" s="282">
        <v>529</v>
      </c>
      <c r="P250" s="280">
        <f t="shared" si="7"/>
        <v>456995.37134751771</v>
      </c>
    </row>
    <row r="251" spans="1:16" x14ac:dyDescent="0.2">
      <c r="A251" s="32" t="s">
        <v>593</v>
      </c>
      <c r="B251" s="32" t="s">
        <v>576</v>
      </c>
      <c r="C251" s="32" t="s">
        <v>577</v>
      </c>
      <c r="D251" s="32" t="s">
        <v>590</v>
      </c>
      <c r="E251" s="32" t="s">
        <v>556</v>
      </c>
      <c r="F251" s="32" t="s">
        <v>581</v>
      </c>
      <c r="G251" s="32" t="str">
        <f t="shared" si="6"/>
        <v>1.125" PE EXTN</v>
      </c>
      <c r="H251" s="278" t="s">
        <v>526</v>
      </c>
      <c r="I251" s="32" t="s">
        <v>462</v>
      </c>
      <c r="J251" s="279">
        <v>250</v>
      </c>
      <c r="K251" s="280">
        <v>104014.31</v>
      </c>
      <c r="L251" s="280">
        <v>100739.01</v>
      </c>
      <c r="M251" s="280">
        <v>3275.3</v>
      </c>
      <c r="N251" s="281">
        <v>149</v>
      </c>
      <c r="O251" s="282">
        <v>529</v>
      </c>
      <c r="P251" s="280">
        <f t="shared" si="7"/>
        <v>369285.70463087247</v>
      </c>
    </row>
    <row r="252" spans="1:16" x14ac:dyDescent="0.2">
      <c r="A252" s="32" t="s">
        <v>593</v>
      </c>
      <c r="B252" s="32" t="s">
        <v>576</v>
      </c>
      <c r="C252" s="32" t="s">
        <v>577</v>
      </c>
      <c r="D252" s="32" t="s">
        <v>590</v>
      </c>
      <c r="E252" s="32" t="s">
        <v>556</v>
      </c>
      <c r="F252" s="32" t="s">
        <v>581</v>
      </c>
      <c r="G252" s="32" t="str">
        <f t="shared" si="6"/>
        <v>1.125" PE EXTN</v>
      </c>
      <c r="H252" s="278" t="s">
        <v>486</v>
      </c>
      <c r="I252" s="32" t="s">
        <v>462</v>
      </c>
      <c r="J252" s="279">
        <v>410</v>
      </c>
      <c r="K252" s="280">
        <v>156804.60999999999</v>
      </c>
      <c r="L252" s="280">
        <v>150102.70000000001</v>
      </c>
      <c r="M252" s="280">
        <v>6701.91</v>
      </c>
      <c r="N252" s="281">
        <v>160</v>
      </c>
      <c r="O252" s="282">
        <v>529</v>
      </c>
      <c r="P252" s="280">
        <f t="shared" si="7"/>
        <v>518435.24181249994</v>
      </c>
    </row>
    <row r="253" spans="1:16" x14ac:dyDescent="0.2">
      <c r="A253" s="32" t="s">
        <v>593</v>
      </c>
      <c r="B253" s="32" t="s">
        <v>576</v>
      </c>
      <c r="C253" s="32" t="s">
        <v>577</v>
      </c>
      <c r="D253" s="32" t="s">
        <v>590</v>
      </c>
      <c r="E253" s="32" t="s">
        <v>556</v>
      </c>
      <c r="F253" s="32" t="s">
        <v>581</v>
      </c>
      <c r="G253" s="32" t="str">
        <f t="shared" si="6"/>
        <v>1.125" PE EXTN</v>
      </c>
      <c r="H253" s="278" t="s">
        <v>519</v>
      </c>
      <c r="I253" s="32" t="s">
        <v>462</v>
      </c>
      <c r="J253" s="279">
        <v>790</v>
      </c>
      <c r="K253" s="280">
        <v>329573.24</v>
      </c>
      <c r="L253" s="280">
        <v>311385.33</v>
      </c>
      <c r="M253" s="280">
        <v>18187.91</v>
      </c>
      <c r="N253" s="281">
        <v>172</v>
      </c>
      <c r="O253" s="282">
        <v>529</v>
      </c>
      <c r="P253" s="280">
        <f t="shared" si="7"/>
        <v>1013629.3253488372</v>
      </c>
    </row>
    <row r="254" spans="1:16" x14ac:dyDescent="0.2">
      <c r="A254" s="32" t="s">
        <v>593</v>
      </c>
      <c r="B254" s="32" t="s">
        <v>576</v>
      </c>
      <c r="C254" s="32" t="s">
        <v>577</v>
      </c>
      <c r="D254" s="32" t="s">
        <v>590</v>
      </c>
      <c r="E254" s="32" t="s">
        <v>556</v>
      </c>
      <c r="F254" s="32" t="s">
        <v>581</v>
      </c>
      <c r="G254" s="32" t="str">
        <f t="shared" si="6"/>
        <v>1.125" PE EXTN</v>
      </c>
      <c r="H254" s="278" t="s">
        <v>521</v>
      </c>
      <c r="I254" s="32" t="s">
        <v>462</v>
      </c>
      <c r="J254" s="279">
        <v>971</v>
      </c>
      <c r="K254" s="280">
        <v>528233.26</v>
      </c>
      <c r="L254" s="280">
        <v>491839.07</v>
      </c>
      <c r="M254" s="280">
        <v>36394.19</v>
      </c>
      <c r="N254" s="281">
        <v>192</v>
      </c>
      <c r="O254" s="282">
        <v>529</v>
      </c>
      <c r="P254" s="280">
        <f t="shared" si="7"/>
        <v>1455392.6798958334</v>
      </c>
    </row>
    <row r="255" spans="1:16" x14ac:dyDescent="0.2">
      <c r="A255" s="32" t="s">
        <v>593</v>
      </c>
      <c r="B255" s="32" t="s">
        <v>576</v>
      </c>
      <c r="C255" s="32" t="s">
        <v>577</v>
      </c>
      <c r="D255" s="32" t="s">
        <v>590</v>
      </c>
      <c r="E255" s="32" t="s">
        <v>556</v>
      </c>
      <c r="F255" s="32" t="s">
        <v>581</v>
      </c>
      <c r="G255" s="32" t="str">
        <f t="shared" si="6"/>
        <v>1.125" PE EXTN</v>
      </c>
      <c r="H255" s="278" t="s">
        <v>520</v>
      </c>
      <c r="I255" s="32" t="s">
        <v>462</v>
      </c>
      <c r="J255" s="279">
        <v>619</v>
      </c>
      <c r="K255" s="280">
        <v>463095.51</v>
      </c>
      <c r="L255" s="280">
        <v>424222.25</v>
      </c>
      <c r="M255" s="280">
        <v>38873.26</v>
      </c>
      <c r="N255" s="281">
        <v>216</v>
      </c>
      <c r="O255" s="282">
        <v>529</v>
      </c>
      <c r="P255" s="280">
        <f t="shared" si="7"/>
        <v>1134155.2073611112</v>
      </c>
    </row>
    <row r="256" spans="1:16" x14ac:dyDescent="0.2">
      <c r="A256" s="32" t="s">
        <v>593</v>
      </c>
      <c r="B256" s="32" t="s">
        <v>576</v>
      </c>
      <c r="C256" s="32" t="s">
        <v>577</v>
      </c>
      <c r="D256" s="32" t="s">
        <v>590</v>
      </c>
      <c r="E256" s="32" t="s">
        <v>556</v>
      </c>
      <c r="F256" s="32" t="s">
        <v>581</v>
      </c>
      <c r="G256" s="32" t="str">
        <f t="shared" si="6"/>
        <v>1.125" PE EXTN</v>
      </c>
      <c r="H256" s="278" t="s">
        <v>518</v>
      </c>
      <c r="I256" s="32" t="s">
        <v>462</v>
      </c>
      <c r="J256" s="279">
        <v>623</v>
      </c>
      <c r="K256" s="280">
        <v>376164.13</v>
      </c>
      <c r="L256" s="280">
        <v>338404.76</v>
      </c>
      <c r="M256" s="280">
        <v>37759.370000000003</v>
      </c>
      <c r="N256" s="281">
        <v>238</v>
      </c>
      <c r="O256" s="282">
        <v>529</v>
      </c>
      <c r="P256" s="280">
        <f t="shared" si="7"/>
        <v>836095.90239495807</v>
      </c>
    </row>
    <row r="257" spans="1:16" x14ac:dyDescent="0.2">
      <c r="A257" s="32" t="s">
        <v>593</v>
      </c>
      <c r="B257" s="32" t="s">
        <v>576</v>
      </c>
      <c r="C257" s="32" t="s">
        <v>577</v>
      </c>
      <c r="D257" s="32" t="s">
        <v>590</v>
      </c>
      <c r="E257" s="32" t="s">
        <v>556</v>
      </c>
      <c r="F257" s="32" t="s">
        <v>581</v>
      </c>
      <c r="G257" s="32" t="str">
        <f t="shared" si="6"/>
        <v>1.125" PE EXTN</v>
      </c>
      <c r="H257" s="278" t="s">
        <v>517</v>
      </c>
      <c r="I257" s="32" t="s">
        <v>462</v>
      </c>
      <c r="J257" s="279">
        <v>577</v>
      </c>
      <c r="K257" s="280">
        <v>473133.75</v>
      </c>
      <c r="L257" s="280">
        <v>417181.36</v>
      </c>
      <c r="M257" s="280">
        <v>55952.39</v>
      </c>
      <c r="N257" s="281">
        <v>249</v>
      </c>
      <c r="O257" s="282">
        <v>529</v>
      </c>
      <c r="P257" s="280">
        <f t="shared" si="7"/>
        <v>1005171.701807229</v>
      </c>
    </row>
    <row r="258" spans="1:16" x14ac:dyDescent="0.2">
      <c r="A258" s="32" t="s">
        <v>593</v>
      </c>
      <c r="B258" s="32" t="s">
        <v>576</v>
      </c>
      <c r="C258" s="32" t="s">
        <v>577</v>
      </c>
      <c r="D258" s="32" t="s">
        <v>590</v>
      </c>
      <c r="E258" s="32" t="s">
        <v>556</v>
      </c>
      <c r="F258" s="32" t="s">
        <v>581</v>
      </c>
      <c r="G258" s="32" t="str">
        <f t="shared" ref="G258:G321" si="8">D258&amp;" "&amp;E258&amp;" "&amp;F258</f>
        <v>1.125" PE EXTN</v>
      </c>
      <c r="H258" s="278" t="s">
        <v>463</v>
      </c>
      <c r="I258" s="32" t="s">
        <v>462</v>
      </c>
      <c r="J258" s="279">
        <v>459</v>
      </c>
      <c r="K258" s="280">
        <v>374159.15</v>
      </c>
      <c r="L258" s="280">
        <v>322663.33</v>
      </c>
      <c r="M258" s="280">
        <v>51495.82</v>
      </c>
      <c r="N258" s="281">
        <v>258</v>
      </c>
      <c r="O258" s="282">
        <v>529</v>
      </c>
      <c r="P258" s="280">
        <f t="shared" ref="P258:P321" si="9">+(O258/N258)*K258</f>
        <v>767171.28042635671</v>
      </c>
    </row>
    <row r="259" spans="1:16" x14ac:dyDescent="0.2">
      <c r="A259" s="32" t="s">
        <v>593</v>
      </c>
      <c r="B259" s="32" t="s">
        <v>576</v>
      </c>
      <c r="C259" s="32" t="s">
        <v>577</v>
      </c>
      <c r="D259" s="32" t="s">
        <v>590</v>
      </c>
      <c r="E259" s="32" t="s">
        <v>556</v>
      </c>
      <c r="F259" s="32" t="s">
        <v>581</v>
      </c>
      <c r="G259" s="32" t="str">
        <f t="shared" si="8"/>
        <v>1.125" PE EXTN</v>
      </c>
      <c r="H259" s="278" t="s">
        <v>464</v>
      </c>
      <c r="I259" s="32" t="s">
        <v>462</v>
      </c>
      <c r="J259" s="279">
        <v>550</v>
      </c>
      <c r="K259" s="280">
        <v>434277.32</v>
      </c>
      <c r="L259" s="280">
        <v>365437.67</v>
      </c>
      <c r="M259" s="280">
        <v>68839.649999999994</v>
      </c>
      <c r="N259" s="281">
        <v>263</v>
      </c>
      <c r="O259" s="282">
        <v>529</v>
      </c>
      <c r="P259" s="280">
        <f t="shared" si="9"/>
        <v>873508.37368821295</v>
      </c>
    </row>
    <row r="260" spans="1:16" x14ac:dyDescent="0.2">
      <c r="A260" s="32" t="s">
        <v>593</v>
      </c>
      <c r="B260" s="32" t="s">
        <v>576</v>
      </c>
      <c r="C260" s="32" t="s">
        <v>577</v>
      </c>
      <c r="D260" s="32" t="s">
        <v>590</v>
      </c>
      <c r="E260" s="32" t="s">
        <v>556</v>
      </c>
      <c r="F260" s="32" t="s">
        <v>581</v>
      </c>
      <c r="G260" s="32" t="str">
        <f t="shared" si="8"/>
        <v>1.125" PE EXTN</v>
      </c>
      <c r="H260" s="278" t="s">
        <v>515</v>
      </c>
      <c r="I260" s="32" t="s">
        <v>462</v>
      </c>
      <c r="J260" s="279">
        <v>542</v>
      </c>
      <c r="K260" s="280">
        <v>475482.54</v>
      </c>
      <c r="L260" s="280">
        <v>389448.69</v>
      </c>
      <c r="M260" s="280">
        <v>86033.85</v>
      </c>
      <c r="N260" s="281">
        <v>267</v>
      </c>
      <c r="O260" s="282">
        <v>529</v>
      </c>
      <c r="P260" s="280">
        <f t="shared" si="9"/>
        <v>942060.91258426965</v>
      </c>
    </row>
    <row r="261" spans="1:16" x14ac:dyDescent="0.2">
      <c r="A261" s="32" t="s">
        <v>593</v>
      </c>
      <c r="B261" s="32" t="s">
        <v>576</v>
      </c>
      <c r="C261" s="32" t="s">
        <v>577</v>
      </c>
      <c r="D261" s="32" t="s">
        <v>590</v>
      </c>
      <c r="E261" s="32" t="s">
        <v>556</v>
      </c>
      <c r="F261" s="32" t="s">
        <v>581</v>
      </c>
      <c r="G261" s="32" t="str">
        <f t="shared" si="8"/>
        <v>1.125" PE EXTN</v>
      </c>
      <c r="H261" s="278" t="s">
        <v>523</v>
      </c>
      <c r="I261" s="32" t="s">
        <v>462</v>
      </c>
      <c r="J261" s="279">
        <v>629</v>
      </c>
      <c r="K261" s="280">
        <v>608823.02</v>
      </c>
      <c r="L261" s="280">
        <v>484070.84</v>
      </c>
      <c r="M261" s="280">
        <v>124752.18</v>
      </c>
      <c r="N261" s="281">
        <v>274</v>
      </c>
      <c r="O261" s="282">
        <v>529</v>
      </c>
      <c r="P261" s="280">
        <f t="shared" si="9"/>
        <v>1175428.3853284672</v>
      </c>
    </row>
    <row r="262" spans="1:16" x14ac:dyDescent="0.2">
      <c r="A262" s="32" t="s">
        <v>593</v>
      </c>
      <c r="B262" s="32" t="s">
        <v>576</v>
      </c>
      <c r="C262" s="32" t="s">
        <v>577</v>
      </c>
      <c r="D262" s="32" t="s">
        <v>590</v>
      </c>
      <c r="E262" s="32" t="s">
        <v>556</v>
      </c>
      <c r="F262" s="32" t="s">
        <v>581</v>
      </c>
      <c r="G262" s="32" t="str">
        <f t="shared" si="8"/>
        <v>1.125" PE EXTN</v>
      </c>
      <c r="H262" s="278" t="s">
        <v>516</v>
      </c>
      <c r="I262" s="32" t="s">
        <v>462</v>
      </c>
      <c r="J262" s="279">
        <v>850</v>
      </c>
      <c r="K262" s="280">
        <v>619861.52</v>
      </c>
      <c r="L262" s="280">
        <v>477038.18</v>
      </c>
      <c r="M262" s="280">
        <v>142823.34</v>
      </c>
      <c r="N262" s="281">
        <v>281</v>
      </c>
      <c r="O262" s="282">
        <v>529</v>
      </c>
      <c r="P262" s="280">
        <f t="shared" si="9"/>
        <v>1166927.914875445</v>
      </c>
    </row>
    <row r="263" spans="1:16" x14ac:dyDescent="0.2">
      <c r="A263" s="32" t="s">
        <v>593</v>
      </c>
      <c r="B263" s="32" t="s">
        <v>576</v>
      </c>
      <c r="C263" s="32" t="s">
        <v>577</v>
      </c>
      <c r="D263" s="32" t="s">
        <v>590</v>
      </c>
      <c r="E263" s="32" t="s">
        <v>556</v>
      </c>
      <c r="F263" s="32" t="s">
        <v>581</v>
      </c>
      <c r="G263" s="32" t="str">
        <f t="shared" si="8"/>
        <v>1.125" PE EXTN</v>
      </c>
      <c r="H263" s="278" t="s">
        <v>466</v>
      </c>
      <c r="I263" s="32" t="s">
        <v>462</v>
      </c>
      <c r="J263" s="279">
        <v>652</v>
      </c>
      <c r="K263" s="280">
        <v>514781.77</v>
      </c>
      <c r="L263" s="280">
        <v>382268.19</v>
      </c>
      <c r="M263" s="280">
        <v>132513.57999999999</v>
      </c>
      <c r="N263" s="281">
        <v>290</v>
      </c>
      <c r="O263" s="282">
        <v>529</v>
      </c>
      <c r="P263" s="280">
        <f t="shared" si="9"/>
        <v>939032.95286206901</v>
      </c>
    </row>
    <row r="264" spans="1:16" x14ac:dyDescent="0.2">
      <c r="A264" s="32" t="s">
        <v>593</v>
      </c>
      <c r="B264" s="32" t="s">
        <v>576</v>
      </c>
      <c r="C264" s="32" t="s">
        <v>577</v>
      </c>
      <c r="D264" s="32" t="s">
        <v>590</v>
      </c>
      <c r="E264" s="32" t="s">
        <v>556</v>
      </c>
      <c r="F264" s="32" t="s">
        <v>581</v>
      </c>
      <c r="G264" s="32" t="str">
        <f t="shared" si="8"/>
        <v>1.125" PE EXTN</v>
      </c>
      <c r="H264" s="278" t="s">
        <v>489</v>
      </c>
      <c r="I264" s="32" t="s">
        <v>462</v>
      </c>
      <c r="J264" s="279">
        <v>609</v>
      </c>
      <c r="K264" s="280">
        <v>495541.82</v>
      </c>
      <c r="L264" s="280">
        <v>353870.34</v>
      </c>
      <c r="M264" s="280">
        <v>141671.48000000001</v>
      </c>
      <c r="N264" s="281">
        <v>296</v>
      </c>
      <c r="O264" s="282">
        <v>529</v>
      </c>
      <c r="P264" s="280">
        <f t="shared" si="9"/>
        <v>885613.59047297295</v>
      </c>
    </row>
    <row r="265" spans="1:16" x14ac:dyDescent="0.2">
      <c r="A265" s="32" t="s">
        <v>593</v>
      </c>
      <c r="B265" s="32" t="s">
        <v>576</v>
      </c>
      <c r="C265" s="32" t="s">
        <v>577</v>
      </c>
      <c r="D265" s="32" t="s">
        <v>590</v>
      </c>
      <c r="E265" s="32" t="s">
        <v>556</v>
      </c>
      <c r="F265" s="32" t="s">
        <v>581</v>
      </c>
      <c r="G265" s="32" t="str">
        <f t="shared" si="8"/>
        <v>1.125" PE EXTN</v>
      </c>
      <c r="H265" s="278" t="s">
        <v>465</v>
      </c>
      <c r="I265" s="32" t="s">
        <v>462</v>
      </c>
      <c r="J265" s="279">
        <v>907</v>
      </c>
      <c r="K265" s="280">
        <v>746046.7</v>
      </c>
      <c r="L265" s="280">
        <v>510466.45</v>
      </c>
      <c r="M265" s="280">
        <v>235580.25</v>
      </c>
      <c r="N265" s="281">
        <v>307</v>
      </c>
      <c r="O265" s="282">
        <v>529</v>
      </c>
      <c r="P265" s="280">
        <f t="shared" si="9"/>
        <v>1285533.238762215</v>
      </c>
    </row>
    <row r="266" spans="1:16" x14ac:dyDescent="0.2">
      <c r="A266" s="32" t="s">
        <v>593</v>
      </c>
      <c r="B266" s="32" t="s">
        <v>576</v>
      </c>
      <c r="C266" s="32" t="s">
        <v>577</v>
      </c>
      <c r="D266" s="32" t="s">
        <v>590</v>
      </c>
      <c r="E266" s="32" t="s">
        <v>556</v>
      </c>
      <c r="F266" s="32" t="s">
        <v>581</v>
      </c>
      <c r="G266" s="32" t="str">
        <f t="shared" si="8"/>
        <v>1.125" PE EXTN</v>
      </c>
      <c r="H266" s="278" t="s">
        <v>490</v>
      </c>
      <c r="I266" s="32" t="s">
        <v>462</v>
      </c>
      <c r="J266" s="279">
        <v>551</v>
      </c>
      <c r="K266" s="280">
        <v>614191.61</v>
      </c>
      <c r="L266" s="280">
        <v>401084.12</v>
      </c>
      <c r="M266" s="280">
        <v>213107.49</v>
      </c>
      <c r="N266" s="281">
        <v>310</v>
      </c>
      <c r="O266" s="282">
        <v>529</v>
      </c>
      <c r="P266" s="280">
        <f t="shared" si="9"/>
        <v>1048088.2635161291</v>
      </c>
    </row>
    <row r="267" spans="1:16" x14ac:dyDescent="0.2">
      <c r="A267" s="32" t="s">
        <v>593</v>
      </c>
      <c r="B267" s="32" t="s">
        <v>576</v>
      </c>
      <c r="C267" s="32" t="s">
        <v>577</v>
      </c>
      <c r="D267" s="32" t="s">
        <v>590</v>
      </c>
      <c r="E267" s="32" t="s">
        <v>556</v>
      </c>
      <c r="F267" s="32" t="s">
        <v>581</v>
      </c>
      <c r="G267" s="32" t="str">
        <f t="shared" si="8"/>
        <v>1.125" PE EXTN</v>
      </c>
      <c r="H267" s="278" t="s">
        <v>491</v>
      </c>
      <c r="I267" s="32" t="s">
        <v>462</v>
      </c>
      <c r="J267" s="279">
        <v>656</v>
      </c>
      <c r="K267" s="280">
        <v>796596.72</v>
      </c>
      <c r="L267" s="280">
        <v>494361.64</v>
      </c>
      <c r="M267" s="280">
        <v>302235.08</v>
      </c>
      <c r="N267" s="281">
        <v>319</v>
      </c>
      <c r="O267" s="282">
        <v>529</v>
      </c>
      <c r="P267" s="280">
        <f t="shared" si="9"/>
        <v>1321002.0842633229</v>
      </c>
    </row>
    <row r="268" spans="1:16" x14ac:dyDescent="0.2">
      <c r="A268" s="32" t="s">
        <v>593</v>
      </c>
      <c r="B268" s="32" t="s">
        <v>576</v>
      </c>
      <c r="C268" s="32" t="s">
        <v>577</v>
      </c>
      <c r="D268" s="32" t="s">
        <v>590</v>
      </c>
      <c r="E268" s="32" t="s">
        <v>556</v>
      </c>
      <c r="F268" s="32" t="s">
        <v>581</v>
      </c>
      <c r="G268" s="32" t="str">
        <f t="shared" si="8"/>
        <v>1.125" PE EXTN</v>
      </c>
      <c r="H268" s="278" t="s">
        <v>514</v>
      </c>
      <c r="I268" s="32" t="s">
        <v>462</v>
      </c>
      <c r="J268" s="279">
        <v>228</v>
      </c>
      <c r="K268" s="280">
        <v>107727.21</v>
      </c>
      <c r="L268" s="280">
        <v>63241.49</v>
      </c>
      <c r="M268" s="280">
        <v>44485.72</v>
      </c>
      <c r="N268" s="281">
        <v>326</v>
      </c>
      <c r="O268" s="282">
        <v>529</v>
      </c>
      <c r="P268" s="280">
        <f t="shared" si="9"/>
        <v>174808.87757668711</v>
      </c>
    </row>
    <row r="269" spans="1:16" x14ac:dyDescent="0.2">
      <c r="A269" s="32" t="s">
        <v>593</v>
      </c>
      <c r="B269" s="32" t="s">
        <v>576</v>
      </c>
      <c r="C269" s="32" t="s">
        <v>577</v>
      </c>
      <c r="D269" s="32" t="s">
        <v>590</v>
      </c>
      <c r="E269" s="32" t="s">
        <v>556</v>
      </c>
      <c r="F269" s="32" t="s">
        <v>581</v>
      </c>
      <c r="G269" s="32" t="str">
        <f t="shared" si="8"/>
        <v>1.125" PE EXTN</v>
      </c>
      <c r="H269" s="278" t="s">
        <v>513</v>
      </c>
      <c r="I269" s="32" t="s">
        <v>462</v>
      </c>
      <c r="J269" s="279">
        <v>270</v>
      </c>
      <c r="K269" s="280">
        <v>283180.53999999998</v>
      </c>
      <c r="L269" s="280">
        <v>156465.87</v>
      </c>
      <c r="M269" s="280">
        <v>126714.67</v>
      </c>
      <c r="N269" s="281">
        <v>338</v>
      </c>
      <c r="O269" s="282">
        <v>529</v>
      </c>
      <c r="P269" s="280">
        <f t="shared" si="9"/>
        <v>443202.6794674556</v>
      </c>
    </row>
    <row r="270" spans="1:16" x14ac:dyDescent="0.2">
      <c r="A270" s="32" t="s">
        <v>593</v>
      </c>
      <c r="B270" s="32" t="s">
        <v>576</v>
      </c>
      <c r="C270" s="32" t="s">
        <v>577</v>
      </c>
      <c r="D270" s="32" t="s">
        <v>590</v>
      </c>
      <c r="E270" s="32" t="s">
        <v>556</v>
      </c>
      <c r="F270" s="32" t="s">
        <v>581</v>
      </c>
      <c r="G270" s="32" t="str">
        <f t="shared" si="8"/>
        <v>1.125" PE EXTN</v>
      </c>
      <c r="H270" s="278" t="s">
        <v>467</v>
      </c>
      <c r="I270" s="32" t="s">
        <v>462</v>
      </c>
      <c r="J270" s="279">
        <v>885</v>
      </c>
      <c r="K270" s="280">
        <v>1079707.04</v>
      </c>
      <c r="L270" s="280">
        <v>558397.47</v>
      </c>
      <c r="M270" s="280">
        <v>521309.57</v>
      </c>
      <c r="N270" s="281">
        <v>344</v>
      </c>
      <c r="O270" s="282">
        <v>529</v>
      </c>
      <c r="P270" s="280">
        <f t="shared" si="9"/>
        <v>1660363.4423255816</v>
      </c>
    </row>
    <row r="271" spans="1:16" x14ac:dyDescent="0.2">
      <c r="A271" s="32" t="s">
        <v>593</v>
      </c>
      <c r="B271" s="32" t="s">
        <v>576</v>
      </c>
      <c r="C271" s="32" t="s">
        <v>577</v>
      </c>
      <c r="D271" s="32" t="s">
        <v>590</v>
      </c>
      <c r="E271" s="32" t="s">
        <v>556</v>
      </c>
      <c r="F271" s="32" t="s">
        <v>581</v>
      </c>
      <c r="G271" s="32" t="str">
        <f t="shared" si="8"/>
        <v>1.125" PE EXTN</v>
      </c>
      <c r="H271" s="278" t="s">
        <v>473</v>
      </c>
      <c r="I271" s="32" t="s">
        <v>462</v>
      </c>
      <c r="J271" s="279">
        <v>331</v>
      </c>
      <c r="K271" s="280">
        <v>374802.84</v>
      </c>
      <c r="L271" s="280">
        <v>180338.31</v>
      </c>
      <c r="M271" s="280">
        <v>194464.53</v>
      </c>
      <c r="N271" s="281">
        <v>351</v>
      </c>
      <c r="O271" s="282">
        <v>529</v>
      </c>
      <c r="P271" s="280">
        <f t="shared" si="9"/>
        <v>564873.79589743598</v>
      </c>
    </row>
    <row r="272" spans="1:16" x14ac:dyDescent="0.2">
      <c r="A272" s="32" t="s">
        <v>593</v>
      </c>
      <c r="B272" s="32" t="s">
        <v>576</v>
      </c>
      <c r="C272" s="32" t="s">
        <v>577</v>
      </c>
      <c r="D272" s="32" t="s">
        <v>590</v>
      </c>
      <c r="E272" s="32" t="s">
        <v>556</v>
      </c>
      <c r="F272" s="32" t="s">
        <v>581</v>
      </c>
      <c r="G272" s="32" t="str">
        <f t="shared" si="8"/>
        <v>1.125" PE EXTN</v>
      </c>
      <c r="H272" s="278" t="s">
        <v>479</v>
      </c>
      <c r="I272" s="32" t="s">
        <v>462</v>
      </c>
      <c r="J272" s="279">
        <v>2</v>
      </c>
      <c r="K272" s="280">
        <v>500.07</v>
      </c>
      <c r="L272" s="280">
        <v>222.35</v>
      </c>
      <c r="M272" s="280">
        <v>277.72000000000003</v>
      </c>
      <c r="N272" s="281">
        <v>357</v>
      </c>
      <c r="O272" s="282">
        <v>529</v>
      </c>
      <c r="P272" s="280">
        <f t="shared" si="9"/>
        <v>741.00008403361346</v>
      </c>
    </row>
    <row r="273" spans="1:16" x14ac:dyDescent="0.2">
      <c r="A273" s="32" t="s">
        <v>593</v>
      </c>
      <c r="B273" s="32" t="s">
        <v>576</v>
      </c>
      <c r="C273" s="32" t="s">
        <v>577</v>
      </c>
      <c r="D273" s="32" t="s">
        <v>590</v>
      </c>
      <c r="E273" s="32" t="s">
        <v>556</v>
      </c>
      <c r="F273" s="32" t="s">
        <v>581</v>
      </c>
      <c r="G273" s="32" t="str">
        <f t="shared" si="8"/>
        <v>1.125" PE EXTN</v>
      </c>
      <c r="H273" s="278" t="s">
        <v>480</v>
      </c>
      <c r="I273" s="32" t="s">
        <v>462</v>
      </c>
      <c r="J273" s="279">
        <v>135</v>
      </c>
      <c r="K273" s="280">
        <v>5300.14</v>
      </c>
      <c r="L273" s="280">
        <v>2161.5</v>
      </c>
      <c r="M273" s="280">
        <v>3138.64</v>
      </c>
      <c r="N273" s="281">
        <v>365</v>
      </c>
      <c r="O273" s="282">
        <v>529</v>
      </c>
      <c r="P273" s="280">
        <f t="shared" si="9"/>
        <v>7681.572767123288</v>
      </c>
    </row>
    <row r="274" spans="1:16" x14ac:dyDescent="0.2">
      <c r="A274" s="32" t="s">
        <v>593</v>
      </c>
      <c r="B274" s="32" t="s">
        <v>576</v>
      </c>
      <c r="C274" s="32" t="s">
        <v>577</v>
      </c>
      <c r="D274" s="32" t="s">
        <v>590</v>
      </c>
      <c r="E274" s="32" t="s">
        <v>556</v>
      </c>
      <c r="F274" s="32" t="s">
        <v>581</v>
      </c>
      <c r="G274" s="32" t="str">
        <f t="shared" si="8"/>
        <v>1.125" PE EXTN</v>
      </c>
      <c r="H274" s="278" t="s">
        <v>472</v>
      </c>
      <c r="I274" s="32" t="s">
        <v>462</v>
      </c>
      <c r="J274" s="279">
        <v>416</v>
      </c>
      <c r="K274" s="280">
        <v>237133.45</v>
      </c>
      <c r="L274" s="280">
        <v>87947.45</v>
      </c>
      <c r="M274" s="280">
        <v>149186</v>
      </c>
      <c r="N274" s="281">
        <v>370</v>
      </c>
      <c r="O274" s="282">
        <v>529</v>
      </c>
      <c r="P274" s="280">
        <f t="shared" si="9"/>
        <v>339036.74337837839</v>
      </c>
    </row>
    <row r="275" spans="1:16" x14ac:dyDescent="0.2">
      <c r="A275" s="32" t="s">
        <v>593</v>
      </c>
      <c r="B275" s="32" t="s">
        <v>576</v>
      </c>
      <c r="C275" s="32" t="s">
        <v>577</v>
      </c>
      <c r="D275" s="32" t="s">
        <v>590</v>
      </c>
      <c r="E275" s="32" t="s">
        <v>556</v>
      </c>
      <c r="F275" s="32" t="s">
        <v>581</v>
      </c>
      <c r="G275" s="32" t="str">
        <f t="shared" si="8"/>
        <v>1.125" PE EXTN</v>
      </c>
      <c r="H275" s="278" t="s">
        <v>478</v>
      </c>
      <c r="I275" s="32" t="s">
        <v>462</v>
      </c>
      <c r="J275" s="279">
        <v>531</v>
      </c>
      <c r="K275" s="280">
        <v>222120.53</v>
      </c>
      <c r="L275" s="280">
        <v>74189.87</v>
      </c>
      <c r="M275" s="280">
        <v>147930.66</v>
      </c>
      <c r="N275" s="281">
        <v>378</v>
      </c>
      <c r="O275" s="282">
        <v>529</v>
      </c>
      <c r="P275" s="280">
        <f t="shared" si="9"/>
        <v>310851.21791005292</v>
      </c>
    </row>
    <row r="276" spans="1:16" x14ac:dyDescent="0.2">
      <c r="A276" s="32" t="s">
        <v>593</v>
      </c>
      <c r="B276" s="32" t="s">
        <v>576</v>
      </c>
      <c r="C276" s="32" t="s">
        <v>577</v>
      </c>
      <c r="D276" s="32" t="s">
        <v>590</v>
      </c>
      <c r="E276" s="32" t="s">
        <v>556</v>
      </c>
      <c r="F276" s="32" t="s">
        <v>581</v>
      </c>
      <c r="G276" s="32" t="str">
        <f t="shared" si="8"/>
        <v>1.125" PE EXTN</v>
      </c>
      <c r="H276" s="278" t="s">
        <v>475</v>
      </c>
      <c r="I276" s="32" t="s">
        <v>462</v>
      </c>
      <c r="J276" s="279">
        <v>37</v>
      </c>
      <c r="K276" s="280">
        <v>6030.03</v>
      </c>
      <c r="L276" s="280">
        <v>1793.16</v>
      </c>
      <c r="M276" s="280">
        <v>4236.87</v>
      </c>
      <c r="N276" s="281">
        <v>393</v>
      </c>
      <c r="O276" s="282">
        <v>529</v>
      </c>
      <c r="P276" s="280">
        <f t="shared" si="9"/>
        <v>8116.7579389312968</v>
      </c>
    </row>
    <row r="277" spans="1:16" x14ac:dyDescent="0.2">
      <c r="A277" s="32" t="s">
        <v>593</v>
      </c>
      <c r="B277" s="32" t="s">
        <v>576</v>
      </c>
      <c r="C277" s="32" t="s">
        <v>577</v>
      </c>
      <c r="D277" s="32" t="s">
        <v>590</v>
      </c>
      <c r="E277" s="32" t="s">
        <v>556</v>
      </c>
      <c r="F277" s="32" t="s">
        <v>581</v>
      </c>
      <c r="G277" s="32" t="str">
        <f t="shared" si="8"/>
        <v>1.125" PE EXTN</v>
      </c>
      <c r="H277" s="278" t="s">
        <v>471</v>
      </c>
      <c r="I277" s="32" t="s">
        <v>462</v>
      </c>
      <c r="J277" s="279">
        <v>4</v>
      </c>
      <c r="K277" s="280">
        <v>814.88</v>
      </c>
      <c r="L277" s="280">
        <v>212.81</v>
      </c>
      <c r="M277" s="280">
        <v>602.07000000000005</v>
      </c>
      <c r="N277" s="281">
        <v>398</v>
      </c>
      <c r="O277" s="282">
        <v>529</v>
      </c>
      <c r="P277" s="280">
        <f t="shared" si="9"/>
        <v>1083.0942713567838</v>
      </c>
    </row>
    <row r="278" spans="1:16" x14ac:dyDescent="0.2">
      <c r="A278" s="32" t="s">
        <v>593</v>
      </c>
      <c r="B278" s="32" t="s">
        <v>576</v>
      </c>
      <c r="C278" s="32" t="s">
        <v>577</v>
      </c>
      <c r="D278" s="32" t="s">
        <v>590</v>
      </c>
      <c r="E278" s="32" t="s">
        <v>556</v>
      </c>
      <c r="F278" s="32" t="s">
        <v>581</v>
      </c>
      <c r="G278" s="32" t="str">
        <f t="shared" si="8"/>
        <v>1.125" PE EXTN</v>
      </c>
      <c r="H278" s="278" t="s">
        <v>477</v>
      </c>
      <c r="I278" s="32" t="s">
        <v>462</v>
      </c>
      <c r="J278" s="279">
        <v>10</v>
      </c>
      <c r="K278" s="280">
        <v>2301.9699999999998</v>
      </c>
      <c r="L278" s="280">
        <v>359.43</v>
      </c>
      <c r="M278" s="280">
        <v>1942.54</v>
      </c>
      <c r="N278" s="281">
        <v>450</v>
      </c>
      <c r="O278" s="282">
        <v>529</v>
      </c>
      <c r="P278" s="280">
        <f t="shared" si="9"/>
        <v>2706.0936222222217</v>
      </c>
    </row>
    <row r="279" spans="1:16" x14ac:dyDescent="0.2">
      <c r="A279" s="32" t="s">
        <v>593</v>
      </c>
      <c r="B279" s="32" t="s">
        <v>576</v>
      </c>
      <c r="C279" s="32" t="s">
        <v>577</v>
      </c>
      <c r="D279" s="32" t="s">
        <v>590</v>
      </c>
      <c r="E279" s="32" t="s">
        <v>556</v>
      </c>
      <c r="F279" s="32" t="s">
        <v>581</v>
      </c>
      <c r="G279" s="32" t="str">
        <f t="shared" si="8"/>
        <v>1.125" PE EXTN</v>
      </c>
      <c r="H279" s="278" t="s">
        <v>468</v>
      </c>
      <c r="I279" s="32" t="s">
        <v>462</v>
      </c>
      <c r="J279" s="279">
        <v>5</v>
      </c>
      <c r="K279" s="280">
        <v>8676.92</v>
      </c>
      <c r="L279" s="280">
        <v>479.83</v>
      </c>
      <c r="M279" s="280">
        <v>8197.09</v>
      </c>
      <c r="N279" s="281">
        <v>517</v>
      </c>
      <c r="O279" s="282">
        <v>529</v>
      </c>
      <c r="P279" s="280">
        <f t="shared" si="9"/>
        <v>8878.3185299806592</v>
      </c>
    </row>
    <row r="280" spans="1:16" x14ac:dyDescent="0.2">
      <c r="A280" s="32" t="s">
        <v>594</v>
      </c>
      <c r="B280" s="32" t="s">
        <v>576</v>
      </c>
      <c r="C280" s="32" t="s">
        <v>577</v>
      </c>
      <c r="D280" s="32" t="s">
        <v>590</v>
      </c>
      <c r="E280" s="32" t="s">
        <v>556</v>
      </c>
      <c r="F280" s="32" t="s">
        <v>584</v>
      </c>
      <c r="G280" s="32" t="str">
        <f t="shared" si="8"/>
        <v>1.125" PE STUB</v>
      </c>
      <c r="H280" s="278" t="s">
        <v>467</v>
      </c>
      <c r="I280" s="32" t="s">
        <v>462</v>
      </c>
      <c r="J280" s="279">
        <v>11</v>
      </c>
      <c r="K280" s="280">
        <v>7858.93</v>
      </c>
      <c r="L280" s="280">
        <v>4064.44</v>
      </c>
      <c r="M280" s="280">
        <v>3794.49</v>
      </c>
      <c r="N280" s="281">
        <v>344</v>
      </c>
      <c r="O280" s="282">
        <v>529</v>
      </c>
      <c r="P280" s="280">
        <f t="shared" si="9"/>
        <v>12085.389447674419</v>
      </c>
    </row>
    <row r="281" spans="1:16" x14ac:dyDescent="0.2">
      <c r="A281" s="32" t="s">
        <v>594</v>
      </c>
      <c r="B281" s="32" t="s">
        <v>576</v>
      </c>
      <c r="C281" s="32" t="s">
        <v>577</v>
      </c>
      <c r="D281" s="32" t="s">
        <v>590</v>
      </c>
      <c r="E281" s="32" t="s">
        <v>556</v>
      </c>
      <c r="F281" s="32" t="s">
        <v>584</v>
      </c>
      <c r="G281" s="32" t="str">
        <f t="shared" si="8"/>
        <v>1.125" PE STUB</v>
      </c>
      <c r="H281" s="278" t="s">
        <v>473</v>
      </c>
      <c r="I281" s="32" t="s">
        <v>462</v>
      </c>
      <c r="J281" s="279">
        <v>1250</v>
      </c>
      <c r="K281" s="280">
        <v>703220.94</v>
      </c>
      <c r="L281" s="280">
        <v>338358.36</v>
      </c>
      <c r="M281" s="280">
        <v>364862.58</v>
      </c>
      <c r="N281" s="281">
        <v>351</v>
      </c>
      <c r="O281" s="282">
        <v>529</v>
      </c>
      <c r="P281" s="280">
        <f t="shared" si="9"/>
        <v>1059840.106153846</v>
      </c>
    </row>
    <row r="282" spans="1:16" x14ac:dyDescent="0.2">
      <c r="A282" s="32" t="s">
        <v>594</v>
      </c>
      <c r="B282" s="32" t="s">
        <v>576</v>
      </c>
      <c r="C282" s="32" t="s">
        <v>577</v>
      </c>
      <c r="D282" s="32" t="s">
        <v>590</v>
      </c>
      <c r="E282" s="32" t="s">
        <v>556</v>
      </c>
      <c r="F282" s="32" t="s">
        <v>584</v>
      </c>
      <c r="G282" s="32" t="str">
        <f t="shared" si="8"/>
        <v>1.125" PE STUB</v>
      </c>
      <c r="H282" s="278" t="s">
        <v>479</v>
      </c>
      <c r="I282" s="32" t="s">
        <v>462</v>
      </c>
      <c r="J282" s="279">
        <v>2418</v>
      </c>
      <c r="K282" s="280">
        <v>786084.45</v>
      </c>
      <c r="L282" s="280">
        <v>349523.69</v>
      </c>
      <c r="M282" s="280">
        <v>436560.76</v>
      </c>
      <c r="N282" s="281">
        <v>357</v>
      </c>
      <c r="O282" s="282">
        <v>529</v>
      </c>
      <c r="P282" s="280">
        <f t="shared" si="9"/>
        <v>1164814.21302521</v>
      </c>
    </row>
    <row r="283" spans="1:16" x14ac:dyDescent="0.2">
      <c r="A283" s="32" t="s">
        <v>594</v>
      </c>
      <c r="B283" s="32" t="s">
        <v>576</v>
      </c>
      <c r="C283" s="32" t="s">
        <v>577</v>
      </c>
      <c r="D283" s="32" t="s">
        <v>590</v>
      </c>
      <c r="E283" s="32" t="s">
        <v>556</v>
      </c>
      <c r="F283" s="32" t="s">
        <v>584</v>
      </c>
      <c r="G283" s="32" t="str">
        <f t="shared" si="8"/>
        <v>1.125" PE STUB</v>
      </c>
      <c r="H283" s="278" t="s">
        <v>480</v>
      </c>
      <c r="I283" s="32" t="s">
        <v>462</v>
      </c>
      <c r="J283" s="279">
        <v>1174</v>
      </c>
      <c r="K283" s="280">
        <v>1163843.48</v>
      </c>
      <c r="L283" s="280">
        <v>474637.9</v>
      </c>
      <c r="M283" s="280">
        <v>689205.58</v>
      </c>
      <c r="N283" s="281">
        <v>365</v>
      </c>
      <c r="O283" s="282">
        <v>529</v>
      </c>
      <c r="P283" s="280">
        <f t="shared" si="9"/>
        <v>1686775.8929315067</v>
      </c>
    </row>
    <row r="284" spans="1:16" x14ac:dyDescent="0.2">
      <c r="A284" s="32" t="s">
        <v>594</v>
      </c>
      <c r="B284" s="32" t="s">
        <v>576</v>
      </c>
      <c r="C284" s="32" t="s">
        <v>577</v>
      </c>
      <c r="D284" s="32" t="s">
        <v>590</v>
      </c>
      <c r="E284" s="32" t="s">
        <v>556</v>
      </c>
      <c r="F284" s="32" t="s">
        <v>584</v>
      </c>
      <c r="G284" s="32" t="str">
        <f t="shared" si="8"/>
        <v>1.125" PE STUB</v>
      </c>
      <c r="H284" s="278" t="s">
        <v>472</v>
      </c>
      <c r="I284" s="32" t="s">
        <v>462</v>
      </c>
      <c r="J284" s="279">
        <v>1707</v>
      </c>
      <c r="K284" s="280">
        <v>961727.67</v>
      </c>
      <c r="L284" s="280">
        <v>356683.12</v>
      </c>
      <c r="M284" s="280">
        <v>605044.55000000005</v>
      </c>
      <c r="N284" s="281">
        <v>370</v>
      </c>
      <c r="O284" s="282">
        <v>529</v>
      </c>
      <c r="P284" s="280">
        <f t="shared" si="9"/>
        <v>1375010.6417027027</v>
      </c>
    </row>
    <row r="285" spans="1:16" x14ac:dyDescent="0.2">
      <c r="A285" s="32" t="s">
        <v>594</v>
      </c>
      <c r="B285" s="32" t="s">
        <v>576</v>
      </c>
      <c r="C285" s="32" t="s">
        <v>577</v>
      </c>
      <c r="D285" s="32" t="s">
        <v>590</v>
      </c>
      <c r="E285" s="32" t="s">
        <v>556</v>
      </c>
      <c r="F285" s="32" t="s">
        <v>584</v>
      </c>
      <c r="G285" s="32" t="str">
        <f t="shared" si="8"/>
        <v>1.125" PE STUB</v>
      </c>
      <c r="H285" s="278" t="s">
        <v>478</v>
      </c>
      <c r="I285" s="32" t="s">
        <v>462</v>
      </c>
      <c r="J285" s="279">
        <v>2064</v>
      </c>
      <c r="K285" s="280">
        <v>712167.87</v>
      </c>
      <c r="L285" s="280">
        <v>237869.23</v>
      </c>
      <c r="M285" s="280">
        <v>474298.64</v>
      </c>
      <c r="N285" s="281">
        <v>378</v>
      </c>
      <c r="O285" s="282">
        <v>529</v>
      </c>
      <c r="P285" s="280">
        <f t="shared" si="9"/>
        <v>996658.20960317459</v>
      </c>
    </row>
    <row r="286" spans="1:16" x14ac:dyDescent="0.2">
      <c r="A286" s="32" t="s">
        <v>594</v>
      </c>
      <c r="B286" s="32" t="s">
        <v>576</v>
      </c>
      <c r="C286" s="32" t="s">
        <v>577</v>
      </c>
      <c r="D286" s="32" t="s">
        <v>590</v>
      </c>
      <c r="E286" s="32" t="s">
        <v>556</v>
      </c>
      <c r="F286" s="32" t="s">
        <v>584</v>
      </c>
      <c r="G286" s="32" t="str">
        <f t="shared" si="8"/>
        <v>1.125" PE STUB</v>
      </c>
      <c r="H286" s="278" t="s">
        <v>475</v>
      </c>
      <c r="I286" s="32" t="s">
        <v>462</v>
      </c>
      <c r="J286" s="279">
        <v>1413</v>
      </c>
      <c r="K286" s="280">
        <v>732366.22</v>
      </c>
      <c r="L286" s="280">
        <v>217785.29</v>
      </c>
      <c r="M286" s="280">
        <v>514580.93</v>
      </c>
      <c r="N286" s="281">
        <v>393</v>
      </c>
      <c r="O286" s="282">
        <v>529</v>
      </c>
      <c r="P286" s="280">
        <f t="shared" si="9"/>
        <v>985805.92972010176</v>
      </c>
    </row>
    <row r="287" spans="1:16" x14ac:dyDescent="0.2">
      <c r="A287" s="32" t="s">
        <v>594</v>
      </c>
      <c r="B287" s="32" t="s">
        <v>576</v>
      </c>
      <c r="C287" s="32" t="s">
        <v>577</v>
      </c>
      <c r="D287" s="32" t="s">
        <v>590</v>
      </c>
      <c r="E287" s="32" t="s">
        <v>556</v>
      </c>
      <c r="F287" s="32" t="s">
        <v>584</v>
      </c>
      <c r="G287" s="32" t="str">
        <f t="shared" si="8"/>
        <v>1.125" PE STUB</v>
      </c>
      <c r="H287" s="278" t="s">
        <v>471</v>
      </c>
      <c r="I287" s="32" t="s">
        <v>462</v>
      </c>
      <c r="J287" s="279">
        <v>1403</v>
      </c>
      <c r="K287" s="280">
        <v>557205.34</v>
      </c>
      <c r="L287" s="280">
        <v>145517.24</v>
      </c>
      <c r="M287" s="280">
        <v>411688.1</v>
      </c>
      <c r="N287" s="281">
        <v>398</v>
      </c>
      <c r="O287" s="282">
        <v>529</v>
      </c>
      <c r="P287" s="280">
        <f t="shared" si="9"/>
        <v>740607.09763819084</v>
      </c>
    </row>
    <row r="288" spans="1:16" x14ac:dyDescent="0.2">
      <c r="A288" s="32" t="s">
        <v>594</v>
      </c>
      <c r="B288" s="32" t="s">
        <v>576</v>
      </c>
      <c r="C288" s="32" t="s">
        <v>577</v>
      </c>
      <c r="D288" s="32" t="s">
        <v>590</v>
      </c>
      <c r="E288" s="32" t="s">
        <v>556</v>
      </c>
      <c r="F288" s="32" t="s">
        <v>584</v>
      </c>
      <c r="G288" s="32" t="str">
        <f t="shared" si="8"/>
        <v>1.125" PE STUB</v>
      </c>
      <c r="H288" s="278" t="s">
        <v>476</v>
      </c>
      <c r="I288" s="32" t="s">
        <v>462</v>
      </c>
      <c r="J288" s="279">
        <v>756</v>
      </c>
      <c r="K288" s="280">
        <v>442172.75</v>
      </c>
      <c r="L288" s="280">
        <v>99704.45</v>
      </c>
      <c r="M288" s="280">
        <v>342468.3</v>
      </c>
      <c r="N288" s="281">
        <v>409</v>
      </c>
      <c r="O288" s="282">
        <v>529</v>
      </c>
      <c r="P288" s="280">
        <f t="shared" si="9"/>
        <v>571905.58618581912</v>
      </c>
    </row>
    <row r="289" spans="1:16" x14ac:dyDescent="0.2">
      <c r="A289" s="32" t="s">
        <v>594</v>
      </c>
      <c r="B289" s="32" t="s">
        <v>576</v>
      </c>
      <c r="C289" s="32" t="s">
        <v>577</v>
      </c>
      <c r="D289" s="32" t="s">
        <v>590</v>
      </c>
      <c r="E289" s="32" t="s">
        <v>556</v>
      </c>
      <c r="F289" s="32" t="s">
        <v>584</v>
      </c>
      <c r="G289" s="32" t="str">
        <f t="shared" si="8"/>
        <v>1.125" PE STUB</v>
      </c>
      <c r="H289" s="278" t="s">
        <v>474</v>
      </c>
      <c r="I289" s="32" t="s">
        <v>462</v>
      </c>
      <c r="J289" s="279">
        <v>646</v>
      </c>
      <c r="K289" s="280">
        <v>461637.94</v>
      </c>
      <c r="L289" s="280">
        <v>87927.84</v>
      </c>
      <c r="M289" s="280">
        <v>373710.1</v>
      </c>
      <c r="N289" s="281">
        <v>431</v>
      </c>
      <c r="O289" s="282">
        <v>529</v>
      </c>
      <c r="P289" s="280">
        <f t="shared" si="9"/>
        <v>566604.33935034799</v>
      </c>
    </row>
    <row r="290" spans="1:16" x14ac:dyDescent="0.2">
      <c r="A290" s="32" t="s">
        <v>594</v>
      </c>
      <c r="B290" s="32" t="s">
        <v>576</v>
      </c>
      <c r="C290" s="32" t="s">
        <v>577</v>
      </c>
      <c r="D290" s="32" t="s">
        <v>590</v>
      </c>
      <c r="E290" s="32" t="s">
        <v>556</v>
      </c>
      <c r="F290" s="32" t="s">
        <v>584</v>
      </c>
      <c r="G290" s="32" t="str">
        <f t="shared" si="8"/>
        <v>1.125" PE STUB</v>
      </c>
      <c r="H290" s="278" t="s">
        <v>477</v>
      </c>
      <c r="I290" s="32" t="s">
        <v>462</v>
      </c>
      <c r="J290" s="279">
        <v>1735</v>
      </c>
      <c r="K290" s="280">
        <v>1553062.16</v>
      </c>
      <c r="L290" s="280">
        <v>242494.02</v>
      </c>
      <c r="M290" s="280">
        <v>1310568.1399999999</v>
      </c>
      <c r="N290" s="281">
        <v>450</v>
      </c>
      <c r="O290" s="282">
        <v>529</v>
      </c>
      <c r="P290" s="280">
        <f t="shared" si="9"/>
        <v>1825710.850311111</v>
      </c>
    </row>
    <row r="291" spans="1:16" x14ac:dyDescent="0.2">
      <c r="A291" s="32" t="s">
        <v>594</v>
      </c>
      <c r="B291" s="32" t="s">
        <v>576</v>
      </c>
      <c r="C291" s="32" t="s">
        <v>577</v>
      </c>
      <c r="D291" s="32" t="s">
        <v>590</v>
      </c>
      <c r="E291" s="32" t="s">
        <v>556</v>
      </c>
      <c r="F291" s="32" t="s">
        <v>584</v>
      </c>
      <c r="G291" s="32" t="str">
        <f t="shared" si="8"/>
        <v>1.125" PE STUB</v>
      </c>
      <c r="H291" s="278" t="s">
        <v>470</v>
      </c>
      <c r="I291" s="32" t="s">
        <v>462</v>
      </c>
      <c r="J291" s="279">
        <v>0</v>
      </c>
      <c r="K291" s="280">
        <v>5882.43</v>
      </c>
      <c r="L291" s="280">
        <v>720.08</v>
      </c>
      <c r="M291" s="280">
        <v>5162.3500000000004</v>
      </c>
      <c r="N291" s="281">
        <v>467</v>
      </c>
      <c r="O291" s="282">
        <v>529</v>
      </c>
      <c r="P291" s="280">
        <f t="shared" si="9"/>
        <v>6663.3950107066375</v>
      </c>
    </row>
    <row r="292" spans="1:16" x14ac:dyDescent="0.2">
      <c r="A292" s="32" t="s">
        <v>594</v>
      </c>
      <c r="B292" s="32" t="s">
        <v>576</v>
      </c>
      <c r="C292" s="32" t="s">
        <v>577</v>
      </c>
      <c r="D292" s="32" t="s">
        <v>590</v>
      </c>
      <c r="E292" s="32" t="s">
        <v>556</v>
      </c>
      <c r="F292" s="32" t="s">
        <v>584</v>
      </c>
      <c r="G292" s="32" t="str">
        <f t="shared" si="8"/>
        <v>1.125" PE STUB</v>
      </c>
      <c r="H292" s="278" t="s">
        <v>470</v>
      </c>
      <c r="I292" s="32" t="s">
        <v>462</v>
      </c>
      <c r="J292" s="279">
        <v>11</v>
      </c>
      <c r="K292" s="280">
        <v>11473.11</v>
      </c>
      <c r="L292" s="280">
        <v>1404.44</v>
      </c>
      <c r="M292" s="280">
        <v>10068.67</v>
      </c>
      <c r="N292" s="281">
        <v>467</v>
      </c>
      <c r="O292" s="282">
        <v>529</v>
      </c>
      <c r="P292" s="280">
        <f t="shared" si="9"/>
        <v>12996.306616702355</v>
      </c>
    </row>
    <row r="293" spans="1:16" x14ac:dyDescent="0.2">
      <c r="A293" s="32" t="s">
        <v>594</v>
      </c>
      <c r="B293" s="32" t="s">
        <v>576</v>
      </c>
      <c r="C293" s="32" t="s">
        <v>577</v>
      </c>
      <c r="D293" s="32" t="s">
        <v>590</v>
      </c>
      <c r="E293" s="32" t="s">
        <v>556</v>
      </c>
      <c r="F293" s="32" t="s">
        <v>584</v>
      </c>
      <c r="G293" s="32" t="str">
        <f t="shared" si="8"/>
        <v>1.125" PE STUB</v>
      </c>
      <c r="H293" s="278" t="s">
        <v>470</v>
      </c>
      <c r="I293" s="32" t="s">
        <v>462</v>
      </c>
      <c r="J293" s="279">
        <v>334</v>
      </c>
      <c r="K293" s="280">
        <v>159617.04</v>
      </c>
      <c r="L293" s="280">
        <v>19538.97</v>
      </c>
      <c r="M293" s="280">
        <v>140078.07</v>
      </c>
      <c r="N293" s="281">
        <v>467</v>
      </c>
      <c r="O293" s="282">
        <v>529</v>
      </c>
      <c r="P293" s="280">
        <f t="shared" si="9"/>
        <v>180808.16736616701</v>
      </c>
    </row>
    <row r="294" spans="1:16" x14ac:dyDescent="0.2">
      <c r="A294" s="32" t="s">
        <v>594</v>
      </c>
      <c r="B294" s="32" t="s">
        <v>576</v>
      </c>
      <c r="C294" s="32" t="s">
        <v>577</v>
      </c>
      <c r="D294" s="32" t="s">
        <v>590</v>
      </c>
      <c r="E294" s="32" t="s">
        <v>556</v>
      </c>
      <c r="F294" s="32" t="s">
        <v>584</v>
      </c>
      <c r="G294" s="32" t="str">
        <f t="shared" si="8"/>
        <v>1.125" PE STUB</v>
      </c>
      <c r="H294" s="278" t="s">
        <v>470</v>
      </c>
      <c r="I294" s="32" t="s">
        <v>462</v>
      </c>
      <c r="J294" s="279">
        <v>390</v>
      </c>
      <c r="K294" s="280">
        <v>318214.17</v>
      </c>
      <c r="L294" s="280">
        <v>38953.1</v>
      </c>
      <c r="M294" s="280">
        <v>279261.07</v>
      </c>
      <c r="N294" s="281">
        <v>467</v>
      </c>
      <c r="O294" s="282">
        <v>529</v>
      </c>
      <c r="P294" s="280">
        <f t="shared" si="9"/>
        <v>360461.01912205562</v>
      </c>
    </row>
    <row r="295" spans="1:16" x14ac:dyDescent="0.2">
      <c r="A295" s="32" t="s">
        <v>594</v>
      </c>
      <c r="B295" s="32" t="s">
        <v>576</v>
      </c>
      <c r="C295" s="32" t="s">
        <v>577</v>
      </c>
      <c r="D295" s="32" t="s">
        <v>590</v>
      </c>
      <c r="E295" s="32" t="s">
        <v>556</v>
      </c>
      <c r="F295" s="32" t="s">
        <v>584</v>
      </c>
      <c r="G295" s="32" t="str">
        <f t="shared" si="8"/>
        <v>1.125" PE STUB</v>
      </c>
      <c r="H295" s="278" t="s">
        <v>470</v>
      </c>
      <c r="I295" s="32" t="s">
        <v>462</v>
      </c>
      <c r="J295" s="279">
        <v>560</v>
      </c>
      <c r="K295" s="280">
        <v>201391.62</v>
      </c>
      <c r="L295" s="280">
        <v>24652.67</v>
      </c>
      <c r="M295" s="280">
        <v>176738.95</v>
      </c>
      <c r="N295" s="281">
        <v>467</v>
      </c>
      <c r="O295" s="282">
        <v>529</v>
      </c>
      <c r="P295" s="280">
        <f t="shared" si="9"/>
        <v>228128.83721627406</v>
      </c>
    </row>
    <row r="296" spans="1:16" x14ac:dyDescent="0.2">
      <c r="A296" s="32" t="s">
        <v>594</v>
      </c>
      <c r="B296" s="32" t="s">
        <v>576</v>
      </c>
      <c r="C296" s="32" t="s">
        <v>577</v>
      </c>
      <c r="D296" s="32" t="s">
        <v>590</v>
      </c>
      <c r="E296" s="32" t="s">
        <v>556</v>
      </c>
      <c r="F296" s="32" t="s">
        <v>584</v>
      </c>
      <c r="G296" s="32" t="str">
        <f t="shared" si="8"/>
        <v>1.125" PE STUB</v>
      </c>
      <c r="H296" s="278" t="s">
        <v>470</v>
      </c>
      <c r="I296" s="32" t="s">
        <v>462</v>
      </c>
      <c r="J296" s="279">
        <v>633</v>
      </c>
      <c r="K296" s="280">
        <v>607195.93000000005</v>
      </c>
      <c r="L296" s="280">
        <v>74327.81</v>
      </c>
      <c r="M296" s="280">
        <v>532868.12</v>
      </c>
      <c r="N296" s="281">
        <v>467</v>
      </c>
      <c r="O296" s="282">
        <v>529</v>
      </c>
      <c r="P296" s="280">
        <f t="shared" si="9"/>
        <v>687808.66588865092</v>
      </c>
    </row>
    <row r="297" spans="1:16" x14ac:dyDescent="0.2">
      <c r="A297" s="32" t="s">
        <v>594</v>
      </c>
      <c r="B297" s="32" t="s">
        <v>576</v>
      </c>
      <c r="C297" s="32" t="s">
        <v>577</v>
      </c>
      <c r="D297" s="32" t="s">
        <v>590</v>
      </c>
      <c r="E297" s="32" t="s">
        <v>556</v>
      </c>
      <c r="F297" s="32" t="s">
        <v>584</v>
      </c>
      <c r="G297" s="32" t="str">
        <f t="shared" si="8"/>
        <v>1.125" PE STUB</v>
      </c>
      <c r="H297" s="278" t="s">
        <v>470</v>
      </c>
      <c r="I297" s="32" t="s">
        <v>462</v>
      </c>
      <c r="J297" s="279">
        <v>2553</v>
      </c>
      <c r="K297" s="280">
        <v>1998253.92</v>
      </c>
      <c r="L297" s="280">
        <v>244609.42</v>
      </c>
      <c r="M297" s="280">
        <v>1753644.5</v>
      </c>
      <c r="N297" s="281">
        <v>467</v>
      </c>
      <c r="O297" s="282">
        <v>529</v>
      </c>
      <c r="P297" s="280">
        <f t="shared" si="9"/>
        <v>2263546.7316488218</v>
      </c>
    </row>
    <row r="298" spans="1:16" x14ac:dyDescent="0.2">
      <c r="A298" s="32" t="s">
        <v>594</v>
      </c>
      <c r="B298" s="32" t="s">
        <v>576</v>
      </c>
      <c r="C298" s="32" t="s">
        <v>577</v>
      </c>
      <c r="D298" s="32" t="s">
        <v>590</v>
      </c>
      <c r="E298" s="32" t="s">
        <v>556</v>
      </c>
      <c r="F298" s="32" t="s">
        <v>584</v>
      </c>
      <c r="G298" s="32" t="str">
        <f t="shared" si="8"/>
        <v>1.125" PE STUB</v>
      </c>
      <c r="H298" s="278" t="s">
        <v>461</v>
      </c>
      <c r="I298" s="32" t="s">
        <v>462</v>
      </c>
      <c r="J298" s="279">
        <v>0</v>
      </c>
      <c r="K298" s="280">
        <v>2557.1999999999998</v>
      </c>
      <c r="L298" s="280">
        <v>227.63</v>
      </c>
      <c r="M298" s="280">
        <v>2329.5700000000002</v>
      </c>
      <c r="N298" s="281">
        <v>491</v>
      </c>
      <c r="O298" s="282">
        <v>529</v>
      </c>
      <c r="P298" s="280">
        <f t="shared" si="9"/>
        <v>2755.109572301425</v>
      </c>
    </row>
    <row r="299" spans="1:16" x14ac:dyDescent="0.2">
      <c r="A299" s="32" t="s">
        <v>594</v>
      </c>
      <c r="B299" s="32" t="s">
        <v>576</v>
      </c>
      <c r="C299" s="32" t="s">
        <v>577</v>
      </c>
      <c r="D299" s="32" t="s">
        <v>590</v>
      </c>
      <c r="E299" s="32" t="s">
        <v>556</v>
      </c>
      <c r="F299" s="32" t="s">
        <v>584</v>
      </c>
      <c r="G299" s="32" t="str">
        <f t="shared" si="8"/>
        <v>1.125" PE STUB</v>
      </c>
      <c r="H299" s="278" t="s">
        <v>461</v>
      </c>
      <c r="I299" s="32" t="s">
        <v>462</v>
      </c>
      <c r="J299" s="279">
        <v>10</v>
      </c>
      <c r="K299" s="280">
        <v>20570.27</v>
      </c>
      <c r="L299" s="280">
        <v>1831.11</v>
      </c>
      <c r="M299" s="280">
        <v>18739.16</v>
      </c>
      <c r="N299" s="281">
        <v>491</v>
      </c>
      <c r="O299" s="282">
        <v>529</v>
      </c>
      <c r="P299" s="280">
        <f t="shared" si="9"/>
        <v>22162.266456211812</v>
      </c>
    </row>
    <row r="300" spans="1:16" x14ac:dyDescent="0.2">
      <c r="A300" s="32" t="s">
        <v>594</v>
      </c>
      <c r="B300" s="32" t="s">
        <v>576</v>
      </c>
      <c r="C300" s="32" t="s">
        <v>577</v>
      </c>
      <c r="D300" s="32" t="s">
        <v>590</v>
      </c>
      <c r="E300" s="32" t="s">
        <v>556</v>
      </c>
      <c r="F300" s="32" t="s">
        <v>584</v>
      </c>
      <c r="G300" s="32" t="str">
        <f t="shared" si="8"/>
        <v>1.125" PE STUB</v>
      </c>
      <c r="H300" s="278" t="s">
        <v>461</v>
      </c>
      <c r="I300" s="32" t="s">
        <v>462</v>
      </c>
      <c r="J300" s="279">
        <v>57</v>
      </c>
      <c r="K300" s="280">
        <v>37597.51</v>
      </c>
      <c r="L300" s="280">
        <v>3346.82</v>
      </c>
      <c r="M300" s="280">
        <v>34250.69</v>
      </c>
      <c r="N300" s="281">
        <v>491</v>
      </c>
      <c r="O300" s="282">
        <v>529</v>
      </c>
      <c r="P300" s="280">
        <f t="shared" si="9"/>
        <v>40507.296924643582</v>
      </c>
    </row>
    <row r="301" spans="1:16" x14ac:dyDescent="0.2">
      <c r="A301" s="32" t="s">
        <v>594</v>
      </c>
      <c r="B301" s="32" t="s">
        <v>576</v>
      </c>
      <c r="C301" s="32" t="s">
        <v>577</v>
      </c>
      <c r="D301" s="32" t="s">
        <v>590</v>
      </c>
      <c r="E301" s="32" t="s">
        <v>556</v>
      </c>
      <c r="F301" s="32" t="s">
        <v>584</v>
      </c>
      <c r="G301" s="32" t="str">
        <f t="shared" si="8"/>
        <v>1.125" PE STUB</v>
      </c>
      <c r="H301" s="278" t="s">
        <v>461</v>
      </c>
      <c r="I301" s="32" t="s">
        <v>462</v>
      </c>
      <c r="J301" s="279">
        <v>390</v>
      </c>
      <c r="K301" s="280">
        <v>243481.14</v>
      </c>
      <c r="L301" s="280">
        <v>21673.99</v>
      </c>
      <c r="M301" s="280">
        <v>221807.15</v>
      </c>
      <c r="N301" s="281">
        <v>491</v>
      </c>
      <c r="O301" s="282">
        <v>529</v>
      </c>
      <c r="P301" s="280">
        <f t="shared" si="9"/>
        <v>262324.89421588596</v>
      </c>
    </row>
    <row r="302" spans="1:16" x14ac:dyDescent="0.2">
      <c r="A302" s="32" t="s">
        <v>594</v>
      </c>
      <c r="B302" s="32" t="s">
        <v>576</v>
      </c>
      <c r="C302" s="32" t="s">
        <v>577</v>
      </c>
      <c r="D302" s="32" t="s">
        <v>590</v>
      </c>
      <c r="E302" s="32" t="s">
        <v>556</v>
      </c>
      <c r="F302" s="32" t="s">
        <v>584</v>
      </c>
      <c r="G302" s="32" t="str">
        <f t="shared" si="8"/>
        <v>1.125" PE STUB</v>
      </c>
      <c r="H302" s="278" t="s">
        <v>461</v>
      </c>
      <c r="I302" s="32" t="s">
        <v>462</v>
      </c>
      <c r="J302" s="279">
        <v>929</v>
      </c>
      <c r="K302" s="280">
        <v>828589.52</v>
      </c>
      <c r="L302" s="280">
        <v>73758.64</v>
      </c>
      <c r="M302" s="280">
        <v>754830.88</v>
      </c>
      <c r="N302" s="281">
        <v>491</v>
      </c>
      <c r="O302" s="282">
        <v>529</v>
      </c>
      <c r="P302" s="280">
        <f t="shared" si="9"/>
        <v>892716.61116089602</v>
      </c>
    </row>
    <row r="303" spans="1:16" x14ac:dyDescent="0.2">
      <c r="A303" s="32" t="s">
        <v>594</v>
      </c>
      <c r="B303" s="32" t="s">
        <v>576</v>
      </c>
      <c r="C303" s="32" t="s">
        <v>577</v>
      </c>
      <c r="D303" s="32" t="s">
        <v>590</v>
      </c>
      <c r="E303" s="32" t="s">
        <v>556</v>
      </c>
      <c r="F303" s="32" t="s">
        <v>584</v>
      </c>
      <c r="G303" s="32" t="str">
        <f t="shared" si="8"/>
        <v>1.125" PE STUB</v>
      </c>
      <c r="H303" s="278" t="s">
        <v>461</v>
      </c>
      <c r="I303" s="32" t="s">
        <v>462</v>
      </c>
      <c r="J303" s="279">
        <v>1241</v>
      </c>
      <c r="K303" s="280">
        <v>899929.5</v>
      </c>
      <c r="L303" s="280">
        <v>80109.119999999995</v>
      </c>
      <c r="M303" s="280">
        <v>819820.38</v>
      </c>
      <c r="N303" s="281">
        <v>491</v>
      </c>
      <c r="O303" s="282">
        <v>529</v>
      </c>
      <c r="P303" s="280">
        <f t="shared" si="9"/>
        <v>969577.8116089612</v>
      </c>
    </row>
    <row r="304" spans="1:16" x14ac:dyDescent="0.2">
      <c r="A304" s="32" t="s">
        <v>594</v>
      </c>
      <c r="B304" s="32" t="s">
        <v>576</v>
      </c>
      <c r="C304" s="32" t="s">
        <v>577</v>
      </c>
      <c r="D304" s="32" t="s">
        <v>590</v>
      </c>
      <c r="E304" s="32" t="s">
        <v>556</v>
      </c>
      <c r="F304" s="32" t="s">
        <v>584</v>
      </c>
      <c r="G304" s="32" t="str">
        <f t="shared" si="8"/>
        <v>1.125" PE STUB</v>
      </c>
      <c r="H304" s="278" t="s">
        <v>461</v>
      </c>
      <c r="I304" s="32" t="s">
        <v>462</v>
      </c>
      <c r="J304" s="279">
        <v>2850</v>
      </c>
      <c r="K304" s="280">
        <v>2752945.94</v>
      </c>
      <c r="L304" s="280">
        <v>245059.29</v>
      </c>
      <c r="M304" s="280">
        <v>2507886.65</v>
      </c>
      <c r="N304" s="281">
        <v>491</v>
      </c>
      <c r="O304" s="282">
        <v>529</v>
      </c>
      <c r="P304" s="280">
        <f t="shared" si="9"/>
        <v>2966004.8925865577</v>
      </c>
    </row>
    <row r="305" spans="1:16" x14ac:dyDescent="0.2">
      <c r="A305" s="32" t="s">
        <v>594</v>
      </c>
      <c r="B305" s="32" t="s">
        <v>576</v>
      </c>
      <c r="C305" s="32" t="s">
        <v>577</v>
      </c>
      <c r="D305" s="32" t="s">
        <v>590</v>
      </c>
      <c r="E305" s="32" t="s">
        <v>556</v>
      </c>
      <c r="F305" s="32" t="s">
        <v>584</v>
      </c>
      <c r="G305" s="32" t="str">
        <f t="shared" si="8"/>
        <v>1.125" PE STUB</v>
      </c>
      <c r="H305" s="278" t="s">
        <v>468</v>
      </c>
      <c r="I305" s="32" t="s">
        <v>462</v>
      </c>
      <c r="J305" s="279">
        <v>5</v>
      </c>
      <c r="K305" s="280">
        <v>8178.42</v>
      </c>
      <c r="L305" s="280">
        <v>452.27</v>
      </c>
      <c r="M305" s="280">
        <v>7726.15</v>
      </c>
      <c r="N305" s="281">
        <v>517</v>
      </c>
      <c r="O305" s="282">
        <v>529</v>
      </c>
      <c r="P305" s="280">
        <f t="shared" si="9"/>
        <v>8368.2479303675063</v>
      </c>
    </row>
    <row r="306" spans="1:16" x14ac:dyDescent="0.2">
      <c r="A306" s="32" t="s">
        <v>594</v>
      </c>
      <c r="B306" s="32" t="s">
        <v>576</v>
      </c>
      <c r="C306" s="32" t="s">
        <v>577</v>
      </c>
      <c r="D306" s="32" t="s">
        <v>590</v>
      </c>
      <c r="E306" s="32" t="s">
        <v>556</v>
      </c>
      <c r="F306" s="32" t="s">
        <v>584</v>
      </c>
      <c r="G306" s="32" t="str">
        <f t="shared" si="8"/>
        <v>1.125" PE STUB</v>
      </c>
      <c r="H306" s="278" t="s">
        <v>468</v>
      </c>
      <c r="I306" s="32" t="s">
        <v>462</v>
      </c>
      <c r="J306" s="279">
        <v>19</v>
      </c>
      <c r="K306" s="280">
        <v>21709.599999999999</v>
      </c>
      <c r="L306" s="280">
        <v>1200.54</v>
      </c>
      <c r="M306" s="280">
        <v>20509.060000000001</v>
      </c>
      <c r="N306" s="281">
        <v>517</v>
      </c>
      <c r="O306" s="282">
        <v>529</v>
      </c>
      <c r="P306" s="280">
        <f t="shared" si="9"/>
        <v>22213.497872340427</v>
      </c>
    </row>
    <row r="307" spans="1:16" x14ac:dyDescent="0.2">
      <c r="A307" s="32" t="s">
        <v>594</v>
      </c>
      <c r="B307" s="32" t="s">
        <v>576</v>
      </c>
      <c r="C307" s="32" t="s">
        <v>577</v>
      </c>
      <c r="D307" s="32" t="s">
        <v>590</v>
      </c>
      <c r="E307" s="32" t="s">
        <v>556</v>
      </c>
      <c r="F307" s="32" t="s">
        <v>584</v>
      </c>
      <c r="G307" s="32" t="str">
        <f t="shared" si="8"/>
        <v>1.125" PE STUB</v>
      </c>
      <c r="H307" s="278" t="s">
        <v>468</v>
      </c>
      <c r="I307" s="32" t="s">
        <v>462</v>
      </c>
      <c r="J307" s="279">
        <v>83</v>
      </c>
      <c r="K307" s="280">
        <v>128856.01</v>
      </c>
      <c r="L307" s="280">
        <v>7125.73</v>
      </c>
      <c r="M307" s="280">
        <v>121730.28</v>
      </c>
      <c r="N307" s="281">
        <v>517</v>
      </c>
      <c r="O307" s="282">
        <v>529</v>
      </c>
      <c r="P307" s="280">
        <f t="shared" si="9"/>
        <v>131846.86516441006</v>
      </c>
    </row>
    <row r="308" spans="1:16" x14ac:dyDescent="0.2">
      <c r="A308" s="32" t="s">
        <v>594</v>
      </c>
      <c r="B308" s="32" t="s">
        <v>576</v>
      </c>
      <c r="C308" s="32" t="s">
        <v>577</v>
      </c>
      <c r="D308" s="32" t="s">
        <v>590</v>
      </c>
      <c r="E308" s="32" t="s">
        <v>556</v>
      </c>
      <c r="F308" s="32" t="s">
        <v>584</v>
      </c>
      <c r="G308" s="32" t="str">
        <f t="shared" si="8"/>
        <v>1.125" PE STUB</v>
      </c>
      <c r="H308" s="278" t="s">
        <v>468</v>
      </c>
      <c r="I308" s="32" t="s">
        <v>462</v>
      </c>
      <c r="J308" s="279">
        <v>457</v>
      </c>
      <c r="K308" s="280">
        <v>630243.66</v>
      </c>
      <c r="L308" s="280">
        <v>34852.44</v>
      </c>
      <c r="M308" s="280">
        <v>595391.22</v>
      </c>
      <c r="N308" s="281">
        <v>517</v>
      </c>
      <c r="O308" s="282">
        <v>529</v>
      </c>
      <c r="P308" s="280">
        <f t="shared" si="9"/>
        <v>644872.13953578344</v>
      </c>
    </row>
    <row r="309" spans="1:16" x14ac:dyDescent="0.2">
      <c r="A309" s="32" t="s">
        <v>594</v>
      </c>
      <c r="B309" s="32" t="s">
        <v>576</v>
      </c>
      <c r="C309" s="32" t="s">
        <v>577</v>
      </c>
      <c r="D309" s="32" t="s">
        <v>590</v>
      </c>
      <c r="E309" s="32" t="s">
        <v>556</v>
      </c>
      <c r="F309" s="32" t="s">
        <v>584</v>
      </c>
      <c r="G309" s="32" t="str">
        <f t="shared" si="8"/>
        <v>1.125" PE STUB</v>
      </c>
      <c r="H309" s="278" t="s">
        <v>468</v>
      </c>
      <c r="I309" s="32" t="s">
        <v>462</v>
      </c>
      <c r="J309" s="279">
        <v>754</v>
      </c>
      <c r="K309" s="280">
        <v>877508.96</v>
      </c>
      <c r="L309" s="280">
        <v>48526.19</v>
      </c>
      <c r="M309" s="280">
        <v>828982.77</v>
      </c>
      <c r="N309" s="281">
        <v>517</v>
      </c>
      <c r="O309" s="282">
        <v>529</v>
      </c>
      <c r="P309" s="280">
        <f t="shared" si="9"/>
        <v>897876.67280464224</v>
      </c>
    </row>
    <row r="310" spans="1:16" x14ac:dyDescent="0.2">
      <c r="A310" s="32" t="s">
        <v>594</v>
      </c>
      <c r="B310" s="32" t="s">
        <v>576</v>
      </c>
      <c r="C310" s="32" t="s">
        <v>577</v>
      </c>
      <c r="D310" s="32" t="s">
        <v>590</v>
      </c>
      <c r="E310" s="32" t="s">
        <v>556</v>
      </c>
      <c r="F310" s="32" t="s">
        <v>584</v>
      </c>
      <c r="G310" s="32" t="str">
        <f t="shared" si="8"/>
        <v>1.125" PE STUB</v>
      </c>
      <c r="H310" s="278" t="s">
        <v>468</v>
      </c>
      <c r="I310" s="32" t="s">
        <v>462</v>
      </c>
      <c r="J310" s="279">
        <v>2292</v>
      </c>
      <c r="K310" s="280">
        <v>3666717.38</v>
      </c>
      <c r="L310" s="280">
        <v>202769.25</v>
      </c>
      <c r="M310" s="280">
        <v>3463948.13</v>
      </c>
      <c r="N310" s="281">
        <v>517</v>
      </c>
      <c r="O310" s="282">
        <v>529</v>
      </c>
      <c r="P310" s="280">
        <f t="shared" si="9"/>
        <v>3751824.9400773696</v>
      </c>
    </row>
    <row r="311" spans="1:16" x14ac:dyDescent="0.2">
      <c r="A311" s="32" t="s">
        <v>594</v>
      </c>
      <c r="B311" s="32" t="s">
        <v>576</v>
      </c>
      <c r="C311" s="32" t="s">
        <v>577</v>
      </c>
      <c r="D311" s="32" t="s">
        <v>590</v>
      </c>
      <c r="E311" s="32" t="s">
        <v>556</v>
      </c>
      <c r="F311" s="32" t="s">
        <v>584</v>
      </c>
      <c r="G311" s="32" t="str">
        <f t="shared" si="8"/>
        <v>1.125" PE STUB</v>
      </c>
      <c r="H311" s="278" t="s">
        <v>469</v>
      </c>
      <c r="I311" s="32" t="s">
        <v>462</v>
      </c>
      <c r="J311" s="279">
        <v>1</v>
      </c>
      <c r="K311" s="280">
        <v>1691.24</v>
      </c>
      <c r="L311" s="280">
        <v>33.25</v>
      </c>
      <c r="M311" s="280">
        <v>1657.99</v>
      </c>
      <c r="N311" s="281">
        <v>529</v>
      </c>
      <c r="O311" s="282">
        <v>529</v>
      </c>
      <c r="P311" s="280">
        <f t="shared" si="9"/>
        <v>1691.24</v>
      </c>
    </row>
    <row r="312" spans="1:16" x14ac:dyDescent="0.2">
      <c r="A312" s="32" t="s">
        <v>594</v>
      </c>
      <c r="B312" s="32" t="s">
        <v>576</v>
      </c>
      <c r="C312" s="32" t="s">
        <v>577</v>
      </c>
      <c r="D312" s="32" t="s">
        <v>590</v>
      </c>
      <c r="E312" s="32" t="s">
        <v>556</v>
      </c>
      <c r="F312" s="32" t="s">
        <v>584</v>
      </c>
      <c r="G312" s="32" t="str">
        <f t="shared" si="8"/>
        <v>1.125" PE STUB</v>
      </c>
      <c r="H312" s="278" t="s">
        <v>469</v>
      </c>
      <c r="I312" s="32" t="s">
        <v>462</v>
      </c>
      <c r="J312" s="279">
        <v>5</v>
      </c>
      <c r="K312" s="280">
        <v>13246.63</v>
      </c>
      <c r="L312" s="280">
        <v>260.45</v>
      </c>
      <c r="M312" s="280">
        <v>12986.18</v>
      </c>
      <c r="N312" s="281">
        <v>529</v>
      </c>
      <c r="O312" s="282">
        <v>529</v>
      </c>
      <c r="P312" s="280">
        <f t="shared" si="9"/>
        <v>13246.63</v>
      </c>
    </row>
    <row r="313" spans="1:16" x14ac:dyDescent="0.2">
      <c r="A313" s="32" t="s">
        <v>594</v>
      </c>
      <c r="B313" s="32" t="s">
        <v>576</v>
      </c>
      <c r="C313" s="32" t="s">
        <v>577</v>
      </c>
      <c r="D313" s="32" t="s">
        <v>590</v>
      </c>
      <c r="E313" s="32" t="s">
        <v>556</v>
      </c>
      <c r="F313" s="32" t="s">
        <v>584</v>
      </c>
      <c r="G313" s="32" t="str">
        <f t="shared" si="8"/>
        <v>1.125" PE STUB</v>
      </c>
      <c r="H313" s="278" t="s">
        <v>469</v>
      </c>
      <c r="I313" s="32" t="s">
        <v>462</v>
      </c>
      <c r="J313" s="279">
        <v>18</v>
      </c>
      <c r="K313" s="280">
        <v>26907.99</v>
      </c>
      <c r="L313" s="280">
        <v>529.04999999999995</v>
      </c>
      <c r="M313" s="280">
        <v>26378.94</v>
      </c>
      <c r="N313" s="281">
        <v>529</v>
      </c>
      <c r="O313" s="282">
        <v>529</v>
      </c>
      <c r="P313" s="280">
        <f t="shared" si="9"/>
        <v>26907.99</v>
      </c>
    </row>
    <row r="314" spans="1:16" x14ac:dyDescent="0.2">
      <c r="A314" s="32" t="s">
        <v>594</v>
      </c>
      <c r="B314" s="32" t="s">
        <v>576</v>
      </c>
      <c r="C314" s="32" t="s">
        <v>577</v>
      </c>
      <c r="D314" s="32" t="s">
        <v>590</v>
      </c>
      <c r="E314" s="32" t="s">
        <v>556</v>
      </c>
      <c r="F314" s="32" t="s">
        <v>584</v>
      </c>
      <c r="G314" s="32" t="str">
        <f t="shared" si="8"/>
        <v>1.125" PE STUB</v>
      </c>
      <c r="H314" s="278" t="s">
        <v>469</v>
      </c>
      <c r="I314" s="32" t="s">
        <v>462</v>
      </c>
      <c r="J314" s="279">
        <v>173</v>
      </c>
      <c r="K314" s="280">
        <v>200792.31</v>
      </c>
      <c r="L314" s="280">
        <v>3947.86</v>
      </c>
      <c r="M314" s="280">
        <v>196844.45</v>
      </c>
      <c r="N314" s="281">
        <v>529</v>
      </c>
      <c r="O314" s="282">
        <v>529</v>
      </c>
      <c r="P314" s="280">
        <f t="shared" si="9"/>
        <v>200792.31</v>
      </c>
    </row>
    <row r="315" spans="1:16" x14ac:dyDescent="0.2">
      <c r="A315" s="32" t="s">
        <v>594</v>
      </c>
      <c r="B315" s="32" t="s">
        <v>576</v>
      </c>
      <c r="C315" s="32" t="s">
        <v>577</v>
      </c>
      <c r="D315" s="32" t="s">
        <v>590</v>
      </c>
      <c r="E315" s="32" t="s">
        <v>556</v>
      </c>
      <c r="F315" s="32" t="s">
        <v>584</v>
      </c>
      <c r="G315" s="32" t="str">
        <f t="shared" si="8"/>
        <v>1.125" PE STUB</v>
      </c>
      <c r="H315" s="278" t="s">
        <v>469</v>
      </c>
      <c r="I315" s="32" t="s">
        <v>462</v>
      </c>
      <c r="J315" s="279">
        <v>409</v>
      </c>
      <c r="K315" s="280">
        <v>568749.18999999994</v>
      </c>
      <c r="L315" s="280">
        <v>11182.41</v>
      </c>
      <c r="M315" s="280">
        <v>557566.78</v>
      </c>
      <c r="N315" s="281">
        <v>529</v>
      </c>
      <c r="O315" s="282">
        <v>529</v>
      </c>
      <c r="P315" s="280">
        <f t="shared" si="9"/>
        <v>568749.18999999994</v>
      </c>
    </row>
    <row r="316" spans="1:16" x14ac:dyDescent="0.2">
      <c r="A316" s="32" t="s">
        <v>594</v>
      </c>
      <c r="B316" s="32" t="s">
        <v>576</v>
      </c>
      <c r="C316" s="32" t="s">
        <v>577</v>
      </c>
      <c r="D316" s="32" t="s">
        <v>590</v>
      </c>
      <c r="E316" s="32" t="s">
        <v>556</v>
      </c>
      <c r="F316" s="32" t="s">
        <v>584</v>
      </c>
      <c r="G316" s="32" t="str">
        <f t="shared" si="8"/>
        <v>1.125" PE STUB</v>
      </c>
      <c r="H316" s="278" t="s">
        <v>469</v>
      </c>
      <c r="I316" s="32" t="s">
        <v>462</v>
      </c>
      <c r="J316" s="279">
        <v>604</v>
      </c>
      <c r="K316" s="280">
        <v>848191.45</v>
      </c>
      <c r="L316" s="280">
        <v>16676.64</v>
      </c>
      <c r="M316" s="280">
        <v>831514.81</v>
      </c>
      <c r="N316" s="281">
        <v>529</v>
      </c>
      <c r="O316" s="282">
        <v>529</v>
      </c>
      <c r="P316" s="280">
        <f t="shared" si="9"/>
        <v>848191.45</v>
      </c>
    </row>
    <row r="317" spans="1:16" x14ac:dyDescent="0.2">
      <c r="A317" s="32" t="s">
        <v>594</v>
      </c>
      <c r="B317" s="32" t="s">
        <v>576</v>
      </c>
      <c r="C317" s="32" t="s">
        <v>577</v>
      </c>
      <c r="D317" s="32" t="s">
        <v>590</v>
      </c>
      <c r="E317" s="32" t="s">
        <v>556</v>
      </c>
      <c r="F317" s="32" t="s">
        <v>584</v>
      </c>
      <c r="G317" s="32" t="str">
        <f t="shared" si="8"/>
        <v>1.125" PE STUB</v>
      </c>
      <c r="H317" s="278" t="s">
        <v>469</v>
      </c>
      <c r="I317" s="32" t="s">
        <v>462</v>
      </c>
      <c r="J317" s="279">
        <v>1231</v>
      </c>
      <c r="K317" s="280">
        <v>2607753.83</v>
      </c>
      <c r="L317" s="280">
        <v>51272.12</v>
      </c>
      <c r="M317" s="280">
        <v>2556481.71</v>
      </c>
      <c r="N317" s="281">
        <v>529</v>
      </c>
      <c r="O317" s="282">
        <v>529</v>
      </c>
      <c r="P317" s="280">
        <f t="shared" si="9"/>
        <v>2607753.83</v>
      </c>
    </row>
    <row r="318" spans="1:16" x14ac:dyDescent="0.2">
      <c r="A318" s="32" t="s">
        <v>595</v>
      </c>
      <c r="B318" s="32" t="s">
        <v>576</v>
      </c>
      <c r="C318" s="32" t="s">
        <v>577</v>
      </c>
      <c r="D318" s="32" t="s">
        <v>590</v>
      </c>
      <c r="E318" s="32" t="s">
        <v>556</v>
      </c>
      <c r="F318" s="32" t="s">
        <v>584</v>
      </c>
      <c r="G318" s="32" t="str">
        <f t="shared" si="8"/>
        <v>1.125" PE STUB</v>
      </c>
      <c r="H318" s="278" t="s">
        <v>522</v>
      </c>
      <c r="I318" s="32" t="s">
        <v>462</v>
      </c>
      <c r="J318" s="279">
        <v>265</v>
      </c>
      <c r="K318" s="280">
        <v>41744.29</v>
      </c>
      <c r="L318" s="280">
        <v>40852.910000000003</v>
      </c>
      <c r="M318" s="280">
        <v>891.38</v>
      </c>
      <c r="N318" s="281">
        <v>141</v>
      </c>
      <c r="O318" s="282">
        <v>529</v>
      </c>
      <c r="P318" s="280">
        <f t="shared" si="9"/>
        <v>156615.10219858156</v>
      </c>
    </row>
    <row r="319" spans="1:16" x14ac:dyDescent="0.2">
      <c r="A319" s="32" t="s">
        <v>595</v>
      </c>
      <c r="B319" s="32" t="s">
        <v>576</v>
      </c>
      <c r="C319" s="32" t="s">
        <v>577</v>
      </c>
      <c r="D319" s="32" t="s">
        <v>590</v>
      </c>
      <c r="E319" s="32" t="s">
        <v>556</v>
      </c>
      <c r="F319" s="32" t="s">
        <v>584</v>
      </c>
      <c r="G319" s="32" t="str">
        <f t="shared" si="8"/>
        <v>1.125" PE STUB</v>
      </c>
      <c r="H319" s="278" t="s">
        <v>526</v>
      </c>
      <c r="I319" s="32" t="s">
        <v>462</v>
      </c>
      <c r="J319" s="279">
        <v>274</v>
      </c>
      <c r="K319" s="280">
        <v>42164.31</v>
      </c>
      <c r="L319" s="280">
        <v>40836.6</v>
      </c>
      <c r="M319" s="280">
        <v>1327.71</v>
      </c>
      <c r="N319" s="281">
        <v>149</v>
      </c>
      <c r="O319" s="282">
        <v>529</v>
      </c>
      <c r="P319" s="280">
        <f t="shared" si="9"/>
        <v>149697.44959731543</v>
      </c>
    </row>
    <row r="320" spans="1:16" x14ac:dyDescent="0.2">
      <c r="A320" s="32" t="s">
        <v>595</v>
      </c>
      <c r="B320" s="32" t="s">
        <v>576</v>
      </c>
      <c r="C320" s="32" t="s">
        <v>577</v>
      </c>
      <c r="D320" s="32" t="s">
        <v>590</v>
      </c>
      <c r="E320" s="32" t="s">
        <v>556</v>
      </c>
      <c r="F320" s="32" t="s">
        <v>584</v>
      </c>
      <c r="G320" s="32" t="str">
        <f t="shared" si="8"/>
        <v>1.125" PE STUB</v>
      </c>
      <c r="H320" s="278" t="s">
        <v>486</v>
      </c>
      <c r="I320" s="32" t="s">
        <v>462</v>
      </c>
      <c r="J320" s="279">
        <v>413</v>
      </c>
      <c r="K320" s="280">
        <v>58420.67</v>
      </c>
      <c r="L320" s="280">
        <v>55923.74</v>
      </c>
      <c r="M320" s="280">
        <v>2496.9299999999998</v>
      </c>
      <c r="N320" s="281">
        <v>160</v>
      </c>
      <c r="O320" s="282">
        <v>529</v>
      </c>
      <c r="P320" s="280">
        <f t="shared" si="9"/>
        <v>193153.3401875</v>
      </c>
    </row>
    <row r="321" spans="1:16" x14ac:dyDescent="0.2">
      <c r="A321" s="32" t="s">
        <v>595</v>
      </c>
      <c r="B321" s="32" t="s">
        <v>576</v>
      </c>
      <c r="C321" s="32" t="s">
        <v>577</v>
      </c>
      <c r="D321" s="32" t="s">
        <v>590</v>
      </c>
      <c r="E321" s="32" t="s">
        <v>556</v>
      </c>
      <c r="F321" s="32" t="s">
        <v>584</v>
      </c>
      <c r="G321" s="32" t="str">
        <f t="shared" si="8"/>
        <v>1.125" PE STUB</v>
      </c>
      <c r="H321" s="278" t="s">
        <v>519</v>
      </c>
      <c r="I321" s="32" t="s">
        <v>462</v>
      </c>
      <c r="J321" s="279">
        <v>813</v>
      </c>
      <c r="K321" s="280">
        <v>125445.82</v>
      </c>
      <c r="L321" s="280">
        <v>118522.94</v>
      </c>
      <c r="M321" s="280">
        <v>6922.88</v>
      </c>
      <c r="N321" s="281">
        <v>172</v>
      </c>
      <c r="O321" s="282">
        <v>529</v>
      </c>
      <c r="P321" s="280">
        <f t="shared" si="9"/>
        <v>385818.83011627913</v>
      </c>
    </row>
    <row r="322" spans="1:16" x14ac:dyDescent="0.2">
      <c r="A322" s="32" t="s">
        <v>595</v>
      </c>
      <c r="B322" s="32" t="s">
        <v>576</v>
      </c>
      <c r="C322" s="32" t="s">
        <v>577</v>
      </c>
      <c r="D322" s="32" t="s">
        <v>590</v>
      </c>
      <c r="E322" s="32" t="s">
        <v>556</v>
      </c>
      <c r="F322" s="32" t="s">
        <v>584</v>
      </c>
      <c r="G322" s="32" t="str">
        <f t="shared" ref="G322:G385" si="10">D322&amp;" "&amp;E322&amp;" "&amp;F322</f>
        <v>1.125" PE STUB</v>
      </c>
      <c r="H322" s="278" t="s">
        <v>521</v>
      </c>
      <c r="I322" s="32" t="s">
        <v>462</v>
      </c>
      <c r="J322" s="279">
        <v>1009</v>
      </c>
      <c r="K322" s="280">
        <v>205209.28</v>
      </c>
      <c r="L322" s="280">
        <v>191070.78</v>
      </c>
      <c r="M322" s="280">
        <v>14138.5</v>
      </c>
      <c r="N322" s="281">
        <v>192</v>
      </c>
      <c r="O322" s="282">
        <v>529</v>
      </c>
      <c r="P322" s="280">
        <f t="shared" ref="P322:P385" si="11">+(O322/N322)*K322</f>
        <v>565394.31833333336</v>
      </c>
    </row>
    <row r="323" spans="1:16" x14ac:dyDescent="0.2">
      <c r="A323" s="32" t="s">
        <v>595</v>
      </c>
      <c r="B323" s="32" t="s">
        <v>576</v>
      </c>
      <c r="C323" s="32" t="s">
        <v>577</v>
      </c>
      <c r="D323" s="32" t="s">
        <v>590</v>
      </c>
      <c r="E323" s="32" t="s">
        <v>556</v>
      </c>
      <c r="F323" s="32" t="s">
        <v>584</v>
      </c>
      <c r="G323" s="32" t="str">
        <f t="shared" si="10"/>
        <v>1.125" PE STUB</v>
      </c>
      <c r="H323" s="278" t="s">
        <v>520</v>
      </c>
      <c r="I323" s="32" t="s">
        <v>462</v>
      </c>
      <c r="J323" s="279">
        <v>821</v>
      </c>
      <c r="K323" s="280">
        <v>178439.02</v>
      </c>
      <c r="L323" s="280">
        <v>163460.46</v>
      </c>
      <c r="M323" s="280">
        <v>14978.56</v>
      </c>
      <c r="N323" s="281">
        <v>216</v>
      </c>
      <c r="O323" s="282">
        <v>529</v>
      </c>
      <c r="P323" s="280">
        <f t="shared" si="11"/>
        <v>437010.37768518511</v>
      </c>
    </row>
    <row r="324" spans="1:16" x14ac:dyDescent="0.2">
      <c r="A324" s="32" t="s">
        <v>595</v>
      </c>
      <c r="B324" s="32" t="s">
        <v>576</v>
      </c>
      <c r="C324" s="32" t="s">
        <v>577</v>
      </c>
      <c r="D324" s="32" t="s">
        <v>590</v>
      </c>
      <c r="E324" s="32" t="s">
        <v>556</v>
      </c>
      <c r="F324" s="32" t="s">
        <v>584</v>
      </c>
      <c r="G324" s="32" t="str">
        <f t="shared" si="10"/>
        <v>1.125" PE STUB</v>
      </c>
      <c r="H324" s="278" t="s">
        <v>518</v>
      </c>
      <c r="I324" s="32" t="s">
        <v>462</v>
      </c>
      <c r="J324" s="279">
        <v>635</v>
      </c>
      <c r="K324" s="280">
        <v>141809.04999999999</v>
      </c>
      <c r="L324" s="280">
        <v>127574.25</v>
      </c>
      <c r="M324" s="280">
        <v>14234.8</v>
      </c>
      <c r="N324" s="281">
        <v>238</v>
      </c>
      <c r="O324" s="282">
        <v>529</v>
      </c>
      <c r="P324" s="280">
        <f t="shared" si="11"/>
        <v>315197.42626050417</v>
      </c>
    </row>
    <row r="325" spans="1:16" x14ac:dyDescent="0.2">
      <c r="A325" s="32" t="s">
        <v>595</v>
      </c>
      <c r="B325" s="32" t="s">
        <v>576</v>
      </c>
      <c r="C325" s="32" t="s">
        <v>577</v>
      </c>
      <c r="D325" s="32" t="s">
        <v>590</v>
      </c>
      <c r="E325" s="32" t="s">
        <v>556</v>
      </c>
      <c r="F325" s="32" t="s">
        <v>584</v>
      </c>
      <c r="G325" s="32" t="str">
        <f t="shared" si="10"/>
        <v>1.125" PE STUB</v>
      </c>
      <c r="H325" s="278" t="s">
        <v>517</v>
      </c>
      <c r="I325" s="32" t="s">
        <v>462</v>
      </c>
      <c r="J325" s="279">
        <v>585</v>
      </c>
      <c r="K325" s="280">
        <v>177421.03</v>
      </c>
      <c r="L325" s="280">
        <v>156439.37</v>
      </c>
      <c r="M325" s="280">
        <v>20981.66</v>
      </c>
      <c r="N325" s="281">
        <v>249</v>
      </c>
      <c r="O325" s="282">
        <v>529</v>
      </c>
      <c r="P325" s="280">
        <f t="shared" si="11"/>
        <v>376930.6219678715</v>
      </c>
    </row>
    <row r="326" spans="1:16" x14ac:dyDescent="0.2">
      <c r="A326" s="32" t="s">
        <v>595</v>
      </c>
      <c r="B326" s="32" t="s">
        <v>576</v>
      </c>
      <c r="C326" s="32" t="s">
        <v>577</v>
      </c>
      <c r="D326" s="32" t="s">
        <v>590</v>
      </c>
      <c r="E326" s="32" t="s">
        <v>556</v>
      </c>
      <c r="F326" s="32" t="s">
        <v>584</v>
      </c>
      <c r="G326" s="32" t="str">
        <f t="shared" si="10"/>
        <v>1.125" PE STUB</v>
      </c>
      <c r="H326" s="278" t="s">
        <v>463</v>
      </c>
      <c r="I326" s="32" t="s">
        <v>462</v>
      </c>
      <c r="J326" s="279">
        <v>488</v>
      </c>
      <c r="K326" s="280">
        <v>147131.01</v>
      </c>
      <c r="L326" s="280">
        <v>126881.25</v>
      </c>
      <c r="M326" s="280">
        <v>20249.759999999998</v>
      </c>
      <c r="N326" s="281">
        <v>258</v>
      </c>
      <c r="O326" s="282">
        <v>529</v>
      </c>
      <c r="P326" s="280">
        <f t="shared" si="11"/>
        <v>301675.59802325582</v>
      </c>
    </row>
    <row r="327" spans="1:16" x14ac:dyDescent="0.2">
      <c r="A327" s="32" t="s">
        <v>595</v>
      </c>
      <c r="B327" s="32" t="s">
        <v>576</v>
      </c>
      <c r="C327" s="32" t="s">
        <v>577</v>
      </c>
      <c r="D327" s="32" t="s">
        <v>590</v>
      </c>
      <c r="E327" s="32" t="s">
        <v>556</v>
      </c>
      <c r="F327" s="32" t="s">
        <v>584</v>
      </c>
      <c r="G327" s="32" t="str">
        <f t="shared" si="10"/>
        <v>1.125" PE STUB</v>
      </c>
      <c r="H327" s="278" t="s">
        <v>464</v>
      </c>
      <c r="I327" s="32" t="s">
        <v>462</v>
      </c>
      <c r="J327" s="279">
        <v>572</v>
      </c>
      <c r="K327" s="280">
        <v>167048.07999999999</v>
      </c>
      <c r="L327" s="280">
        <v>140568.39000000001</v>
      </c>
      <c r="M327" s="280">
        <v>26479.69</v>
      </c>
      <c r="N327" s="281">
        <v>263</v>
      </c>
      <c r="O327" s="282">
        <v>529</v>
      </c>
      <c r="P327" s="280">
        <f t="shared" si="11"/>
        <v>336001.65140684409</v>
      </c>
    </row>
    <row r="328" spans="1:16" x14ac:dyDescent="0.2">
      <c r="A328" s="32" t="s">
        <v>595</v>
      </c>
      <c r="B328" s="32" t="s">
        <v>576</v>
      </c>
      <c r="C328" s="32" t="s">
        <v>577</v>
      </c>
      <c r="D328" s="32" t="s">
        <v>590</v>
      </c>
      <c r="E328" s="32" t="s">
        <v>556</v>
      </c>
      <c r="F328" s="32" t="s">
        <v>584</v>
      </c>
      <c r="G328" s="32" t="str">
        <f t="shared" si="10"/>
        <v>1.125" PE STUB</v>
      </c>
      <c r="H328" s="278" t="s">
        <v>515</v>
      </c>
      <c r="I328" s="32" t="s">
        <v>462</v>
      </c>
      <c r="J328" s="279">
        <v>567</v>
      </c>
      <c r="K328" s="280">
        <v>183975.19</v>
      </c>
      <c r="L328" s="280">
        <v>150686.70000000001</v>
      </c>
      <c r="M328" s="280">
        <v>33288.49</v>
      </c>
      <c r="N328" s="281">
        <v>267</v>
      </c>
      <c r="O328" s="282">
        <v>529</v>
      </c>
      <c r="P328" s="280">
        <f t="shared" si="11"/>
        <v>364505.15172284644</v>
      </c>
    </row>
    <row r="329" spans="1:16" x14ac:dyDescent="0.2">
      <c r="A329" s="32" t="s">
        <v>595</v>
      </c>
      <c r="B329" s="32" t="s">
        <v>576</v>
      </c>
      <c r="C329" s="32" t="s">
        <v>577</v>
      </c>
      <c r="D329" s="32" t="s">
        <v>590</v>
      </c>
      <c r="E329" s="32" t="s">
        <v>556</v>
      </c>
      <c r="F329" s="32" t="s">
        <v>584</v>
      </c>
      <c r="G329" s="32" t="str">
        <f t="shared" si="10"/>
        <v>1.125" PE STUB</v>
      </c>
      <c r="H329" s="278" t="s">
        <v>523</v>
      </c>
      <c r="I329" s="32" t="s">
        <v>462</v>
      </c>
      <c r="J329" s="279">
        <v>645</v>
      </c>
      <c r="K329" s="280">
        <v>230909.05</v>
      </c>
      <c r="L329" s="280">
        <v>183594.14</v>
      </c>
      <c r="M329" s="280">
        <v>47314.91</v>
      </c>
      <c r="N329" s="281">
        <v>274</v>
      </c>
      <c r="O329" s="282">
        <v>529</v>
      </c>
      <c r="P329" s="280">
        <f t="shared" si="11"/>
        <v>445806.15857664234</v>
      </c>
    </row>
    <row r="330" spans="1:16" x14ac:dyDescent="0.2">
      <c r="A330" s="32" t="s">
        <v>595</v>
      </c>
      <c r="B330" s="32" t="s">
        <v>576</v>
      </c>
      <c r="C330" s="32" t="s">
        <v>577</v>
      </c>
      <c r="D330" s="32" t="s">
        <v>590</v>
      </c>
      <c r="E330" s="32" t="s">
        <v>556</v>
      </c>
      <c r="F330" s="32" t="s">
        <v>584</v>
      </c>
      <c r="G330" s="32" t="str">
        <f t="shared" si="10"/>
        <v>1.125" PE STUB</v>
      </c>
      <c r="H330" s="278" t="s">
        <v>516</v>
      </c>
      <c r="I330" s="32" t="s">
        <v>462</v>
      </c>
      <c r="J330" s="279">
        <v>789</v>
      </c>
      <c r="K330" s="280">
        <v>237670.62</v>
      </c>
      <c r="L330" s="280">
        <v>182908.53</v>
      </c>
      <c r="M330" s="280">
        <v>54762.09</v>
      </c>
      <c r="N330" s="281">
        <v>281</v>
      </c>
      <c r="O330" s="282">
        <v>529</v>
      </c>
      <c r="P330" s="280">
        <f t="shared" si="11"/>
        <v>447429.74370106764</v>
      </c>
    </row>
    <row r="331" spans="1:16" x14ac:dyDescent="0.2">
      <c r="A331" s="32" t="s">
        <v>595</v>
      </c>
      <c r="B331" s="32" t="s">
        <v>576</v>
      </c>
      <c r="C331" s="32" t="s">
        <v>577</v>
      </c>
      <c r="D331" s="32" t="s">
        <v>590</v>
      </c>
      <c r="E331" s="32" t="s">
        <v>556</v>
      </c>
      <c r="F331" s="32" t="s">
        <v>584</v>
      </c>
      <c r="G331" s="32" t="str">
        <f t="shared" si="10"/>
        <v>1.125" PE STUB</v>
      </c>
      <c r="H331" s="278" t="s">
        <v>466</v>
      </c>
      <c r="I331" s="32" t="s">
        <v>462</v>
      </c>
      <c r="J331" s="279">
        <v>667</v>
      </c>
      <c r="K331" s="280">
        <v>194779.09</v>
      </c>
      <c r="L331" s="280">
        <v>144639.64000000001</v>
      </c>
      <c r="M331" s="280">
        <v>50139.45</v>
      </c>
      <c r="N331" s="281">
        <v>290</v>
      </c>
      <c r="O331" s="282">
        <v>529</v>
      </c>
      <c r="P331" s="280">
        <f t="shared" si="11"/>
        <v>355303.92624137929</v>
      </c>
    </row>
    <row r="332" spans="1:16" x14ac:dyDescent="0.2">
      <c r="A332" s="32" t="s">
        <v>595</v>
      </c>
      <c r="B332" s="32" t="s">
        <v>576</v>
      </c>
      <c r="C332" s="32" t="s">
        <v>577</v>
      </c>
      <c r="D332" s="32" t="s">
        <v>590</v>
      </c>
      <c r="E332" s="32" t="s">
        <v>556</v>
      </c>
      <c r="F332" s="32" t="s">
        <v>584</v>
      </c>
      <c r="G332" s="32" t="str">
        <f t="shared" si="10"/>
        <v>1.125" PE STUB</v>
      </c>
      <c r="H332" s="278" t="s">
        <v>489</v>
      </c>
      <c r="I332" s="32" t="s">
        <v>462</v>
      </c>
      <c r="J332" s="279">
        <v>630</v>
      </c>
      <c r="K332" s="280">
        <v>189602.67</v>
      </c>
      <c r="L332" s="280">
        <v>135396.76999999999</v>
      </c>
      <c r="M332" s="280">
        <v>54205.9</v>
      </c>
      <c r="N332" s="281">
        <v>296</v>
      </c>
      <c r="O332" s="282">
        <v>529</v>
      </c>
      <c r="P332" s="280">
        <f t="shared" si="11"/>
        <v>338850.71766891895</v>
      </c>
    </row>
    <row r="333" spans="1:16" x14ac:dyDescent="0.2">
      <c r="A333" s="32" t="s">
        <v>595</v>
      </c>
      <c r="B333" s="32" t="s">
        <v>576</v>
      </c>
      <c r="C333" s="32" t="s">
        <v>577</v>
      </c>
      <c r="D333" s="32" t="s">
        <v>590</v>
      </c>
      <c r="E333" s="32" t="s">
        <v>556</v>
      </c>
      <c r="F333" s="32" t="s">
        <v>584</v>
      </c>
      <c r="G333" s="32" t="str">
        <f t="shared" si="10"/>
        <v>1.125" PE STUB</v>
      </c>
      <c r="H333" s="278" t="s">
        <v>465</v>
      </c>
      <c r="I333" s="32" t="s">
        <v>462</v>
      </c>
      <c r="J333" s="279">
        <v>922</v>
      </c>
      <c r="K333" s="280">
        <v>276290.01</v>
      </c>
      <c r="L333" s="280">
        <v>189045.51</v>
      </c>
      <c r="M333" s="280">
        <v>87244.5</v>
      </c>
      <c r="N333" s="281">
        <v>307</v>
      </c>
      <c r="O333" s="282">
        <v>529</v>
      </c>
      <c r="P333" s="280">
        <f t="shared" si="11"/>
        <v>476082.78596091212</v>
      </c>
    </row>
    <row r="334" spans="1:16" x14ac:dyDescent="0.2">
      <c r="A334" s="32" t="s">
        <v>595</v>
      </c>
      <c r="B334" s="32" t="s">
        <v>576</v>
      </c>
      <c r="C334" s="32" t="s">
        <v>577</v>
      </c>
      <c r="D334" s="32" t="s">
        <v>590</v>
      </c>
      <c r="E334" s="32" t="s">
        <v>556</v>
      </c>
      <c r="F334" s="32" t="s">
        <v>584</v>
      </c>
      <c r="G334" s="32" t="str">
        <f t="shared" si="10"/>
        <v>1.125" PE STUB</v>
      </c>
      <c r="H334" s="278" t="s">
        <v>490</v>
      </c>
      <c r="I334" s="32" t="s">
        <v>462</v>
      </c>
      <c r="J334" s="279">
        <v>585</v>
      </c>
      <c r="K334" s="280">
        <v>241184.35</v>
      </c>
      <c r="L334" s="280">
        <v>157500.06</v>
      </c>
      <c r="M334" s="280">
        <v>83684.289999999994</v>
      </c>
      <c r="N334" s="281">
        <v>310</v>
      </c>
      <c r="O334" s="282">
        <v>529</v>
      </c>
      <c r="P334" s="280">
        <f t="shared" si="11"/>
        <v>411569.42306451616</v>
      </c>
    </row>
    <row r="335" spans="1:16" x14ac:dyDescent="0.2">
      <c r="A335" s="32" t="s">
        <v>595</v>
      </c>
      <c r="B335" s="32" t="s">
        <v>576</v>
      </c>
      <c r="C335" s="32" t="s">
        <v>577</v>
      </c>
      <c r="D335" s="32" t="s">
        <v>590</v>
      </c>
      <c r="E335" s="32" t="s">
        <v>556</v>
      </c>
      <c r="F335" s="32" t="s">
        <v>584</v>
      </c>
      <c r="G335" s="32" t="str">
        <f t="shared" si="10"/>
        <v>1.125" PE STUB</v>
      </c>
      <c r="H335" s="278" t="s">
        <v>491</v>
      </c>
      <c r="I335" s="32" t="s">
        <v>462</v>
      </c>
      <c r="J335" s="279">
        <v>662</v>
      </c>
      <c r="K335" s="280">
        <v>297326.5</v>
      </c>
      <c r="L335" s="280">
        <v>184518.48</v>
      </c>
      <c r="M335" s="280">
        <v>112808.02</v>
      </c>
      <c r="N335" s="281">
        <v>319</v>
      </c>
      <c r="O335" s="282">
        <v>529</v>
      </c>
      <c r="P335" s="280">
        <f t="shared" si="11"/>
        <v>493058.6786833856</v>
      </c>
    </row>
    <row r="336" spans="1:16" x14ac:dyDescent="0.2">
      <c r="A336" s="32" t="s">
        <v>595</v>
      </c>
      <c r="B336" s="32" t="s">
        <v>576</v>
      </c>
      <c r="C336" s="32" t="s">
        <v>577</v>
      </c>
      <c r="D336" s="32" t="s">
        <v>590</v>
      </c>
      <c r="E336" s="32" t="s">
        <v>556</v>
      </c>
      <c r="F336" s="32" t="s">
        <v>584</v>
      </c>
      <c r="G336" s="32" t="str">
        <f t="shared" si="10"/>
        <v>1.125" PE STUB</v>
      </c>
      <c r="H336" s="278" t="s">
        <v>514</v>
      </c>
      <c r="I336" s="32" t="s">
        <v>462</v>
      </c>
      <c r="J336" s="279">
        <v>771</v>
      </c>
      <c r="K336" s="280">
        <v>342122.34</v>
      </c>
      <c r="L336" s="280">
        <v>200843.67</v>
      </c>
      <c r="M336" s="280">
        <v>141278.67000000001</v>
      </c>
      <c r="N336" s="281">
        <v>326</v>
      </c>
      <c r="O336" s="282">
        <v>529</v>
      </c>
      <c r="P336" s="280">
        <f t="shared" si="11"/>
        <v>555161.71122699394</v>
      </c>
    </row>
    <row r="337" spans="1:16" x14ac:dyDescent="0.2">
      <c r="A337" s="32" t="s">
        <v>595</v>
      </c>
      <c r="B337" s="32" t="s">
        <v>576</v>
      </c>
      <c r="C337" s="32" t="s">
        <v>577</v>
      </c>
      <c r="D337" s="32" t="s">
        <v>590</v>
      </c>
      <c r="E337" s="32" t="s">
        <v>556</v>
      </c>
      <c r="F337" s="32" t="s">
        <v>584</v>
      </c>
      <c r="G337" s="32" t="str">
        <f t="shared" si="10"/>
        <v>1.125" PE STUB</v>
      </c>
      <c r="H337" s="278" t="s">
        <v>513</v>
      </c>
      <c r="I337" s="32" t="s">
        <v>462</v>
      </c>
      <c r="J337" s="279">
        <v>426</v>
      </c>
      <c r="K337" s="280">
        <v>240620.62</v>
      </c>
      <c r="L337" s="280">
        <v>132950.22</v>
      </c>
      <c r="M337" s="280">
        <v>107670.39999999999</v>
      </c>
      <c r="N337" s="281">
        <v>338</v>
      </c>
      <c r="O337" s="282">
        <v>529</v>
      </c>
      <c r="P337" s="280">
        <f t="shared" si="11"/>
        <v>376592.62715976336</v>
      </c>
    </row>
    <row r="338" spans="1:16" x14ac:dyDescent="0.2">
      <c r="A338" s="32" t="s">
        <v>595</v>
      </c>
      <c r="B338" s="32" t="s">
        <v>576</v>
      </c>
      <c r="C338" s="32" t="s">
        <v>577</v>
      </c>
      <c r="D338" s="32" t="s">
        <v>590</v>
      </c>
      <c r="E338" s="32" t="s">
        <v>556</v>
      </c>
      <c r="F338" s="32" t="s">
        <v>584</v>
      </c>
      <c r="G338" s="32" t="str">
        <f t="shared" si="10"/>
        <v>1.125" PE STUB</v>
      </c>
      <c r="H338" s="278" t="s">
        <v>467</v>
      </c>
      <c r="I338" s="32" t="s">
        <v>462</v>
      </c>
      <c r="J338" s="279">
        <v>819</v>
      </c>
      <c r="K338" s="280">
        <v>382422.89</v>
      </c>
      <c r="L338" s="280">
        <v>197779.55</v>
      </c>
      <c r="M338" s="280">
        <v>184643.34</v>
      </c>
      <c r="N338" s="281">
        <v>344</v>
      </c>
      <c r="O338" s="282">
        <v>529</v>
      </c>
      <c r="P338" s="280">
        <f t="shared" si="11"/>
        <v>588086.36281976744</v>
      </c>
    </row>
    <row r="339" spans="1:16" x14ac:dyDescent="0.2">
      <c r="A339" s="32" t="s">
        <v>595</v>
      </c>
      <c r="B339" s="32" t="s">
        <v>576</v>
      </c>
      <c r="C339" s="32" t="s">
        <v>577</v>
      </c>
      <c r="D339" s="32" t="s">
        <v>590</v>
      </c>
      <c r="E339" s="32" t="s">
        <v>556</v>
      </c>
      <c r="F339" s="32" t="s">
        <v>584</v>
      </c>
      <c r="G339" s="32" t="str">
        <f t="shared" si="10"/>
        <v>1.125" PE STUB</v>
      </c>
      <c r="H339" s="278" t="s">
        <v>473</v>
      </c>
      <c r="I339" s="32" t="s">
        <v>462</v>
      </c>
      <c r="J339" s="279">
        <v>233</v>
      </c>
      <c r="K339" s="280">
        <v>136829.03</v>
      </c>
      <c r="L339" s="280">
        <v>65835.990000000005</v>
      </c>
      <c r="M339" s="280">
        <v>70993.039999999994</v>
      </c>
      <c r="N339" s="281">
        <v>351</v>
      </c>
      <c r="O339" s="282">
        <v>529</v>
      </c>
      <c r="P339" s="280">
        <f t="shared" si="11"/>
        <v>206218.11074074075</v>
      </c>
    </row>
    <row r="340" spans="1:16" x14ac:dyDescent="0.2">
      <c r="A340" s="32" t="s">
        <v>595</v>
      </c>
      <c r="B340" s="32" t="s">
        <v>576</v>
      </c>
      <c r="C340" s="32" t="s">
        <v>577</v>
      </c>
      <c r="D340" s="32" t="s">
        <v>590</v>
      </c>
      <c r="E340" s="32" t="s">
        <v>556</v>
      </c>
      <c r="F340" s="32" t="s">
        <v>584</v>
      </c>
      <c r="G340" s="32" t="str">
        <f t="shared" si="10"/>
        <v>1.125" PE STUB</v>
      </c>
      <c r="H340" s="278" t="s">
        <v>479</v>
      </c>
      <c r="I340" s="32" t="s">
        <v>462</v>
      </c>
      <c r="J340" s="279">
        <v>58</v>
      </c>
      <c r="K340" s="280">
        <v>496.63</v>
      </c>
      <c r="L340" s="280">
        <v>220.82</v>
      </c>
      <c r="M340" s="280">
        <v>275.81</v>
      </c>
      <c r="N340" s="281">
        <v>357</v>
      </c>
      <c r="O340" s="282">
        <v>529</v>
      </c>
      <c r="P340" s="280">
        <f t="shared" si="11"/>
        <v>735.90271708683474</v>
      </c>
    </row>
    <row r="341" spans="1:16" x14ac:dyDescent="0.2">
      <c r="A341" s="32" t="s">
        <v>595</v>
      </c>
      <c r="B341" s="32" t="s">
        <v>576</v>
      </c>
      <c r="C341" s="32" t="s">
        <v>577</v>
      </c>
      <c r="D341" s="32" t="s">
        <v>590</v>
      </c>
      <c r="E341" s="32" t="s">
        <v>556</v>
      </c>
      <c r="F341" s="32" t="s">
        <v>584</v>
      </c>
      <c r="G341" s="32" t="str">
        <f t="shared" si="10"/>
        <v>1.125" PE STUB</v>
      </c>
      <c r="H341" s="278" t="s">
        <v>480</v>
      </c>
      <c r="I341" s="32" t="s">
        <v>462</v>
      </c>
      <c r="J341" s="279">
        <v>97</v>
      </c>
      <c r="K341" s="280">
        <v>2217.6</v>
      </c>
      <c r="L341" s="280">
        <v>904.38</v>
      </c>
      <c r="M341" s="280">
        <v>1313.22</v>
      </c>
      <c r="N341" s="281">
        <v>365</v>
      </c>
      <c r="O341" s="282">
        <v>529</v>
      </c>
      <c r="P341" s="280">
        <f t="shared" si="11"/>
        <v>3214.0010958904109</v>
      </c>
    </row>
    <row r="342" spans="1:16" x14ac:dyDescent="0.2">
      <c r="A342" s="32" t="s">
        <v>595</v>
      </c>
      <c r="B342" s="32" t="s">
        <v>576</v>
      </c>
      <c r="C342" s="32" t="s">
        <v>577</v>
      </c>
      <c r="D342" s="32" t="s">
        <v>590</v>
      </c>
      <c r="E342" s="32" t="s">
        <v>556</v>
      </c>
      <c r="F342" s="32" t="s">
        <v>584</v>
      </c>
      <c r="G342" s="32" t="str">
        <f t="shared" si="10"/>
        <v>1.125" PE STUB</v>
      </c>
      <c r="H342" s="278" t="s">
        <v>472</v>
      </c>
      <c r="I342" s="32" t="s">
        <v>462</v>
      </c>
      <c r="J342" s="279">
        <v>378</v>
      </c>
      <c r="K342" s="280">
        <v>92623.38</v>
      </c>
      <c r="L342" s="280">
        <v>34351.919999999998</v>
      </c>
      <c r="M342" s="280">
        <v>58271.46</v>
      </c>
      <c r="N342" s="281">
        <v>370</v>
      </c>
      <c r="O342" s="282">
        <v>529</v>
      </c>
      <c r="P342" s="280">
        <f t="shared" si="11"/>
        <v>132426.40005405407</v>
      </c>
    </row>
    <row r="343" spans="1:16" x14ac:dyDescent="0.2">
      <c r="A343" s="32" t="s">
        <v>595</v>
      </c>
      <c r="B343" s="32" t="s">
        <v>576</v>
      </c>
      <c r="C343" s="32" t="s">
        <v>577</v>
      </c>
      <c r="D343" s="32" t="s">
        <v>590</v>
      </c>
      <c r="E343" s="32" t="s">
        <v>556</v>
      </c>
      <c r="F343" s="32" t="s">
        <v>584</v>
      </c>
      <c r="G343" s="32" t="str">
        <f t="shared" si="10"/>
        <v>1.125" PE STUB</v>
      </c>
      <c r="H343" s="278" t="s">
        <v>478</v>
      </c>
      <c r="I343" s="32" t="s">
        <v>462</v>
      </c>
      <c r="J343" s="279">
        <v>551</v>
      </c>
      <c r="K343" s="280">
        <v>84951.039999999994</v>
      </c>
      <c r="L343" s="280">
        <v>28374.26</v>
      </c>
      <c r="M343" s="280">
        <v>56576.78</v>
      </c>
      <c r="N343" s="281">
        <v>378</v>
      </c>
      <c r="O343" s="282">
        <v>529</v>
      </c>
      <c r="P343" s="280">
        <f t="shared" si="11"/>
        <v>118886.50835978835</v>
      </c>
    </row>
    <row r="344" spans="1:16" x14ac:dyDescent="0.2">
      <c r="A344" s="32" t="s">
        <v>595</v>
      </c>
      <c r="B344" s="32" t="s">
        <v>576</v>
      </c>
      <c r="C344" s="32" t="s">
        <v>577</v>
      </c>
      <c r="D344" s="32" t="s">
        <v>590</v>
      </c>
      <c r="E344" s="32" t="s">
        <v>556</v>
      </c>
      <c r="F344" s="32" t="s">
        <v>584</v>
      </c>
      <c r="G344" s="32" t="str">
        <f t="shared" si="10"/>
        <v>1.125" PE STUB</v>
      </c>
      <c r="H344" s="278" t="s">
        <v>475</v>
      </c>
      <c r="I344" s="32" t="s">
        <v>462</v>
      </c>
      <c r="J344" s="279">
        <v>29</v>
      </c>
      <c r="K344" s="280">
        <v>4992.3500000000004</v>
      </c>
      <c r="L344" s="280">
        <v>1484.59</v>
      </c>
      <c r="M344" s="280">
        <v>3507.76</v>
      </c>
      <c r="N344" s="281">
        <v>393</v>
      </c>
      <c r="O344" s="282">
        <v>529</v>
      </c>
      <c r="P344" s="280">
        <f t="shared" si="11"/>
        <v>6719.9825699745552</v>
      </c>
    </row>
    <row r="345" spans="1:16" x14ac:dyDescent="0.2">
      <c r="A345" s="32" t="s">
        <v>595</v>
      </c>
      <c r="B345" s="32" t="s">
        <v>576</v>
      </c>
      <c r="C345" s="32" t="s">
        <v>577</v>
      </c>
      <c r="D345" s="32" t="s">
        <v>590</v>
      </c>
      <c r="E345" s="32" t="s">
        <v>556</v>
      </c>
      <c r="F345" s="32" t="s">
        <v>584</v>
      </c>
      <c r="G345" s="32" t="str">
        <f t="shared" si="10"/>
        <v>1.125" PE STUB</v>
      </c>
      <c r="H345" s="278" t="s">
        <v>471</v>
      </c>
      <c r="I345" s="32" t="s">
        <v>462</v>
      </c>
      <c r="J345" s="279">
        <v>1</v>
      </c>
      <c r="K345" s="280">
        <v>205.96</v>
      </c>
      <c r="L345" s="280">
        <v>53.79</v>
      </c>
      <c r="M345" s="280">
        <v>152.16999999999999</v>
      </c>
      <c r="N345" s="281">
        <v>398</v>
      </c>
      <c r="O345" s="282">
        <v>529</v>
      </c>
      <c r="P345" s="280">
        <f t="shared" si="11"/>
        <v>273.75085427135679</v>
      </c>
    </row>
    <row r="346" spans="1:16" x14ac:dyDescent="0.2">
      <c r="A346" s="32" t="s">
        <v>596</v>
      </c>
      <c r="B346" s="32" t="s">
        <v>576</v>
      </c>
      <c r="C346" s="32" t="s">
        <v>577</v>
      </c>
      <c r="D346" s="32" t="s">
        <v>590</v>
      </c>
      <c r="E346" s="32" t="s">
        <v>556</v>
      </c>
      <c r="F346" s="32" t="s">
        <v>587</v>
      </c>
      <c r="G346" s="32" t="str">
        <f t="shared" si="10"/>
        <v>1.125" PE TWIN</v>
      </c>
      <c r="H346" s="278" t="s">
        <v>473</v>
      </c>
      <c r="I346" s="32" t="s">
        <v>462</v>
      </c>
      <c r="J346" s="279">
        <v>30</v>
      </c>
      <c r="K346" s="280">
        <v>22145.84</v>
      </c>
      <c r="L346" s="280">
        <v>10655.58</v>
      </c>
      <c r="M346" s="280">
        <v>11490.26</v>
      </c>
      <c r="N346" s="281">
        <v>351</v>
      </c>
      <c r="O346" s="282">
        <v>529</v>
      </c>
      <c r="P346" s="280">
        <f t="shared" si="11"/>
        <v>33376.493903133902</v>
      </c>
    </row>
    <row r="347" spans="1:16" x14ac:dyDescent="0.2">
      <c r="A347" s="32" t="s">
        <v>596</v>
      </c>
      <c r="B347" s="32" t="s">
        <v>576</v>
      </c>
      <c r="C347" s="32" t="s">
        <v>577</v>
      </c>
      <c r="D347" s="32" t="s">
        <v>590</v>
      </c>
      <c r="E347" s="32" t="s">
        <v>556</v>
      </c>
      <c r="F347" s="32" t="s">
        <v>587</v>
      </c>
      <c r="G347" s="32" t="str">
        <f t="shared" si="10"/>
        <v>1.125" PE TWIN</v>
      </c>
      <c r="H347" s="278" t="s">
        <v>479</v>
      </c>
      <c r="I347" s="32" t="s">
        <v>462</v>
      </c>
      <c r="J347" s="279">
        <v>60</v>
      </c>
      <c r="K347" s="280">
        <v>38406.49</v>
      </c>
      <c r="L347" s="280">
        <v>17077.02</v>
      </c>
      <c r="M347" s="280">
        <v>21329.47</v>
      </c>
      <c r="N347" s="281">
        <v>357</v>
      </c>
      <c r="O347" s="282">
        <v>529</v>
      </c>
      <c r="P347" s="280">
        <f t="shared" si="11"/>
        <v>56910.457170868343</v>
      </c>
    </row>
    <row r="348" spans="1:16" x14ac:dyDescent="0.2">
      <c r="A348" s="32" t="s">
        <v>596</v>
      </c>
      <c r="B348" s="32" t="s">
        <v>576</v>
      </c>
      <c r="C348" s="32" t="s">
        <v>577</v>
      </c>
      <c r="D348" s="32" t="s">
        <v>590</v>
      </c>
      <c r="E348" s="32" t="s">
        <v>556</v>
      </c>
      <c r="F348" s="32" t="s">
        <v>587</v>
      </c>
      <c r="G348" s="32" t="str">
        <f t="shared" si="10"/>
        <v>1.125" PE TWIN</v>
      </c>
      <c r="H348" s="278" t="s">
        <v>480</v>
      </c>
      <c r="I348" s="32" t="s">
        <v>462</v>
      </c>
      <c r="J348" s="279">
        <v>26</v>
      </c>
      <c r="K348" s="280">
        <v>55321.88</v>
      </c>
      <c r="L348" s="280">
        <v>22561.33</v>
      </c>
      <c r="M348" s="280">
        <v>32760.55</v>
      </c>
      <c r="N348" s="281">
        <v>365</v>
      </c>
      <c r="O348" s="282">
        <v>529</v>
      </c>
      <c r="P348" s="280">
        <f t="shared" si="11"/>
        <v>80178.834301369861</v>
      </c>
    </row>
    <row r="349" spans="1:16" x14ac:dyDescent="0.2">
      <c r="A349" s="32" t="s">
        <v>596</v>
      </c>
      <c r="B349" s="32" t="s">
        <v>576</v>
      </c>
      <c r="C349" s="32" t="s">
        <v>577</v>
      </c>
      <c r="D349" s="32" t="s">
        <v>590</v>
      </c>
      <c r="E349" s="32" t="s">
        <v>556</v>
      </c>
      <c r="F349" s="32" t="s">
        <v>587</v>
      </c>
      <c r="G349" s="32" t="str">
        <f t="shared" si="10"/>
        <v>1.125" PE TWIN</v>
      </c>
      <c r="H349" s="278" t="s">
        <v>472</v>
      </c>
      <c r="I349" s="32" t="s">
        <v>462</v>
      </c>
      <c r="J349" s="279">
        <v>37</v>
      </c>
      <c r="K349" s="280">
        <v>38996.47</v>
      </c>
      <c r="L349" s="280">
        <v>14462.91</v>
      </c>
      <c r="M349" s="280">
        <v>24533.56</v>
      </c>
      <c r="N349" s="281">
        <v>370</v>
      </c>
      <c r="O349" s="282">
        <v>529</v>
      </c>
      <c r="P349" s="280">
        <f t="shared" si="11"/>
        <v>55754.412513513518</v>
      </c>
    </row>
    <row r="350" spans="1:16" x14ac:dyDescent="0.2">
      <c r="A350" s="32" t="s">
        <v>596</v>
      </c>
      <c r="B350" s="32" t="s">
        <v>576</v>
      </c>
      <c r="C350" s="32" t="s">
        <v>577</v>
      </c>
      <c r="D350" s="32" t="s">
        <v>590</v>
      </c>
      <c r="E350" s="32" t="s">
        <v>556</v>
      </c>
      <c r="F350" s="32" t="s">
        <v>587</v>
      </c>
      <c r="G350" s="32" t="str">
        <f t="shared" si="10"/>
        <v>1.125" PE TWIN</v>
      </c>
      <c r="H350" s="278" t="s">
        <v>478</v>
      </c>
      <c r="I350" s="32" t="s">
        <v>462</v>
      </c>
      <c r="J350" s="279">
        <v>44</v>
      </c>
      <c r="K350" s="280">
        <v>35494.129999999997</v>
      </c>
      <c r="L350" s="280">
        <v>11855.3</v>
      </c>
      <c r="M350" s="280">
        <v>23638.83</v>
      </c>
      <c r="N350" s="281">
        <v>378</v>
      </c>
      <c r="O350" s="282">
        <v>529</v>
      </c>
      <c r="P350" s="280">
        <f t="shared" si="11"/>
        <v>49673.002037037033</v>
      </c>
    </row>
    <row r="351" spans="1:16" x14ac:dyDescent="0.2">
      <c r="A351" s="32" t="s">
        <v>596</v>
      </c>
      <c r="B351" s="32" t="s">
        <v>576</v>
      </c>
      <c r="C351" s="32" t="s">
        <v>577</v>
      </c>
      <c r="D351" s="32" t="s">
        <v>590</v>
      </c>
      <c r="E351" s="32" t="s">
        <v>556</v>
      </c>
      <c r="F351" s="32" t="s">
        <v>587</v>
      </c>
      <c r="G351" s="32" t="str">
        <f t="shared" si="10"/>
        <v>1.125" PE TWIN</v>
      </c>
      <c r="H351" s="278" t="s">
        <v>475</v>
      </c>
      <c r="I351" s="32" t="s">
        <v>462</v>
      </c>
      <c r="J351" s="279">
        <v>31</v>
      </c>
      <c r="K351" s="280">
        <v>10656.91</v>
      </c>
      <c r="L351" s="280">
        <v>3169.07</v>
      </c>
      <c r="M351" s="280">
        <v>7487.84</v>
      </c>
      <c r="N351" s="281">
        <v>393</v>
      </c>
      <c r="O351" s="282">
        <v>529</v>
      </c>
      <c r="P351" s="280">
        <f t="shared" si="11"/>
        <v>14344.797430025445</v>
      </c>
    </row>
    <row r="352" spans="1:16" x14ac:dyDescent="0.2">
      <c r="A352" s="32" t="s">
        <v>596</v>
      </c>
      <c r="B352" s="32" t="s">
        <v>576</v>
      </c>
      <c r="C352" s="32" t="s">
        <v>577</v>
      </c>
      <c r="D352" s="32" t="s">
        <v>590</v>
      </c>
      <c r="E352" s="32" t="s">
        <v>556</v>
      </c>
      <c r="F352" s="32" t="s">
        <v>587</v>
      </c>
      <c r="G352" s="32" t="str">
        <f t="shared" si="10"/>
        <v>1.125" PE TWIN</v>
      </c>
      <c r="H352" s="278" t="s">
        <v>471</v>
      </c>
      <c r="I352" s="32" t="s">
        <v>462</v>
      </c>
      <c r="J352" s="279">
        <v>20</v>
      </c>
      <c r="K352" s="280">
        <v>11704.64</v>
      </c>
      <c r="L352" s="280">
        <v>3056.73</v>
      </c>
      <c r="M352" s="280">
        <v>8647.91</v>
      </c>
      <c r="N352" s="281">
        <v>398</v>
      </c>
      <c r="O352" s="282">
        <v>529</v>
      </c>
      <c r="P352" s="280">
        <f t="shared" si="11"/>
        <v>15557.17226130653</v>
      </c>
    </row>
    <row r="353" spans="1:16" x14ac:dyDescent="0.2">
      <c r="A353" s="32" t="s">
        <v>596</v>
      </c>
      <c r="B353" s="32" t="s">
        <v>576</v>
      </c>
      <c r="C353" s="32" t="s">
        <v>577</v>
      </c>
      <c r="D353" s="32" t="s">
        <v>590</v>
      </c>
      <c r="E353" s="32" t="s">
        <v>556</v>
      </c>
      <c r="F353" s="32" t="s">
        <v>587</v>
      </c>
      <c r="G353" s="32" t="str">
        <f t="shared" si="10"/>
        <v>1.125" PE TWIN</v>
      </c>
      <c r="H353" s="278" t="s">
        <v>476</v>
      </c>
      <c r="I353" s="32" t="s">
        <v>462</v>
      </c>
      <c r="J353" s="279">
        <v>28</v>
      </c>
      <c r="K353" s="280">
        <v>18447.11</v>
      </c>
      <c r="L353" s="280">
        <v>4159.59</v>
      </c>
      <c r="M353" s="280">
        <v>14287.52</v>
      </c>
      <c r="N353" s="281">
        <v>409</v>
      </c>
      <c r="O353" s="282">
        <v>529</v>
      </c>
      <c r="P353" s="280">
        <f t="shared" si="11"/>
        <v>23859.46501222494</v>
      </c>
    </row>
    <row r="354" spans="1:16" x14ac:dyDescent="0.2">
      <c r="A354" s="32" t="s">
        <v>596</v>
      </c>
      <c r="B354" s="32" t="s">
        <v>576</v>
      </c>
      <c r="C354" s="32" t="s">
        <v>577</v>
      </c>
      <c r="D354" s="32" t="s">
        <v>590</v>
      </c>
      <c r="E354" s="32" t="s">
        <v>556</v>
      </c>
      <c r="F354" s="32" t="s">
        <v>587</v>
      </c>
      <c r="G354" s="32" t="str">
        <f t="shared" si="10"/>
        <v>1.125" PE TWIN</v>
      </c>
      <c r="H354" s="278" t="s">
        <v>474</v>
      </c>
      <c r="I354" s="32" t="s">
        <v>462</v>
      </c>
      <c r="J354" s="279">
        <v>18</v>
      </c>
      <c r="K354" s="280">
        <v>20168.25</v>
      </c>
      <c r="L354" s="280">
        <v>3841.43</v>
      </c>
      <c r="M354" s="280">
        <v>16326.82</v>
      </c>
      <c r="N354" s="281">
        <v>431</v>
      </c>
      <c r="O354" s="282">
        <v>529</v>
      </c>
      <c r="P354" s="280">
        <f t="shared" si="11"/>
        <v>24754.070185614848</v>
      </c>
    </row>
    <row r="355" spans="1:16" x14ac:dyDescent="0.2">
      <c r="A355" s="32" t="s">
        <v>596</v>
      </c>
      <c r="B355" s="32" t="s">
        <v>576</v>
      </c>
      <c r="C355" s="32" t="s">
        <v>577</v>
      </c>
      <c r="D355" s="32" t="s">
        <v>590</v>
      </c>
      <c r="E355" s="32" t="s">
        <v>556</v>
      </c>
      <c r="F355" s="32" t="s">
        <v>587</v>
      </c>
      <c r="G355" s="32" t="str">
        <f t="shared" si="10"/>
        <v>1.125" PE TWIN</v>
      </c>
      <c r="H355" s="278" t="s">
        <v>477</v>
      </c>
      <c r="I355" s="32" t="s">
        <v>462</v>
      </c>
      <c r="J355" s="279">
        <v>158</v>
      </c>
      <c r="K355" s="280">
        <v>252022.41</v>
      </c>
      <c r="L355" s="280">
        <v>39350.6</v>
      </c>
      <c r="M355" s="280">
        <v>212671.81</v>
      </c>
      <c r="N355" s="281">
        <v>450</v>
      </c>
      <c r="O355" s="282">
        <v>529</v>
      </c>
      <c r="P355" s="280">
        <f t="shared" si="11"/>
        <v>296266.34419999999</v>
      </c>
    </row>
    <row r="356" spans="1:16" x14ac:dyDescent="0.2">
      <c r="A356" s="32" t="s">
        <v>596</v>
      </c>
      <c r="B356" s="32" t="s">
        <v>576</v>
      </c>
      <c r="C356" s="32" t="s">
        <v>577</v>
      </c>
      <c r="D356" s="32" t="s">
        <v>590</v>
      </c>
      <c r="E356" s="32" t="s">
        <v>556</v>
      </c>
      <c r="F356" s="32" t="s">
        <v>587</v>
      </c>
      <c r="G356" s="32" t="str">
        <f t="shared" si="10"/>
        <v>1.125" PE TWIN</v>
      </c>
      <c r="H356" s="278" t="s">
        <v>470</v>
      </c>
      <c r="I356" s="32" t="s">
        <v>462</v>
      </c>
      <c r="J356" s="279">
        <v>3</v>
      </c>
      <c r="K356" s="280">
        <v>2985.18</v>
      </c>
      <c r="L356" s="280">
        <v>365.42</v>
      </c>
      <c r="M356" s="280">
        <v>2619.7600000000002</v>
      </c>
      <c r="N356" s="281">
        <v>467</v>
      </c>
      <c r="O356" s="282">
        <v>529</v>
      </c>
      <c r="P356" s="280">
        <f t="shared" si="11"/>
        <v>3381.4994004282648</v>
      </c>
    </row>
    <row r="357" spans="1:16" x14ac:dyDescent="0.2">
      <c r="A357" s="32" t="s">
        <v>596</v>
      </c>
      <c r="B357" s="32" t="s">
        <v>576</v>
      </c>
      <c r="C357" s="32" t="s">
        <v>577</v>
      </c>
      <c r="D357" s="32" t="s">
        <v>590</v>
      </c>
      <c r="E357" s="32" t="s">
        <v>556</v>
      </c>
      <c r="F357" s="32" t="s">
        <v>587</v>
      </c>
      <c r="G357" s="32" t="str">
        <f t="shared" si="10"/>
        <v>1.125" PE TWIN</v>
      </c>
      <c r="H357" s="278" t="s">
        <v>470</v>
      </c>
      <c r="I357" s="32" t="s">
        <v>462</v>
      </c>
      <c r="J357" s="279">
        <v>31</v>
      </c>
      <c r="K357" s="280">
        <v>49495.519999999997</v>
      </c>
      <c r="L357" s="280">
        <v>6058.82</v>
      </c>
      <c r="M357" s="280">
        <v>43436.7</v>
      </c>
      <c r="N357" s="281">
        <v>467</v>
      </c>
      <c r="O357" s="282">
        <v>529</v>
      </c>
      <c r="P357" s="280">
        <f t="shared" si="11"/>
        <v>56066.659700214121</v>
      </c>
    </row>
    <row r="358" spans="1:16" x14ac:dyDescent="0.2">
      <c r="A358" s="32" t="s">
        <v>596</v>
      </c>
      <c r="B358" s="32" t="s">
        <v>576</v>
      </c>
      <c r="C358" s="32" t="s">
        <v>577</v>
      </c>
      <c r="D358" s="32" t="s">
        <v>590</v>
      </c>
      <c r="E358" s="32" t="s">
        <v>556</v>
      </c>
      <c r="F358" s="32" t="s">
        <v>587</v>
      </c>
      <c r="G358" s="32" t="str">
        <f t="shared" si="10"/>
        <v>1.125" PE TWIN</v>
      </c>
      <c r="H358" s="278" t="s">
        <v>470</v>
      </c>
      <c r="I358" s="32" t="s">
        <v>462</v>
      </c>
      <c r="J358" s="279">
        <v>39</v>
      </c>
      <c r="K358" s="280">
        <v>68077.73</v>
      </c>
      <c r="L358" s="280">
        <v>8333.5</v>
      </c>
      <c r="M358" s="280">
        <v>59744.23</v>
      </c>
      <c r="N358" s="281">
        <v>467</v>
      </c>
      <c r="O358" s="282">
        <v>529</v>
      </c>
      <c r="P358" s="280">
        <f t="shared" si="11"/>
        <v>77115.886873661657</v>
      </c>
    </row>
    <row r="359" spans="1:16" x14ac:dyDescent="0.2">
      <c r="A359" s="32" t="s">
        <v>596</v>
      </c>
      <c r="B359" s="32" t="s">
        <v>576</v>
      </c>
      <c r="C359" s="32" t="s">
        <v>577</v>
      </c>
      <c r="D359" s="32" t="s">
        <v>590</v>
      </c>
      <c r="E359" s="32" t="s">
        <v>556</v>
      </c>
      <c r="F359" s="32" t="s">
        <v>587</v>
      </c>
      <c r="G359" s="32" t="str">
        <f t="shared" si="10"/>
        <v>1.125" PE TWIN</v>
      </c>
      <c r="H359" s="278" t="s">
        <v>470</v>
      </c>
      <c r="I359" s="32" t="s">
        <v>462</v>
      </c>
      <c r="J359" s="279">
        <v>155</v>
      </c>
      <c r="K359" s="280">
        <v>251043.77</v>
      </c>
      <c r="L359" s="280">
        <v>30730.66</v>
      </c>
      <c r="M359" s="280">
        <v>220313.11</v>
      </c>
      <c r="N359" s="281">
        <v>467</v>
      </c>
      <c r="O359" s="282">
        <v>529</v>
      </c>
      <c r="P359" s="280">
        <f t="shared" si="11"/>
        <v>284372.92147751601</v>
      </c>
    </row>
    <row r="360" spans="1:16" x14ac:dyDescent="0.2">
      <c r="A360" s="32" t="s">
        <v>596</v>
      </c>
      <c r="B360" s="32" t="s">
        <v>576</v>
      </c>
      <c r="C360" s="32" t="s">
        <v>577</v>
      </c>
      <c r="D360" s="32" t="s">
        <v>590</v>
      </c>
      <c r="E360" s="32" t="s">
        <v>556</v>
      </c>
      <c r="F360" s="32" t="s">
        <v>587</v>
      </c>
      <c r="G360" s="32" t="str">
        <f t="shared" si="10"/>
        <v>1.125" PE TWIN</v>
      </c>
      <c r="H360" s="278" t="s">
        <v>461</v>
      </c>
      <c r="I360" s="32" t="s">
        <v>462</v>
      </c>
      <c r="J360" s="279">
        <v>3</v>
      </c>
      <c r="K360" s="280">
        <v>6445.56</v>
      </c>
      <c r="L360" s="280">
        <v>573.77</v>
      </c>
      <c r="M360" s="280">
        <v>5871.79</v>
      </c>
      <c r="N360" s="281">
        <v>491</v>
      </c>
      <c r="O360" s="282">
        <v>529</v>
      </c>
      <c r="P360" s="280">
        <f t="shared" si="11"/>
        <v>6944.4017107942973</v>
      </c>
    </row>
    <row r="361" spans="1:16" x14ac:dyDescent="0.2">
      <c r="A361" s="32" t="s">
        <v>596</v>
      </c>
      <c r="B361" s="32" t="s">
        <v>576</v>
      </c>
      <c r="C361" s="32" t="s">
        <v>577</v>
      </c>
      <c r="D361" s="32" t="s">
        <v>590</v>
      </c>
      <c r="E361" s="32" t="s">
        <v>556</v>
      </c>
      <c r="F361" s="32" t="s">
        <v>587</v>
      </c>
      <c r="G361" s="32" t="str">
        <f t="shared" si="10"/>
        <v>1.125" PE TWIN</v>
      </c>
      <c r="H361" s="278" t="s">
        <v>461</v>
      </c>
      <c r="I361" s="32" t="s">
        <v>462</v>
      </c>
      <c r="J361" s="279">
        <v>17</v>
      </c>
      <c r="K361" s="280">
        <v>27053.35</v>
      </c>
      <c r="L361" s="280">
        <v>2408.21</v>
      </c>
      <c r="M361" s="280">
        <v>24645.14</v>
      </c>
      <c r="N361" s="281">
        <v>491</v>
      </c>
      <c r="O361" s="282">
        <v>529</v>
      </c>
      <c r="P361" s="280">
        <f t="shared" si="11"/>
        <v>29147.091955193478</v>
      </c>
    </row>
    <row r="362" spans="1:16" x14ac:dyDescent="0.2">
      <c r="A362" s="32" t="s">
        <v>596</v>
      </c>
      <c r="B362" s="32" t="s">
        <v>576</v>
      </c>
      <c r="C362" s="32" t="s">
        <v>577</v>
      </c>
      <c r="D362" s="32" t="s">
        <v>590</v>
      </c>
      <c r="E362" s="32" t="s">
        <v>556</v>
      </c>
      <c r="F362" s="32" t="s">
        <v>587</v>
      </c>
      <c r="G362" s="32" t="str">
        <f t="shared" si="10"/>
        <v>1.125" PE TWIN</v>
      </c>
      <c r="H362" s="278" t="s">
        <v>461</v>
      </c>
      <c r="I362" s="32" t="s">
        <v>462</v>
      </c>
      <c r="J362" s="279">
        <v>34</v>
      </c>
      <c r="K362" s="280">
        <v>60114.66</v>
      </c>
      <c r="L362" s="280">
        <v>5351.23</v>
      </c>
      <c r="M362" s="280">
        <v>54763.43</v>
      </c>
      <c r="N362" s="281">
        <v>491</v>
      </c>
      <c r="O362" s="282">
        <v>529</v>
      </c>
      <c r="P362" s="280">
        <f t="shared" si="11"/>
        <v>64767.118411405296</v>
      </c>
    </row>
    <row r="363" spans="1:16" x14ac:dyDescent="0.2">
      <c r="A363" s="32" t="s">
        <v>596</v>
      </c>
      <c r="B363" s="32" t="s">
        <v>576</v>
      </c>
      <c r="C363" s="32" t="s">
        <v>577</v>
      </c>
      <c r="D363" s="32" t="s">
        <v>590</v>
      </c>
      <c r="E363" s="32" t="s">
        <v>556</v>
      </c>
      <c r="F363" s="32" t="s">
        <v>587</v>
      </c>
      <c r="G363" s="32" t="str">
        <f t="shared" si="10"/>
        <v>1.125" PE TWIN</v>
      </c>
      <c r="H363" s="278" t="s">
        <v>461</v>
      </c>
      <c r="I363" s="32" t="s">
        <v>462</v>
      </c>
      <c r="J363" s="279">
        <v>152</v>
      </c>
      <c r="K363" s="280">
        <v>269496.73</v>
      </c>
      <c r="L363" s="280">
        <v>23989.82</v>
      </c>
      <c r="M363" s="280">
        <v>245506.91</v>
      </c>
      <c r="N363" s="281">
        <v>491</v>
      </c>
      <c r="O363" s="282">
        <v>529</v>
      </c>
      <c r="P363" s="280">
        <f t="shared" si="11"/>
        <v>290353.91073319752</v>
      </c>
    </row>
    <row r="364" spans="1:16" x14ac:dyDescent="0.2">
      <c r="A364" s="32" t="s">
        <v>596</v>
      </c>
      <c r="B364" s="32" t="s">
        <v>576</v>
      </c>
      <c r="C364" s="32" t="s">
        <v>577</v>
      </c>
      <c r="D364" s="32" t="s">
        <v>590</v>
      </c>
      <c r="E364" s="32" t="s">
        <v>556</v>
      </c>
      <c r="F364" s="32" t="s">
        <v>587</v>
      </c>
      <c r="G364" s="32" t="str">
        <f t="shared" si="10"/>
        <v>1.125" PE TWIN</v>
      </c>
      <c r="H364" s="278" t="s">
        <v>468</v>
      </c>
      <c r="I364" s="32" t="s">
        <v>462</v>
      </c>
      <c r="J364" s="279">
        <v>1</v>
      </c>
      <c r="K364" s="280">
        <v>1685.23</v>
      </c>
      <c r="L364" s="280">
        <v>93.19</v>
      </c>
      <c r="M364" s="280">
        <v>1592.04</v>
      </c>
      <c r="N364" s="281">
        <v>517</v>
      </c>
      <c r="O364" s="282">
        <v>529</v>
      </c>
      <c r="P364" s="280">
        <f t="shared" si="11"/>
        <v>1724.345589941973</v>
      </c>
    </row>
    <row r="365" spans="1:16" x14ac:dyDescent="0.2">
      <c r="A365" s="32" t="s">
        <v>596</v>
      </c>
      <c r="B365" s="32" t="s">
        <v>576</v>
      </c>
      <c r="C365" s="32" t="s">
        <v>577</v>
      </c>
      <c r="D365" s="32" t="s">
        <v>590</v>
      </c>
      <c r="E365" s="32" t="s">
        <v>556</v>
      </c>
      <c r="F365" s="32" t="s">
        <v>587</v>
      </c>
      <c r="G365" s="32" t="str">
        <f t="shared" si="10"/>
        <v>1.125" PE TWIN</v>
      </c>
      <c r="H365" s="278" t="s">
        <v>468</v>
      </c>
      <c r="I365" s="32" t="s">
        <v>462</v>
      </c>
      <c r="J365" s="279">
        <v>5</v>
      </c>
      <c r="K365" s="280">
        <v>7512.13</v>
      </c>
      <c r="L365" s="280">
        <v>415.42</v>
      </c>
      <c r="M365" s="280">
        <v>7096.71</v>
      </c>
      <c r="N365" s="281">
        <v>517</v>
      </c>
      <c r="O365" s="282">
        <v>529</v>
      </c>
      <c r="P365" s="280">
        <f t="shared" si="11"/>
        <v>7686.4927852998071</v>
      </c>
    </row>
    <row r="366" spans="1:16" x14ac:dyDescent="0.2">
      <c r="A366" s="32" t="s">
        <v>596</v>
      </c>
      <c r="B366" s="32" t="s">
        <v>576</v>
      </c>
      <c r="C366" s="32" t="s">
        <v>577</v>
      </c>
      <c r="D366" s="32" t="s">
        <v>590</v>
      </c>
      <c r="E366" s="32" t="s">
        <v>556</v>
      </c>
      <c r="F366" s="32" t="s">
        <v>587</v>
      </c>
      <c r="G366" s="32" t="str">
        <f t="shared" si="10"/>
        <v>1.125" PE TWIN</v>
      </c>
      <c r="H366" s="278" t="s">
        <v>468</v>
      </c>
      <c r="I366" s="32" t="s">
        <v>462</v>
      </c>
      <c r="J366" s="279">
        <v>28</v>
      </c>
      <c r="K366" s="280">
        <v>51500.65</v>
      </c>
      <c r="L366" s="280">
        <v>2847.98</v>
      </c>
      <c r="M366" s="280">
        <v>48652.67</v>
      </c>
      <c r="N366" s="281">
        <v>517</v>
      </c>
      <c r="O366" s="282">
        <v>529</v>
      </c>
      <c r="P366" s="280">
        <f t="shared" si="11"/>
        <v>52696.022920696327</v>
      </c>
    </row>
    <row r="367" spans="1:16" x14ac:dyDescent="0.2">
      <c r="A367" s="32" t="s">
        <v>596</v>
      </c>
      <c r="B367" s="32" t="s">
        <v>576</v>
      </c>
      <c r="C367" s="32" t="s">
        <v>577</v>
      </c>
      <c r="D367" s="32" t="s">
        <v>590</v>
      </c>
      <c r="E367" s="32" t="s">
        <v>556</v>
      </c>
      <c r="F367" s="32" t="s">
        <v>587</v>
      </c>
      <c r="G367" s="32" t="str">
        <f t="shared" si="10"/>
        <v>1.125" PE TWIN</v>
      </c>
      <c r="H367" s="278" t="s">
        <v>468</v>
      </c>
      <c r="I367" s="32" t="s">
        <v>462</v>
      </c>
      <c r="J367" s="279">
        <v>85</v>
      </c>
      <c r="K367" s="280">
        <v>122699.15</v>
      </c>
      <c r="L367" s="280">
        <v>6785.26</v>
      </c>
      <c r="M367" s="280">
        <v>115913.89</v>
      </c>
      <c r="N367" s="281">
        <v>517</v>
      </c>
      <c r="O367" s="282">
        <v>529</v>
      </c>
      <c r="P367" s="280">
        <f t="shared" si="11"/>
        <v>125547.09932301741</v>
      </c>
    </row>
    <row r="368" spans="1:16" x14ac:dyDescent="0.2">
      <c r="A368" s="32" t="s">
        <v>596</v>
      </c>
      <c r="B368" s="32" t="s">
        <v>576</v>
      </c>
      <c r="C368" s="32" t="s">
        <v>577</v>
      </c>
      <c r="D368" s="32" t="s">
        <v>590</v>
      </c>
      <c r="E368" s="32" t="s">
        <v>556</v>
      </c>
      <c r="F368" s="32" t="s">
        <v>587</v>
      </c>
      <c r="G368" s="32" t="str">
        <f t="shared" si="10"/>
        <v>1.125" PE TWIN</v>
      </c>
      <c r="H368" s="278" t="s">
        <v>468</v>
      </c>
      <c r="I368" s="32" t="s">
        <v>462</v>
      </c>
      <c r="J368" s="279">
        <v>215</v>
      </c>
      <c r="K368" s="280">
        <v>538546.88</v>
      </c>
      <c r="L368" s="280">
        <v>29781.61</v>
      </c>
      <c r="M368" s="280">
        <v>508765.27</v>
      </c>
      <c r="N368" s="281">
        <v>517</v>
      </c>
      <c r="O368" s="282">
        <v>529</v>
      </c>
      <c r="P368" s="280">
        <f t="shared" si="11"/>
        <v>551047.00100580277</v>
      </c>
    </row>
    <row r="369" spans="1:16" x14ac:dyDescent="0.2">
      <c r="A369" s="32" t="s">
        <v>596</v>
      </c>
      <c r="B369" s="32" t="s">
        <v>576</v>
      </c>
      <c r="C369" s="32" t="s">
        <v>577</v>
      </c>
      <c r="D369" s="32" t="s">
        <v>590</v>
      </c>
      <c r="E369" s="32" t="s">
        <v>556</v>
      </c>
      <c r="F369" s="32" t="s">
        <v>587</v>
      </c>
      <c r="G369" s="32" t="str">
        <f t="shared" si="10"/>
        <v>1.125" PE TWIN</v>
      </c>
      <c r="H369" s="278" t="s">
        <v>469</v>
      </c>
      <c r="I369" s="32" t="s">
        <v>462</v>
      </c>
      <c r="J369" s="279">
        <v>1</v>
      </c>
      <c r="K369" s="280">
        <v>1614.72</v>
      </c>
      <c r="L369" s="280">
        <v>31.75</v>
      </c>
      <c r="M369" s="280">
        <v>1582.97</v>
      </c>
      <c r="N369" s="281">
        <v>529</v>
      </c>
      <c r="O369" s="282">
        <v>529</v>
      </c>
      <c r="P369" s="280">
        <f t="shared" si="11"/>
        <v>1614.72</v>
      </c>
    </row>
    <row r="370" spans="1:16" x14ac:dyDescent="0.2">
      <c r="A370" s="32" t="s">
        <v>596</v>
      </c>
      <c r="B370" s="32" t="s">
        <v>576</v>
      </c>
      <c r="C370" s="32" t="s">
        <v>577</v>
      </c>
      <c r="D370" s="32" t="s">
        <v>590</v>
      </c>
      <c r="E370" s="32" t="s">
        <v>556</v>
      </c>
      <c r="F370" s="32" t="s">
        <v>587</v>
      </c>
      <c r="G370" s="32" t="str">
        <f t="shared" si="10"/>
        <v>1.125" PE TWIN</v>
      </c>
      <c r="H370" s="278" t="s">
        <v>469</v>
      </c>
      <c r="I370" s="32" t="s">
        <v>462</v>
      </c>
      <c r="J370" s="279">
        <v>1</v>
      </c>
      <c r="K370" s="280">
        <v>2341.41</v>
      </c>
      <c r="L370" s="280">
        <v>46.04</v>
      </c>
      <c r="M370" s="280">
        <v>2295.37</v>
      </c>
      <c r="N370" s="281">
        <v>529</v>
      </c>
      <c r="O370" s="282">
        <v>529</v>
      </c>
      <c r="P370" s="280">
        <f t="shared" si="11"/>
        <v>2341.41</v>
      </c>
    </row>
    <row r="371" spans="1:16" x14ac:dyDescent="0.2">
      <c r="A371" s="32" t="s">
        <v>596</v>
      </c>
      <c r="B371" s="32" t="s">
        <v>576</v>
      </c>
      <c r="C371" s="32" t="s">
        <v>577</v>
      </c>
      <c r="D371" s="32" t="s">
        <v>590</v>
      </c>
      <c r="E371" s="32" t="s">
        <v>556</v>
      </c>
      <c r="F371" s="32" t="s">
        <v>587</v>
      </c>
      <c r="G371" s="32" t="str">
        <f t="shared" si="10"/>
        <v>1.125" PE TWIN</v>
      </c>
      <c r="H371" s="278" t="s">
        <v>469</v>
      </c>
      <c r="I371" s="32" t="s">
        <v>462</v>
      </c>
      <c r="J371" s="279">
        <v>9</v>
      </c>
      <c r="K371" s="280">
        <v>20482.400000000001</v>
      </c>
      <c r="L371" s="280">
        <v>402.71</v>
      </c>
      <c r="M371" s="280">
        <v>20079.689999999999</v>
      </c>
      <c r="N371" s="281">
        <v>529</v>
      </c>
      <c r="O371" s="282">
        <v>529</v>
      </c>
      <c r="P371" s="280">
        <f t="shared" si="11"/>
        <v>20482.400000000001</v>
      </c>
    </row>
    <row r="372" spans="1:16" x14ac:dyDescent="0.2">
      <c r="A372" s="32" t="s">
        <v>596</v>
      </c>
      <c r="B372" s="32" t="s">
        <v>576</v>
      </c>
      <c r="C372" s="32" t="s">
        <v>577</v>
      </c>
      <c r="D372" s="32" t="s">
        <v>590</v>
      </c>
      <c r="E372" s="32" t="s">
        <v>556</v>
      </c>
      <c r="F372" s="32" t="s">
        <v>587</v>
      </c>
      <c r="G372" s="32" t="str">
        <f t="shared" si="10"/>
        <v>1.125" PE TWIN</v>
      </c>
      <c r="H372" s="278" t="s">
        <v>469</v>
      </c>
      <c r="I372" s="32" t="s">
        <v>462</v>
      </c>
      <c r="J372" s="279">
        <v>34</v>
      </c>
      <c r="K372" s="280">
        <v>94729.66</v>
      </c>
      <c r="L372" s="280">
        <v>1862.52</v>
      </c>
      <c r="M372" s="280">
        <v>92867.14</v>
      </c>
      <c r="N372" s="281">
        <v>529</v>
      </c>
      <c r="O372" s="282">
        <v>529</v>
      </c>
      <c r="P372" s="280">
        <f t="shared" si="11"/>
        <v>94729.66</v>
      </c>
    </row>
    <row r="373" spans="1:16" x14ac:dyDescent="0.2">
      <c r="A373" s="32" t="s">
        <v>596</v>
      </c>
      <c r="B373" s="32" t="s">
        <v>576</v>
      </c>
      <c r="C373" s="32" t="s">
        <v>577</v>
      </c>
      <c r="D373" s="32" t="s">
        <v>590</v>
      </c>
      <c r="E373" s="32" t="s">
        <v>556</v>
      </c>
      <c r="F373" s="32" t="s">
        <v>587</v>
      </c>
      <c r="G373" s="32" t="str">
        <f t="shared" si="10"/>
        <v>1.125" PE TWIN</v>
      </c>
      <c r="H373" s="278" t="s">
        <v>469</v>
      </c>
      <c r="I373" s="32" t="s">
        <v>462</v>
      </c>
      <c r="J373" s="279">
        <v>42</v>
      </c>
      <c r="K373" s="280">
        <v>108847.85</v>
      </c>
      <c r="L373" s="280">
        <v>2140.1</v>
      </c>
      <c r="M373" s="280">
        <v>106707.75</v>
      </c>
      <c r="N373" s="281">
        <v>529</v>
      </c>
      <c r="O373" s="282">
        <v>529</v>
      </c>
      <c r="P373" s="280">
        <f t="shared" si="11"/>
        <v>108847.85</v>
      </c>
    </row>
    <row r="374" spans="1:16" x14ac:dyDescent="0.2">
      <c r="A374" s="32" t="s">
        <v>596</v>
      </c>
      <c r="B374" s="32" t="s">
        <v>576</v>
      </c>
      <c r="C374" s="32" t="s">
        <v>577</v>
      </c>
      <c r="D374" s="32" t="s">
        <v>590</v>
      </c>
      <c r="E374" s="32" t="s">
        <v>556</v>
      </c>
      <c r="F374" s="32" t="s">
        <v>587</v>
      </c>
      <c r="G374" s="32" t="str">
        <f t="shared" si="10"/>
        <v>1.125" PE TWIN</v>
      </c>
      <c r="H374" s="278" t="s">
        <v>469</v>
      </c>
      <c r="I374" s="32" t="s">
        <v>462</v>
      </c>
      <c r="J374" s="279">
        <v>123</v>
      </c>
      <c r="K374" s="280">
        <v>376494.4</v>
      </c>
      <c r="L374" s="280">
        <v>7402.41</v>
      </c>
      <c r="M374" s="280">
        <v>369091.99</v>
      </c>
      <c r="N374" s="281">
        <v>529</v>
      </c>
      <c r="O374" s="282">
        <v>529</v>
      </c>
      <c r="P374" s="280">
        <f t="shared" si="11"/>
        <v>376494.4</v>
      </c>
    </row>
    <row r="375" spans="1:16" x14ac:dyDescent="0.2">
      <c r="A375" s="32" t="s">
        <v>597</v>
      </c>
      <c r="B375" s="32" t="s">
        <v>576</v>
      </c>
      <c r="C375" s="32" t="s">
        <v>577</v>
      </c>
      <c r="D375" s="32" t="s">
        <v>590</v>
      </c>
      <c r="E375" s="32" t="s">
        <v>556</v>
      </c>
      <c r="F375" s="32" t="s">
        <v>587</v>
      </c>
      <c r="G375" s="32" t="str">
        <f t="shared" si="10"/>
        <v>1.125" PE TWIN</v>
      </c>
      <c r="H375" s="278" t="s">
        <v>475</v>
      </c>
      <c r="I375" s="32" t="s">
        <v>462</v>
      </c>
      <c r="J375" s="279">
        <v>28</v>
      </c>
      <c r="K375" s="280">
        <v>352.73</v>
      </c>
      <c r="L375" s="280">
        <v>104.89</v>
      </c>
      <c r="M375" s="280">
        <v>247.84</v>
      </c>
      <c r="N375" s="281">
        <v>393</v>
      </c>
      <c r="O375" s="282">
        <v>529</v>
      </c>
      <c r="P375" s="280">
        <f t="shared" si="11"/>
        <v>474.79432569974557</v>
      </c>
    </row>
    <row r="376" spans="1:16" x14ac:dyDescent="0.2">
      <c r="A376" s="32" t="s">
        <v>598</v>
      </c>
      <c r="B376" s="32" t="s">
        <v>576</v>
      </c>
      <c r="C376" s="32" t="s">
        <v>577</v>
      </c>
      <c r="D376" s="32" t="s">
        <v>599</v>
      </c>
      <c r="E376" s="32" t="s">
        <v>556</v>
      </c>
      <c r="F376" s="32" t="s">
        <v>579</v>
      </c>
      <c r="G376" s="32" t="str">
        <f t="shared" si="10"/>
        <v>1.25" PE EUF</v>
      </c>
      <c r="H376" s="278" t="s">
        <v>479</v>
      </c>
      <c r="I376" s="32" t="s">
        <v>462</v>
      </c>
      <c r="J376" s="279">
        <v>4</v>
      </c>
      <c r="K376" s="280">
        <v>6715.88</v>
      </c>
      <c r="L376" s="280">
        <v>2986.14</v>
      </c>
      <c r="M376" s="280">
        <v>3729.74</v>
      </c>
      <c r="N376" s="281">
        <v>357</v>
      </c>
      <c r="O376" s="282">
        <v>529</v>
      </c>
      <c r="P376" s="280">
        <f t="shared" si="11"/>
        <v>9951.5420728291319</v>
      </c>
    </row>
    <row r="377" spans="1:16" x14ac:dyDescent="0.2">
      <c r="A377" s="32" t="s">
        <v>598</v>
      </c>
      <c r="B377" s="32" t="s">
        <v>576</v>
      </c>
      <c r="C377" s="32" t="s">
        <v>577</v>
      </c>
      <c r="D377" s="32" t="s">
        <v>599</v>
      </c>
      <c r="E377" s="32" t="s">
        <v>556</v>
      </c>
      <c r="F377" s="32" t="s">
        <v>579</v>
      </c>
      <c r="G377" s="32" t="str">
        <f t="shared" si="10"/>
        <v>1.25" PE EUF</v>
      </c>
      <c r="H377" s="278" t="s">
        <v>480</v>
      </c>
      <c r="I377" s="32" t="s">
        <v>462</v>
      </c>
      <c r="J377" s="279">
        <v>2</v>
      </c>
      <c r="K377" s="280">
        <v>97033.78</v>
      </c>
      <c r="L377" s="280">
        <v>39572.25</v>
      </c>
      <c r="M377" s="280">
        <v>57461.53</v>
      </c>
      <c r="N377" s="281">
        <v>365</v>
      </c>
      <c r="O377" s="282">
        <v>529</v>
      </c>
      <c r="P377" s="280">
        <f t="shared" si="11"/>
        <v>140632.51950684932</v>
      </c>
    </row>
    <row r="378" spans="1:16" x14ac:dyDescent="0.2">
      <c r="A378" s="32" t="s">
        <v>598</v>
      </c>
      <c r="B378" s="32" t="s">
        <v>576</v>
      </c>
      <c r="C378" s="32" t="s">
        <v>577</v>
      </c>
      <c r="D378" s="32" t="s">
        <v>599</v>
      </c>
      <c r="E378" s="32" t="s">
        <v>556</v>
      </c>
      <c r="F378" s="32" t="s">
        <v>579</v>
      </c>
      <c r="G378" s="32" t="str">
        <f t="shared" si="10"/>
        <v>1.25" PE EUF</v>
      </c>
      <c r="H378" s="278" t="s">
        <v>474</v>
      </c>
      <c r="I378" s="32" t="s">
        <v>462</v>
      </c>
      <c r="J378" s="279">
        <v>1</v>
      </c>
      <c r="K378" s="280">
        <v>6336.75</v>
      </c>
      <c r="L378" s="280">
        <v>1206.96</v>
      </c>
      <c r="M378" s="280">
        <v>5129.79</v>
      </c>
      <c r="N378" s="281">
        <v>431</v>
      </c>
      <c r="O378" s="282">
        <v>529</v>
      </c>
      <c r="P378" s="280">
        <f t="shared" si="11"/>
        <v>7777.5887470997677</v>
      </c>
    </row>
    <row r="379" spans="1:16" x14ac:dyDescent="0.2">
      <c r="A379" s="32" t="s">
        <v>598</v>
      </c>
      <c r="B379" s="32" t="s">
        <v>576</v>
      </c>
      <c r="C379" s="32" t="s">
        <v>577</v>
      </c>
      <c r="D379" s="32" t="s">
        <v>599</v>
      </c>
      <c r="E379" s="32" t="s">
        <v>556</v>
      </c>
      <c r="F379" s="32" t="s">
        <v>579</v>
      </c>
      <c r="G379" s="32" t="str">
        <f t="shared" si="10"/>
        <v>1.25" PE EUF</v>
      </c>
      <c r="H379" s="278" t="s">
        <v>477</v>
      </c>
      <c r="I379" s="32" t="s">
        <v>462</v>
      </c>
      <c r="J379" s="279">
        <v>1</v>
      </c>
      <c r="K379" s="280">
        <v>1293.57</v>
      </c>
      <c r="L379" s="280">
        <v>201.98</v>
      </c>
      <c r="M379" s="280">
        <v>1091.5899999999999</v>
      </c>
      <c r="N379" s="281">
        <v>450</v>
      </c>
      <c r="O379" s="282">
        <v>529</v>
      </c>
      <c r="P379" s="280">
        <f t="shared" si="11"/>
        <v>1520.6633999999999</v>
      </c>
    </row>
    <row r="380" spans="1:16" x14ac:dyDescent="0.2">
      <c r="A380" s="32" t="s">
        <v>598</v>
      </c>
      <c r="B380" s="32" t="s">
        <v>576</v>
      </c>
      <c r="C380" s="32" t="s">
        <v>577</v>
      </c>
      <c r="D380" s="32" t="s">
        <v>599</v>
      </c>
      <c r="E380" s="32" t="s">
        <v>556</v>
      </c>
      <c r="F380" s="32" t="s">
        <v>579</v>
      </c>
      <c r="G380" s="32" t="str">
        <f t="shared" si="10"/>
        <v>1.25" PE EUF</v>
      </c>
      <c r="H380" s="278" t="s">
        <v>470</v>
      </c>
      <c r="I380" s="32" t="s">
        <v>462</v>
      </c>
      <c r="J380" s="279">
        <v>1</v>
      </c>
      <c r="K380" s="280">
        <v>31635.58</v>
      </c>
      <c r="L380" s="280">
        <v>3872.56</v>
      </c>
      <c r="M380" s="280">
        <v>27763.02</v>
      </c>
      <c r="N380" s="281">
        <v>467</v>
      </c>
      <c r="O380" s="282">
        <v>529</v>
      </c>
      <c r="P380" s="280">
        <f t="shared" si="11"/>
        <v>35835.592762312634</v>
      </c>
    </row>
    <row r="381" spans="1:16" x14ac:dyDescent="0.2">
      <c r="A381" s="32" t="s">
        <v>598</v>
      </c>
      <c r="B381" s="32" t="s">
        <v>576</v>
      </c>
      <c r="C381" s="32" t="s">
        <v>577</v>
      </c>
      <c r="D381" s="32" t="s">
        <v>599</v>
      </c>
      <c r="E381" s="32" t="s">
        <v>556</v>
      </c>
      <c r="F381" s="32" t="s">
        <v>579</v>
      </c>
      <c r="G381" s="32" t="str">
        <f t="shared" si="10"/>
        <v>1.25" PE EUF</v>
      </c>
      <c r="H381" s="278" t="s">
        <v>461</v>
      </c>
      <c r="I381" s="32" t="s">
        <v>462</v>
      </c>
      <c r="J381" s="279">
        <v>1</v>
      </c>
      <c r="K381" s="280">
        <v>5240.38</v>
      </c>
      <c r="L381" s="280">
        <v>466.48</v>
      </c>
      <c r="M381" s="280">
        <v>4773.8999999999996</v>
      </c>
      <c r="N381" s="281">
        <v>491</v>
      </c>
      <c r="O381" s="282">
        <v>529</v>
      </c>
      <c r="P381" s="280">
        <f t="shared" si="11"/>
        <v>5645.9491242362519</v>
      </c>
    </row>
    <row r="382" spans="1:16" x14ac:dyDescent="0.2">
      <c r="A382" s="32" t="s">
        <v>598</v>
      </c>
      <c r="B382" s="32" t="s">
        <v>576</v>
      </c>
      <c r="C382" s="32" t="s">
        <v>577</v>
      </c>
      <c r="D382" s="32" t="s">
        <v>599</v>
      </c>
      <c r="E382" s="32" t="s">
        <v>556</v>
      </c>
      <c r="F382" s="32" t="s">
        <v>579</v>
      </c>
      <c r="G382" s="32" t="str">
        <f t="shared" si="10"/>
        <v>1.25" PE EUF</v>
      </c>
      <c r="H382" s="278" t="s">
        <v>461</v>
      </c>
      <c r="I382" s="32" t="s">
        <v>462</v>
      </c>
      <c r="J382" s="279">
        <v>3</v>
      </c>
      <c r="K382" s="280">
        <v>10883.71</v>
      </c>
      <c r="L382" s="280">
        <v>968.84</v>
      </c>
      <c r="M382" s="280">
        <v>9914.8700000000008</v>
      </c>
      <c r="N382" s="281">
        <v>491</v>
      </c>
      <c r="O382" s="282">
        <v>529</v>
      </c>
      <c r="P382" s="280">
        <f t="shared" si="11"/>
        <v>11726.033788187371</v>
      </c>
    </row>
    <row r="383" spans="1:16" x14ac:dyDescent="0.2">
      <c r="A383" s="32" t="s">
        <v>598</v>
      </c>
      <c r="B383" s="32" t="s">
        <v>576</v>
      </c>
      <c r="C383" s="32" t="s">
        <v>577</v>
      </c>
      <c r="D383" s="32" t="s">
        <v>599</v>
      </c>
      <c r="E383" s="32" t="s">
        <v>556</v>
      </c>
      <c r="F383" s="32" t="s">
        <v>579</v>
      </c>
      <c r="G383" s="32" t="str">
        <f t="shared" si="10"/>
        <v>1.25" PE EUF</v>
      </c>
      <c r="H383" s="278" t="s">
        <v>461</v>
      </c>
      <c r="I383" s="32" t="s">
        <v>462</v>
      </c>
      <c r="J383" s="279">
        <v>4</v>
      </c>
      <c r="K383" s="280">
        <v>23657.69</v>
      </c>
      <c r="L383" s="280">
        <v>2105.94</v>
      </c>
      <c r="M383" s="280">
        <v>21551.75</v>
      </c>
      <c r="N383" s="281">
        <v>491</v>
      </c>
      <c r="O383" s="282">
        <v>529</v>
      </c>
      <c r="P383" s="280">
        <f t="shared" si="11"/>
        <v>25488.631384928714</v>
      </c>
    </row>
    <row r="384" spans="1:16" x14ac:dyDescent="0.2">
      <c r="A384" s="32" t="s">
        <v>598</v>
      </c>
      <c r="B384" s="32" t="s">
        <v>576</v>
      </c>
      <c r="C384" s="32" t="s">
        <v>577</v>
      </c>
      <c r="D384" s="32" t="s">
        <v>599</v>
      </c>
      <c r="E384" s="32" t="s">
        <v>556</v>
      </c>
      <c r="F384" s="32" t="s">
        <v>579</v>
      </c>
      <c r="G384" s="32" t="str">
        <f t="shared" si="10"/>
        <v>1.25" PE EUF</v>
      </c>
      <c r="H384" s="278" t="s">
        <v>468</v>
      </c>
      <c r="I384" s="32" t="s">
        <v>462</v>
      </c>
      <c r="J384" s="279">
        <v>1</v>
      </c>
      <c r="K384" s="280">
        <v>7012.39</v>
      </c>
      <c r="L384" s="280">
        <v>387.78</v>
      </c>
      <c r="M384" s="280">
        <v>6624.61</v>
      </c>
      <c r="N384" s="281">
        <v>517</v>
      </c>
      <c r="O384" s="282">
        <v>529</v>
      </c>
      <c r="P384" s="280">
        <f t="shared" si="11"/>
        <v>7175.1534042553203</v>
      </c>
    </row>
    <row r="385" spans="1:16" x14ac:dyDescent="0.2">
      <c r="A385" s="32" t="s">
        <v>598</v>
      </c>
      <c r="B385" s="32" t="s">
        <v>576</v>
      </c>
      <c r="C385" s="32" t="s">
        <v>577</v>
      </c>
      <c r="D385" s="32" t="s">
        <v>599</v>
      </c>
      <c r="E385" s="32" t="s">
        <v>556</v>
      </c>
      <c r="F385" s="32" t="s">
        <v>579</v>
      </c>
      <c r="G385" s="32" t="str">
        <f t="shared" si="10"/>
        <v>1.25" PE EUF</v>
      </c>
      <c r="H385" s="278" t="s">
        <v>468</v>
      </c>
      <c r="I385" s="32" t="s">
        <v>462</v>
      </c>
      <c r="J385" s="279">
        <v>2</v>
      </c>
      <c r="K385" s="280">
        <v>8623.42</v>
      </c>
      <c r="L385" s="280">
        <v>476.87</v>
      </c>
      <c r="M385" s="280">
        <v>8146.55</v>
      </c>
      <c r="N385" s="281">
        <v>517</v>
      </c>
      <c r="O385" s="282">
        <v>529</v>
      </c>
      <c r="P385" s="280">
        <f t="shared" si="11"/>
        <v>8823.5767504835603</v>
      </c>
    </row>
    <row r="386" spans="1:16" x14ac:dyDescent="0.2">
      <c r="A386" s="32" t="s">
        <v>598</v>
      </c>
      <c r="B386" s="32" t="s">
        <v>576</v>
      </c>
      <c r="C386" s="32" t="s">
        <v>577</v>
      </c>
      <c r="D386" s="32" t="s">
        <v>599</v>
      </c>
      <c r="E386" s="32" t="s">
        <v>556</v>
      </c>
      <c r="F386" s="32" t="s">
        <v>579</v>
      </c>
      <c r="G386" s="32" t="str">
        <f t="shared" ref="G386:G449" si="12">D386&amp;" "&amp;E386&amp;" "&amp;F386</f>
        <v>1.25" PE EUF</v>
      </c>
      <c r="H386" s="278" t="s">
        <v>468</v>
      </c>
      <c r="I386" s="32" t="s">
        <v>462</v>
      </c>
      <c r="J386" s="279">
        <v>8</v>
      </c>
      <c r="K386" s="280">
        <v>38771.65</v>
      </c>
      <c r="L386" s="280">
        <v>2144.0700000000002</v>
      </c>
      <c r="M386" s="280">
        <v>36627.58</v>
      </c>
      <c r="N386" s="281">
        <v>517</v>
      </c>
      <c r="O386" s="282">
        <v>529</v>
      </c>
      <c r="P386" s="280">
        <f t="shared" ref="P386:P449" si="13">+(O386/N386)*K386</f>
        <v>39671.572243713737</v>
      </c>
    </row>
    <row r="387" spans="1:16" x14ac:dyDescent="0.2">
      <c r="A387" s="32" t="s">
        <v>598</v>
      </c>
      <c r="B387" s="32" t="s">
        <v>576</v>
      </c>
      <c r="C387" s="32" t="s">
        <v>577</v>
      </c>
      <c r="D387" s="32" t="s">
        <v>599</v>
      </c>
      <c r="E387" s="32" t="s">
        <v>556</v>
      </c>
      <c r="F387" s="32" t="s">
        <v>579</v>
      </c>
      <c r="G387" s="32" t="str">
        <f t="shared" si="12"/>
        <v>1.25" PE EUF</v>
      </c>
      <c r="H387" s="278" t="s">
        <v>468</v>
      </c>
      <c r="I387" s="32" t="s">
        <v>462</v>
      </c>
      <c r="J387" s="279">
        <v>12</v>
      </c>
      <c r="K387" s="280">
        <v>64923.88</v>
      </c>
      <c r="L387" s="280">
        <v>3590.29</v>
      </c>
      <c r="M387" s="280">
        <v>61333.59</v>
      </c>
      <c r="N387" s="281">
        <v>517</v>
      </c>
      <c r="O387" s="282">
        <v>529</v>
      </c>
      <c r="P387" s="280">
        <f t="shared" si="13"/>
        <v>66430.817253384914</v>
      </c>
    </row>
    <row r="388" spans="1:16" x14ac:dyDescent="0.2">
      <c r="A388" s="32" t="s">
        <v>598</v>
      </c>
      <c r="B388" s="32" t="s">
        <v>576</v>
      </c>
      <c r="C388" s="32" t="s">
        <v>577</v>
      </c>
      <c r="D388" s="32" t="s">
        <v>599</v>
      </c>
      <c r="E388" s="32" t="s">
        <v>556</v>
      </c>
      <c r="F388" s="32" t="s">
        <v>579</v>
      </c>
      <c r="G388" s="32" t="str">
        <f t="shared" si="12"/>
        <v>1.25" PE EUF</v>
      </c>
      <c r="H388" s="278" t="s">
        <v>469</v>
      </c>
      <c r="I388" s="32" t="s">
        <v>462</v>
      </c>
      <c r="J388" s="279">
        <v>2</v>
      </c>
      <c r="K388" s="280">
        <v>3224.84</v>
      </c>
      <c r="L388" s="280">
        <v>63.4</v>
      </c>
      <c r="M388" s="280">
        <v>3161.44</v>
      </c>
      <c r="N388" s="281">
        <v>529</v>
      </c>
      <c r="O388" s="282">
        <v>529</v>
      </c>
      <c r="P388" s="280">
        <f t="shared" si="13"/>
        <v>3224.84</v>
      </c>
    </row>
    <row r="389" spans="1:16" x14ac:dyDescent="0.2">
      <c r="A389" s="32" t="s">
        <v>598</v>
      </c>
      <c r="B389" s="32" t="s">
        <v>576</v>
      </c>
      <c r="C389" s="32" t="s">
        <v>577</v>
      </c>
      <c r="D389" s="32" t="s">
        <v>599</v>
      </c>
      <c r="E389" s="32" t="s">
        <v>556</v>
      </c>
      <c r="F389" s="32" t="s">
        <v>579</v>
      </c>
      <c r="G389" s="32" t="str">
        <f t="shared" si="12"/>
        <v>1.25" PE EUF</v>
      </c>
      <c r="H389" s="278" t="s">
        <v>469</v>
      </c>
      <c r="I389" s="32" t="s">
        <v>462</v>
      </c>
      <c r="J389" s="279">
        <v>2</v>
      </c>
      <c r="K389" s="280">
        <v>11121.56</v>
      </c>
      <c r="L389" s="280">
        <v>218.67</v>
      </c>
      <c r="M389" s="280">
        <v>10902.89</v>
      </c>
      <c r="N389" s="281">
        <v>529</v>
      </c>
      <c r="O389" s="282">
        <v>529</v>
      </c>
      <c r="P389" s="280">
        <f t="shared" si="13"/>
        <v>11121.56</v>
      </c>
    </row>
    <row r="390" spans="1:16" x14ac:dyDescent="0.2">
      <c r="A390" s="32" t="s">
        <v>598</v>
      </c>
      <c r="B390" s="32" t="s">
        <v>576</v>
      </c>
      <c r="C390" s="32" t="s">
        <v>577</v>
      </c>
      <c r="D390" s="32" t="s">
        <v>599</v>
      </c>
      <c r="E390" s="32" t="s">
        <v>556</v>
      </c>
      <c r="F390" s="32" t="s">
        <v>579</v>
      </c>
      <c r="G390" s="32" t="str">
        <f t="shared" si="12"/>
        <v>1.25" PE EUF</v>
      </c>
      <c r="H390" s="278" t="s">
        <v>469</v>
      </c>
      <c r="I390" s="32" t="s">
        <v>462</v>
      </c>
      <c r="J390" s="279">
        <v>5</v>
      </c>
      <c r="K390" s="280">
        <v>23540.13</v>
      </c>
      <c r="L390" s="280">
        <v>462.83</v>
      </c>
      <c r="M390" s="280">
        <v>23077.3</v>
      </c>
      <c r="N390" s="281">
        <v>529</v>
      </c>
      <c r="O390" s="282">
        <v>529</v>
      </c>
      <c r="P390" s="280">
        <f t="shared" si="13"/>
        <v>23540.13</v>
      </c>
    </row>
    <row r="391" spans="1:16" x14ac:dyDescent="0.2">
      <c r="A391" s="32" t="s">
        <v>600</v>
      </c>
      <c r="B391" s="32" t="s">
        <v>576</v>
      </c>
      <c r="C391" s="32" t="s">
        <v>577</v>
      </c>
      <c r="D391" s="32" t="s">
        <v>599</v>
      </c>
      <c r="E391" s="32" t="s">
        <v>556</v>
      </c>
      <c r="F391" s="32" t="s">
        <v>579</v>
      </c>
      <c r="G391" s="32" t="str">
        <f t="shared" si="12"/>
        <v>1.25" PE EUF</v>
      </c>
      <c r="H391" s="278" t="s">
        <v>467</v>
      </c>
      <c r="I391" s="32" t="s">
        <v>462</v>
      </c>
      <c r="J391" s="279">
        <v>0</v>
      </c>
      <c r="K391" s="280">
        <v>0.42</v>
      </c>
      <c r="L391" s="280">
        <v>0.22</v>
      </c>
      <c r="M391" s="280">
        <v>0.2</v>
      </c>
      <c r="N391" s="281">
        <v>344</v>
      </c>
      <c r="O391" s="282">
        <v>529</v>
      </c>
      <c r="P391" s="280">
        <f t="shared" si="13"/>
        <v>0.64587209302325577</v>
      </c>
    </row>
    <row r="392" spans="1:16" x14ac:dyDescent="0.2">
      <c r="A392" s="32" t="s">
        <v>600</v>
      </c>
      <c r="B392" s="32" t="s">
        <v>576</v>
      </c>
      <c r="C392" s="32" t="s">
        <v>577</v>
      </c>
      <c r="D392" s="32" t="s">
        <v>599</v>
      </c>
      <c r="E392" s="32" t="s">
        <v>556</v>
      </c>
      <c r="F392" s="32" t="s">
        <v>579</v>
      </c>
      <c r="G392" s="32" t="str">
        <f t="shared" si="12"/>
        <v>1.25" PE EUF</v>
      </c>
      <c r="H392" s="278" t="s">
        <v>469</v>
      </c>
      <c r="I392" s="32" t="s">
        <v>462</v>
      </c>
      <c r="J392" s="279">
        <v>2</v>
      </c>
      <c r="K392" s="280">
        <v>10277.280000000001</v>
      </c>
      <c r="L392" s="280">
        <v>202.07</v>
      </c>
      <c r="M392" s="280">
        <v>10075.209999999999</v>
      </c>
      <c r="N392" s="281">
        <v>529</v>
      </c>
      <c r="O392" s="282">
        <v>529</v>
      </c>
      <c r="P392" s="280">
        <f t="shared" si="13"/>
        <v>10277.280000000001</v>
      </c>
    </row>
    <row r="393" spans="1:16" x14ac:dyDescent="0.2">
      <c r="A393" s="32" t="s">
        <v>601</v>
      </c>
      <c r="B393" s="32" t="s">
        <v>576</v>
      </c>
      <c r="C393" s="32" t="s">
        <v>577</v>
      </c>
      <c r="D393" s="32" t="s">
        <v>599</v>
      </c>
      <c r="E393" s="32" t="s">
        <v>556</v>
      </c>
      <c r="F393" s="32" t="s">
        <v>581</v>
      </c>
      <c r="G393" s="32" t="str">
        <f t="shared" si="12"/>
        <v>1.25" PE EXTN</v>
      </c>
      <c r="H393" s="278" t="s">
        <v>473</v>
      </c>
      <c r="I393" s="32" t="s">
        <v>462</v>
      </c>
      <c r="J393" s="279">
        <v>502</v>
      </c>
      <c r="K393" s="280">
        <v>751119.26</v>
      </c>
      <c r="L393" s="280">
        <v>361404.88</v>
      </c>
      <c r="M393" s="280">
        <v>389714.38</v>
      </c>
      <c r="N393" s="281">
        <v>351</v>
      </c>
      <c r="O393" s="282">
        <v>529</v>
      </c>
      <c r="P393" s="280">
        <f t="shared" si="13"/>
        <v>1132028.7422792024</v>
      </c>
    </row>
    <row r="394" spans="1:16" x14ac:dyDescent="0.2">
      <c r="A394" s="32" t="s">
        <v>601</v>
      </c>
      <c r="B394" s="32" t="s">
        <v>576</v>
      </c>
      <c r="C394" s="32" t="s">
        <v>577</v>
      </c>
      <c r="D394" s="32" t="s">
        <v>599</v>
      </c>
      <c r="E394" s="32" t="s">
        <v>556</v>
      </c>
      <c r="F394" s="32" t="s">
        <v>581</v>
      </c>
      <c r="G394" s="32" t="str">
        <f t="shared" si="12"/>
        <v>1.25" PE EXTN</v>
      </c>
      <c r="H394" s="278" t="s">
        <v>479</v>
      </c>
      <c r="I394" s="32" t="s">
        <v>462</v>
      </c>
      <c r="J394" s="279">
        <v>1289</v>
      </c>
      <c r="K394" s="280">
        <v>1794372.78</v>
      </c>
      <c r="L394" s="280">
        <v>797847.85</v>
      </c>
      <c r="M394" s="280">
        <v>996524.93</v>
      </c>
      <c r="N394" s="281">
        <v>357</v>
      </c>
      <c r="O394" s="282">
        <v>529</v>
      </c>
      <c r="P394" s="280">
        <f t="shared" si="13"/>
        <v>2658888.5171428574</v>
      </c>
    </row>
    <row r="395" spans="1:16" x14ac:dyDescent="0.2">
      <c r="A395" s="32" t="s">
        <v>601</v>
      </c>
      <c r="B395" s="32" t="s">
        <v>576</v>
      </c>
      <c r="C395" s="32" t="s">
        <v>577</v>
      </c>
      <c r="D395" s="32" t="s">
        <v>599</v>
      </c>
      <c r="E395" s="32" t="s">
        <v>556</v>
      </c>
      <c r="F395" s="32" t="s">
        <v>581</v>
      </c>
      <c r="G395" s="32" t="str">
        <f t="shared" si="12"/>
        <v>1.25" PE EXTN</v>
      </c>
      <c r="H395" s="278" t="s">
        <v>480</v>
      </c>
      <c r="I395" s="32" t="s">
        <v>462</v>
      </c>
      <c r="J395" s="279">
        <v>636</v>
      </c>
      <c r="K395" s="280">
        <v>2570245.59</v>
      </c>
      <c r="L395" s="280">
        <v>1048195.91</v>
      </c>
      <c r="M395" s="280">
        <v>1522049.68</v>
      </c>
      <c r="N395" s="281">
        <v>365</v>
      </c>
      <c r="O395" s="282">
        <v>529</v>
      </c>
      <c r="P395" s="280">
        <f t="shared" si="13"/>
        <v>3725095.663315068</v>
      </c>
    </row>
    <row r="396" spans="1:16" x14ac:dyDescent="0.2">
      <c r="A396" s="32" t="s">
        <v>601</v>
      </c>
      <c r="B396" s="32" t="s">
        <v>576</v>
      </c>
      <c r="C396" s="32" t="s">
        <v>577</v>
      </c>
      <c r="D396" s="32" t="s">
        <v>599</v>
      </c>
      <c r="E396" s="32" t="s">
        <v>556</v>
      </c>
      <c r="F396" s="32" t="s">
        <v>581</v>
      </c>
      <c r="G396" s="32" t="str">
        <f t="shared" si="12"/>
        <v>1.25" PE EXTN</v>
      </c>
      <c r="H396" s="278" t="s">
        <v>472</v>
      </c>
      <c r="I396" s="32" t="s">
        <v>462</v>
      </c>
      <c r="J396" s="279">
        <v>1354</v>
      </c>
      <c r="K396" s="280">
        <v>1515467.92</v>
      </c>
      <c r="L396" s="280">
        <v>562052.89</v>
      </c>
      <c r="M396" s="280">
        <v>953415.03</v>
      </c>
      <c r="N396" s="281">
        <v>370</v>
      </c>
      <c r="O396" s="282">
        <v>529</v>
      </c>
      <c r="P396" s="280">
        <f t="shared" si="13"/>
        <v>2166709.5396756758</v>
      </c>
    </row>
    <row r="397" spans="1:16" x14ac:dyDescent="0.2">
      <c r="A397" s="32" t="s">
        <v>601</v>
      </c>
      <c r="B397" s="32" t="s">
        <v>576</v>
      </c>
      <c r="C397" s="32" t="s">
        <v>577</v>
      </c>
      <c r="D397" s="32" t="s">
        <v>599</v>
      </c>
      <c r="E397" s="32" t="s">
        <v>556</v>
      </c>
      <c r="F397" s="32" t="s">
        <v>581</v>
      </c>
      <c r="G397" s="32" t="str">
        <f t="shared" si="12"/>
        <v>1.25" PE EXTN</v>
      </c>
      <c r="H397" s="278" t="s">
        <v>478</v>
      </c>
      <c r="I397" s="32" t="s">
        <v>462</v>
      </c>
      <c r="J397" s="279">
        <v>1446</v>
      </c>
      <c r="K397" s="280">
        <v>1263930.7</v>
      </c>
      <c r="L397" s="280">
        <v>422162.02</v>
      </c>
      <c r="M397" s="280">
        <v>841768.68</v>
      </c>
      <c r="N397" s="281">
        <v>378</v>
      </c>
      <c r="O397" s="282">
        <v>529</v>
      </c>
      <c r="P397" s="280">
        <f t="shared" si="13"/>
        <v>1768834.2335978837</v>
      </c>
    </row>
    <row r="398" spans="1:16" x14ac:dyDescent="0.2">
      <c r="A398" s="32" t="s">
        <v>601</v>
      </c>
      <c r="B398" s="32" t="s">
        <v>576</v>
      </c>
      <c r="C398" s="32" t="s">
        <v>577</v>
      </c>
      <c r="D398" s="32" t="s">
        <v>599</v>
      </c>
      <c r="E398" s="32" t="s">
        <v>556</v>
      </c>
      <c r="F398" s="32" t="s">
        <v>581</v>
      </c>
      <c r="G398" s="32" t="str">
        <f t="shared" si="12"/>
        <v>1.25" PE EXTN</v>
      </c>
      <c r="H398" s="278" t="s">
        <v>475</v>
      </c>
      <c r="I398" s="32" t="s">
        <v>462</v>
      </c>
      <c r="J398" s="279">
        <v>404</v>
      </c>
      <c r="K398" s="280">
        <v>819832.07</v>
      </c>
      <c r="L398" s="280">
        <v>243795.19</v>
      </c>
      <c r="M398" s="280">
        <v>576036.88</v>
      </c>
      <c r="N398" s="281">
        <v>393</v>
      </c>
      <c r="O398" s="282">
        <v>529</v>
      </c>
      <c r="P398" s="280">
        <f t="shared" si="13"/>
        <v>1103539.8601272264</v>
      </c>
    </row>
    <row r="399" spans="1:16" x14ac:dyDescent="0.2">
      <c r="A399" s="32" t="s">
        <v>601</v>
      </c>
      <c r="B399" s="32" t="s">
        <v>576</v>
      </c>
      <c r="C399" s="32" t="s">
        <v>577</v>
      </c>
      <c r="D399" s="32" t="s">
        <v>599</v>
      </c>
      <c r="E399" s="32" t="s">
        <v>556</v>
      </c>
      <c r="F399" s="32" t="s">
        <v>581</v>
      </c>
      <c r="G399" s="32" t="str">
        <f t="shared" si="12"/>
        <v>1.25" PE EXTN</v>
      </c>
      <c r="H399" s="278" t="s">
        <v>471</v>
      </c>
      <c r="I399" s="32" t="s">
        <v>462</v>
      </c>
      <c r="J399" s="279">
        <v>388</v>
      </c>
      <c r="K399" s="280">
        <v>576997.41</v>
      </c>
      <c r="L399" s="280">
        <v>150686.04999999999</v>
      </c>
      <c r="M399" s="280">
        <v>426311.36</v>
      </c>
      <c r="N399" s="281">
        <v>398</v>
      </c>
      <c r="O399" s="282">
        <v>529</v>
      </c>
      <c r="P399" s="280">
        <f t="shared" si="13"/>
        <v>766913.64293969853</v>
      </c>
    </row>
    <row r="400" spans="1:16" x14ac:dyDescent="0.2">
      <c r="A400" s="32" t="s">
        <v>601</v>
      </c>
      <c r="B400" s="32" t="s">
        <v>576</v>
      </c>
      <c r="C400" s="32" t="s">
        <v>577</v>
      </c>
      <c r="D400" s="32" t="s">
        <v>599</v>
      </c>
      <c r="E400" s="32" t="s">
        <v>556</v>
      </c>
      <c r="F400" s="32" t="s">
        <v>581</v>
      </c>
      <c r="G400" s="32" t="str">
        <f t="shared" si="12"/>
        <v>1.25" PE EXTN</v>
      </c>
      <c r="H400" s="278" t="s">
        <v>476</v>
      </c>
      <c r="I400" s="32" t="s">
        <v>462</v>
      </c>
      <c r="J400" s="279">
        <v>623</v>
      </c>
      <c r="K400" s="280">
        <v>1459858.01</v>
      </c>
      <c r="L400" s="280">
        <v>329179.81</v>
      </c>
      <c r="M400" s="280">
        <v>1130678.2</v>
      </c>
      <c r="N400" s="281">
        <v>409</v>
      </c>
      <c r="O400" s="282">
        <v>529</v>
      </c>
      <c r="P400" s="280">
        <f t="shared" si="13"/>
        <v>1888178.2085330074</v>
      </c>
    </row>
    <row r="401" spans="1:16" x14ac:dyDescent="0.2">
      <c r="A401" s="32" t="s">
        <v>601</v>
      </c>
      <c r="B401" s="32" t="s">
        <v>576</v>
      </c>
      <c r="C401" s="32" t="s">
        <v>577</v>
      </c>
      <c r="D401" s="32" t="s">
        <v>599</v>
      </c>
      <c r="E401" s="32" t="s">
        <v>556</v>
      </c>
      <c r="F401" s="32" t="s">
        <v>581</v>
      </c>
      <c r="G401" s="32" t="str">
        <f t="shared" si="12"/>
        <v>1.25" PE EXTN</v>
      </c>
      <c r="H401" s="278" t="s">
        <v>474</v>
      </c>
      <c r="I401" s="32" t="s">
        <v>462</v>
      </c>
      <c r="J401" s="279">
        <v>633</v>
      </c>
      <c r="K401" s="280">
        <v>1286443.55</v>
      </c>
      <c r="L401" s="280">
        <v>245027.96</v>
      </c>
      <c r="M401" s="280">
        <v>1041415.59</v>
      </c>
      <c r="N401" s="281">
        <v>431</v>
      </c>
      <c r="O401" s="282">
        <v>529</v>
      </c>
      <c r="P401" s="280">
        <f t="shared" si="13"/>
        <v>1578952.756264501</v>
      </c>
    </row>
    <row r="402" spans="1:16" x14ac:dyDescent="0.2">
      <c r="A402" s="32" t="s">
        <v>601</v>
      </c>
      <c r="B402" s="32" t="s">
        <v>576</v>
      </c>
      <c r="C402" s="32" t="s">
        <v>577</v>
      </c>
      <c r="D402" s="32" t="s">
        <v>599</v>
      </c>
      <c r="E402" s="32" t="s">
        <v>556</v>
      </c>
      <c r="F402" s="32" t="s">
        <v>581</v>
      </c>
      <c r="G402" s="32" t="str">
        <f t="shared" si="12"/>
        <v>1.25" PE EXTN</v>
      </c>
      <c r="H402" s="278" t="s">
        <v>477</v>
      </c>
      <c r="I402" s="32" t="s">
        <v>462</v>
      </c>
      <c r="J402" s="279">
        <v>721</v>
      </c>
      <c r="K402" s="280">
        <v>1798824.47</v>
      </c>
      <c r="L402" s="280">
        <v>280867.18</v>
      </c>
      <c r="M402" s="280">
        <v>1517957.29</v>
      </c>
      <c r="N402" s="281">
        <v>450</v>
      </c>
      <c r="O402" s="282">
        <v>529</v>
      </c>
      <c r="P402" s="280">
        <f t="shared" si="13"/>
        <v>2114618.0991777778</v>
      </c>
    </row>
    <row r="403" spans="1:16" x14ac:dyDescent="0.2">
      <c r="A403" s="32" t="s">
        <v>601</v>
      </c>
      <c r="B403" s="32" t="s">
        <v>576</v>
      </c>
      <c r="C403" s="32" t="s">
        <v>577</v>
      </c>
      <c r="D403" s="32" t="s">
        <v>599</v>
      </c>
      <c r="E403" s="32" t="s">
        <v>556</v>
      </c>
      <c r="F403" s="32" t="s">
        <v>581</v>
      </c>
      <c r="G403" s="32" t="str">
        <f t="shared" si="12"/>
        <v>1.25" PE EXTN</v>
      </c>
      <c r="H403" s="278" t="s">
        <v>470</v>
      </c>
      <c r="I403" s="32" t="s">
        <v>462</v>
      </c>
      <c r="J403" s="279">
        <v>0</v>
      </c>
      <c r="K403" s="280">
        <v>331.2</v>
      </c>
      <c r="L403" s="280">
        <v>40.54</v>
      </c>
      <c r="M403" s="280">
        <v>290.66000000000003</v>
      </c>
      <c r="N403" s="281">
        <v>467</v>
      </c>
      <c r="O403" s="282">
        <v>529</v>
      </c>
      <c r="P403" s="280">
        <f t="shared" si="13"/>
        <v>375.17087794432541</v>
      </c>
    </row>
    <row r="404" spans="1:16" x14ac:dyDescent="0.2">
      <c r="A404" s="32" t="s">
        <v>601</v>
      </c>
      <c r="B404" s="32" t="s">
        <v>576</v>
      </c>
      <c r="C404" s="32" t="s">
        <v>577</v>
      </c>
      <c r="D404" s="32" t="s">
        <v>599</v>
      </c>
      <c r="E404" s="32" t="s">
        <v>556</v>
      </c>
      <c r="F404" s="32" t="s">
        <v>581</v>
      </c>
      <c r="G404" s="32" t="str">
        <f t="shared" si="12"/>
        <v>1.25" PE EXTN</v>
      </c>
      <c r="H404" s="278" t="s">
        <v>470</v>
      </c>
      <c r="I404" s="32" t="s">
        <v>462</v>
      </c>
      <c r="J404" s="279">
        <v>26</v>
      </c>
      <c r="K404" s="280">
        <v>12835.4</v>
      </c>
      <c r="L404" s="280">
        <v>1571.2</v>
      </c>
      <c r="M404" s="280">
        <v>11264.2</v>
      </c>
      <c r="N404" s="281">
        <v>467</v>
      </c>
      <c r="O404" s="282">
        <v>529</v>
      </c>
      <c r="P404" s="280">
        <f t="shared" si="13"/>
        <v>14539.457387580298</v>
      </c>
    </row>
    <row r="405" spans="1:16" x14ac:dyDescent="0.2">
      <c r="A405" s="32" t="s">
        <v>601</v>
      </c>
      <c r="B405" s="32" t="s">
        <v>576</v>
      </c>
      <c r="C405" s="32" t="s">
        <v>577</v>
      </c>
      <c r="D405" s="32" t="s">
        <v>599</v>
      </c>
      <c r="E405" s="32" t="s">
        <v>556</v>
      </c>
      <c r="F405" s="32" t="s">
        <v>581</v>
      </c>
      <c r="G405" s="32" t="str">
        <f t="shared" si="12"/>
        <v>1.25" PE EXTN</v>
      </c>
      <c r="H405" s="278" t="s">
        <v>470</v>
      </c>
      <c r="I405" s="32" t="s">
        <v>462</v>
      </c>
      <c r="J405" s="279">
        <v>51</v>
      </c>
      <c r="K405" s="280">
        <v>119106.73</v>
      </c>
      <c r="L405" s="280">
        <v>14580.04</v>
      </c>
      <c r="M405" s="280">
        <v>104526.69</v>
      </c>
      <c r="N405" s="281">
        <v>467</v>
      </c>
      <c r="O405" s="282">
        <v>529</v>
      </c>
      <c r="P405" s="280">
        <f t="shared" si="13"/>
        <v>134919.61492505352</v>
      </c>
    </row>
    <row r="406" spans="1:16" x14ac:dyDescent="0.2">
      <c r="A406" s="32" t="s">
        <v>601</v>
      </c>
      <c r="B406" s="32" t="s">
        <v>576</v>
      </c>
      <c r="C406" s="32" t="s">
        <v>577</v>
      </c>
      <c r="D406" s="32" t="s">
        <v>599</v>
      </c>
      <c r="E406" s="32" t="s">
        <v>556</v>
      </c>
      <c r="F406" s="32" t="s">
        <v>581</v>
      </c>
      <c r="G406" s="32" t="str">
        <f t="shared" si="12"/>
        <v>1.25" PE EXTN</v>
      </c>
      <c r="H406" s="278" t="s">
        <v>470</v>
      </c>
      <c r="I406" s="32" t="s">
        <v>462</v>
      </c>
      <c r="J406" s="279">
        <v>194</v>
      </c>
      <c r="K406" s="280">
        <v>473049.28</v>
      </c>
      <c r="L406" s="280">
        <v>57906.71</v>
      </c>
      <c r="M406" s="280">
        <v>415142.57</v>
      </c>
      <c r="N406" s="281">
        <v>467</v>
      </c>
      <c r="O406" s="282">
        <v>529</v>
      </c>
      <c r="P406" s="280">
        <f t="shared" si="13"/>
        <v>535852.3964025696</v>
      </c>
    </row>
    <row r="407" spans="1:16" x14ac:dyDescent="0.2">
      <c r="A407" s="32" t="s">
        <v>601</v>
      </c>
      <c r="B407" s="32" t="s">
        <v>576</v>
      </c>
      <c r="C407" s="32" t="s">
        <v>577</v>
      </c>
      <c r="D407" s="32" t="s">
        <v>599</v>
      </c>
      <c r="E407" s="32" t="s">
        <v>556</v>
      </c>
      <c r="F407" s="32" t="s">
        <v>581</v>
      </c>
      <c r="G407" s="32" t="str">
        <f t="shared" si="12"/>
        <v>1.25" PE EXTN</v>
      </c>
      <c r="H407" s="278" t="s">
        <v>470</v>
      </c>
      <c r="I407" s="32" t="s">
        <v>462</v>
      </c>
      <c r="J407" s="279">
        <v>225</v>
      </c>
      <c r="K407" s="280">
        <v>575813.61</v>
      </c>
      <c r="L407" s="280">
        <v>70486.25</v>
      </c>
      <c r="M407" s="280">
        <v>505327.35999999999</v>
      </c>
      <c r="N407" s="281">
        <v>467</v>
      </c>
      <c r="O407" s="282">
        <v>529</v>
      </c>
      <c r="P407" s="280">
        <f t="shared" si="13"/>
        <v>652259.9565096359</v>
      </c>
    </row>
    <row r="408" spans="1:16" x14ac:dyDescent="0.2">
      <c r="A408" s="32" t="s">
        <v>601</v>
      </c>
      <c r="B408" s="32" t="s">
        <v>576</v>
      </c>
      <c r="C408" s="32" t="s">
        <v>577</v>
      </c>
      <c r="D408" s="32" t="s">
        <v>599</v>
      </c>
      <c r="E408" s="32" t="s">
        <v>556</v>
      </c>
      <c r="F408" s="32" t="s">
        <v>581</v>
      </c>
      <c r="G408" s="32" t="str">
        <f t="shared" si="12"/>
        <v>1.25" PE EXTN</v>
      </c>
      <c r="H408" s="278" t="s">
        <v>470</v>
      </c>
      <c r="I408" s="32" t="s">
        <v>462</v>
      </c>
      <c r="J408" s="279">
        <v>425</v>
      </c>
      <c r="K408" s="280">
        <v>1186867.1000000001</v>
      </c>
      <c r="L408" s="280">
        <v>145286.28</v>
      </c>
      <c r="M408" s="280">
        <v>1041580.82</v>
      </c>
      <c r="N408" s="281">
        <v>467</v>
      </c>
      <c r="O408" s="282">
        <v>529</v>
      </c>
      <c r="P408" s="280">
        <f t="shared" si="13"/>
        <v>1344438.3209850106</v>
      </c>
    </row>
    <row r="409" spans="1:16" x14ac:dyDescent="0.2">
      <c r="A409" s="32" t="s">
        <v>601</v>
      </c>
      <c r="B409" s="32" t="s">
        <v>576</v>
      </c>
      <c r="C409" s="32" t="s">
        <v>577</v>
      </c>
      <c r="D409" s="32" t="s">
        <v>599</v>
      </c>
      <c r="E409" s="32" t="s">
        <v>556</v>
      </c>
      <c r="F409" s="32" t="s">
        <v>581</v>
      </c>
      <c r="G409" s="32" t="str">
        <f t="shared" si="12"/>
        <v>1.25" PE EXTN</v>
      </c>
      <c r="H409" s="278" t="s">
        <v>461</v>
      </c>
      <c r="I409" s="32" t="s">
        <v>462</v>
      </c>
      <c r="J409" s="279">
        <v>13</v>
      </c>
      <c r="K409" s="280">
        <v>45962.99</v>
      </c>
      <c r="L409" s="280">
        <v>4091.49</v>
      </c>
      <c r="M409" s="280">
        <v>41871.5</v>
      </c>
      <c r="N409" s="281">
        <v>491</v>
      </c>
      <c r="O409" s="282">
        <v>529</v>
      </c>
      <c r="P409" s="280">
        <f t="shared" si="13"/>
        <v>49520.207148676163</v>
      </c>
    </row>
    <row r="410" spans="1:16" x14ac:dyDescent="0.2">
      <c r="A410" s="32" t="s">
        <v>601</v>
      </c>
      <c r="B410" s="32" t="s">
        <v>576</v>
      </c>
      <c r="C410" s="32" t="s">
        <v>577</v>
      </c>
      <c r="D410" s="32" t="s">
        <v>599</v>
      </c>
      <c r="E410" s="32" t="s">
        <v>556</v>
      </c>
      <c r="F410" s="32" t="s">
        <v>581</v>
      </c>
      <c r="G410" s="32" t="str">
        <f t="shared" si="12"/>
        <v>1.25" PE EXTN</v>
      </c>
      <c r="H410" s="278" t="s">
        <v>461</v>
      </c>
      <c r="I410" s="32" t="s">
        <v>462</v>
      </c>
      <c r="J410" s="279">
        <v>51</v>
      </c>
      <c r="K410" s="280">
        <v>156696.79999999999</v>
      </c>
      <c r="L410" s="280">
        <v>13948.7</v>
      </c>
      <c r="M410" s="280">
        <v>142748.1</v>
      </c>
      <c r="N410" s="281">
        <v>491</v>
      </c>
      <c r="O410" s="282">
        <v>529</v>
      </c>
      <c r="P410" s="280">
        <f t="shared" si="13"/>
        <v>168824.04725050915</v>
      </c>
    </row>
    <row r="411" spans="1:16" x14ac:dyDescent="0.2">
      <c r="A411" s="32" t="s">
        <v>601</v>
      </c>
      <c r="B411" s="32" t="s">
        <v>576</v>
      </c>
      <c r="C411" s="32" t="s">
        <v>577</v>
      </c>
      <c r="D411" s="32" t="s">
        <v>599</v>
      </c>
      <c r="E411" s="32" t="s">
        <v>556</v>
      </c>
      <c r="F411" s="32" t="s">
        <v>581</v>
      </c>
      <c r="G411" s="32" t="str">
        <f t="shared" si="12"/>
        <v>1.25" PE EXTN</v>
      </c>
      <c r="H411" s="278" t="s">
        <v>461</v>
      </c>
      <c r="I411" s="32" t="s">
        <v>462</v>
      </c>
      <c r="J411" s="279">
        <v>63</v>
      </c>
      <c r="K411" s="280">
        <v>216891.19</v>
      </c>
      <c r="L411" s="280">
        <v>19307.03</v>
      </c>
      <c r="M411" s="280">
        <v>197584.16</v>
      </c>
      <c r="N411" s="281">
        <v>491</v>
      </c>
      <c r="O411" s="282">
        <v>529</v>
      </c>
      <c r="P411" s="280">
        <f t="shared" si="13"/>
        <v>233677.06621181261</v>
      </c>
    </row>
    <row r="412" spans="1:16" x14ac:dyDescent="0.2">
      <c r="A412" s="32" t="s">
        <v>601</v>
      </c>
      <c r="B412" s="32" t="s">
        <v>576</v>
      </c>
      <c r="C412" s="32" t="s">
        <v>577</v>
      </c>
      <c r="D412" s="32" t="s">
        <v>599</v>
      </c>
      <c r="E412" s="32" t="s">
        <v>556</v>
      </c>
      <c r="F412" s="32" t="s">
        <v>581</v>
      </c>
      <c r="G412" s="32" t="str">
        <f t="shared" si="12"/>
        <v>1.25" PE EXTN</v>
      </c>
      <c r="H412" s="278" t="s">
        <v>461</v>
      </c>
      <c r="I412" s="32" t="s">
        <v>462</v>
      </c>
      <c r="J412" s="279">
        <v>187</v>
      </c>
      <c r="K412" s="280">
        <v>837146.49</v>
      </c>
      <c r="L412" s="280">
        <v>74520.36</v>
      </c>
      <c r="M412" s="280">
        <v>762626.13</v>
      </c>
      <c r="N412" s="281">
        <v>491</v>
      </c>
      <c r="O412" s="282">
        <v>529</v>
      </c>
      <c r="P412" s="280">
        <f t="shared" si="13"/>
        <v>901935.83138492866</v>
      </c>
    </row>
    <row r="413" spans="1:16" x14ac:dyDescent="0.2">
      <c r="A413" s="32" t="s">
        <v>601</v>
      </c>
      <c r="B413" s="32" t="s">
        <v>576</v>
      </c>
      <c r="C413" s="32" t="s">
        <v>577</v>
      </c>
      <c r="D413" s="32" t="s">
        <v>599</v>
      </c>
      <c r="E413" s="32" t="s">
        <v>556</v>
      </c>
      <c r="F413" s="32" t="s">
        <v>581</v>
      </c>
      <c r="G413" s="32" t="str">
        <f t="shared" si="12"/>
        <v>1.25" PE EXTN</v>
      </c>
      <c r="H413" s="278" t="s">
        <v>461</v>
      </c>
      <c r="I413" s="32" t="s">
        <v>462</v>
      </c>
      <c r="J413" s="279">
        <v>246</v>
      </c>
      <c r="K413" s="280">
        <v>765687.35</v>
      </c>
      <c r="L413" s="280">
        <v>68159.28</v>
      </c>
      <c r="M413" s="280">
        <v>697528.07</v>
      </c>
      <c r="N413" s="281">
        <v>491</v>
      </c>
      <c r="O413" s="282">
        <v>529</v>
      </c>
      <c r="P413" s="280">
        <f t="shared" si="13"/>
        <v>824946.24877800397</v>
      </c>
    </row>
    <row r="414" spans="1:16" x14ac:dyDescent="0.2">
      <c r="A414" s="32" t="s">
        <v>601</v>
      </c>
      <c r="B414" s="32" t="s">
        <v>576</v>
      </c>
      <c r="C414" s="32" t="s">
        <v>577</v>
      </c>
      <c r="D414" s="32" t="s">
        <v>599</v>
      </c>
      <c r="E414" s="32" t="s">
        <v>556</v>
      </c>
      <c r="F414" s="32" t="s">
        <v>581</v>
      </c>
      <c r="G414" s="32" t="str">
        <f t="shared" si="12"/>
        <v>1.25" PE EXTN</v>
      </c>
      <c r="H414" s="278" t="s">
        <v>461</v>
      </c>
      <c r="I414" s="32" t="s">
        <v>462</v>
      </c>
      <c r="J414" s="279">
        <v>524</v>
      </c>
      <c r="K414" s="280">
        <v>2337595.73</v>
      </c>
      <c r="L414" s="280">
        <v>208086.02</v>
      </c>
      <c r="M414" s="280">
        <v>2129509.71</v>
      </c>
      <c r="N414" s="281">
        <v>491</v>
      </c>
      <c r="O414" s="282">
        <v>529</v>
      </c>
      <c r="P414" s="280">
        <f t="shared" si="13"/>
        <v>2518509.4524847246</v>
      </c>
    </row>
    <row r="415" spans="1:16" x14ac:dyDescent="0.2">
      <c r="A415" s="32" t="s">
        <v>601</v>
      </c>
      <c r="B415" s="32" t="s">
        <v>576</v>
      </c>
      <c r="C415" s="32" t="s">
        <v>577</v>
      </c>
      <c r="D415" s="32" t="s">
        <v>599</v>
      </c>
      <c r="E415" s="32" t="s">
        <v>556</v>
      </c>
      <c r="F415" s="32" t="s">
        <v>581</v>
      </c>
      <c r="G415" s="32" t="str">
        <f t="shared" si="12"/>
        <v>1.25" PE EXTN</v>
      </c>
      <c r="H415" s="278" t="s">
        <v>468</v>
      </c>
      <c r="I415" s="32" t="s">
        <v>462</v>
      </c>
      <c r="J415" s="279">
        <v>14</v>
      </c>
      <c r="K415" s="280">
        <v>42627.97</v>
      </c>
      <c r="L415" s="280">
        <v>2357.3200000000002</v>
      </c>
      <c r="M415" s="280">
        <v>40270.65</v>
      </c>
      <c r="N415" s="281">
        <v>517</v>
      </c>
      <c r="O415" s="282">
        <v>529</v>
      </c>
      <c r="P415" s="280">
        <f t="shared" si="13"/>
        <v>43617.400638297877</v>
      </c>
    </row>
    <row r="416" spans="1:16" x14ac:dyDescent="0.2">
      <c r="A416" s="32" t="s">
        <v>601</v>
      </c>
      <c r="B416" s="32" t="s">
        <v>576</v>
      </c>
      <c r="C416" s="32" t="s">
        <v>577</v>
      </c>
      <c r="D416" s="32" t="s">
        <v>599</v>
      </c>
      <c r="E416" s="32" t="s">
        <v>556</v>
      </c>
      <c r="F416" s="32" t="s">
        <v>581</v>
      </c>
      <c r="G416" s="32" t="str">
        <f t="shared" si="12"/>
        <v>1.25" PE EXTN</v>
      </c>
      <c r="H416" s="278" t="s">
        <v>468</v>
      </c>
      <c r="I416" s="32" t="s">
        <v>462</v>
      </c>
      <c r="J416" s="279">
        <v>15</v>
      </c>
      <c r="K416" s="280">
        <v>52455.57</v>
      </c>
      <c r="L416" s="280">
        <v>2900.79</v>
      </c>
      <c r="M416" s="280">
        <v>49554.78</v>
      </c>
      <c r="N416" s="281">
        <v>517</v>
      </c>
      <c r="O416" s="282">
        <v>529</v>
      </c>
      <c r="P416" s="280">
        <f t="shared" si="13"/>
        <v>53673.107408123797</v>
      </c>
    </row>
    <row r="417" spans="1:16" x14ac:dyDescent="0.2">
      <c r="A417" s="32" t="s">
        <v>601</v>
      </c>
      <c r="B417" s="32" t="s">
        <v>576</v>
      </c>
      <c r="C417" s="32" t="s">
        <v>577</v>
      </c>
      <c r="D417" s="32" t="s">
        <v>599</v>
      </c>
      <c r="E417" s="32" t="s">
        <v>556</v>
      </c>
      <c r="F417" s="32" t="s">
        <v>581</v>
      </c>
      <c r="G417" s="32" t="str">
        <f t="shared" si="12"/>
        <v>1.25" PE EXTN</v>
      </c>
      <c r="H417" s="278" t="s">
        <v>468</v>
      </c>
      <c r="I417" s="32" t="s">
        <v>462</v>
      </c>
      <c r="J417" s="279">
        <v>49</v>
      </c>
      <c r="K417" s="280">
        <v>184630.33</v>
      </c>
      <c r="L417" s="280">
        <v>10210.049999999999</v>
      </c>
      <c r="M417" s="280">
        <v>174420.28</v>
      </c>
      <c r="N417" s="281">
        <v>517</v>
      </c>
      <c r="O417" s="282">
        <v>529</v>
      </c>
      <c r="P417" s="280">
        <f t="shared" si="13"/>
        <v>188915.75352030949</v>
      </c>
    </row>
    <row r="418" spans="1:16" x14ac:dyDescent="0.2">
      <c r="A418" s="32" t="s">
        <v>601</v>
      </c>
      <c r="B418" s="32" t="s">
        <v>576</v>
      </c>
      <c r="C418" s="32" t="s">
        <v>577</v>
      </c>
      <c r="D418" s="32" t="s">
        <v>599</v>
      </c>
      <c r="E418" s="32" t="s">
        <v>556</v>
      </c>
      <c r="F418" s="32" t="s">
        <v>581</v>
      </c>
      <c r="G418" s="32" t="str">
        <f t="shared" si="12"/>
        <v>1.25" PE EXTN</v>
      </c>
      <c r="H418" s="278" t="s">
        <v>468</v>
      </c>
      <c r="I418" s="32" t="s">
        <v>462</v>
      </c>
      <c r="J418" s="279">
        <v>169</v>
      </c>
      <c r="K418" s="280">
        <v>883684.86</v>
      </c>
      <c r="L418" s="280">
        <v>48867.72</v>
      </c>
      <c r="M418" s="280">
        <v>834817.14</v>
      </c>
      <c r="N418" s="281">
        <v>517</v>
      </c>
      <c r="O418" s="282">
        <v>529</v>
      </c>
      <c r="P418" s="280">
        <f t="shared" si="13"/>
        <v>904195.92058027082</v>
      </c>
    </row>
    <row r="419" spans="1:16" x14ac:dyDescent="0.2">
      <c r="A419" s="32" t="s">
        <v>601</v>
      </c>
      <c r="B419" s="32" t="s">
        <v>576</v>
      </c>
      <c r="C419" s="32" t="s">
        <v>577</v>
      </c>
      <c r="D419" s="32" t="s">
        <v>599</v>
      </c>
      <c r="E419" s="32" t="s">
        <v>556</v>
      </c>
      <c r="F419" s="32" t="s">
        <v>581</v>
      </c>
      <c r="G419" s="32" t="str">
        <f t="shared" si="12"/>
        <v>1.25" PE EXTN</v>
      </c>
      <c r="H419" s="278" t="s">
        <v>468</v>
      </c>
      <c r="I419" s="32" t="s">
        <v>462</v>
      </c>
      <c r="J419" s="279">
        <v>184</v>
      </c>
      <c r="K419" s="280">
        <v>733264.49</v>
      </c>
      <c r="L419" s="280">
        <v>40549.480000000003</v>
      </c>
      <c r="M419" s="280">
        <v>692715.01</v>
      </c>
      <c r="N419" s="281">
        <v>517</v>
      </c>
      <c r="O419" s="282">
        <v>529</v>
      </c>
      <c r="P419" s="280">
        <f t="shared" si="13"/>
        <v>750284.1686847196</v>
      </c>
    </row>
    <row r="420" spans="1:16" x14ac:dyDescent="0.2">
      <c r="A420" s="32" t="s">
        <v>601</v>
      </c>
      <c r="B420" s="32" t="s">
        <v>576</v>
      </c>
      <c r="C420" s="32" t="s">
        <v>577</v>
      </c>
      <c r="D420" s="32" t="s">
        <v>599</v>
      </c>
      <c r="E420" s="32" t="s">
        <v>556</v>
      </c>
      <c r="F420" s="32" t="s">
        <v>581</v>
      </c>
      <c r="G420" s="32" t="str">
        <f t="shared" si="12"/>
        <v>1.25" PE EXTN</v>
      </c>
      <c r="H420" s="278" t="s">
        <v>468</v>
      </c>
      <c r="I420" s="32" t="s">
        <v>462</v>
      </c>
      <c r="J420" s="279">
        <v>621</v>
      </c>
      <c r="K420" s="280">
        <v>3309906.71</v>
      </c>
      <c r="L420" s="280">
        <v>183037.64</v>
      </c>
      <c r="M420" s="280">
        <v>3126869.07</v>
      </c>
      <c r="N420" s="281">
        <v>517</v>
      </c>
      <c r="O420" s="282">
        <v>529</v>
      </c>
      <c r="P420" s="280">
        <f t="shared" si="13"/>
        <v>3386732.3976595746</v>
      </c>
    </row>
    <row r="421" spans="1:16" x14ac:dyDescent="0.2">
      <c r="A421" s="32" t="s">
        <v>601</v>
      </c>
      <c r="B421" s="32" t="s">
        <v>576</v>
      </c>
      <c r="C421" s="32" t="s">
        <v>577</v>
      </c>
      <c r="D421" s="32" t="s">
        <v>599</v>
      </c>
      <c r="E421" s="32" t="s">
        <v>556</v>
      </c>
      <c r="F421" s="32" t="s">
        <v>581</v>
      </c>
      <c r="G421" s="32" t="str">
        <f t="shared" si="12"/>
        <v>1.25" PE EXTN</v>
      </c>
      <c r="H421" s="278" t="s">
        <v>469</v>
      </c>
      <c r="I421" s="32" t="s">
        <v>462</v>
      </c>
      <c r="J421" s="279">
        <v>9</v>
      </c>
      <c r="K421" s="280">
        <v>28345.22</v>
      </c>
      <c r="L421" s="280">
        <v>557.30999999999995</v>
      </c>
      <c r="M421" s="280">
        <v>27787.91</v>
      </c>
      <c r="N421" s="281">
        <v>529</v>
      </c>
      <c r="O421" s="282">
        <v>529</v>
      </c>
      <c r="P421" s="280">
        <f t="shared" si="13"/>
        <v>28345.22</v>
      </c>
    </row>
    <row r="422" spans="1:16" x14ac:dyDescent="0.2">
      <c r="A422" s="32" t="s">
        <v>601</v>
      </c>
      <c r="B422" s="32" t="s">
        <v>576</v>
      </c>
      <c r="C422" s="32" t="s">
        <v>577</v>
      </c>
      <c r="D422" s="32" t="s">
        <v>599</v>
      </c>
      <c r="E422" s="32" t="s">
        <v>556</v>
      </c>
      <c r="F422" s="32" t="s">
        <v>581</v>
      </c>
      <c r="G422" s="32" t="str">
        <f t="shared" si="12"/>
        <v>1.25" PE EXTN</v>
      </c>
      <c r="H422" s="278" t="s">
        <v>469</v>
      </c>
      <c r="I422" s="32" t="s">
        <v>462</v>
      </c>
      <c r="J422" s="279">
        <v>9</v>
      </c>
      <c r="K422" s="280">
        <v>46077.71</v>
      </c>
      <c r="L422" s="280">
        <v>905.95</v>
      </c>
      <c r="M422" s="280">
        <v>45171.76</v>
      </c>
      <c r="N422" s="281">
        <v>529</v>
      </c>
      <c r="O422" s="282">
        <v>529</v>
      </c>
      <c r="P422" s="280">
        <f t="shared" si="13"/>
        <v>46077.71</v>
      </c>
    </row>
    <row r="423" spans="1:16" x14ac:dyDescent="0.2">
      <c r="A423" s="32" t="s">
        <v>601</v>
      </c>
      <c r="B423" s="32" t="s">
        <v>576</v>
      </c>
      <c r="C423" s="32" t="s">
        <v>577</v>
      </c>
      <c r="D423" s="32" t="s">
        <v>599</v>
      </c>
      <c r="E423" s="32" t="s">
        <v>556</v>
      </c>
      <c r="F423" s="32" t="s">
        <v>581</v>
      </c>
      <c r="G423" s="32" t="str">
        <f t="shared" si="12"/>
        <v>1.25" PE EXTN</v>
      </c>
      <c r="H423" s="278" t="s">
        <v>469</v>
      </c>
      <c r="I423" s="32" t="s">
        <v>462</v>
      </c>
      <c r="J423" s="279">
        <v>28</v>
      </c>
      <c r="K423" s="280">
        <v>116200.22</v>
      </c>
      <c r="L423" s="280">
        <v>2284.66</v>
      </c>
      <c r="M423" s="280">
        <v>113915.56</v>
      </c>
      <c r="N423" s="281">
        <v>529</v>
      </c>
      <c r="O423" s="282">
        <v>529</v>
      </c>
      <c r="P423" s="280">
        <f t="shared" si="13"/>
        <v>116200.22</v>
      </c>
    </row>
    <row r="424" spans="1:16" x14ac:dyDescent="0.2">
      <c r="A424" s="32" t="s">
        <v>601</v>
      </c>
      <c r="B424" s="32" t="s">
        <v>576</v>
      </c>
      <c r="C424" s="32" t="s">
        <v>577</v>
      </c>
      <c r="D424" s="32" t="s">
        <v>599</v>
      </c>
      <c r="E424" s="32" t="s">
        <v>556</v>
      </c>
      <c r="F424" s="32" t="s">
        <v>581</v>
      </c>
      <c r="G424" s="32" t="str">
        <f t="shared" si="12"/>
        <v>1.25" PE EXTN</v>
      </c>
      <c r="H424" s="278" t="s">
        <v>469</v>
      </c>
      <c r="I424" s="32" t="s">
        <v>462</v>
      </c>
      <c r="J424" s="279">
        <v>70</v>
      </c>
      <c r="K424" s="280">
        <v>428456.73</v>
      </c>
      <c r="L424" s="280">
        <v>8424.06</v>
      </c>
      <c r="M424" s="280">
        <v>420032.67</v>
      </c>
      <c r="N424" s="281">
        <v>529</v>
      </c>
      <c r="O424" s="282">
        <v>529</v>
      </c>
      <c r="P424" s="280">
        <f t="shared" si="13"/>
        <v>428456.73</v>
      </c>
    </row>
    <row r="425" spans="1:16" x14ac:dyDescent="0.2">
      <c r="A425" s="32" t="s">
        <v>601</v>
      </c>
      <c r="B425" s="32" t="s">
        <v>576</v>
      </c>
      <c r="C425" s="32" t="s">
        <v>577</v>
      </c>
      <c r="D425" s="32" t="s">
        <v>599</v>
      </c>
      <c r="E425" s="32" t="s">
        <v>556</v>
      </c>
      <c r="F425" s="32" t="s">
        <v>581</v>
      </c>
      <c r="G425" s="32" t="str">
        <f t="shared" si="12"/>
        <v>1.25" PE EXTN</v>
      </c>
      <c r="H425" s="278" t="s">
        <v>469</v>
      </c>
      <c r="I425" s="32" t="s">
        <v>462</v>
      </c>
      <c r="J425" s="279">
        <v>101</v>
      </c>
      <c r="K425" s="280">
        <v>475722.05</v>
      </c>
      <c r="L425" s="280">
        <v>9353.3700000000008</v>
      </c>
      <c r="M425" s="280">
        <v>466368.68</v>
      </c>
      <c r="N425" s="281">
        <v>529</v>
      </c>
      <c r="O425" s="282">
        <v>529</v>
      </c>
      <c r="P425" s="280">
        <f t="shared" si="13"/>
        <v>475722.05</v>
      </c>
    </row>
    <row r="426" spans="1:16" x14ac:dyDescent="0.2">
      <c r="A426" s="32" t="s">
        <v>601</v>
      </c>
      <c r="B426" s="32" t="s">
        <v>576</v>
      </c>
      <c r="C426" s="32" t="s">
        <v>577</v>
      </c>
      <c r="D426" s="32" t="s">
        <v>599</v>
      </c>
      <c r="E426" s="32" t="s">
        <v>556</v>
      </c>
      <c r="F426" s="32" t="s">
        <v>581</v>
      </c>
      <c r="G426" s="32" t="str">
        <f t="shared" si="12"/>
        <v>1.25" PE EXTN</v>
      </c>
      <c r="H426" s="278" t="s">
        <v>469</v>
      </c>
      <c r="I426" s="32" t="s">
        <v>462</v>
      </c>
      <c r="J426" s="279">
        <v>355</v>
      </c>
      <c r="K426" s="280">
        <v>1957381.39</v>
      </c>
      <c r="L426" s="280">
        <v>38484.879999999997</v>
      </c>
      <c r="M426" s="280">
        <v>1918896.51</v>
      </c>
      <c r="N426" s="281">
        <v>529</v>
      </c>
      <c r="O426" s="282">
        <v>529</v>
      </c>
      <c r="P426" s="280">
        <f t="shared" si="13"/>
        <v>1957381.39</v>
      </c>
    </row>
    <row r="427" spans="1:16" x14ac:dyDescent="0.2">
      <c r="A427" s="32" t="s">
        <v>602</v>
      </c>
      <c r="B427" s="32" t="s">
        <v>576</v>
      </c>
      <c r="C427" s="32" t="s">
        <v>577</v>
      </c>
      <c r="D427" s="32" t="s">
        <v>599</v>
      </c>
      <c r="E427" s="32" t="s">
        <v>556</v>
      </c>
      <c r="F427" s="32" t="s">
        <v>581</v>
      </c>
      <c r="G427" s="32" t="str">
        <f t="shared" si="12"/>
        <v>1.25" PE EXTN</v>
      </c>
      <c r="H427" s="278" t="s">
        <v>526</v>
      </c>
      <c r="I427" s="32" t="s">
        <v>462</v>
      </c>
      <c r="J427" s="279">
        <v>8</v>
      </c>
      <c r="K427" s="280">
        <v>6532.78</v>
      </c>
      <c r="L427" s="280">
        <v>6327.07</v>
      </c>
      <c r="M427" s="280">
        <v>205.71</v>
      </c>
      <c r="N427" s="281">
        <v>149</v>
      </c>
      <c r="O427" s="282">
        <v>529</v>
      </c>
      <c r="P427" s="280">
        <f t="shared" si="13"/>
        <v>23193.561208053688</v>
      </c>
    </row>
    <row r="428" spans="1:16" x14ac:dyDescent="0.2">
      <c r="A428" s="32" t="s">
        <v>602</v>
      </c>
      <c r="B428" s="32" t="s">
        <v>576</v>
      </c>
      <c r="C428" s="32" t="s">
        <v>577</v>
      </c>
      <c r="D428" s="32" t="s">
        <v>599</v>
      </c>
      <c r="E428" s="32" t="s">
        <v>556</v>
      </c>
      <c r="F428" s="32" t="s">
        <v>581</v>
      </c>
      <c r="G428" s="32" t="str">
        <f t="shared" si="12"/>
        <v>1.25" PE EXTN</v>
      </c>
      <c r="H428" s="278" t="s">
        <v>486</v>
      </c>
      <c r="I428" s="32" t="s">
        <v>462</v>
      </c>
      <c r="J428" s="279">
        <v>41</v>
      </c>
      <c r="K428" s="280">
        <v>46706.99</v>
      </c>
      <c r="L428" s="280">
        <v>44710.71</v>
      </c>
      <c r="M428" s="280">
        <v>1996.28</v>
      </c>
      <c r="N428" s="281">
        <v>160</v>
      </c>
      <c r="O428" s="282">
        <v>529</v>
      </c>
      <c r="P428" s="280">
        <f t="shared" si="13"/>
        <v>154424.98568749998</v>
      </c>
    </row>
    <row r="429" spans="1:16" x14ac:dyDescent="0.2">
      <c r="A429" s="32" t="s">
        <v>602</v>
      </c>
      <c r="B429" s="32" t="s">
        <v>576</v>
      </c>
      <c r="C429" s="32" t="s">
        <v>577</v>
      </c>
      <c r="D429" s="32" t="s">
        <v>599</v>
      </c>
      <c r="E429" s="32" t="s">
        <v>556</v>
      </c>
      <c r="F429" s="32" t="s">
        <v>581</v>
      </c>
      <c r="G429" s="32" t="str">
        <f t="shared" si="12"/>
        <v>1.25" PE EXTN</v>
      </c>
      <c r="H429" s="278" t="s">
        <v>519</v>
      </c>
      <c r="I429" s="32" t="s">
        <v>462</v>
      </c>
      <c r="J429" s="279">
        <v>198</v>
      </c>
      <c r="K429" s="280">
        <v>127161.65</v>
      </c>
      <c r="L429" s="280">
        <v>120144.08</v>
      </c>
      <c r="M429" s="280">
        <v>7017.57</v>
      </c>
      <c r="N429" s="281">
        <v>172</v>
      </c>
      <c r="O429" s="282">
        <v>529</v>
      </c>
      <c r="P429" s="280">
        <f t="shared" si="13"/>
        <v>391096.00494186045</v>
      </c>
    </row>
    <row r="430" spans="1:16" x14ac:dyDescent="0.2">
      <c r="A430" s="32" t="s">
        <v>602</v>
      </c>
      <c r="B430" s="32" t="s">
        <v>576</v>
      </c>
      <c r="C430" s="32" t="s">
        <v>577</v>
      </c>
      <c r="D430" s="32" t="s">
        <v>599</v>
      </c>
      <c r="E430" s="32" t="s">
        <v>556</v>
      </c>
      <c r="F430" s="32" t="s">
        <v>581</v>
      </c>
      <c r="G430" s="32" t="str">
        <f t="shared" si="12"/>
        <v>1.25" PE EXTN</v>
      </c>
      <c r="H430" s="278" t="s">
        <v>521</v>
      </c>
      <c r="I430" s="32" t="s">
        <v>462</v>
      </c>
      <c r="J430" s="279">
        <v>229</v>
      </c>
      <c r="K430" s="280">
        <v>246377.56</v>
      </c>
      <c r="L430" s="280">
        <v>229402.65</v>
      </c>
      <c r="M430" s="280">
        <v>16974.91</v>
      </c>
      <c r="N430" s="281">
        <v>192</v>
      </c>
      <c r="O430" s="282">
        <v>529</v>
      </c>
      <c r="P430" s="280">
        <f t="shared" si="13"/>
        <v>678821.50645833334</v>
      </c>
    </row>
    <row r="431" spans="1:16" x14ac:dyDescent="0.2">
      <c r="A431" s="32" t="s">
        <v>602</v>
      </c>
      <c r="B431" s="32" t="s">
        <v>576</v>
      </c>
      <c r="C431" s="32" t="s">
        <v>577</v>
      </c>
      <c r="D431" s="32" t="s">
        <v>599</v>
      </c>
      <c r="E431" s="32" t="s">
        <v>556</v>
      </c>
      <c r="F431" s="32" t="s">
        <v>581</v>
      </c>
      <c r="G431" s="32" t="str">
        <f t="shared" si="12"/>
        <v>1.25" PE EXTN</v>
      </c>
      <c r="H431" s="278" t="s">
        <v>520</v>
      </c>
      <c r="I431" s="32" t="s">
        <v>462</v>
      </c>
      <c r="J431" s="279">
        <v>235</v>
      </c>
      <c r="K431" s="280">
        <v>197486.99</v>
      </c>
      <c r="L431" s="280">
        <v>180909.5</v>
      </c>
      <c r="M431" s="280">
        <v>16577.490000000002</v>
      </c>
      <c r="N431" s="281">
        <v>216</v>
      </c>
      <c r="O431" s="282">
        <v>529</v>
      </c>
      <c r="P431" s="280">
        <f t="shared" si="13"/>
        <v>483660.2671759259</v>
      </c>
    </row>
    <row r="432" spans="1:16" x14ac:dyDescent="0.2">
      <c r="A432" s="32" t="s">
        <v>602</v>
      </c>
      <c r="B432" s="32" t="s">
        <v>576</v>
      </c>
      <c r="C432" s="32" t="s">
        <v>577</v>
      </c>
      <c r="D432" s="32" t="s">
        <v>599</v>
      </c>
      <c r="E432" s="32" t="s">
        <v>556</v>
      </c>
      <c r="F432" s="32" t="s">
        <v>581</v>
      </c>
      <c r="G432" s="32" t="str">
        <f t="shared" si="12"/>
        <v>1.25" PE EXTN</v>
      </c>
      <c r="H432" s="278" t="s">
        <v>518</v>
      </c>
      <c r="I432" s="32" t="s">
        <v>462</v>
      </c>
      <c r="J432" s="279">
        <v>105</v>
      </c>
      <c r="K432" s="280">
        <v>194499.83</v>
      </c>
      <c r="L432" s="280">
        <v>174975.93</v>
      </c>
      <c r="M432" s="280">
        <v>19523.900000000001</v>
      </c>
      <c r="N432" s="281">
        <v>238</v>
      </c>
      <c r="O432" s="282">
        <v>529</v>
      </c>
      <c r="P432" s="280">
        <f t="shared" si="13"/>
        <v>432312.64735294116</v>
      </c>
    </row>
    <row r="433" spans="1:16" x14ac:dyDescent="0.2">
      <c r="A433" s="32" t="s">
        <v>602</v>
      </c>
      <c r="B433" s="32" t="s">
        <v>576</v>
      </c>
      <c r="C433" s="32" t="s">
        <v>577</v>
      </c>
      <c r="D433" s="32" t="s">
        <v>599</v>
      </c>
      <c r="E433" s="32" t="s">
        <v>556</v>
      </c>
      <c r="F433" s="32" t="s">
        <v>581</v>
      </c>
      <c r="G433" s="32" t="str">
        <f t="shared" si="12"/>
        <v>1.25" PE EXTN</v>
      </c>
      <c r="H433" s="278" t="s">
        <v>517</v>
      </c>
      <c r="I433" s="32" t="s">
        <v>462</v>
      </c>
      <c r="J433" s="279">
        <v>89</v>
      </c>
      <c r="K433" s="280">
        <v>171526.07</v>
      </c>
      <c r="L433" s="280">
        <v>151241.54</v>
      </c>
      <c r="M433" s="280">
        <v>20284.53</v>
      </c>
      <c r="N433" s="281">
        <v>249</v>
      </c>
      <c r="O433" s="282">
        <v>529</v>
      </c>
      <c r="P433" s="280">
        <f t="shared" si="13"/>
        <v>364406.79128514061</v>
      </c>
    </row>
    <row r="434" spans="1:16" x14ac:dyDescent="0.2">
      <c r="A434" s="32" t="s">
        <v>602</v>
      </c>
      <c r="B434" s="32" t="s">
        <v>576</v>
      </c>
      <c r="C434" s="32" t="s">
        <v>577</v>
      </c>
      <c r="D434" s="32" t="s">
        <v>599</v>
      </c>
      <c r="E434" s="32" t="s">
        <v>556</v>
      </c>
      <c r="F434" s="32" t="s">
        <v>581</v>
      </c>
      <c r="G434" s="32" t="str">
        <f t="shared" si="12"/>
        <v>1.25" PE EXTN</v>
      </c>
      <c r="H434" s="278" t="s">
        <v>463</v>
      </c>
      <c r="I434" s="32" t="s">
        <v>462</v>
      </c>
      <c r="J434" s="279">
        <v>157</v>
      </c>
      <c r="K434" s="280">
        <v>227268.53</v>
      </c>
      <c r="L434" s="280">
        <v>195989.38</v>
      </c>
      <c r="M434" s="280">
        <v>31279.15</v>
      </c>
      <c r="N434" s="281">
        <v>258</v>
      </c>
      <c r="O434" s="282">
        <v>529</v>
      </c>
      <c r="P434" s="280">
        <f t="shared" si="13"/>
        <v>465988.5750775194</v>
      </c>
    </row>
    <row r="435" spans="1:16" x14ac:dyDescent="0.2">
      <c r="A435" s="32" t="s">
        <v>602</v>
      </c>
      <c r="B435" s="32" t="s">
        <v>576</v>
      </c>
      <c r="C435" s="32" t="s">
        <v>577</v>
      </c>
      <c r="D435" s="32" t="s">
        <v>599</v>
      </c>
      <c r="E435" s="32" t="s">
        <v>556</v>
      </c>
      <c r="F435" s="32" t="s">
        <v>581</v>
      </c>
      <c r="G435" s="32" t="str">
        <f t="shared" si="12"/>
        <v>1.25" PE EXTN</v>
      </c>
      <c r="H435" s="278" t="s">
        <v>464</v>
      </c>
      <c r="I435" s="32" t="s">
        <v>462</v>
      </c>
      <c r="J435" s="279">
        <v>239</v>
      </c>
      <c r="K435" s="280">
        <v>347126.17</v>
      </c>
      <c r="L435" s="280">
        <v>292101.32</v>
      </c>
      <c r="M435" s="280">
        <v>55024.85</v>
      </c>
      <c r="N435" s="281">
        <v>263</v>
      </c>
      <c r="O435" s="282">
        <v>529</v>
      </c>
      <c r="P435" s="280">
        <f t="shared" si="13"/>
        <v>698211.95410646382</v>
      </c>
    </row>
    <row r="436" spans="1:16" x14ac:dyDescent="0.2">
      <c r="A436" s="32" t="s">
        <v>602</v>
      </c>
      <c r="B436" s="32" t="s">
        <v>576</v>
      </c>
      <c r="C436" s="32" t="s">
        <v>577</v>
      </c>
      <c r="D436" s="32" t="s">
        <v>599</v>
      </c>
      <c r="E436" s="32" t="s">
        <v>556</v>
      </c>
      <c r="F436" s="32" t="s">
        <v>581</v>
      </c>
      <c r="G436" s="32" t="str">
        <f t="shared" si="12"/>
        <v>1.25" PE EXTN</v>
      </c>
      <c r="H436" s="278" t="s">
        <v>515</v>
      </c>
      <c r="I436" s="32" t="s">
        <v>462</v>
      </c>
      <c r="J436" s="279">
        <v>301</v>
      </c>
      <c r="K436" s="280">
        <v>555891.44999999995</v>
      </c>
      <c r="L436" s="280">
        <v>455308.4</v>
      </c>
      <c r="M436" s="280">
        <v>100583.05</v>
      </c>
      <c r="N436" s="281">
        <v>267</v>
      </c>
      <c r="O436" s="282">
        <v>529</v>
      </c>
      <c r="P436" s="280">
        <f t="shared" si="13"/>
        <v>1101372.9477528089</v>
      </c>
    </row>
    <row r="437" spans="1:16" x14ac:dyDescent="0.2">
      <c r="A437" s="32" t="s">
        <v>602</v>
      </c>
      <c r="B437" s="32" t="s">
        <v>576</v>
      </c>
      <c r="C437" s="32" t="s">
        <v>577</v>
      </c>
      <c r="D437" s="32" t="s">
        <v>599</v>
      </c>
      <c r="E437" s="32" t="s">
        <v>556</v>
      </c>
      <c r="F437" s="32" t="s">
        <v>581</v>
      </c>
      <c r="G437" s="32" t="str">
        <f t="shared" si="12"/>
        <v>1.25" PE EXTN</v>
      </c>
      <c r="H437" s="278" t="s">
        <v>523</v>
      </c>
      <c r="I437" s="32" t="s">
        <v>462</v>
      </c>
      <c r="J437" s="279">
        <v>302</v>
      </c>
      <c r="K437" s="280">
        <v>569682.66</v>
      </c>
      <c r="L437" s="280">
        <v>452950.62</v>
      </c>
      <c r="M437" s="280">
        <v>116732.04</v>
      </c>
      <c r="N437" s="281">
        <v>274</v>
      </c>
      <c r="O437" s="282">
        <v>529</v>
      </c>
      <c r="P437" s="280">
        <f t="shared" si="13"/>
        <v>1099861.7778832118</v>
      </c>
    </row>
    <row r="438" spans="1:16" x14ac:dyDescent="0.2">
      <c r="A438" s="32" t="s">
        <v>602</v>
      </c>
      <c r="B438" s="32" t="s">
        <v>576</v>
      </c>
      <c r="C438" s="32" t="s">
        <v>577</v>
      </c>
      <c r="D438" s="32" t="s">
        <v>599</v>
      </c>
      <c r="E438" s="32" t="s">
        <v>556</v>
      </c>
      <c r="F438" s="32" t="s">
        <v>581</v>
      </c>
      <c r="G438" s="32" t="str">
        <f t="shared" si="12"/>
        <v>1.25" PE EXTN</v>
      </c>
      <c r="H438" s="278" t="s">
        <v>516</v>
      </c>
      <c r="I438" s="32" t="s">
        <v>462</v>
      </c>
      <c r="J438" s="279">
        <v>366</v>
      </c>
      <c r="K438" s="280">
        <v>727825.45</v>
      </c>
      <c r="L438" s="280">
        <v>560125.96</v>
      </c>
      <c r="M438" s="280">
        <v>167699.49</v>
      </c>
      <c r="N438" s="281">
        <v>281</v>
      </c>
      <c r="O438" s="282">
        <v>529</v>
      </c>
      <c r="P438" s="280">
        <f t="shared" si="13"/>
        <v>1370176.7368327403</v>
      </c>
    </row>
    <row r="439" spans="1:16" x14ac:dyDescent="0.2">
      <c r="A439" s="32" t="s">
        <v>602</v>
      </c>
      <c r="B439" s="32" t="s">
        <v>576</v>
      </c>
      <c r="C439" s="32" t="s">
        <v>577</v>
      </c>
      <c r="D439" s="32" t="s">
        <v>599</v>
      </c>
      <c r="E439" s="32" t="s">
        <v>556</v>
      </c>
      <c r="F439" s="32" t="s">
        <v>581</v>
      </c>
      <c r="G439" s="32" t="str">
        <f t="shared" si="12"/>
        <v>1.25" PE EXTN</v>
      </c>
      <c r="H439" s="278" t="s">
        <v>466</v>
      </c>
      <c r="I439" s="32" t="s">
        <v>462</v>
      </c>
      <c r="J439" s="279">
        <v>422</v>
      </c>
      <c r="K439" s="280">
        <v>670211.09</v>
      </c>
      <c r="L439" s="280">
        <v>497687.36</v>
      </c>
      <c r="M439" s="280">
        <v>172523.73</v>
      </c>
      <c r="N439" s="281">
        <v>290</v>
      </c>
      <c r="O439" s="282">
        <v>529</v>
      </c>
      <c r="P439" s="280">
        <f t="shared" si="13"/>
        <v>1222557.4710689655</v>
      </c>
    </row>
    <row r="440" spans="1:16" x14ac:dyDescent="0.2">
      <c r="A440" s="32" t="s">
        <v>602</v>
      </c>
      <c r="B440" s="32" t="s">
        <v>576</v>
      </c>
      <c r="C440" s="32" t="s">
        <v>577</v>
      </c>
      <c r="D440" s="32" t="s">
        <v>599</v>
      </c>
      <c r="E440" s="32" t="s">
        <v>556</v>
      </c>
      <c r="F440" s="32" t="s">
        <v>581</v>
      </c>
      <c r="G440" s="32" t="str">
        <f t="shared" si="12"/>
        <v>1.25" PE EXTN</v>
      </c>
      <c r="H440" s="278" t="s">
        <v>489</v>
      </c>
      <c r="I440" s="32" t="s">
        <v>462</v>
      </c>
      <c r="J440" s="279">
        <v>536</v>
      </c>
      <c r="K440" s="280">
        <v>844910.47</v>
      </c>
      <c r="L440" s="280">
        <v>603357.27</v>
      </c>
      <c r="M440" s="280">
        <v>241553.2</v>
      </c>
      <c r="N440" s="281">
        <v>296</v>
      </c>
      <c r="O440" s="282">
        <v>529</v>
      </c>
      <c r="P440" s="280">
        <f t="shared" si="13"/>
        <v>1509992.0223986486</v>
      </c>
    </row>
    <row r="441" spans="1:16" x14ac:dyDescent="0.2">
      <c r="A441" s="32" t="s">
        <v>602</v>
      </c>
      <c r="B441" s="32" t="s">
        <v>576</v>
      </c>
      <c r="C441" s="32" t="s">
        <v>577</v>
      </c>
      <c r="D441" s="32" t="s">
        <v>599</v>
      </c>
      <c r="E441" s="32" t="s">
        <v>556</v>
      </c>
      <c r="F441" s="32" t="s">
        <v>581</v>
      </c>
      <c r="G441" s="32" t="str">
        <f t="shared" si="12"/>
        <v>1.25" PE EXTN</v>
      </c>
      <c r="H441" s="278" t="s">
        <v>465</v>
      </c>
      <c r="I441" s="32" t="s">
        <v>462</v>
      </c>
      <c r="J441" s="279">
        <v>551</v>
      </c>
      <c r="K441" s="280">
        <v>1151143.1499999999</v>
      </c>
      <c r="L441" s="280">
        <v>787645.01</v>
      </c>
      <c r="M441" s="280">
        <v>363498.14</v>
      </c>
      <c r="N441" s="281">
        <v>307</v>
      </c>
      <c r="O441" s="282">
        <v>529</v>
      </c>
      <c r="P441" s="280">
        <f t="shared" si="13"/>
        <v>1983565.8838762215</v>
      </c>
    </row>
    <row r="442" spans="1:16" x14ac:dyDescent="0.2">
      <c r="A442" s="32" t="s">
        <v>602</v>
      </c>
      <c r="B442" s="32" t="s">
        <v>576</v>
      </c>
      <c r="C442" s="32" t="s">
        <v>577</v>
      </c>
      <c r="D442" s="32" t="s">
        <v>599</v>
      </c>
      <c r="E442" s="32" t="s">
        <v>556</v>
      </c>
      <c r="F442" s="32" t="s">
        <v>581</v>
      </c>
      <c r="G442" s="32" t="str">
        <f t="shared" si="12"/>
        <v>1.25" PE EXTN</v>
      </c>
      <c r="H442" s="278" t="s">
        <v>490</v>
      </c>
      <c r="I442" s="32" t="s">
        <v>462</v>
      </c>
      <c r="J442" s="279">
        <v>503</v>
      </c>
      <c r="K442" s="280">
        <v>1016701.42</v>
      </c>
      <c r="L442" s="280">
        <v>663934.17000000004</v>
      </c>
      <c r="M442" s="280">
        <v>352767.25</v>
      </c>
      <c r="N442" s="281">
        <v>310</v>
      </c>
      <c r="O442" s="282">
        <v>529</v>
      </c>
      <c r="P442" s="280">
        <f t="shared" si="13"/>
        <v>1734951.7780000002</v>
      </c>
    </row>
    <row r="443" spans="1:16" x14ac:dyDescent="0.2">
      <c r="A443" s="32" t="s">
        <v>602</v>
      </c>
      <c r="B443" s="32" t="s">
        <v>576</v>
      </c>
      <c r="C443" s="32" t="s">
        <v>577</v>
      </c>
      <c r="D443" s="32" t="s">
        <v>599</v>
      </c>
      <c r="E443" s="32" t="s">
        <v>556</v>
      </c>
      <c r="F443" s="32" t="s">
        <v>581</v>
      </c>
      <c r="G443" s="32" t="str">
        <f t="shared" si="12"/>
        <v>1.25" PE EXTN</v>
      </c>
      <c r="H443" s="278" t="s">
        <v>491</v>
      </c>
      <c r="I443" s="32" t="s">
        <v>462</v>
      </c>
      <c r="J443" s="279">
        <v>666</v>
      </c>
      <c r="K443" s="280">
        <v>1318231.0900000001</v>
      </c>
      <c r="L443" s="280">
        <v>818083.81</v>
      </c>
      <c r="M443" s="280">
        <v>500147.28</v>
      </c>
      <c r="N443" s="281">
        <v>319</v>
      </c>
      <c r="O443" s="282">
        <v>529</v>
      </c>
      <c r="P443" s="280">
        <f t="shared" si="13"/>
        <v>2186032.121034483</v>
      </c>
    </row>
    <row r="444" spans="1:16" x14ac:dyDescent="0.2">
      <c r="A444" s="32" t="s">
        <v>602</v>
      </c>
      <c r="B444" s="32" t="s">
        <v>576</v>
      </c>
      <c r="C444" s="32" t="s">
        <v>577</v>
      </c>
      <c r="D444" s="32" t="s">
        <v>599</v>
      </c>
      <c r="E444" s="32" t="s">
        <v>556</v>
      </c>
      <c r="F444" s="32" t="s">
        <v>581</v>
      </c>
      <c r="G444" s="32" t="str">
        <f t="shared" si="12"/>
        <v>1.25" PE EXTN</v>
      </c>
      <c r="H444" s="278" t="s">
        <v>514</v>
      </c>
      <c r="I444" s="32" t="s">
        <v>462</v>
      </c>
      <c r="J444" s="279">
        <v>940</v>
      </c>
      <c r="K444" s="280">
        <v>693046.21</v>
      </c>
      <c r="L444" s="280">
        <v>406854.3</v>
      </c>
      <c r="M444" s="280">
        <v>286191.90999999997</v>
      </c>
      <c r="N444" s="281">
        <v>326</v>
      </c>
      <c r="O444" s="282">
        <v>529</v>
      </c>
      <c r="P444" s="280">
        <f t="shared" si="13"/>
        <v>1124605.659785276</v>
      </c>
    </row>
    <row r="445" spans="1:16" x14ac:dyDescent="0.2">
      <c r="A445" s="32" t="s">
        <v>602</v>
      </c>
      <c r="B445" s="32" t="s">
        <v>576</v>
      </c>
      <c r="C445" s="32" t="s">
        <v>577</v>
      </c>
      <c r="D445" s="32" t="s">
        <v>599</v>
      </c>
      <c r="E445" s="32" t="s">
        <v>556</v>
      </c>
      <c r="F445" s="32" t="s">
        <v>581</v>
      </c>
      <c r="G445" s="32" t="str">
        <f t="shared" si="12"/>
        <v>1.25" PE EXTN</v>
      </c>
      <c r="H445" s="278" t="s">
        <v>513</v>
      </c>
      <c r="I445" s="32" t="s">
        <v>462</v>
      </c>
      <c r="J445" s="279">
        <v>482</v>
      </c>
      <c r="K445" s="280">
        <v>916266.01</v>
      </c>
      <c r="L445" s="280">
        <v>506264.88</v>
      </c>
      <c r="M445" s="280">
        <v>410001.13</v>
      </c>
      <c r="N445" s="281">
        <v>338</v>
      </c>
      <c r="O445" s="282">
        <v>529</v>
      </c>
      <c r="P445" s="280">
        <f t="shared" si="13"/>
        <v>1434037.631035503</v>
      </c>
    </row>
    <row r="446" spans="1:16" x14ac:dyDescent="0.2">
      <c r="A446" s="32" t="s">
        <v>602</v>
      </c>
      <c r="B446" s="32" t="s">
        <v>576</v>
      </c>
      <c r="C446" s="32" t="s">
        <v>577</v>
      </c>
      <c r="D446" s="32" t="s">
        <v>599</v>
      </c>
      <c r="E446" s="32" t="s">
        <v>556</v>
      </c>
      <c r="F446" s="32" t="s">
        <v>581</v>
      </c>
      <c r="G446" s="32" t="str">
        <f t="shared" si="12"/>
        <v>1.25" PE EXTN</v>
      </c>
      <c r="H446" s="278" t="s">
        <v>467</v>
      </c>
      <c r="I446" s="32" t="s">
        <v>462</v>
      </c>
      <c r="J446" s="279">
        <v>1117</v>
      </c>
      <c r="K446" s="280">
        <v>1817418.65</v>
      </c>
      <c r="L446" s="280">
        <v>939923.45</v>
      </c>
      <c r="M446" s="280">
        <v>877495.2</v>
      </c>
      <c r="N446" s="281">
        <v>344</v>
      </c>
      <c r="O446" s="282">
        <v>529</v>
      </c>
      <c r="P446" s="280">
        <f t="shared" si="13"/>
        <v>2794809.4937499999</v>
      </c>
    </row>
    <row r="447" spans="1:16" x14ac:dyDescent="0.2">
      <c r="A447" s="32" t="s">
        <v>602</v>
      </c>
      <c r="B447" s="32" t="s">
        <v>576</v>
      </c>
      <c r="C447" s="32" t="s">
        <v>577</v>
      </c>
      <c r="D447" s="32" t="s">
        <v>599</v>
      </c>
      <c r="E447" s="32" t="s">
        <v>556</v>
      </c>
      <c r="F447" s="32" t="s">
        <v>581</v>
      </c>
      <c r="G447" s="32" t="str">
        <f t="shared" si="12"/>
        <v>1.25" PE EXTN</v>
      </c>
      <c r="H447" s="278" t="s">
        <v>473</v>
      </c>
      <c r="I447" s="32" t="s">
        <v>462</v>
      </c>
      <c r="J447" s="279">
        <v>118</v>
      </c>
      <c r="K447" s="280">
        <v>186160.97</v>
      </c>
      <c r="L447" s="280">
        <v>89572.3</v>
      </c>
      <c r="M447" s="280">
        <v>96588.67</v>
      </c>
      <c r="N447" s="281">
        <v>351</v>
      </c>
      <c r="O447" s="282">
        <v>529</v>
      </c>
      <c r="P447" s="280">
        <f t="shared" si="13"/>
        <v>280567.38783475786</v>
      </c>
    </row>
    <row r="448" spans="1:16" x14ac:dyDescent="0.2">
      <c r="A448" s="32" t="s">
        <v>602</v>
      </c>
      <c r="B448" s="32" t="s">
        <v>576</v>
      </c>
      <c r="C448" s="32" t="s">
        <v>577</v>
      </c>
      <c r="D448" s="32" t="s">
        <v>599</v>
      </c>
      <c r="E448" s="32" t="s">
        <v>556</v>
      </c>
      <c r="F448" s="32" t="s">
        <v>581</v>
      </c>
      <c r="G448" s="32" t="str">
        <f t="shared" si="12"/>
        <v>1.25" PE EXTN</v>
      </c>
      <c r="H448" s="278" t="s">
        <v>479</v>
      </c>
      <c r="I448" s="32" t="s">
        <v>462</v>
      </c>
      <c r="J448" s="279">
        <v>76</v>
      </c>
      <c r="K448" s="280">
        <v>46011.47</v>
      </c>
      <c r="L448" s="280">
        <v>20458.490000000002</v>
      </c>
      <c r="M448" s="280">
        <v>25552.98</v>
      </c>
      <c r="N448" s="281">
        <v>357</v>
      </c>
      <c r="O448" s="282">
        <v>529</v>
      </c>
      <c r="P448" s="280">
        <f t="shared" si="13"/>
        <v>68179.461148459392</v>
      </c>
    </row>
    <row r="449" spans="1:16" x14ac:dyDescent="0.2">
      <c r="A449" s="32" t="s">
        <v>602</v>
      </c>
      <c r="B449" s="32" t="s">
        <v>576</v>
      </c>
      <c r="C449" s="32" t="s">
        <v>577</v>
      </c>
      <c r="D449" s="32" t="s">
        <v>599</v>
      </c>
      <c r="E449" s="32" t="s">
        <v>556</v>
      </c>
      <c r="F449" s="32" t="s">
        <v>581</v>
      </c>
      <c r="G449" s="32" t="str">
        <f t="shared" si="12"/>
        <v>1.25" PE EXTN</v>
      </c>
      <c r="H449" s="278" t="s">
        <v>480</v>
      </c>
      <c r="I449" s="32" t="s">
        <v>462</v>
      </c>
      <c r="J449" s="279">
        <v>36</v>
      </c>
      <c r="K449" s="280">
        <v>100010.42</v>
      </c>
      <c r="L449" s="280">
        <v>40786.19</v>
      </c>
      <c r="M449" s="280">
        <v>59224.23</v>
      </c>
      <c r="N449" s="281">
        <v>365</v>
      </c>
      <c r="O449" s="282">
        <v>529</v>
      </c>
      <c r="P449" s="280">
        <f t="shared" si="13"/>
        <v>144946.60871232874</v>
      </c>
    </row>
    <row r="450" spans="1:16" x14ac:dyDescent="0.2">
      <c r="A450" s="32" t="s">
        <v>602</v>
      </c>
      <c r="B450" s="32" t="s">
        <v>576</v>
      </c>
      <c r="C450" s="32" t="s">
        <v>577</v>
      </c>
      <c r="D450" s="32" t="s">
        <v>599</v>
      </c>
      <c r="E450" s="32" t="s">
        <v>556</v>
      </c>
      <c r="F450" s="32" t="s">
        <v>581</v>
      </c>
      <c r="G450" s="32" t="str">
        <f t="shared" ref="G450:G513" si="14">D450&amp;" "&amp;E450&amp;" "&amp;F450</f>
        <v>1.25" PE EXTN</v>
      </c>
      <c r="H450" s="278" t="s">
        <v>472</v>
      </c>
      <c r="I450" s="32" t="s">
        <v>462</v>
      </c>
      <c r="J450" s="279">
        <v>403</v>
      </c>
      <c r="K450" s="280">
        <v>155925.1</v>
      </c>
      <c r="L450" s="280">
        <v>57829.11</v>
      </c>
      <c r="M450" s="280">
        <v>98095.99</v>
      </c>
      <c r="N450" s="281">
        <v>370</v>
      </c>
      <c r="O450" s="282">
        <v>529</v>
      </c>
      <c r="P450" s="280">
        <f t="shared" ref="P450:P513" si="15">+(O450/N450)*K450</f>
        <v>222930.75108108111</v>
      </c>
    </row>
    <row r="451" spans="1:16" x14ac:dyDescent="0.2">
      <c r="A451" s="32" t="s">
        <v>602</v>
      </c>
      <c r="B451" s="32" t="s">
        <v>576</v>
      </c>
      <c r="C451" s="32" t="s">
        <v>577</v>
      </c>
      <c r="D451" s="32" t="s">
        <v>599</v>
      </c>
      <c r="E451" s="32" t="s">
        <v>556</v>
      </c>
      <c r="F451" s="32" t="s">
        <v>581</v>
      </c>
      <c r="G451" s="32" t="str">
        <f t="shared" si="14"/>
        <v>1.25" PE EXTN</v>
      </c>
      <c r="H451" s="278" t="s">
        <v>478</v>
      </c>
      <c r="I451" s="32" t="s">
        <v>462</v>
      </c>
      <c r="J451" s="279">
        <v>27</v>
      </c>
      <c r="K451" s="280">
        <v>64149.73</v>
      </c>
      <c r="L451" s="280">
        <v>21426.47</v>
      </c>
      <c r="M451" s="280">
        <v>42723.26</v>
      </c>
      <c r="N451" s="281">
        <v>378</v>
      </c>
      <c r="O451" s="282">
        <v>529</v>
      </c>
      <c r="P451" s="280">
        <f t="shared" si="15"/>
        <v>89775.680343915359</v>
      </c>
    </row>
    <row r="452" spans="1:16" x14ac:dyDescent="0.2">
      <c r="A452" s="32" t="s">
        <v>602</v>
      </c>
      <c r="B452" s="32" t="s">
        <v>576</v>
      </c>
      <c r="C452" s="32" t="s">
        <v>577</v>
      </c>
      <c r="D452" s="32" t="s">
        <v>599</v>
      </c>
      <c r="E452" s="32" t="s">
        <v>556</v>
      </c>
      <c r="F452" s="32" t="s">
        <v>581</v>
      </c>
      <c r="G452" s="32" t="str">
        <f t="shared" si="14"/>
        <v>1.25" PE EXTN</v>
      </c>
      <c r="H452" s="278" t="s">
        <v>475</v>
      </c>
      <c r="I452" s="32" t="s">
        <v>462</v>
      </c>
      <c r="J452" s="279">
        <v>10</v>
      </c>
      <c r="K452" s="280">
        <v>29099.01</v>
      </c>
      <c r="L452" s="280">
        <v>8653.23</v>
      </c>
      <c r="M452" s="280">
        <v>20445.78</v>
      </c>
      <c r="N452" s="281">
        <v>393</v>
      </c>
      <c r="O452" s="282">
        <v>529</v>
      </c>
      <c r="P452" s="280">
        <f t="shared" si="15"/>
        <v>39168.89641221374</v>
      </c>
    </row>
    <row r="453" spans="1:16" x14ac:dyDescent="0.2">
      <c r="A453" s="32" t="s">
        <v>602</v>
      </c>
      <c r="B453" s="32" t="s">
        <v>576</v>
      </c>
      <c r="C453" s="32" t="s">
        <v>577</v>
      </c>
      <c r="D453" s="32" t="s">
        <v>599</v>
      </c>
      <c r="E453" s="32" t="s">
        <v>556</v>
      </c>
      <c r="F453" s="32" t="s">
        <v>581</v>
      </c>
      <c r="G453" s="32" t="str">
        <f t="shared" si="14"/>
        <v>1.25" PE EXTN</v>
      </c>
      <c r="H453" s="278" t="s">
        <v>461</v>
      </c>
      <c r="I453" s="32" t="s">
        <v>462</v>
      </c>
      <c r="J453" s="279">
        <v>0</v>
      </c>
      <c r="K453" s="280">
        <v>2188.66</v>
      </c>
      <c r="L453" s="280">
        <v>194.83</v>
      </c>
      <c r="M453" s="280">
        <v>1993.83</v>
      </c>
      <c r="N453" s="281">
        <v>491</v>
      </c>
      <c r="O453" s="282">
        <v>529</v>
      </c>
      <c r="P453" s="280">
        <f t="shared" si="15"/>
        <v>2358.0471283095721</v>
      </c>
    </row>
    <row r="454" spans="1:16" x14ac:dyDescent="0.2">
      <c r="A454" s="32" t="s">
        <v>602</v>
      </c>
      <c r="B454" s="32" t="s">
        <v>576</v>
      </c>
      <c r="C454" s="32" t="s">
        <v>577</v>
      </c>
      <c r="D454" s="32" t="s">
        <v>599</v>
      </c>
      <c r="E454" s="32" t="s">
        <v>556</v>
      </c>
      <c r="F454" s="32" t="s">
        <v>581</v>
      </c>
      <c r="G454" s="32" t="str">
        <f t="shared" si="14"/>
        <v>1.25" PE EXTN</v>
      </c>
      <c r="H454" s="278" t="s">
        <v>461</v>
      </c>
      <c r="I454" s="32" t="s">
        <v>462</v>
      </c>
      <c r="J454" s="279">
        <v>1</v>
      </c>
      <c r="K454" s="280">
        <v>1656.98</v>
      </c>
      <c r="L454" s="280">
        <v>147.5</v>
      </c>
      <c r="M454" s="280">
        <v>1509.48</v>
      </c>
      <c r="N454" s="281">
        <v>491</v>
      </c>
      <c r="O454" s="282">
        <v>529</v>
      </c>
      <c r="P454" s="280">
        <f t="shared" si="15"/>
        <v>1785.2187780040731</v>
      </c>
    </row>
    <row r="455" spans="1:16" x14ac:dyDescent="0.2">
      <c r="A455" s="32" t="s">
        <v>602</v>
      </c>
      <c r="B455" s="32" t="s">
        <v>576</v>
      </c>
      <c r="C455" s="32" t="s">
        <v>577</v>
      </c>
      <c r="D455" s="32" t="s">
        <v>599</v>
      </c>
      <c r="E455" s="32" t="s">
        <v>556</v>
      </c>
      <c r="F455" s="32" t="s">
        <v>581</v>
      </c>
      <c r="G455" s="32" t="str">
        <f t="shared" si="14"/>
        <v>1.25" PE EXTN</v>
      </c>
      <c r="H455" s="278" t="s">
        <v>461</v>
      </c>
      <c r="I455" s="32" t="s">
        <v>462</v>
      </c>
      <c r="J455" s="279">
        <v>1</v>
      </c>
      <c r="K455" s="280">
        <v>3704.37</v>
      </c>
      <c r="L455" s="280">
        <v>329.75</v>
      </c>
      <c r="M455" s="280">
        <v>3374.62</v>
      </c>
      <c r="N455" s="281">
        <v>491</v>
      </c>
      <c r="O455" s="282">
        <v>529</v>
      </c>
      <c r="P455" s="280">
        <f t="shared" si="15"/>
        <v>3991.0625865580441</v>
      </c>
    </row>
    <row r="456" spans="1:16" x14ac:dyDescent="0.2">
      <c r="A456" s="32" t="s">
        <v>602</v>
      </c>
      <c r="B456" s="32" t="s">
        <v>576</v>
      </c>
      <c r="C456" s="32" t="s">
        <v>577</v>
      </c>
      <c r="D456" s="32" t="s">
        <v>599</v>
      </c>
      <c r="E456" s="32" t="s">
        <v>556</v>
      </c>
      <c r="F456" s="32" t="s">
        <v>581</v>
      </c>
      <c r="G456" s="32" t="str">
        <f t="shared" si="14"/>
        <v>1.25" PE EXTN</v>
      </c>
      <c r="H456" s="278" t="s">
        <v>468</v>
      </c>
      <c r="I456" s="32" t="s">
        <v>462</v>
      </c>
      <c r="J456" s="279">
        <v>1</v>
      </c>
      <c r="K456" s="280">
        <v>312.69</v>
      </c>
      <c r="L456" s="280">
        <v>17.29</v>
      </c>
      <c r="M456" s="280">
        <v>295.39999999999998</v>
      </c>
      <c r="N456" s="281">
        <v>517</v>
      </c>
      <c r="O456" s="282">
        <v>529</v>
      </c>
      <c r="P456" s="280">
        <f t="shared" si="15"/>
        <v>319.94779497098648</v>
      </c>
    </row>
    <row r="457" spans="1:16" x14ac:dyDescent="0.2">
      <c r="A457" s="32" t="s">
        <v>602</v>
      </c>
      <c r="B457" s="32" t="s">
        <v>576</v>
      </c>
      <c r="C457" s="32" t="s">
        <v>577</v>
      </c>
      <c r="D457" s="32" t="s">
        <v>599</v>
      </c>
      <c r="E457" s="32" t="s">
        <v>556</v>
      </c>
      <c r="F457" s="32" t="s">
        <v>581</v>
      </c>
      <c r="G457" s="32" t="str">
        <f t="shared" si="14"/>
        <v>1.25" PE EXTN</v>
      </c>
      <c r="H457" s="278" t="s">
        <v>468</v>
      </c>
      <c r="I457" s="32" t="s">
        <v>462</v>
      </c>
      <c r="J457" s="279">
        <v>2</v>
      </c>
      <c r="K457" s="280">
        <v>6852.74</v>
      </c>
      <c r="L457" s="280">
        <v>378.96</v>
      </c>
      <c r="M457" s="280">
        <v>6473.78</v>
      </c>
      <c r="N457" s="281">
        <v>517</v>
      </c>
      <c r="O457" s="282">
        <v>529</v>
      </c>
      <c r="P457" s="280">
        <f t="shared" si="15"/>
        <v>7011.7977949709866</v>
      </c>
    </row>
    <row r="458" spans="1:16" x14ac:dyDescent="0.2">
      <c r="A458" s="32" t="s">
        <v>602</v>
      </c>
      <c r="B458" s="32" t="s">
        <v>576</v>
      </c>
      <c r="C458" s="32" t="s">
        <v>577</v>
      </c>
      <c r="D458" s="32" t="s">
        <v>599</v>
      </c>
      <c r="E458" s="32" t="s">
        <v>556</v>
      </c>
      <c r="F458" s="32" t="s">
        <v>581</v>
      </c>
      <c r="G458" s="32" t="str">
        <f t="shared" si="14"/>
        <v>1.25" PE EXTN</v>
      </c>
      <c r="H458" s="278" t="s">
        <v>468</v>
      </c>
      <c r="I458" s="32" t="s">
        <v>462</v>
      </c>
      <c r="J458" s="279">
        <v>5</v>
      </c>
      <c r="K458" s="280">
        <v>13218.96</v>
      </c>
      <c r="L458" s="280">
        <v>731.01</v>
      </c>
      <c r="M458" s="280">
        <v>12487.95</v>
      </c>
      <c r="N458" s="281">
        <v>517</v>
      </c>
      <c r="O458" s="282">
        <v>529</v>
      </c>
      <c r="P458" s="280">
        <f t="shared" si="15"/>
        <v>13525.783056092843</v>
      </c>
    </row>
    <row r="459" spans="1:16" x14ac:dyDescent="0.2">
      <c r="A459" s="32" t="s">
        <v>602</v>
      </c>
      <c r="B459" s="32" t="s">
        <v>576</v>
      </c>
      <c r="C459" s="32" t="s">
        <v>577</v>
      </c>
      <c r="D459" s="32" t="s">
        <v>599</v>
      </c>
      <c r="E459" s="32" t="s">
        <v>556</v>
      </c>
      <c r="F459" s="32" t="s">
        <v>581</v>
      </c>
      <c r="G459" s="32" t="str">
        <f t="shared" si="14"/>
        <v>1.25" PE EXTN</v>
      </c>
      <c r="H459" s="278" t="s">
        <v>469</v>
      </c>
      <c r="I459" s="32" t="s">
        <v>462</v>
      </c>
      <c r="J459" s="279">
        <v>1</v>
      </c>
      <c r="K459" s="280">
        <v>444.21</v>
      </c>
      <c r="L459" s="280">
        <v>8.73</v>
      </c>
      <c r="M459" s="280">
        <v>435.48</v>
      </c>
      <c r="N459" s="281">
        <v>529</v>
      </c>
      <c r="O459" s="282">
        <v>529</v>
      </c>
      <c r="P459" s="280">
        <f t="shared" si="15"/>
        <v>444.21</v>
      </c>
    </row>
    <row r="460" spans="1:16" x14ac:dyDescent="0.2">
      <c r="A460" s="32" t="s">
        <v>602</v>
      </c>
      <c r="B460" s="32" t="s">
        <v>576</v>
      </c>
      <c r="C460" s="32" t="s">
        <v>577</v>
      </c>
      <c r="D460" s="32" t="s">
        <v>599</v>
      </c>
      <c r="E460" s="32" t="s">
        <v>556</v>
      </c>
      <c r="F460" s="32" t="s">
        <v>581</v>
      </c>
      <c r="G460" s="32" t="str">
        <f t="shared" si="14"/>
        <v>1.25" PE EXTN</v>
      </c>
      <c r="H460" s="278" t="s">
        <v>469</v>
      </c>
      <c r="I460" s="32" t="s">
        <v>462</v>
      </c>
      <c r="J460" s="279">
        <v>2</v>
      </c>
      <c r="K460" s="280">
        <v>616.19000000000005</v>
      </c>
      <c r="L460" s="280">
        <v>12.12</v>
      </c>
      <c r="M460" s="280">
        <v>604.07000000000005</v>
      </c>
      <c r="N460" s="281">
        <v>529</v>
      </c>
      <c r="O460" s="282">
        <v>529</v>
      </c>
      <c r="P460" s="280">
        <f t="shared" si="15"/>
        <v>616.19000000000005</v>
      </c>
    </row>
    <row r="461" spans="1:16" x14ac:dyDescent="0.2">
      <c r="A461" s="32" t="s">
        <v>602</v>
      </c>
      <c r="B461" s="32" t="s">
        <v>576</v>
      </c>
      <c r="C461" s="32" t="s">
        <v>577</v>
      </c>
      <c r="D461" s="32" t="s">
        <v>599</v>
      </c>
      <c r="E461" s="32" t="s">
        <v>556</v>
      </c>
      <c r="F461" s="32" t="s">
        <v>581</v>
      </c>
      <c r="G461" s="32" t="str">
        <f t="shared" si="14"/>
        <v>1.25" PE EXTN</v>
      </c>
      <c r="H461" s="278" t="s">
        <v>469</v>
      </c>
      <c r="I461" s="32" t="s">
        <v>462</v>
      </c>
      <c r="J461" s="279">
        <v>6</v>
      </c>
      <c r="K461" s="280">
        <v>28671.01</v>
      </c>
      <c r="L461" s="280">
        <v>563.71</v>
      </c>
      <c r="M461" s="280">
        <v>28107.3</v>
      </c>
      <c r="N461" s="281">
        <v>529</v>
      </c>
      <c r="O461" s="282">
        <v>529</v>
      </c>
      <c r="P461" s="280">
        <f t="shared" si="15"/>
        <v>28671.01</v>
      </c>
    </row>
    <row r="462" spans="1:16" x14ac:dyDescent="0.2">
      <c r="A462" s="32" t="s">
        <v>603</v>
      </c>
      <c r="B462" s="32" t="s">
        <v>576</v>
      </c>
      <c r="C462" s="32" t="s">
        <v>577</v>
      </c>
      <c r="D462" s="32" t="s">
        <v>599</v>
      </c>
      <c r="E462" s="32" t="s">
        <v>556</v>
      </c>
      <c r="F462" s="32" t="s">
        <v>584</v>
      </c>
      <c r="G462" s="32" t="str">
        <f t="shared" si="14"/>
        <v>1.25" PE STUB</v>
      </c>
      <c r="H462" s="278" t="s">
        <v>534</v>
      </c>
      <c r="I462" s="32" t="s">
        <v>462</v>
      </c>
      <c r="J462" s="279">
        <v>1</v>
      </c>
      <c r="K462" s="280">
        <v>1770.76</v>
      </c>
      <c r="L462" s="280">
        <v>1833.96</v>
      </c>
      <c r="M462" s="280">
        <v>-63.2</v>
      </c>
      <c r="N462" s="281">
        <v>69</v>
      </c>
      <c r="O462" s="282">
        <v>529</v>
      </c>
      <c r="P462" s="280">
        <f t="shared" si="15"/>
        <v>13575.826666666668</v>
      </c>
    </row>
    <row r="463" spans="1:16" x14ac:dyDescent="0.2">
      <c r="A463" s="32" t="s">
        <v>603</v>
      </c>
      <c r="B463" s="32" t="s">
        <v>576</v>
      </c>
      <c r="C463" s="32" t="s">
        <v>577</v>
      </c>
      <c r="D463" s="32" t="s">
        <v>599</v>
      </c>
      <c r="E463" s="32" t="s">
        <v>556</v>
      </c>
      <c r="F463" s="32" t="s">
        <v>584</v>
      </c>
      <c r="G463" s="32" t="str">
        <f t="shared" si="14"/>
        <v>1.25" PE STUB</v>
      </c>
      <c r="H463" s="278" t="s">
        <v>467</v>
      </c>
      <c r="I463" s="32" t="s">
        <v>462</v>
      </c>
      <c r="J463" s="279">
        <v>105</v>
      </c>
      <c r="K463" s="280">
        <v>98969.32</v>
      </c>
      <c r="L463" s="280">
        <v>51184.46</v>
      </c>
      <c r="M463" s="280">
        <v>47784.86</v>
      </c>
      <c r="N463" s="281">
        <v>344</v>
      </c>
      <c r="O463" s="282">
        <v>529</v>
      </c>
      <c r="P463" s="280">
        <f t="shared" si="15"/>
        <v>152194.0996511628</v>
      </c>
    </row>
    <row r="464" spans="1:16" x14ac:dyDescent="0.2">
      <c r="A464" s="32" t="s">
        <v>603</v>
      </c>
      <c r="B464" s="32" t="s">
        <v>576</v>
      </c>
      <c r="C464" s="32" t="s">
        <v>577</v>
      </c>
      <c r="D464" s="32" t="s">
        <v>599</v>
      </c>
      <c r="E464" s="32" t="s">
        <v>556</v>
      </c>
      <c r="F464" s="32" t="s">
        <v>584</v>
      </c>
      <c r="G464" s="32" t="str">
        <f t="shared" si="14"/>
        <v>1.25" PE STUB</v>
      </c>
      <c r="H464" s="278" t="s">
        <v>473</v>
      </c>
      <c r="I464" s="32" t="s">
        <v>462</v>
      </c>
      <c r="J464" s="279">
        <v>779</v>
      </c>
      <c r="K464" s="280">
        <v>741744</v>
      </c>
      <c r="L464" s="280">
        <v>356893.92</v>
      </c>
      <c r="M464" s="280">
        <v>384850.08</v>
      </c>
      <c r="N464" s="281">
        <v>351</v>
      </c>
      <c r="O464" s="282">
        <v>529</v>
      </c>
      <c r="P464" s="280">
        <f t="shared" si="15"/>
        <v>1117899.076923077</v>
      </c>
    </row>
    <row r="465" spans="1:16" x14ac:dyDescent="0.2">
      <c r="A465" s="32" t="s">
        <v>603</v>
      </c>
      <c r="B465" s="32" t="s">
        <v>576</v>
      </c>
      <c r="C465" s="32" t="s">
        <v>577</v>
      </c>
      <c r="D465" s="32" t="s">
        <v>599</v>
      </c>
      <c r="E465" s="32" t="s">
        <v>556</v>
      </c>
      <c r="F465" s="32" t="s">
        <v>584</v>
      </c>
      <c r="G465" s="32" t="str">
        <f t="shared" si="14"/>
        <v>1.25" PE STUB</v>
      </c>
      <c r="H465" s="278" t="s">
        <v>479</v>
      </c>
      <c r="I465" s="32" t="s">
        <v>462</v>
      </c>
      <c r="J465" s="279">
        <v>1376</v>
      </c>
      <c r="K465" s="280">
        <v>954039.96</v>
      </c>
      <c r="L465" s="280">
        <v>424203.23</v>
      </c>
      <c r="M465" s="280">
        <v>529836.73</v>
      </c>
      <c r="N465" s="281">
        <v>357</v>
      </c>
      <c r="O465" s="282">
        <v>529</v>
      </c>
      <c r="P465" s="280">
        <f t="shared" si="15"/>
        <v>1413689.4645378152</v>
      </c>
    </row>
    <row r="466" spans="1:16" x14ac:dyDescent="0.2">
      <c r="A466" s="32" t="s">
        <v>603</v>
      </c>
      <c r="B466" s="32" t="s">
        <v>576</v>
      </c>
      <c r="C466" s="32" t="s">
        <v>577</v>
      </c>
      <c r="D466" s="32" t="s">
        <v>599</v>
      </c>
      <c r="E466" s="32" t="s">
        <v>556</v>
      </c>
      <c r="F466" s="32" t="s">
        <v>584</v>
      </c>
      <c r="G466" s="32" t="str">
        <f t="shared" si="14"/>
        <v>1.25" PE STUB</v>
      </c>
      <c r="H466" s="278" t="s">
        <v>480</v>
      </c>
      <c r="I466" s="32" t="s">
        <v>462</v>
      </c>
      <c r="J466" s="279">
        <v>635</v>
      </c>
      <c r="K466" s="280">
        <v>2548493.6</v>
      </c>
      <c r="L466" s="280">
        <v>1039325.03</v>
      </c>
      <c r="M466" s="280">
        <v>1509168.57</v>
      </c>
      <c r="N466" s="281">
        <v>365</v>
      </c>
      <c r="O466" s="282">
        <v>529</v>
      </c>
      <c r="P466" s="280">
        <f t="shared" si="15"/>
        <v>3693570.1764383563</v>
      </c>
    </row>
    <row r="467" spans="1:16" x14ac:dyDescent="0.2">
      <c r="A467" s="32" t="s">
        <v>603</v>
      </c>
      <c r="B467" s="32" t="s">
        <v>576</v>
      </c>
      <c r="C467" s="32" t="s">
        <v>577</v>
      </c>
      <c r="D467" s="32" t="s">
        <v>599</v>
      </c>
      <c r="E467" s="32" t="s">
        <v>556</v>
      </c>
      <c r="F467" s="32" t="s">
        <v>584</v>
      </c>
      <c r="G467" s="32" t="str">
        <f t="shared" si="14"/>
        <v>1.25" PE STUB</v>
      </c>
      <c r="H467" s="278" t="s">
        <v>472</v>
      </c>
      <c r="I467" s="32" t="s">
        <v>462</v>
      </c>
      <c r="J467" s="279">
        <v>1400</v>
      </c>
      <c r="K467" s="280">
        <v>813412.93</v>
      </c>
      <c r="L467" s="280">
        <v>301676.52</v>
      </c>
      <c r="M467" s="280">
        <v>511736.41</v>
      </c>
      <c r="N467" s="281">
        <v>370</v>
      </c>
      <c r="O467" s="282">
        <v>529</v>
      </c>
      <c r="P467" s="280">
        <f t="shared" si="15"/>
        <v>1162960.6485675676</v>
      </c>
    </row>
    <row r="468" spans="1:16" x14ac:dyDescent="0.2">
      <c r="A468" s="32" t="s">
        <v>603</v>
      </c>
      <c r="B468" s="32" t="s">
        <v>576</v>
      </c>
      <c r="C468" s="32" t="s">
        <v>577</v>
      </c>
      <c r="D468" s="32" t="s">
        <v>599</v>
      </c>
      <c r="E468" s="32" t="s">
        <v>556</v>
      </c>
      <c r="F468" s="32" t="s">
        <v>584</v>
      </c>
      <c r="G468" s="32" t="str">
        <f t="shared" si="14"/>
        <v>1.25" PE STUB</v>
      </c>
      <c r="H468" s="278" t="s">
        <v>478</v>
      </c>
      <c r="I468" s="32" t="s">
        <v>462</v>
      </c>
      <c r="J468" s="279">
        <v>1540</v>
      </c>
      <c r="K468" s="280">
        <v>637703.43999999994</v>
      </c>
      <c r="L468" s="280">
        <v>212997.57</v>
      </c>
      <c r="M468" s="280">
        <v>424705.87</v>
      </c>
      <c r="N468" s="281">
        <v>378</v>
      </c>
      <c r="O468" s="282">
        <v>529</v>
      </c>
      <c r="P468" s="280">
        <f t="shared" si="15"/>
        <v>892447.40677248675</v>
      </c>
    </row>
    <row r="469" spans="1:16" x14ac:dyDescent="0.2">
      <c r="A469" s="32" t="s">
        <v>603</v>
      </c>
      <c r="B469" s="32" t="s">
        <v>576</v>
      </c>
      <c r="C469" s="32" t="s">
        <v>577</v>
      </c>
      <c r="D469" s="32" t="s">
        <v>599</v>
      </c>
      <c r="E469" s="32" t="s">
        <v>556</v>
      </c>
      <c r="F469" s="32" t="s">
        <v>584</v>
      </c>
      <c r="G469" s="32" t="str">
        <f t="shared" si="14"/>
        <v>1.25" PE STUB</v>
      </c>
      <c r="H469" s="278" t="s">
        <v>475</v>
      </c>
      <c r="I469" s="32" t="s">
        <v>462</v>
      </c>
      <c r="J469" s="279">
        <v>390</v>
      </c>
      <c r="K469" s="280">
        <v>401325.29</v>
      </c>
      <c r="L469" s="280">
        <v>119342.95</v>
      </c>
      <c r="M469" s="280">
        <v>281982.34000000003</v>
      </c>
      <c r="N469" s="281">
        <v>393</v>
      </c>
      <c r="O469" s="282">
        <v>529</v>
      </c>
      <c r="P469" s="280">
        <f t="shared" si="15"/>
        <v>540206.30638676847</v>
      </c>
    </row>
    <row r="470" spans="1:16" x14ac:dyDescent="0.2">
      <c r="A470" s="32" t="s">
        <v>603</v>
      </c>
      <c r="B470" s="32" t="s">
        <v>576</v>
      </c>
      <c r="C470" s="32" t="s">
        <v>577</v>
      </c>
      <c r="D470" s="32" t="s">
        <v>599</v>
      </c>
      <c r="E470" s="32" t="s">
        <v>556</v>
      </c>
      <c r="F470" s="32" t="s">
        <v>584</v>
      </c>
      <c r="G470" s="32" t="str">
        <f t="shared" si="14"/>
        <v>1.25" PE STUB</v>
      </c>
      <c r="H470" s="278" t="s">
        <v>471</v>
      </c>
      <c r="I470" s="32" t="s">
        <v>462</v>
      </c>
      <c r="J470" s="279">
        <v>409</v>
      </c>
      <c r="K470" s="280">
        <v>866336.85</v>
      </c>
      <c r="L470" s="280">
        <v>226248.64</v>
      </c>
      <c r="M470" s="280">
        <v>640088.21</v>
      </c>
      <c r="N470" s="281">
        <v>398</v>
      </c>
      <c r="O470" s="282">
        <v>529</v>
      </c>
      <c r="P470" s="280">
        <f t="shared" si="15"/>
        <v>1151487.9237437185</v>
      </c>
    </row>
    <row r="471" spans="1:16" x14ac:dyDescent="0.2">
      <c r="A471" s="32" t="s">
        <v>603</v>
      </c>
      <c r="B471" s="32" t="s">
        <v>576</v>
      </c>
      <c r="C471" s="32" t="s">
        <v>577</v>
      </c>
      <c r="D471" s="32" t="s">
        <v>599</v>
      </c>
      <c r="E471" s="32" t="s">
        <v>556</v>
      </c>
      <c r="F471" s="32" t="s">
        <v>584</v>
      </c>
      <c r="G471" s="32" t="str">
        <f t="shared" si="14"/>
        <v>1.25" PE STUB</v>
      </c>
      <c r="H471" s="278" t="s">
        <v>476</v>
      </c>
      <c r="I471" s="32" t="s">
        <v>462</v>
      </c>
      <c r="J471" s="279">
        <v>655</v>
      </c>
      <c r="K471" s="280">
        <v>696160.58</v>
      </c>
      <c r="L471" s="280">
        <v>156975.54</v>
      </c>
      <c r="M471" s="280">
        <v>539185.04</v>
      </c>
      <c r="N471" s="281">
        <v>409</v>
      </c>
      <c r="O471" s="282">
        <v>529</v>
      </c>
      <c r="P471" s="280">
        <f t="shared" si="15"/>
        <v>900413.07290953537</v>
      </c>
    </row>
    <row r="472" spans="1:16" x14ac:dyDescent="0.2">
      <c r="A472" s="32" t="s">
        <v>603</v>
      </c>
      <c r="B472" s="32" t="s">
        <v>576</v>
      </c>
      <c r="C472" s="32" t="s">
        <v>577</v>
      </c>
      <c r="D472" s="32" t="s">
        <v>599</v>
      </c>
      <c r="E472" s="32" t="s">
        <v>556</v>
      </c>
      <c r="F472" s="32" t="s">
        <v>584</v>
      </c>
      <c r="G472" s="32" t="str">
        <f t="shared" si="14"/>
        <v>1.25" PE STUB</v>
      </c>
      <c r="H472" s="278" t="s">
        <v>474</v>
      </c>
      <c r="I472" s="32" t="s">
        <v>462</v>
      </c>
      <c r="J472" s="279">
        <v>681</v>
      </c>
      <c r="K472" s="280">
        <v>773515.87</v>
      </c>
      <c r="L472" s="280">
        <v>147331</v>
      </c>
      <c r="M472" s="280">
        <v>626184.87</v>
      </c>
      <c r="N472" s="281">
        <v>431</v>
      </c>
      <c r="O472" s="282">
        <v>529</v>
      </c>
      <c r="P472" s="280">
        <f t="shared" si="15"/>
        <v>949396.50865429232</v>
      </c>
    </row>
    <row r="473" spans="1:16" x14ac:dyDescent="0.2">
      <c r="A473" s="32" t="s">
        <v>603</v>
      </c>
      <c r="B473" s="32" t="s">
        <v>576</v>
      </c>
      <c r="C473" s="32" t="s">
        <v>577</v>
      </c>
      <c r="D473" s="32" t="s">
        <v>599</v>
      </c>
      <c r="E473" s="32" t="s">
        <v>556</v>
      </c>
      <c r="F473" s="32" t="s">
        <v>584</v>
      </c>
      <c r="G473" s="32" t="str">
        <f t="shared" si="14"/>
        <v>1.25" PE STUB</v>
      </c>
      <c r="H473" s="278" t="s">
        <v>477</v>
      </c>
      <c r="I473" s="32" t="s">
        <v>462</v>
      </c>
      <c r="J473" s="279">
        <v>582</v>
      </c>
      <c r="K473" s="280">
        <v>1093598.6499999999</v>
      </c>
      <c r="L473" s="280">
        <v>170753.72</v>
      </c>
      <c r="M473" s="280">
        <v>922844.93</v>
      </c>
      <c r="N473" s="281">
        <v>450</v>
      </c>
      <c r="O473" s="282">
        <v>529</v>
      </c>
      <c r="P473" s="280">
        <f t="shared" si="15"/>
        <v>1285585.9685555554</v>
      </c>
    </row>
    <row r="474" spans="1:16" x14ac:dyDescent="0.2">
      <c r="A474" s="32" t="s">
        <v>603</v>
      </c>
      <c r="B474" s="32" t="s">
        <v>576</v>
      </c>
      <c r="C474" s="32" t="s">
        <v>577</v>
      </c>
      <c r="D474" s="32" t="s">
        <v>599</v>
      </c>
      <c r="E474" s="32" t="s">
        <v>556</v>
      </c>
      <c r="F474" s="32" t="s">
        <v>584</v>
      </c>
      <c r="G474" s="32" t="str">
        <f t="shared" si="14"/>
        <v>1.25" PE STUB</v>
      </c>
      <c r="H474" s="278" t="s">
        <v>470</v>
      </c>
      <c r="I474" s="32" t="s">
        <v>462</v>
      </c>
      <c r="J474" s="279">
        <v>3</v>
      </c>
      <c r="K474" s="280">
        <v>6257.59</v>
      </c>
      <c r="L474" s="280">
        <v>766</v>
      </c>
      <c r="M474" s="280">
        <v>5491.59</v>
      </c>
      <c r="N474" s="281">
        <v>467</v>
      </c>
      <c r="O474" s="282">
        <v>529</v>
      </c>
      <c r="P474" s="280">
        <f t="shared" si="15"/>
        <v>7088.3621199143463</v>
      </c>
    </row>
    <row r="475" spans="1:16" x14ac:dyDescent="0.2">
      <c r="A475" s="32" t="s">
        <v>603</v>
      </c>
      <c r="B475" s="32" t="s">
        <v>576</v>
      </c>
      <c r="C475" s="32" t="s">
        <v>577</v>
      </c>
      <c r="D475" s="32" t="s">
        <v>599</v>
      </c>
      <c r="E475" s="32" t="s">
        <v>556</v>
      </c>
      <c r="F475" s="32" t="s">
        <v>584</v>
      </c>
      <c r="G475" s="32" t="str">
        <f t="shared" si="14"/>
        <v>1.25" PE STUB</v>
      </c>
      <c r="H475" s="278" t="s">
        <v>470</v>
      </c>
      <c r="I475" s="32" t="s">
        <v>462</v>
      </c>
      <c r="J475" s="279">
        <v>49</v>
      </c>
      <c r="K475" s="280">
        <v>63734.47</v>
      </c>
      <c r="L475" s="280">
        <v>7801.84</v>
      </c>
      <c r="M475" s="280">
        <v>55932.63</v>
      </c>
      <c r="N475" s="281">
        <v>467</v>
      </c>
      <c r="O475" s="282">
        <v>529</v>
      </c>
      <c r="P475" s="280">
        <f t="shared" si="15"/>
        <v>72196.005631691645</v>
      </c>
    </row>
    <row r="476" spans="1:16" x14ac:dyDescent="0.2">
      <c r="A476" s="32" t="s">
        <v>603</v>
      </c>
      <c r="B476" s="32" t="s">
        <v>576</v>
      </c>
      <c r="C476" s="32" t="s">
        <v>577</v>
      </c>
      <c r="D476" s="32" t="s">
        <v>599</v>
      </c>
      <c r="E476" s="32" t="s">
        <v>556</v>
      </c>
      <c r="F476" s="32" t="s">
        <v>584</v>
      </c>
      <c r="G476" s="32" t="str">
        <f t="shared" si="14"/>
        <v>1.25" PE STUB</v>
      </c>
      <c r="H476" s="278" t="s">
        <v>470</v>
      </c>
      <c r="I476" s="32" t="s">
        <v>462</v>
      </c>
      <c r="J476" s="279">
        <v>77</v>
      </c>
      <c r="K476" s="280">
        <v>77037.94</v>
      </c>
      <c r="L476" s="280">
        <v>9430.34</v>
      </c>
      <c r="M476" s="280">
        <v>67607.600000000006</v>
      </c>
      <c r="N476" s="281">
        <v>467</v>
      </c>
      <c r="O476" s="282">
        <v>529</v>
      </c>
      <c r="P476" s="280">
        <f t="shared" si="15"/>
        <v>87265.675074946455</v>
      </c>
    </row>
    <row r="477" spans="1:16" x14ac:dyDescent="0.2">
      <c r="A477" s="32" t="s">
        <v>603</v>
      </c>
      <c r="B477" s="32" t="s">
        <v>576</v>
      </c>
      <c r="C477" s="32" t="s">
        <v>577</v>
      </c>
      <c r="D477" s="32" t="s">
        <v>599</v>
      </c>
      <c r="E477" s="32" t="s">
        <v>556</v>
      </c>
      <c r="F477" s="32" t="s">
        <v>584</v>
      </c>
      <c r="G477" s="32" t="str">
        <f t="shared" si="14"/>
        <v>1.25" PE STUB</v>
      </c>
      <c r="H477" s="278" t="s">
        <v>470</v>
      </c>
      <c r="I477" s="32" t="s">
        <v>462</v>
      </c>
      <c r="J477" s="279">
        <v>165</v>
      </c>
      <c r="K477" s="280">
        <v>264707.09999999998</v>
      </c>
      <c r="L477" s="280">
        <v>32403.21</v>
      </c>
      <c r="M477" s="280">
        <v>232303.89</v>
      </c>
      <c r="N477" s="281">
        <v>467</v>
      </c>
      <c r="O477" s="282">
        <v>529</v>
      </c>
      <c r="P477" s="280">
        <f t="shared" si="15"/>
        <v>299850.22676659521</v>
      </c>
    </row>
    <row r="478" spans="1:16" x14ac:dyDescent="0.2">
      <c r="A478" s="32" t="s">
        <v>603</v>
      </c>
      <c r="B478" s="32" t="s">
        <v>576</v>
      </c>
      <c r="C478" s="32" t="s">
        <v>577</v>
      </c>
      <c r="D478" s="32" t="s">
        <v>599</v>
      </c>
      <c r="E478" s="32" t="s">
        <v>556</v>
      </c>
      <c r="F478" s="32" t="s">
        <v>584</v>
      </c>
      <c r="G478" s="32" t="str">
        <f t="shared" si="14"/>
        <v>1.25" PE STUB</v>
      </c>
      <c r="H478" s="278" t="s">
        <v>470</v>
      </c>
      <c r="I478" s="32" t="s">
        <v>462</v>
      </c>
      <c r="J478" s="279">
        <v>185</v>
      </c>
      <c r="K478" s="280">
        <v>281412.28999999998</v>
      </c>
      <c r="L478" s="280">
        <v>34448.120000000003</v>
      </c>
      <c r="M478" s="280">
        <v>246964.17</v>
      </c>
      <c r="N478" s="281">
        <v>467</v>
      </c>
      <c r="O478" s="282">
        <v>529</v>
      </c>
      <c r="P478" s="280">
        <f t="shared" si="15"/>
        <v>318773.23642398283</v>
      </c>
    </row>
    <row r="479" spans="1:16" x14ac:dyDescent="0.2">
      <c r="A479" s="32" t="s">
        <v>603</v>
      </c>
      <c r="B479" s="32" t="s">
        <v>576</v>
      </c>
      <c r="C479" s="32" t="s">
        <v>577</v>
      </c>
      <c r="D479" s="32" t="s">
        <v>599</v>
      </c>
      <c r="E479" s="32" t="s">
        <v>556</v>
      </c>
      <c r="F479" s="32" t="s">
        <v>584</v>
      </c>
      <c r="G479" s="32" t="str">
        <f t="shared" si="14"/>
        <v>1.25" PE STUB</v>
      </c>
      <c r="H479" s="278" t="s">
        <v>470</v>
      </c>
      <c r="I479" s="32" t="s">
        <v>462</v>
      </c>
      <c r="J479" s="279">
        <v>384</v>
      </c>
      <c r="K479" s="280">
        <v>650708.67000000004</v>
      </c>
      <c r="L479" s="280">
        <v>79654.28</v>
      </c>
      <c r="M479" s="280">
        <v>571054.39</v>
      </c>
      <c r="N479" s="281">
        <v>467</v>
      </c>
      <c r="O479" s="282">
        <v>529</v>
      </c>
      <c r="P479" s="280">
        <f t="shared" si="15"/>
        <v>737098.25788008561</v>
      </c>
    </row>
    <row r="480" spans="1:16" x14ac:dyDescent="0.2">
      <c r="A480" s="32" t="s">
        <v>603</v>
      </c>
      <c r="B480" s="32" t="s">
        <v>576</v>
      </c>
      <c r="C480" s="32" t="s">
        <v>577</v>
      </c>
      <c r="D480" s="32" t="s">
        <v>599</v>
      </c>
      <c r="E480" s="32" t="s">
        <v>556</v>
      </c>
      <c r="F480" s="32" t="s">
        <v>584</v>
      </c>
      <c r="G480" s="32" t="str">
        <f t="shared" si="14"/>
        <v>1.25" PE STUB</v>
      </c>
      <c r="H480" s="278" t="s">
        <v>461</v>
      </c>
      <c r="I480" s="32" t="s">
        <v>462</v>
      </c>
      <c r="J480" s="279">
        <v>11</v>
      </c>
      <c r="K480" s="280">
        <v>19579.98</v>
      </c>
      <c r="L480" s="280">
        <v>1742.95</v>
      </c>
      <c r="M480" s="280">
        <v>17837.03</v>
      </c>
      <c r="N480" s="281">
        <v>491</v>
      </c>
      <c r="O480" s="282">
        <v>529</v>
      </c>
      <c r="P480" s="280">
        <f t="shared" si="15"/>
        <v>21095.334867617104</v>
      </c>
    </row>
    <row r="481" spans="1:16" x14ac:dyDescent="0.2">
      <c r="A481" s="32" t="s">
        <v>603</v>
      </c>
      <c r="B481" s="32" t="s">
        <v>576</v>
      </c>
      <c r="C481" s="32" t="s">
        <v>577</v>
      </c>
      <c r="D481" s="32" t="s">
        <v>599</v>
      </c>
      <c r="E481" s="32" t="s">
        <v>556</v>
      </c>
      <c r="F481" s="32" t="s">
        <v>584</v>
      </c>
      <c r="G481" s="32" t="str">
        <f t="shared" si="14"/>
        <v>1.25" PE STUB</v>
      </c>
      <c r="H481" s="278" t="s">
        <v>461</v>
      </c>
      <c r="I481" s="32" t="s">
        <v>462</v>
      </c>
      <c r="J481" s="279">
        <v>62</v>
      </c>
      <c r="K481" s="280">
        <v>121502.25</v>
      </c>
      <c r="L481" s="280">
        <v>10815.78</v>
      </c>
      <c r="M481" s="280">
        <v>110686.47</v>
      </c>
      <c r="N481" s="281">
        <v>491</v>
      </c>
      <c r="O481" s="282">
        <v>529</v>
      </c>
      <c r="P481" s="280">
        <f t="shared" si="15"/>
        <v>130905.68279022402</v>
      </c>
    </row>
    <row r="482" spans="1:16" x14ac:dyDescent="0.2">
      <c r="A482" s="32" t="s">
        <v>603</v>
      </c>
      <c r="B482" s="32" t="s">
        <v>576</v>
      </c>
      <c r="C482" s="32" t="s">
        <v>577</v>
      </c>
      <c r="D482" s="32" t="s">
        <v>599</v>
      </c>
      <c r="E482" s="32" t="s">
        <v>556</v>
      </c>
      <c r="F482" s="32" t="s">
        <v>584</v>
      </c>
      <c r="G482" s="32" t="str">
        <f t="shared" si="14"/>
        <v>1.25" PE STUB</v>
      </c>
      <c r="H482" s="278" t="s">
        <v>461</v>
      </c>
      <c r="I482" s="32" t="s">
        <v>462</v>
      </c>
      <c r="J482" s="279">
        <v>136</v>
      </c>
      <c r="K482" s="280">
        <v>109690.37</v>
      </c>
      <c r="L482" s="280">
        <v>9764.32</v>
      </c>
      <c r="M482" s="280">
        <v>99926.05</v>
      </c>
      <c r="N482" s="281">
        <v>491</v>
      </c>
      <c r="O482" s="282">
        <v>529</v>
      </c>
      <c r="P482" s="280">
        <f t="shared" si="15"/>
        <v>118179.64507128308</v>
      </c>
    </row>
    <row r="483" spans="1:16" x14ac:dyDescent="0.2">
      <c r="A483" s="32" t="s">
        <v>603</v>
      </c>
      <c r="B483" s="32" t="s">
        <v>576</v>
      </c>
      <c r="C483" s="32" t="s">
        <v>577</v>
      </c>
      <c r="D483" s="32" t="s">
        <v>599</v>
      </c>
      <c r="E483" s="32" t="s">
        <v>556</v>
      </c>
      <c r="F483" s="32" t="s">
        <v>584</v>
      </c>
      <c r="G483" s="32" t="str">
        <f t="shared" si="14"/>
        <v>1.25" PE STUB</v>
      </c>
      <c r="H483" s="278" t="s">
        <v>461</v>
      </c>
      <c r="I483" s="32" t="s">
        <v>462</v>
      </c>
      <c r="J483" s="279">
        <v>163</v>
      </c>
      <c r="K483" s="280">
        <v>373319.48</v>
      </c>
      <c r="L483" s="280">
        <v>33231.82</v>
      </c>
      <c r="M483" s="280">
        <v>340087.66</v>
      </c>
      <c r="N483" s="281">
        <v>491</v>
      </c>
      <c r="O483" s="282">
        <v>529</v>
      </c>
      <c r="P483" s="280">
        <f t="shared" si="15"/>
        <v>402211.82264765777</v>
      </c>
    </row>
    <row r="484" spans="1:16" x14ac:dyDescent="0.2">
      <c r="A484" s="32" t="s">
        <v>603</v>
      </c>
      <c r="B484" s="32" t="s">
        <v>576</v>
      </c>
      <c r="C484" s="32" t="s">
        <v>577</v>
      </c>
      <c r="D484" s="32" t="s">
        <v>599</v>
      </c>
      <c r="E484" s="32" t="s">
        <v>556</v>
      </c>
      <c r="F484" s="32" t="s">
        <v>584</v>
      </c>
      <c r="G484" s="32" t="str">
        <f t="shared" si="14"/>
        <v>1.25" PE STUB</v>
      </c>
      <c r="H484" s="278" t="s">
        <v>461</v>
      </c>
      <c r="I484" s="32" t="s">
        <v>462</v>
      </c>
      <c r="J484" s="279">
        <v>233</v>
      </c>
      <c r="K484" s="280">
        <v>304877.2</v>
      </c>
      <c r="L484" s="280">
        <v>27139.29</v>
      </c>
      <c r="M484" s="280">
        <v>277737.90999999997</v>
      </c>
      <c r="N484" s="281">
        <v>491</v>
      </c>
      <c r="O484" s="282">
        <v>529</v>
      </c>
      <c r="P484" s="280">
        <f t="shared" si="15"/>
        <v>328472.58411405294</v>
      </c>
    </row>
    <row r="485" spans="1:16" x14ac:dyDescent="0.2">
      <c r="A485" s="32" t="s">
        <v>603</v>
      </c>
      <c r="B485" s="32" t="s">
        <v>576</v>
      </c>
      <c r="C485" s="32" t="s">
        <v>577</v>
      </c>
      <c r="D485" s="32" t="s">
        <v>599</v>
      </c>
      <c r="E485" s="32" t="s">
        <v>556</v>
      </c>
      <c r="F485" s="32" t="s">
        <v>584</v>
      </c>
      <c r="G485" s="32" t="str">
        <f t="shared" si="14"/>
        <v>1.25" PE STUB</v>
      </c>
      <c r="H485" s="278" t="s">
        <v>461</v>
      </c>
      <c r="I485" s="32" t="s">
        <v>462</v>
      </c>
      <c r="J485" s="279">
        <v>471</v>
      </c>
      <c r="K485" s="280">
        <v>1054276.1299999999</v>
      </c>
      <c r="L485" s="280">
        <v>93848.61</v>
      </c>
      <c r="M485" s="280">
        <v>960427.52000000002</v>
      </c>
      <c r="N485" s="281">
        <v>491</v>
      </c>
      <c r="O485" s="282">
        <v>529</v>
      </c>
      <c r="P485" s="280">
        <f t="shared" si="15"/>
        <v>1135869.8019755599</v>
      </c>
    </row>
    <row r="486" spans="1:16" x14ac:dyDescent="0.2">
      <c r="A486" s="32" t="s">
        <v>603</v>
      </c>
      <c r="B486" s="32" t="s">
        <v>576</v>
      </c>
      <c r="C486" s="32" t="s">
        <v>577</v>
      </c>
      <c r="D486" s="32" t="s">
        <v>599</v>
      </c>
      <c r="E486" s="32" t="s">
        <v>556</v>
      </c>
      <c r="F486" s="32" t="s">
        <v>584</v>
      </c>
      <c r="G486" s="32" t="str">
        <f t="shared" si="14"/>
        <v>1.25" PE STUB</v>
      </c>
      <c r="H486" s="278" t="s">
        <v>468</v>
      </c>
      <c r="I486" s="32" t="s">
        <v>462</v>
      </c>
      <c r="J486" s="279">
        <v>14</v>
      </c>
      <c r="K486" s="280">
        <v>23511.57</v>
      </c>
      <c r="L486" s="280">
        <v>1300.19</v>
      </c>
      <c r="M486" s="280">
        <v>22211.38</v>
      </c>
      <c r="N486" s="281">
        <v>517</v>
      </c>
      <c r="O486" s="282">
        <v>529</v>
      </c>
      <c r="P486" s="280">
        <f t="shared" si="15"/>
        <v>24057.293094777564</v>
      </c>
    </row>
    <row r="487" spans="1:16" x14ac:dyDescent="0.2">
      <c r="A487" s="32" t="s">
        <v>603</v>
      </c>
      <c r="B487" s="32" t="s">
        <v>576</v>
      </c>
      <c r="C487" s="32" t="s">
        <v>577</v>
      </c>
      <c r="D487" s="32" t="s">
        <v>599</v>
      </c>
      <c r="E487" s="32" t="s">
        <v>556</v>
      </c>
      <c r="F487" s="32" t="s">
        <v>584</v>
      </c>
      <c r="G487" s="32" t="str">
        <f t="shared" si="14"/>
        <v>1.25" PE STUB</v>
      </c>
      <c r="H487" s="278" t="s">
        <v>468</v>
      </c>
      <c r="I487" s="32" t="s">
        <v>462</v>
      </c>
      <c r="J487" s="279">
        <v>15</v>
      </c>
      <c r="K487" s="280">
        <v>26729.200000000001</v>
      </c>
      <c r="L487" s="280">
        <v>1478.12</v>
      </c>
      <c r="M487" s="280">
        <v>25251.08</v>
      </c>
      <c r="N487" s="281">
        <v>517</v>
      </c>
      <c r="O487" s="282">
        <v>529</v>
      </c>
      <c r="P487" s="280">
        <f t="shared" si="15"/>
        <v>27349.60696324952</v>
      </c>
    </row>
    <row r="488" spans="1:16" x14ac:dyDescent="0.2">
      <c r="A488" s="32" t="s">
        <v>603</v>
      </c>
      <c r="B488" s="32" t="s">
        <v>576</v>
      </c>
      <c r="C488" s="32" t="s">
        <v>577</v>
      </c>
      <c r="D488" s="32" t="s">
        <v>599</v>
      </c>
      <c r="E488" s="32" t="s">
        <v>556</v>
      </c>
      <c r="F488" s="32" t="s">
        <v>584</v>
      </c>
      <c r="G488" s="32" t="str">
        <f t="shared" si="14"/>
        <v>1.25" PE STUB</v>
      </c>
      <c r="H488" s="278" t="s">
        <v>468</v>
      </c>
      <c r="I488" s="32" t="s">
        <v>462</v>
      </c>
      <c r="J488" s="279">
        <v>48</v>
      </c>
      <c r="K488" s="280">
        <v>93628.97</v>
      </c>
      <c r="L488" s="280">
        <v>5177.68</v>
      </c>
      <c r="M488" s="280">
        <v>88451.29</v>
      </c>
      <c r="N488" s="281">
        <v>517</v>
      </c>
      <c r="O488" s="282">
        <v>529</v>
      </c>
      <c r="P488" s="280">
        <f t="shared" si="15"/>
        <v>95802.17626692458</v>
      </c>
    </row>
    <row r="489" spans="1:16" x14ac:dyDescent="0.2">
      <c r="A489" s="32" t="s">
        <v>603</v>
      </c>
      <c r="B489" s="32" t="s">
        <v>576</v>
      </c>
      <c r="C489" s="32" t="s">
        <v>577</v>
      </c>
      <c r="D489" s="32" t="s">
        <v>599</v>
      </c>
      <c r="E489" s="32" t="s">
        <v>556</v>
      </c>
      <c r="F489" s="32" t="s">
        <v>584</v>
      </c>
      <c r="G489" s="32" t="str">
        <f t="shared" si="14"/>
        <v>1.25" PE STUB</v>
      </c>
      <c r="H489" s="278" t="s">
        <v>468</v>
      </c>
      <c r="I489" s="32" t="s">
        <v>462</v>
      </c>
      <c r="J489" s="279">
        <v>176</v>
      </c>
      <c r="K489" s="280">
        <v>388838.25</v>
      </c>
      <c r="L489" s="280">
        <v>21502.73</v>
      </c>
      <c r="M489" s="280">
        <v>367335.52</v>
      </c>
      <c r="N489" s="281">
        <v>517</v>
      </c>
      <c r="O489" s="282">
        <v>529</v>
      </c>
      <c r="P489" s="280">
        <f t="shared" si="15"/>
        <v>397863.50918762089</v>
      </c>
    </row>
    <row r="490" spans="1:16" x14ac:dyDescent="0.2">
      <c r="A490" s="32" t="s">
        <v>603</v>
      </c>
      <c r="B490" s="32" t="s">
        <v>576</v>
      </c>
      <c r="C490" s="32" t="s">
        <v>577</v>
      </c>
      <c r="D490" s="32" t="s">
        <v>599</v>
      </c>
      <c r="E490" s="32" t="s">
        <v>556</v>
      </c>
      <c r="F490" s="32" t="s">
        <v>584</v>
      </c>
      <c r="G490" s="32" t="str">
        <f t="shared" si="14"/>
        <v>1.25" PE STUB</v>
      </c>
      <c r="H490" s="278" t="s">
        <v>468</v>
      </c>
      <c r="I490" s="32" t="s">
        <v>462</v>
      </c>
      <c r="J490" s="279">
        <v>179</v>
      </c>
      <c r="K490" s="280">
        <v>554248.12</v>
      </c>
      <c r="L490" s="280">
        <v>30649.89</v>
      </c>
      <c r="M490" s="280">
        <v>523598.23</v>
      </c>
      <c r="N490" s="281">
        <v>517</v>
      </c>
      <c r="O490" s="282">
        <v>529</v>
      </c>
      <c r="P490" s="280">
        <f t="shared" si="15"/>
        <v>567112.67984526115</v>
      </c>
    </row>
    <row r="491" spans="1:16" x14ac:dyDescent="0.2">
      <c r="A491" s="32" t="s">
        <v>603</v>
      </c>
      <c r="B491" s="32" t="s">
        <v>576</v>
      </c>
      <c r="C491" s="32" t="s">
        <v>577</v>
      </c>
      <c r="D491" s="32" t="s">
        <v>599</v>
      </c>
      <c r="E491" s="32" t="s">
        <v>556</v>
      </c>
      <c r="F491" s="32" t="s">
        <v>584</v>
      </c>
      <c r="G491" s="32" t="str">
        <f t="shared" si="14"/>
        <v>1.25" PE STUB</v>
      </c>
      <c r="H491" s="278" t="s">
        <v>468</v>
      </c>
      <c r="I491" s="32" t="s">
        <v>462</v>
      </c>
      <c r="J491" s="279">
        <v>595</v>
      </c>
      <c r="K491" s="280">
        <v>1789705</v>
      </c>
      <c r="L491" s="280">
        <v>98970.58</v>
      </c>
      <c r="M491" s="280">
        <v>1690734.42</v>
      </c>
      <c r="N491" s="281">
        <v>517</v>
      </c>
      <c r="O491" s="282">
        <v>529</v>
      </c>
      <c r="P491" s="280">
        <f t="shared" si="15"/>
        <v>1831245.5415860736</v>
      </c>
    </row>
    <row r="492" spans="1:16" x14ac:dyDescent="0.2">
      <c r="A492" s="32" t="s">
        <v>603</v>
      </c>
      <c r="B492" s="32" t="s">
        <v>576</v>
      </c>
      <c r="C492" s="32" t="s">
        <v>577</v>
      </c>
      <c r="D492" s="32" t="s">
        <v>599</v>
      </c>
      <c r="E492" s="32" t="s">
        <v>556</v>
      </c>
      <c r="F492" s="32" t="s">
        <v>584</v>
      </c>
      <c r="G492" s="32" t="str">
        <f t="shared" si="14"/>
        <v>1.25" PE STUB</v>
      </c>
      <c r="H492" s="278" t="s">
        <v>469</v>
      </c>
      <c r="I492" s="32" t="s">
        <v>462</v>
      </c>
      <c r="J492" s="279">
        <v>8</v>
      </c>
      <c r="K492" s="280">
        <v>14489.85</v>
      </c>
      <c r="L492" s="280">
        <v>284.89</v>
      </c>
      <c r="M492" s="280">
        <v>14204.96</v>
      </c>
      <c r="N492" s="281">
        <v>529</v>
      </c>
      <c r="O492" s="282">
        <v>529</v>
      </c>
      <c r="P492" s="280">
        <f t="shared" si="15"/>
        <v>14489.85</v>
      </c>
    </row>
    <row r="493" spans="1:16" x14ac:dyDescent="0.2">
      <c r="A493" s="32" t="s">
        <v>603</v>
      </c>
      <c r="B493" s="32" t="s">
        <v>576</v>
      </c>
      <c r="C493" s="32" t="s">
        <v>577</v>
      </c>
      <c r="D493" s="32" t="s">
        <v>599</v>
      </c>
      <c r="E493" s="32" t="s">
        <v>556</v>
      </c>
      <c r="F493" s="32" t="s">
        <v>584</v>
      </c>
      <c r="G493" s="32" t="str">
        <f t="shared" si="14"/>
        <v>1.25" PE STUB</v>
      </c>
      <c r="H493" s="278" t="s">
        <v>469</v>
      </c>
      <c r="I493" s="32" t="s">
        <v>462</v>
      </c>
      <c r="J493" s="279">
        <v>9</v>
      </c>
      <c r="K493" s="280">
        <v>27410.01</v>
      </c>
      <c r="L493" s="280">
        <v>538.91999999999996</v>
      </c>
      <c r="M493" s="280">
        <v>26871.09</v>
      </c>
      <c r="N493" s="281">
        <v>529</v>
      </c>
      <c r="O493" s="282">
        <v>529</v>
      </c>
      <c r="P493" s="280">
        <f t="shared" si="15"/>
        <v>27410.01</v>
      </c>
    </row>
    <row r="494" spans="1:16" x14ac:dyDescent="0.2">
      <c r="A494" s="32" t="s">
        <v>603</v>
      </c>
      <c r="B494" s="32" t="s">
        <v>576</v>
      </c>
      <c r="C494" s="32" t="s">
        <v>577</v>
      </c>
      <c r="D494" s="32" t="s">
        <v>599</v>
      </c>
      <c r="E494" s="32" t="s">
        <v>556</v>
      </c>
      <c r="F494" s="32" t="s">
        <v>584</v>
      </c>
      <c r="G494" s="32" t="str">
        <f t="shared" si="14"/>
        <v>1.25" PE STUB</v>
      </c>
      <c r="H494" s="278" t="s">
        <v>469</v>
      </c>
      <c r="I494" s="32" t="s">
        <v>462</v>
      </c>
      <c r="J494" s="279">
        <v>25</v>
      </c>
      <c r="K494" s="280">
        <v>68172.429999999993</v>
      </c>
      <c r="L494" s="280">
        <v>1340.37</v>
      </c>
      <c r="M494" s="280">
        <v>66832.06</v>
      </c>
      <c r="N494" s="281">
        <v>529</v>
      </c>
      <c r="O494" s="282">
        <v>529</v>
      </c>
      <c r="P494" s="280">
        <f t="shared" si="15"/>
        <v>68172.429999999993</v>
      </c>
    </row>
    <row r="495" spans="1:16" x14ac:dyDescent="0.2">
      <c r="A495" s="32" t="s">
        <v>603</v>
      </c>
      <c r="B495" s="32" t="s">
        <v>576</v>
      </c>
      <c r="C495" s="32" t="s">
        <v>577</v>
      </c>
      <c r="D495" s="32" t="s">
        <v>599</v>
      </c>
      <c r="E495" s="32" t="s">
        <v>556</v>
      </c>
      <c r="F495" s="32" t="s">
        <v>584</v>
      </c>
      <c r="G495" s="32" t="str">
        <f t="shared" si="14"/>
        <v>1.25" PE STUB</v>
      </c>
      <c r="H495" s="278" t="s">
        <v>469</v>
      </c>
      <c r="I495" s="32" t="s">
        <v>462</v>
      </c>
      <c r="J495" s="279">
        <v>64</v>
      </c>
      <c r="K495" s="280">
        <v>260833.44</v>
      </c>
      <c r="L495" s="280">
        <v>5128.3500000000004</v>
      </c>
      <c r="M495" s="280">
        <v>255705.09</v>
      </c>
      <c r="N495" s="281">
        <v>529</v>
      </c>
      <c r="O495" s="282">
        <v>529</v>
      </c>
      <c r="P495" s="280">
        <f t="shared" si="15"/>
        <v>260833.44</v>
      </c>
    </row>
    <row r="496" spans="1:16" x14ac:dyDescent="0.2">
      <c r="A496" s="32" t="s">
        <v>603</v>
      </c>
      <c r="B496" s="32" t="s">
        <v>576</v>
      </c>
      <c r="C496" s="32" t="s">
        <v>577</v>
      </c>
      <c r="D496" s="32" t="s">
        <v>599</v>
      </c>
      <c r="E496" s="32" t="s">
        <v>556</v>
      </c>
      <c r="F496" s="32" t="s">
        <v>584</v>
      </c>
      <c r="G496" s="32" t="str">
        <f t="shared" si="14"/>
        <v>1.25" PE STUB</v>
      </c>
      <c r="H496" s="278" t="s">
        <v>469</v>
      </c>
      <c r="I496" s="32" t="s">
        <v>462</v>
      </c>
      <c r="J496" s="279">
        <v>91</v>
      </c>
      <c r="K496" s="280">
        <v>235115.72</v>
      </c>
      <c r="L496" s="280">
        <v>4622.71</v>
      </c>
      <c r="M496" s="280">
        <v>230493.01</v>
      </c>
      <c r="N496" s="281">
        <v>529</v>
      </c>
      <c r="O496" s="282">
        <v>529</v>
      </c>
      <c r="P496" s="280">
        <f t="shared" si="15"/>
        <v>235115.72</v>
      </c>
    </row>
    <row r="497" spans="1:16" x14ac:dyDescent="0.2">
      <c r="A497" s="32" t="s">
        <v>603</v>
      </c>
      <c r="B497" s="32" t="s">
        <v>576</v>
      </c>
      <c r="C497" s="32" t="s">
        <v>577</v>
      </c>
      <c r="D497" s="32" t="s">
        <v>599</v>
      </c>
      <c r="E497" s="32" t="s">
        <v>556</v>
      </c>
      <c r="F497" s="32" t="s">
        <v>584</v>
      </c>
      <c r="G497" s="32" t="str">
        <f t="shared" si="14"/>
        <v>1.25" PE STUB</v>
      </c>
      <c r="H497" s="278" t="s">
        <v>469</v>
      </c>
      <c r="I497" s="32" t="s">
        <v>462</v>
      </c>
      <c r="J497" s="279">
        <v>357</v>
      </c>
      <c r="K497" s="280">
        <v>1340987.44</v>
      </c>
      <c r="L497" s="280">
        <v>26365.7</v>
      </c>
      <c r="M497" s="280">
        <v>1314621.74</v>
      </c>
      <c r="N497" s="281">
        <v>529</v>
      </c>
      <c r="O497" s="282">
        <v>529</v>
      </c>
      <c r="P497" s="280">
        <f t="shared" si="15"/>
        <v>1340987.44</v>
      </c>
    </row>
    <row r="498" spans="1:16" x14ac:dyDescent="0.2">
      <c r="A498" s="32" t="s">
        <v>604</v>
      </c>
      <c r="B498" s="32" t="s">
        <v>576</v>
      </c>
      <c r="C498" s="32" t="s">
        <v>577</v>
      </c>
      <c r="D498" s="32" t="s">
        <v>599</v>
      </c>
      <c r="E498" s="32" t="s">
        <v>556</v>
      </c>
      <c r="F498" s="32" t="s">
        <v>584</v>
      </c>
      <c r="G498" s="32" t="str">
        <f t="shared" si="14"/>
        <v>1.25" PE STUB</v>
      </c>
      <c r="H498" s="278" t="s">
        <v>526</v>
      </c>
      <c r="I498" s="32" t="s">
        <v>462</v>
      </c>
      <c r="J498" s="279">
        <v>36</v>
      </c>
      <c r="K498" s="280">
        <v>10872.78</v>
      </c>
      <c r="L498" s="280">
        <v>10530.41</v>
      </c>
      <c r="M498" s="280">
        <v>342.37</v>
      </c>
      <c r="N498" s="281">
        <v>149</v>
      </c>
      <c r="O498" s="282">
        <v>529</v>
      </c>
      <c r="P498" s="280">
        <f t="shared" si="15"/>
        <v>38602.017583892615</v>
      </c>
    </row>
    <row r="499" spans="1:16" x14ac:dyDescent="0.2">
      <c r="A499" s="32" t="s">
        <v>604</v>
      </c>
      <c r="B499" s="32" t="s">
        <v>576</v>
      </c>
      <c r="C499" s="32" t="s">
        <v>577</v>
      </c>
      <c r="D499" s="32" t="s">
        <v>599</v>
      </c>
      <c r="E499" s="32" t="s">
        <v>556</v>
      </c>
      <c r="F499" s="32" t="s">
        <v>584</v>
      </c>
      <c r="G499" s="32" t="str">
        <f t="shared" si="14"/>
        <v>1.25" PE STUB</v>
      </c>
      <c r="H499" s="278" t="s">
        <v>486</v>
      </c>
      <c r="I499" s="32" t="s">
        <v>462</v>
      </c>
      <c r="J499" s="279">
        <v>41</v>
      </c>
      <c r="K499" s="280">
        <v>17275.21</v>
      </c>
      <c r="L499" s="280">
        <v>16536.86</v>
      </c>
      <c r="M499" s="280">
        <v>738.35</v>
      </c>
      <c r="N499" s="281">
        <v>160</v>
      </c>
      <c r="O499" s="282">
        <v>529</v>
      </c>
      <c r="P499" s="280">
        <f t="shared" si="15"/>
        <v>57116.163062499996</v>
      </c>
    </row>
    <row r="500" spans="1:16" x14ac:dyDescent="0.2">
      <c r="A500" s="32" t="s">
        <v>604</v>
      </c>
      <c r="B500" s="32" t="s">
        <v>576</v>
      </c>
      <c r="C500" s="32" t="s">
        <v>577</v>
      </c>
      <c r="D500" s="32" t="s">
        <v>599</v>
      </c>
      <c r="E500" s="32" t="s">
        <v>556</v>
      </c>
      <c r="F500" s="32" t="s">
        <v>584</v>
      </c>
      <c r="G500" s="32" t="str">
        <f t="shared" si="14"/>
        <v>1.25" PE STUB</v>
      </c>
      <c r="H500" s="278" t="s">
        <v>519</v>
      </c>
      <c r="I500" s="32" t="s">
        <v>462</v>
      </c>
      <c r="J500" s="279">
        <v>174</v>
      </c>
      <c r="K500" s="280">
        <v>48156.75</v>
      </c>
      <c r="L500" s="280">
        <v>45499.16</v>
      </c>
      <c r="M500" s="280">
        <v>2657.59</v>
      </c>
      <c r="N500" s="281">
        <v>172</v>
      </c>
      <c r="O500" s="282">
        <v>529</v>
      </c>
      <c r="P500" s="280">
        <f t="shared" si="15"/>
        <v>148110.00436046513</v>
      </c>
    </row>
    <row r="501" spans="1:16" x14ac:dyDescent="0.2">
      <c r="A501" s="32" t="s">
        <v>604</v>
      </c>
      <c r="B501" s="32" t="s">
        <v>576</v>
      </c>
      <c r="C501" s="32" t="s">
        <v>577</v>
      </c>
      <c r="D501" s="32" t="s">
        <v>599</v>
      </c>
      <c r="E501" s="32" t="s">
        <v>556</v>
      </c>
      <c r="F501" s="32" t="s">
        <v>584</v>
      </c>
      <c r="G501" s="32" t="str">
        <f t="shared" si="14"/>
        <v>1.25" PE STUB</v>
      </c>
      <c r="H501" s="278" t="s">
        <v>521</v>
      </c>
      <c r="I501" s="32" t="s">
        <v>462</v>
      </c>
      <c r="J501" s="279">
        <v>239</v>
      </c>
      <c r="K501" s="280">
        <v>95105.21</v>
      </c>
      <c r="L501" s="280">
        <v>88552.66</v>
      </c>
      <c r="M501" s="280">
        <v>6552.55</v>
      </c>
      <c r="N501" s="281">
        <v>192</v>
      </c>
      <c r="O501" s="282">
        <v>529</v>
      </c>
      <c r="P501" s="280">
        <f t="shared" si="15"/>
        <v>262034.6671354167</v>
      </c>
    </row>
    <row r="502" spans="1:16" x14ac:dyDescent="0.2">
      <c r="A502" s="32" t="s">
        <v>604</v>
      </c>
      <c r="B502" s="32" t="s">
        <v>576</v>
      </c>
      <c r="C502" s="32" t="s">
        <v>577</v>
      </c>
      <c r="D502" s="32" t="s">
        <v>599</v>
      </c>
      <c r="E502" s="32" t="s">
        <v>556</v>
      </c>
      <c r="F502" s="32" t="s">
        <v>584</v>
      </c>
      <c r="G502" s="32" t="str">
        <f t="shared" si="14"/>
        <v>1.25" PE STUB</v>
      </c>
      <c r="H502" s="278" t="s">
        <v>520</v>
      </c>
      <c r="I502" s="32" t="s">
        <v>462</v>
      </c>
      <c r="J502" s="279">
        <v>242</v>
      </c>
      <c r="K502" s="280">
        <v>75218.899999999994</v>
      </c>
      <c r="L502" s="280">
        <v>68904.86</v>
      </c>
      <c r="M502" s="280">
        <v>6314.04</v>
      </c>
      <c r="N502" s="281">
        <v>216</v>
      </c>
      <c r="O502" s="282">
        <v>529</v>
      </c>
      <c r="P502" s="280">
        <f t="shared" si="15"/>
        <v>184216.65787037034</v>
      </c>
    </row>
    <row r="503" spans="1:16" x14ac:dyDescent="0.2">
      <c r="A503" s="32" t="s">
        <v>604</v>
      </c>
      <c r="B503" s="32" t="s">
        <v>576</v>
      </c>
      <c r="C503" s="32" t="s">
        <v>577</v>
      </c>
      <c r="D503" s="32" t="s">
        <v>599</v>
      </c>
      <c r="E503" s="32" t="s">
        <v>556</v>
      </c>
      <c r="F503" s="32" t="s">
        <v>584</v>
      </c>
      <c r="G503" s="32" t="str">
        <f t="shared" si="14"/>
        <v>1.25" PE STUB</v>
      </c>
      <c r="H503" s="278" t="s">
        <v>518</v>
      </c>
      <c r="I503" s="32" t="s">
        <v>462</v>
      </c>
      <c r="J503" s="279">
        <v>108</v>
      </c>
      <c r="K503" s="280">
        <v>73993.66</v>
      </c>
      <c r="L503" s="280">
        <v>66566.17</v>
      </c>
      <c r="M503" s="280">
        <v>7427.49</v>
      </c>
      <c r="N503" s="281">
        <v>238</v>
      </c>
      <c r="O503" s="282">
        <v>529</v>
      </c>
      <c r="P503" s="280">
        <f t="shared" si="15"/>
        <v>164464.89974789918</v>
      </c>
    </row>
    <row r="504" spans="1:16" x14ac:dyDescent="0.2">
      <c r="A504" s="32" t="s">
        <v>604</v>
      </c>
      <c r="B504" s="32" t="s">
        <v>576</v>
      </c>
      <c r="C504" s="32" t="s">
        <v>577</v>
      </c>
      <c r="D504" s="32" t="s">
        <v>599</v>
      </c>
      <c r="E504" s="32" t="s">
        <v>556</v>
      </c>
      <c r="F504" s="32" t="s">
        <v>584</v>
      </c>
      <c r="G504" s="32" t="str">
        <f t="shared" si="14"/>
        <v>1.25" PE STUB</v>
      </c>
      <c r="H504" s="278" t="s">
        <v>517</v>
      </c>
      <c r="I504" s="32" t="s">
        <v>462</v>
      </c>
      <c r="J504" s="279">
        <v>94</v>
      </c>
      <c r="K504" s="280">
        <v>67005.259999999995</v>
      </c>
      <c r="L504" s="280">
        <v>59081.279999999999</v>
      </c>
      <c r="M504" s="280">
        <v>7923.98</v>
      </c>
      <c r="N504" s="281">
        <v>249</v>
      </c>
      <c r="O504" s="282">
        <v>529</v>
      </c>
      <c r="P504" s="280">
        <f t="shared" si="15"/>
        <v>142352.54032128514</v>
      </c>
    </row>
    <row r="505" spans="1:16" x14ac:dyDescent="0.2">
      <c r="A505" s="32" t="s">
        <v>604</v>
      </c>
      <c r="B505" s="32" t="s">
        <v>576</v>
      </c>
      <c r="C505" s="32" t="s">
        <v>577</v>
      </c>
      <c r="D505" s="32" t="s">
        <v>599</v>
      </c>
      <c r="E505" s="32" t="s">
        <v>556</v>
      </c>
      <c r="F505" s="32" t="s">
        <v>584</v>
      </c>
      <c r="G505" s="32" t="str">
        <f t="shared" si="14"/>
        <v>1.25" PE STUB</v>
      </c>
      <c r="H505" s="278" t="s">
        <v>463</v>
      </c>
      <c r="I505" s="32" t="s">
        <v>462</v>
      </c>
      <c r="J505" s="279">
        <v>160</v>
      </c>
      <c r="K505" s="280">
        <v>85664.46</v>
      </c>
      <c r="L505" s="280">
        <v>73874.39</v>
      </c>
      <c r="M505" s="280">
        <v>11790.07</v>
      </c>
      <c r="N505" s="281">
        <v>258</v>
      </c>
      <c r="O505" s="282">
        <v>529</v>
      </c>
      <c r="P505" s="280">
        <f t="shared" si="15"/>
        <v>175645.34627906978</v>
      </c>
    </row>
    <row r="506" spans="1:16" x14ac:dyDescent="0.2">
      <c r="A506" s="32" t="s">
        <v>604</v>
      </c>
      <c r="B506" s="32" t="s">
        <v>576</v>
      </c>
      <c r="C506" s="32" t="s">
        <v>577</v>
      </c>
      <c r="D506" s="32" t="s">
        <v>599</v>
      </c>
      <c r="E506" s="32" t="s">
        <v>556</v>
      </c>
      <c r="F506" s="32" t="s">
        <v>584</v>
      </c>
      <c r="G506" s="32" t="str">
        <f t="shared" si="14"/>
        <v>1.25" PE STUB</v>
      </c>
      <c r="H506" s="278" t="s">
        <v>464</v>
      </c>
      <c r="I506" s="32" t="s">
        <v>462</v>
      </c>
      <c r="J506" s="279">
        <v>248</v>
      </c>
      <c r="K506" s="280">
        <v>133223.89000000001</v>
      </c>
      <c r="L506" s="280">
        <v>112105.85</v>
      </c>
      <c r="M506" s="280">
        <v>21118.04</v>
      </c>
      <c r="N506" s="281">
        <v>263</v>
      </c>
      <c r="O506" s="282">
        <v>529</v>
      </c>
      <c r="P506" s="280">
        <f t="shared" si="15"/>
        <v>267967.44414448674</v>
      </c>
    </row>
    <row r="507" spans="1:16" x14ac:dyDescent="0.2">
      <c r="A507" s="32" t="s">
        <v>604</v>
      </c>
      <c r="B507" s="32" t="s">
        <v>576</v>
      </c>
      <c r="C507" s="32" t="s">
        <v>577</v>
      </c>
      <c r="D507" s="32" t="s">
        <v>599</v>
      </c>
      <c r="E507" s="32" t="s">
        <v>556</v>
      </c>
      <c r="F507" s="32" t="s">
        <v>584</v>
      </c>
      <c r="G507" s="32" t="str">
        <f t="shared" si="14"/>
        <v>1.25" PE STUB</v>
      </c>
      <c r="H507" s="278" t="s">
        <v>515</v>
      </c>
      <c r="I507" s="32" t="s">
        <v>462</v>
      </c>
      <c r="J507" s="279">
        <v>303</v>
      </c>
      <c r="K507" s="280">
        <v>206969.81</v>
      </c>
      <c r="L507" s="280">
        <v>169520.67</v>
      </c>
      <c r="M507" s="280">
        <v>37449.14</v>
      </c>
      <c r="N507" s="281">
        <v>267</v>
      </c>
      <c r="O507" s="282">
        <v>529</v>
      </c>
      <c r="P507" s="280">
        <f t="shared" si="15"/>
        <v>410063.78086142323</v>
      </c>
    </row>
    <row r="508" spans="1:16" x14ac:dyDescent="0.2">
      <c r="A508" s="32" t="s">
        <v>604</v>
      </c>
      <c r="B508" s="32" t="s">
        <v>576</v>
      </c>
      <c r="C508" s="32" t="s">
        <v>577</v>
      </c>
      <c r="D508" s="32" t="s">
        <v>599</v>
      </c>
      <c r="E508" s="32" t="s">
        <v>556</v>
      </c>
      <c r="F508" s="32" t="s">
        <v>584</v>
      </c>
      <c r="G508" s="32" t="str">
        <f t="shared" si="14"/>
        <v>1.25" PE STUB</v>
      </c>
      <c r="H508" s="278" t="s">
        <v>523</v>
      </c>
      <c r="I508" s="32" t="s">
        <v>462</v>
      </c>
      <c r="J508" s="279">
        <v>306</v>
      </c>
      <c r="K508" s="280">
        <v>213495.32</v>
      </c>
      <c r="L508" s="280">
        <v>169748.6</v>
      </c>
      <c r="M508" s="280">
        <v>43746.720000000001</v>
      </c>
      <c r="N508" s="281">
        <v>274</v>
      </c>
      <c r="O508" s="282">
        <v>529</v>
      </c>
      <c r="P508" s="280">
        <f t="shared" si="15"/>
        <v>412186.22000000003</v>
      </c>
    </row>
    <row r="509" spans="1:16" x14ac:dyDescent="0.2">
      <c r="A509" s="32" t="s">
        <v>604</v>
      </c>
      <c r="B509" s="32" t="s">
        <v>576</v>
      </c>
      <c r="C509" s="32" t="s">
        <v>577</v>
      </c>
      <c r="D509" s="32" t="s">
        <v>599</v>
      </c>
      <c r="E509" s="32" t="s">
        <v>556</v>
      </c>
      <c r="F509" s="32" t="s">
        <v>584</v>
      </c>
      <c r="G509" s="32" t="str">
        <f t="shared" si="14"/>
        <v>1.25" PE STUB</v>
      </c>
      <c r="H509" s="278" t="s">
        <v>516</v>
      </c>
      <c r="I509" s="32" t="s">
        <v>462</v>
      </c>
      <c r="J509" s="279">
        <v>367</v>
      </c>
      <c r="K509" s="280">
        <v>269931.18</v>
      </c>
      <c r="L509" s="280">
        <v>207735.88</v>
      </c>
      <c r="M509" s="280">
        <v>62195.3</v>
      </c>
      <c r="N509" s="281">
        <v>281</v>
      </c>
      <c r="O509" s="282">
        <v>529</v>
      </c>
      <c r="P509" s="280">
        <f t="shared" si="15"/>
        <v>508162.25701067614</v>
      </c>
    </row>
    <row r="510" spans="1:16" x14ac:dyDescent="0.2">
      <c r="A510" s="32" t="s">
        <v>604</v>
      </c>
      <c r="B510" s="32" t="s">
        <v>576</v>
      </c>
      <c r="C510" s="32" t="s">
        <v>577</v>
      </c>
      <c r="D510" s="32" t="s">
        <v>599</v>
      </c>
      <c r="E510" s="32" t="s">
        <v>556</v>
      </c>
      <c r="F510" s="32" t="s">
        <v>584</v>
      </c>
      <c r="G510" s="32" t="str">
        <f t="shared" si="14"/>
        <v>1.25" PE STUB</v>
      </c>
      <c r="H510" s="278" t="s">
        <v>466</v>
      </c>
      <c r="I510" s="32" t="s">
        <v>462</v>
      </c>
      <c r="J510" s="279">
        <v>427</v>
      </c>
      <c r="K510" s="280">
        <v>250823.32</v>
      </c>
      <c r="L510" s="280">
        <v>186257.13</v>
      </c>
      <c r="M510" s="280">
        <v>64566.19</v>
      </c>
      <c r="N510" s="281">
        <v>290</v>
      </c>
      <c r="O510" s="282">
        <v>529</v>
      </c>
      <c r="P510" s="280">
        <f t="shared" si="15"/>
        <v>457536.33199999999</v>
      </c>
    </row>
    <row r="511" spans="1:16" x14ac:dyDescent="0.2">
      <c r="A511" s="32" t="s">
        <v>604</v>
      </c>
      <c r="B511" s="32" t="s">
        <v>576</v>
      </c>
      <c r="C511" s="32" t="s">
        <v>577</v>
      </c>
      <c r="D511" s="32" t="s">
        <v>599</v>
      </c>
      <c r="E511" s="32" t="s">
        <v>556</v>
      </c>
      <c r="F511" s="32" t="s">
        <v>584</v>
      </c>
      <c r="G511" s="32" t="str">
        <f t="shared" si="14"/>
        <v>1.25" PE STUB</v>
      </c>
      <c r="H511" s="278" t="s">
        <v>489</v>
      </c>
      <c r="I511" s="32" t="s">
        <v>462</v>
      </c>
      <c r="J511" s="279">
        <v>533</v>
      </c>
      <c r="K511" s="280">
        <v>310752.17</v>
      </c>
      <c r="L511" s="280">
        <v>221910.59</v>
      </c>
      <c r="M511" s="280">
        <v>88841.58</v>
      </c>
      <c r="N511" s="281">
        <v>296</v>
      </c>
      <c r="O511" s="282">
        <v>529</v>
      </c>
      <c r="P511" s="280">
        <f t="shared" si="15"/>
        <v>555364.52003378375</v>
      </c>
    </row>
    <row r="512" spans="1:16" x14ac:dyDescent="0.2">
      <c r="A512" s="32" t="s">
        <v>604</v>
      </c>
      <c r="B512" s="32" t="s">
        <v>576</v>
      </c>
      <c r="C512" s="32" t="s">
        <v>577</v>
      </c>
      <c r="D512" s="32" t="s">
        <v>599</v>
      </c>
      <c r="E512" s="32" t="s">
        <v>556</v>
      </c>
      <c r="F512" s="32" t="s">
        <v>584</v>
      </c>
      <c r="G512" s="32" t="str">
        <f t="shared" si="14"/>
        <v>1.25" PE STUB</v>
      </c>
      <c r="H512" s="278" t="s">
        <v>465</v>
      </c>
      <c r="I512" s="32" t="s">
        <v>462</v>
      </c>
      <c r="J512" s="279">
        <v>556</v>
      </c>
      <c r="K512" s="280">
        <v>429628.96</v>
      </c>
      <c r="L512" s="280">
        <v>293964.40000000002</v>
      </c>
      <c r="M512" s="280">
        <v>135664.56</v>
      </c>
      <c r="N512" s="281">
        <v>307</v>
      </c>
      <c r="O512" s="282">
        <v>529</v>
      </c>
      <c r="P512" s="280">
        <f t="shared" si="15"/>
        <v>740305.27635179157</v>
      </c>
    </row>
    <row r="513" spans="1:16" x14ac:dyDescent="0.2">
      <c r="A513" s="32" t="s">
        <v>604</v>
      </c>
      <c r="B513" s="32" t="s">
        <v>576</v>
      </c>
      <c r="C513" s="32" t="s">
        <v>577</v>
      </c>
      <c r="D513" s="32" t="s">
        <v>599</v>
      </c>
      <c r="E513" s="32" t="s">
        <v>556</v>
      </c>
      <c r="F513" s="32" t="s">
        <v>584</v>
      </c>
      <c r="G513" s="32" t="str">
        <f t="shared" si="14"/>
        <v>1.25" PE STUB</v>
      </c>
      <c r="H513" s="278" t="s">
        <v>490</v>
      </c>
      <c r="I513" s="32" t="s">
        <v>462</v>
      </c>
      <c r="J513" s="279">
        <v>512</v>
      </c>
      <c r="K513" s="280">
        <v>382768.67</v>
      </c>
      <c r="L513" s="280">
        <v>249958.54</v>
      </c>
      <c r="M513" s="280">
        <v>132810.13</v>
      </c>
      <c r="N513" s="281">
        <v>310</v>
      </c>
      <c r="O513" s="282">
        <v>529</v>
      </c>
      <c r="P513" s="280">
        <f t="shared" si="15"/>
        <v>653176.21429032262</v>
      </c>
    </row>
    <row r="514" spans="1:16" x14ac:dyDescent="0.2">
      <c r="A514" s="32" t="s">
        <v>604</v>
      </c>
      <c r="B514" s="32" t="s">
        <v>576</v>
      </c>
      <c r="C514" s="32" t="s">
        <v>577</v>
      </c>
      <c r="D514" s="32" t="s">
        <v>599</v>
      </c>
      <c r="E514" s="32" t="s">
        <v>556</v>
      </c>
      <c r="F514" s="32" t="s">
        <v>584</v>
      </c>
      <c r="G514" s="32" t="str">
        <f t="shared" ref="G514:G577" si="16">D514&amp;" "&amp;E514&amp;" "&amp;F514</f>
        <v>1.25" PE STUB</v>
      </c>
      <c r="H514" s="278" t="s">
        <v>491</v>
      </c>
      <c r="I514" s="32" t="s">
        <v>462</v>
      </c>
      <c r="J514" s="279">
        <v>681</v>
      </c>
      <c r="K514" s="280">
        <v>498546.14</v>
      </c>
      <c r="L514" s="280">
        <v>309393.8</v>
      </c>
      <c r="M514" s="280">
        <v>189152.34</v>
      </c>
      <c r="N514" s="281">
        <v>319</v>
      </c>
      <c r="O514" s="282">
        <v>529</v>
      </c>
      <c r="P514" s="280">
        <f t="shared" ref="P514:P577" si="17">+(O514/N514)*K514</f>
        <v>826742.65849529789</v>
      </c>
    </row>
    <row r="515" spans="1:16" x14ac:dyDescent="0.2">
      <c r="A515" s="32" t="s">
        <v>604</v>
      </c>
      <c r="B515" s="32" t="s">
        <v>576</v>
      </c>
      <c r="C515" s="32" t="s">
        <v>577</v>
      </c>
      <c r="D515" s="32" t="s">
        <v>599</v>
      </c>
      <c r="E515" s="32" t="s">
        <v>556</v>
      </c>
      <c r="F515" s="32" t="s">
        <v>584</v>
      </c>
      <c r="G515" s="32" t="str">
        <f t="shared" si="16"/>
        <v>1.25" PE STUB</v>
      </c>
      <c r="H515" s="278" t="s">
        <v>514</v>
      </c>
      <c r="I515" s="32" t="s">
        <v>462</v>
      </c>
      <c r="J515" s="279">
        <v>1004</v>
      </c>
      <c r="K515" s="280">
        <v>652248.31000000006</v>
      </c>
      <c r="L515" s="280">
        <v>382903.8</v>
      </c>
      <c r="M515" s="280">
        <v>269344.51</v>
      </c>
      <c r="N515" s="281">
        <v>326</v>
      </c>
      <c r="O515" s="282">
        <v>529</v>
      </c>
      <c r="P515" s="280">
        <f t="shared" si="17"/>
        <v>1058402.9324846626</v>
      </c>
    </row>
    <row r="516" spans="1:16" x14ac:dyDescent="0.2">
      <c r="A516" s="32" t="s">
        <v>604</v>
      </c>
      <c r="B516" s="32" t="s">
        <v>576</v>
      </c>
      <c r="C516" s="32" t="s">
        <v>577</v>
      </c>
      <c r="D516" s="32" t="s">
        <v>599</v>
      </c>
      <c r="E516" s="32" t="s">
        <v>556</v>
      </c>
      <c r="F516" s="32" t="s">
        <v>584</v>
      </c>
      <c r="G516" s="32" t="str">
        <f t="shared" si="16"/>
        <v>1.25" PE STUB</v>
      </c>
      <c r="H516" s="278" t="s">
        <v>513</v>
      </c>
      <c r="I516" s="32" t="s">
        <v>462</v>
      </c>
      <c r="J516" s="279">
        <v>574</v>
      </c>
      <c r="K516" s="280">
        <v>508275.71</v>
      </c>
      <c r="L516" s="280">
        <v>280837.81</v>
      </c>
      <c r="M516" s="280">
        <v>227437.9</v>
      </c>
      <c r="N516" s="281">
        <v>338</v>
      </c>
      <c r="O516" s="282">
        <v>529</v>
      </c>
      <c r="P516" s="280">
        <f t="shared" si="17"/>
        <v>795496.59937869827</v>
      </c>
    </row>
    <row r="517" spans="1:16" x14ac:dyDescent="0.2">
      <c r="A517" s="32" t="s">
        <v>604</v>
      </c>
      <c r="B517" s="32" t="s">
        <v>576</v>
      </c>
      <c r="C517" s="32" t="s">
        <v>577</v>
      </c>
      <c r="D517" s="32" t="s">
        <v>599</v>
      </c>
      <c r="E517" s="32" t="s">
        <v>556</v>
      </c>
      <c r="F517" s="32" t="s">
        <v>584</v>
      </c>
      <c r="G517" s="32" t="str">
        <f t="shared" si="16"/>
        <v>1.25" PE STUB</v>
      </c>
      <c r="H517" s="278" t="s">
        <v>467</v>
      </c>
      <c r="I517" s="32" t="s">
        <v>462</v>
      </c>
      <c r="J517" s="279">
        <v>1103</v>
      </c>
      <c r="K517" s="280">
        <v>780110.51</v>
      </c>
      <c r="L517" s="280">
        <v>403453.64</v>
      </c>
      <c r="M517" s="280">
        <v>376656.87</v>
      </c>
      <c r="N517" s="281">
        <v>344</v>
      </c>
      <c r="O517" s="282">
        <v>529</v>
      </c>
      <c r="P517" s="280">
        <f t="shared" si="17"/>
        <v>1199646.6854360467</v>
      </c>
    </row>
    <row r="518" spans="1:16" x14ac:dyDescent="0.2">
      <c r="A518" s="32" t="s">
        <v>604</v>
      </c>
      <c r="B518" s="32" t="s">
        <v>576</v>
      </c>
      <c r="C518" s="32" t="s">
        <v>577</v>
      </c>
      <c r="D518" s="32" t="s">
        <v>599</v>
      </c>
      <c r="E518" s="32" t="s">
        <v>556</v>
      </c>
      <c r="F518" s="32" t="s">
        <v>584</v>
      </c>
      <c r="G518" s="32" t="str">
        <f t="shared" si="16"/>
        <v>1.25" PE STUB</v>
      </c>
      <c r="H518" s="278" t="s">
        <v>473</v>
      </c>
      <c r="I518" s="32" t="s">
        <v>462</v>
      </c>
      <c r="J518" s="279">
        <v>103</v>
      </c>
      <c r="K518" s="280">
        <v>69711.5</v>
      </c>
      <c r="L518" s="280">
        <v>33542.050000000003</v>
      </c>
      <c r="M518" s="280">
        <v>36169.449999999997</v>
      </c>
      <c r="N518" s="281">
        <v>351</v>
      </c>
      <c r="O518" s="282">
        <v>529</v>
      </c>
      <c r="P518" s="280">
        <f t="shared" si="17"/>
        <v>105063.77065527067</v>
      </c>
    </row>
    <row r="519" spans="1:16" x14ac:dyDescent="0.2">
      <c r="A519" s="32" t="s">
        <v>604</v>
      </c>
      <c r="B519" s="32" t="s">
        <v>576</v>
      </c>
      <c r="C519" s="32" t="s">
        <v>577</v>
      </c>
      <c r="D519" s="32" t="s">
        <v>599</v>
      </c>
      <c r="E519" s="32" t="s">
        <v>556</v>
      </c>
      <c r="F519" s="32" t="s">
        <v>584</v>
      </c>
      <c r="G519" s="32" t="str">
        <f t="shared" si="16"/>
        <v>1.25" PE STUB</v>
      </c>
      <c r="H519" s="278" t="s">
        <v>479</v>
      </c>
      <c r="I519" s="32" t="s">
        <v>462</v>
      </c>
      <c r="J519" s="279">
        <v>77</v>
      </c>
      <c r="K519" s="280">
        <v>24043.32</v>
      </c>
      <c r="L519" s="280">
        <v>10690.59</v>
      </c>
      <c r="M519" s="280">
        <v>13352.73</v>
      </c>
      <c r="N519" s="281">
        <v>357</v>
      </c>
      <c r="O519" s="282">
        <v>529</v>
      </c>
      <c r="P519" s="280">
        <f t="shared" si="17"/>
        <v>35627.216470588239</v>
      </c>
    </row>
    <row r="520" spans="1:16" x14ac:dyDescent="0.2">
      <c r="A520" s="32" t="s">
        <v>604</v>
      </c>
      <c r="B520" s="32" t="s">
        <v>576</v>
      </c>
      <c r="C520" s="32" t="s">
        <v>577</v>
      </c>
      <c r="D520" s="32" t="s">
        <v>599</v>
      </c>
      <c r="E520" s="32" t="s">
        <v>556</v>
      </c>
      <c r="F520" s="32" t="s">
        <v>584</v>
      </c>
      <c r="G520" s="32" t="str">
        <f t="shared" si="16"/>
        <v>1.25" PE STUB</v>
      </c>
      <c r="H520" s="278" t="s">
        <v>480</v>
      </c>
      <c r="I520" s="32" t="s">
        <v>462</v>
      </c>
      <c r="J520" s="279">
        <v>46</v>
      </c>
      <c r="K520" s="280">
        <v>44870.21</v>
      </c>
      <c r="L520" s="280">
        <v>18298.939999999999</v>
      </c>
      <c r="M520" s="280">
        <v>26571.27</v>
      </c>
      <c r="N520" s="281">
        <v>365</v>
      </c>
      <c r="O520" s="282">
        <v>529</v>
      </c>
      <c r="P520" s="280">
        <f t="shared" si="17"/>
        <v>65031.071479452054</v>
      </c>
    </row>
    <row r="521" spans="1:16" x14ac:dyDescent="0.2">
      <c r="A521" s="32" t="s">
        <v>604</v>
      </c>
      <c r="B521" s="32" t="s">
        <v>576</v>
      </c>
      <c r="C521" s="32" t="s">
        <v>577</v>
      </c>
      <c r="D521" s="32" t="s">
        <v>599</v>
      </c>
      <c r="E521" s="32" t="s">
        <v>556</v>
      </c>
      <c r="F521" s="32" t="s">
        <v>584</v>
      </c>
      <c r="G521" s="32" t="str">
        <f t="shared" si="16"/>
        <v>1.25" PE STUB</v>
      </c>
      <c r="H521" s="278" t="s">
        <v>472</v>
      </c>
      <c r="I521" s="32" t="s">
        <v>462</v>
      </c>
      <c r="J521" s="279">
        <v>407</v>
      </c>
      <c r="K521" s="280">
        <v>59024.49</v>
      </c>
      <c r="L521" s="280">
        <v>21890.85</v>
      </c>
      <c r="M521" s="280">
        <v>37133.64</v>
      </c>
      <c r="N521" s="281">
        <v>370</v>
      </c>
      <c r="O521" s="282">
        <v>529</v>
      </c>
      <c r="P521" s="280">
        <f t="shared" si="17"/>
        <v>84389.068135135138</v>
      </c>
    </row>
    <row r="522" spans="1:16" x14ac:dyDescent="0.2">
      <c r="A522" s="32" t="s">
        <v>604</v>
      </c>
      <c r="B522" s="32" t="s">
        <v>576</v>
      </c>
      <c r="C522" s="32" t="s">
        <v>577</v>
      </c>
      <c r="D522" s="32" t="s">
        <v>599</v>
      </c>
      <c r="E522" s="32" t="s">
        <v>556</v>
      </c>
      <c r="F522" s="32" t="s">
        <v>584</v>
      </c>
      <c r="G522" s="32" t="str">
        <f t="shared" si="16"/>
        <v>1.25" PE STUB</v>
      </c>
      <c r="H522" s="278" t="s">
        <v>478</v>
      </c>
      <c r="I522" s="32" t="s">
        <v>462</v>
      </c>
      <c r="J522" s="279">
        <v>18</v>
      </c>
      <c r="K522" s="280">
        <v>16136.07</v>
      </c>
      <c r="L522" s="280">
        <v>5389.56</v>
      </c>
      <c r="M522" s="280">
        <v>10746.51</v>
      </c>
      <c r="N522" s="281">
        <v>378</v>
      </c>
      <c r="O522" s="282">
        <v>529</v>
      </c>
      <c r="P522" s="280">
        <f t="shared" si="17"/>
        <v>22581.960396825398</v>
      </c>
    </row>
    <row r="523" spans="1:16" x14ac:dyDescent="0.2">
      <c r="A523" s="32" t="s">
        <v>604</v>
      </c>
      <c r="B523" s="32" t="s">
        <v>576</v>
      </c>
      <c r="C523" s="32" t="s">
        <v>577</v>
      </c>
      <c r="D523" s="32" t="s">
        <v>599</v>
      </c>
      <c r="E523" s="32" t="s">
        <v>556</v>
      </c>
      <c r="F523" s="32" t="s">
        <v>584</v>
      </c>
      <c r="G523" s="32" t="str">
        <f t="shared" si="16"/>
        <v>1.25" PE STUB</v>
      </c>
      <c r="H523" s="278" t="s">
        <v>475</v>
      </c>
      <c r="I523" s="32" t="s">
        <v>462</v>
      </c>
      <c r="J523" s="279">
        <v>14</v>
      </c>
      <c r="K523" s="280">
        <v>16454.759999999998</v>
      </c>
      <c r="L523" s="280">
        <v>4893.1899999999996</v>
      </c>
      <c r="M523" s="280">
        <v>11561.57</v>
      </c>
      <c r="N523" s="281">
        <v>393</v>
      </c>
      <c r="O523" s="282">
        <v>529</v>
      </c>
      <c r="P523" s="280">
        <f t="shared" si="17"/>
        <v>22149.02809160305</v>
      </c>
    </row>
    <row r="524" spans="1:16" x14ac:dyDescent="0.2">
      <c r="A524" s="32" t="s">
        <v>605</v>
      </c>
      <c r="B524" s="32" t="s">
        <v>576</v>
      </c>
      <c r="C524" s="32" t="s">
        <v>577</v>
      </c>
      <c r="D524" s="32" t="s">
        <v>599</v>
      </c>
      <c r="E524" s="32" t="s">
        <v>556</v>
      </c>
      <c r="F524" s="32" t="s">
        <v>587</v>
      </c>
      <c r="G524" s="32" t="str">
        <f t="shared" si="16"/>
        <v>1.25" PE TWIN</v>
      </c>
      <c r="H524" s="278" t="s">
        <v>467</v>
      </c>
      <c r="I524" s="32" t="s">
        <v>462</v>
      </c>
      <c r="J524" s="279">
        <v>2</v>
      </c>
      <c r="K524" s="280">
        <v>3130</v>
      </c>
      <c r="L524" s="280">
        <v>1618.76</v>
      </c>
      <c r="M524" s="280">
        <v>1511.24</v>
      </c>
      <c r="N524" s="281">
        <v>344</v>
      </c>
      <c r="O524" s="282">
        <v>529</v>
      </c>
      <c r="P524" s="280">
        <f t="shared" si="17"/>
        <v>4813.2848837209303</v>
      </c>
    </row>
    <row r="525" spans="1:16" x14ac:dyDescent="0.2">
      <c r="A525" s="32" t="s">
        <v>605</v>
      </c>
      <c r="B525" s="32" t="s">
        <v>576</v>
      </c>
      <c r="C525" s="32" t="s">
        <v>577</v>
      </c>
      <c r="D525" s="32" t="s">
        <v>599</v>
      </c>
      <c r="E525" s="32" t="s">
        <v>556</v>
      </c>
      <c r="F525" s="32" t="s">
        <v>587</v>
      </c>
      <c r="G525" s="32" t="str">
        <f t="shared" si="16"/>
        <v>1.25" PE TWIN</v>
      </c>
      <c r="H525" s="278" t="s">
        <v>473</v>
      </c>
      <c r="I525" s="32" t="s">
        <v>462</v>
      </c>
      <c r="J525" s="279">
        <v>13</v>
      </c>
      <c r="K525" s="280">
        <v>11771.92</v>
      </c>
      <c r="L525" s="280">
        <v>5664.12</v>
      </c>
      <c r="M525" s="280">
        <v>6107.8</v>
      </c>
      <c r="N525" s="281">
        <v>351</v>
      </c>
      <c r="O525" s="282">
        <v>529</v>
      </c>
      <c r="P525" s="280">
        <f t="shared" si="17"/>
        <v>17741.725584045584</v>
      </c>
    </row>
    <row r="526" spans="1:16" x14ac:dyDescent="0.2">
      <c r="A526" s="32" t="s">
        <v>605</v>
      </c>
      <c r="B526" s="32" t="s">
        <v>576</v>
      </c>
      <c r="C526" s="32" t="s">
        <v>577</v>
      </c>
      <c r="D526" s="32" t="s">
        <v>599</v>
      </c>
      <c r="E526" s="32" t="s">
        <v>556</v>
      </c>
      <c r="F526" s="32" t="s">
        <v>587</v>
      </c>
      <c r="G526" s="32" t="str">
        <f t="shared" si="16"/>
        <v>1.25" PE TWIN</v>
      </c>
      <c r="H526" s="278" t="s">
        <v>479</v>
      </c>
      <c r="I526" s="32" t="s">
        <v>462</v>
      </c>
      <c r="J526" s="279">
        <v>13</v>
      </c>
      <c r="K526" s="280">
        <v>5081.1099999999997</v>
      </c>
      <c r="L526" s="280">
        <v>2259.2600000000002</v>
      </c>
      <c r="M526" s="280">
        <v>2821.85</v>
      </c>
      <c r="N526" s="281">
        <v>357</v>
      </c>
      <c r="O526" s="282">
        <v>529</v>
      </c>
      <c r="P526" s="280">
        <f t="shared" si="17"/>
        <v>7529.1517927170871</v>
      </c>
    </row>
    <row r="527" spans="1:16" x14ac:dyDescent="0.2">
      <c r="A527" s="32" t="s">
        <v>605</v>
      </c>
      <c r="B527" s="32" t="s">
        <v>576</v>
      </c>
      <c r="C527" s="32" t="s">
        <v>577</v>
      </c>
      <c r="D527" s="32" t="s">
        <v>599</v>
      </c>
      <c r="E527" s="32" t="s">
        <v>556</v>
      </c>
      <c r="F527" s="32" t="s">
        <v>587</v>
      </c>
      <c r="G527" s="32" t="str">
        <f t="shared" si="16"/>
        <v>1.25" PE TWIN</v>
      </c>
      <c r="H527" s="278" t="s">
        <v>480</v>
      </c>
      <c r="I527" s="32" t="s">
        <v>462</v>
      </c>
      <c r="J527" s="279">
        <v>5</v>
      </c>
      <c r="K527" s="280">
        <v>7407.85</v>
      </c>
      <c r="L527" s="280">
        <v>3021.06</v>
      </c>
      <c r="M527" s="280">
        <v>4386.79</v>
      </c>
      <c r="N527" s="281">
        <v>365</v>
      </c>
      <c r="O527" s="282">
        <v>529</v>
      </c>
      <c r="P527" s="280">
        <f t="shared" si="17"/>
        <v>10736.308630136986</v>
      </c>
    </row>
    <row r="528" spans="1:16" x14ac:dyDescent="0.2">
      <c r="A528" s="32" t="s">
        <v>605</v>
      </c>
      <c r="B528" s="32" t="s">
        <v>576</v>
      </c>
      <c r="C528" s="32" t="s">
        <v>577</v>
      </c>
      <c r="D528" s="32" t="s">
        <v>599</v>
      </c>
      <c r="E528" s="32" t="s">
        <v>556</v>
      </c>
      <c r="F528" s="32" t="s">
        <v>587</v>
      </c>
      <c r="G528" s="32" t="str">
        <f t="shared" si="16"/>
        <v>1.25" PE TWIN</v>
      </c>
      <c r="H528" s="278" t="s">
        <v>472</v>
      </c>
      <c r="I528" s="32" t="s">
        <v>462</v>
      </c>
      <c r="J528" s="279">
        <v>3</v>
      </c>
      <c r="K528" s="280">
        <v>1499.4</v>
      </c>
      <c r="L528" s="280">
        <v>556.09</v>
      </c>
      <c r="M528" s="280">
        <v>943.31</v>
      </c>
      <c r="N528" s="281">
        <v>370</v>
      </c>
      <c r="O528" s="282">
        <v>529</v>
      </c>
      <c r="P528" s="280">
        <f t="shared" si="17"/>
        <v>2143.7367567567571</v>
      </c>
    </row>
    <row r="529" spans="1:16" x14ac:dyDescent="0.2">
      <c r="A529" s="32" t="s">
        <v>605</v>
      </c>
      <c r="B529" s="32" t="s">
        <v>576</v>
      </c>
      <c r="C529" s="32" t="s">
        <v>577</v>
      </c>
      <c r="D529" s="32" t="s">
        <v>599</v>
      </c>
      <c r="E529" s="32" t="s">
        <v>556</v>
      </c>
      <c r="F529" s="32" t="s">
        <v>587</v>
      </c>
      <c r="G529" s="32" t="str">
        <f t="shared" si="16"/>
        <v>1.25" PE TWIN</v>
      </c>
      <c r="H529" s="278" t="s">
        <v>478</v>
      </c>
      <c r="I529" s="32" t="s">
        <v>462</v>
      </c>
      <c r="J529" s="279">
        <v>4</v>
      </c>
      <c r="K529" s="280">
        <v>1567.28</v>
      </c>
      <c r="L529" s="280">
        <v>523.48</v>
      </c>
      <c r="M529" s="280">
        <v>1043.8</v>
      </c>
      <c r="N529" s="281">
        <v>378</v>
      </c>
      <c r="O529" s="282">
        <v>529</v>
      </c>
      <c r="P529" s="280">
        <f t="shared" si="17"/>
        <v>2193.3627513227516</v>
      </c>
    </row>
    <row r="530" spans="1:16" x14ac:dyDescent="0.2">
      <c r="A530" s="32" t="s">
        <v>605</v>
      </c>
      <c r="B530" s="32" t="s">
        <v>576</v>
      </c>
      <c r="C530" s="32" t="s">
        <v>577</v>
      </c>
      <c r="D530" s="32" t="s">
        <v>599</v>
      </c>
      <c r="E530" s="32" t="s">
        <v>556</v>
      </c>
      <c r="F530" s="32" t="s">
        <v>587</v>
      </c>
      <c r="G530" s="32" t="str">
        <f t="shared" si="16"/>
        <v>1.25" PE TWIN</v>
      </c>
      <c r="H530" s="278" t="s">
        <v>475</v>
      </c>
      <c r="I530" s="32" t="s">
        <v>462</v>
      </c>
      <c r="J530" s="279">
        <v>2</v>
      </c>
      <c r="K530" s="280">
        <v>211.97</v>
      </c>
      <c r="L530" s="280">
        <v>63.03</v>
      </c>
      <c r="M530" s="280">
        <v>148.94</v>
      </c>
      <c r="N530" s="281">
        <v>393</v>
      </c>
      <c r="O530" s="282">
        <v>529</v>
      </c>
      <c r="P530" s="280">
        <f t="shared" si="17"/>
        <v>285.32348600508908</v>
      </c>
    </row>
    <row r="531" spans="1:16" x14ac:dyDescent="0.2">
      <c r="A531" s="32" t="s">
        <v>605</v>
      </c>
      <c r="B531" s="32" t="s">
        <v>576</v>
      </c>
      <c r="C531" s="32" t="s">
        <v>577</v>
      </c>
      <c r="D531" s="32" t="s">
        <v>599</v>
      </c>
      <c r="E531" s="32" t="s">
        <v>556</v>
      </c>
      <c r="F531" s="32" t="s">
        <v>587</v>
      </c>
      <c r="G531" s="32" t="str">
        <f t="shared" si="16"/>
        <v>1.25" PE TWIN</v>
      </c>
      <c r="H531" s="278" t="s">
        <v>471</v>
      </c>
      <c r="I531" s="32" t="s">
        <v>462</v>
      </c>
      <c r="J531" s="279">
        <v>2</v>
      </c>
      <c r="K531" s="280">
        <v>2906.57</v>
      </c>
      <c r="L531" s="280">
        <v>759.07</v>
      </c>
      <c r="M531" s="280">
        <v>2147.5</v>
      </c>
      <c r="N531" s="281">
        <v>398</v>
      </c>
      <c r="O531" s="282">
        <v>529</v>
      </c>
      <c r="P531" s="280">
        <f t="shared" si="17"/>
        <v>3863.2551005025125</v>
      </c>
    </row>
    <row r="532" spans="1:16" x14ac:dyDescent="0.2">
      <c r="A532" s="32" t="s">
        <v>605</v>
      </c>
      <c r="B532" s="32" t="s">
        <v>576</v>
      </c>
      <c r="C532" s="32" t="s">
        <v>577</v>
      </c>
      <c r="D532" s="32" t="s">
        <v>599</v>
      </c>
      <c r="E532" s="32" t="s">
        <v>556</v>
      </c>
      <c r="F532" s="32" t="s">
        <v>587</v>
      </c>
      <c r="G532" s="32" t="str">
        <f t="shared" si="16"/>
        <v>1.25" PE TWIN</v>
      </c>
      <c r="H532" s="278" t="s">
        <v>476</v>
      </c>
      <c r="I532" s="32" t="s">
        <v>462</v>
      </c>
      <c r="J532" s="279">
        <v>3</v>
      </c>
      <c r="K532" s="280">
        <v>3669.33</v>
      </c>
      <c r="L532" s="280">
        <v>827.39</v>
      </c>
      <c r="M532" s="280">
        <v>2841.94</v>
      </c>
      <c r="N532" s="281">
        <v>409</v>
      </c>
      <c r="O532" s="282">
        <v>529</v>
      </c>
      <c r="P532" s="280">
        <f t="shared" si="17"/>
        <v>4745.9060391198045</v>
      </c>
    </row>
    <row r="533" spans="1:16" x14ac:dyDescent="0.2">
      <c r="A533" s="32" t="s">
        <v>605</v>
      </c>
      <c r="B533" s="32" t="s">
        <v>576</v>
      </c>
      <c r="C533" s="32" t="s">
        <v>577</v>
      </c>
      <c r="D533" s="32" t="s">
        <v>599</v>
      </c>
      <c r="E533" s="32" t="s">
        <v>556</v>
      </c>
      <c r="F533" s="32" t="s">
        <v>587</v>
      </c>
      <c r="G533" s="32" t="str">
        <f t="shared" si="16"/>
        <v>1.25" PE TWIN</v>
      </c>
      <c r="H533" s="278" t="s">
        <v>477</v>
      </c>
      <c r="I533" s="32" t="s">
        <v>462</v>
      </c>
      <c r="J533" s="279">
        <v>4</v>
      </c>
      <c r="K533" s="280">
        <v>5004.51</v>
      </c>
      <c r="L533" s="280">
        <v>781.4</v>
      </c>
      <c r="M533" s="280">
        <v>4223.1099999999997</v>
      </c>
      <c r="N533" s="281">
        <v>450</v>
      </c>
      <c r="O533" s="282">
        <v>529</v>
      </c>
      <c r="P533" s="280">
        <f t="shared" si="17"/>
        <v>5883.0795333333335</v>
      </c>
    </row>
    <row r="534" spans="1:16" x14ac:dyDescent="0.2">
      <c r="A534" s="32" t="s">
        <v>605</v>
      </c>
      <c r="B534" s="32" t="s">
        <v>576</v>
      </c>
      <c r="C534" s="32" t="s">
        <v>577</v>
      </c>
      <c r="D534" s="32" t="s">
        <v>599</v>
      </c>
      <c r="E534" s="32" t="s">
        <v>556</v>
      </c>
      <c r="F534" s="32" t="s">
        <v>587</v>
      </c>
      <c r="G534" s="32" t="str">
        <f t="shared" si="16"/>
        <v>1.25" PE TWIN</v>
      </c>
      <c r="H534" s="278" t="s">
        <v>470</v>
      </c>
      <c r="I534" s="32" t="s">
        <v>462</v>
      </c>
      <c r="J534" s="279">
        <v>3</v>
      </c>
      <c r="K534" s="280">
        <v>5808.14</v>
      </c>
      <c r="L534" s="280">
        <v>710.98</v>
      </c>
      <c r="M534" s="280">
        <v>5097.16</v>
      </c>
      <c r="N534" s="281">
        <v>467</v>
      </c>
      <c r="O534" s="282">
        <v>529</v>
      </c>
      <c r="P534" s="280">
        <f t="shared" si="17"/>
        <v>6579.2420985010704</v>
      </c>
    </row>
    <row r="535" spans="1:16" x14ac:dyDescent="0.2">
      <c r="A535" s="32" t="s">
        <v>605</v>
      </c>
      <c r="B535" s="32" t="s">
        <v>576</v>
      </c>
      <c r="C535" s="32" t="s">
        <v>577</v>
      </c>
      <c r="D535" s="32" t="s">
        <v>599</v>
      </c>
      <c r="E535" s="32" t="s">
        <v>556</v>
      </c>
      <c r="F535" s="32" t="s">
        <v>587</v>
      </c>
      <c r="G535" s="32" t="str">
        <f t="shared" si="16"/>
        <v>1.25" PE TWIN</v>
      </c>
      <c r="H535" s="278" t="s">
        <v>461</v>
      </c>
      <c r="I535" s="32" t="s">
        <v>462</v>
      </c>
      <c r="J535" s="279">
        <v>1</v>
      </c>
      <c r="K535" s="280">
        <v>2295.1999999999998</v>
      </c>
      <c r="L535" s="280">
        <v>204.31</v>
      </c>
      <c r="M535" s="280">
        <v>2090.89</v>
      </c>
      <c r="N535" s="281">
        <v>491</v>
      </c>
      <c r="O535" s="282">
        <v>529</v>
      </c>
      <c r="P535" s="280">
        <f t="shared" si="17"/>
        <v>2472.8325865580446</v>
      </c>
    </row>
    <row r="536" spans="1:16" x14ac:dyDescent="0.2">
      <c r="A536" s="32" t="s">
        <v>605</v>
      </c>
      <c r="B536" s="32" t="s">
        <v>576</v>
      </c>
      <c r="C536" s="32" t="s">
        <v>577</v>
      </c>
      <c r="D536" s="32" t="s">
        <v>599</v>
      </c>
      <c r="E536" s="32" t="s">
        <v>556</v>
      </c>
      <c r="F536" s="32" t="s">
        <v>587</v>
      </c>
      <c r="G536" s="32" t="str">
        <f t="shared" si="16"/>
        <v>1.25" PE TWIN</v>
      </c>
      <c r="H536" s="278" t="s">
        <v>461</v>
      </c>
      <c r="I536" s="32" t="s">
        <v>462</v>
      </c>
      <c r="J536" s="279">
        <v>4</v>
      </c>
      <c r="K536" s="280">
        <v>18147.48</v>
      </c>
      <c r="L536" s="280">
        <v>1615.44</v>
      </c>
      <c r="M536" s="280">
        <v>16532.04</v>
      </c>
      <c r="N536" s="281">
        <v>491</v>
      </c>
      <c r="O536" s="282">
        <v>529</v>
      </c>
      <c r="P536" s="280">
        <f t="shared" si="17"/>
        <v>19551.969287169042</v>
      </c>
    </row>
    <row r="537" spans="1:16" x14ac:dyDescent="0.2">
      <c r="A537" s="32" t="s">
        <v>605</v>
      </c>
      <c r="B537" s="32" t="s">
        <v>576</v>
      </c>
      <c r="C537" s="32" t="s">
        <v>577</v>
      </c>
      <c r="D537" s="32" t="s">
        <v>599</v>
      </c>
      <c r="E537" s="32" t="s">
        <v>556</v>
      </c>
      <c r="F537" s="32" t="s">
        <v>587</v>
      </c>
      <c r="G537" s="32" t="str">
        <f t="shared" si="16"/>
        <v>1.25" PE TWIN</v>
      </c>
      <c r="H537" s="278" t="s">
        <v>468</v>
      </c>
      <c r="I537" s="32" t="s">
        <v>462</v>
      </c>
      <c r="J537" s="279">
        <v>1</v>
      </c>
      <c r="K537" s="280">
        <v>1956.21</v>
      </c>
      <c r="L537" s="280">
        <v>108.18</v>
      </c>
      <c r="M537" s="280">
        <v>1848.03</v>
      </c>
      <c r="N537" s="281">
        <v>517</v>
      </c>
      <c r="O537" s="282">
        <v>529</v>
      </c>
      <c r="P537" s="280">
        <f t="shared" si="17"/>
        <v>2001.615261121857</v>
      </c>
    </row>
    <row r="538" spans="1:16" x14ac:dyDescent="0.2">
      <c r="A538" s="32" t="s">
        <v>605</v>
      </c>
      <c r="B538" s="32" t="s">
        <v>576</v>
      </c>
      <c r="C538" s="32" t="s">
        <v>577</v>
      </c>
      <c r="D538" s="32" t="s">
        <v>599</v>
      </c>
      <c r="E538" s="32" t="s">
        <v>556</v>
      </c>
      <c r="F538" s="32" t="s">
        <v>587</v>
      </c>
      <c r="G538" s="32" t="str">
        <f t="shared" si="16"/>
        <v>1.25" PE TWIN</v>
      </c>
      <c r="H538" s="278" t="s">
        <v>468</v>
      </c>
      <c r="I538" s="32" t="s">
        <v>462</v>
      </c>
      <c r="J538" s="279">
        <v>2</v>
      </c>
      <c r="K538" s="280">
        <v>9102.39</v>
      </c>
      <c r="L538" s="280">
        <v>503.36</v>
      </c>
      <c r="M538" s="280">
        <v>8599.0300000000007</v>
      </c>
      <c r="N538" s="281">
        <v>517</v>
      </c>
      <c r="O538" s="282">
        <v>529</v>
      </c>
      <c r="P538" s="280">
        <f t="shared" si="17"/>
        <v>9313.6640425531914</v>
      </c>
    </row>
    <row r="539" spans="1:16" x14ac:dyDescent="0.2">
      <c r="A539" s="32" t="s">
        <v>605</v>
      </c>
      <c r="B539" s="32" t="s">
        <v>576</v>
      </c>
      <c r="C539" s="32" t="s">
        <v>577</v>
      </c>
      <c r="D539" s="32" t="s">
        <v>599</v>
      </c>
      <c r="E539" s="32" t="s">
        <v>556</v>
      </c>
      <c r="F539" s="32" t="s">
        <v>587</v>
      </c>
      <c r="G539" s="32" t="str">
        <f t="shared" si="16"/>
        <v>1.25" PE TWIN</v>
      </c>
      <c r="H539" s="278" t="s">
        <v>468</v>
      </c>
      <c r="I539" s="32" t="s">
        <v>462</v>
      </c>
      <c r="J539" s="279">
        <v>3</v>
      </c>
      <c r="K539" s="280">
        <v>7785.89</v>
      </c>
      <c r="L539" s="280">
        <v>430.56</v>
      </c>
      <c r="M539" s="280">
        <v>7355.33</v>
      </c>
      <c r="N539" s="281">
        <v>517</v>
      </c>
      <c r="O539" s="282">
        <v>529</v>
      </c>
      <c r="P539" s="280">
        <f t="shared" si="17"/>
        <v>7966.6069825918776</v>
      </c>
    </row>
    <row r="540" spans="1:16" x14ac:dyDescent="0.2">
      <c r="A540" s="32" t="s">
        <v>605</v>
      </c>
      <c r="B540" s="32" t="s">
        <v>576</v>
      </c>
      <c r="C540" s="32" t="s">
        <v>577</v>
      </c>
      <c r="D540" s="32" t="s">
        <v>599</v>
      </c>
      <c r="E540" s="32" t="s">
        <v>556</v>
      </c>
      <c r="F540" s="32" t="s">
        <v>587</v>
      </c>
      <c r="G540" s="32" t="str">
        <f t="shared" si="16"/>
        <v>1.25" PE TWIN</v>
      </c>
      <c r="H540" s="278" t="s">
        <v>469</v>
      </c>
      <c r="I540" s="32" t="s">
        <v>462</v>
      </c>
      <c r="J540" s="279">
        <v>1</v>
      </c>
      <c r="K540" s="280">
        <v>1873.96</v>
      </c>
      <c r="L540" s="280">
        <v>36.840000000000003</v>
      </c>
      <c r="M540" s="280">
        <v>1837.12</v>
      </c>
      <c r="N540" s="281">
        <v>529</v>
      </c>
      <c r="O540" s="282">
        <v>529</v>
      </c>
      <c r="P540" s="280">
        <f t="shared" si="17"/>
        <v>1873.96</v>
      </c>
    </row>
    <row r="541" spans="1:16" x14ac:dyDescent="0.2">
      <c r="A541" s="32" t="s">
        <v>605</v>
      </c>
      <c r="B541" s="32" t="s">
        <v>576</v>
      </c>
      <c r="C541" s="32" t="s">
        <v>577</v>
      </c>
      <c r="D541" s="32" t="s">
        <v>599</v>
      </c>
      <c r="E541" s="32" t="s">
        <v>556</v>
      </c>
      <c r="F541" s="32" t="s">
        <v>587</v>
      </c>
      <c r="G541" s="32" t="str">
        <f t="shared" si="16"/>
        <v>1.25" PE TWIN</v>
      </c>
      <c r="H541" s="278" t="s">
        <v>469</v>
      </c>
      <c r="I541" s="32" t="s">
        <v>462</v>
      </c>
      <c r="J541" s="279">
        <v>7</v>
      </c>
      <c r="K541" s="280">
        <v>66935.5</v>
      </c>
      <c r="L541" s="280">
        <v>1316.05</v>
      </c>
      <c r="M541" s="280">
        <v>65619.45</v>
      </c>
      <c r="N541" s="281">
        <v>529</v>
      </c>
      <c r="O541" s="282">
        <v>529</v>
      </c>
      <c r="P541" s="280">
        <f t="shared" si="17"/>
        <v>66935.5</v>
      </c>
    </row>
    <row r="542" spans="1:16" x14ac:dyDescent="0.2">
      <c r="A542" s="32" t="s">
        <v>606</v>
      </c>
      <c r="B542" s="32" t="s">
        <v>576</v>
      </c>
      <c r="C542" s="32" t="s">
        <v>577</v>
      </c>
      <c r="D542" s="32" t="s">
        <v>599</v>
      </c>
      <c r="E542" s="32" t="s">
        <v>556</v>
      </c>
      <c r="F542" s="32" t="s">
        <v>587</v>
      </c>
      <c r="G542" s="32" t="str">
        <f t="shared" si="16"/>
        <v>1.25" PE TWIN</v>
      </c>
      <c r="H542" s="278" t="s">
        <v>513</v>
      </c>
      <c r="I542" s="32" t="s">
        <v>462</v>
      </c>
      <c r="J542" s="279">
        <v>3</v>
      </c>
      <c r="K542" s="280">
        <v>886.89</v>
      </c>
      <c r="L542" s="280">
        <v>490.03</v>
      </c>
      <c r="M542" s="280">
        <v>396.86</v>
      </c>
      <c r="N542" s="281">
        <v>338</v>
      </c>
      <c r="O542" s="282">
        <v>529</v>
      </c>
      <c r="P542" s="280">
        <f t="shared" si="17"/>
        <v>1388.0615680473375</v>
      </c>
    </row>
    <row r="543" spans="1:16" x14ac:dyDescent="0.2">
      <c r="A543" s="32" t="s">
        <v>606</v>
      </c>
      <c r="B543" s="32" t="s">
        <v>576</v>
      </c>
      <c r="C543" s="32" t="s">
        <v>577</v>
      </c>
      <c r="D543" s="32" t="s">
        <v>599</v>
      </c>
      <c r="E543" s="32" t="s">
        <v>556</v>
      </c>
      <c r="F543" s="32" t="s">
        <v>587</v>
      </c>
      <c r="G543" s="32" t="str">
        <f t="shared" si="16"/>
        <v>1.25" PE TWIN</v>
      </c>
      <c r="H543" s="278" t="s">
        <v>467</v>
      </c>
      <c r="I543" s="32" t="s">
        <v>462</v>
      </c>
      <c r="J543" s="279">
        <v>50</v>
      </c>
      <c r="K543" s="280">
        <v>43253.41</v>
      </c>
      <c r="L543" s="280">
        <v>22369.58</v>
      </c>
      <c r="M543" s="280">
        <v>20883.830000000002</v>
      </c>
      <c r="N543" s="281">
        <v>344</v>
      </c>
      <c r="O543" s="282">
        <v>529</v>
      </c>
      <c r="P543" s="280">
        <f t="shared" si="17"/>
        <v>66514.691540697677</v>
      </c>
    </row>
    <row r="544" spans="1:16" x14ac:dyDescent="0.2">
      <c r="A544" s="32" t="s">
        <v>606</v>
      </c>
      <c r="B544" s="32" t="s">
        <v>576</v>
      </c>
      <c r="C544" s="32" t="s">
        <v>577</v>
      </c>
      <c r="D544" s="32" t="s">
        <v>599</v>
      </c>
      <c r="E544" s="32" t="s">
        <v>556</v>
      </c>
      <c r="F544" s="32" t="s">
        <v>587</v>
      </c>
      <c r="G544" s="32" t="str">
        <f t="shared" si="16"/>
        <v>1.25" PE TWIN</v>
      </c>
      <c r="H544" s="278" t="s">
        <v>473</v>
      </c>
      <c r="I544" s="32" t="s">
        <v>462</v>
      </c>
      <c r="J544" s="279">
        <v>15</v>
      </c>
      <c r="K544" s="280">
        <v>9716.16</v>
      </c>
      <c r="L544" s="280">
        <v>4674.9799999999996</v>
      </c>
      <c r="M544" s="280">
        <v>5041.18</v>
      </c>
      <c r="N544" s="281">
        <v>351</v>
      </c>
      <c r="O544" s="282">
        <v>529</v>
      </c>
      <c r="P544" s="280">
        <f t="shared" si="17"/>
        <v>14643.443418803419</v>
      </c>
    </row>
    <row r="545" spans="1:16" x14ac:dyDescent="0.2">
      <c r="A545" s="32" t="s">
        <v>606</v>
      </c>
      <c r="B545" s="32" t="s">
        <v>576</v>
      </c>
      <c r="C545" s="32" t="s">
        <v>577</v>
      </c>
      <c r="D545" s="32" t="s">
        <v>599</v>
      </c>
      <c r="E545" s="32" t="s">
        <v>556</v>
      </c>
      <c r="F545" s="32" t="s">
        <v>587</v>
      </c>
      <c r="G545" s="32" t="str">
        <f t="shared" si="16"/>
        <v>1.25" PE TWIN</v>
      </c>
      <c r="H545" s="278" t="s">
        <v>479</v>
      </c>
      <c r="I545" s="32" t="s">
        <v>462</v>
      </c>
      <c r="J545" s="279">
        <v>3</v>
      </c>
      <c r="K545" s="280">
        <v>1291</v>
      </c>
      <c r="L545" s="280">
        <v>574.03</v>
      </c>
      <c r="M545" s="280">
        <v>716.97</v>
      </c>
      <c r="N545" s="281">
        <v>357</v>
      </c>
      <c r="O545" s="282">
        <v>529</v>
      </c>
      <c r="P545" s="280">
        <f t="shared" si="17"/>
        <v>1912.9943977591038</v>
      </c>
    </row>
    <row r="546" spans="1:16" x14ac:dyDescent="0.2">
      <c r="A546" s="32" t="s">
        <v>606</v>
      </c>
      <c r="B546" s="32" t="s">
        <v>576</v>
      </c>
      <c r="C546" s="32" t="s">
        <v>577</v>
      </c>
      <c r="D546" s="32" t="s">
        <v>599</v>
      </c>
      <c r="E546" s="32" t="s">
        <v>556</v>
      </c>
      <c r="F546" s="32" t="s">
        <v>587</v>
      </c>
      <c r="G546" s="32" t="str">
        <f t="shared" si="16"/>
        <v>1.25" PE TWIN</v>
      </c>
      <c r="H546" s="278" t="s">
        <v>478</v>
      </c>
      <c r="I546" s="32" t="s">
        <v>462</v>
      </c>
      <c r="J546" s="279">
        <v>10</v>
      </c>
      <c r="K546" s="280">
        <v>2285.38</v>
      </c>
      <c r="L546" s="280">
        <v>763.33</v>
      </c>
      <c r="M546" s="280">
        <v>1522.05</v>
      </c>
      <c r="N546" s="281">
        <v>378</v>
      </c>
      <c r="O546" s="282">
        <v>529</v>
      </c>
      <c r="P546" s="280">
        <f t="shared" si="17"/>
        <v>3198.3228042328046</v>
      </c>
    </row>
    <row r="547" spans="1:16" x14ac:dyDescent="0.2">
      <c r="A547" s="32" t="s">
        <v>606</v>
      </c>
      <c r="B547" s="32" t="s">
        <v>576</v>
      </c>
      <c r="C547" s="32" t="s">
        <v>577</v>
      </c>
      <c r="D547" s="32" t="s">
        <v>599</v>
      </c>
      <c r="E547" s="32" t="s">
        <v>556</v>
      </c>
      <c r="F547" s="32" t="s">
        <v>587</v>
      </c>
      <c r="G547" s="32" t="str">
        <f t="shared" si="16"/>
        <v>1.25" PE TWIN</v>
      </c>
      <c r="H547" s="278" t="s">
        <v>469</v>
      </c>
      <c r="I547" s="32" t="s">
        <v>462</v>
      </c>
      <c r="J547" s="279">
        <v>22</v>
      </c>
      <c r="K547" s="280">
        <v>17092.39</v>
      </c>
      <c r="L547" s="280">
        <v>336.06</v>
      </c>
      <c r="M547" s="280">
        <v>16756.330000000002</v>
      </c>
      <c r="N547" s="281">
        <v>529</v>
      </c>
      <c r="O547" s="282">
        <v>529</v>
      </c>
      <c r="P547" s="280">
        <f t="shared" si="17"/>
        <v>17092.39</v>
      </c>
    </row>
    <row r="548" spans="1:16" x14ac:dyDescent="0.2">
      <c r="A548" s="32" t="s">
        <v>607</v>
      </c>
      <c r="B548" s="32" t="s">
        <v>576</v>
      </c>
      <c r="C548" s="32" t="s">
        <v>577</v>
      </c>
      <c r="D548" s="32" t="s">
        <v>608</v>
      </c>
      <c r="E548" s="32" t="s">
        <v>556</v>
      </c>
      <c r="F548" s="32" t="s">
        <v>579</v>
      </c>
      <c r="G548" s="32" t="str">
        <f t="shared" si="16"/>
        <v>2" PE EUF</v>
      </c>
      <c r="H548" s="278" t="s">
        <v>479</v>
      </c>
      <c r="I548" s="32" t="s">
        <v>462</v>
      </c>
      <c r="J548" s="279">
        <v>12</v>
      </c>
      <c r="K548" s="280">
        <v>53383.5</v>
      </c>
      <c r="L548" s="280">
        <v>23736.38</v>
      </c>
      <c r="M548" s="280">
        <v>29647.119999999999</v>
      </c>
      <c r="N548" s="281">
        <v>357</v>
      </c>
      <c r="O548" s="282">
        <v>529</v>
      </c>
      <c r="P548" s="280">
        <f t="shared" si="17"/>
        <v>79103.281512605041</v>
      </c>
    </row>
    <row r="549" spans="1:16" x14ac:dyDescent="0.2">
      <c r="A549" s="32" t="s">
        <v>607</v>
      </c>
      <c r="B549" s="32" t="s">
        <v>576</v>
      </c>
      <c r="C549" s="32" t="s">
        <v>577</v>
      </c>
      <c r="D549" s="32" t="s">
        <v>608</v>
      </c>
      <c r="E549" s="32" t="s">
        <v>556</v>
      </c>
      <c r="F549" s="32" t="s">
        <v>579</v>
      </c>
      <c r="G549" s="32" t="str">
        <f t="shared" si="16"/>
        <v>2" PE EUF</v>
      </c>
      <c r="H549" s="278" t="s">
        <v>474</v>
      </c>
      <c r="I549" s="32" t="s">
        <v>462</v>
      </c>
      <c r="J549" s="279">
        <v>4</v>
      </c>
      <c r="K549" s="280">
        <v>4094.78</v>
      </c>
      <c r="L549" s="280">
        <v>779.93</v>
      </c>
      <c r="M549" s="280">
        <v>3314.85</v>
      </c>
      <c r="N549" s="281">
        <v>431</v>
      </c>
      <c r="O549" s="282">
        <v>529</v>
      </c>
      <c r="P549" s="280">
        <f t="shared" si="17"/>
        <v>5025.8436658932715</v>
      </c>
    </row>
    <row r="550" spans="1:16" x14ac:dyDescent="0.2">
      <c r="A550" s="32" t="s">
        <v>607</v>
      </c>
      <c r="B550" s="32" t="s">
        <v>576</v>
      </c>
      <c r="C550" s="32" t="s">
        <v>577</v>
      </c>
      <c r="D550" s="32" t="s">
        <v>608</v>
      </c>
      <c r="E550" s="32" t="s">
        <v>556</v>
      </c>
      <c r="F550" s="32" t="s">
        <v>579</v>
      </c>
      <c r="G550" s="32" t="str">
        <f t="shared" si="16"/>
        <v>2" PE EUF</v>
      </c>
      <c r="H550" s="278" t="s">
        <v>477</v>
      </c>
      <c r="I550" s="32" t="s">
        <v>462</v>
      </c>
      <c r="J550" s="279">
        <v>2</v>
      </c>
      <c r="K550" s="280">
        <v>6204.43</v>
      </c>
      <c r="L550" s="280">
        <v>968.76</v>
      </c>
      <c r="M550" s="280">
        <v>5235.67</v>
      </c>
      <c r="N550" s="281">
        <v>450</v>
      </c>
      <c r="O550" s="282">
        <v>529</v>
      </c>
      <c r="P550" s="280">
        <f t="shared" si="17"/>
        <v>7293.6521555555555</v>
      </c>
    </row>
    <row r="551" spans="1:16" x14ac:dyDescent="0.2">
      <c r="A551" s="32" t="s">
        <v>607</v>
      </c>
      <c r="B551" s="32" t="s">
        <v>576</v>
      </c>
      <c r="C551" s="32" t="s">
        <v>577</v>
      </c>
      <c r="D551" s="32" t="s">
        <v>608</v>
      </c>
      <c r="E551" s="32" t="s">
        <v>556</v>
      </c>
      <c r="F551" s="32" t="s">
        <v>579</v>
      </c>
      <c r="G551" s="32" t="str">
        <f t="shared" si="16"/>
        <v>2" PE EUF</v>
      </c>
      <c r="H551" s="278" t="s">
        <v>470</v>
      </c>
      <c r="I551" s="32" t="s">
        <v>462</v>
      </c>
      <c r="J551" s="279">
        <v>2</v>
      </c>
      <c r="K551" s="280">
        <v>20569.72</v>
      </c>
      <c r="L551" s="280">
        <v>2517.9699999999998</v>
      </c>
      <c r="M551" s="280">
        <v>18051.75</v>
      </c>
      <c r="N551" s="281">
        <v>467</v>
      </c>
      <c r="O551" s="282">
        <v>529</v>
      </c>
      <c r="P551" s="280">
        <f t="shared" si="17"/>
        <v>23300.603597430407</v>
      </c>
    </row>
    <row r="552" spans="1:16" x14ac:dyDescent="0.2">
      <c r="A552" s="32" t="s">
        <v>607</v>
      </c>
      <c r="B552" s="32" t="s">
        <v>576</v>
      </c>
      <c r="C552" s="32" t="s">
        <v>577</v>
      </c>
      <c r="D552" s="32" t="s">
        <v>608</v>
      </c>
      <c r="E552" s="32" t="s">
        <v>556</v>
      </c>
      <c r="F552" s="32" t="s">
        <v>579</v>
      </c>
      <c r="G552" s="32" t="str">
        <f t="shared" si="16"/>
        <v>2" PE EUF</v>
      </c>
      <c r="H552" s="278" t="s">
        <v>461</v>
      </c>
      <c r="I552" s="32" t="s">
        <v>462</v>
      </c>
      <c r="J552" s="279">
        <v>1</v>
      </c>
      <c r="K552" s="280">
        <v>15766.1</v>
      </c>
      <c r="L552" s="280">
        <v>1403.45</v>
      </c>
      <c r="M552" s="280">
        <v>14362.65</v>
      </c>
      <c r="N552" s="281">
        <v>491</v>
      </c>
      <c r="O552" s="282">
        <v>529</v>
      </c>
      <c r="P552" s="280">
        <f t="shared" si="17"/>
        <v>16986.286965376781</v>
      </c>
    </row>
    <row r="553" spans="1:16" x14ac:dyDescent="0.2">
      <c r="A553" s="32" t="s">
        <v>607</v>
      </c>
      <c r="B553" s="32" t="s">
        <v>576</v>
      </c>
      <c r="C553" s="32" t="s">
        <v>577</v>
      </c>
      <c r="D553" s="32" t="s">
        <v>608</v>
      </c>
      <c r="E553" s="32" t="s">
        <v>556</v>
      </c>
      <c r="F553" s="32" t="s">
        <v>579</v>
      </c>
      <c r="G553" s="32" t="str">
        <f t="shared" si="16"/>
        <v>2" PE EUF</v>
      </c>
      <c r="H553" s="278" t="s">
        <v>461</v>
      </c>
      <c r="I553" s="32" t="s">
        <v>462</v>
      </c>
      <c r="J553" s="279">
        <v>2</v>
      </c>
      <c r="K553" s="280">
        <v>16757.25</v>
      </c>
      <c r="L553" s="280">
        <v>1491.68</v>
      </c>
      <c r="M553" s="280">
        <v>15265.57</v>
      </c>
      <c r="N553" s="281">
        <v>491</v>
      </c>
      <c r="O553" s="282">
        <v>529</v>
      </c>
      <c r="P553" s="280">
        <f t="shared" si="17"/>
        <v>18054.145112016293</v>
      </c>
    </row>
    <row r="554" spans="1:16" x14ac:dyDescent="0.2">
      <c r="A554" s="32" t="s">
        <v>607</v>
      </c>
      <c r="B554" s="32" t="s">
        <v>576</v>
      </c>
      <c r="C554" s="32" t="s">
        <v>577</v>
      </c>
      <c r="D554" s="32" t="s">
        <v>608</v>
      </c>
      <c r="E554" s="32" t="s">
        <v>556</v>
      </c>
      <c r="F554" s="32" t="s">
        <v>579</v>
      </c>
      <c r="G554" s="32" t="str">
        <f t="shared" si="16"/>
        <v>2" PE EUF</v>
      </c>
      <c r="H554" s="278" t="s">
        <v>468</v>
      </c>
      <c r="I554" s="32" t="s">
        <v>462</v>
      </c>
      <c r="J554" s="279">
        <v>1</v>
      </c>
      <c r="K554" s="280">
        <v>5473.62</v>
      </c>
      <c r="L554" s="280">
        <v>302.69</v>
      </c>
      <c r="M554" s="280">
        <v>5170.93</v>
      </c>
      <c r="N554" s="281">
        <v>517</v>
      </c>
      <c r="O554" s="282">
        <v>529</v>
      </c>
      <c r="P554" s="280">
        <f t="shared" si="17"/>
        <v>5600.6672727272726</v>
      </c>
    </row>
    <row r="555" spans="1:16" x14ac:dyDescent="0.2">
      <c r="A555" s="32" t="s">
        <v>607</v>
      </c>
      <c r="B555" s="32" t="s">
        <v>576</v>
      </c>
      <c r="C555" s="32" t="s">
        <v>577</v>
      </c>
      <c r="D555" s="32" t="s">
        <v>608</v>
      </c>
      <c r="E555" s="32" t="s">
        <v>556</v>
      </c>
      <c r="F555" s="32" t="s">
        <v>579</v>
      </c>
      <c r="G555" s="32" t="str">
        <f t="shared" si="16"/>
        <v>2" PE EUF</v>
      </c>
      <c r="H555" s="278" t="s">
        <v>468</v>
      </c>
      <c r="I555" s="32" t="s">
        <v>462</v>
      </c>
      <c r="J555" s="279">
        <v>1</v>
      </c>
      <c r="K555" s="280">
        <v>9216.19</v>
      </c>
      <c r="L555" s="280">
        <v>509.65</v>
      </c>
      <c r="M555" s="280">
        <v>8706.5400000000009</v>
      </c>
      <c r="N555" s="281">
        <v>517</v>
      </c>
      <c r="O555" s="282">
        <v>529</v>
      </c>
      <c r="P555" s="280">
        <f t="shared" si="17"/>
        <v>9430.1054352030951</v>
      </c>
    </row>
    <row r="556" spans="1:16" x14ac:dyDescent="0.2">
      <c r="A556" s="32" t="s">
        <v>607</v>
      </c>
      <c r="B556" s="32" t="s">
        <v>576</v>
      </c>
      <c r="C556" s="32" t="s">
        <v>577</v>
      </c>
      <c r="D556" s="32" t="s">
        <v>608</v>
      </c>
      <c r="E556" s="32" t="s">
        <v>556</v>
      </c>
      <c r="F556" s="32" t="s">
        <v>579</v>
      </c>
      <c r="G556" s="32" t="str">
        <f t="shared" si="16"/>
        <v>2" PE EUF</v>
      </c>
      <c r="H556" s="278" t="s">
        <v>468</v>
      </c>
      <c r="I556" s="32" t="s">
        <v>462</v>
      </c>
      <c r="J556" s="279">
        <v>3</v>
      </c>
      <c r="K556" s="280">
        <v>4929.34</v>
      </c>
      <c r="L556" s="280">
        <v>272.58999999999997</v>
      </c>
      <c r="M556" s="280">
        <v>4656.75</v>
      </c>
      <c r="N556" s="281">
        <v>517</v>
      </c>
      <c r="O556" s="282">
        <v>529</v>
      </c>
      <c r="P556" s="280">
        <f t="shared" si="17"/>
        <v>5043.7540812379111</v>
      </c>
    </row>
    <row r="557" spans="1:16" x14ac:dyDescent="0.2">
      <c r="A557" s="32" t="s">
        <v>607</v>
      </c>
      <c r="B557" s="32" t="s">
        <v>576</v>
      </c>
      <c r="C557" s="32" t="s">
        <v>577</v>
      </c>
      <c r="D557" s="32" t="s">
        <v>608</v>
      </c>
      <c r="E557" s="32" t="s">
        <v>556</v>
      </c>
      <c r="F557" s="32" t="s">
        <v>579</v>
      </c>
      <c r="G557" s="32" t="str">
        <f t="shared" si="16"/>
        <v>2" PE EUF</v>
      </c>
      <c r="H557" s="278" t="s">
        <v>469</v>
      </c>
      <c r="I557" s="32" t="s">
        <v>462</v>
      </c>
      <c r="J557" s="279">
        <v>1</v>
      </c>
      <c r="K557" s="280">
        <v>3387.07</v>
      </c>
      <c r="L557" s="280">
        <v>66.59</v>
      </c>
      <c r="M557" s="280">
        <v>3320.48</v>
      </c>
      <c r="N557" s="281">
        <v>529</v>
      </c>
      <c r="O557" s="282">
        <v>529</v>
      </c>
      <c r="P557" s="280">
        <f t="shared" si="17"/>
        <v>3387.07</v>
      </c>
    </row>
    <row r="558" spans="1:16" x14ac:dyDescent="0.2">
      <c r="A558" s="32" t="s">
        <v>607</v>
      </c>
      <c r="B558" s="32" t="s">
        <v>576</v>
      </c>
      <c r="C558" s="32" t="s">
        <v>577</v>
      </c>
      <c r="D558" s="32" t="s">
        <v>608</v>
      </c>
      <c r="E558" s="32" t="s">
        <v>556</v>
      </c>
      <c r="F558" s="32" t="s">
        <v>579</v>
      </c>
      <c r="G558" s="32" t="str">
        <f t="shared" si="16"/>
        <v>2" PE EUF</v>
      </c>
      <c r="H558" s="278" t="s">
        <v>469</v>
      </c>
      <c r="I558" s="32" t="s">
        <v>462</v>
      </c>
      <c r="J558" s="279">
        <v>1</v>
      </c>
      <c r="K558" s="280">
        <v>3488.72</v>
      </c>
      <c r="L558" s="280">
        <v>68.59</v>
      </c>
      <c r="M558" s="280">
        <v>3420.13</v>
      </c>
      <c r="N558" s="281">
        <v>529</v>
      </c>
      <c r="O558" s="282">
        <v>529</v>
      </c>
      <c r="P558" s="280">
        <f t="shared" si="17"/>
        <v>3488.72</v>
      </c>
    </row>
    <row r="559" spans="1:16" x14ac:dyDescent="0.2">
      <c r="A559" s="32" t="s">
        <v>607</v>
      </c>
      <c r="B559" s="32" t="s">
        <v>576</v>
      </c>
      <c r="C559" s="32" t="s">
        <v>577</v>
      </c>
      <c r="D559" s="32" t="s">
        <v>608</v>
      </c>
      <c r="E559" s="32" t="s">
        <v>556</v>
      </c>
      <c r="F559" s="32" t="s">
        <v>579</v>
      </c>
      <c r="G559" s="32" t="str">
        <f t="shared" si="16"/>
        <v>2" PE EUF</v>
      </c>
      <c r="H559" s="278" t="s">
        <v>469</v>
      </c>
      <c r="I559" s="32" t="s">
        <v>462</v>
      </c>
      <c r="J559" s="279">
        <v>1</v>
      </c>
      <c r="K559" s="280">
        <v>6864.37</v>
      </c>
      <c r="L559" s="280">
        <v>134.96</v>
      </c>
      <c r="M559" s="280">
        <v>6729.41</v>
      </c>
      <c r="N559" s="281">
        <v>529</v>
      </c>
      <c r="O559" s="282">
        <v>529</v>
      </c>
      <c r="P559" s="280">
        <f t="shared" si="17"/>
        <v>6864.37</v>
      </c>
    </row>
    <row r="560" spans="1:16" x14ac:dyDescent="0.2">
      <c r="A560" s="32" t="s">
        <v>609</v>
      </c>
      <c r="B560" s="32" t="s">
        <v>576</v>
      </c>
      <c r="C560" s="32" t="s">
        <v>577</v>
      </c>
      <c r="D560" s="32" t="s">
        <v>608</v>
      </c>
      <c r="E560" s="32" t="s">
        <v>556</v>
      </c>
      <c r="F560" s="32" t="s">
        <v>579</v>
      </c>
      <c r="G560" s="32" t="str">
        <f t="shared" si="16"/>
        <v>2" PE EUF</v>
      </c>
      <c r="H560" s="278" t="s">
        <v>516</v>
      </c>
      <c r="I560" s="32" t="s">
        <v>462</v>
      </c>
      <c r="J560" s="279">
        <v>1</v>
      </c>
      <c r="K560" s="280">
        <v>2981.84</v>
      </c>
      <c r="L560" s="280">
        <v>2294.79</v>
      </c>
      <c r="M560" s="280">
        <v>687.05</v>
      </c>
      <c r="N560" s="281">
        <v>281</v>
      </c>
      <c r="O560" s="282">
        <v>529</v>
      </c>
      <c r="P560" s="280">
        <f t="shared" si="17"/>
        <v>5613.4995017793599</v>
      </c>
    </row>
    <row r="561" spans="1:16" x14ac:dyDescent="0.2">
      <c r="A561" s="32" t="s">
        <v>609</v>
      </c>
      <c r="B561" s="32" t="s">
        <v>576</v>
      </c>
      <c r="C561" s="32" t="s">
        <v>577</v>
      </c>
      <c r="D561" s="32" t="s">
        <v>608</v>
      </c>
      <c r="E561" s="32" t="s">
        <v>556</v>
      </c>
      <c r="F561" s="32" t="s">
        <v>579</v>
      </c>
      <c r="G561" s="32" t="str">
        <f t="shared" si="16"/>
        <v>2" PE EUF</v>
      </c>
      <c r="H561" s="278" t="s">
        <v>466</v>
      </c>
      <c r="I561" s="32" t="s">
        <v>462</v>
      </c>
      <c r="J561" s="279">
        <v>3</v>
      </c>
      <c r="K561" s="280">
        <v>33348</v>
      </c>
      <c r="L561" s="280">
        <v>24763.66</v>
      </c>
      <c r="M561" s="280">
        <v>8584.34</v>
      </c>
      <c r="N561" s="281">
        <v>290</v>
      </c>
      <c r="O561" s="282">
        <v>529</v>
      </c>
      <c r="P561" s="280">
        <f t="shared" si="17"/>
        <v>60831.35172413793</v>
      </c>
    </row>
    <row r="562" spans="1:16" x14ac:dyDescent="0.2">
      <c r="A562" s="32" t="s">
        <v>609</v>
      </c>
      <c r="B562" s="32" t="s">
        <v>576</v>
      </c>
      <c r="C562" s="32" t="s">
        <v>577</v>
      </c>
      <c r="D562" s="32" t="s">
        <v>608</v>
      </c>
      <c r="E562" s="32" t="s">
        <v>556</v>
      </c>
      <c r="F562" s="32" t="s">
        <v>579</v>
      </c>
      <c r="G562" s="32" t="str">
        <f t="shared" si="16"/>
        <v>2" PE EUF</v>
      </c>
      <c r="H562" s="278" t="s">
        <v>489</v>
      </c>
      <c r="I562" s="32" t="s">
        <v>462</v>
      </c>
      <c r="J562" s="279">
        <v>4</v>
      </c>
      <c r="K562" s="280">
        <v>41281</v>
      </c>
      <c r="L562" s="280">
        <v>29479.09</v>
      </c>
      <c r="M562" s="280">
        <v>11801.91</v>
      </c>
      <c r="N562" s="281">
        <v>296</v>
      </c>
      <c r="O562" s="282">
        <v>529</v>
      </c>
      <c r="P562" s="280">
        <f t="shared" si="17"/>
        <v>73775.841216216213</v>
      </c>
    </row>
    <row r="563" spans="1:16" x14ac:dyDescent="0.2">
      <c r="A563" s="32" t="s">
        <v>609</v>
      </c>
      <c r="B563" s="32" t="s">
        <v>576</v>
      </c>
      <c r="C563" s="32" t="s">
        <v>577</v>
      </c>
      <c r="D563" s="32" t="s">
        <v>608</v>
      </c>
      <c r="E563" s="32" t="s">
        <v>556</v>
      </c>
      <c r="F563" s="32" t="s">
        <v>579</v>
      </c>
      <c r="G563" s="32" t="str">
        <f t="shared" si="16"/>
        <v>2" PE EUF</v>
      </c>
      <c r="H563" s="278" t="s">
        <v>465</v>
      </c>
      <c r="I563" s="32" t="s">
        <v>462</v>
      </c>
      <c r="J563" s="279">
        <v>7</v>
      </c>
      <c r="K563" s="280">
        <v>28437</v>
      </c>
      <c r="L563" s="280">
        <v>19457.41</v>
      </c>
      <c r="M563" s="280">
        <v>8979.59</v>
      </c>
      <c r="N563" s="281">
        <v>307</v>
      </c>
      <c r="O563" s="282">
        <v>529</v>
      </c>
      <c r="P563" s="280">
        <f t="shared" si="17"/>
        <v>49000.563517915311</v>
      </c>
    </row>
    <row r="564" spans="1:16" x14ac:dyDescent="0.2">
      <c r="A564" s="32" t="s">
        <v>609</v>
      </c>
      <c r="B564" s="32" t="s">
        <v>576</v>
      </c>
      <c r="C564" s="32" t="s">
        <v>577</v>
      </c>
      <c r="D564" s="32" t="s">
        <v>608</v>
      </c>
      <c r="E564" s="32" t="s">
        <v>556</v>
      </c>
      <c r="F564" s="32" t="s">
        <v>579</v>
      </c>
      <c r="G564" s="32" t="str">
        <f t="shared" si="16"/>
        <v>2" PE EUF</v>
      </c>
      <c r="H564" s="278" t="s">
        <v>490</v>
      </c>
      <c r="I564" s="32" t="s">
        <v>462</v>
      </c>
      <c r="J564" s="279">
        <v>4</v>
      </c>
      <c r="K564" s="280">
        <v>21586</v>
      </c>
      <c r="L564" s="280">
        <v>14096.26</v>
      </c>
      <c r="M564" s="280">
        <v>7489.74</v>
      </c>
      <c r="N564" s="281">
        <v>310</v>
      </c>
      <c r="O564" s="282">
        <v>529</v>
      </c>
      <c r="P564" s="280">
        <f t="shared" si="17"/>
        <v>36835.464516129032</v>
      </c>
    </row>
    <row r="565" spans="1:16" x14ac:dyDescent="0.2">
      <c r="A565" s="32" t="s">
        <v>609</v>
      </c>
      <c r="B565" s="32" t="s">
        <v>576</v>
      </c>
      <c r="C565" s="32" t="s">
        <v>577</v>
      </c>
      <c r="D565" s="32" t="s">
        <v>608</v>
      </c>
      <c r="E565" s="32" t="s">
        <v>556</v>
      </c>
      <c r="F565" s="32" t="s">
        <v>579</v>
      </c>
      <c r="G565" s="32" t="str">
        <f t="shared" si="16"/>
        <v>2" PE EUF</v>
      </c>
      <c r="H565" s="278" t="s">
        <v>491</v>
      </c>
      <c r="I565" s="32" t="s">
        <v>462</v>
      </c>
      <c r="J565" s="279">
        <v>2</v>
      </c>
      <c r="K565" s="280">
        <v>14711</v>
      </c>
      <c r="L565" s="280">
        <v>9129.5300000000007</v>
      </c>
      <c r="M565" s="280">
        <v>5581.47</v>
      </c>
      <c r="N565" s="281">
        <v>319</v>
      </c>
      <c r="O565" s="282">
        <v>529</v>
      </c>
      <c r="P565" s="280">
        <f t="shared" si="17"/>
        <v>24395.357366771161</v>
      </c>
    </row>
    <row r="566" spans="1:16" x14ac:dyDescent="0.2">
      <c r="A566" s="32" t="s">
        <v>609</v>
      </c>
      <c r="B566" s="32" t="s">
        <v>576</v>
      </c>
      <c r="C566" s="32" t="s">
        <v>577</v>
      </c>
      <c r="D566" s="32" t="s">
        <v>608</v>
      </c>
      <c r="E566" s="32" t="s">
        <v>556</v>
      </c>
      <c r="F566" s="32" t="s">
        <v>579</v>
      </c>
      <c r="G566" s="32" t="str">
        <f t="shared" si="16"/>
        <v>2" PE EUF</v>
      </c>
      <c r="H566" s="278" t="s">
        <v>514</v>
      </c>
      <c r="I566" s="32" t="s">
        <v>462</v>
      </c>
      <c r="J566" s="279">
        <v>4</v>
      </c>
      <c r="K566" s="280">
        <v>29649</v>
      </c>
      <c r="L566" s="280">
        <v>17405.509999999998</v>
      </c>
      <c r="M566" s="280">
        <v>12243.49</v>
      </c>
      <c r="N566" s="281">
        <v>326</v>
      </c>
      <c r="O566" s="282">
        <v>529</v>
      </c>
      <c r="P566" s="280">
        <f t="shared" si="17"/>
        <v>48111.414110429447</v>
      </c>
    </row>
    <row r="567" spans="1:16" x14ac:dyDescent="0.2">
      <c r="A567" s="32" t="s">
        <v>609</v>
      </c>
      <c r="B567" s="32" t="s">
        <v>576</v>
      </c>
      <c r="C567" s="32" t="s">
        <v>577</v>
      </c>
      <c r="D567" s="32" t="s">
        <v>608</v>
      </c>
      <c r="E567" s="32" t="s">
        <v>556</v>
      </c>
      <c r="F567" s="32" t="s">
        <v>579</v>
      </c>
      <c r="G567" s="32" t="str">
        <f t="shared" si="16"/>
        <v>2" PE EUF</v>
      </c>
      <c r="H567" s="278" t="s">
        <v>513</v>
      </c>
      <c r="I567" s="32" t="s">
        <v>462</v>
      </c>
      <c r="J567" s="279">
        <v>9</v>
      </c>
      <c r="K567" s="280">
        <v>9794.2900000000009</v>
      </c>
      <c r="L567" s="280">
        <v>5411.64</v>
      </c>
      <c r="M567" s="280">
        <v>4382.6499999999996</v>
      </c>
      <c r="N567" s="281">
        <v>338</v>
      </c>
      <c r="O567" s="282">
        <v>529</v>
      </c>
      <c r="P567" s="280">
        <f t="shared" si="17"/>
        <v>15328.933165680475</v>
      </c>
    </row>
    <row r="568" spans="1:16" x14ac:dyDescent="0.2">
      <c r="A568" s="32" t="s">
        <v>609</v>
      </c>
      <c r="B568" s="32" t="s">
        <v>576</v>
      </c>
      <c r="C568" s="32" t="s">
        <v>577</v>
      </c>
      <c r="D568" s="32" t="s">
        <v>608</v>
      </c>
      <c r="E568" s="32" t="s">
        <v>556</v>
      </c>
      <c r="F568" s="32" t="s">
        <v>579</v>
      </c>
      <c r="G568" s="32" t="str">
        <f t="shared" si="16"/>
        <v>2" PE EUF</v>
      </c>
      <c r="H568" s="278" t="s">
        <v>467</v>
      </c>
      <c r="I568" s="32" t="s">
        <v>462</v>
      </c>
      <c r="J568" s="279">
        <v>3</v>
      </c>
      <c r="K568" s="280">
        <v>5454.43</v>
      </c>
      <c r="L568" s="280">
        <v>2820.89</v>
      </c>
      <c r="M568" s="280">
        <v>2633.54</v>
      </c>
      <c r="N568" s="281">
        <v>344</v>
      </c>
      <c r="O568" s="282">
        <v>529</v>
      </c>
      <c r="P568" s="280">
        <f t="shared" si="17"/>
        <v>8387.7717151162797</v>
      </c>
    </row>
    <row r="569" spans="1:16" x14ac:dyDescent="0.2">
      <c r="A569" s="32" t="s">
        <v>609</v>
      </c>
      <c r="B569" s="32" t="s">
        <v>576</v>
      </c>
      <c r="C569" s="32" t="s">
        <v>577</v>
      </c>
      <c r="D569" s="32" t="s">
        <v>608</v>
      </c>
      <c r="E569" s="32" t="s">
        <v>556</v>
      </c>
      <c r="F569" s="32" t="s">
        <v>579</v>
      </c>
      <c r="G569" s="32" t="str">
        <f t="shared" si="16"/>
        <v>2" PE EUF</v>
      </c>
      <c r="H569" s="278" t="s">
        <v>475</v>
      </c>
      <c r="I569" s="32" t="s">
        <v>462</v>
      </c>
      <c r="J569" s="279">
        <v>1</v>
      </c>
      <c r="K569" s="280">
        <v>11603.55</v>
      </c>
      <c r="L569" s="280">
        <v>3450.57</v>
      </c>
      <c r="M569" s="280">
        <v>8152.98</v>
      </c>
      <c r="N569" s="281">
        <v>393</v>
      </c>
      <c r="O569" s="282">
        <v>529</v>
      </c>
      <c r="P569" s="280">
        <f t="shared" si="17"/>
        <v>15619.027862595418</v>
      </c>
    </row>
    <row r="570" spans="1:16" x14ac:dyDescent="0.2">
      <c r="A570" s="32" t="s">
        <v>610</v>
      </c>
      <c r="B570" s="32" t="s">
        <v>576</v>
      </c>
      <c r="C570" s="32" t="s">
        <v>577</v>
      </c>
      <c r="D570" s="32" t="s">
        <v>608</v>
      </c>
      <c r="E570" s="32" t="s">
        <v>556</v>
      </c>
      <c r="F570" s="32" t="s">
        <v>581</v>
      </c>
      <c r="G570" s="32" t="str">
        <f t="shared" si="16"/>
        <v>2" PE EXTN</v>
      </c>
      <c r="H570" s="278" t="s">
        <v>467</v>
      </c>
      <c r="I570" s="32" t="s">
        <v>462</v>
      </c>
      <c r="J570" s="279">
        <v>26</v>
      </c>
      <c r="K570" s="280">
        <v>73428.39</v>
      </c>
      <c r="L570" s="280">
        <v>37975.33</v>
      </c>
      <c r="M570" s="280">
        <v>35453.06</v>
      </c>
      <c r="N570" s="281">
        <v>344</v>
      </c>
      <c r="O570" s="282">
        <v>529</v>
      </c>
      <c r="P570" s="280">
        <f t="shared" si="17"/>
        <v>112917.4950872093</v>
      </c>
    </row>
    <row r="571" spans="1:16" x14ac:dyDescent="0.2">
      <c r="A571" s="32" t="s">
        <v>610</v>
      </c>
      <c r="B571" s="32" t="s">
        <v>576</v>
      </c>
      <c r="C571" s="32" t="s">
        <v>577</v>
      </c>
      <c r="D571" s="32" t="s">
        <v>608</v>
      </c>
      <c r="E571" s="32" t="s">
        <v>556</v>
      </c>
      <c r="F571" s="32" t="s">
        <v>581</v>
      </c>
      <c r="G571" s="32" t="str">
        <f t="shared" si="16"/>
        <v>2" PE EXTN</v>
      </c>
      <c r="H571" s="278" t="s">
        <v>473</v>
      </c>
      <c r="I571" s="32" t="s">
        <v>462</v>
      </c>
      <c r="J571" s="279">
        <v>142</v>
      </c>
      <c r="K571" s="280">
        <v>412720.9</v>
      </c>
      <c r="L571" s="280">
        <v>198582.77</v>
      </c>
      <c r="M571" s="280">
        <v>214138.13</v>
      </c>
      <c r="N571" s="281">
        <v>351</v>
      </c>
      <c r="O571" s="282">
        <v>529</v>
      </c>
      <c r="P571" s="280">
        <f t="shared" si="17"/>
        <v>622020.95754985756</v>
      </c>
    </row>
    <row r="572" spans="1:16" x14ac:dyDescent="0.2">
      <c r="A572" s="32" t="s">
        <v>610</v>
      </c>
      <c r="B572" s="32" t="s">
        <v>576</v>
      </c>
      <c r="C572" s="32" t="s">
        <v>577</v>
      </c>
      <c r="D572" s="32" t="s">
        <v>608</v>
      </c>
      <c r="E572" s="32" t="s">
        <v>556</v>
      </c>
      <c r="F572" s="32" t="s">
        <v>581</v>
      </c>
      <c r="G572" s="32" t="str">
        <f t="shared" si="16"/>
        <v>2" PE EXTN</v>
      </c>
      <c r="H572" s="278" t="s">
        <v>479</v>
      </c>
      <c r="I572" s="32" t="s">
        <v>462</v>
      </c>
      <c r="J572" s="279">
        <v>192</v>
      </c>
      <c r="K572" s="280">
        <v>377269.68</v>
      </c>
      <c r="L572" s="280">
        <v>167748.76</v>
      </c>
      <c r="M572" s="280">
        <v>209520.92</v>
      </c>
      <c r="N572" s="281">
        <v>357</v>
      </c>
      <c r="O572" s="282">
        <v>529</v>
      </c>
      <c r="P572" s="280">
        <f t="shared" si="17"/>
        <v>559035.46420168073</v>
      </c>
    </row>
    <row r="573" spans="1:16" x14ac:dyDescent="0.2">
      <c r="A573" s="32" t="s">
        <v>610</v>
      </c>
      <c r="B573" s="32" t="s">
        <v>576</v>
      </c>
      <c r="C573" s="32" t="s">
        <v>577</v>
      </c>
      <c r="D573" s="32" t="s">
        <v>608</v>
      </c>
      <c r="E573" s="32" t="s">
        <v>556</v>
      </c>
      <c r="F573" s="32" t="s">
        <v>581</v>
      </c>
      <c r="G573" s="32" t="str">
        <f t="shared" si="16"/>
        <v>2" PE EXTN</v>
      </c>
      <c r="H573" s="278" t="s">
        <v>480</v>
      </c>
      <c r="I573" s="32" t="s">
        <v>462</v>
      </c>
      <c r="J573" s="279">
        <v>811</v>
      </c>
      <c r="K573" s="280">
        <v>1316374.52</v>
      </c>
      <c r="L573" s="280">
        <v>536843.01</v>
      </c>
      <c r="M573" s="280">
        <v>779531.51</v>
      </c>
      <c r="N573" s="281">
        <v>365</v>
      </c>
      <c r="O573" s="282">
        <v>529</v>
      </c>
      <c r="P573" s="280">
        <f t="shared" si="17"/>
        <v>1907841.4276164384</v>
      </c>
    </row>
    <row r="574" spans="1:16" x14ac:dyDescent="0.2">
      <c r="A574" s="32" t="s">
        <v>610</v>
      </c>
      <c r="B574" s="32" t="s">
        <v>576</v>
      </c>
      <c r="C574" s="32" t="s">
        <v>577</v>
      </c>
      <c r="D574" s="32" t="s">
        <v>608</v>
      </c>
      <c r="E574" s="32" t="s">
        <v>556</v>
      </c>
      <c r="F574" s="32" t="s">
        <v>581</v>
      </c>
      <c r="G574" s="32" t="str">
        <f t="shared" si="16"/>
        <v>2" PE EXTN</v>
      </c>
      <c r="H574" s="278" t="s">
        <v>472</v>
      </c>
      <c r="I574" s="32" t="s">
        <v>462</v>
      </c>
      <c r="J574" s="279">
        <v>828</v>
      </c>
      <c r="K574" s="280">
        <v>935342.03</v>
      </c>
      <c r="L574" s="280">
        <v>346897.28</v>
      </c>
      <c r="M574" s="280">
        <v>588444.75</v>
      </c>
      <c r="N574" s="281">
        <v>370</v>
      </c>
      <c r="O574" s="282">
        <v>529</v>
      </c>
      <c r="P574" s="280">
        <f t="shared" si="17"/>
        <v>1337286.3077567569</v>
      </c>
    </row>
    <row r="575" spans="1:16" x14ac:dyDescent="0.2">
      <c r="A575" s="32" t="s">
        <v>610</v>
      </c>
      <c r="B575" s="32" t="s">
        <v>576</v>
      </c>
      <c r="C575" s="32" t="s">
        <v>577</v>
      </c>
      <c r="D575" s="32" t="s">
        <v>608</v>
      </c>
      <c r="E575" s="32" t="s">
        <v>556</v>
      </c>
      <c r="F575" s="32" t="s">
        <v>581</v>
      </c>
      <c r="G575" s="32" t="str">
        <f t="shared" si="16"/>
        <v>2" PE EXTN</v>
      </c>
      <c r="H575" s="278" t="s">
        <v>478</v>
      </c>
      <c r="I575" s="32" t="s">
        <v>462</v>
      </c>
      <c r="J575" s="279">
        <v>743</v>
      </c>
      <c r="K575" s="280">
        <v>869538.25</v>
      </c>
      <c r="L575" s="280">
        <v>290432.08</v>
      </c>
      <c r="M575" s="280">
        <v>579106.17000000004</v>
      </c>
      <c r="N575" s="281">
        <v>378</v>
      </c>
      <c r="O575" s="282">
        <v>529</v>
      </c>
      <c r="P575" s="280">
        <f t="shared" si="17"/>
        <v>1216893.4768518519</v>
      </c>
    </row>
    <row r="576" spans="1:16" x14ac:dyDescent="0.2">
      <c r="A576" s="32" t="s">
        <v>610</v>
      </c>
      <c r="B576" s="32" t="s">
        <v>576</v>
      </c>
      <c r="C576" s="32" t="s">
        <v>577</v>
      </c>
      <c r="D576" s="32" t="s">
        <v>608</v>
      </c>
      <c r="E576" s="32" t="s">
        <v>556</v>
      </c>
      <c r="F576" s="32" t="s">
        <v>581</v>
      </c>
      <c r="G576" s="32" t="str">
        <f t="shared" si="16"/>
        <v>2" PE EXTN</v>
      </c>
      <c r="H576" s="278" t="s">
        <v>475</v>
      </c>
      <c r="I576" s="32" t="s">
        <v>462</v>
      </c>
      <c r="J576" s="279">
        <v>159</v>
      </c>
      <c r="K576" s="280">
        <v>691263.36</v>
      </c>
      <c r="L576" s="280">
        <v>205562.44</v>
      </c>
      <c r="M576" s="280">
        <v>485700.92</v>
      </c>
      <c r="N576" s="281">
        <v>393</v>
      </c>
      <c r="O576" s="282">
        <v>529</v>
      </c>
      <c r="P576" s="280">
        <f t="shared" si="17"/>
        <v>930479.17923664115</v>
      </c>
    </row>
    <row r="577" spans="1:16" x14ac:dyDescent="0.2">
      <c r="A577" s="32" t="s">
        <v>610</v>
      </c>
      <c r="B577" s="32" t="s">
        <v>576</v>
      </c>
      <c r="C577" s="32" t="s">
        <v>577</v>
      </c>
      <c r="D577" s="32" t="s">
        <v>608</v>
      </c>
      <c r="E577" s="32" t="s">
        <v>556</v>
      </c>
      <c r="F577" s="32" t="s">
        <v>581</v>
      </c>
      <c r="G577" s="32" t="str">
        <f t="shared" si="16"/>
        <v>2" PE EXTN</v>
      </c>
      <c r="H577" s="278" t="s">
        <v>471</v>
      </c>
      <c r="I577" s="32" t="s">
        <v>462</v>
      </c>
      <c r="J577" s="279">
        <v>106</v>
      </c>
      <c r="K577" s="280">
        <v>352267.62</v>
      </c>
      <c r="L577" s="280">
        <v>91996.63</v>
      </c>
      <c r="M577" s="280">
        <v>260270.99</v>
      </c>
      <c r="N577" s="281">
        <v>398</v>
      </c>
      <c r="O577" s="282">
        <v>529</v>
      </c>
      <c r="P577" s="280">
        <f t="shared" si="17"/>
        <v>468215.00246231153</v>
      </c>
    </row>
    <row r="578" spans="1:16" x14ac:dyDescent="0.2">
      <c r="A578" s="32" t="s">
        <v>610</v>
      </c>
      <c r="B578" s="32" t="s">
        <v>576</v>
      </c>
      <c r="C578" s="32" t="s">
        <v>577</v>
      </c>
      <c r="D578" s="32" t="s">
        <v>608</v>
      </c>
      <c r="E578" s="32" t="s">
        <v>556</v>
      </c>
      <c r="F578" s="32" t="s">
        <v>581</v>
      </c>
      <c r="G578" s="32" t="str">
        <f t="shared" ref="G578:G641" si="18">D578&amp;" "&amp;E578&amp;" "&amp;F578</f>
        <v>2" PE EXTN</v>
      </c>
      <c r="H578" s="278" t="s">
        <v>476</v>
      </c>
      <c r="I578" s="32" t="s">
        <v>462</v>
      </c>
      <c r="J578" s="279">
        <v>94</v>
      </c>
      <c r="K578" s="280">
        <v>570110.5</v>
      </c>
      <c r="L578" s="280">
        <v>128552.82</v>
      </c>
      <c r="M578" s="280">
        <v>441557.68</v>
      </c>
      <c r="N578" s="281">
        <v>409</v>
      </c>
      <c r="O578" s="282">
        <v>529</v>
      </c>
      <c r="P578" s="280">
        <f t="shared" ref="P578:P641" si="19">+(O578/N578)*K578</f>
        <v>737380.08435207827</v>
      </c>
    </row>
    <row r="579" spans="1:16" x14ac:dyDescent="0.2">
      <c r="A579" s="32" t="s">
        <v>610</v>
      </c>
      <c r="B579" s="32" t="s">
        <v>576</v>
      </c>
      <c r="C579" s="32" t="s">
        <v>577</v>
      </c>
      <c r="D579" s="32" t="s">
        <v>608</v>
      </c>
      <c r="E579" s="32" t="s">
        <v>556</v>
      </c>
      <c r="F579" s="32" t="s">
        <v>581</v>
      </c>
      <c r="G579" s="32" t="str">
        <f t="shared" si="18"/>
        <v>2" PE EXTN</v>
      </c>
      <c r="H579" s="278" t="s">
        <v>474</v>
      </c>
      <c r="I579" s="32" t="s">
        <v>462</v>
      </c>
      <c r="J579" s="279">
        <v>104</v>
      </c>
      <c r="K579" s="280">
        <v>545997.32999999996</v>
      </c>
      <c r="L579" s="280">
        <v>103995.71</v>
      </c>
      <c r="M579" s="280">
        <v>442001.62</v>
      </c>
      <c r="N579" s="281">
        <v>431</v>
      </c>
      <c r="O579" s="282">
        <v>529</v>
      </c>
      <c r="P579" s="280">
        <f t="shared" si="19"/>
        <v>670145.21477958222</v>
      </c>
    </row>
    <row r="580" spans="1:16" x14ac:dyDescent="0.2">
      <c r="A580" s="32" t="s">
        <v>610</v>
      </c>
      <c r="B580" s="32" t="s">
        <v>576</v>
      </c>
      <c r="C580" s="32" t="s">
        <v>577</v>
      </c>
      <c r="D580" s="32" t="s">
        <v>608</v>
      </c>
      <c r="E580" s="32" t="s">
        <v>556</v>
      </c>
      <c r="F580" s="32" t="s">
        <v>581</v>
      </c>
      <c r="G580" s="32" t="str">
        <f t="shared" si="18"/>
        <v>2" PE EXTN</v>
      </c>
      <c r="H580" s="278" t="s">
        <v>477</v>
      </c>
      <c r="I580" s="32" t="s">
        <v>462</v>
      </c>
      <c r="J580" s="279">
        <v>126</v>
      </c>
      <c r="K580" s="280">
        <v>491254.88</v>
      </c>
      <c r="L580" s="280">
        <v>76704.19</v>
      </c>
      <c r="M580" s="280">
        <v>414550.69</v>
      </c>
      <c r="N580" s="281">
        <v>450</v>
      </c>
      <c r="O580" s="282">
        <v>529</v>
      </c>
      <c r="P580" s="280">
        <f t="shared" si="19"/>
        <v>577497.40337777778</v>
      </c>
    </row>
    <row r="581" spans="1:16" x14ac:dyDescent="0.2">
      <c r="A581" s="32" t="s">
        <v>610</v>
      </c>
      <c r="B581" s="32" t="s">
        <v>576</v>
      </c>
      <c r="C581" s="32" t="s">
        <v>577</v>
      </c>
      <c r="D581" s="32" t="s">
        <v>608</v>
      </c>
      <c r="E581" s="32" t="s">
        <v>556</v>
      </c>
      <c r="F581" s="32" t="s">
        <v>581</v>
      </c>
      <c r="G581" s="32" t="str">
        <f t="shared" si="18"/>
        <v>2" PE EXTN</v>
      </c>
      <c r="H581" s="278" t="s">
        <v>470</v>
      </c>
      <c r="I581" s="32" t="s">
        <v>462</v>
      </c>
      <c r="J581" s="279">
        <v>2</v>
      </c>
      <c r="K581" s="280">
        <v>6583.54</v>
      </c>
      <c r="L581" s="280">
        <v>805.9</v>
      </c>
      <c r="M581" s="280">
        <v>5777.64</v>
      </c>
      <c r="N581" s="281">
        <v>467</v>
      </c>
      <c r="O581" s="282">
        <v>529</v>
      </c>
      <c r="P581" s="280">
        <f t="shared" si="19"/>
        <v>7457.5859957173443</v>
      </c>
    </row>
    <row r="582" spans="1:16" x14ac:dyDescent="0.2">
      <c r="A582" s="32" t="s">
        <v>610</v>
      </c>
      <c r="B582" s="32" t="s">
        <v>576</v>
      </c>
      <c r="C582" s="32" t="s">
        <v>577</v>
      </c>
      <c r="D582" s="32" t="s">
        <v>608</v>
      </c>
      <c r="E582" s="32" t="s">
        <v>556</v>
      </c>
      <c r="F582" s="32" t="s">
        <v>581</v>
      </c>
      <c r="G582" s="32" t="str">
        <f t="shared" si="18"/>
        <v>2" PE EXTN</v>
      </c>
      <c r="H582" s="278" t="s">
        <v>470</v>
      </c>
      <c r="I582" s="32" t="s">
        <v>462</v>
      </c>
      <c r="J582" s="279">
        <v>13</v>
      </c>
      <c r="K582" s="280">
        <v>38050.76</v>
      </c>
      <c r="L582" s="280">
        <v>4657.8500000000004</v>
      </c>
      <c r="M582" s="280">
        <v>33392.910000000003</v>
      </c>
      <c r="N582" s="281">
        <v>467</v>
      </c>
      <c r="O582" s="282">
        <v>529</v>
      </c>
      <c r="P582" s="280">
        <f t="shared" si="19"/>
        <v>43102.466895074947</v>
      </c>
    </row>
    <row r="583" spans="1:16" x14ac:dyDescent="0.2">
      <c r="A583" s="32" t="s">
        <v>610</v>
      </c>
      <c r="B583" s="32" t="s">
        <v>576</v>
      </c>
      <c r="C583" s="32" t="s">
        <v>577</v>
      </c>
      <c r="D583" s="32" t="s">
        <v>608</v>
      </c>
      <c r="E583" s="32" t="s">
        <v>556</v>
      </c>
      <c r="F583" s="32" t="s">
        <v>581</v>
      </c>
      <c r="G583" s="32" t="str">
        <f t="shared" si="18"/>
        <v>2" PE EXTN</v>
      </c>
      <c r="H583" s="278" t="s">
        <v>470</v>
      </c>
      <c r="I583" s="32" t="s">
        <v>462</v>
      </c>
      <c r="J583" s="279">
        <v>17</v>
      </c>
      <c r="K583" s="280">
        <v>91446.95</v>
      </c>
      <c r="L583" s="280">
        <v>11194.17</v>
      </c>
      <c r="M583" s="280">
        <v>80252.78</v>
      </c>
      <c r="N583" s="281">
        <v>467</v>
      </c>
      <c r="O583" s="282">
        <v>529</v>
      </c>
      <c r="P583" s="280">
        <f t="shared" si="19"/>
        <v>103587.65856531048</v>
      </c>
    </row>
    <row r="584" spans="1:16" x14ac:dyDescent="0.2">
      <c r="A584" s="32" t="s">
        <v>610</v>
      </c>
      <c r="B584" s="32" t="s">
        <v>576</v>
      </c>
      <c r="C584" s="32" t="s">
        <v>577</v>
      </c>
      <c r="D584" s="32" t="s">
        <v>608</v>
      </c>
      <c r="E584" s="32" t="s">
        <v>556</v>
      </c>
      <c r="F584" s="32" t="s">
        <v>581</v>
      </c>
      <c r="G584" s="32" t="str">
        <f t="shared" si="18"/>
        <v>2" PE EXTN</v>
      </c>
      <c r="H584" s="278" t="s">
        <v>470</v>
      </c>
      <c r="I584" s="32" t="s">
        <v>462</v>
      </c>
      <c r="J584" s="279">
        <v>28</v>
      </c>
      <c r="K584" s="280">
        <v>101998.15</v>
      </c>
      <c r="L584" s="280">
        <v>12485.75</v>
      </c>
      <c r="M584" s="280">
        <v>89512.4</v>
      </c>
      <c r="N584" s="281">
        <v>467</v>
      </c>
      <c r="O584" s="282">
        <v>529</v>
      </c>
      <c r="P584" s="280">
        <f t="shared" si="19"/>
        <v>115539.66027837257</v>
      </c>
    </row>
    <row r="585" spans="1:16" x14ac:dyDescent="0.2">
      <c r="A585" s="32" t="s">
        <v>610</v>
      </c>
      <c r="B585" s="32" t="s">
        <v>576</v>
      </c>
      <c r="C585" s="32" t="s">
        <v>577</v>
      </c>
      <c r="D585" s="32" t="s">
        <v>608</v>
      </c>
      <c r="E585" s="32" t="s">
        <v>556</v>
      </c>
      <c r="F585" s="32" t="s">
        <v>581</v>
      </c>
      <c r="G585" s="32" t="str">
        <f t="shared" si="18"/>
        <v>2" PE EXTN</v>
      </c>
      <c r="H585" s="278" t="s">
        <v>470</v>
      </c>
      <c r="I585" s="32" t="s">
        <v>462</v>
      </c>
      <c r="J585" s="279">
        <v>67</v>
      </c>
      <c r="K585" s="280">
        <v>217315.13</v>
      </c>
      <c r="L585" s="280">
        <v>26601.89</v>
      </c>
      <c r="M585" s="280">
        <v>190713.24</v>
      </c>
      <c r="N585" s="281">
        <v>467</v>
      </c>
      <c r="O585" s="282">
        <v>529</v>
      </c>
      <c r="P585" s="280">
        <f t="shared" si="19"/>
        <v>246166.38922912203</v>
      </c>
    </row>
    <row r="586" spans="1:16" x14ac:dyDescent="0.2">
      <c r="A586" s="32" t="s">
        <v>610</v>
      </c>
      <c r="B586" s="32" t="s">
        <v>576</v>
      </c>
      <c r="C586" s="32" t="s">
        <v>577</v>
      </c>
      <c r="D586" s="32" t="s">
        <v>608</v>
      </c>
      <c r="E586" s="32" t="s">
        <v>556</v>
      </c>
      <c r="F586" s="32" t="s">
        <v>581</v>
      </c>
      <c r="G586" s="32" t="str">
        <f t="shared" si="18"/>
        <v>2" PE EXTN</v>
      </c>
      <c r="H586" s="278" t="s">
        <v>470</v>
      </c>
      <c r="I586" s="32" t="s">
        <v>462</v>
      </c>
      <c r="J586" s="279">
        <v>400</v>
      </c>
      <c r="K586" s="280">
        <v>328794.38</v>
      </c>
      <c r="L586" s="280">
        <v>40248.239999999998</v>
      </c>
      <c r="M586" s="280">
        <v>288546.14</v>
      </c>
      <c r="N586" s="281">
        <v>467</v>
      </c>
      <c r="O586" s="282">
        <v>529</v>
      </c>
      <c r="P586" s="280">
        <f t="shared" si="19"/>
        <v>372445.88226980728</v>
      </c>
    </row>
    <row r="587" spans="1:16" x14ac:dyDescent="0.2">
      <c r="A587" s="32" t="s">
        <v>610</v>
      </c>
      <c r="B587" s="32" t="s">
        <v>576</v>
      </c>
      <c r="C587" s="32" t="s">
        <v>577</v>
      </c>
      <c r="D587" s="32" t="s">
        <v>608</v>
      </c>
      <c r="E587" s="32" t="s">
        <v>556</v>
      </c>
      <c r="F587" s="32" t="s">
        <v>581</v>
      </c>
      <c r="G587" s="32" t="str">
        <f t="shared" si="18"/>
        <v>2" PE EXTN</v>
      </c>
      <c r="H587" s="278" t="s">
        <v>461</v>
      </c>
      <c r="I587" s="32" t="s">
        <v>462</v>
      </c>
      <c r="J587" s="279">
        <v>2</v>
      </c>
      <c r="K587" s="280">
        <v>5230.09</v>
      </c>
      <c r="L587" s="280">
        <v>465.57</v>
      </c>
      <c r="M587" s="280">
        <v>4764.5200000000004</v>
      </c>
      <c r="N587" s="281">
        <v>491</v>
      </c>
      <c r="O587" s="282">
        <v>529</v>
      </c>
      <c r="P587" s="280">
        <f t="shared" si="19"/>
        <v>5634.8627494908351</v>
      </c>
    </row>
    <row r="588" spans="1:16" x14ac:dyDescent="0.2">
      <c r="A588" s="32" t="s">
        <v>610</v>
      </c>
      <c r="B588" s="32" t="s">
        <v>576</v>
      </c>
      <c r="C588" s="32" t="s">
        <v>577</v>
      </c>
      <c r="D588" s="32" t="s">
        <v>608</v>
      </c>
      <c r="E588" s="32" t="s">
        <v>556</v>
      </c>
      <c r="F588" s="32" t="s">
        <v>581</v>
      </c>
      <c r="G588" s="32" t="str">
        <f t="shared" si="18"/>
        <v>2" PE EXTN</v>
      </c>
      <c r="H588" s="278" t="s">
        <v>461</v>
      </c>
      <c r="I588" s="32" t="s">
        <v>462</v>
      </c>
      <c r="J588" s="279">
        <v>3</v>
      </c>
      <c r="K588" s="280">
        <v>10970.84</v>
      </c>
      <c r="L588" s="280">
        <v>976.59</v>
      </c>
      <c r="M588" s="280">
        <v>9994.25</v>
      </c>
      <c r="N588" s="281">
        <v>491</v>
      </c>
      <c r="O588" s="282">
        <v>529</v>
      </c>
      <c r="P588" s="280">
        <f t="shared" si="19"/>
        <v>11819.907046843176</v>
      </c>
    </row>
    <row r="589" spans="1:16" x14ac:dyDescent="0.2">
      <c r="A589" s="32" t="s">
        <v>610</v>
      </c>
      <c r="B589" s="32" t="s">
        <v>576</v>
      </c>
      <c r="C589" s="32" t="s">
        <v>577</v>
      </c>
      <c r="D589" s="32" t="s">
        <v>608</v>
      </c>
      <c r="E589" s="32" t="s">
        <v>556</v>
      </c>
      <c r="F589" s="32" t="s">
        <v>581</v>
      </c>
      <c r="G589" s="32" t="str">
        <f t="shared" si="18"/>
        <v>2" PE EXTN</v>
      </c>
      <c r="H589" s="278" t="s">
        <v>461</v>
      </c>
      <c r="I589" s="32" t="s">
        <v>462</v>
      </c>
      <c r="J589" s="279">
        <v>10</v>
      </c>
      <c r="K589" s="280">
        <v>117428.07</v>
      </c>
      <c r="L589" s="280">
        <v>10453.11</v>
      </c>
      <c r="M589" s="280">
        <v>106974.96</v>
      </c>
      <c r="N589" s="281">
        <v>491</v>
      </c>
      <c r="O589" s="282">
        <v>529</v>
      </c>
      <c r="P589" s="280">
        <f t="shared" si="19"/>
        <v>126516.18947046842</v>
      </c>
    </row>
    <row r="590" spans="1:16" x14ac:dyDescent="0.2">
      <c r="A590" s="32" t="s">
        <v>610</v>
      </c>
      <c r="B590" s="32" t="s">
        <v>576</v>
      </c>
      <c r="C590" s="32" t="s">
        <v>577</v>
      </c>
      <c r="D590" s="32" t="s">
        <v>608</v>
      </c>
      <c r="E590" s="32" t="s">
        <v>556</v>
      </c>
      <c r="F590" s="32" t="s">
        <v>581</v>
      </c>
      <c r="G590" s="32" t="str">
        <f t="shared" si="18"/>
        <v>2" PE EXTN</v>
      </c>
      <c r="H590" s="278" t="s">
        <v>461</v>
      </c>
      <c r="I590" s="32" t="s">
        <v>462</v>
      </c>
      <c r="J590" s="279">
        <v>18</v>
      </c>
      <c r="K590" s="280">
        <v>61144.73</v>
      </c>
      <c r="L590" s="280">
        <v>5442.93</v>
      </c>
      <c r="M590" s="280">
        <v>55701.8</v>
      </c>
      <c r="N590" s="281">
        <v>491</v>
      </c>
      <c r="O590" s="282">
        <v>529</v>
      </c>
      <c r="P590" s="280">
        <f t="shared" si="19"/>
        <v>65876.908696537677</v>
      </c>
    </row>
    <row r="591" spans="1:16" x14ac:dyDescent="0.2">
      <c r="A591" s="32" t="s">
        <v>610</v>
      </c>
      <c r="B591" s="32" t="s">
        <v>576</v>
      </c>
      <c r="C591" s="32" t="s">
        <v>577</v>
      </c>
      <c r="D591" s="32" t="s">
        <v>608</v>
      </c>
      <c r="E591" s="32" t="s">
        <v>556</v>
      </c>
      <c r="F591" s="32" t="s">
        <v>581</v>
      </c>
      <c r="G591" s="32" t="str">
        <f t="shared" si="18"/>
        <v>2" PE EXTN</v>
      </c>
      <c r="H591" s="278" t="s">
        <v>461</v>
      </c>
      <c r="I591" s="32" t="s">
        <v>462</v>
      </c>
      <c r="J591" s="279">
        <v>77</v>
      </c>
      <c r="K591" s="280">
        <v>304781.73</v>
      </c>
      <c r="L591" s="280">
        <v>27130.79</v>
      </c>
      <c r="M591" s="280">
        <v>277650.94</v>
      </c>
      <c r="N591" s="281">
        <v>491</v>
      </c>
      <c r="O591" s="282">
        <v>529</v>
      </c>
      <c r="P591" s="280">
        <f t="shared" si="19"/>
        <v>328369.72539714864</v>
      </c>
    </row>
    <row r="592" spans="1:16" x14ac:dyDescent="0.2">
      <c r="A592" s="32" t="s">
        <v>610</v>
      </c>
      <c r="B592" s="32" t="s">
        <v>576</v>
      </c>
      <c r="C592" s="32" t="s">
        <v>577</v>
      </c>
      <c r="D592" s="32" t="s">
        <v>608</v>
      </c>
      <c r="E592" s="32" t="s">
        <v>556</v>
      </c>
      <c r="F592" s="32" t="s">
        <v>581</v>
      </c>
      <c r="G592" s="32" t="str">
        <f t="shared" si="18"/>
        <v>2" PE EXTN</v>
      </c>
      <c r="H592" s="278" t="s">
        <v>461</v>
      </c>
      <c r="I592" s="32" t="s">
        <v>462</v>
      </c>
      <c r="J592" s="279">
        <v>215</v>
      </c>
      <c r="K592" s="280">
        <v>650945.59</v>
      </c>
      <c r="L592" s="280">
        <v>57945.3</v>
      </c>
      <c r="M592" s="280">
        <v>593000.29</v>
      </c>
      <c r="N592" s="281">
        <v>491</v>
      </c>
      <c r="O592" s="282">
        <v>529</v>
      </c>
      <c r="P592" s="280">
        <f t="shared" si="19"/>
        <v>701324.27109979629</v>
      </c>
    </row>
    <row r="593" spans="1:16" x14ac:dyDescent="0.2">
      <c r="A593" s="32" t="s">
        <v>610</v>
      </c>
      <c r="B593" s="32" t="s">
        <v>576</v>
      </c>
      <c r="C593" s="32" t="s">
        <v>577</v>
      </c>
      <c r="D593" s="32" t="s">
        <v>608</v>
      </c>
      <c r="E593" s="32" t="s">
        <v>556</v>
      </c>
      <c r="F593" s="32" t="s">
        <v>581</v>
      </c>
      <c r="G593" s="32" t="str">
        <f t="shared" si="18"/>
        <v>2" PE EXTN</v>
      </c>
      <c r="H593" s="278" t="s">
        <v>468</v>
      </c>
      <c r="I593" s="32" t="s">
        <v>462</v>
      </c>
      <c r="J593" s="279">
        <v>0</v>
      </c>
      <c r="K593" s="280">
        <v>4511.7700000000004</v>
      </c>
      <c r="L593" s="280">
        <v>249.5</v>
      </c>
      <c r="M593" s="280">
        <v>4262.2700000000004</v>
      </c>
      <c r="N593" s="281">
        <v>517</v>
      </c>
      <c r="O593" s="282">
        <v>529</v>
      </c>
      <c r="P593" s="280">
        <f t="shared" si="19"/>
        <v>4616.4919342359772</v>
      </c>
    </row>
    <row r="594" spans="1:16" x14ac:dyDescent="0.2">
      <c r="A594" s="32" t="s">
        <v>610</v>
      </c>
      <c r="B594" s="32" t="s">
        <v>576</v>
      </c>
      <c r="C594" s="32" t="s">
        <v>577</v>
      </c>
      <c r="D594" s="32" t="s">
        <v>608</v>
      </c>
      <c r="E594" s="32" t="s">
        <v>556</v>
      </c>
      <c r="F594" s="32" t="s">
        <v>581</v>
      </c>
      <c r="G594" s="32" t="str">
        <f t="shared" si="18"/>
        <v>2" PE EXTN</v>
      </c>
      <c r="H594" s="278" t="s">
        <v>468</v>
      </c>
      <c r="I594" s="32" t="s">
        <v>462</v>
      </c>
      <c r="J594" s="279">
        <v>5</v>
      </c>
      <c r="K594" s="280">
        <v>51236.35</v>
      </c>
      <c r="L594" s="280">
        <v>2833.37</v>
      </c>
      <c r="M594" s="280">
        <v>48402.98</v>
      </c>
      <c r="N594" s="281">
        <v>517</v>
      </c>
      <c r="O594" s="282">
        <v>529</v>
      </c>
      <c r="P594" s="280">
        <f t="shared" si="19"/>
        <v>52425.588297872346</v>
      </c>
    </row>
    <row r="595" spans="1:16" x14ac:dyDescent="0.2">
      <c r="A595" s="32" t="s">
        <v>610</v>
      </c>
      <c r="B595" s="32" t="s">
        <v>576</v>
      </c>
      <c r="C595" s="32" t="s">
        <v>577</v>
      </c>
      <c r="D595" s="32" t="s">
        <v>608</v>
      </c>
      <c r="E595" s="32" t="s">
        <v>556</v>
      </c>
      <c r="F595" s="32" t="s">
        <v>581</v>
      </c>
      <c r="G595" s="32" t="str">
        <f t="shared" si="18"/>
        <v>2" PE EXTN</v>
      </c>
      <c r="H595" s="278" t="s">
        <v>468</v>
      </c>
      <c r="I595" s="32" t="s">
        <v>462</v>
      </c>
      <c r="J595" s="279">
        <v>6</v>
      </c>
      <c r="K595" s="280">
        <v>47668.62</v>
      </c>
      <c r="L595" s="280">
        <v>2636.07</v>
      </c>
      <c r="M595" s="280">
        <v>45032.55</v>
      </c>
      <c r="N595" s="281">
        <v>517</v>
      </c>
      <c r="O595" s="282">
        <v>529</v>
      </c>
      <c r="P595" s="280">
        <f t="shared" si="19"/>
        <v>48775.048317214707</v>
      </c>
    </row>
    <row r="596" spans="1:16" x14ac:dyDescent="0.2">
      <c r="A596" s="32" t="s">
        <v>610</v>
      </c>
      <c r="B596" s="32" t="s">
        <v>576</v>
      </c>
      <c r="C596" s="32" t="s">
        <v>577</v>
      </c>
      <c r="D596" s="32" t="s">
        <v>608</v>
      </c>
      <c r="E596" s="32" t="s">
        <v>556</v>
      </c>
      <c r="F596" s="32" t="s">
        <v>581</v>
      </c>
      <c r="G596" s="32" t="str">
        <f t="shared" si="18"/>
        <v>2" PE EXTN</v>
      </c>
      <c r="H596" s="278" t="s">
        <v>468</v>
      </c>
      <c r="I596" s="32" t="s">
        <v>462</v>
      </c>
      <c r="J596" s="279">
        <v>20</v>
      </c>
      <c r="K596" s="280">
        <v>215256.88</v>
      </c>
      <c r="L596" s="280">
        <v>11903.69</v>
      </c>
      <c r="M596" s="280">
        <v>203353.19</v>
      </c>
      <c r="N596" s="281">
        <v>517</v>
      </c>
      <c r="O596" s="282">
        <v>529</v>
      </c>
      <c r="P596" s="280">
        <f t="shared" si="19"/>
        <v>220253.17121856869</v>
      </c>
    </row>
    <row r="597" spans="1:16" x14ac:dyDescent="0.2">
      <c r="A597" s="32" t="s">
        <v>610</v>
      </c>
      <c r="B597" s="32" t="s">
        <v>576</v>
      </c>
      <c r="C597" s="32" t="s">
        <v>577</v>
      </c>
      <c r="D597" s="32" t="s">
        <v>608</v>
      </c>
      <c r="E597" s="32" t="s">
        <v>556</v>
      </c>
      <c r="F597" s="32" t="s">
        <v>581</v>
      </c>
      <c r="G597" s="32" t="str">
        <f t="shared" si="18"/>
        <v>2" PE EXTN</v>
      </c>
      <c r="H597" s="278" t="s">
        <v>468</v>
      </c>
      <c r="I597" s="32" t="s">
        <v>462</v>
      </c>
      <c r="J597" s="279">
        <v>53</v>
      </c>
      <c r="K597" s="280">
        <v>243455.59</v>
      </c>
      <c r="L597" s="280">
        <v>13463.08</v>
      </c>
      <c r="M597" s="280">
        <v>229992.51</v>
      </c>
      <c r="N597" s="281">
        <v>517</v>
      </c>
      <c r="O597" s="282">
        <v>529</v>
      </c>
      <c r="P597" s="280">
        <f t="shared" si="19"/>
        <v>249106.39673114123</v>
      </c>
    </row>
    <row r="598" spans="1:16" x14ac:dyDescent="0.2">
      <c r="A598" s="32" t="s">
        <v>610</v>
      </c>
      <c r="B598" s="32" t="s">
        <v>576</v>
      </c>
      <c r="C598" s="32" t="s">
        <v>577</v>
      </c>
      <c r="D598" s="32" t="s">
        <v>608</v>
      </c>
      <c r="E598" s="32" t="s">
        <v>556</v>
      </c>
      <c r="F598" s="32" t="s">
        <v>581</v>
      </c>
      <c r="G598" s="32" t="str">
        <f t="shared" si="18"/>
        <v>2" PE EXTN</v>
      </c>
      <c r="H598" s="278" t="s">
        <v>468</v>
      </c>
      <c r="I598" s="32" t="s">
        <v>462</v>
      </c>
      <c r="J598" s="279">
        <v>87</v>
      </c>
      <c r="K598" s="280">
        <v>770941.28</v>
      </c>
      <c r="L598" s="280">
        <v>42633.01</v>
      </c>
      <c r="M598" s="280">
        <v>728308.27</v>
      </c>
      <c r="N598" s="281">
        <v>517</v>
      </c>
      <c r="O598" s="282">
        <v>529</v>
      </c>
      <c r="P598" s="280">
        <f t="shared" si="19"/>
        <v>788835.46831721475</v>
      </c>
    </row>
    <row r="599" spans="1:16" x14ac:dyDescent="0.2">
      <c r="A599" s="32" t="s">
        <v>610</v>
      </c>
      <c r="B599" s="32" t="s">
        <v>576</v>
      </c>
      <c r="C599" s="32" t="s">
        <v>577</v>
      </c>
      <c r="D599" s="32" t="s">
        <v>608</v>
      </c>
      <c r="E599" s="32" t="s">
        <v>556</v>
      </c>
      <c r="F599" s="32" t="s">
        <v>581</v>
      </c>
      <c r="G599" s="32" t="str">
        <f t="shared" si="18"/>
        <v>2" PE EXTN</v>
      </c>
      <c r="H599" s="278" t="s">
        <v>469</v>
      </c>
      <c r="I599" s="32" t="s">
        <v>462</v>
      </c>
      <c r="J599" s="279">
        <v>1</v>
      </c>
      <c r="K599" s="280">
        <v>1346.12</v>
      </c>
      <c r="L599" s="280">
        <v>26.47</v>
      </c>
      <c r="M599" s="280">
        <v>1319.65</v>
      </c>
      <c r="N599" s="281">
        <v>529</v>
      </c>
      <c r="O599" s="282">
        <v>529</v>
      </c>
      <c r="P599" s="280">
        <f t="shared" si="19"/>
        <v>1346.12</v>
      </c>
    </row>
    <row r="600" spans="1:16" x14ac:dyDescent="0.2">
      <c r="A600" s="32" t="s">
        <v>610</v>
      </c>
      <c r="B600" s="32" t="s">
        <v>576</v>
      </c>
      <c r="C600" s="32" t="s">
        <v>577</v>
      </c>
      <c r="D600" s="32" t="s">
        <v>608</v>
      </c>
      <c r="E600" s="32" t="s">
        <v>556</v>
      </c>
      <c r="F600" s="32" t="s">
        <v>581</v>
      </c>
      <c r="G600" s="32" t="str">
        <f t="shared" si="18"/>
        <v>2" PE EXTN</v>
      </c>
      <c r="H600" s="278" t="s">
        <v>469</v>
      </c>
      <c r="I600" s="32" t="s">
        <v>462</v>
      </c>
      <c r="J600" s="279">
        <v>11</v>
      </c>
      <c r="K600" s="280">
        <v>58004.51</v>
      </c>
      <c r="L600" s="280">
        <v>1140.45</v>
      </c>
      <c r="M600" s="280">
        <v>56864.06</v>
      </c>
      <c r="N600" s="281">
        <v>529</v>
      </c>
      <c r="O600" s="282">
        <v>529</v>
      </c>
      <c r="P600" s="280">
        <f t="shared" si="19"/>
        <v>58004.51</v>
      </c>
    </row>
    <row r="601" spans="1:16" x14ac:dyDescent="0.2">
      <c r="A601" s="32" t="s">
        <v>610</v>
      </c>
      <c r="B601" s="32" t="s">
        <v>576</v>
      </c>
      <c r="C601" s="32" t="s">
        <v>577</v>
      </c>
      <c r="D601" s="32" t="s">
        <v>608</v>
      </c>
      <c r="E601" s="32" t="s">
        <v>556</v>
      </c>
      <c r="F601" s="32" t="s">
        <v>581</v>
      </c>
      <c r="G601" s="32" t="str">
        <f t="shared" si="18"/>
        <v>2" PE EXTN</v>
      </c>
      <c r="H601" s="278" t="s">
        <v>469</v>
      </c>
      <c r="I601" s="32" t="s">
        <v>462</v>
      </c>
      <c r="J601" s="279">
        <v>16</v>
      </c>
      <c r="K601" s="280">
        <v>120922.18</v>
      </c>
      <c r="L601" s="280">
        <v>2377.5</v>
      </c>
      <c r="M601" s="280">
        <v>118544.68</v>
      </c>
      <c r="N601" s="281">
        <v>529</v>
      </c>
      <c r="O601" s="282">
        <v>529</v>
      </c>
      <c r="P601" s="280">
        <f t="shared" si="19"/>
        <v>120922.18</v>
      </c>
    </row>
    <row r="602" spans="1:16" x14ac:dyDescent="0.2">
      <c r="A602" s="32" t="s">
        <v>610</v>
      </c>
      <c r="B602" s="32" t="s">
        <v>576</v>
      </c>
      <c r="C602" s="32" t="s">
        <v>577</v>
      </c>
      <c r="D602" s="32" t="s">
        <v>608</v>
      </c>
      <c r="E602" s="32" t="s">
        <v>556</v>
      </c>
      <c r="F602" s="32" t="s">
        <v>581</v>
      </c>
      <c r="G602" s="32" t="str">
        <f t="shared" si="18"/>
        <v>2" PE EXTN</v>
      </c>
      <c r="H602" s="278" t="s">
        <v>469</v>
      </c>
      <c r="I602" s="32" t="s">
        <v>462</v>
      </c>
      <c r="J602" s="279">
        <v>25</v>
      </c>
      <c r="K602" s="280">
        <v>227490.58</v>
      </c>
      <c r="L602" s="280">
        <v>4472.79</v>
      </c>
      <c r="M602" s="280">
        <v>223017.79</v>
      </c>
      <c r="N602" s="281">
        <v>529</v>
      </c>
      <c r="O602" s="282">
        <v>529</v>
      </c>
      <c r="P602" s="280">
        <f t="shared" si="19"/>
        <v>227490.58</v>
      </c>
    </row>
    <row r="603" spans="1:16" x14ac:dyDescent="0.2">
      <c r="A603" s="32" t="s">
        <v>610</v>
      </c>
      <c r="B603" s="32" t="s">
        <v>576</v>
      </c>
      <c r="C603" s="32" t="s">
        <v>577</v>
      </c>
      <c r="D603" s="32" t="s">
        <v>608</v>
      </c>
      <c r="E603" s="32" t="s">
        <v>556</v>
      </c>
      <c r="F603" s="32" t="s">
        <v>581</v>
      </c>
      <c r="G603" s="32" t="str">
        <f t="shared" si="18"/>
        <v>2" PE EXTN</v>
      </c>
      <c r="H603" s="278" t="s">
        <v>469</v>
      </c>
      <c r="I603" s="32" t="s">
        <v>462</v>
      </c>
      <c r="J603" s="279">
        <v>29</v>
      </c>
      <c r="K603" s="280">
        <v>167357.23000000001</v>
      </c>
      <c r="L603" s="280">
        <v>3290.48</v>
      </c>
      <c r="M603" s="280">
        <v>164066.75</v>
      </c>
      <c r="N603" s="281">
        <v>529</v>
      </c>
      <c r="O603" s="282">
        <v>529</v>
      </c>
      <c r="P603" s="280">
        <f t="shared" si="19"/>
        <v>167357.23000000001</v>
      </c>
    </row>
    <row r="604" spans="1:16" x14ac:dyDescent="0.2">
      <c r="A604" s="32" t="s">
        <v>611</v>
      </c>
      <c r="B604" s="32" t="s">
        <v>576</v>
      </c>
      <c r="C604" s="32" t="s">
        <v>577</v>
      </c>
      <c r="D604" s="32" t="s">
        <v>608</v>
      </c>
      <c r="E604" s="32" t="s">
        <v>556</v>
      </c>
      <c r="F604" s="32" t="s">
        <v>581</v>
      </c>
      <c r="G604" s="32" t="str">
        <f t="shared" si="18"/>
        <v>2" PE EXTN</v>
      </c>
      <c r="H604" s="278" t="s">
        <v>525</v>
      </c>
      <c r="I604" s="32" t="s">
        <v>462</v>
      </c>
      <c r="J604" s="279">
        <v>31</v>
      </c>
      <c r="K604" s="280">
        <v>9712.49</v>
      </c>
      <c r="L604" s="280">
        <v>9672.51</v>
      </c>
      <c r="M604" s="280">
        <v>39.979999999999997</v>
      </c>
      <c r="N604" s="281">
        <v>111</v>
      </c>
      <c r="O604" s="282">
        <v>529</v>
      </c>
      <c r="P604" s="280">
        <f t="shared" si="19"/>
        <v>46287.452342342338</v>
      </c>
    </row>
    <row r="605" spans="1:16" x14ac:dyDescent="0.2">
      <c r="A605" s="32" t="s">
        <v>611</v>
      </c>
      <c r="B605" s="32" t="s">
        <v>576</v>
      </c>
      <c r="C605" s="32" t="s">
        <v>577</v>
      </c>
      <c r="D605" s="32" t="s">
        <v>608</v>
      </c>
      <c r="E605" s="32" t="s">
        <v>556</v>
      </c>
      <c r="F605" s="32" t="s">
        <v>581</v>
      </c>
      <c r="G605" s="32" t="str">
        <f t="shared" si="18"/>
        <v>2" PE EXTN</v>
      </c>
      <c r="H605" s="278" t="s">
        <v>522</v>
      </c>
      <c r="I605" s="32" t="s">
        <v>462</v>
      </c>
      <c r="J605" s="279">
        <v>46</v>
      </c>
      <c r="K605" s="280">
        <v>57718.36</v>
      </c>
      <c r="L605" s="280">
        <v>56485.88</v>
      </c>
      <c r="M605" s="280">
        <v>1232.48</v>
      </c>
      <c r="N605" s="281">
        <v>141</v>
      </c>
      <c r="O605" s="282">
        <v>529</v>
      </c>
      <c r="P605" s="280">
        <f t="shared" si="19"/>
        <v>216546.18751773049</v>
      </c>
    </row>
    <row r="606" spans="1:16" x14ac:dyDescent="0.2">
      <c r="A606" s="32" t="s">
        <v>611</v>
      </c>
      <c r="B606" s="32" t="s">
        <v>576</v>
      </c>
      <c r="C606" s="32" t="s">
        <v>577</v>
      </c>
      <c r="D606" s="32" t="s">
        <v>608</v>
      </c>
      <c r="E606" s="32" t="s">
        <v>556</v>
      </c>
      <c r="F606" s="32" t="s">
        <v>581</v>
      </c>
      <c r="G606" s="32" t="str">
        <f t="shared" si="18"/>
        <v>2" PE EXTN</v>
      </c>
      <c r="H606" s="278" t="s">
        <v>526</v>
      </c>
      <c r="I606" s="32" t="s">
        <v>462</v>
      </c>
      <c r="J606" s="279">
        <v>71</v>
      </c>
      <c r="K606" s="280">
        <v>58418.28</v>
      </c>
      <c r="L606" s="280">
        <v>56578.75</v>
      </c>
      <c r="M606" s="280">
        <v>1839.53</v>
      </c>
      <c r="N606" s="281">
        <v>149</v>
      </c>
      <c r="O606" s="282">
        <v>529</v>
      </c>
      <c r="P606" s="280">
        <f t="shared" si="19"/>
        <v>207404.49744966443</v>
      </c>
    </row>
    <row r="607" spans="1:16" x14ac:dyDescent="0.2">
      <c r="A607" s="32" t="s">
        <v>611</v>
      </c>
      <c r="B607" s="32" t="s">
        <v>576</v>
      </c>
      <c r="C607" s="32" t="s">
        <v>577</v>
      </c>
      <c r="D607" s="32" t="s">
        <v>608</v>
      </c>
      <c r="E607" s="32" t="s">
        <v>556</v>
      </c>
      <c r="F607" s="32" t="s">
        <v>581</v>
      </c>
      <c r="G607" s="32" t="str">
        <f t="shared" si="18"/>
        <v>2" PE EXTN</v>
      </c>
      <c r="H607" s="278" t="s">
        <v>486</v>
      </c>
      <c r="I607" s="32" t="s">
        <v>462</v>
      </c>
      <c r="J607" s="279">
        <v>48</v>
      </c>
      <c r="K607" s="280">
        <v>54323.77</v>
      </c>
      <c r="L607" s="280">
        <v>52001.94</v>
      </c>
      <c r="M607" s="280">
        <v>2321.83</v>
      </c>
      <c r="N607" s="281">
        <v>160</v>
      </c>
      <c r="O607" s="282">
        <v>529</v>
      </c>
      <c r="P607" s="280">
        <f t="shared" si="19"/>
        <v>179607.96456249998</v>
      </c>
    </row>
    <row r="608" spans="1:16" x14ac:dyDescent="0.2">
      <c r="A608" s="32" t="s">
        <v>611</v>
      </c>
      <c r="B608" s="32" t="s">
        <v>576</v>
      </c>
      <c r="C608" s="32" t="s">
        <v>577</v>
      </c>
      <c r="D608" s="32" t="s">
        <v>608</v>
      </c>
      <c r="E608" s="32" t="s">
        <v>556</v>
      </c>
      <c r="F608" s="32" t="s">
        <v>581</v>
      </c>
      <c r="G608" s="32" t="str">
        <f t="shared" si="18"/>
        <v>2" PE EXTN</v>
      </c>
      <c r="H608" s="278" t="s">
        <v>519</v>
      </c>
      <c r="I608" s="32" t="s">
        <v>462</v>
      </c>
      <c r="J608" s="279">
        <v>169</v>
      </c>
      <c r="K608" s="280">
        <v>138873.41</v>
      </c>
      <c r="L608" s="280">
        <v>131209.51</v>
      </c>
      <c r="M608" s="280">
        <v>7663.9</v>
      </c>
      <c r="N608" s="281">
        <v>172</v>
      </c>
      <c r="O608" s="282">
        <v>529</v>
      </c>
      <c r="P608" s="280">
        <f t="shared" si="19"/>
        <v>427116.47610465117</v>
      </c>
    </row>
    <row r="609" spans="1:16" x14ac:dyDescent="0.2">
      <c r="A609" s="32" t="s">
        <v>611</v>
      </c>
      <c r="B609" s="32" t="s">
        <v>576</v>
      </c>
      <c r="C609" s="32" t="s">
        <v>577</v>
      </c>
      <c r="D609" s="32" t="s">
        <v>608</v>
      </c>
      <c r="E609" s="32" t="s">
        <v>556</v>
      </c>
      <c r="F609" s="32" t="s">
        <v>581</v>
      </c>
      <c r="G609" s="32" t="str">
        <f t="shared" si="18"/>
        <v>2" PE EXTN</v>
      </c>
      <c r="H609" s="278" t="s">
        <v>521</v>
      </c>
      <c r="I609" s="32" t="s">
        <v>462</v>
      </c>
      <c r="J609" s="279">
        <v>219</v>
      </c>
      <c r="K609" s="280">
        <v>236136.02</v>
      </c>
      <c r="L609" s="280">
        <v>219866.73</v>
      </c>
      <c r="M609" s="280">
        <v>16269.29</v>
      </c>
      <c r="N609" s="281">
        <v>192</v>
      </c>
      <c r="O609" s="282">
        <v>529</v>
      </c>
      <c r="P609" s="280">
        <f t="shared" si="19"/>
        <v>650603.93010416662</v>
      </c>
    </row>
    <row r="610" spans="1:16" x14ac:dyDescent="0.2">
      <c r="A610" s="32" t="s">
        <v>611</v>
      </c>
      <c r="B610" s="32" t="s">
        <v>576</v>
      </c>
      <c r="C610" s="32" t="s">
        <v>577</v>
      </c>
      <c r="D610" s="32" t="s">
        <v>608</v>
      </c>
      <c r="E610" s="32" t="s">
        <v>556</v>
      </c>
      <c r="F610" s="32" t="s">
        <v>581</v>
      </c>
      <c r="G610" s="32" t="str">
        <f t="shared" si="18"/>
        <v>2" PE EXTN</v>
      </c>
      <c r="H610" s="278" t="s">
        <v>520</v>
      </c>
      <c r="I610" s="32" t="s">
        <v>462</v>
      </c>
      <c r="J610" s="279">
        <v>245</v>
      </c>
      <c r="K610" s="280">
        <v>205579.77</v>
      </c>
      <c r="L610" s="280">
        <v>188322.95</v>
      </c>
      <c r="M610" s="280">
        <v>17256.82</v>
      </c>
      <c r="N610" s="281">
        <v>216</v>
      </c>
      <c r="O610" s="282">
        <v>529</v>
      </c>
      <c r="P610" s="280">
        <f t="shared" si="19"/>
        <v>503480.08486111107</v>
      </c>
    </row>
    <row r="611" spans="1:16" x14ac:dyDescent="0.2">
      <c r="A611" s="32" t="s">
        <v>611</v>
      </c>
      <c r="B611" s="32" t="s">
        <v>576</v>
      </c>
      <c r="C611" s="32" t="s">
        <v>577</v>
      </c>
      <c r="D611" s="32" t="s">
        <v>608</v>
      </c>
      <c r="E611" s="32" t="s">
        <v>556</v>
      </c>
      <c r="F611" s="32" t="s">
        <v>581</v>
      </c>
      <c r="G611" s="32" t="str">
        <f t="shared" si="18"/>
        <v>2" PE EXTN</v>
      </c>
      <c r="H611" s="278" t="s">
        <v>518</v>
      </c>
      <c r="I611" s="32" t="s">
        <v>462</v>
      </c>
      <c r="J611" s="279">
        <v>114</v>
      </c>
      <c r="K611" s="280">
        <v>211187.27</v>
      </c>
      <c r="L611" s="280">
        <v>189988.28</v>
      </c>
      <c r="M611" s="280">
        <v>21198.99</v>
      </c>
      <c r="N611" s="281">
        <v>238</v>
      </c>
      <c r="O611" s="282">
        <v>529</v>
      </c>
      <c r="P611" s="280">
        <f t="shared" si="19"/>
        <v>469403.63794117648</v>
      </c>
    </row>
    <row r="612" spans="1:16" x14ac:dyDescent="0.2">
      <c r="A612" s="32" t="s">
        <v>611</v>
      </c>
      <c r="B612" s="32" t="s">
        <v>576</v>
      </c>
      <c r="C612" s="32" t="s">
        <v>577</v>
      </c>
      <c r="D612" s="32" t="s">
        <v>608</v>
      </c>
      <c r="E612" s="32" t="s">
        <v>556</v>
      </c>
      <c r="F612" s="32" t="s">
        <v>581</v>
      </c>
      <c r="G612" s="32" t="str">
        <f t="shared" si="18"/>
        <v>2" PE EXTN</v>
      </c>
      <c r="H612" s="278" t="s">
        <v>517</v>
      </c>
      <c r="I612" s="32" t="s">
        <v>462</v>
      </c>
      <c r="J612" s="279">
        <v>98</v>
      </c>
      <c r="K612" s="280">
        <v>190126.24</v>
      </c>
      <c r="L612" s="280">
        <v>167642.07</v>
      </c>
      <c r="M612" s="280">
        <v>22484.17</v>
      </c>
      <c r="N612" s="281">
        <v>249</v>
      </c>
      <c r="O612" s="282">
        <v>529</v>
      </c>
      <c r="P612" s="280">
        <f t="shared" si="19"/>
        <v>403922.81510040164</v>
      </c>
    </row>
    <row r="613" spans="1:16" x14ac:dyDescent="0.2">
      <c r="A613" s="32" t="s">
        <v>611</v>
      </c>
      <c r="B613" s="32" t="s">
        <v>576</v>
      </c>
      <c r="C613" s="32" t="s">
        <v>577</v>
      </c>
      <c r="D613" s="32" t="s">
        <v>608</v>
      </c>
      <c r="E613" s="32" t="s">
        <v>556</v>
      </c>
      <c r="F613" s="32" t="s">
        <v>581</v>
      </c>
      <c r="G613" s="32" t="str">
        <f t="shared" si="18"/>
        <v>2" PE EXTN</v>
      </c>
      <c r="H613" s="278" t="s">
        <v>463</v>
      </c>
      <c r="I613" s="32" t="s">
        <v>462</v>
      </c>
      <c r="J613" s="279">
        <v>171</v>
      </c>
      <c r="K613" s="280">
        <v>248232.63</v>
      </c>
      <c r="L613" s="280">
        <v>214068.17</v>
      </c>
      <c r="M613" s="280">
        <v>34164.46</v>
      </c>
      <c r="N613" s="281">
        <v>258</v>
      </c>
      <c r="O613" s="282">
        <v>529</v>
      </c>
      <c r="P613" s="280">
        <f t="shared" si="19"/>
        <v>508973.10569767444</v>
      </c>
    </row>
    <row r="614" spans="1:16" x14ac:dyDescent="0.2">
      <c r="A614" s="32" t="s">
        <v>611</v>
      </c>
      <c r="B614" s="32" t="s">
        <v>576</v>
      </c>
      <c r="C614" s="32" t="s">
        <v>577</v>
      </c>
      <c r="D614" s="32" t="s">
        <v>608</v>
      </c>
      <c r="E614" s="32" t="s">
        <v>556</v>
      </c>
      <c r="F614" s="32" t="s">
        <v>581</v>
      </c>
      <c r="G614" s="32" t="str">
        <f t="shared" si="18"/>
        <v>2" PE EXTN</v>
      </c>
      <c r="H614" s="278" t="s">
        <v>464</v>
      </c>
      <c r="I614" s="32" t="s">
        <v>462</v>
      </c>
      <c r="J614" s="279">
        <v>256</v>
      </c>
      <c r="K614" s="280">
        <v>369608.9</v>
      </c>
      <c r="L614" s="280">
        <v>311020.19</v>
      </c>
      <c r="M614" s="280">
        <v>58588.71</v>
      </c>
      <c r="N614" s="281">
        <v>263</v>
      </c>
      <c r="O614" s="282">
        <v>529</v>
      </c>
      <c r="P614" s="280">
        <f t="shared" si="19"/>
        <v>743433.87110266159</v>
      </c>
    </row>
    <row r="615" spans="1:16" x14ac:dyDescent="0.2">
      <c r="A615" s="32" t="s">
        <v>611</v>
      </c>
      <c r="B615" s="32" t="s">
        <v>576</v>
      </c>
      <c r="C615" s="32" t="s">
        <v>577</v>
      </c>
      <c r="D615" s="32" t="s">
        <v>608</v>
      </c>
      <c r="E615" s="32" t="s">
        <v>556</v>
      </c>
      <c r="F615" s="32" t="s">
        <v>581</v>
      </c>
      <c r="G615" s="32" t="str">
        <f t="shared" si="18"/>
        <v>2" PE EXTN</v>
      </c>
      <c r="H615" s="278" t="s">
        <v>515</v>
      </c>
      <c r="I615" s="32" t="s">
        <v>462</v>
      </c>
      <c r="J615" s="279">
        <v>310</v>
      </c>
      <c r="K615" s="280">
        <v>563317.53</v>
      </c>
      <c r="L615" s="280">
        <v>461390.81</v>
      </c>
      <c r="M615" s="280">
        <v>101926.72</v>
      </c>
      <c r="N615" s="281">
        <v>267</v>
      </c>
      <c r="O615" s="282">
        <v>529</v>
      </c>
      <c r="P615" s="280">
        <f t="shared" si="19"/>
        <v>1116086.0425842698</v>
      </c>
    </row>
    <row r="616" spans="1:16" x14ac:dyDescent="0.2">
      <c r="A616" s="32" t="s">
        <v>611</v>
      </c>
      <c r="B616" s="32" t="s">
        <v>576</v>
      </c>
      <c r="C616" s="32" t="s">
        <v>577</v>
      </c>
      <c r="D616" s="32" t="s">
        <v>608</v>
      </c>
      <c r="E616" s="32" t="s">
        <v>556</v>
      </c>
      <c r="F616" s="32" t="s">
        <v>581</v>
      </c>
      <c r="G616" s="32" t="str">
        <f t="shared" si="18"/>
        <v>2" PE EXTN</v>
      </c>
      <c r="H616" s="278" t="s">
        <v>523</v>
      </c>
      <c r="I616" s="32" t="s">
        <v>462</v>
      </c>
      <c r="J616" s="279">
        <v>324</v>
      </c>
      <c r="K616" s="280">
        <v>612157.65</v>
      </c>
      <c r="L616" s="280">
        <v>486722.18</v>
      </c>
      <c r="M616" s="280">
        <v>125435.47</v>
      </c>
      <c r="N616" s="281">
        <v>274</v>
      </c>
      <c r="O616" s="282">
        <v>529</v>
      </c>
      <c r="P616" s="280">
        <f t="shared" si="19"/>
        <v>1181866.411861314</v>
      </c>
    </row>
    <row r="617" spans="1:16" x14ac:dyDescent="0.2">
      <c r="A617" s="32" t="s">
        <v>611</v>
      </c>
      <c r="B617" s="32" t="s">
        <v>576</v>
      </c>
      <c r="C617" s="32" t="s">
        <v>577</v>
      </c>
      <c r="D617" s="32" t="s">
        <v>608</v>
      </c>
      <c r="E617" s="32" t="s">
        <v>556</v>
      </c>
      <c r="F617" s="32" t="s">
        <v>581</v>
      </c>
      <c r="G617" s="32" t="str">
        <f t="shared" si="18"/>
        <v>2" PE EXTN</v>
      </c>
      <c r="H617" s="278" t="s">
        <v>516</v>
      </c>
      <c r="I617" s="32" t="s">
        <v>462</v>
      </c>
      <c r="J617" s="279">
        <v>384</v>
      </c>
      <c r="K617" s="280">
        <v>765322.31</v>
      </c>
      <c r="L617" s="280">
        <v>588983.1</v>
      </c>
      <c r="M617" s="280">
        <v>176339.21</v>
      </c>
      <c r="N617" s="281">
        <v>281</v>
      </c>
      <c r="O617" s="282">
        <v>529</v>
      </c>
      <c r="P617" s="280">
        <f t="shared" si="19"/>
        <v>1440766.9109964415</v>
      </c>
    </row>
    <row r="618" spans="1:16" x14ac:dyDescent="0.2">
      <c r="A618" s="32" t="s">
        <v>611</v>
      </c>
      <c r="B618" s="32" t="s">
        <v>576</v>
      </c>
      <c r="C618" s="32" t="s">
        <v>577</v>
      </c>
      <c r="D618" s="32" t="s">
        <v>608</v>
      </c>
      <c r="E618" s="32" t="s">
        <v>556</v>
      </c>
      <c r="F618" s="32" t="s">
        <v>581</v>
      </c>
      <c r="G618" s="32" t="str">
        <f t="shared" si="18"/>
        <v>2" PE EXTN</v>
      </c>
      <c r="H618" s="278" t="s">
        <v>466</v>
      </c>
      <c r="I618" s="32" t="s">
        <v>462</v>
      </c>
      <c r="J618" s="279">
        <v>448</v>
      </c>
      <c r="K618" s="280">
        <v>714598.71</v>
      </c>
      <c r="L618" s="280">
        <v>530648.85</v>
      </c>
      <c r="M618" s="280">
        <v>183949.86</v>
      </c>
      <c r="N618" s="281">
        <v>290</v>
      </c>
      <c r="O618" s="282">
        <v>529</v>
      </c>
      <c r="P618" s="280">
        <f t="shared" si="19"/>
        <v>1303526.6123793102</v>
      </c>
    </row>
    <row r="619" spans="1:16" x14ac:dyDescent="0.2">
      <c r="A619" s="32" t="s">
        <v>611</v>
      </c>
      <c r="B619" s="32" t="s">
        <v>576</v>
      </c>
      <c r="C619" s="32" t="s">
        <v>577</v>
      </c>
      <c r="D619" s="32" t="s">
        <v>608</v>
      </c>
      <c r="E619" s="32" t="s">
        <v>556</v>
      </c>
      <c r="F619" s="32" t="s">
        <v>581</v>
      </c>
      <c r="G619" s="32" t="str">
        <f t="shared" si="18"/>
        <v>2" PE EXTN</v>
      </c>
      <c r="H619" s="278" t="s">
        <v>489</v>
      </c>
      <c r="I619" s="32" t="s">
        <v>462</v>
      </c>
      <c r="J619" s="279">
        <v>573</v>
      </c>
      <c r="K619" s="280">
        <v>905572.44</v>
      </c>
      <c r="L619" s="280">
        <v>646676.46</v>
      </c>
      <c r="M619" s="280">
        <v>258895.98</v>
      </c>
      <c r="N619" s="281">
        <v>296</v>
      </c>
      <c r="O619" s="282">
        <v>529</v>
      </c>
      <c r="P619" s="280">
        <f t="shared" si="19"/>
        <v>1618404.7998648647</v>
      </c>
    </row>
    <row r="620" spans="1:16" x14ac:dyDescent="0.2">
      <c r="A620" s="32" t="s">
        <v>611</v>
      </c>
      <c r="B620" s="32" t="s">
        <v>576</v>
      </c>
      <c r="C620" s="32" t="s">
        <v>577</v>
      </c>
      <c r="D620" s="32" t="s">
        <v>608</v>
      </c>
      <c r="E620" s="32" t="s">
        <v>556</v>
      </c>
      <c r="F620" s="32" t="s">
        <v>581</v>
      </c>
      <c r="G620" s="32" t="str">
        <f t="shared" si="18"/>
        <v>2" PE EXTN</v>
      </c>
      <c r="H620" s="278" t="s">
        <v>465</v>
      </c>
      <c r="I620" s="32" t="s">
        <v>462</v>
      </c>
      <c r="J620" s="279">
        <v>594</v>
      </c>
      <c r="K620" s="280">
        <v>1242550.46</v>
      </c>
      <c r="L620" s="280">
        <v>850188.5</v>
      </c>
      <c r="M620" s="280">
        <v>392361.96</v>
      </c>
      <c r="N620" s="281">
        <v>307</v>
      </c>
      <c r="O620" s="282">
        <v>529</v>
      </c>
      <c r="P620" s="280">
        <f t="shared" si="19"/>
        <v>2141072.2910097721</v>
      </c>
    </row>
    <row r="621" spans="1:16" x14ac:dyDescent="0.2">
      <c r="A621" s="32" t="s">
        <v>611</v>
      </c>
      <c r="B621" s="32" t="s">
        <v>576</v>
      </c>
      <c r="C621" s="32" t="s">
        <v>577</v>
      </c>
      <c r="D621" s="32" t="s">
        <v>608</v>
      </c>
      <c r="E621" s="32" t="s">
        <v>556</v>
      </c>
      <c r="F621" s="32" t="s">
        <v>581</v>
      </c>
      <c r="G621" s="32" t="str">
        <f t="shared" si="18"/>
        <v>2" PE EXTN</v>
      </c>
      <c r="H621" s="278" t="s">
        <v>490</v>
      </c>
      <c r="I621" s="32" t="s">
        <v>462</v>
      </c>
      <c r="J621" s="279">
        <v>536</v>
      </c>
      <c r="K621" s="280">
        <v>1082298.22</v>
      </c>
      <c r="L621" s="280">
        <v>706770.7</v>
      </c>
      <c r="M621" s="280">
        <v>375527.52</v>
      </c>
      <c r="N621" s="281">
        <v>310</v>
      </c>
      <c r="O621" s="282">
        <v>529</v>
      </c>
      <c r="P621" s="280">
        <f t="shared" si="19"/>
        <v>1846889.5431612905</v>
      </c>
    </row>
    <row r="622" spans="1:16" x14ac:dyDescent="0.2">
      <c r="A622" s="32" t="s">
        <v>611</v>
      </c>
      <c r="B622" s="32" t="s">
        <v>576</v>
      </c>
      <c r="C622" s="32" t="s">
        <v>577</v>
      </c>
      <c r="D622" s="32" t="s">
        <v>608</v>
      </c>
      <c r="E622" s="32" t="s">
        <v>556</v>
      </c>
      <c r="F622" s="32" t="s">
        <v>581</v>
      </c>
      <c r="G622" s="32" t="str">
        <f t="shared" si="18"/>
        <v>2" PE EXTN</v>
      </c>
      <c r="H622" s="278" t="s">
        <v>491</v>
      </c>
      <c r="I622" s="32" t="s">
        <v>462</v>
      </c>
      <c r="J622" s="279">
        <v>720</v>
      </c>
      <c r="K622" s="280">
        <v>1425903.47</v>
      </c>
      <c r="L622" s="280">
        <v>884904.44</v>
      </c>
      <c r="M622" s="280">
        <v>540999.03</v>
      </c>
      <c r="N622" s="281">
        <v>319</v>
      </c>
      <c r="O622" s="282">
        <v>529</v>
      </c>
      <c r="P622" s="280">
        <f t="shared" si="19"/>
        <v>2364586.0051097181</v>
      </c>
    </row>
    <row r="623" spans="1:16" x14ac:dyDescent="0.2">
      <c r="A623" s="32" t="s">
        <v>611</v>
      </c>
      <c r="B623" s="32" t="s">
        <v>576</v>
      </c>
      <c r="C623" s="32" t="s">
        <v>577</v>
      </c>
      <c r="D623" s="32" t="s">
        <v>608</v>
      </c>
      <c r="E623" s="32" t="s">
        <v>556</v>
      </c>
      <c r="F623" s="32" t="s">
        <v>581</v>
      </c>
      <c r="G623" s="32" t="str">
        <f t="shared" si="18"/>
        <v>2" PE EXTN</v>
      </c>
      <c r="H623" s="278" t="s">
        <v>514</v>
      </c>
      <c r="I623" s="32" t="s">
        <v>462</v>
      </c>
      <c r="J623" s="279">
        <v>171</v>
      </c>
      <c r="K623" s="280">
        <v>750198.38</v>
      </c>
      <c r="L623" s="280">
        <v>440405.6</v>
      </c>
      <c r="M623" s="280">
        <v>309792.78000000003</v>
      </c>
      <c r="N623" s="281">
        <v>326</v>
      </c>
      <c r="O623" s="282">
        <v>529</v>
      </c>
      <c r="P623" s="280">
        <f t="shared" si="19"/>
        <v>1217346.4509815951</v>
      </c>
    </row>
    <row r="624" spans="1:16" x14ac:dyDescent="0.2">
      <c r="A624" s="32" t="s">
        <v>611</v>
      </c>
      <c r="B624" s="32" t="s">
        <v>576</v>
      </c>
      <c r="C624" s="32" t="s">
        <v>577</v>
      </c>
      <c r="D624" s="32" t="s">
        <v>608</v>
      </c>
      <c r="E624" s="32" t="s">
        <v>556</v>
      </c>
      <c r="F624" s="32" t="s">
        <v>581</v>
      </c>
      <c r="G624" s="32" t="str">
        <f t="shared" si="18"/>
        <v>2" PE EXTN</v>
      </c>
      <c r="H624" s="278" t="s">
        <v>513</v>
      </c>
      <c r="I624" s="32" t="s">
        <v>462</v>
      </c>
      <c r="J624" s="279">
        <v>179</v>
      </c>
      <c r="K624" s="280">
        <v>422736.86</v>
      </c>
      <c r="L624" s="280">
        <v>233574.99</v>
      </c>
      <c r="M624" s="280">
        <v>189161.87</v>
      </c>
      <c r="N624" s="281">
        <v>338</v>
      </c>
      <c r="O624" s="282">
        <v>529</v>
      </c>
      <c r="P624" s="280">
        <f t="shared" si="19"/>
        <v>661620.706923077</v>
      </c>
    </row>
    <row r="625" spans="1:16" x14ac:dyDescent="0.2">
      <c r="A625" s="32" t="s">
        <v>611</v>
      </c>
      <c r="B625" s="32" t="s">
        <v>576</v>
      </c>
      <c r="C625" s="32" t="s">
        <v>577</v>
      </c>
      <c r="D625" s="32" t="s">
        <v>608</v>
      </c>
      <c r="E625" s="32" t="s">
        <v>556</v>
      </c>
      <c r="F625" s="32" t="s">
        <v>581</v>
      </c>
      <c r="G625" s="32" t="str">
        <f t="shared" si="18"/>
        <v>2" PE EXTN</v>
      </c>
      <c r="H625" s="278" t="s">
        <v>467</v>
      </c>
      <c r="I625" s="32" t="s">
        <v>462</v>
      </c>
      <c r="J625" s="279">
        <v>126</v>
      </c>
      <c r="K625" s="280">
        <v>350971.34</v>
      </c>
      <c r="L625" s="280">
        <v>181513.60000000001</v>
      </c>
      <c r="M625" s="280">
        <v>169457.74</v>
      </c>
      <c r="N625" s="281">
        <v>344</v>
      </c>
      <c r="O625" s="282">
        <v>529</v>
      </c>
      <c r="P625" s="280">
        <f t="shared" si="19"/>
        <v>539720.46180232568</v>
      </c>
    </row>
    <row r="626" spans="1:16" x14ac:dyDescent="0.2">
      <c r="A626" s="32" t="s">
        <v>611</v>
      </c>
      <c r="B626" s="32" t="s">
        <v>576</v>
      </c>
      <c r="C626" s="32" t="s">
        <v>577</v>
      </c>
      <c r="D626" s="32" t="s">
        <v>608</v>
      </c>
      <c r="E626" s="32" t="s">
        <v>556</v>
      </c>
      <c r="F626" s="32" t="s">
        <v>581</v>
      </c>
      <c r="G626" s="32" t="str">
        <f t="shared" si="18"/>
        <v>2" PE EXTN</v>
      </c>
      <c r="H626" s="278" t="s">
        <v>473</v>
      </c>
      <c r="I626" s="32" t="s">
        <v>462</v>
      </c>
      <c r="J626" s="279">
        <v>13</v>
      </c>
      <c r="K626" s="280">
        <v>30936.240000000002</v>
      </c>
      <c r="L626" s="280">
        <v>14885.13</v>
      </c>
      <c r="M626" s="280">
        <v>16051.11</v>
      </c>
      <c r="N626" s="281">
        <v>351</v>
      </c>
      <c r="O626" s="282">
        <v>529</v>
      </c>
      <c r="P626" s="280">
        <f t="shared" si="19"/>
        <v>46624.703589743593</v>
      </c>
    </row>
    <row r="627" spans="1:16" x14ac:dyDescent="0.2">
      <c r="A627" s="32" t="s">
        <v>611</v>
      </c>
      <c r="B627" s="32" t="s">
        <v>576</v>
      </c>
      <c r="C627" s="32" t="s">
        <v>577</v>
      </c>
      <c r="D627" s="32" t="s">
        <v>608</v>
      </c>
      <c r="E627" s="32" t="s">
        <v>556</v>
      </c>
      <c r="F627" s="32" t="s">
        <v>581</v>
      </c>
      <c r="G627" s="32" t="str">
        <f t="shared" si="18"/>
        <v>2" PE EXTN</v>
      </c>
      <c r="H627" s="278" t="s">
        <v>479</v>
      </c>
      <c r="I627" s="32" t="s">
        <v>462</v>
      </c>
      <c r="J627" s="279">
        <v>11</v>
      </c>
      <c r="K627" s="280">
        <v>17973.13</v>
      </c>
      <c r="L627" s="280">
        <v>7991.55</v>
      </c>
      <c r="M627" s="280">
        <v>9981.58</v>
      </c>
      <c r="N627" s="281">
        <v>357</v>
      </c>
      <c r="O627" s="282">
        <v>529</v>
      </c>
      <c r="P627" s="280">
        <f t="shared" si="19"/>
        <v>26632.453137254906</v>
      </c>
    </row>
    <row r="628" spans="1:16" x14ac:dyDescent="0.2">
      <c r="A628" s="32" t="s">
        <v>611</v>
      </c>
      <c r="B628" s="32" t="s">
        <v>576</v>
      </c>
      <c r="C628" s="32" t="s">
        <v>577</v>
      </c>
      <c r="D628" s="32" t="s">
        <v>608</v>
      </c>
      <c r="E628" s="32" t="s">
        <v>556</v>
      </c>
      <c r="F628" s="32" t="s">
        <v>581</v>
      </c>
      <c r="G628" s="32" t="str">
        <f t="shared" si="18"/>
        <v>2" PE EXTN</v>
      </c>
      <c r="H628" s="278" t="s">
        <v>480</v>
      </c>
      <c r="I628" s="32" t="s">
        <v>462</v>
      </c>
      <c r="J628" s="279">
        <v>3</v>
      </c>
      <c r="K628" s="280">
        <v>26230.400000000001</v>
      </c>
      <c r="L628" s="280">
        <v>10697.26</v>
      </c>
      <c r="M628" s="280">
        <v>15533.14</v>
      </c>
      <c r="N628" s="281">
        <v>365</v>
      </c>
      <c r="O628" s="282">
        <v>529</v>
      </c>
      <c r="P628" s="280">
        <f t="shared" si="19"/>
        <v>38016.11397260274</v>
      </c>
    </row>
    <row r="629" spans="1:16" x14ac:dyDescent="0.2">
      <c r="A629" s="32" t="s">
        <v>611</v>
      </c>
      <c r="B629" s="32" t="s">
        <v>576</v>
      </c>
      <c r="C629" s="32" t="s">
        <v>577</v>
      </c>
      <c r="D629" s="32" t="s">
        <v>608</v>
      </c>
      <c r="E629" s="32" t="s">
        <v>556</v>
      </c>
      <c r="F629" s="32" t="s">
        <v>581</v>
      </c>
      <c r="G629" s="32" t="str">
        <f t="shared" si="18"/>
        <v>2" PE EXTN</v>
      </c>
      <c r="H629" s="278" t="s">
        <v>472</v>
      </c>
      <c r="I629" s="32" t="s">
        <v>462</v>
      </c>
      <c r="J629" s="279">
        <v>10</v>
      </c>
      <c r="K629" s="280">
        <v>34106.22</v>
      </c>
      <c r="L629" s="280">
        <v>12649.23</v>
      </c>
      <c r="M629" s="280">
        <v>21456.99</v>
      </c>
      <c r="N629" s="281">
        <v>370</v>
      </c>
      <c r="O629" s="282">
        <v>529</v>
      </c>
      <c r="P629" s="280">
        <f t="shared" si="19"/>
        <v>48762.676702702709</v>
      </c>
    </row>
    <row r="630" spans="1:16" x14ac:dyDescent="0.2">
      <c r="A630" s="32" t="s">
        <v>611</v>
      </c>
      <c r="B630" s="32" t="s">
        <v>576</v>
      </c>
      <c r="C630" s="32" t="s">
        <v>577</v>
      </c>
      <c r="D630" s="32" t="s">
        <v>608</v>
      </c>
      <c r="E630" s="32" t="s">
        <v>556</v>
      </c>
      <c r="F630" s="32" t="s">
        <v>581</v>
      </c>
      <c r="G630" s="32" t="str">
        <f t="shared" si="18"/>
        <v>2" PE EXTN</v>
      </c>
      <c r="H630" s="278" t="s">
        <v>478</v>
      </c>
      <c r="I630" s="32" t="s">
        <v>462</v>
      </c>
      <c r="J630" s="279">
        <v>7</v>
      </c>
      <c r="K630" s="280">
        <v>15349.68</v>
      </c>
      <c r="L630" s="280">
        <v>5126.8999999999996</v>
      </c>
      <c r="M630" s="280">
        <v>10222.780000000001</v>
      </c>
      <c r="N630" s="281">
        <v>378</v>
      </c>
      <c r="O630" s="282">
        <v>529</v>
      </c>
      <c r="P630" s="280">
        <f t="shared" si="19"/>
        <v>21481.430476190479</v>
      </c>
    </row>
    <row r="631" spans="1:16" x14ac:dyDescent="0.2">
      <c r="A631" s="32" t="s">
        <v>611</v>
      </c>
      <c r="B631" s="32" t="s">
        <v>576</v>
      </c>
      <c r="C631" s="32" t="s">
        <v>577</v>
      </c>
      <c r="D631" s="32" t="s">
        <v>608</v>
      </c>
      <c r="E631" s="32" t="s">
        <v>556</v>
      </c>
      <c r="F631" s="32" t="s">
        <v>581</v>
      </c>
      <c r="G631" s="32" t="str">
        <f t="shared" si="18"/>
        <v>2" PE EXTN</v>
      </c>
      <c r="H631" s="278" t="s">
        <v>475</v>
      </c>
      <c r="I631" s="32" t="s">
        <v>462</v>
      </c>
      <c r="J631" s="279">
        <v>3</v>
      </c>
      <c r="K631" s="280">
        <v>10356.56</v>
      </c>
      <c r="L631" s="280">
        <v>3079.75</v>
      </c>
      <c r="M631" s="280">
        <v>7276.81</v>
      </c>
      <c r="N631" s="281">
        <v>393</v>
      </c>
      <c r="O631" s="282">
        <v>529</v>
      </c>
      <c r="P631" s="280">
        <f t="shared" si="19"/>
        <v>13940.50951653944</v>
      </c>
    </row>
    <row r="632" spans="1:16" x14ac:dyDescent="0.2">
      <c r="A632" s="32" t="s">
        <v>612</v>
      </c>
      <c r="B632" s="32" t="s">
        <v>576</v>
      </c>
      <c r="C632" s="32" t="s">
        <v>577</v>
      </c>
      <c r="D632" s="32" t="s">
        <v>608</v>
      </c>
      <c r="E632" s="32" t="s">
        <v>556</v>
      </c>
      <c r="F632" s="32" t="s">
        <v>584</v>
      </c>
      <c r="G632" s="32" t="str">
        <f t="shared" si="18"/>
        <v>2" PE STUB</v>
      </c>
      <c r="H632" s="278" t="s">
        <v>467</v>
      </c>
      <c r="I632" s="32" t="s">
        <v>462</v>
      </c>
      <c r="J632" s="279">
        <v>35</v>
      </c>
      <c r="K632" s="280">
        <v>43910.52</v>
      </c>
      <c r="L632" s="280">
        <v>22709.42</v>
      </c>
      <c r="M632" s="280">
        <v>21201.1</v>
      </c>
      <c r="N632" s="281">
        <v>344</v>
      </c>
      <c r="O632" s="282">
        <v>529</v>
      </c>
      <c r="P632" s="280">
        <f t="shared" si="19"/>
        <v>67525.189186046511</v>
      </c>
    </row>
    <row r="633" spans="1:16" x14ac:dyDescent="0.2">
      <c r="A633" s="32" t="s">
        <v>612</v>
      </c>
      <c r="B633" s="32" t="s">
        <v>576</v>
      </c>
      <c r="C633" s="32" t="s">
        <v>577</v>
      </c>
      <c r="D633" s="32" t="s">
        <v>608</v>
      </c>
      <c r="E633" s="32" t="s">
        <v>556</v>
      </c>
      <c r="F633" s="32" t="s">
        <v>584</v>
      </c>
      <c r="G633" s="32" t="str">
        <f t="shared" si="18"/>
        <v>2" PE STUB</v>
      </c>
      <c r="H633" s="278" t="s">
        <v>473</v>
      </c>
      <c r="I633" s="32" t="s">
        <v>462</v>
      </c>
      <c r="J633" s="279">
        <v>168</v>
      </c>
      <c r="K633" s="280">
        <v>246007.63</v>
      </c>
      <c r="L633" s="280">
        <v>118367.83</v>
      </c>
      <c r="M633" s="280">
        <v>127639.8</v>
      </c>
      <c r="N633" s="281">
        <v>351</v>
      </c>
      <c r="O633" s="282">
        <v>529</v>
      </c>
      <c r="P633" s="280">
        <f t="shared" si="19"/>
        <v>370763.6360968661</v>
      </c>
    </row>
    <row r="634" spans="1:16" x14ac:dyDescent="0.2">
      <c r="A634" s="32" t="s">
        <v>612</v>
      </c>
      <c r="B634" s="32" t="s">
        <v>576</v>
      </c>
      <c r="C634" s="32" t="s">
        <v>577</v>
      </c>
      <c r="D634" s="32" t="s">
        <v>608</v>
      </c>
      <c r="E634" s="32" t="s">
        <v>556</v>
      </c>
      <c r="F634" s="32" t="s">
        <v>584</v>
      </c>
      <c r="G634" s="32" t="str">
        <f t="shared" si="18"/>
        <v>2" PE STUB</v>
      </c>
      <c r="H634" s="278" t="s">
        <v>479</v>
      </c>
      <c r="I634" s="32" t="s">
        <v>462</v>
      </c>
      <c r="J634" s="279">
        <v>257</v>
      </c>
      <c r="K634" s="280">
        <v>195353.25</v>
      </c>
      <c r="L634" s="280">
        <v>86861.64</v>
      </c>
      <c r="M634" s="280">
        <v>108491.61</v>
      </c>
      <c r="N634" s="281">
        <v>357</v>
      </c>
      <c r="O634" s="282">
        <v>529</v>
      </c>
      <c r="P634" s="280">
        <f t="shared" si="19"/>
        <v>289473.02310924372</v>
      </c>
    </row>
    <row r="635" spans="1:16" x14ac:dyDescent="0.2">
      <c r="A635" s="32" t="s">
        <v>612</v>
      </c>
      <c r="B635" s="32" t="s">
        <v>576</v>
      </c>
      <c r="C635" s="32" t="s">
        <v>577</v>
      </c>
      <c r="D635" s="32" t="s">
        <v>608</v>
      </c>
      <c r="E635" s="32" t="s">
        <v>556</v>
      </c>
      <c r="F635" s="32" t="s">
        <v>584</v>
      </c>
      <c r="G635" s="32" t="str">
        <f t="shared" si="18"/>
        <v>2" PE STUB</v>
      </c>
      <c r="H635" s="278" t="s">
        <v>480</v>
      </c>
      <c r="I635" s="32" t="s">
        <v>462</v>
      </c>
      <c r="J635" s="279">
        <v>805</v>
      </c>
      <c r="K635" s="280">
        <v>559390.71999999997</v>
      </c>
      <c r="L635" s="280">
        <v>228130.37</v>
      </c>
      <c r="M635" s="280">
        <v>331260.34999999998</v>
      </c>
      <c r="N635" s="281">
        <v>365</v>
      </c>
      <c r="O635" s="282">
        <v>529</v>
      </c>
      <c r="P635" s="280">
        <f t="shared" si="19"/>
        <v>810733.39967123279</v>
      </c>
    </row>
    <row r="636" spans="1:16" x14ac:dyDescent="0.2">
      <c r="A636" s="32" t="s">
        <v>612</v>
      </c>
      <c r="B636" s="32" t="s">
        <v>576</v>
      </c>
      <c r="C636" s="32" t="s">
        <v>577</v>
      </c>
      <c r="D636" s="32" t="s">
        <v>608</v>
      </c>
      <c r="E636" s="32" t="s">
        <v>556</v>
      </c>
      <c r="F636" s="32" t="s">
        <v>584</v>
      </c>
      <c r="G636" s="32" t="str">
        <f t="shared" si="18"/>
        <v>2" PE STUB</v>
      </c>
      <c r="H636" s="278" t="s">
        <v>472</v>
      </c>
      <c r="I636" s="32" t="s">
        <v>462</v>
      </c>
      <c r="J636" s="279">
        <v>551</v>
      </c>
      <c r="K636" s="280">
        <v>392028.74</v>
      </c>
      <c r="L636" s="280">
        <v>145394.62</v>
      </c>
      <c r="M636" s="280">
        <v>246634.12</v>
      </c>
      <c r="N636" s="281">
        <v>370</v>
      </c>
      <c r="O636" s="282">
        <v>529</v>
      </c>
      <c r="P636" s="280">
        <f t="shared" si="19"/>
        <v>560495.14448648645</v>
      </c>
    </row>
    <row r="637" spans="1:16" x14ac:dyDescent="0.2">
      <c r="A637" s="32" t="s">
        <v>612</v>
      </c>
      <c r="B637" s="32" t="s">
        <v>576</v>
      </c>
      <c r="C637" s="32" t="s">
        <v>577</v>
      </c>
      <c r="D637" s="32" t="s">
        <v>608</v>
      </c>
      <c r="E637" s="32" t="s">
        <v>556</v>
      </c>
      <c r="F637" s="32" t="s">
        <v>584</v>
      </c>
      <c r="G637" s="32" t="str">
        <f t="shared" si="18"/>
        <v>2" PE STUB</v>
      </c>
      <c r="H637" s="278" t="s">
        <v>478</v>
      </c>
      <c r="I637" s="32" t="s">
        <v>462</v>
      </c>
      <c r="J637" s="279">
        <v>746</v>
      </c>
      <c r="K637" s="280">
        <v>358666.51</v>
      </c>
      <c r="L637" s="280">
        <v>119797.21</v>
      </c>
      <c r="M637" s="280">
        <v>238869.3</v>
      </c>
      <c r="N637" s="281">
        <v>378</v>
      </c>
      <c r="O637" s="282">
        <v>529</v>
      </c>
      <c r="P637" s="280">
        <f t="shared" si="19"/>
        <v>501943.34335978841</v>
      </c>
    </row>
    <row r="638" spans="1:16" x14ac:dyDescent="0.2">
      <c r="A638" s="32" t="s">
        <v>612</v>
      </c>
      <c r="B638" s="32" t="s">
        <v>576</v>
      </c>
      <c r="C638" s="32" t="s">
        <v>577</v>
      </c>
      <c r="D638" s="32" t="s">
        <v>608</v>
      </c>
      <c r="E638" s="32" t="s">
        <v>556</v>
      </c>
      <c r="F638" s="32" t="s">
        <v>584</v>
      </c>
      <c r="G638" s="32" t="str">
        <f t="shared" si="18"/>
        <v>2" PE STUB</v>
      </c>
      <c r="H638" s="278" t="s">
        <v>475</v>
      </c>
      <c r="I638" s="32" t="s">
        <v>462</v>
      </c>
      <c r="J638" s="279">
        <v>159</v>
      </c>
      <c r="K638" s="280">
        <v>250266.01</v>
      </c>
      <c r="L638" s="280">
        <v>74422.13</v>
      </c>
      <c r="M638" s="280">
        <v>175843.88</v>
      </c>
      <c r="N638" s="281">
        <v>393</v>
      </c>
      <c r="O638" s="282">
        <v>529</v>
      </c>
      <c r="P638" s="280">
        <f t="shared" si="19"/>
        <v>336872.05926208652</v>
      </c>
    </row>
    <row r="639" spans="1:16" x14ac:dyDescent="0.2">
      <c r="A639" s="32" t="s">
        <v>612</v>
      </c>
      <c r="B639" s="32" t="s">
        <v>576</v>
      </c>
      <c r="C639" s="32" t="s">
        <v>577</v>
      </c>
      <c r="D639" s="32" t="s">
        <v>608</v>
      </c>
      <c r="E639" s="32" t="s">
        <v>556</v>
      </c>
      <c r="F639" s="32" t="s">
        <v>584</v>
      </c>
      <c r="G639" s="32" t="str">
        <f t="shared" si="18"/>
        <v>2" PE STUB</v>
      </c>
      <c r="H639" s="278" t="s">
        <v>471</v>
      </c>
      <c r="I639" s="32" t="s">
        <v>462</v>
      </c>
      <c r="J639" s="279">
        <v>117</v>
      </c>
      <c r="K639" s="280">
        <v>193429.34</v>
      </c>
      <c r="L639" s="280">
        <v>50515.14</v>
      </c>
      <c r="M639" s="280">
        <v>142914.20000000001</v>
      </c>
      <c r="N639" s="281">
        <v>398</v>
      </c>
      <c r="O639" s="282">
        <v>529</v>
      </c>
      <c r="P639" s="280">
        <f t="shared" si="19"/>
        <v>257095.78105527637</v>
      </c>
    </row>
    <row r="640" spans="1:16" x14ac:dyDescent="0.2">
      <c r="A640" s="32" t="s">
        <v>612</v>
      </c>
      <c r="B640" s="32" t="s">
        <v>576</v>
      </c>
      <c r="C640" s="32" t="s">
        <v>577</v>
      </c>
      <c r="D640" s="32" t="s">
        <v>608</v>
      </c>
      <c r="E640" s="32" t="s">
        <v>556</v>
      </c>
      <c r="F640" s="32" t="s">
        <v>584</v>
      </c>
      <c r="G640" s="32" t="str">
        <f t="shared" si="18"/>
        <v>2" PE STUB</v>
      </c>
      <c r="H640" s="278" t="s">
        <v>476</v>
      </c>
      <c r="I640" s="32" t="s">
        <v>462</v>
      </c>
      <c r="J640" s="279">
        <v>90</v>
      </c>
      <c r="K640" s="280">
        <v>197487.16</v>
      </c>
      <c r="L640" s="280">
        <v>44530.9</v>
      </c>
      <c r="M640" s="280">
        <v>152956.26</v>
      </c>
      <c r="N640" s="281">
        <v>409</v>
      </c>
      <c r="O640" s="282">
        <v>529</v>
      </c>
      <c r="P640" s="280">
        <f t="shared" si="19"/>
        <v>255429.60303178485</v>
      </c>
    </row>
    <row r="641" spans="1:16" x14ac:dyDescent="0.2">
      <c r="A641" s="32" t="s">
        <v>612</v>
      </c>
      <c r="B641" s="32" t="s">
        <v>576</v>
      </c>
      <c r="C641" s="32" t="s">
        <v>577</v>
      </c>
      <c r="D641" s="32" t="s">
        <v>608</v>
      </c>
      <c r="E641" s="32" t="s">
        <v>556</v>
      </c>
      <c r="F641" s="32" t="s">
        <v>584</v>
      </c>
      <c r="G641" s="32" t="str">
        <f t="shared" si="18"/>
        <v>2" PE STUB</v>
      </c>
      <c r="H641" s="278" t="s">
        <v>474</v>
      </c>
      <c r="I641" s="32" t="s">
        <v>462</v>
      </c>
      <c r="J641" s="279">
        <v>109</v>
      </c>
      <c r="K641" s="280">
        <v>210262.72</v>
      </c>
      <c r="L641" s="280">
        <v>40048.589999999997</v>
      </c>
      <c r="M641" s="280">
        <v>170214.13</v>
      </c>
      <c r="N641" s="281">
        <v>431</v>
      </c>
      <c r="O641" s="282">
        <v>529</v>
      </c>
      <c r="P641" s="280">
        <f t="shared" si="19"/>
        <v>258071.87675174011</v>
      </c>
    </row>
    <row r="642" spans="1:16" x14ac:dyDescent="0.2">
      <c r="A642" s="32" t="s">
        <v>612</v>
      </c>
      <c r="B642" s="32" t="s">
        <v>576</v>
      </c>
      <c r="C642" s="32" t="s">
        <v>577</v>
      </c>
      <c r="D642" s="32" t="s">
        <v>608</v>
      </c>
      <c r="E642" s="32" t="s">
        <v>556</v>
      </c>
      <c r="F642" s="32" t="s">
        <v>584</v>
      </c>
      <c r="G642" s="32" t="str">
        <f t="shared" ref="G642:G705" si="20">D642&amp;" "&amp;E642&amp;" "&amp;F642</f>
        <v>2" PE STUB</v>
      </c>
      <c r="H642" s="278" t="s">
        <v>477</v>
      </c>
      <c r="I642" s="32" t="s">
        <v>462</v>
      </c>
      <c r="J642" s="279">
        <v>116</v>
      </c>
      <c r="K642" s="280">
        <v>274273.42</v>
      </c>
      <c r="L642" s="280">
        <v>42824.86</v>
      </c>
      <c r="M642" s="280">
        <v>231448.56</v>
      </c>
      <c r="N642" s="281">
        <v>450</v>
      </c>
      <c r="O642" s="282">
        <v>529</v>
      </c>
      <c r="P642" s="280">
        <f t="shared" ref="P642:P705" si="21">+(O642/N642)*K642</f>
        <v>322423.64262222219</v>
      </c>
    </row>
    <row r="643" spans="1:16" x14ac:dyDescent="0.2">
      <c r="A643" s="32" t="s">
        <v>612</v>
      </c>
      <c r="B643" s="32" t="s">
        <v>576</v>
      </c>
      <c r="C643" s="32" t="s">
        <v>577</v>
      </c>
      <c r="D643" s="32" t="s">
        <v>608</v>
      </c>
      <c r="E643" s="32" t="s">
        <v>556</v>
      </c>
      <c r="F643" s="32" t="s">
        <v>584</v>
      </c>
      <c r="G643" s="32" t="str">
        <f t="shared" si="20"/>
        <v>2" PE STUB</v>
      </c>
      <c r="H643" s="278" t="s">
        <v>470</v>
      </c>
      <c r="I643" s="32" t="s">
        <v>462</v>
      </c>
      <c r="J643" s="279">
        <v>2</v>
      </c>
      <c r="K643" s="280">
        <v>3278.56</v>
      </c>
      <c r="L643" s="280">
        <v>401.33</v>
      </c>
      <c r="M643" s="280">
        <v>2877.23</v>
      </c>
      <c r="N643" s="281">
        <v>467</v>
      </c>
      <c r="O643" s="282">
        <v>529</v>
      </c>
      <c r="P643" s="280">
        <f t="shared" si="21"/>
        <v>3713.829207708779</v>
      </c>
    </row>
    <row r="644" spans="1:16" x14ac:dyDescent="0.2">
      <c r="A644" s="32" t="s">
        <v>612</v>
      </c>
      <c r="B644" s="32" t="s">
        <v>576</v>
      </c>
      <c r="C644" s="32" t="s">
        <v>577</v>
      </c>
      <c r="D644" s="32" t="s">
        <v>608</v>
      </c>
      <c r="E644" s="32" t="s">
        <v>556</v>
      </c>
      <c r="F644" s="32" t="s">
        <v>584</v>
      </c>
      <c r="G644" s="32" t="str">
        <f t="shared" si="20"/>
        <v>2" PE STUB</v>
      </c>
      <c r="H644" s="278" t="s">
        <v>470</v>
      </c>
      <c r="I644" s="32" t="s">
        <v>462</v>
      </c>
      <c r="J644" s="279">
        <v>5</v>
      </c>
      <c r="K644" s="280">
        <v>7173.68</v>
      </c>
      <c r="L644" s="280">
        <v>878.14</v>
      </c>
      <c r="M644" s="280">
        <v>6295.54</v>
      </c>
      <c r="N644" s="281">
        <v>467</v>
      </c>
      <c r="O644" s="282">
        <v>529</v>
      </c>
      <c r="P644" s="280">
        <f t="shared" si="21"/>
        <v>8126.0743468950741</v>
      </c>
    </row>
    <row r="645" spans="1:16" x14ac:dyDescent="0.2">
      <c r="A645" s="32" t="s">
        <v>612</v>
      </c>
      <c r="B645" s="32" t="s">
        <v>576</v>
      </c>
      <c r="C645" s="32" t="s">
        <v>577</v>
      </c>
      <c r="D645" s="32" t="s">
        <v>608</v>
      </c>
      <c r="E645" s="32" t="s">
        <v>556</v>
      </c>
      <c r="F645" s="32" t="s">
        <v>584</v>
      </c>
      <c r="G645" s="32" t="str">
        <f t="shared" si="20"/>
        <v>2" PE STUB</v>
      </c>
      <c r="H645" s="278" t="s">
        <v>470</v>
      </c>
      <c r="I645" s="32" t="s">
        <v>462</v>
      </c>
      <c r="J645" s="279">
        <v>12</v>
      </c>
      <c r="K645" s="280">
        <v>56808.06</v>
      </c>
      <c r="L645" s="280">
        <v>6953.96</v>
      </c>
      <c r="M645" s="280">
        <v>49854.1</v>
      </c>
      <c r="N645" s="281">
        <v>467</v>
      </c>
      <c r="O645" s="282">
        <v>529</v>
      </c>
      <c r="P645" s="280">
        <f t="shared" si="21"/>
        <v>64350.029421841537</v>
      </c>
    </row>
    <row r="646" spans="1:16" x14ac:dyDescent="0.2">
      <c r="A646" s="32" t="s">
        <v>612</v>
      </c>
      <c r="B646" s="32" t="s">
        <v>576</v>
      </c>
      <c r="C646" s="32" t="s">
        <v>577</v>
      </c>
      <c r="D646" s="32" t="s">
        <v>608</v>
      </c>
      <c r="E646" s="32" t="s">
        <v>556</v>
      </c>
      <c r="F646" s="32" t="s">
        <v>584</v>
      </c>
      <c r="G646" s="32" t="str">
        <f t="shared" si="20"/>
        <v>2" PE STUB</v>
      </c>
      <c r="H646" s="278" t="s">
        <v>470</v>
      </c>
      <c r="I646" s="32" t="s">
        <v>462</v>
      </c>
      <c r="J646" s="279">
        <v>38</v>
      </c>
      <c r="K646" s="280">
        <v>84909.36</v>
      </c>
      <c r="L646" s="280">
        <v>10393.89</v>
      </c>
      <c r="M646" s="280">
        <v>74515.47</v>
      </c>
      <c r="N646" s="281">
        <v>467</v>
      </c>
      <c r="O646" s="282">
        <v>529</v>
      </c>
      <c r="P646" s="280">
        <f t="shared" si="21"/>
        <v>96182.122997858663</v>
      </c>
    </row>
    <row r="647" spans="1:16" x14ac:dyDescent="0.2">
      <c r="A647" s="32" t="s">
        <v>612</v>
      </c>
      <c r="B647" s="32" t="s">
        <v>576</v>
      </c>
      <c r="C647" s="32" t="s">
        <v>577</v>
      </c>
      <c r="D647" s="32" t="s">
        <v>608</v>
      </c>
      <c r="E647" s="32" t="s">
        <v>556</v>
      </c>
      <c r="F647" s="32" t="s">
        <v>584</v>
      </c>
      <c r="G647" s="32" t="str">
        <f t="shared" si="20"/>
        <v>2" PE STUB</v>
      </c>
      <c r="H647" s="278" t="s">
        <v>470</v>
      </c>
      <c r="I647" s="32" t="s">
        <v>462</v>
      </c>
      <c r="J647" s="279">
        <v>62</v>
      </c>
      <c r="K647" s="280">
        <v>137212.88</v>
      </c>
      <c r="L647" s="280">
        <v>16796.45</v>
      </c>
      <c r="M647" s="280">
        <v>120416.43</v>
      </c>
      <c r="N647" s="281">
        <v>467</v>
      </c>
      <c r="O647" s="282">
        <v>529</v>
      </c>
      <c r="P647" s="280">
        <f t="shared" si="21"/>
        <v>155429.57927194861</v>
      </c>
    </row>
    <row r="648" spans="1:16" x14ac:dyDescent="0.2">
      <c r="A648" s="32" t="s">
        <v>612</v>
      </c>
      <c r="B648" s="32" t="s">
        <v>576</v>
      </c>
      <c r="C648" s="32" t="s">
        <v>577</v>
      </c>
      <c r="D648" s="32" t="s">
        <v>608</v>
      </c>
      <c r="E648" s="32" t="s">
        <v>556</v>
      </c>
      <c r="F648" s="32" t="s">
        <v>584</v>
      </c>
      <c r="G648" s="32" t="str">
        <f t="shared" si="20"/>
        <v>2" PE STUB</v>
      </c>
      <c r="H648" s="278" t="s">
        <v>470</v>
      </c>
      <c r="I648" s="32" t="s">
        <v>462</v>
      </c>
      <c r="J648" s="279">
        <v>97</v>
      </c>
      <c r="K648" s="280">
        <v>172827.97</v>
      </c>
      <c r="L648" s="280">
        <v>21156.14</v>
      </c>
      <c r="M648" s="280">
        <v>151671.82999999999</v>
      </c>
      <c r="N648" s="281">
        <v>467</v>
      </c>
      <c r="O648" s="282">
        <v>529</v>
      </c>
      <c r="P648" s="280">
        <f t="shared" si="21"/>
        <v>195773.01098501068</v>
      </c>
    </row>
    <row r="649" spans="1:16" x14ac:dyDescent="0.2">
      <c r="A649" s="32" t="s">
        <v>612</v>
      </c>
      <c r="B649" s="32" t="s">
        <v>576</v>
      </c>
      <c r="C649" s="32" t="s">
        <v>577</v>
      </c>
      <c r="D649" s="32" t="s">
        <v>608</v>
      </c>
      <c r="E649" s="32" t="s">
        <v>556</v>
      </c>
      <c r="F649" s="32" t="s">
        <v>584</v>
      </c>
      <c r="G649" s="32" t="str">
        <f t="shared" si="20"/>
        <v>2" PE STUB</v>
      </c>
      <c r="H649" s="278" t="s">
        <v>461</v>
      </c>
      <c r="I649" s="32" t="s">
        <v>462</v>
      </c>
      <c r="J649" s="279">
        <v>2</v>
      </c>
      <c r="K649" s="280">
        <v>2453.7199999999998</v>
      </c>
      <c r="L649" s="280">
        <v>218.42</v>
      </c>
      <c r="M649" s="280">
        <v>2235.3000000000002</v>
      </c>
      <c r="N649" s="281">
        <v>491</v>
      </c>
      <c r="O649" s="282">
        <v>529</v>
      </c>
      <c r="P649" s="280">
        <f t="shared" si="21"/>
        <v>2643.6209368635432</v>
      </c>
    </row>
    <row r="650" spans="1:16" x14ac:dyDescent="0.2">
      <c r="A650" s="32" t="s">
        <v>612</v>
      </c>
      <c r="B650" s="32" t="s">
        <v>576</v>
      </c>
      <c r="C650" s="32" t="s">
        <v>577</v>
      </c>
      <c r="D650" s="32" t="s">
        <v>608</v>
      </c>
      <c r="E650" s="32" t="s">
        <v>556</v>
      </c>
      <c r="F650" s="32" t="s">
        <v>584</v>
      </c>
      <c r="G650" s="32" t="str">
        <f t="shared" si="20"/>
        <v>2" PE STUB</v>
      </c>
      <c r="H650" s="278" t="s">
        <v>461</v>
      </c>
      <c r="I650" s="32" t="s">
        <v>462</v>
      </c>
      <c r="J650" s="279">
        <v>3</v>
      </c>
      <c r="K650" s="280">
        <v>3506.44</v>
      </c>
      <c r="L650" s="280">
        <v>312.13</v>
      </c>
      <c r="M650" s="280">
        <v>3194.31</v>
      </c>
      <c r="N650" s="281">
        <v>491</v>
      </c>
      <c r="O650" s="282">
        <v>529</v>
      </c>
      <c r="P650" s="280">
        <f t="shared" si="21"/>
        <v>3777.8141751527492</v>
      </c>
    </row>
    <row r="651" spans="1:16" x14ac:dyDescent="0.2">
      <c r="A651" s="32" t="s">
        <v>612</v>
      </c>
      <c r="B651" s="32" t="s">
        <v>576</v>
      </c>
      <c r="C651" s="32" t="s">
        <v>577</v>
      </c>
      <c r="D651" s="32" t="s">
        <v>608</v>
      </c>
      <c r="E651" s="32" t="s">
        <v>556</v>
      </c>
      <c r="F651" s="32" t="s">
        <v>584</v>
      </c>
      <c r="G651" s="32" t="str">
        <f t="shared" si="20"/>
        <v>2" PE STUB</v>
      </c>
      <c r="H651" s="278" t="s">
        <v>461</v>
      </c>
      <c r="I651" s="32" t="s">
        <v>462</v>
      </c>
      <c r="J651" s="279">
        <v>17</v>
      </c>
      <c r="K651" s="280">
        <v>68781.210000000006</v>
      </c>
      <c r="L651" s="280">
        <v>6122.7</v>
      </c>
      <c r="M651" s="280">
        <v>62658.51</v>
      </c>
      <c r="N651" s="281">
        <v>491</v>
      </c>
      <c r="O651" s="282">
        <v>529</v>
      </c>
      <c r="P651" s="280">
        <f t="shared" si="21"/>
        <v>74104.399368635437</v>
      </c>
    </row>
    <row r="652" spans="1:16" x14ac:dyDescent="0.2">
      <c r="A652" s="32" t="s">
        <v>612</v>
      </c>
      <c r="B652" s="32" t="s">
        <v>576</v>
      </c>
      <c r="C652" s="32" t="s">
        <v>577</v>
      </c>
      <c r="D652" s="32" t="s">
        <v>608</v>
      </c>
      <c r="E652" s="32" t="s">
        <v>556</v>
      </c>
      <c r="F652" s="32" t="s">
        <v>584</v>
      </c>
      <c r="G652" s="32" t="str">
        <f t="shared" si="20"/>
        <v>2" PE STUB</v>
      </c>
      <c r="H652" s="278" t="s">
        <v>461</v>
      </c>
      <c r="I652" s="32" t="s">
        <v>462</v>
      </c>
      <c r="J652" s="279">
        <v>25</v>
      </c>
      <c r="K652" s="280">
        <v>72222.62</v>
      </c>
      <c r="L652" s="280">
        <v>6429.05</v>
      </c>
      <c r="M652" s="280">
        <v>65793.570000000007</v>
      </c>
      <c r="N652" s="281">
        <v>491</v>
      </c>
      <c r="O652" s="282">
        <v>529</v>
      </c>
      <c r="P652" s="280">
        <f t="shared" si="21"/>
        <v>77812.150672097749</v>
      </c>
    </row>
    <row r="653" spans="1:16" x14ac:dyDescent="0.2">
      <c r="A653" s="32" t="s">
        <v>612</v>
      </c>
      <c r="B653" s="32" t="s">
        <v>576</v>
      </c>
      <c r="C653" s="32" t="s">
        <v>577</v>
      </c>
      <c r="D653" s="32" t="s">
        <v>608</v>
      </c>
      <c r="E653" s="32" t="s">
        <v>556</v>
      </c>
      <c r="F653" s="32" t="s">
        <v>584</v>
      </c>
      <c r="G653" s="32" t="str">
        <f t="shared" si="20"/>
        <v>2" PE STUB</v>
      </c>
      <c r="H653" s="278" t="s">
        <v>461</v>
      </c>
      <c r="I653" s="32" t="s">
        <v>462</v>
      </c>
      <c r="J653" s="279">
        <v>77</v>
      </c>
      <c r="K653" s="280">
        <v>150196.79999999999</v>
      </c>
      <c r="L653" s="280">
        <v>13370.09</v>
      </c>
      <c r="M653" s="280">
        <v>136826.71</v>
      </c>
      <c r="N653" s="281">
        <v>491</v>
      </c>
      <c r="O653" s="282">
        <v>529</v>
      </c>
      <c r="P653" s="280">
        <f t="shared" si="21"/>
        <v>161820.99226069244</v>
      </c>
    </row>
    <row r="654" spans="1:16" x14ac:dyDescent="0.2">
      <c r="A654" s="32" t="s">
        <v>612</v>
      </c>
      <c r="B654" s="32" t="s">
        <v>576</v>
      </c>
      <c r="C654" s="32" t="s">
        <v>577</v>
      </c>
      <c r="D654" s="32" t="s">
        <v>608</v>
      </c>
      <c r="E654" s="32" t="s">
        <v>556</v>
      </c>
      <c r="F654" s="32" t="s">
        <v>584</v>
      </c>
      <c r="G654" s="32" t="str">
        <f t="shared" si="20"/>
        <v>2" PE STUB</v>
      </c>
      <c r="H654" s="278" t="s">
        <v>461</v>
      </c>
      <c r="I654" s="32" t="s">
        <v>462</v>
      </c>
      <c r="J654" s="279">
        <v>103</v>
      </c>
      <c r="K654" s="280">
        <v>256115.66</v>
      </c>
      <c r="L654" s="280">
        <v>22798.68</v>
      </c>
      <c r="M654" s="280">
        <v>233316.98</v>
      </c>
      <c r="N654" s="281">
        <v>491</v>
      </c>
      <c r="O654" s="282">
        <v>529</v>
      </c>
      <c r="P654" s="280">
        <f t="shared" si="21"/>
        <v>275937.23857433809</v>
      </c>
    </row>
    <row r="655" spans="1:16" x14ac:dyDescent="0.2">
      <c r="A655" s="32" t="s">
        <v>612</v>
      </c>
      <c r="B655" s="32" t="s">
        <v>576</v>
      </c>
      <c r="C655" s="32" t="s">
        <v>577</v>
      </c>
      <c r="D655" s="32" t="s">
        <v>608</v>
      </c>
      <c r="E655" s="32" t="s">
        <v>556</v>
      </c>
      <c r="F655" s="32" t="s">
        <v>584</v>
      </c>
      <c r="G655" s="32" t="str">
        <f t="shared" si="20"/>
        <v>2" PE STUB</v>
      </c>
      <c r="H655" s="278" t="s">
        <v>468</v>
      </c>
      <c r="I655" s="32" t="s">
        <v>462</v>
      </c>
      <c r="J655" s="279">
        <v>4</v>
      </c>
      <c r="K655" s="280">
        <v>35052.720000000001</v>
      </c>
      <c r="L655" s="280">
        <v>1938.41</v>
      </c>
      <c r="M655" s="280">
        <v>33114.31</v>
      </c>
      <c r="N655" s="281">
        <v>517</v>
      </c>
      <c r="O655" s="282">
        <v>529</v>
      </c>
      <c r="P655" s="280">
        <f t="shared" si="21"/>
        <v>35866.32278529981</v>
      </c>
    </row>
    <row r="656" spans="1:16" x14ac:dyDescent="0.2">
      <c r="A656" s="32" t="s">
        <v>612</v>
      </c>
      <c r="B656" s="32" t="s">
        <v>576</v>
      </c>
      <c r="C656" s="32" t="s">
        <v>577</v>
      </c>
      <c r="D656" s="32" t="s">
        <v>608</v>
      </c>
      <c r="E656" s="32" t="s">
        <v>556</v>
      </c>
      <c r="F656" s="32" t="s">
        <v>584</v>
      </c>
      <c r="G656" s="32" t="str">
        <f t="shared" si="20"/>
        <v>2" PE STUB</v>
      </c>
      <c r="H656" s="278" t="s">
        <v>468</v>
      </c>
      <c r="I656" s="32" t="s">
        <v>462</v>
      </c>
      <c r="J656" s="279">
        <v>6</v>
      </c>
      <c r="K656" s="280">
        <v>15802.92</v>
      </c>
      <c r="L656" s="280">
        <v>873.9</v>
      </c>
      <c r="M656" s="280">
        <v>14929.02</v>
      </c>
      <c r="N656" s="281">
        <v>517</v>
      </c>
      <c r="O656" s="282">
        <v>529</v>
      </c>
      <c r="P656" s="280">
        <f t="shared" si="21"/>
        <v>16169.718916827855</v>
      </c>
    </row>
    <row r="657" spans="1:16" x14ac:dyDescent="0.2">
      <c r="A657" s="32" t="s">
        <v>612</v>
      </c>
      <c r="B657" s="32" t="s">
        <v>576</v>
      </c>
      <c r="C657" s="32" t="s">
        <v>577</v>
      </c>
      <c r="D657" s="32" t="s">
        <v>608</v>
      </c>
      <c r="E657" s="32" t="s">
        <v>556</v>
      </c>
      <c r="F657" s="32" t="s">
        <v>584</v>
      </c>
      <c r="G657" s="32" t="str">
        <f t="shared" si="20"/>
        <v>2" PE STUB</v>
      </c>
      <c r="H657" s="278" t="s">
        <v>468</v>
      </c>
      <c r="I657" s="32" t="s">
        <v>462</v>
      </c>
      <c r="J657" s="279">
        <v>19</v>
      </c>
      <c r="K657" s="280">
        <v>111772.52</v>
      </c>
      <c r="L657" s="280">
        <v>6181.01</v>
      </c>
      <c r="M657" s="280">
        <v>105591.51</v>
      </c>
      <c r="N657" s="281">
        <v>517</v>
      </c>
      <c r="O657" s="282">
        <v>529</v>
      </c>
      <c r="P657" s="280">
        <f t="shared" si="21"/>
        <v>114366.85315280466</v>
      </c>
    </row>
    <row r="658" spans="1:16" x14ac:dyDescent="0.2">
      <c r="A658" s="32" t="s">
        <v>612</v>
      </c>
      <c r="B658" s="32" t="s">
        <v>576</v>
      </c>
      <c r="C658" s="32" t="s">
        <v>577</v>
      </c>
      <c r="D658" s="32" t="s">
        <v>608</v>
      </c>
      <c r="E658" s="32" t="s">
        <v>556</v>
      </c>
      <c r="F658" s="32" t="s">
        <v>584</v>
      </c>
      <c r="G658" s="32" t="str">
        <f t="shared" si="20"/>
        <v>2" PE STUB</v>
      </c>
      <c r="H658" s="278" t="s">
        <v>468</v>
      </c>
      <c r="I658" s="32" t="s">
        <v>462</v>
      </c>
      <c r="J658" s="279">
        <v>52</v>
      </c>
      <c r="K658" s="280">
        <v>133197.03</v>
      </c>
      <c r="L658" s="280">
        <v>7365.79</v>
      </c>
      <c r="M658" s="280">
        <v>125831.24</v>
      </c>
      <c r="N658" s="281">
        <v>517</v>
      </c>
      <c r="O658" s="282">
        <v>529</v>
      </c>
      <c r="P658" s="280">
        <f t="shared" si="21"/>
        <v>136288.64384912961</v>
      </c>
    </row>
    <row r="659" spans="1:16" x14ac:dyDescent="0.2">
      <c r="A659" s="32" t="s">
        <v>612</v>
      </c>
      <c r="B659" s="32" t="s">
        <v>576</v>
      </c>
      <c r="C659" s="32" t="s">
        <v>577</v>
      </c>
      <c r="D659" s="32" t="s">
        <v>608</v>
      </c>
      <c r="E659" s="32" t="s">
        <v>556</v>
      </c>
      <c r="F659" s="32" t="s">
        <v>584</v>
      </c>
      <c r="G659" s="32" t="str">
        <f t="shared" si="20"/>
        <v>2" PE STUB</v>
      </c>
      <c r="H659" s="278" t="s">
        <v>468</v>
      </c>
      <c r="I659" s="32" t="s">
        <v>462</v>
      </c>
      <c r="J659" s="279">
        <v>77</v>
      </c>
      <c r="K659" s="280">
        <v>397594.3</v>
      </c>
      <c r="L659" s="280">
        <v>21986.94</v>
      </c>
      <c r="M659" s="280">
        <v>375607.36</v>
      </c>
      <c r="N659" s="281">
        <v>517</v>
      </c>
      <c r="O659" s="282">
        <v>529</v>
      </c>
      <c r="P659" s="280">
        <f t="shared" si="21"/>
        <v>406822.79439071566</v>
      </c>
    </row>
    <row r="660" spans="1:16" x14ac:dyDescent="0.2">
      <c r="A660" s="32" t="s">
        <v>612</v>
      </c>
      <c r="B660" s="32" t="s">
        <v>576</v>
      </c>
      <c r="C660" s="32" t="s">
        <v>577</v>
      </c>
      <c r="D660" s="32" t="s">
        <v>608</v>
      </c>
      <c r="E660" s="32" t="s">
        <v>556</v>
      </c>
      <c r="F660" s="32" t="s">
        <v>584</v>
      </c>
      <c r="G660" s="32" t="str">
        <f t="shared" si="20"/>
        <v>2" PE STUB</v>
      </c>
      <c r="H660" s="278" t="s">
        <v>469</v>
      </c>
      <c r="I660" s="32" t="s">
        <v>462</v>
      </c>
      <c r="J660" s="279">
        <v>1</v>
      </c>
      <c r="K660" s="280">
        <v>550.67999999999995</v>
      </c>
      <c r="L660" s="280">
        <v>10.83</v>
      </c>
      <c r="M660" s="280">
        <v>539.85</v>
      </c>
      <c r="N660" s="281">
        <v>529</v>
      </c>
      <c r="O660" s="282">
        <v>529</v>
      </c>
      <c r="P660" s="280">
        <f t="shared" si="21"/>
        <v>550.67999999999995</v>
      </c>
    </row>
    <row r="661" spans="1:16" x14ac:dyDescent="0.2">
      <c r="A661" s="32" t="s">
        <v>612</v>
      </c>
      <c r="B661" s="32" t="s">
        <v>576</v>
      </c>
      <c r="C661" s="32" t="s">
        <v>577</v>
      </c>
      <c r="D661" s="32" t="s">
        <v>608</v>
      </c>
      <c r="E661" s="32" t="s">
        <v>556</v>
      </c>
      <c r="F661" s="32" t="s">
        <v>584</v>
      </c>
      <c r="G661" s="32" t="str">
        <f t="shared" si="20"/>
        <v>2" PE STUB</v>
      </c>
      <c r="H661" s="278" t="s">
        <v>469</v>
      </c>
      <c r="I661" s="32" t="s">
        <v>462</v>
      </c>
      <c r="J661" s="279">
        <v>10</v>
      </c>
      <c r="K661" s="280">
        <v>30378.9</v>
      </c>
      <c r="L661" s="280">
        <v>597.29</v>
      </c>
      <c r="M661" s="280">
        <v>29781.61</v>
      </c>
      <c r="N661" s="281">
        <v>529</v>
      </c>
      <c r="O661" s="282">
        <v>529</v>
      </c>
      <c r="P661" s="280">
        <f t="shared" si="21"/>
        <v>30378.9</v>
      </c>
    </row>
    <row r="662" spans="1:16" x14ac:dyDescent="0.2">
      <c r="A662" s="32" t="s">
        <v>612</v>
      </c>
      <c r="B662" s="32" t="s">
        <v>576</v>
      </c>
      <c r="C662" s="32" t="s">
        <v>577</v>
      </c>
      <c r="D662" s="32" t="s">
        <v>608</v>
      </c>
      <c r="E662" s="32" t="s">
        <v>556</v>
      </c>
      <c r="F662" s="32" t="s">
        <v>584</v>
      </c>
      <c r="G662" s="32" t="str">
        <f t="shared" si="20"/>
        <v>2" PE STUB</v>
      </c>
      <c r="H662" s="278" t="s">
        <v>469</v>
      </c>
      <c r="I662" s="32" t="s">
        <v>462</v>
      </c>
      <c r="J662" s="279">
        <v>10</v>
      </c>
      <c r="K662" s="280">
        <v>52709.79</v>
      </c>
      <c r="L662" s="280">
        <v>1036.3499999999999</v>
      </c>
      <c r="M662" s="280">
        <v>51673.440000000002</v>
      </c>
      <c r="N662" s="281">
        <v>529</v>
      </c>
      <c r="O662" s="282">
        <v>529</v>
      </c>
      <c r="P662" s="280">
        <f t="shared" si="21"/>
        <v>52709.79</v>
      </c>
    </row>
    <row r="663" spans="1:16" x14ac:dyDescent="0.2">
      <c r="A663" s="32" t="s">
        <v>612</v>
      </c>
      <c r="B663" s="32" t="s">
        <v>576</v>
      </c>
      <c r="C663" s="32" t="s">
        <v>577</v>
      </c>
      <c r="D663" s="32" t="s">
        <v>608</v>
      </c>
      <c r="E663" s="32" t="s">
        <v>556</v>
      </c>
      <c r="F663" s="32" t="s">
        <v>584</v>
      </c>
      <c r="G663" s="32" t="str">
        <f t="shared" si="20"/>
        <v>2" PE STUB</v>
      </c>
      <c r="H663" s="278" t="s">
        <v>469</v>
      </c>
      <c r="I663" s="32" t="s">
        <v>462</v>
      </c>
      <c r="J663" s="279">
        <v>29</v>
      </c>
      <c r="K663" s="280">
        <v>98097.86</v>
      </c>
      <c r="L663" s="280">
        <v>1928.74</v>
      </c>
      <c r="M663" s="280">
        <v>96169.12</v>
      </c>
      <c r="N663" s="281">
        <v>529</v>
      </c>
      <c r="O663" s="282">
        <v>529</v>
      </c>
      <c r="P663" s="280">
        <f t="shared" si="21"/>
        <v>98097.86</v>
      </c>
    </row>
    <row r="664" spans="1:16" x14ac:dyDescent="0.2">
      <c r="A664" s="32" t="s">
        <v>612</v>
      </c>
      <c r="B664" s="32" t="s">
        <v>576</v>
      </c>
      <c r="C664" s="32" t="s">
        <v>577</v>
      </c>
      <c r="D664" s="32" t="s">
        <v>608</v>
      </c>
      <c r="E664" s="32" t="s">
        <v>556</v>
      </c>
      <c r="F664" s="32" t="s">
        <v>584</v>
      </c>
      <c r="G664" s="32" t="str">
        <f t="shared" si="20"/>
        <v>2" PE STUB</v>
      </c>
      <c r="H664" s="278" t="s">
        <v>469</v>
      </c>
      <c r="I664" s="32" t="s">
        <v>462</v>
      </c>
      <c r="J664" s="279">
        <v>29</v>
      </c>
      <c r="K664" s="280">
        <v>251180.31</v>
      </c>
      <c r="L664" s="280">
        <v>4938.5600000000004</v>
      </c>
      <c r="M664" s="280">
        <v>246241.75</v>
      </c>
      <c r="N664" s="281">
        <v>529</v>
      </c>
      <c r="O664" s="282">
        <v>529</v>
      </c>
      <c r="P664" s="280">
        <f t="shared" si="21"/>
        <v>251180.31</v>
      </c>
    </row>
    <row r="665" spans="1:16" x14ac:dyDescent="0.2">
      <c r="A665" s="32" t="s">
        <v>613</v>
      </c>
      <c r="B665" s="32" t="s">
        <v>576</v>
      </c>
      <c r="C665" s="32" t="s">
        <v>577</v>
      </c>
      <c r="D665" s="32" t="s">
        <v>608</v>
      </c>
      <c r="E665" s="32" t="s">
        <v>556</v>
      </c>
      <c r="F665" s="32" t="s">
        <v>584</v>
      </c>
      <c r="G665" s="32" t="str">
        <f t="shared" si="20"/>
        <v>2" PE STUB</v>
      </c>
      <c r="H665" s="278" t="s">
        <v>525</v>
      </c>
      <c r="I665" s="32" t="s">
        <v>462</v>
      </c>
      <c r="J665" s="279">
        <v>35</v>
      </c>
      <c r="K665" s="280">
        <v>4055.84</v>
      </c>
      <c r="L665" s="280">
        <v>4039.14</v>
      </c>
      <c r="M665" s="280">
        <v>16.7</v>
      </c>
      <c r="N665" s="281">
        <v>111</v>
      </c>
      <c r="O665" s="282">
        <v>529</v>
      </c>
      <c r="P665" s="280">
        <f t="shared" si="21"/>
        <v>19329.183423423423</v>
      </c>
    </row>
    <row r="666" spans="1:16" x14ac:dyDescent="0.2">
      <c r="A666" s="32" t="s">
        <v>613</v>
      </c>
      <c r="B666" s="32" t="s">
        <v>576</v>
      </c>
      <c r="C666" s="32" t="s">
        <v>577</v>
      </c>
      <c r="D666" s="32" t="s">
        <v>608</v>
      </c>
      <c r="E666" s="32" t="s">
        <v>556</v>
      </c>
      <c r="F666" s="32" t="s">
        <v>584</v>
      </c>
      <c r="G666" s="32" t="str">
        <f t="shared" si="20"/>
        <v>2" PE STUB</v>
      </c>
      <c r="H666" s="278" t="s">
        <v>522</v>
      </c>
      <c r="I666" s="32" t="s">
        <v>462</v>
      </c>
      <c r="J666" s="279">
        <v>45</v>
      </c>
      <c r="K666" s="280">
        <v>20883.84</v>
      </c>
      <c r="L666" s="280">
        <v>20437.900000000001</v>
      </c>
      <c r="M666" s="280">
        <v>445.94</v>
      </c>
      <c r="N666" s="281">
        <v>141</v>
      </c>
      <c r="O666" s="282">
        <v>529</v>
      </c>
      <c r="P666" s="280">
        <f t="shared" si="21"/>
        <v>78351.428085106381</v>
      </c>
    </row>
    <row r="667" spans="1:16" x14ac:dyDescent="0.2">
      <c r="A667" s="32" t="s">
        <v>613</v>
      </c>
      <c r="B667" s="32" t="s">
        <v>576</v>
      </c>
      <c r="C667" s="32" t="s">
        <v>577</v>
      </c>
      <c r="D667" s="32" t="s">
        <v>608</v>
      </c>
      <c r="E667" s="32" t="s">
        <v>556</v>
      </c>
      <c r="F667" s="32" t="s">
        <v>584</v>
      </c>
      <c r="G667" s="32" t="str">
        <f t="shared" si="20"/>
        <v>2" PE STUB</v>
      </c>
      <c r="H667" s="278" t="s">
        <v>526</v>
      </c>
      <c r="I667" s="32" t="s">
        <v>462</v>
      </c>
      <c r="J667" s="279">
        <v>72</v>
      </c>
      <c r="K667" s="280">
        <v>21911.08</v>
      </c>
      <c r="L667" s="280">
        <v>21221.119999999999</v>
      </c>
      <c r="M667" s="280">
        <v>689.96</v>
      </c>
      <c r="N667" s="281">
        <v>149</v>
      </c>
      <c r="O667" s="282">
        <v>529</v>
      </c>
      <c r="P667" s="280">
        <f t="shared" si="21"/>
        <v>77791.686711409406</v>
      </c>
    </row>
    <row r="668" spans="1:16" x14ac:dyDescent="0.2">
      <c r="A668" s="32" t="s">
        <v>613</v>
      </c>
      <c r="B668" s="32" t="s">
        <v>576</v>
      </c>
      <c r="C668" s="32" t="s">
        <v>577</v>
      </c>
      <c r="D668" s="32" t="s">
        <v>608</v>
      </c>
      <c r="E668" s="32" t="s">
        <v>556</v>
      </c>
      <c r="F668" s="32" t="s">
        <v>584</v>
      </c>
      <c r="G668" s="32" t="str">
        <f t="shared" si="20"/>
        <v>2" PE STUB</v>
      </c>
      <c r="H668" s="278" t="s">
        <v>486</v>
      </c>
      <c r="I668" s="32" t="s">
        <v>462</v>
      </c>
      <c r="J668" s="279">
        <v>51</v>
      </c>
      <c r="K668" s="280">
        <v>21348.14</v>
      </c>
      <c r="L668" s="280">
        <v>20435.71</v>
      </c>
      <c r="M668" s="280">
        <v>912.43</v>
      </c>
      <c r="N668" s="281">
        <v>160</v>
      </c>
      <c r="O668" s="282">
        <v>529</v>
      </c>
      <c r="P668" s="280">
        <f t="shared" si="21"/>
        <v>70582.287874999995</v>
      </c>
    </row>
    <row r="669" spans="1:16" x14ac:dyDescent="0.2">
      <c r="A669" s="32" t="s">
        <v>613</v>
      </c>
      <c r="B669" s="32" t="s">
        <v>576</v>
      </c>
      <c r="C669" s="32" t="s">
        <v>577</v>
      </c>
      <c r="D669" s="32" t="s">
        <v>608</v>
      </c>
      <c r="E669" s="32" t="s">
        <v>556</v>
      </c>
      <c r="F669" s="32" t="s">
        <v>584</v>
      </c>
      <c r="G669" s="32" t="str">
        <f t="shared" si="20"/>
        <v>2" PE STUB</v>
      </c>
      <c r="H669" s="278" t="s">
        <v>519</v>
      </c>
      <c r="I669" s="32" t="s">
        <v>462</v>
      </c>
      <c r="J669" s="279">
        <v>162</v>
      </c>
      <c r="K669" s="280">
        <v>49236.639999999999</v>
      </c>
      <c r="L669" s="280">
        <v>46519.45</v>
      </c>
      <c r="M669" s="280">
        <v>2717.19</v>
      </c>
      <c r="N669" s="281">
        <v>172</v>
      </c>
      <c r="O669" s="282">
        <v>529</v>
      </c>
      <c r="P669" s="280">
        <f t="shared" si="21"/>
        <v>151431.29395348838</v>
      </c>
    </row>
    <row r="670" spans="1:16" x14ac:dyDescent="0.2">
      <c r="A670" s="32" t="s">
        <v>613</v>
      </c>
      <c r="B670" s="32" t="s">
        <v>576</v>
      </c>
      <c r="C670" s="32" t="s">
        <v>577</v>
      </c>
      <c r="D670" s="32" t="s">
        <v>608</v>
      </c>
      <c r="E670" s="32" t="s">
        <v>556</v>
      </c>
      <c r="F670" s="32" t="s">
        <v>584</v>
      </c>
      <c r="G670" s="32" t="str">
        <f t="shared" si="20"/>
        <v>2" PE STUB</v>
      </c>
      <c r="H670" s="278" t="s">
        <v>521</v>
      </c>
      <c r="I670" s="32" t="s">
        <v>462</v>
      </c>
      <c r="J670" s="279">
        <v>219</v>
      </c>
      <c r="K670" s="280">
        <v>87338</v>
      </c>
      <c r="L670" s="280">
        <v>81320.59</v>
      </c>
      <c r="M670" s="280">
        <v>6017.41</v>
      </c>
      <c r="N670" s="281">
        <v>192</v>
      </c>
      <c r="O670" s="282">
        <v>529</v>
      </c>
      <c r="P670" s="280">
        <f t="shared" si="21"/>
        <v>240634.38541666669</v>
      </c>
    </row>
    <row r="671" spans="1:16" x14ac:dyDescent="0.2">
      <c r="A671" s="32" t="s">
        <v>613</v>
      </c>
      <c r="B671" s="32" t="s">
        <v>576</v>
      </c>
      <c r="C671" s="32" t="s">
        <v>577</v>
      </c>
      <c r="D671" s="32" t="s">
        <v>608</v>
      </c>
      <c r="E671" s="32" t="s">
        <v>556</v>
      </c>
      <c r="F671" s="32" t="s">
        <v>584</v>
      </c>
      <c r="G671" s="32" t="str">
        <f t="shared" si="20"/>
        <v>2" PE STUB</v>
      </c>
      <c r="H671" s="278" t="s">
        <v>520</v>
      </c>
      <c r="I671" s="32" t="s">
        <v>462</v>
      </c>
      <c r="J671" s="279">
        <v>245</v>
      </c>
      <c r="K671" s="280">
        <v>76036.36</v>
      </c>
      <c r="L671" s="280">
        <v>69653.7</v>
      </c>
      <c r="M671" s="280">
        <v>6382.66</v>
      </c>
      <c r="N671" s="281">
        <v>216</v>
      </c>
      <c r="O671" s="282">
        <v>529</v>
      </c>
      <c r="P671" s="280">
        <f t="shared" si="21"/>
        <v>186218.67796296295</v>
      </c>
    </row>
    <row r="672" spans="1:16" x14ac:dyDescent="0.2">
      <c r="A672" s="32" t="s">
        <v>613</v>
      </c>
      <c r="B672" s="32" t="s">
        <v>576</v>
      </c>
      <c r="C672" s="32" t="s">
        <v>577</v>
      </c>
      <c r="D672" s="32" t="s">
        <v>608</v>
      </c>
      <c r="E672" s="32" t="s">
        <v>556</v>
      </c>
      <c r="F672" s="32" t="s">
        <v>584</v>
      </c>
      <c r="G672" s="32" t="str">
        <f t="shared" si="20"/>
        <v>2" PE STUB</v>
      </c>
      <c r="H672" s="278" t="s">
        <v>518</v>
      </c>
      <c r="I672" s="32" t="s">
        <v>462</v>
      </c>
      <c r="J672" s="279">
        <v>115</v>
      </c>
      <c r="K672" s="280">
        <v>78795.539999999994</v>
      </c>
      <c r="L672" s="280">
        <v>70886.039999999994</v>
      </c>
      <c r="M672" s="280">
        <v>7909.5</v>
      </c>
      <c r="N672" s="281">
        <v>238</v>
      </c>
      <c r="O672" s="282">
        <v>529</v>
      </c>
      <c r="P672" s="280">
        <f t="shared" si="21"/>
        <v>175137.98596638654</v>
      </c>
    </row>
    <row r="673" spans="1:16" x14ac:dyDescent="0.2">
      <c r="A673" s="32" t="s">
        <v>613</v>
      </c>
      <c r="B673" s="32" t="s">
        <v>576</v>
      </c>
      <c r="C673" s="32" t="s">
        <v>577</v>
      </c>
      <c r="D673" s="32" t="s">
        <v>608</v>
      </c>
      <c r="E673" s="32" t="s">
        <v>556</v>
      </c>
      <c r="F673" s="32" t="s">
        <v>584</v>
      </c>
      <c r="G673" s="32" t="str">
        <f t="shared" si="20"/>
        <v>2" PE STUB</v>
      </c>
      <c r="H673" s="278" t="s">
        <v>517</v>
      </c>
      <c r="I673" s="32" t="s">
        <v>462</v>
      </c>
      <c r="J673" s="279">
        <v>100</v>
      </c>
      <c r="K673" s="280">
        <v>71755.77</v>
      </c>
      <c r="L673" s="280">
        <v>63269.99</v>
      </c>
      <c r="M673" s="280">
        <v>8485.7800000000007</v>
      </c>
      <c r="N673" s="281">
        <v>249</v>
      </c>
      <c r="O673" s="282">
        <v>529</v>
      </c>
      <c r="P673" s="280">
        <f t="shared" si="21"/>
        <v>152444.98927710846</v>
      </c>
    </row>
    <row r="674" spans="1:16" x14ac:dyDescent="0.2">
      <c r="A674" s="32" t="s">
        <v>613</v>
      </c>
      <c r="B674" s="32" t="s">
        <v>576</v>
      </c>
      <c r="C674" s="32" t="s">
        <v>577</v>
      </c>
      <c r="D674" s="32" t="s">
        <v>608</v>
      </c>
      <c r="E674" s="32" t="s">
        <v>556</v>
      </c>
      <c r="F674" s="32" t="s">
        <v>584</v>
      </c>
      <c r="G674" s="32" t="str">
        <f t="shared" si="20"/>
        <v>2" PE STUB</v>
      </c>
      <c r="H674" s="278" t="s">
        <v>463</v>
      </c>
      <c r="I674" s="32" t="s">
        <v>462</v>
      </c>
      <c r="J674" s="279">
        <v>171</v>
      </c>
      <c r="K674" s="280">
        <v>91812.07</v>
      </c>
      <c r="L674" s="280">
        <v>79175.899999999994</v>
      </c>
      <c r="M674" s="280">
        <v>12636.17</v>
      </c>
      <c r="N674" s="281">
        <v>258</v>
      </c>
      <c r="O674" s="282">
        <v>529</v>
      </c>
      <c r="P674" s="280">
        <f t="shared" si="21"/>
        <v>188250.32957364342</v>
      </c>
    </row>
    <row r="675" spans="1:16" x14ac:dyDescent="0.2">
      <c r="A675" s="32" t="s">
        <v>613</v>
      </c>
      <c r="B675" s="32" t="s">
        <v>576</v>
      </c>
      <c r="C675" s="32" t="s">
        <v>577</v>
      </c>
      <c r="D675" s="32" t="s">
        <v>608</v>
      </c>
      <c r="E675" s="32" t="s">
        <v>556</v>
      </c>
      <c r="F675" s="32" t="s">
        <v>584</v>
      </c>
      <c r="G675" s="32" t="str">
        <f t="shared" si="20"/>
        <v>2" PE STUB</v>
      </c>
      <c r="H675" s="278" t="s">
        <v>464</v>
      </c>
      <c r="I675" s="32" t="s">
        <v>462</v>
      </c>
      <c r="J675" s="279">
        <v>256</v>
      </c>
      <c r="K675" s="280">
        <v>136704.67000000001</v>
      </c>
      <c r="L675" s="280">
        <v>115034.87</v>
      </c>
      <c r="M675" s="280">
        <v>21669.8</v>
      </c>
      <c r="N675" s="281">
        <v>263</v>
      </c>
      <c r="O675" s="282">
        <v>529</v>
      </c>
      <c r="P675" s="280">
        <f t="shared" si="21"/>
        <v>274968.70885931561</v>
      </c>
    </row>
    <row r="676" spans="1:16" x14ac:dyDescent="0.2">
      <c r="A676" s="32" t="s">
        <v>613</v>
      </c>
      <c r="B676" s="32" t="s">
        <v>576</v>
      </c>
      <c r="C676" s="32" t="s">
        <v>577</v>
      </c>
      <c r="D676" s="32" t="s">
        <v>608</v>
      </c>
      <c r="E676" s="32" t="s">
        <v>556</v>
      </c>
      <c r="F676" s="32" t="s">
        <v>584</v>
      </c>
      <c r="G676" s="32" t="str">
        <f t="shared" si="20"/>
        <v>2" PE STUB</v>
      </c>
      <c r="H676" s="278" t="s">
        <v>515</v>
      </c>
      <c r="I676" s="32" t="s">
        <v>462</v>
      </c>
      <c r="J676" s="279">
        <v>313</v>
      </c>
      <c r="K676" s="280">
        <v>210366.61</v>
      </c>
      <c r="L676" s="280">
        <v>172302.86</v>
      </c>
      <c r="M676" s="280">
        <v>38063.75</v>
      </c>
      <c r="N676" s="281">
        <v>267</v>
      </c>
      <c r="O676" s="282">
        <v>529</v>
      </c>
      <c r="P676" s="280">
        <f t="shared" si="21"/>
        <v>416793.7703745318</v>
      </c>
    </row>
    <row r="677" spans="1:16" x14ac:dyDescent="0.2">
      <c r="A677" s="32" t="s">
        <v>613</v>
      </c>
      <c r="B677" s="32" t="s">
        <v>576</v>
      </c>
      <c r="C677" s="32" t="s">
        <v>577</v>
      </c>
      <c r="D677" s="32" t="s">
        <v>608</v>
      </c>
      <c r="E677" s="32" t="s">
        <v>556</v>
      </c>
      <c r="F677" s="32" t="s">
        <v>584</v>
      </c>
      <c r="G677" s="32" t="str">
        <f t="shared" si="20"/>
        <v>2" PE STUB</v>
      </c>
      <c r="H677" s="278" t="s">
        <v>523</v>
      </c>
      <c r="I677" s="32" t="s">
        <v>462</v>
      </c>
      <c r="J677" s="279">
        <v>326</v>
      </c>
      <c r="K677" s="280">
        <v>227812.09</v>
      </c>
      <c r="L677" s="280">
        <v>181131.77</v>
      </c>
      <c r="M677" s="280">
        <v>46680.32</v>
      </c>
      <c r="N677" s="281">
        <v>274</v>
      </c>
      <c r="O677" s="282">
        <v>529</v>
      </c>
      <c r="P677" s="280">
        <f t="shared" si="21"/>
        <v>439826.99127737229</v>
      </c>
    </row>
    <row r="678" spans="1:16" x14ac:dyDescent="0.2">
      <c r="A678" s="32" t="s">
        <v>613</v>
      </c>
      <c r="B678" s="32" t="s">
        <v>576</v>
      </c>
      <c r="C678" s="32" t="s">
        <v>577</v>
      </c>
      <c r="D678" s="32" t="s">
        <v>608</v>
      </c>
      <c r="E678" s="32" t="s">
        <v>556</v>
      </c>
      <c r="F678" s="32" t="s">
        <v>584</v>
      </c>
      <c r="G678" s="32" t="str">
        <f t="shared" si="20"/>
        <v>2" PE STUB</v>
      </c>
      <c r="H678" s="278" t="s">
        <v>516</v>
      </c>
      <c r="I678" s="32" t="s">
        <v>462</v>
      </c>
      <c r="J678" s="279">
        <v>385</v>
      </c>
      <c r="K678" s="280">
        <v>283801.56</v>
      </c>
      <c r="L678" s="280">
        <v>218410.36</v>
      </c>
      <c r="M678" s="280">
        <v>65391.199999999997</v>
      </c>
      <c r="N678" s="281">
        <v>281</v>
      </c>
      <c r="O678" s="282">
        <v>529</v>
      </c>
      <c r="P678" s="280">
        <f t="shared" si="21"/>
        <v>534274.11117437726</v>
      </c>
    </row>
    <row r="679" spans="1:16" x14ac:dyDescent="0.2">
      <c r="A679" s="32" t="s">
        <v>613</v>
      </c>
      <c r="B679" s="32" t="s">
        <v>576</v>
      </c>
      <c r="C679" s="32" t="s">
        <v>577</v>
      </c>
      <c r="D679" s="32" t="s">
        <v>608</v>
      </c>
      <c r="E679" s="32" t="s">
        <v>556</v>
      </c>
      <c r="F679" s="32" t="s">
        <v>584</v>
      </c>
      <c r="G679" s="32" t="str">
        <f t="shared" si="20"/>
        <v>2" PE STUB</v>
      </c>
      <c r="H679" s="278" t="s">
        <v>466</v>
      </c>
      <c r="I679" s="32" t="s">
        <v>462</v>
      </c>
      <c r="J679" s="279">
        <v>449</v>
      </c>
      <c r="K679" s="280">
        <v>264893.61</v>
      </c>
      <c r="L679" s="280">
        <v>196705.49</v>
      </c>
      <c r="M679" s="280">
        <v>68188.12</v>
      </c>
      <c r="N679" s="281">
        <v>290</v>
      </c>
      <c r="O679" s="282">
        <v>529</v>
      </c>
      <c r="P679" s="280">
        <f t="shared" si="21"/>
        <v>483202.48168965516</v>
      </c>
    </row>
    <row r="680" spans="1:16" x14ac:dyDescent="0.2">
      <c r="A680" s="32" t="s">
        <v>613</v>
      </c>
      <c r="B680" s="32" t="s">
        <v>576</v>
      </c>
      <c r="C680" s="32" t="s">
        <v>577</v>
      </c>
      <c r="D680" s="32" t="s">
        <v>608</v>
      </c>
      <c r="E680" s="32" t="s">
        <v>556</v>
      </c>
      <c r="F680" s="32" t="s">
        <v>584</v>
      </c>
      <c r="G680" s="32" t="str">
        <f t="shared" si="20"/>
        <v>2" PE STUB</v>
      </c>
      <c r="H680" s="278" t="s">
        <v>489</v>
      </c>
      <c r="I680" s="32" t="s">
        <v>462</v>
      </c>
      <c r="J680" s="279">
        <v>575</v>
      </c>
      <c r="K680" s="280">
        <v>336106.84</v>
      </c>
      <c r="L680" s="280">
        <v>240016.56</v>
      </c>
      <c r="M680" s="280">
        <v>96090.28</v>
      </c>
      <c r="N680" s="281">
        <v>296</v>
      </c>
      <c r="O680" s="282">
        <v>529</v>
      </c>
      <c r="P680" s="280">
        <f t="shared" si="21"/>
        <v>600677.42689189187</v>
      </c>
    </row>
    <row r="681" spans="1:16" x14ac:dyDescent="0.2">
      <c r="A681" s="32" t="s">
        <v>613</v>
      </c>
      <c r="B681" s="32" t="s">
        <v>576</v>
      </c>
      <c r="C681" s="32" t="s">
        <v>577</v>
      </c>
      <c r="D681" s="32" t="s">
        <v>608</v>
      </c>
      <c r="E681" s="32" t="s">
        <v>556</v>
      </c>
      <c r="F681" s="32" t="s">
        <v>584</v>
      </c>
      <c r="G681" s="32" t="str">
        <f t="shared" si="20"/>
        <v>2" PE STUB</v>
      </c>
      <c r="H681" s="278" t="s">
        <v>465</v>
      </c>
      <c r="I681" s="32" t="s">
        <v>462</v>
      </c>
      <c r="J681" s="279">
        <v>594</v>
      </c>
      <c r="K681" s="280">
        <v>459573.47</v>
      </c>
      <c r="L681" s="280">
        <v>314453.28999999998</v>
      </c>
      <c r="M681" s="280">
        <v>145120.18</v>
      </c>
      <c r="N681" s="281">
        <v>307</v>
      </c>
      <c r="O681" s="282">
        <v>529</v>
      </c>
      <c r="P681" s="280">
        <f t="shared" si="21"/>
        <v>791903.47110749187</v>
      </c>
    </row>
    <row r="682" spans="1:16" x14ac:dyDescent="0.2">
      <c r="A682" s="32" t="s">
        <v>613</v>
      </c>
      <c r="B682" s="32" t="s">
        <v>576</v>
      </c>
      <c r="C682" s="32" t="s">
        <v>577</v>
      </c>
      <c r="D682" s="32" t="s">
        <v>608</v>
      </c>
      <c r="E682" s="32" t="s">
        <v>556</v>
      </c>
      <c r="F682" s="32" t="s">
        <v>584</v>
      </c>
      <c r="G682" s="32" t="str">
        <f t="shared" si="20"/>
        <v>2" PE STUB</v>
      </c>
      <c r="H682" s="278" t="s">
        <v>490</v>
      </c>
      <c r="I682" s="32" t="s">
        <v>462</v>
      </c>
      <c r="J682" s="279">
        <v>537</v>
      </c>
      <c r="K682" s="280">
        <v>401048.92</v>
      </c>
      <c r="L682" s="280">
        <v>261896.05</v>
      </c>
      <c r="M682" s="280">
        <v>139152.87</v>
      </c>
      <c r="N682" s="281">
        <v>310</v>
      </c>
      <c r="O682" s="282">
        <v>529</v>
      </c>
      <c r="P682" s="280">
        <f t="shared" si="21"/>
        <v>684370.57638709678</v>
      </c>
    </row>
    <row r="683" spans="1:16" x14ac:dyDescent="0.2">
      <c r="A683" s="32" t="s">
        <v>613</v>
      </c>
      <c r="B683" s="32" t="s">
        <v>576</v>
      </c>
      <c r="C683" s="32" t="s">
        <v>577</v>
      </c>
      <c r="D683" s="32" t="s">
        <v>608</v>
      </c>
      <c r="E683" s="32" t="s">
        <v>556</v>
      </c>
      <c r="F683" s="32" t="s">
        <v>584</v>
      </c>
      <c r="G683" s="32" t="str">
        <f t="shared" si="20"/>
        <v>2" PE STUB</v>
      </c>
      <c r="H683" s="278" t="s">
        <v>491</v>
      </c>
      <c r="I683" s="32" t="s">
        <v>462</v>
      </c>
      <c r="J683" s="279">
        <v>720</v>
      </c>
      <c r="K683" s="280">
        <v>527388.98</v>
      </c>
      <c r="L683" s="280">
        <v>327293.44</v>
      </c>
      <c r="M683" s="280">
        <v>200095.54</v>
      </c>
      <c r="N683" s="281">
        <v>319</v>
      </c>
      <c r="O683" s="282">
        <v>529</v>
      </c>
      <c r="P683" s="280">
        <f t="shared" si="21"/>
        <v>874572.9480250784</v>
      </c>
    </row>
    <row r="684" spans="1:16" x14ac:dyDescent="0.2">
      <c r="A684" s="32" t="s">
        <v>613</v>
      </c>
      <c r="B684" s="32" t="s">
        <v>576</v>
      </c>
      <c r="C684" s="32" t="s">
        <v>577</v>
      </c>
      <c r="D684" s="32" t="s">
        <v>608</v>
      </c>
      <c r="E684" s="32" t="s">
        <v>556</v>
      </c>
      <c r="F684" s="32" t="s">
        <v>584</v>
      </c>
      <c r="G684" s="32" t="str">
        <f t="shared" si="20"/>
        <v>2" PE STUB</v>
      </c>
      <c r="H684" s="278" t="s">
        <v>514</v>
      </c>
      <c r="I684" s="32" t="s">
        <v>462</v>
      </c>
      <c r="J684" s="279">
        <v>256</v>
      </c>
      <c r="K684" s="280">
        <v>670850.97</v>
      </c>
      <c r="L684" s="280">
        <v>393824.53</v>
      </c>
      <c r="M684" s="280">
        <v>277026.44</v>
      </c>
      <c r="N684" s="281">
        <v>326</v>
      </c>
      <c r="O684" s="282">
        <v>529</v>
      </c>
      <c r="P684" s="280">
        <f t="shared" si="21"/>
        <v>1088589.4574539876</v>
      </c>
    </row>
    <row r="685" spans="1:16" x14ac:dyDescent="0.2">
      <c r="A685" s="32" t="s">
        <v>613</v>
      </c>
      <c r="B685" s="32" t="s">
        <v>576</v>
      </c>
      <c r="C685" s="32" t="s">
        <v>577</v>
      </c>
      <c r="D685" s="32" t="s">
        <v>608</v>
      </c>
      <c r="E685" s="32" t="s">
        <v>556</v>
      </c>
      <c r="F685" s="32" t="s">
        <v>584</v>
      </c>
      <c r="G685" s="32" t="str">
        <f t="shared" si="20"/>
        <v>2" PE STUB</v>
      </c>
      <c r="H685" s="278" t="s">
        <v>513</v>
      </c>
      <c r="I685" s="32" t="s">
        <v>462</v>
      </c>
      <c r="J685" s="279">
        <v>195</v>
      </c>
      <c r="K685" s="280">
        <v>217115.65</v>
      </c>
      <c r="L685" s="280">
        <v>119963.01</v>
      </c>
      <c r="M685" s="280">
        <v>97152.639999999999</v>
      </c>
      <c r="N685" s="281">
        <v>338</v>
      </c>
      <c r="O685" s="282">
        <v>529</v>
      </c>
      <c r="P685" s="280">
        <f t="shared" si="21"/>
        <v>339805.2628698225</v>
      </c>
    </row>
    <row r="686" spans="1:16" x14ac:dyDescent="0.2">
      <c r="A686" s="32" t="s">
        <v>613</v>
      </c>
      <c r="B686" s="32" t="s">
        <v>576</v>
      </c>
      <c r="C686" s="32" t="s">
        <v>577</v>
      </c>
      <c r="D686" s="32" t="s">
        <v>608</v>
      </c>
      <c r="E686" s="32" t="s">
        <v>556</v>
      </c>
      <c r="F686" s="32" t="s">
        <v>584</v>
      </c>
      <c r="G686" s="32" t="str">
        <f t="shared" si="20"/>
        <v>2" PE STUB</v>
      </c>
      <c r="H686" s="278" t="s">
        <v>467</v>
      </c>
      <c r="I686" s="32" t="s">
        <v>462</v>
      </c>
      <c r="J686" s="279">
        <v>130</v>
      </c>
      <c r="K686" s="280">
        <v>165067.76999999999</v>
      </c>
      <c r="L686" s="280">
        <v>85368.92</v>
      </c>
      <c r="M686" s="280">
        <v>79698.850000000006</v>
      </c>
      <c r="N686" s="281">
        <v>344</v>
      </c>
      <c r="O686" s="282">
        <v>529</v>
      </c>
      <c r="P686" s="280">
        <f t="shared" si="21"/>
        <v>253839.68119186047</v>
      </c>
    </row>
    <row r="687" spans="1:16" x14ac:dyDescent="0.2">
      <c r="A687" s="32" t="s">
        <v>613</v>
      </c>
      <c r="B687" s="32" t="s">
        <v>576</v>
      </c>
      <c r="C687" s="32" t="s">
        <v>577</v>
      </c>
      <c r="D687" s="32" t="s">
        <v>608</v>
      </c>
      <c r="E687" s="32" t="s">
        <v>556</v>
      </c>
      <c r="F687" s="32" t="s">
        <v>584</v>
      </c>
      <c r="G687" s="32" t="str">
        <f t="shared" si="20"/>
        <v>2" PE STUB</v>
      </c>
      <c r="H687" s="278" t="s">
        <v>473</v>
      </c>
      <c r="I687" s="32" t="s">
        <v>462</v>
      </c>
      <c r="J687" s="279">
        <v>17</v>
      </c>
      <c r="K687" s="280">
        <v>22726.65</v>
      </c>
      <c r="L687" s="280">
        <v>10935.04</v>
      </c>
      <c r="M687" s="280">
        <v>11791.61</v>
      </c>
      <c r="N687" s="281">
        <v>351</v>
      </c>
      <c r="O687" s="282">
        <v>529</v>
      </c>
      <c r="P687" s="280">
        <f t="shared" si="21"/>
        <v>34251.845726495732</v>
      </c>
    </row>
    <row r="688" spans="1:16" x14ac:dyDescent="0.2">
      <c r="A688" s="32" t="s">
        <v>613</v>
      </c>
      <c r="B688" s="32" t="s">
        <v>576</v>
      </c>
      <c r="C688" s="32" t="s">
        <v>577</v>
      </c>
      <c r="D688" s="32" t="s">
        <v>608</v>
      </c>
      <c r="E688" s="32" t="s">
        <v>556</v>
      </c>
      <c r="F688" s="32" t="s">
        <v>584</v>
      </c>
      <c r="G688" s="32" t="str">
        <f t="shared" si="20"/>
        <v>2" PE STUB</v>
      </c>
      <c r="H688" s="278" t="s">
        <v>479</v>
      </c>
      <c r="I688" s="32" t="s">
        <v>462</v>
      </c>
      <c r="J688" s="279">
        <v>6</v>
      </c>
      <c r="K688" s="280">
        <v>10850.02</v>
      </c>
      <c r="L688" s="280">
        <v>4824.34</v>
      </c>
      <c r="M688" s="280">
        <v>6025.68</v>
      </c>
      <c r="N688" s="281">
        <v>357</v>
      </c>
      <c r="O688" s="282">
        <v>529</v>
      </c>
      <c r="P688" s="280">
        <f t="shared" si="21"/>
        <v>16077.480616246499</v>
      </c>
    </row>
    <row r="689" spans="1:16" x14ac:dyDescent="0.2">
      <c r="A689" s="32" t="s">
        <v>613</v>
      </c>
      <c r="B689" s="32" t="s">
        <v>576</v>
      </c>
      <c r="C689" s="32" t="s">
        <v>577</v>
      </c>
      <c r="D689" s="32" t="s">
        <v>608</v>
      </c>
      <c r="E689" s="32" t="s">
        <v>556</v>
      </c>
      <c r="F689" s="32" t="s">
        <v>584</v>
      </c>
      <c r="G689" s="32" t="str">
        <f t="shared" si="20"/>
        <v>2" PE STUB</v>
      </c>
      <c r="H689" s="278" t="s">
        <v>480</v>
      </c>
      <c r="I689" s="32" t="s">
        <v>462</v>
      </c>
      <c r="J689" s="279">
        <v>3</v>
      </c>
      <c r="K689" s="280">
        <v>9701.65</v>
      </c>
      <c r="L689" s="280">
        <v>3956.52</v>
      </c>
      <c r="M689" s="280">
        <v>5745.13</v>
      </c>
      <c r="N689" s="281">
        <v>365</v>
      </c>
      <c r="O689" s="282">
        <v>529</v>
      </c>
      <c r="P689" s="280">
        <f t="shared" si="21"/>
        <v>14060.747534246575</v>
      </c>
    </row>
    <row r="690" spans="1:16" x14ac:dyDescent="0.2">
      <c r="A690" s="32" t="s">
        <v>613</v>
      </c>
      <c r="B690" s="32" t="s">
        <v>576</v>
      </c>
      <c r="C690" s="32" t="s">
        <v>577</v>
      </c>
      <c r="D690" s="32" t="s">
        <v>608</v>
      </c>
      <c r="E690" s="32" t="s">
        <v>556</v>
      </c>
      <c r="F690" s="32" t="s">
        <v>584</v>
      </c>
      <c r="G690" s="32" t="str">
        <f t="shared" si="20"/>
        <v>2" PE STUB</v>
      </c>
      <c r="H690" s="278" t="s">
        <v>472</v>
      </c>
      <c r="I690" s="32" t="s">
        <v>462</v>
      </c>
      <c r="J690" s="279">
        <v>7</v>
      </c>
      <c r="K690" s="280">
        <v>10222.469999999999</v>
      </c>
      <c r="L690" s="280">
        <v>3791.28</v>
      </c>
      <c r="M690" s="280">
        <v>6431.19</v>
      </c>
      <c r="N690" s="281">
        <v>370</v>
      </c>
      <c r="O690" s="282">
        <v>529</v>
      </c>
      <c r="P690" s="280">
        <f t="shared" si="21"/>
        <v>14615.36927027027</v>
      </c>
    </row>
    <row r="691" spans="1:16" x14ac:dyDescent="0.2">
      <c r="A691" s="32" t="s">
        <v>613</v>
      </c>
      <c r="B691" s="32" t="s">
        <v>576</v>
      </c>
      <c r="C691" s="32" t="s">
        <v>577</v>
      </c>
      <c r="D691" s="32" t="s">
        <v>608</v>
      </c>
      <c r="E691" s="32" t="s">
        <v>556</v>
      </c>
      <c r="F691" s="32" t="s">
        <v>584</v>
      </c>
      <c r="G691" s="32" t="str">
        <f t="shared" si="20"/>
        <v>2" PE STUB</v>
      </c>
      <c r="H691" s="278" t="s">
        <v>478</v>
      </c>
      <c r="I691" s="32" t="s">
        <v>462</v>
      </c>
      <c r="J691" s="279">
        <v>50</v>
      </c>
      <c r="K691" s="280">
        <v>10123.57</v>
      </c>
      <c r="L691" s="280">
        <v>3381.35</v>
      </c>
      <c r="M691" s="280">
        <v>6742.22</v>
      </c>
      <c r="N691" s="281">
        <v>378</v>
      </c>
      <c r="O691" s="282">
        <v>529</v>
      </c>
      <c r="P691" s="280">
        <f t="shared" si="21"/>
        <v>14167.641613756614</v>
      </c>
    </row>
    <row r="692" spans="1:16" x14ac:dyDescent="0.2">
      <c r="A692" s="32" t="s">
        <v>614</v>
      </c>
      <c r="B692" s="32" t="s">
        <v>576</v>
      </c>
      <c r="C692" s="32" t="s">
        <v>577</v>
      </c>
      <c r="D692" s="32" t="s">
        <v>608</v>
      </c>
      <c r="E692" s="32" t="s">
        <v>556</v>
      </c>
      <c r="F692" s="32" t="s">
        <v>587</v>
      </c>
      <c r="G692" s="32" t="str">
        <f t="shared" si="20"/>
        <v>2" PE TWIN</v>
      </c>
      <c r="H692" s="278" t="s">
        <v>476</v>
      </c>
      <c r="I692" s="32" t="s">
        <v>462</v>
      </c>
      <c r="J692" s="279">
        <v>0</v>
      </c>
      <c r="K692" s="280">
        <v>5092.41</v>
      </c>
      <c r="L692" s="280">
        <v>1148.28</v>
      </c>
      <c r="M692" s="280">
        <v>3944.13</v>
      </c>
      <c r="N692" s="281">
        <v>409</v>
      </c>
      <c r="O692" s="282">
        <v>529</v>
      </c>
      <c r="P692" s="280">
        <f t="shared" si="21"/>
        <v>6586.5156234718825</v>
      </c>
    </row>
    <row r="693" spans="1:16" x14ac:dyDescent="0.2">
      <c r="A693" s="32" t="s">
        <v>615</v>
      </c>
      <c r="B693" s="32" t="s">
        <v>576</v>
      </c>
      <c r="C693" s="32" t="s">
        <v>577</v>
      </c>
      <c r="D693" s="32" t="s">
        <v>608</v>
      </c>
      <c r="E693" s="32" t="s">
        <v>556</v>
      </c>
      <c r="F693" s="32" t="s">
        <v>587</v>
      </c>
      <c r="G693" s="32" t="str">
        <f t="shared" si="20"/>
        <v>2" PE TWIN</v>
      </c>
      <c r="H693" s="278" t="s">
        <v>467</v>
      </c>
      <c r="I693" s="32" t="s">
        <v>462</v>
      </c>
      <c r="J693" s="279">
        <v>3</v>
      </c>
      <c r="K693" s="280">
        <v>2793.77</v>
      </c>
      <c r="L693" s="280">
        <v>1444.87</v>
      </c>
      <c r="M693" s="280">
        <v>1348.9</v>
      </c>
      <c r="N693" s="281">
        <v>344</v>
      </c>
      <c r="O693" s="282">
        <v>529</v>
      </c>
      <c r="P693" s="280">
        <f t="shared" si="21"/>
        <v>4296.2335174418604</v>
      </c>
    </row>
    <row r="694" spans="1:16" x14ac:dyDescent="0.2">
      <c r="A694" s="32" t="s">
        <v>616</v>
      </c>
      <c r="B694" s="32" t="s">
        <v>576</v>
      </c>
      <c r="C694" s="32" t="s">
        <v>577</v>
      </c>
      <c r="D694" s="32" t="s">
        <v>617</v>
      </c>
      <c r="E694" s="32" t="s">
        <v>556</v>
      </c>
      <c r="F694" s="32" t="s">
        <v>579</v>
      </c>
      <c r="G694" s="32" t="str">
        <f t="shared" si="20"/>
        <v>4" PE EUF</v>
      </c>
      <c r="H694" s="278" t="s">
        <v>474</v>
      </c>
      <c r="I694" s="32" t="s">
        <v>462</v>
      </c>
      <c r="J694" s="279">
        <v>2</v>
      </c>
      <c r="K694" s="280">
        <v>4169.0600000000004</v>
      </c>
      <c r="L694" s="280">
        <v>794.08</v>
      </c>
      <c r="M694" s="280">
        <v>3374.98</v>
      </c>
      <c r="N694" s="281">
        <v>431</v>
      </c>
      <c r="O694" s="282">
        <v>529</v>
      </c>
      <c r="P694" s="280">
        <f t="shared" si="21"/>
        <v>5117.0133178654296</v>
      </c>
    </row>
    <row r="695" spans="1:16" x14ac:dyDescent="0.2">
      <c r="A695" s="32" t="s">
        <v>616</v>
      </c>
      <c r="B695" s="32" t="s">
        <v>576</v>
      </c>
      <c r="C695" s="32" t="s">
        <v>577</v>
      </c>
      <c r="D695" s="32" t="s">
        <v>617</v>
      </c>
      <c r="E695" s="32" t="s">
        <v>556</v>
      </c>
      <c r="F695" s="32" t="s">
        <v>579</v>
      </c>
      <c r="G695" s="32" t="str">
        <f t="shared" si="20"/>
        <v>4" PE EUF</v>
      </c>
      <c r="H695" s="278" t="s">
        <v>477</v>
      </c>
      <c r="I695" s="32" t="s">
        <v>462</v>
      </c>
      <c r="J695" s="279">
        <v>4</v>
      </c>
      <c r="K695" s="280">
        <v>60958.66</v>
      </c>
      <c r="L695" s="280">
        <v>9518.0400000000009</v>
      </c>
      <c r="M695" s="280">
        <v>51440.62</v>
      </c>
      <c r="N695" s="281">
        <v>450</v>
      </c>
      <c r="O695" s="282">
        <v>529</v>
      </c>
      <c r="P695" s="280">
        <f t="shared" si="21"/>
        <v>71660.291422222217</v>
      </c>
    </row>
    <row r="696" spans="1:16" x14ac:dyDescent="0.2">
      <c r="A696" s="32" t="s">
        <v>618</v>
      </c>
      <c r="B696" s="32" t="s">
        <v>576</v>
      </c>
      <c r="C696" s="32" t="s">
        <v>577</v>
      </c>
      <c r="D696" s="32" t="s">
        <v>617</v>
      </c>
      <c r="E696" s="32" t="s">
        <v>556</v>
      </c>
      <c r="F696" s="32" t="s">
        <v>579</v>
      </c>
      <c r="G696" s="32" t="str">
        <f t="shared" si="20"/>
        <v>4" PE EUF</v>
      </c>
      <c r="H696" s="278" t="s">
        <v>521</v>
      </c>
      <c r="I696" s="32" t="s">
        <v>462</v>
      </c>
      <c r="J696" s="279">
        <v>1</v>
      </c>
      <c r="K696" s="280">
        <v>3891</v>
      </c>
      <c r="L696" s="280">
        <v>3622.92</v>
      </c>
      <c r="M696" s="280">
        <v>268.08</v>
      </c>
      <c r="N696" s="281">
        <v>192</v>
      </c>
      <c r="O696" s="282">
        <v>529</v>
      </c>
      <c r="P696" s="280">
        <f t="shared" si="21"/>
        <v>10720.515625</v>
      </c>
    </row>
    <row r="697" spans="1:16" x14ac:dyDescent="0.2">
      <c r="A697" s="32" t="s">
        <v>618</v>
      </c>
      <c r="B697" s="32" t="s">
        <v>576</v>
      </c>
      <c r="C697" s="32" t="s">
        <v>577</v>
      </c>
      <c r="D697" s="32" t="s">
        <v>617</v>
      </c>
      <c r="E697" s="32" t="s">
        <v>556</v>
      </c>
      <c r="F697" s="32" t="s">
        <v>579</v>
      </c>
      <c r="G697" s="32" t="str">
        <f t="shared" si="20"/>
        <v>4" PE EUF</v>
      </c>
      <c r="H697" s="278" t="s">
        <v>518</v>
      </c>
      <c r="I697" s="32" t="s">
        <v>462</v>
      </c>
      <c r="J697" s="279">
        <v>2</v>
      </c>
      <c r="K697" s="280">
        <v>7652</v>
      </c>
      <c r="L697" s="280">
        <v>6883.89</v>
      </c>
      <c r="M697" s="280">
        <v>768.11</v>
      </c>
      <c r="N697" s="281">
        <v>238</v>
      </c>
      <c r="O697" s="282">
        <v>529</v>
      </c>
      <c r="P697" s="280">
        <f t="shared" si="21"/>
        <v>17008.016806722691</v>
      </c>
    </row>
    <row r="698" spans="1:16" x14ac:dyDescent="0.2">
      <c r="A698" s="32" t="s">
        <v>618</v>
      </c>
      <c r="B698" s="32" t="s">
        <v>576</v>
      </c>
      <c r="C698" s="32" t="s">
        <v>577</v>
      </c>
      <c r="D698" s="32" t="s">
        <v>617</v>
      </c>
      <c r="E698" s="32" t="s">
        <v>556</v>
      </c>
      <c r="F698" s="32" t="s">
        <v>579</v>
      </c>
      <c r="G698" s="32" t="str">
        <f t="shared" si="20"/>
        <v>4" PE EUF</v>
      </c>
      <c r="H698" s="278" t="s">
        <v>466</v>
      </c>
      <c r="I698" s="32" t="s">
        <v>462</v>
      </c>
      <c r="J698" s="279">
        <v>3</v>
      </c>
      <c r="K698" s="280">
        <v>24941</v>
      </c>
      <c r="L698" s="280">
        <v>18520.759999999998</v>
      </c>
      <c r="M698" s="280">
        <v>6420.24</v>
      </c>
      <c r="N698" s="281">
        <v>290</v>
      </c>
      <c r="O698" s="282">
        <v>529</v>
      </c>
      <c r="P698" s="280">
        <f t="shared" si="21"/>
        <v>45495.824137931035</v>
      </c>
    </row>
    <row r="699" spans="1:16" x14ac:dyDescent="0.2">
      <c r="A699" s="32" t="s">
        <v>618</v>
      </c>
      <c r="B699" s="32" t="s">
        <v>576</v>
      </c>
      <c r="C699" s="32" t="s">
        <v>577</v>
      </c>
      <c r="D699" s="32" t="s">
        <v>617</v>
      </c>
      <c r="E699" s="32" t="s">
        <v>556</v>
      </c>
      <c r="F699" s="32" t="s">
        <v>579</v>
      </c>
      <c r="G699" s="32" t="str">
        <f t="shared" si="20"/>
        <v>4" PE EUF</v>
      </c>
      <c r="H699" s="278" t="s">
        <v>489</v>
      </c>
      <c r="I699" s="32" t="s">
        <v>462</v>
      </c>
      <c r="J699" s="279">
        <v>2</v>
      </c>
      <c r="K699" s="280">
        <v>12780</v>
      </c>
      <c r="L699" s="280">
        <v>9126.2999999999993</v>
      </c>
      <c r="M699" s="280">
        <v>3653.7</v>
      </c>
      <c r="N699" s="281">
        <v>296</v>
      </c>
      <c r="O699" s="282">
        <v>529</v>
      </c>
      <c r="P699" s="280">
        <f t="shared" si="21"/>
        <v>22839.93243243243</v>
      </c>
    </row>
    <row r="700" spans="1:16" x14ac:dyDescent="0.2">
      <c r="A700" s="32" t="s">
        <v>618</v>
      </c>
      <c r="B700" s="32" t="s">
        <v>576</v>
      </c>
      <c r="C700" s="32" t="s">
        <v>577</v>
      </c>
      <c r="D700" s="32" t="s">
        <v>617</v>
      </c>
      <c r="E700" s="32" t="s">
        <v>556</v>
      </c>
      <c r="F700" s="32" t="s">
        <v>579</v>
      </c>
      <c r="G700" s="32" t="str">
        <f t="shared" si="20"/>
        <v>4" PE EUF</v>
      </c>
      <c r="H700" s="278" t="s">
        <v>491</v>
      </c>
      <c r="I700" s="32" t="s">
        <v>462</v>
      </c>
      <c r="J700" s="279">
        <v>1</v>
      </c>
      <c r="K700" s="280">
        <v>5774</v>
      </c>
      <c r="L700" s="280">
        <v>3583.3</v>
      </c>
      <c r="M700" s="280">
        <v>2190.6999999999998</v>
      </c>
      <c r="N700" s="281">
        <v>319</v>
      </c>
      <c r="O700" s="282">
        <v>529</v>
      </c>
      <c r="P700" s="280">
        <f t="shared" si="21"/>
        <v>9575.0658307210033</v>
      </c>
    </row>
    <row r="701" spans="1:16" x14ac:dyDescent="0.2">
      <c r="A701" s="32" t="s">
        <v>618</v>
      </c>
      <c r="B701" s="32" t="s">
        <v>576</v>
      </c>
      <c r="C701" s="32" t="s">
        <v>577</v>
      </c>
      <c r="D701" s="32" t="s">
        <v>617</v>
      </c>
      <c r="E701" s="32" t="s">
        <v>556</v>
      </c>
      <c r="F701" s="32" t="s">
        <v>579</v>
      </c>
      <c r="G701" s="32" t="str">
        <f t="shared" si="20"/>
        <v>4" PE EUF</v>
      </c>
      <c r="H701" s="278" t="s">
        <v>514</v>
      </c>
      <c r="I701" s="32" t="s">
        <v>462</v>
      </c>
      <c r="J701" s="279">
        <v>2</v>
      </c>
      <c r="K701" s="280">
        <v>5798</v>
      </c>
      <c r="L701" s="280">
        <v>3403.73</v>
      </c>
      <c r="M701" s="280">
        <v>2394.27</v>
      </c>
      <c r="N701" s="281">
        <v>326</v>
      </c>
      <c r="O701" s="282">
        <v>529</v>
      </c>
      <c r="P701" s="280">
        <f t="shared" si="21"/>
        <v>9408.4110429447846</v>
      </c>
    </row>
    <row r="702" spans="1:16" x14ac:dyDescent="0.2">
      <c r="A702" s="32" t="s">
        <v>619</v>
      </c>
      <c r="B702" s="32" t="s">
        <v>576</v>
      </c>
      <c r="C702" s="32" t="s">
        <v>577</v>
      </c>
      <c r="D702" s="32" t="s">
        <v>617</v>
      </c>
      <c r="E702" s="32" t="s">
        <v>556</v>
      </c>
      <c r="F702" s="32" t="s">
        <v>581</v>
      </c>
      <c r="G702" s="32" t="str">
        <f t="shared" si="20"/>
        <v>4" PE EXTN</v>
      </c>
      <c r="H702" s="278" t="s">
        <v>467</v>
      </c>
      <c r="I702" s="32" t="s">
        <v>462</v>
      </c>
      <c r="J702" s="279">
        <v>3</v>
      </c>
      <c r="K702" s="280">
        <v>27536.71</v>
      </c>
      <c r="L702" s="280">
        <v>14241.3</v>
      </c>
      <c r="M702" s="280">
        <v>13295.41</v>
      </c>
      <c r="N702" s="281">
        <v>344</v>
      </c>
      <c r="O702" s="282">
        <v>529</v>
      </c>
      <c r="P702" s="280">
        <f t="shared" si="21"/>
        <v>42345.696482558138</v>
      </c>
    </row>
    <row r="703" spans="1:16" x14ac:dyDescent="0.2">
      <c r="A703" s="32" t="s">
        <v>619</v>
      </c>
      <c r="B703" s="32" t="s">
        <v>576</v>
      </c>
      <c r="C703" s="32" t="s">
        <v>577</v>
      </c>
      <c r="D703" s="32" t="s">
        <v>617</v>
      </c>
      <c r="E703" s="32" t="s">
        <v>556</v>
      </c>
      <c r="F703" s="32" t="s">
        <v>581</v>
      </c>
      <c r="G703" s="32" t="str">
        <f t="shared" si="20"/>
        <v>4" PE EXTN</v>
      </c>
      <c r="H703" s="278" t="s">
        <v>473</v>
      </c>
      <c r="I703" s="32" t="s">
        <v>462</v>
      </c>
      <c r="J703" s="279">
        <v>15</v>
      </c>
      <c r="K703" s="280">
        <v>96388.39</v>
      </c>
      <c r="L703" s="280">
        <v>46377.77</v>
      </c>
      <c r="M703" s="280">
        <v>50010.62</v>
      </c>
      <c r="N703" s="281">
        <v>351</v>
      </c>
      <c r="O703" s="282">
        <v>529</v>
      </c>
      <c r="P703" s="280">
        <f t="shared" si="21"/>
        <v>145269.11199430199</v>
      </c>
    </row>
    <row r="704" spans="1:16" x14ac:dyDescent="0.2">
      <c r="A704" s="32" t="s">
        <v>619</v>
      </c>
      <c r="B704" s="32" t="s">
        <v>576</v>
      </c>
      <c r="C704" s="32" t="s">
        <v>577</v>
      </c>
      <c r="D704" s="32" t="s">
        <v>617</v>
      </c>
      <c r="E704" s="32" t="s">
        <v>556</v>
      </c>
      <c r="F704" s="32" t="s">
        <v>581</v>
      </c>
      <c r="G704" s="32" t="str">
        <f t="shared" si="20"/>
        <v>4" PE EXTN</v>
      </c>
      <c r="H704" s="278" t="s">
        <v>479</v>
      </c>
      <c r="I704" s="32" t="s">
        <v>462</v>
      </c>
      <c r="J704" s="279">
        <v>7</v>
      </c>
      <c r="K704" s="280">
        <v>57456.9</v>
      </c>
      <c r="L704" s="280">
        <v>25547.57</v>
      </c>
      <c r="M704" s="280">
        <v>31909.33</v>
      </c>
      <c r="N704" s="281">
        <v>357</v>
      </c>
      <c r="O704" s="282">
        <v>529</v>
      </c>
      <c r="P704" s="280">
        <f t="shared" si="21"/>
        <v>85139.21596638656</v>
      </c>
    </row>
    <row r="705" spans="1:16" x14ac:dyDescent="0.2">
      <c r="A705" s="32" t="s">
        <v>619</v>
      </c>
      <c r="B705" s="32" t="s">
        <v>576</v>
      </c>
      <c r="C705" s="32" t="s">
        <v>577</v>
      </c>
      <c r="D705" s="32" t="s">
        <v>617</v>
      </c>
      <c r="E705" s="32" t="s">
        <v>556</v>
      </c>
      <c r="F705" s="32" t="s">
        <v>581</v>
      </c>
      <c r="G705" s="32" t="str">
        <f t="shared" si="20"/>
        <v>4" PE EXTN</v>
      </c>
      <c r="H705" s="278" t="s">
        <v>480</v>
      </c>
      <c r="I705" s="32" t="s">
        <v>462</v>
      </c>
      <c r="J705" s="279">
        <v>14</v>
      </c>
      <c r="K705" s="280">
        <v>270222.73</v>
      </c>
      <c r="L705" s="280">
        <v>110202.06</v>
      </c>
      <c r="M705" s="280">
        <v>160020.67000000001</v>
      </c>
      <c r="N705" s="281">
        <v>365</v>
      </c>
      <c r="O705" s="282">
        <v>529</v>
      </c>
      <c r="P705" s="280">
        <f t="shared" si="21"/>
        <v>391637.87443835614</v>
      </c>
    </row>
    <row r="706" spans="1:16" x14ac:dyDescent="0.2">
      <c r="A706" s="32" t="s">
        <v>619</v>
      </c>
      <c r="B706" s="32" t="s">
        <v>576</v>
      </c>
      <c r="C706" s="32" t="s">
        <v>577</v>
      </c>
      <c r="D706" s="32" t="s">
        <v>617</v>
      </c>
      <c r="E706" s="32" t="s">
        <v>556</v>
      </c>
      <c r="F706" s="32" t="s">
        <v>581</v>
      </c>
      <c r="G706" s="32" t="str">
        <f t="shared" ref="G706:G769" si="22">D706&amp;" "&amp;E706&amp;" "&amp;F706</f>
        <v>4" PE EXTN</v>
      </c>
      <c r="H706" s="278" t="s">
        <v>472</v>
      </c>
      <c r="I706" s="32" t="s">
        <v>462</v>
      </c>
      <c r="J706" s="279">
        <v>13</v>
      </c>
      <c r="K706" s="280">
        <v>154608.47</v>
      </c>
      <c r="L706" s="280">
        <v>57340.800000000003</v>
      </c>
      <c r="M706" s="280">
        <v>97267.67</v>
      </c>
      <c r="N706" s="281">
        <v>370</v>
      </c>
      <c r="O706" s="282">
        <v>529</v>
      </c>
      <c r="P706" s="280">
        <f t="shared" ref="P706:P769" si="23">+(O706/N706)*K706</f>
        <v>221048.32602702704</v>
      </c>
    </row>
    <row r="707" spans="1:16" x14ac:dyDescent="0.2">
      <c r="A707" s="32" t="s">
        <v>619</v>
      </c>
      <c r="B707" s="32" t="s">
        <v>576</v>
      </c>
      <c r="C707" s="32" t="s">
        <v>577</v>
      </c>
      <c r="D707" s="32" t="s">
        <v>617</v>
      </c>
      <c r="E707" s="32" t="s">
        <v>556</v>
      </c>
      <c r="F707" s="32" t="s">
        <v>581</v>
      </c>
      <c r="G707" s="32" t="str">
        <f t="shared" si="22"/>
        <v>4" PE EXTN</v>
      </c>
      <c r="H707" s="278" t="s">
        <v>478</v>
      </c>
      <c r="I707" s="32" t="s">
        <v>462</v>
      </c>
      <c r="J707" s="279">
        <v>1428</v>
      </c>
      <c r="K707" s="280">
        <v>165835.47</v>
      </c>
      <c r="L707" s="280">
        <v>55390.25</v>
      </c>
      <c r="M707" s="280">
        <v>110445.22</v>
      </c>
      <c r="N707" s="281">
        <v>378</v>
      </c>
      <c r="O707" s="282">
        <v>529</v>
      </c>
      <c r="P707" s="280">
        <f t="shared" si="23"/>
        <v>232081.91436507937</v>
      </c>
    </row>
    <row r="708" spans="1:16" x14ac:dyDescent="0.2">
      <c r="A708" s="32" t="s">
        <v>619</v>
      </c>
      <c r="B708" s="32" t="s">
        <v>576</v>
      </c>
      <c r="C708" s="32" t="s">
        <v>577</v>
      </c>
      <c r="D708" s="32" t="s">
        <v>617</v>
      </c>
      <c r="E708" s="32" t="s">
        <v>556</v>
      </c>
      <c r="F708" s="32" t="s">
        <v>581</v>
      </c>
      <c r="G708" s="32" t="str">
        <f t="shared" si="22"/>
        <v>4" PE EXTN</v>
      </c>
      <c r="H708" s="278" t="s">
        <v>475</v>
      </c>
      <c r="I708" s="32" t="s">
        <v>462</v>
      </c>
      <c r="J708" s="279">
        <v>9</v>
      </c>
      <c r="K708" s="280">
        <v>69617.08</v>
      </c>
      <c r="L708" s="280">
        <v>20702.18</v>
      </c>
      <c r="M708" s="280">
        <v>48914.9</v>
      </c>
      <c r="N708" s="281">
        <v>393</v>
      </c>
      <c r="O708" s="282">
        <v>529</v>
      </c>
      <c r="P708" s="280">
        <f t="shared" si="23"/>
        <v>93708.486819338417</v>
      </c>
    </row>
    <row r="709" spans="1:16" x14ac:dyDescent="0.2">
      <c r="A709" s="32" t="s">
        <v>619</v>
      </c>
      <c r="B709" s="32" t="s">
        <v>576</v>
      </c>
      <c r="C709" s="32" t="s">
        <v>577</v>
      </c>
      <c r="D709" s="32" t="s">
        <v>617</v>
      </c>
      <c r="E709" s="32" t="s">
        <v>556</v>
      </c>
      <c r="F709" s="32" t="s">
        <v>581</v>
      </c>
      <c r="G709" s="32" t="str">
        <f t="shared" si="22"/>
        <v>4" PE EXTN</v>
      </c>
      <c r="H709" s="278" t="s">
        <v>471</v>
      </c>
      <c r="I709" s="32" t="s">
        <v>462</v>
      </c>
      <c r="J709" s="279">
        <v>6</v>
      </c>
      <c r="K709" s="280">
        <v>74650.09</v>
      </c>
      <c r="L709" s="280">
        <v>19495.28</v>
      </c>
      <c r="M709" s="280">
        <v>55154.81</v>
      </c>
      <c r="N709" s="281">
        <v>398</v>
      </c>
      <c r="O709" s="282">
        <v>529</v>
      </c>
      <c r="P709" s="280">
        <f t="shared" si="23"/>
        <v>99220.848266331654</v>
      </c>
    </row>
    <row r="710" spans="1:16" x14ac:dyDescent="0.2">
      <c r="A710" s="32" t="s">
        <v>619</v>
      </c>
      <c r="B710" s="32" t="s">
        <v>576</v>
      </c>
      <c r="C710" s="32" t="s">
        <v>577</v>
      </c>
      <c r="D710" s="32" t="s">
        <v>617</v>
      </c>
      <c r="E710" s="32" t="s">
        <v>556</v>
      </c>
      <c r="F710" s="32" t="s">
        <v>581</v>
      </c>
      <c r="G710" s="32" t="str">
        <f t="shared" si="22"/>
        <v>4" PE EXTN</v>
      </c>
      <c r="H710" s="278" t="s">
        <v>476</v>
      </c>
      <c r="I710" s="32" t="s">
        <v>462</v>
      </c>
      <c r="J710" s="279">
        <v>6</v>
      </c>
      <c r="K710" s="280">
        <v>21491.3</v>
      </c>
      <c r="L710" s="280">
        <v>4846.0200000000004</v>
      </c>
      <c r="M710" s="280">
        <v>16645.28</v>
      </c>
      <c r="N710" s="281">
        <v>409</v>
      </c>
      <c r="O710" s="282">
        <v>529</v>
      </c>
      <c r="P710" s="280">
        <f t="shared" si="23"/>
        <v>27796.815892420538</v>
      </c>
    </row>
    <row r="711" spans="1:16" x14ac:dyDescent="0.2">
      <c r="A711" s="32" t="s">
        <v>619</v>
      </c>
      <c r="B711" s="32" t="s">
        <v>576</v>
      </c>
      <c r="C711" s="32" t="s">
        <v>577</v>
      </c>
      <c r="D711" s="32" t="s">
        <v>617</v>
      </c>
      <c r="E711" s="32" t="s">
        <v>556</v>
      </c>
      <c r="F711" s="32" t="s">
        <v>581</v>
      </c>
      <c r="G711" s="32" t="str">
        <f t="shared" si="22"/>
        <v>4" PE EXTN</v>
      </c>
      <c r="H711" s="278" t="s">
        <v>474</v>
      </c>
      <c r="I711" s="32" t="s">
        <v>462</v>
      </c>
      <c r="J711" s="279">
        <v>8</v>
      </c>
      <c r="K711" s="280">
        <v>90715</v>
      </c>
      <c r="L711" s="280">
        <v>17278.419999999998</v>
      </c>
      <c r="M711" s="280">
        <v>73436.58</v>
      </c>
      <c r="N711" s="281">
        <v>431</v>
      </c>
      <c r="O711" s="282">
        <v>529</v>
      </c>
      <c r="P711" s="280">
        <f t="shared" si="23"/>
        <v>111341.6125290023</v>
      </c>
    </row>
    <row r="712" spans="1:16" x14ac:dyDescent="0.2">
      <c r="A712" s="32" t="s">
        <v>619</v>
      </c>
      <c r="B712" s="32" t="s">
        <v>576</v>
      </c>
      <c r="C712" s="32" t="s">
        <v>577</v>
      </c>
      <c r="D712" s="32" t="s">
        <v>617</v>
      </c>
      <c r="E712" s="32" t="s">
        <v>556</v>
      </c>
      <c r="F712" s="32" t="s">
        <v>581</v>
      </c>
      <c r="G712" s="32" t="str">
        <f t="shared" si="22"/>
        <v>4" PE EXTN</v>
      </c>
      <c r="H712" s="278" t="s">
        <v>477</v>
      </c>
      <c r="I712" s="32" t="s">
        <v>462</v>
      </c>
      <c r="J712" s="279">
        <v>15</v>
      </c>
      <c r="K712" s="280">
        <v>190190.39</v>
      </c>
      <c r="L712" s="280">
        <v>29696.19</v>
      </c>
      <c r="M712" s="280">
        <v>160494.20000000001</v>
      </c>
      <c r="N712" s="281">
        <v>450</v>
      </c>
      <c r="O712" s="282">
        <v>529</v>
      </c>
      <c r="P712" s="280">
        <f t="shared" si="23"/>
        <v>223579.36957777778</v>
      </c>
    </row>
    <row r="713" spans="1:16" x14ac:dyDescent="0.2">
      <c r="A713" s="32" t="s">
        <v>619</v>
      </c>
      <c r="B713" s="32" t="s">
        <v>576</v>
      </c>
      <c r="C713" s="32" t="s">
        <v>577</v>
      </c>
      <c r="D713" s="32" t="s">
        <v>617</v>
      </c>
      <c r="E713" s="32" t="s">
        <v>556</v>
      </c>
      <c r="F713" s="32" t="s">
        <v>581</v>
      </c>
      <c r="G713" s="32" t="str">
        <f t="shared" si="22"/>
        <v>4" PE EXTN</v>
      </c>
      <c r="H713" s="278" t="s">
        <v>470</v>
      </c>
      <c r="I713" s="32" t="s">
        <v>462</v>
      </c>
      <c r="J713" s="279">
        <v>1</v>
      </c>
      <c r="K713" s="280">
        <v>29307.06</v>
      </c>
      <c r="L713" s="280">
        <v>3587.52</v>
      </c>
      <c r="M713" s="280">
        <v>25719.54</v>
      </c>
      <c r="N713" s="281">
        <v>467</v>
      </c>
      <c r="O713" s="282">
        <v>529</v>
      </c>
      <c r="P713" s="280">
        <f t="shared" si="23"/>
        <v>33197.933062098498</v>
      </c>
    </row>
    <row r="714" spans="1:16" x14ac:dyDescent="0.2">
      <c r="A714" s="32" t="s">
        <v>619</v>
      </c>
      <c r="B714" s="32" t="s">
        <v>576</v>
      </c>
      <c r="C714" s="32" t="s">
        <v>577</v>
      </c>
      <c r="D714" s="32" t="s">
        <v>617</v>
      </c>
      <c r="E714" s="32" t="s">
        <v>556</v>
      </c>
      <c r="F714" s="32" t="s">
        <v>581</v>
      </c>
      <c r="G714" s="32" t="str">
        <f t="shared" si="22"/>
        <v>4" PE EXTN</v>
      </c>
      <c r="H714" s="278" t="s">
        <v>470</v>
      </c>
      <c r="I714" s="32" t="s">
        <v>462</v>
      </c>
      <c r="J714" s="279">
        <v>2</v>
      </c>
      <c r="K714" s="280">
        <v>15983.18</v>
      </c>
      <c r="L714" s="280">
        <v>1956.53</v>
      </c>
      <c r="M714" s="280">
        <v>14026.65</v>
      </c>
      <c r="N714" s="281">
        <v>467</v>
      </c>
      <c r="O714" s="282">
        <v>529</v>
      </c>
      <c r="P714" s="280">
        <f t="shared" si="23"/>
        <v>18105.143940042824</v>
      </c>
    </row>
    <row r="715" spans="1:16" x14ac:dyDescent="0.2">
      <c r="A715" s="32" t="s">
        <v>619</v>
      </c>
      <c r="B715" s="32" t="s">
        <v>576</v>
      </c>
      <c r="C715" s="32" t="s">
        <v>577</v>
      </c>
      <c r="D715" s="32" t="s">
        <v>617</v>
      </c>
      <c r="E715" s="32" t="s">
        <v>556</v>
      </c>
      <c r="F715" s="32" t="s">
        <v>581</v>
      </c>
      <c r="G715" s="32" t="str">
        <f t="shared" si="22"/>
        <v>4" PE EXTN</v>
      </c>
      <c r="H715" s="278" t="s">
        <v>470</v>
      </c>
      <c r="I715" s="32" t="s">
        <v>462</v>
      </c>
      <c r="J715" s="279">
        <v>5</v>
      </c>
      <c r="K715" s="280">
        <v>45500.43</v>
      </c>
      <c r="L715" s="280">
        <v>5569.78</v>
      </c>
      <c r="M715" s="280">
        <v>39930.65</v>
      </c>
      <c r="N715" s="281">
        <v>467</v>
      </c>
      <c r="O715" s="282">
        <v>529</v>
      </c>
      <c r="P715" s="280">
        <f t="shared" si="23"/>
        <v>51541.172312633826</v>
      </c>
    </row>
    <row r="716" spans="1:16" x14ac:dyDescent="0.2">
      <c r="A716" s="32" t="s">
        <v>619</v>
      </c>
      <c r="B716" s="32" t="s">
        <v>576</v>
      </c>
      <c r="C716" s="32" t="s">
        <v>577</v>
      </c>
      <c r="D716" s="32" t="s">
        <v>617</v>
      </c>
      <c r="E716" s="32" t="s">
        <v>556</v>
      </c>
      <c r="F716" s="32" t="s">
        <v>581</v>
      </c>
      <c r="G716" s="32" t="str">
        <f t="shared" si="22"/>
        <v>4" PE EXTN</v>
      </c>
      <c r="H716" s="278" t="s">
        <v>470</v>
      </c>
      <c r="I716" s="32" t="s">
        <v>462</v>
      </c>
      <c r="J716" s="279">
        <v>6</v>
      </c>
      <c r="K716" s="280">
        <v>40588.089999999997</v>
      </c>
      <c r="L716" s="280">
        <v>4968.45</v>
      </c>
      <c r="M716" s="280">
        <v>35619.64</v>
      </c>
      <c r="N716" s="281">
        <v>467</v>
      </c>
      <c r="O716" s="282">
        <v>529</v>
      </c>
      <c r="P716" s="280">
        <f t="shared" si="23"/>
        <v>45976.658693790145</v>
      </c>
    </row>
    <row r="717" spans="1:16" x14ac:dyDescent="0.2">
      <c r="A717" s="32" t="s">
        <v>619</v>
      </c>
      <c r="B717" s="32" t="s">
        <v>576</v>
      </c>
      <c r="C717" s="32" t="s">
        <v>577</v>
      </c>
      <c r="D717" s="32" t="s">
        <v>617</v>
      </c>
      <c r="E717" s="32" t="s">
        <v>556</v>
      </c>
      <c r="F717" s="32" t="s">
        <v>581</v>
      </c>
      <c r="G717" s="32" t="str">
        <f t="shared" si="22"/>
        <v>4" PE EXTN</v>
      </c>
      <c r="H717" s="278" t="s">
        <v>461</v>
      </c>
      <c r="I717" s="32" t="s">
        <v>462</v>
      </c>
      <c r="J717" s="279">
        <v>1</v>
      </c>
      <c r="K717" s="280">
        <v>7806.28</v>
      </c>
      <c r="L717" s="280">
        <v>694.89</v>
      </c>
      <c r="M717" s="280">
        <v>7111.39</v>
      </c>
      <c r="N717" s="281">
        <v>491</v>
      </c>
      <c r="O717" s="282">
        <v>529</v>
      </c>
      <c r="P717" s="280">
        <f t="shared" si="23"/>
        <v>8410.4320162932781</v>
      </c>
    </row>
    <row r="718" spans="1:16" x14ac:dyDescent="0.2">
      <c r="A718" s="32" t="s">
        <v>619</v>
      </c>
      <c r="B718" s="32" t="s">
        <v>576</v>
      </c>
      <c r="C718" s="32" t="s">
        <v>577</v>
      </c>
      <c r="D718" s="32" t="s">
        <v>617</v>
      </c>
      <c r="E718" s="32" t="s">
        <v>556</v>
      </c>
      <c r="F718" s="32" t="s">
        <v>581</v>
      </c>
      <c r="G718" s="32" t="str">
        <f t="shared" si="22"/>
        <v>4" PE EXTN</v>
      </c>
      <c r="H718" s="278" t="s">
        <v>461</v>
      </c>
      <c r="I718" s="32" t="s">
        <v>462</v>
      </c>
      <c r="J718" s="279">
        <v>2</v>
      </c>
      <c r="K718" s="280">
        <v>33437.050000000003</v>
      </c>
      <c r="L718" s="280">
        <v>2976.47</v>
      </c>
      <c r="M718" s="280">
        <v>30460.58</v>
      </c>
      <c r="N718" s="281">
        <v>491</v>
      </c>
      <c r="O718" s="282">
        <v>529</v>
      </c>
      <c r="P718" s="280">
        <f t="shared" si="23"/>
        <v>36024.846130346232</v>
      </c>
    </row>
    <row r="719" spans="1:16" x14ac:dyDescent="0.2">
      <c r="A719" s="32" t="s">
        <v>619</v>
      </c>
      <c r="B719" s="32" t="s">
        <v>576</v>
      </c>
      <c r="C719" s="32" t="s">
        <v>577</v>
      </c>
      <c r="D719" s="32" t="s">
        <v>617</v>
      </c>
      <c r="E719" s="32" t="s">
        <v>556</v>
      </c>
      <c r="F719" s="32" t="s">
        <v>581</v>
      </c>
      <c r="G719" s="32" t="str">
        <f t="shared" si="22"/>
        <v>4" PE EXTN</v>
      </c>
      <c r="H719" s="278" t="s">
        <v>461</v>
      </c>
      <c r="I719" s="32" t="s">
        <v>462</v>
      </c>
      <c r="J719" s="279">
        <v>9</v>
      </c>
      <c r="K719" s="280">
        <v>114929.43</v>
      </c>
      <c r="L719" s="280">
        <v>10230.69</v>
      </c>
      <c r="M719" s="280">
        <v>104698.74</v>
      </c>
      <c r="N719" s="281">
        <v>491</v>
      </c>
      <c r="O719" s="282">
        <v>529</v>
      </c>
      <c r="P719" s="280">
        <f t="shared" si="23"/>
        <v>123824.17203665986</v>
      </c>
    </row>
    <row r="720" spans="1:16" x14ac:dyDescent="0.2">
      <c r="A720" s="32" t="s">
        <v>619</v>
      </c>
      <c r="B720" s="32" t="s">
        <v>576</v>
      </c>
      <c r="C720" s="32" t="s">
        <v>577</v>
      </c>
      <c r="D720" s="32" t="s">
        <v>617</v>
      </c>
      <c r="E720" s="32" t="s">
        <v>556</v>
      </c>
      <c r="F720" s="32" t="s">
        <v>581</v>
      </c>
      <c r="G720" s="32" t="str">
        <f t="shared" si="22"/>
        <v>4" PE EXTN</v>
      </c>
      <c r="H720" s="278" t="s">
        <v>461</v>
      </c>
      <c r="I720" s="32" t="s">
        <v>462</v>
      </c>
      <c r="J720" s="279">
        <v>11</v>
      </c>
      <c r="K720" s="280">
        <v>246794.23</v>
      </c>
      <c r="L720" s="280">
        <v>21968.91</v>
      </c>
      <c r="M720" s="280">
        <v>224825.32</v>
      </c>
      <c r="N720" s="281">
        <v>491</v>
      </c>
      <c r="O720" s="282">
        <v>529</v>
      </c>
      <c r="P720" s="280">
        <f t="shared" si="23"/>
        <v>265894.39443991851</v>
      </c>
    </row>
    <row r="721" spans="1:16" x14ac:dyDescent="0.2">
      <c r="A721" s="32" t="s">
        <v>619</v>
      </c>
      <c r="B721" s="32" t="s">
        <v>576</v>
      </c>
      <c r="C721" s="32" t="s">
        <v>577</v>
      </c>
      <c r="D721" s="32" t="s">
        <v>617</v>
      </c>
      <c r="E721" s="32" t="s">
        <v>556</v>
      </c>
      <c r="F721" s="32" t="s">
        <v>581</v>
      </c>
      <c r="G721" s="32" t="str">
        <f t="shared" si="22"/>
        <v>4" PE EXTN</v>
      </c>
      <c r="H721" s="278" t="s">
        <v>468</v>
      </c>
      <c r="I721" s="32" t="s">
        <v>462</v>
      </c>
      <c r="J721" s="279">
        <v>1</v>
      </c>
      <c r="K721" s="280">
        <v>6034.92</v>
      </c>
      <c r="L721" s="280">
        <v>333.73</v>
      </c>
      <c r="M721" s="280">
        <v>5701.19</v>
      </c>
      <c r="N721" s="281">
        <v>517</v>
      </c>
      <c r="O721" s="282">
        <v>529</v>
      </c>
      <c r="P721" s="280">
        <f t="shared" si="23"/>
        <v>6174.9955125725346</v>
      </c>
    </row>
    <row r="722" spans="1:16" x14ac:dyDescent="0.2">
      <c r="A722" s="32" t="s">
        <v>619</v>
      </c>
      <c r="B722" s="32" t="s">
        <v>576</v>
      </c>
      <c r="C722" s="32" t="s">
        <v>577</v>
      </c>
      <c r="D722" s="32" t="s">
        <v>617</v>
      </c>
      <c r="E722" s="32" t="s">
        <v>556</v>
      </c>
      <c r="F722" s="32" t="s">
        <v>581</v>
      </c>
      <c r="G722" s="32" t="str">
        <f t="shared" si="22"/>
        <v>4" PE EXTN</v>
      </c>
      <c r="H722" s="278" t="s">
        <v>468</v>
      </c>
      <c r="I722" s="32" t="s">
        <v>462</v>
      </c>
      <c r="J722" s="279">
        <v>1</v>
      </c>
      <c r="K722" s="280">
        <v>18105.05</v>
      </c>
      <c r="L722" s="280">
        <v>1001.21</v>
      </c>
      <c r="M722" s="280">
        <v>17103.84</v>
      </c>
      <c r="N722" s="281">
        <v>517</v>
      </c>
      <c r="O722" s="282">
        <v>529</v>
      </c>
      <c r="P722" s="280">
        <f t="shared" si="23"/>
        <v>18525.283268858802</v>
      </c>
    </row>
    <row r="723" spans="1:16" x14ac:dyDescent="0.2">
      <c r="A723" s="32" t="s">
        <v>619</v>
      </c>
      <c r="B723" s="32" t="s">
        <v>576</v>
      </c>
      <c r="C723" s="32" t="s">
        <v>577</v>
      </c>
      <c r="D723" s="32" t="s">
        <v>617</v>
      </c>
      <c r="E723" s="32" t="s">
        <v>556</v>
      </c>
      <c r="F723" s="32" t="s">
        <v>581</v>
      </c>
      <c r="G723" s="32" t="str">
        <f t="shared" si="22"/>
        <v>4" PE EXTN</v>
      </c>
      <c r="H723" s="278" t="s">
        <v>468</v>
      </c>
      <c r="I723" s="32" t="s">
        <v>462</v>
      </c>
      <c r="J723" s="279">
        <v>2</v>
      </c>
      <c r="K723" s="280">
        <v>65744.52</v>
      </c>
      <c r="L723" s="280">
        <v>3635.67</v>
      </c>
      <c r="M723" s="280">
        <v>62108.85</v>
      </c>
      <c r="N723" s="281">
        <v>517</v>
      </c>
      <c r="O723" s="282">
        <v>529</v>
      </c>
      <c r="P723" s="280">
        <f t="shared" si="23"/>
        <v>67270.504990328831</v>
      </c>
    </row>
    <row r="724" spans="1:16" x14ac:dyDescent="0.2">
      <c r="A724" s="32" t="s">
        <v>619</v>
      </c>
      <c r="B724" s="32" t="s">
        <v>576</v>
      </c>
      <c r="C724" s="32" t="s">
        <v>577</v>
      </c>
      <c r="D724" s="32" t="s">
        <v>617</v>
      </c>
      <c r="E724" s="32" t="s">
        <v>556</v>
      </c>
      <c r="F724" s="32" t="s">
        <v>581</v>
      </c>
      <c r="G724" s="32" t="str">
        <f t="shared" si="22"/>
        <v>4" PE EXTN</v>
      </c>
      <c r="H724" s="278" t="s">
        <v>468</v>
      </c>
      <c r="I724" s="32" t="s">
        <v>462</v>
      </c>
      <c r="J724" s="279">
        <v>6</v>
      </c>
      <c r="K724" s="280">
        <v>200431.25</v>
      </c>
      <c r="L724" s="280">
        <v>11083.84</v>
      </c>
      <c r="M724" s="280">
        <v>189347.41</v>
      </c>
      <c r="N724" s="281">
        <v>517</v>
      </c>
      <c r="O724" s="282">
        <v>529</v>
      </c>
      <c r="P724" s="280">
        <f t="shared" si="23"/>
        <v>205083.4260154739</v>
      </c>
    </row>
    <row r="725" spans="1:16" x14ac:dyDescent="0.2">
      <c r="A725" s="32" t="s">
        <v>619</v>
      </c>
      <c r="B725" s="32" t="s">
        <v>576</v>
      </c>
      <c r="C725" s="32" t="s">
        <v>577</v>
      </c>
      <c r="D725" s="32" t="s">
        <v>617</v>
      </c>
      <c r="E725" s="32" t="s">
        <v>556</v>
      </c>
      <c r="F725" s="32" t="s">
        <v>581</v>
      </c>
      <c r="G725" s="32" t="str">
        <f t="shared" si="22"/>
        <v>4" PE EXTN</v>
      </c>
      <c r="H725" s="278" t="s">
        <v>469</v>
      </c>
      <c r="I725" s="32" t="s">
        <v>462</v>
      </c>
      <c r="J725" s="279">
        <v>2</v>
      </c>
      <c r="K725" s="280">
        <v>88339.91</v>
      </c>
      <c r="L725" s="280">
        <v>1736.89</v>
      </c>
      <c r="M725" s="280">
        <v>86603.02</v>
      </c>
      <c r="N725" s="281">
        <v>529</v>
      </c>
      <c r="O725" s="282">
        <v>529</v>
      </c>
      <c r="P725" s="280">
        <f t="shared" si="23"/>
        <v>88339.91</v>
      </c>
    </row>
    <row r="726" spans="1:16" x14ac:dyDescent="0.2">
      <c r="A726" s="32" t="s">
        <v>619</v>
      </c>
      <c r="B726" s="32" t="s">
        <v>576</v>
      </c>
      <c r="C726" s="32" t="s">
        <v>577</v>
      </c>
      <c r="D726" s="32" t="s">
        <v>617</v>
      </c>
      <c r="E726" s="32" t="s">
        <v>556</v>
      </c>
      <c r="F726" s="32" t="s">
        <v>581</v>
      </c>
      <c r="G726" s="32" t="str">
        <f t="shared" si="22"/>
        <v>4" PE EXTN</v>
      </c>
      <c r="H726" s="278" t="s">
        <v>469</v>
      </c>
      <c r="I726" s="32" t="s">
        <v>462</v>
      </c>
      <c r="J726" s="279">
        <v>8</v>
      </c>
      <c r="K726" s="280">
        <v>165211.67000000001</v>
      </c>
      <c r="L726" s="280">
        <v>3248.29</v>
      </c>
      <c r="M726" s="280">
        <v>161963.38</v>
      </c>
      <c r="N726" s="281">
        <v>529</v>
      </c>
      <c r="O726" s="282">
        <v>529</v>
      </c>
      <c r="P726" s="280">
        <f t="shared" si="23"/>
        <v>165211.67000000001</v>
      </c>
    </row>
    <row r="727" spans="1:16" x14ac:dyDescent="0.2">
      <c r="A727" s="32" t="s">
        <v>620</v>
      </c>
      <c r="B727" s="32" t="s">
        <v>576</v>
      </c>
      <c r="C727" s="32" t="s">
        <v>577</v>
      </c>
      <c r="D727" s="32" t="s">
        <v>617</v>
      </c>
      <c r="E727" s="32" t="s">
        <v>556</v>
      </c>
      <c r="F727" s="32" t="s">
        <v>581</v>
      </c>
      <c r="G727" s="32" t="str">
        <f t="shared" si="22"/>
        <v>4" PE EXTN</v>
      </c>
      <c r="H727" s="278" t="s">
        <v>520</v>
      </c>
      <c r="I727" s="32" t="s">
        <v>462</v>
      </c>
      <c r="J727" s="279">
        <v>6</v>
      </c>
      <c r="K727" s="280">
        <v>25075.77</v>
      </c>
      <c r="L727" s="280">
        <v>22970.85</v>
      </c>
      <c r="M727" s="280">
        <v>2104.92</v>
      </c>
      <c r="N727" s="281">
        <v>216</v>
      </c>
      <c r="O727" s="282">
        <v>529</v>
      </c>
      <c r="P727" s="280">
        <f t="shared" si="23"/>
        <v>61412.418194444443</v>
      </c>
    </row>
    <row r="728" spans="1:16" x14ac:dyDescent="0.2">
      <c r="A728" s="32" t="s">
        <v>620</v>
      </c>
      <c r="B728" s="32" t="s">
        <v>576</v>
      </c>
      <c r="C728" s="32" t="s">
        <v>577</v>
      </c>
      <c r="D728" s="32" t="s">
        <v>617</v>
      </c>
      <c r="E728" s="32" t="s">
        <v>556</v>
      </c>
      <c r="F728" s="32" t="s">
        <v>581</v>
      </c>
      <c r="G728" s="32" t="str">
        <f t="shared" si="22"/>
        <v>4" PE EXTN</v>
      </c>
      <c r="H728" s="278" t="s">
        <v>518</v>
      </c>
      <c r="I728" s="32" t="s">
        <v>462</v>
      </c>
      <c r="J728" s="279">
        <v>9</v>
      </c>
      <c r="K728" s="280">
        <v>42649.64</v>
      </c>
      <c r="L728" s="280">
        <v>38368.47</v>
      </c>
      <c r="M728" s="280">
        <v>4281.17</v>
      </c>
      <c r="N728" s="281">
        <v>238</v>
      </c>
      <c r="O728" s="282">
        <v>529</v>
      </c>
      <c r="P728" s="280">
        <f t="shared" si="23"/>
        <v>94796.888907563029</v>
      </c>
    </row>
    <row r="729" spans="1:16" x14ac:dyDescent="0.2">
      <c r="A729" s="32" t="s">
        <v>620</v>
      </c>
      <c r="B729" s="32" t="s">
        <v>576</v>
      </c>
      <c r="C729" s="32" t="s">
        <v>577</v>
      </c>
      <c r="D729" s="32" t="s">
        <v>617</v>
      </c>
      <c r="E729" s="32" t="s">
        <v>556</v>
      </c>
      <c r="F729" s="32" t="s">
        <v>581</v>
      </c>
      <c r="G729" s="32" t="str">
        <f t="shared" si="22"/>
        <v>4" PE EXTN</v>
      </c>
      <c r="H729" s="278" t="s">
        <v>517</v>
      </c>
      <c r="I729" s="32" t="s">
        <v>462</v>
      </c>
      <c r="J729" s="279">
        <v>8</v>
      </c>
      <c r="K729" s="280">
        <v>56525.21</v>
      </c>
      <c r="L729" s="280">
        <v>49840.59</v>
      </c>
      <c r="M729" s="280">
        <v>6684.62</v>
      </c>
      <c r="N729" s="281">
        <v>249</v>
      </c>
      <c r="O729" s="282">
        <v>529</v>
      </c>
      <c r="P729" s="280">
        <f t="shared" si="23"/>
        <v>120087.69514056225</v>
      </c>
    </row>
    <row r="730" spans="1:16" x14ac:dyDescent="0.2">
      <c r="A730" s="32" t="s">
        <v>620</v>
      </c>
      <c r="B730" s="32" t="s">
        <v>576</v>
      </c>
      <c r="C730" s="32" t="s">
        <v>577</v>
      </c>
      <c r="D730" s="32" t="s">
        <v>617</v>
      </c>
      <c r="E730" s="32" t="s">
        <v>556</v>
      </c>
      <c r="F730" s="32" t="s">
        <v>581</v>
      </c>
      <c r="G730" s="32" t="str">
        <f t="shared" si="22"/>
        <v>4" PE EXTN</v>
      </c>
      <c r="H730" s="278" t="s">
        <v>463</v>
      </c>
      <c r="I730" s="32" t="s">
        <v>462</v>
      </c>
      <c r="J730" s="279">
        <v>4</v>
      </c>
      <c r="K730" s="280">
        <v>22783.66</v>
      </c>
      <c r="L730" s="280">
        <v>19647.93</v>
      </c>
      <c r="M730" s="280">
        <v>3135.73</v>
      </c>
      <c r="N730" s="281">
        <v>258</v>
      </c>
      <c r="O730" s="282">
        <v>529</v>
      </c>
      <c r="P730" s="280">
        <f t="shared" si="23"/>
        <v>46715.333875968994</v>
      </c>
    </row>
    <row r="731" spans="1:16" x14ac:dyDescent="0.2">
      <c r="A731" s="32" t="s">
        <v>620</v>
      </c>
      <c r="B731" s="32" t="s">
        <v>576</v>
      </c>
      <c r="C731" s="32" t="s">
        <v>577</v>
      </c>
      <c r="D731" s="32" t="s">
        <v>617</v>
      </c>
      <c r="E731" s="32" t="s">
        <v>556</v>
      </c>
      <c r="F731" s="32" t="s">
        <v>581</v>
      </c>
      <c r="G731" s="32" t="str">
        <f t="shared" si="22"/>
        <v>4" PE EXTN</v>
      </c>
      <c r="H731" s="278" t="s">
        <v>464</v>
      </c>
      <c r="I731" s="32" t="s">
        <v>462</v>
      </c>
      <c r="J731" s="279">
        <v>7</v>
      </c>
      <c r="K731" s="280">
        <v>30646.01</v>
      </c>
      <c r="L731" s="280">
        <v>25788.15</v>
      </c>
      <c r="M731" s="280">
        <v>4857.8599999999997</v>
      </c>
      <c r="N731" s="281">
        <v>263</v>
      </c>
      <c r="O731" s="282">
        <v>529</v>
      </c>
      <c r="P731" s="280">
        <f t="shared" si="23"/>
        <v>61641.594258555131</v>
      </c>
    </row>
    <row r="732" spans="1:16" x14ac:dyDescent="0.2">
      <c r="A732" s="32" t="s">
        <v>620</v>
      </c>
      <c r="B732" s="32" t="s">
        <v>576</v>
      </c>
      <c r="C732" s="32" t="s">
        <v>577</v>
      </c>
      <c r="D732" s="32" t="s">
        <v>617</v>
      </c>
      <c r="E732" s="32" t="s">
        <v>556</v>
      </c>
      <c r="F732" s="32" t="s">
        <v>581</v>
      </c>
      <c r="G732" s="32" t="str">
        <f t="shared" si="22"/>
        <v>4" PE EXTN</v>
      </c>
      <c r="H732" s="278" t="s">
        <v>515</v>
      </c>
      <c r="I732" s="32" t="s">
        <v>462</v>
      </c>
      <c r="J732" s="279">
        <v>1</v>
      </c>
      <c r="K732" s="280">
        <v>9407.51</v>
      </c>
      <c r="L732" s="280">
        <v>7705.31</v>
      </c>
      <c r="M732" s="280">
        <v>1702.2</v>
      </c>
      <c r="N732" s="281">
        <v>267</v>
      </c>
      <c r="O732" s="282">
        <v>529</v>
      </c>
      <c r="P732" s="280">
        <f t="shared" si="23"/>
        <v>18638.849400749063</v>
      </c>
    </row>
    <row r="733" spans="1:16" x14ac:dyDescent="0.2">
      <c r="A733" s="32" t="s">
        <v>620</v>
      </c>
      <c r="B733" s="32" t="s">
        <v>576</v>
      </c>
      <c r="C733" s="32" t="s">
        <v>577</v>
      </c>
      <c r="D733" s="32" t="s">
        <v>617</v>
      </c>
      <c r="E733" s="32" t="s">
        <v>556</v>
      </c>
      <c r="F733" s="32" t="s">
        <v>581</v>
      </c>
      <c r="G733" s="32" t="str">
        <f t="shared" si="22"/>
        <v>4" PE EXTN</v>
      </c>
      <c r="H733" s="278" t="s">
        <v>523</v>
      </c>
      <c r="I733" s="32" t="s">
        <v>462</v>
      </c>
      <c r="J733" s="279">
        <v>3</v>
      </c>
      <c r="K733" s="280">
        <v>16800.259999999998</v>
      </c>
      <c r="L733" s="280">
        <v>13357.77</v>
      </c>
      <c r="M733" s="280">
        <v>3442.49</v>
      </c>
      <c r="N733" s="281">
        <v>274</v>
      </c>
      <c r="O733" s="282">
        <v>529</v>
      </c>
      <c r="P733" s="280">
        <f t="shared" si="23"/>
        <v>32435.538467153281</v>
      </c>
    </row>
    <row r="734" spans="1:16" x14ac:dyDescent="0.2">
      <c r="A734" s="32" t="s">
        <v>620</v>
      </c>
      <c r="B734" s="32" t="s">
        <v>576</v>
      </c>
      <c r="C734" s="32" t="s">
        <v>577</v>
      </c>
      <c r="D734" s="32" t="s">
        <v>617</v>
      </c>
      <c r="E734" s="32" t="s">
        <v>556</v>
      </c>
      <c r="F734" s="32" t="s">
        <v>581</v>
      </c>
      <c r="G734" s="32" t="str">
        <f t="shared" si="22"/>
        <v>4" PE EXTN</v>
      </c>
      <c r="H734" s="278" t="s">
        <v>516</v>
      </c>
      <c r="I734" s="32" t="s">
        <v>462</v>
      </c>
      <c r="J734" s="279">
        <v>7</v>
      </c>
      <c r="K734" s="280">
        <v>58229.18</v>
      </c>
      <c r="L734" s="280">
        <v>44812.5</v>
      </c>
      <c r="M734" s="280">
        <v>13416.68</v>
      </c>
      <c r="N734" s="281">
        <v>281</v>
      </c>
      <c r="O734" s="282">
        <v>529</v>
      </c>
      <c r="P734" s="280">
        <f t="shared" si="23"/>
        <v>109620.05772241994</v>
      </c>
    </row>
    <row r="735" spans="1:16" x14ac:dyDescent="0.2">
      <c r="A735" s="32" t="s">
        <v>620</v>
      </c>
      <c r="B735" s="32" t="s">
        <v>576</v>
      </c>
      <c r="C735" s="32" t="s">
        <v>577</v>
      </c>
      <c r="D735" s="32" t="s">
        <v>617</v>
      </c>
      <c r="E735" s="32" t="s">
        <v>556</v>
      </c>
      <c r="F735" s="32" t="s">
        <v>581</v>
      </c>
      <c r="G735" s="32" t="str">
        <f t="shared" si="22"/>
        <v>4" PE EXTN</v>
      </c>
      <c r="H735" s="278" t="s">
        <v>466</v>
      </c>
      <c r="I735" s="32" t="s">
        <v>462</v>
      </c>
      <c r="J735" s="279">
        <v>2</v>
      </c>
      <c r="K735" s="280">
        <v>17821.490000000002</v>
      </c>
      <c r="L735" s="280">
        <v>13233.94</v>
      </c>
      <c r="M735" s="280">
        <v>4587.55</v>
      </c>
      <c r="N735" s="281">
        <v>290</v>
      </c>
      <c r="O735" s="282">
        <v>529</v>
      </c>
      <c r="P735" s="280">
        <f t="shared" si="23"/>
        <v>32508.855896551726</v>
      </c>
    </row>
    <row r="736" spans="1:16" x14ac:dyDescent="0.2">
      <c r="A736" s="32" t="s">
        <v>620</v>
      </c>
      <c r="B736" s="32" t="s">
        <v>576</v>
      </c>
      <c r="C736" s="32" t="s">
        <v>577</v>
      </c>
      <c r="D736" s="32" t="s">
        <v>617</v>
      </c>
      <c r="E736" s="32" t="s">
        <v>556</v>
      </c>
      <c r="F736" s="32" t="s">
        <v>581</v>
      </c>
      <c r="G736" s="32" t="str">
        <f t="shared" si="22"/>
        <v>4" PE EXTN</v>
      </c>
      <c r="H736" s="278" t="s">
        <v>489</v>
      </c>
      <c r="I736" s="32" t="s">
        <v>462</v>
      </c>
      <c r="J736" s="279">
        <v>9</v>
      </c>
      <c r="K736" s="280">
        <v>49669.93</v>
      </c>
      <c r="L736" s="280">
        <v>35469.69</v>
      </c>
      <c r="M736" s="280">
        <v>14200.24</v>
      </c>
      <c r="N736" s="281">
        <v>296</v>
      </c>
      <c r="O736" s="282">
        <v>529</v>
      </c>
      <c r="P736" s="280">
        <f t="shared" si="23"/>
        <v>88768.219493243232</v>
      </c>
    </row>
    <row r="737" spans="1:16" x14ac:dyDescent="0.2">
      <c r="A737" s="32" t="s">
        <v>620</v>
      </c>
      <c r="B737" s="32" t="s">
        <v>576</v>
      </c>
      <c r="C737" s="32" t="s">
        <v>577</v>
      </c>
      <c r="D737" s="32" t="s">
        <v>617</v>
      </c>
      <c r="E737" s="32" t="s">
        <v>556</v>
      </c>
      <c r="F737" s="32" t="s">
        <v>581</v>
      </c>
      <c r="G737" s="32" t="str">
        <f t="shared" si="22"/>
        <v>4" PE EXTN</v>
      </c>
      <c r="H737" s="278" t="s">
        <v>465</v>
      </c>
      <c r="I737" s="32" t="s">
        <v>462</v>
      </c>
      <c r="J737" s="279">
        <v>9</v>
      </c>
      <c r="K737" s="280">
        <v>50107.51</v>
      </c>
      <c r="L737" s="280">
        <v>34284.99</v>
      </c>
      <c r="M737" s="280">
        <v>15822.52</v>
      </c>
      <c r="N737" s="281">
        <v>307</v>
      </c>
      <c r="O737" s="282">
        <v>529</v>
      </c>
      <c r="P737" s="280">
        <f t="shared" si="23"/>
        <v>86341.605179153106</v>
      </c>
    </row>
    <row r="738" spans="1:16" x14ac:dyDescent="0.2">
      <c r="A738" s="32" t="s">
        <v>620</v>
      </c>
      <c r="B738" s="32" t="s">
        <v>576</v>
      </c>
      <c r="C738" s="32" t="s">
        <v>577</v>
      </c>
      <c r="D738" s="32" t="s">
        <v>617</v>
      </c>
      <c r="E738" s="32" t="s">
        <v>556</v>
      </c>
      <c r="F738" s="32" t="s">
        <v>581</v>
      </c>
      <c r="G738" s="32" t="str">
        <f t="shared" si="22"/>
        <v>4" PE EXTN</v>
      </c>
      <c r="H738" s="278" t="s">
        <v>490</v>
      </c>
      <c r="I738" s="32" t="s">
        <v>462</v>
      </c>
      <c r="J738" s="279">
        <v>8</v>
      </c>
      <c r="K738" s="280">
        <v>52431.57</v>
      </c>
      <c r="L738" s="280">
        <v>34239.269999999997</v>
      </c>
      <c r="M738" s="280">
        <v>18192.3</v>
      </c>
      <c r="N738" s="281">
        <v>310</v>
      </c>
      <c r="O738" s="282">
        <v>529</v>
      </c>
      <c r="P738" s="280">
        <f t="shared" si="23"/>
        <v>89471.937193548394</v>
      </c>
    </row>
    <row r="739" spans="1:16" x14ac:dyDescent="0.2">
      <c r="A739" s="32" t="s">
        <v>620</v>
      </c>
      <c r="B739" s="32" t="s">
        <v>576</v>
      </c>
      <c r="C739" s="32" t="s">
        <v>577</v>
      </c>
      <c r="D739" s="32" t="s">
        <v>617</v>
      </c>
      <c r="E739" s="32" t="s">
        <v>556</v>
      </c>
      <c r="F739" s="32" t="s">
        <v>581</v>
      </c>
      <c r="G739" s="32" t="str">
        <f t="shared" si="22"/>
        <v>4" PE EXTN</v>
      </c>
      <c r="H739" s="278" t="s">
        <v>491</v>
      </c>
      <c r="I739" s="32" t="s">
        <v>462</v>
      </c>
      <c r="J739" s="279">
        <v>15</v>
      </c>
      <c r="K739" s="280">
        <v>92814.94</v>
      </c>
      <c r="L739" s="280">
        <v>57600.22</v>
      </c>
      <c r="M739" s="280">
        <v>35214.720000000001</v>
      </c>
      <c r="N739" s="281">
        <v>319</v>
      </c>
      <c r="O739" s="282">
        <v>529</v>
      </c>
      <c r="P739" s="280">
        <f t="shared" si="23"/>
        <v>153915.68420062697</v>
      </c>
    </row>
    <row r="740" spans="1:16" x14ac:dyDescent="0.2">
      <c r="A740" s="32" t="s">
        <v>620</v>
      </c>
      <c r="B740" s="32" t="s">
        <v>576</v>
      </c>
      <c r="C740" s="32" t="s">
        <v>577</v>
      </c>
      <c r="D740" s="32" t="s">
        <v>617</v>
      </c>
      <c r="E740" s="32" t="s">
        <v>556</v>
      </c>
      <c r="F740" s="32" t="s">
        <v>581</v>
      </c>
      <c r="G740" s="32" t="str">
        <f t="shared" si="22"/>
        <v>4" PE EXTN</v>
      </c>
      <c r="H740" s="278" t="s">
        <v>514</v>
      </c>
      <c r="I740" s="32" t="s">
        <v>462</v>
      </c>
      <c r="J740" s="279">
        <v>20</v>
      </c>
      <c r="K740" s="280">
        <v>227142.02</v>
      </c>
      <c r="L740" s="280">
        <v>133344.22</v>
      </c>
      <c r="M740" s="280">
        <v>93797.8</v>
      </c>
      <c r="N740" s="281">
        <v>326</v>
      </c>
      <c r="O740" s="282">
        <v>529</v>
      </c>
      <c r="P740" s="280">
        <f t="shared" si="23"/>
        <v>368583.21650306747</v>
      </c>
    </row>
    <row r="741" spans="1:16" x14ac:dyDescent="0.2">
      <c r="A741" s="32" t="s">
        <v>620</v>
      </c>
      <c r="B741" s="32" t="s">
        <v>576</v>
      </c>
      <c r="C741" s="32" t="s">
        <v>577</v>
      </c>
      <c r="D741" s="32" t="s">
        <v>617</v>
      </c>
      <c r="E741" s="32" t="s">
        <v>556</v>
      </c>
      <c r="F741" s="32" t="s">
        <v>581</v>
      </c>
      <c r="G741" s="32" t="str">
        <f t="shared" si="22"/>
        <v>4" PE EXTN</v>
      </c>
      <c r="H741" s="278" t="s">
        <v>513</v>
      </c>
      <c r="I741" s="32" t="s">
        <v>462</v>
      </c>
      <c r="J741" s="279">
        <v>15</v>
      </c>
      <c r="K741" s="280">
        <v>129013.78</v>
      </c>
      <c r="L741" s="280">
        <v>71284.039999999994</v>
      </c>
      <c r="M741" s="280">
        <v>57729.74</v>
      </c>
      <c r="N741" s="281">
        <v>338</v>
      </c>
      <c r="O741" s="282">
        <v>529</v>
      </c>
      <c r="P741" s="280">
        <f t="shared" si="23"/>
        <v>201918.01662721895</v>
      </c>
    </row>
    <row r="742" spans="1:16" x14ac:dyDescent="0.2">
      <c r="A742" s="32" t="s">
        <v>620</v>
      </c>
      <c r="B742" s="32" t="s">
        <v>576</v>
      </c>
      <c r="C742" s="32" t="s">
        <v>577</v>
      </c>
      <c r="D742" s="32" t="s">
        <v>617</v>
      </c>
      <c r="E742" s="32" t="s">
        <v>556</v>
      </c>
      <c r="F742" s="32" t="s">
        <v>581</v>
      </c>
      <c r="G742" s="32" t="str">
        <f t="shared" si="22"/>
        <v>4" PE EXTN</v>
      </c>
      <c r="H742" s="278" t="s">
        <v>467</v>
      </c>
      <c r="I742" s="32" t="s">
        <v>462</v>
      </c>
      <c r="J742" s="279">
        <v>6</v>
      </c>
      <c r="K742" s="280">
        <v>45844.959999999999</v>
      </c>
      <c r="L742" s="280">
        <v>23709.87</v>
      </c>
      <c r="M742" s="280">
        <v>22135.09</v>
      </c>
      <c r="N742" s="281">
        <v>344</v>
      </c>
      <c r="O742" s="282">
        <v>529</v>
      </c>
      <c r="P742" s="280">
        <f t="shared" si="23"/>
        <v>70499.953023255817</v>
      </c>
    </row>
    <row r="743" spans="1:16" x14ac:dyDescent="0.2">
      <c r="A743" s="32" t="s">
        <v>620</v>
      </c>
      <c r="B743" s="32" t="s">
        <v>576</v>
      </c>
      <c r="C743" s="32" t="s">
        <v>577</v>
      </c>
      <c r="D743" s="32" t="s">
        <v>617</v>
      </c>
      <c r="E743" s="32" t="s">
        <v>556</v>
      </c>
      <c r="F743" s="32" t="s">
        <v>581</v>
      </c>
      <c r="G743" s="32" t="str">
        <f t="shared" si="22"/>
        <v>4" PE EXTN</v>
      </c>
      <c r="H743" s="278" t="s">
        <v>473</v>
      </c>
      <c r="I743" s="32" t="s">
        <v>462</v>
      </c>
      <c r="J743" s="279">
        <v>3</v>
      </c>
      <c r="K743" s="280">
        <v>15465.43</v>
      </c>
      <c r="L743" s="280">
        <v>7441.27</v>
      </c>
      <c r="M743" s="280">
        <v>8024.16</v>
      </c>
      <c r="N743" s="281">
        <v>351</v>
      </c>
      <c r="O743" s="282">
        <v>529</v>
      </c>
      <c r="P743" s="280">
        <f t="shared" si="23"/>
        <v>23308.297635327635</v>
      </c>
    </row>
    <row r="744" spans="1:16" x14ac:dyDescent="0.2">
      <c r="A744" s="32" t="s">
        <v>620</v>
      </c>
      <c r="B744" s="32" t="s">
        <v>576</v>
      </c>
      <c r="C744" s="32" t="s">
        <v>577</v>
      </c>
      <c r="D744" s="32" t="s">
        <v>617</v>
      </c>
      <c r="E744" s="32" t="s">
        <v>556</v>
      </c>
      <c r="F744" s="32" t="s">
        <v>581</v>
      </c>
      <c r="G744" s="32" t="str">
        <f t="shared" si="22"/>
        <v>4" PE EXTN</v>
      </c>
      <c r="H744" s="278" t="s">
        <v>468</v>
      </c>
      <c r="I744" s="32" t="s">
        <v>462</v>
      </c>
      <c r="J744" s="279">
        <v>1</v>
      </c>
      <c r="K744" s="280">
        <v>13172.11</v>
      </c>
      <c r="L744" s="280">
        <v>728.42</v>
      </c>
      <c r="M744" s="280">
        <v>12443.69</v>
      </c>
      <c r="N744" s="281">
        <v>517</v>
      </c>
      <c r="O744" s="282">
        <v>529</v>
      </c>
      <c r="P744" s="280">
        <f t="shared" si="23"/>
        <v>13477.845628626694</v>
      </c>
    </row>
    <row r="745" spans="1:16" x14ac:dyDescent="0.2">
      <c r="A745" s="32" t="s">
        <v>621</v>
      </c>
      <c r="B745" s="32" t="s">
        <v>576</v>
      </c>
      <c r="C745" s="32" t="s">
        <v>577</v>
      </c>
      <c r="D745" s="32" t="s">
        <v>617</v>
      </c>
      <c r="E745" s="32" t="s">
        <v>556</v>
      </c>
      <c r="F745" s="32" t="s">
        <v>584</v>
      </c>
      <c r="G745" s="32" t="str">
        <f t="shared" si="22"/>
        <v>4" PE STUB</v>
      </c>
      <c r="H745" s="278" t="s">
        <v>467</v>
      </c>
      <c r="I745" s="32" t="s">
        <v>462</v>
      </c>
      <c r="J745" s="279">
        <v>5</v>
      </c>
      <c r="K745" s="280">
        <v>20306.93</v>
      </c>
      <c r="L745" s="280">
        <v>10502.24</v>
      </c>
      <c r="M745" s="280">
        <v>9804.69</v>
      </c>
      <c r="N745" s="281">
        <v>344</v>
      </c>
      <c r="O745" s="282">
        <v>529</v>
      </c>
      <c r="P745" s="280">
        <f t="shared" si="23"/>
        <v>31227.808052325585</v>
      </c>
    </row>
    <row r="746" spans="1:16" x14ac:dyDescent="0.2">
      <c r="A746" s="32" t="s">
        <v>621</v>
      </c>
      <c r="B746" s="32" t="s">
        <v>576</v>
      </c>
      <c r="C746" s="32" t="s">
        <v>577</v>
      </c>
      <c r="D746" s="32" t="s">
        <v>617</v>
      </c>
      <c r="E746" s="32" t="s">
        <v>556</v>
      </c>
      <c r="F746" s="32" t="s">
        <v>584</v>
      </c>
      <c r="G746" s="32" t="str">
        <f t="shared" si="22"/>
        <v>4" PE STUB</v>
      </c>
      <c r="H746" s="278" t="s">
        <v>473</v>
      </c>
      <c r="I746" s="32" t="s">
        <v>462</v>
      </c>
      <c r="J746" s="279">
        <v>15</v>
      </c>
      <c r="K746" s="280">
        <v>42148.57</v>
      </c>
      <c r="L746" s="280">
        <v>20280</v>
      </c>
      <c r="M746" s="280">
        <v>21868.57</v>
      </c>
      <c r="N746" s="281">
        <v>351</v>
      </c>
      <c r="O746" s="282">
        <v>529</v>
      </c>
      <c r="P746" s="280">
        <f t="shared" si="23"/>
        <v>63523.058490028488</v>
      </c>
    </row>
    <row r="747" spans="1:16" x14ac:dyDescent="0.2">
      <c r="A747" s="32" t="s">
        <v>621</v>
      </c>
      <c r="B747" s="32" t="s">
        <v>576</v>
      </c>
      <c r="C747" s="32" t="s">
        <v>577</v>
      </c>
      <c r="D747" s="32" t="s">
        <v>617</v>
      </c>
      <c r="E747" s="32" t="s">
        <v>556</v>
      </c>
      <c r="F747" s="32" t="s">
        <v>584</v>
      </c>
      <c r="G747" s="32" t="str">
        <f t="shared" si="22"/>
        <v>4" PE STUB</v>
      </c>
      <c r="H747" s="278" t="s">
        <v>479</v>
      </c>
      <c r="I747" s="32" t="s">
        <v>462</v>
      </c>
      <c r="J747" s="279">
        <v>9</v>
      </c>
      <c r="K747" s="280">
        <v>32900.22</v>
      </c>
      <c r="L747" s="280">
        <v>14628.72</v>
      </c>
      <c r="M747" s="280">
        <v>18271.5</v>
      </c>
      <c r="N747" s="281">
        <v>357</v>
      </c>
      <c r="O747" s="282">
        <v>529</v>
      </c>
      <c r="P747" s="280">
        <f t="shared" si="23"/>
        <v>48751.306386554628</v>
      </c>
    </row>
    <row r="748" spans="1:16" x14ac:dyDescent="0.2">
      <c r="A748" s="32" t="s">
        <v>621</v>
      </c>
      <c r="B748" s="32" t="s">
        <v>576</v>
      </c>
      <c r="C748" s="32" t="s">
        <v>577</v>
      </c>
      <c r="D748" s="32" t="s">
        <v>617</v>
      </c>
      <c r="E748" s="32" t="s">
        <v>556</v>
      </c>
      <c r="F748" s="32" t="s">
        <v>584</v>
      </c>
      <c r="G748" s="32" t="str">
        <f t="shared" si="22"/>
        <v>4" PE STUB</v>
      </c>
      <c r="H748" s="278" t="s">
        <v>480</v>
      </c>
      <c r="I748" s="32" t="s">
        <v>462</v>
      </c>
      <c r="J748" s="279">
        <v>18</v>
      </c>
      <c r="K748" s="280">
        <v>81094.77</v>
      </c>
      <c r="L748" s="280">
        <v>33072.019999999997</v>
      </c>
      <c r="M748" s="280">
        <v>48022.75</v>
      </c>
      <c r="N748" s="281">
        <v>365</v>
      </c>
      <c r="O748" s="282">
        <v>529</v>
      </c>
      <c r="P748" s="280">
        <f t="shared" si="23"/>
        <v>117531.87213698631</v>
      </c>
    </row>
    <row r="749" spans="1:16" x14ac:dyDescent="0.2">
      <c r="A749" s="32" t="s">
        <v>621</v>
      </c>
      <c r="B749" s="32" t="s">
        <v>576</v>
      </c>
      <c r="C749" s="32" t="s">
        <v>577</v>
      </c>
      <c r="D749" s="32" t="s">
        <v>617</v>
      </c>
      <c r="E749" s="32" t="s">
        <v>556</v>
      </c>
      <c r="F749" s="32" t="s">
        <v>584</v>
      </c>
      <c r="G749" s="32" t="str">
        <f t="shared" si="22"/>
        <v>4" PE STUB</v>
      </c>
      <c r="H749" s="278" t="s">
        <v>472</v>
      </c>
      <c r="I749" s="32" t="s">
        <v>462</v>
      </c>
      <c r="J749" s="279">
        <v>11</v>
      </c>
      <c r="K749" s="280">
        <v>52890.28</v>
      </c>
      <c r="L749" s="280">
        <v>19615.810000000001</v>
      </c>
      <c r="M749" s="280">
        <v>33274.47</v>
      </c>
      <c r="N749" s="281">
        <v>370</v>
      </c>
      <c r="O749" s="282">
        <v>529</v>
      </c>
      <c r="P749" s="280">
        <f t="shared" si="23"/>
        <v>75618.805729729735</v>
      </c>
    </row>
    <row r="750" spans="1:16" x14ac:dyDescent="0.2">
      <c r="A750" s="32" t="s">
        <v>621</v>
      </c>
      <c r="B750" s="32" t="s">
        <v>576</v>
      </c>
      <c r="C750" s="32" t="s">
        <v>577</v>
      </c>
      <c r="D750" s="32" t="s">
        <v>617</v>
      </c>
      <c r="E750" s="32" t="s">
        <v>556</v>
      </c>
      <c r="F750" s="32" t="s">
        <v>584</v>
      </c>
      <c r="G750" s="32" t="str">
        <f t="shared" si="22"/>
        <v>4" PE STUB</v>
      </c>
      <c r="H750" s="278" t="s">
        <v>478</v>
      </c>
      <c r="I750" s="32" t="s">
        <v>462</v>
      </c>
      <c r="J750" s="279">
        <v>1426</v>
      </c>
      <c r="K750" s="280">
        <v>61783.76</v>
      </c>
      <c r="L750" s="280">
        <v>20636.22</v>
      </c>
      <c r="M750" s="280">
        <v>41147.54</v>
      </c>
      <c r="N750" s="281">
        <v>378</v>
      </c>
      <c r="O750" s="282">
        <v>529</v>
      </c>
      <c r="P750" s="280">
        <f t="shared" si="23"/>
        <v>86464.574179894189</v>
      </c>
    </row>
    <row r="751" spans="1:16" x14ac:dyDescent="0.2">
      <c r="A751" s="32" t="s">
        <v>621</v>
      </c>
      <c r="B751" s="32" t="s">
        <v>576</v>
      </c>
      <c r="C751" s="32" t="s">
        <v>577</v>
      </c>
      <c r="D751" s="32" t="s">
        <v>617</v>
      </c>
      <c r="E751" s="32" t="s">
        <v>556</v>
      </c>
      <c r="F751" s="32" t="s">
        <v>584</v>
      </c>
      <c r="G751" s="32" t="str">
        <f t="shared" si="22"/>
        <v>4" PE STUB</v>
      </c>
      <c r="H751" s="278" t="s">
        <v>475</v>
      </c>
      <c r="I751" s="32" t="s">
        <v>462</v>
      </c>
      <c r="J751" s="279">
        <v>6</v>
      </c>
      <c r="K751" s="280">
        <v>23169.77</v>
      </c>
      <c r="L751" s="280">
        <v>6890.04</v>
      </c>
      <c r="M751" s="280">
        <v>16279.73</v>
      </c>
      <c r="N751" s="281">
        <v>393</v>
      </c>
      <c r="O751" s="282">
        <v>529</v>
      </c>
      <c r="P751" s="280">
        <f t="shared" si="23"/>
        <v>31187.807455470738</v>
      </c>
    </row>
    <row r="752" spans="1:16" x14ac:dyDescent="0.2">
      <c r="A752" s="32" t="s">
        <v>621</v>
      </c>
      <c r="B752" s="32" t="s">
        <v>576</v>
      </c>
      <c r="C752" s="32" t="s">
        <v>577</v>
      </c>
      <c r="D752" s="32" t="s">
        <v>617</v>
      </c>
      <c r="E752" s="32" t="s">
        <v>556</v>
      </c>
      <c r="F752" s="32" t="s">
        <v>584</v>
      </c>
      <c r="G752" s="32" t="str">
        <f t="shared" si="22"/>
        <v>4" PE STUB</v>
      </c>
      <c r="H752" s="278" t="s">
        <v>471</v>
      </c>
      <c r="I752" s="32" t="s">
        <v>462</v>
      </c>
      <c r="J752" s="279">
        <v>6</v>
      </c>
      <c r="K752" s="280">
        <v>27610.32</v>
      </c>
      <c r="L752" s="280">
        <v>7210.59</v>
      </c>
      <c r="M752" s="280">
        <v>20399.73</v>
      </c>
      <c r="N752" s="281">
        <v>398</v>
      </c>
      <c r="O752" s="282">
        <v>529</v>
      </c>
      <c r="P752" s="280">
        <f t="shared" si="23"/>
        <v>36698.138894472359</v>
      </c>
    </row>
    <row r="753" spans="1:16" x14ac:dyDescent="0.2">
      <c r="A753" s="32" t="s">
        <v>621</v>
      </c>
      <c r="B753" s="32" t="s">
        <v>576</v>
      </c>
      <c r="C753" s="32" t="s">
        <v>577</v>
      </c>
      <c r="D753" s="32" t="s">
        <v>617</v>
      </c>
      <c r="E753" s="32" t="s">
        <v>556</v>
      </c>
      <c r="F753" s="32" t="s">
        <v>584</v>
      </c>
      <c r="G753" s="32" t="str">
        <f t="shared" si="22"/>
        <v>4" PE STUB</v>
      </c>
      <c r="H753" s="278" t="s">
        <v>476</v>
      </c>
      <c r="I753" s="32" t="s">
        <v>462</v>
      </c>
      <c r="J753" s="279">
        <v>1</v>
      </c>
      <c r="K753" s="280">
        <v>23041.1</v>
      </c>
      <c r="L753" s="280">
        <v>5195.4799999999996</v>
      </c>
      <c r="M753" s="280">
        <v>17845.62</v>
      </c>
      <c r="N753" s="281">
        <v>409</v>
      </c>
      <c r="O753" s="282">
        <v>529</v>
      </c>
      <c r="P753" s="280">
        <f t="shared" si="23"/>
        <v>29801.324938875303</v>
      </c>
    </row>
    <row r="754" spans="1:16" x14ac:dyDescent="0.2">
      <c r="A754" s="32" t="s">
        <v>621</v>
      </c>
      <c r="B754" s="32" t="s">
        <v>576</v>
      </c>
      <c r="C754" s="32" t="s">
        <v>577</v>
      </c>
      <c r="D754" s="32" t="s">
        <v>617</v>
      </c>
      <c r="E754" s="32" t="s">
        <v>556</v>
      </c>
      <c r="F754" s="32" t="s">
        <v>584</v>
      </c>
      <c r="G754" s="32" t="str">
        <f t="shared" si="22"/>
        <v>4" PE STUB</v>
      </c>
      <c r="H754" s="278" t="s">
        <v>474</v>
      </c>
      <c r="I754" s="32" t="s">
        <v>462</v>
      </c>
      <c r="J754" s="279">
        <v>25</v>
      </c>
      <c r="K754" s="280">
        <v>20841.45</v>
      </c>
      <c r="L754" s="280">
        <v>3969.66</v>
      </c>
      <c r="M754" s="280">
        <v>16871.79</v>
      </c>
      <c r="N754" s="281">
        <v>431</v>
      </c>
      <c r="O754" s="282">
        <v>529</v>
      </c>
      <c r="P754" s="280">
        <f t="shared" si="23"/>
        <v>25580.341183294662</v>
      </c>
    </row>
    <row r="755" spans="1:16" x14ac:dyDescent="0.2">
      <c r="A755" s="32" t="s">
        <v>621</v>
      </c>
      <c r="B755" s="32" t="s">
        <v>576</v>
      </c>
      <c r="C755" s="32" t="s">
        <v>577</v>
      </c>
      <c r="D755" s="32" t="s">
        <v>617</v>
      </c>
      <c r="E755" s="32" t="s">
        <v>556</v>
      </c>
      <c r="F755" s="32" t="s">
        <v>584</v>
      </c>
      <c r="G755" s="32" t="str">
        <f t="shared" si="22"/>
        <v>4" PE STUB</v>
      </c>
      <c r="H755" s="278" t="s">
        <v>477</v>
      </c>
      <c r="I755" s="32" t="s">
        <v>462</v>
      </c>
      <c r="J755" s="279">
        <v>16</v>
      </c>
      <c r="K755" s="280">
        <v>114548.81</v>
      </c>
      <c r="L755" s="280">
        <v>17885.57</v>
      </c>
      <c r="M755" s="280">
        <v>96663.24</v>
      </c>
      <c r="N755" s="281">
        <v>450</v>
      </c>
      <c r="O755" s="282">
        <v>529</v>
      </c>
      <c r="P755" s="280">
        <f t="shared" si="23"/>
        <v>134658.48997777776</v>
      </c>
    </row>
    <row r="756" spans="1:16" x14ac:dyDescent="0.2">
      <c r="A756" s="32" t="s">
        <v>621</v>
      </c>
      <c r="B756" s="32" t="s">
        <v>576</v>
      </c>
      <c r="C756" s="32" t="s">
        <v>577</v>
      </c>
      <c r="D756" s="32" t="s">
        <v>617</v>
      </c>
      <c r="E756" s="32" t="s">
        <v>556</v>
      </c>
      <c r="F756" s="32" t="s">
        <v>584</v>
      </c>
      <c r="G756" s="32" t="str">
        <f t="shared" si="22"/>
        <v>4" PE STUB</v>
      </c>
      <c r="H756" s="278" t="s">
        <v>470</v>
      </c>
      <c r="I756" s="32" t="s">
        <v>462</v>
      </c>
      <c r="J756" s="279">
        <v>1</v>
      </c>
      <c r="K756" s="280">
        <v>6818.91</v>
      </c>
      <c r="L756" s="280">
        <v>834.71</v>
      </c>
      <c r="M756" s="280">
        <v>5984.2</v>
      </c>
      <c r="N756" s="281">
        <v>467</v>
      </c>
      <c r="O756" s="282">
        <v>529</v>
      </c>
      <c r="P756" s="280">
        <f t="shared" si="23"/>
        <v>7724.2042612419691</v>
      </c>
    </row>
    <row r="757" spans="1:16" x14ac:dyDescent="0.2">
      <c r="A757" s="32" t="s">
        <v>621</v>
      </c>
      <c r="B757" s="32" t="s">
        <v>576</v>
      </c>
      <c r="C757" s="32" t="s">
        <v>577</v>
      </c>
      <c r="D757" s="32" t="s">
        <v>617</v>
      </c>
      <c r="E757" s="32" t="s">
        <v>556</v>
      </c>
      <c r="F757" s="32" t="s">
        <v>584</v>
      </c>
      <c r="G757" s="32" t="str">
        <f t="shared" si="22"/>
        <v>4" PE STUB</v>
      </c>
      <c r="H757" s="278" t="s">
        <v>470</v>
      </c>
      <c r="I757" s="32" t="s">
        <v>462</v>
      </c>
      <c r="J757" s="279">
        <v>2</v>
      </c>
      <c r="K757" s="280">
        <v>9900.11</v>
      </c>
      <c r="L757" s="280">
        <v>1211.8900000000001</v>
      </c>
      <c r="M757" s="280">
        <v>8688.2199999999993</v>
      </c>
      <c r="N757" s="281">
        <v>467</v>
      </c>
      <c r="O757" s="282">
        <v>529</v>
      </c>
      <c r="P757" s="280">
        <f t="shared" si="23"/>
        <v>11214.471498929335</v>
      </c>
    </row>
    <row r="758" spans="1:16" x14ac:dyDescent="0.2">
      <c r="A758" s="32" t="s">
        <v>621</v>
      </c>
      <c r="B758" s="32" t="s">
        <v>576</v>
      </c>
      <c r="C758" s="32" t="s">
        <v>577</v>
      </c>
      <c r="D758" s="32" t="s">
        <v>617</v>
      </c>
      <c r="E758" s="32" t="s">
        <v>556</v>
      </c>
      <c r="F758" s="32" t="s">
        <v>584</v>
      </c>
      <c r="G758" s="32" t="str">
        <f t="shared" si="22"/>
        <v>4" PE STUB</v>
      </c>
      <c r="H758" s="278" t="s">
        <v>470</v>
      </c>
      <c r="I758" s="32" t="s">
        <v>462</v>
      </c>
      <c r="J758" s="279">
        <v>2</v>
      </c>
      <c r="K758" s="280">
        <v>13907.57</v>
      </c>
      <c r="L758" s="280">
        <v>1702.45</v>
      </c>
      <c r="M758" s="280">
        <v>12205.12</v>
      </c>
      <c r="N758" s="281">
        <v>467</v>
      </c>
      <c r="O758" s="282">
        <v>529</v>
      </c>
      <c r="P758" s="280">
        <f t="shared" si="23"/>
        <v>15753.971156316915</v>
      </c>
    </row>
    <row r="759" spans="1:16" x14ac:dyDescent="0.2">
      <c r="A759" s="32" t="s">
        <v>621</v>
      </c>
      <c r="B759" s="32" t="s">
        <v>576</v>
      </c>
      <c r="C759" s="32" t="s">
        <v>577</v>
      </c>
      <c r="D759" s="32" t="s">
        <v>617</v>
      </c>
      <c r="E759" s="32" t="s">
        <v>556</v>
      </c>
      <c r="F759" s="32" t="s">
        <v>584</v>
      </c>
      <c r="G759" s="32" t="str">
        <f t="shared" si="22"/>
        <v>4" PE STUB</v>
      </c>
      <c r="H759" s="278" t="s">
        <v>470</v>
      </c>
      <c r="I759" s="32" t="s">
        <v>462</v>
      </c>
      <c r="J759" s="279">
        <v>4</v>
      </c>
      <c r="K759" s="280">
        <v>29903.14</v>
      </c>
      <c r="L759" s="280">
        <v>3660.49</v>
      </c>
      <c r="M759" s="280">
        <v>26242.65</v>
      </c>
      <c r="N759" s="281">
        <v>467</v>
      </c>
      <c r="O759" s="282">
        <v>529</v>
      </c>
      <c r="P759" s="280">
        <f t="shared" si="23"/>
        <v>33873.150021413276</v>
      </c>
    </row>
    <row r="760" spans="1:16" x14ac:dyDescent="0.2">
      <c r="A760" s="32" t="s">
        <v>621</v>
      </c>
      <c r="B760" s="32" t="s">
        <v>576</v>
      </c>
      <c r="C760" s="32" t="s">
        <v>577</v>
      </c>
      <c r="D760" s="32" t="s">
        <v>617</v>
      </c>
      <c r="E760" s="32" t="s">
        <v>556</v>
      </c>
      <c r="F760" s="32" t="s">
        <v>584</v>
      </c>
      <c r="G760" s="32" t="str">
        <f t="shared" si="22"/>
        <v>4" PE STUB</v>
      </c>
      <c r="H760" s="278" t="s">
        <v>470</v>
      </c>
      <c r="I760" s="32" t="s">
        <v>462</v>
      </c>
      <c r="J760" s="279">
        <v>109</v>
      </c>
      <c r="K760" s="280">
        <v>15334.46</v>
      </c>
      <c r="L760" s="280">
        <v>1877.12</v>
      </c>
      <c r="M760" s="280">
        <v>13457.34</v>
      </c>
      <c r="N760" s="281">
        <v>467</v>
      </c>
      <c r="O760" s="282">
        <v>529</v>
      </c>
      <c r="P760" s="280">
        <f t="shared" si="23"/>
        <v>17370.298372591005</v>
      </c>
    </row>
    <row r="761" spans="1:16" x14ac:dyDescent="0.2">
      <c r="A761" s="32" t="s">
        <v>621</v>
      </c>
      <c r="B761" s="32" t="s">
        <v>576</v>
      </c>
      <c r="C761" s="32" t="s">
        <v>577</v>
      </c>
      <c r="D761" s="32" t="s">
        <v>617</v>
      </c>
      <c r="E761" s="32" t="s">
        <v>556</v>
      </c>
      <c r="F761" s="32" t="s">
        <v>584</v>
      </c>
      <c r="G761" s="32" t="str">
        <f t="shared" si="22"/>
        <v>4" PE STUB</v>
      </c>
      <c r="H761" s="278" t="s">
        <v>461</v>
      </c>
      <c r="I761" s="32" t="s">
        <v>462</v>
      </c>
      <c r="J761" s="279">
        <v>1</v>
      </c>
      <c r="K761" s="280">
        <v>943.03</v>
      </c>
      <c r="L761" s="280">
        <v>83.95</v>
      </c>
      <c r="M761" s="280">
        <v>859.08</v>
      </c>
      <c r="N761" s="281">
        <v>491</v>
      </c>
      <c r="O761" s="282">
        <v>529</v>
      </c>
      <c r="P761" s="280">
        <f t="shared" si="23"/>
        <v>1016.0139918533604</v>
      </c>
    </row>
    <row r="762" spans="1:16" x14ac:dyDescent="0.2">
      <c r="A762" s="32" t="s">
        <v>621</v>
      </c>
      <c r="B762" s="32" t="s">
        <v>576</v>
      </c>
      <c r="C762" s="32" t="s">
        <v>577</v>
      </c>
      <c r="D762" s="32" t="s">
        <v>617</v>
      </c>
      <c r="E762" s="32" t="s">
        <v>556</v>
      </c>
      <c r="F762" s="32" t="s">
        <v>584</v>
      </c>
      <c r="G762" s="32" t="str">
        <f t="shared" si="22"/>
        <v>4" PE STUB</v>
      </c>
      <c r="H762" s="278" t="s">
        <v>461</v>
      </c>
      <c r="I762" s="32" t="s">
        <v>462</v>
      </c>
      <c r="J762" s="279">
        <v>1</v>
      </c>
      <c r="K762" s="280">
        <v>4740.28</v>
      </c>
      <c r="L762" s="280">
        <v>421.97</v>
      </c>
      <c r="M762" s="280">
        <v>4318.3100000000004</v>
      </c>
      <c r="N762" s="281">
        <v>491</v>
      </c>
      <c r="O762" s="282">
        <v>529</v>
      </c>
      <c r="P762" s="280">
        <f t="shared" si="23"/>
        <v>5107.1448472505081</v>
      </c>
    </row>
    <row r="763" spans="1:16" x14ac:dyDescent="0.2">
      <c r="A763" s="32" t="s">
        <v>621</v>
      </c>
      <c r="B763" s="32" t="s">
        <v>576</v>
      </c>
      <c r="C763" s="32" t="s">
        <v>577</v>
      </c>
      <c r="D763" s="32" t="s">
        <v>617</v>
      </c>
      <c r="E763" s="32" t="s">
        <v>556</v>
      </c>
      <c r="F763" s="32" t="s">
        <v>584</v>
      </c>
      <c r="G763" s="32" t="str">
        <f t="shared" si="22"/>
        <v>4" PE STUB</v>
      </c>
      <c r="H763" s="278" t="s">
        <v>461</v>
      </c>
      <c r="I763" s="32" t="s">
        <v>462</v>
      </c>
      <c r="J763" s="279">
        <v>4</v>
      </c>
      <c r="K763" s="280">
        <v>24040.01</v>
      </c>
      <c r="L763" s="280">
        <v>2139.9699999999998</v>
      </c>
      <c r="M763" s="280">
        <v>21900.04</v>
      </c>
      <c r="N763" s="281">
        <v>491</v>
      </c>
      <c r="O763" s="282">
        <v>529</v>
      </c>
      <c r="P763" s="280">
        <f t="shared" si="23"/>
        <v>25900.540305498977</v>
      </c>
    </row>
    <row r="764" spans="1:16" x14ac:dyDescent="0.2">
      <c r="A764" s="32" t="s">
        <v>621</v>
      </c>
      <c r="B764" s="32" t="s">
        <v>576</v>
      </c>
      <c r="C764" s="32" t="s">
        <v>577</v>
      </c>
      <c r="D764" s="32" t="s">
        <v>617</v>
      </c>
      <c r="E764" s="32" t="s">
        <v>556</v>
      </c>
      <c r="F764" s="32" t="s">
        <v>584</v>
      </c>
      <c r="G764" s="32" t="str">
        <f t="shared" si="22"/>
        <v>4" PE STUB</v>
      </c>
      <c r="H764" s="278" t="s">
        <v>461</v>
      </c>
      <c r="I764" s="32" t="s">
        <v>462</v>
      </c>
      <c r="J764" s="279">
        <v>8</v>
      </c>
      <c r="K764" s="280">
        <v>42144.31</v>
      </c>
      <c r="L764" s="280">
        <v>3751.56</v>
      </c>
      <c r="M764" s="280">
        <v>38392.75</v>
      </c>
      <c r="N764" s="281">
        <v>491</v>
      </c>
      <c r="O764" s="282">
        <v>529</v>
      </c>
      <c r="P764" s="280">
        <f t="shared" si="23"/>
        <v>45405.987759674128</v>
      </c>
    </row>
    <row r="765" spans="1:16" x14ac:dyDescent="0.2">
      <c r="A765" s="32" t="s">
        <v>621</v>
      </c>
      <c r="B765" s="32" t="s">
        <v>576</v>
      </c>
      <c r="C765" s="32" t="s">
        <v>577</v>
      </c>
      <c r="D765" s="32" t="s">
        <v>617</v>
      </c>
      <c r="E765" s="32" t="s">
        <v>556</v>
      </c>
      <c r="F765" s="32" t="s">
        <v>584</v>
      </c>
      <c r="G765" s="32" t="str">
        <f t="shared" si="22"/>
        <v>4" PE STUB</v>
      </c>
      <c r="H765" s="278" t="s">
        <v>461</v>
      </c>
      <c r="I765" s="32" t="s">
        <v>462</v>
      </c>
      <c r="J765" s="279">
        <v>10</v>
      </c>
      <c r="K765" s="280">
        <v>85656.71</v>
      </c>
      <c r="L765" s="280">
        <v>7624.91</v>
      </c>
      <c r="M765" s="280">
        <v>78031.8</v>
      </c>
      <c r="N765" s="281">
        <v>491</v>
      </c>
      <c r="O765" s="282">
        <v>529</v>
      </c>
      <c r="P765" s="280">
        <f t="shared" si="23"/>
        <v>92285.946211812625</v>
      </c>
    </row>
    <row r="766" spans="1:16" x14ac:dyDescent="0.2">
      <c r="A766" s="32" t="s">
        <v>621</v>
      </c>
      <c r="B766" s="32" t="s">
        <v>576</v>
      </c>
      <c r="C766" s="32" t="s">
        <v>577</v>
      </c>
      <c r="D766" s="32" t="s">
        <v>617</v>
      </c>
      <c r="E766" s="32" t="s">
        <v>556</v>
      </c>
      <c r="F766" s="32" t="s">
        <v>584</v>
      </c>
      <c r="G766" s="32" t="str">
        <f t="shared" si="22"/>
        <v>4" PE STUB</v>
      </c>
      <c r="H766" s="278" t="s">
        <v>468</v>
      </c>
      <c r="I766" s="32" t="s">
        <v>462</v>
      </c>
      <c r="J766" s="279">
        <v>1</v>
      </c>
      <c r="K766" s="280">
        <v>1872.73</v>
      </c>
      <c r="L766" s="280">
        <v>103.56</v>
      </c>
      <c r="M766" s="280">
        <v>1769.17</v>
      </c>
      <c r="N766" s="281">
        <v>517</v>
      </c>
      <c r="O766" s="282">
        <v>529</v>
      </c>
      <c r="P766" s="280">
        <f t="shared" si="23"/>
        <v>1916.1976208897488</v>
      </c>
    </row>
    <row r="767" spans="1:16" x14ac:dyDescent="0.2">
      <c r="A767" s="32" t="s">
        <v>621</v>
      </c>
      <c r="B767" s="32" t="s">
        <v>576</v>
      </c>
      <c r="C767" s="32" t="s">
        <v>577</v>
      </c>
      <c r="D767" s="32" t="s">
        <v>617</v>
      </c>
      <c r="E767" s="32" t="s">
        <v>556</v>
      </c>
      <c r="F767" s="32" t="s">
        <v>584</v>
      </c>
      <c r="G767" s="32" t="str">
        <f t="shared" si="22"/>
        <v>4" PE STUB</v>
      </c>
      <c r="H767" s="278" t="s">
        <v>468</v>
      </c>
      <c r="I767" s="32" t="s">
        <v>462</v>
      </c>
      <c r="J767" s="279">
        <v>1</v>
      </c>
      <c r="K767" s="280">
        <v>5726.71</v>
      </c>
      <c r="L767" s="280">
        <v>316.69</v>
      </c>
      <c r="M767" s="280">
        <v>5410.02</v>
      </c>
      <c r="N767" s="281">
        <v>517</v>
      </c>
      <c r="O767" s="282">
        <v>529</v>
      </c>
      <c r="P767" s="280">
        <f t="shared" si="23"/>
        <v>5859.63170212766</v>
      </c>
    </row>
    <row r="768" spans="1:16" x14ac:dyDescent="0.2">
      <c r="A768" s="32" t="s">
        <v>621</v>
      </c>
      <c r="B768" s="32" t="s">
        <v>576</v>
      </c>
      <c r="C768" s="32" t="s">
        <v>577</v>
      </c>
      <c r="D768" s="32" t="s">
        <v>617</v>
      </c>
      <c r="E768" s="32" t="s">
        <v>556</v>
      </c>
      <c r="F768" s="32" t="s">
        <v>584</v>
      </c>
      <c r="G768" s="32" t="str">
        <f t="shared" si="22"/>
        <v>4" PE STUB</v>
      </c>
      <c r="H768" s="278" t="s">
        <v>468</v>
      </c>
      <c r="I768" s="32" t="s">
        <v>462</v>
      </c>
      <c r="J768" s="279">
        <v>3</v>
      </c>
      <c r="K768" s="280">
        <v>42489.01</v>
      </c>
      <c r="L768" s="280">
        <v>2349.64</v>
      </c>
      <c r="M768" s="280">
        <v>40139.370000000003</v>
      </c>
      <c r="N768" s="281">
        <v>517</v>
      </c>
      <c r="O768" s="282">
        <v>529</v>
      </c>
      <c r="P768" s="280">
        <f t="shared" si="23"/>
        <v>43475.215261121863</v>
      </c>
    </row>
    <row r="769" spans="1:16" x14ac:dyDescent="0.2">
      <c r="A769" s="32" t="s">
        <v>621</v>
      </c>
      <c r="B769" s="32" t="s">
        <v>576</v>
      </c>
      <c r="C769" s="32" t="s">
        <v>577</v>
      </c>
      <c r="D769" s="32" t="s">
        <v>617</v>
      </c>
      <c r="E769" s="32" t="s">
        <v>556</v>
      </c>
      <c r="F769" s="32" t="s">
        <v>584</v>
      </c>
      <c r="G769" s="32" t="str">
        <f t="shared" si="22"/>
        <v>4" PE STUB</v>
      </c>
      <c r="H769" s="278" t="s">
        <v>468</v>
      </c>
      <c r="I769" s="32" t="s">
        <v>462</v>
      </c>
      <c r="J769" s="279">
        <v>6</v>
      </c>
      <c r="K769" s="280">
        <v>80195.34</v>
      </c>
      <c r="L769" s="280">
        <v>4434.8</v>
      </c>
      <c r="M769" s="280">
        <v>75760.539999999994</v>
      </c>
      <c r="N769" s="281">
        <v>517</v>
      </c>
      <c r="O769" s="282">
        <v>529</v>
      </c>
      <c r="P769" s="280">
        <f t="shared" si="23"/>
        <v>82056.74054158607</v>
      </c>
    </row>
    <row r="770" spans="1:16" x14ac:dyDescent="0.2">
      <c r="A770" s="32" t="s">
        <v>621</v>
      </c>
      <c r="B770" s="32" t="s">
        <v>576</v>
      </c>
      <c r="C770" s="32" t="s">
        <v>577</v>
      </c>
      <c r="D770" s="32" t="s">
        <v>617</v>
      </c>
      <c r="E770" s="32" t="s">
        <v>556</v>
      </c>
      <c r="F770" s="32" t="s">
        <v>584</v>
      </c>
      <c r="G770" s="32" t="str">
        <f t="shared" ref="G770:G833" si="24">D770&amp;" "&amp;E770&amp;" "&amp;F770</f>
        <v>4" PE STUB</v>
      </c>
      <c r="H770" s="278" t="s">
        <v>469</v>
      </c>
      <c r="I770" s="32" t="s">
        <v>462</v>
      </c>
      <c r="J770" s="279">
        <v>2</v>
      </c>
      <c r="K770" s="280">
        <v>20518.38</v>
      </c>
      <c r="L770" s="280">
        <v>403.42</v>
      </c>
      <c r="M770" s="280">
        <v>20114.96</v>
      </c>
      <c r="N770" s="281">
        <v>529</v>
      </c>
      <c r="O770" s="282">
        <v>529</v>
      </c>
      <c r="P770" s="280">
        <f t="shared" ref="P770:P833" si="25">+(O770/N770)*K770</f>
        <v>20518.38</v>
      </c>
    </row>
    <row r="771" spans="1:16" x14ac:dyDescent="0.2">
      <c r="A771" s="32" t="s">
        <v>621</v>
      </c>
      <c r="B771" s="32" t="s">
        <v>576</v>
      </c>
      <c r="C771" s="32" t="s">
        <v>577</v>
      </c>
      <c r="D771" s="32" t="s">
        <v>617</v>
      </c>
      <c r="E771" s="32" t="s">
        <v>556</v>
      </c>
      <c r="F771" s="32" t="s">
        <v>584</v>
      </c>
      <c r="G771" s="32" t="str">
        <f t="shared" si="24"/>
        <v>4" PE STUB</v>
      </c>
      <c r="H771" s="278" t="s">
        <v>469</v>
      </c>
      <c r="I771" s="32" t="s">
        <v>462</v>
      </c>
      <c r="J771" s="279">
        <v>5</v>
      </c>
      <c r="K771" s="280">
        <v>51626.5</v>
      </c>
      <c r="L771" s="280">
        <v>1015.05</v>
      </c>
      <c r="M771" s="280">
        <v>50611.45</v>
      </c>
      <c r="N771" s="281">
        <v>529</v>
      </c>
      <c r="O771" s="282">
        <v>529</v>
      </c>
      <c r="P771" s="280">
        <f t="shared" si="25"/>
        <v>51626.5</v>
      </c>
    </row>
    <row r="772" spans="1:16" x14ac:dyDescent="0.2">
      <c r="A772" s="32" t="s">
        <v>622</v>
      </c>
      <c r="B772" s="32" t="s">
        <v>576</v>
      </c>
      <c r="C772" s="32" t="s">
        <v>577</v>
      </c>
      <c r="D772" s="32" t="s">
        <v>617</v>
      </c>
      <c r="E772" s="32" t="s">
        <v>556</v>
      </c>
      <c r="F772" s="32" t="s">
        <v>584</v>
      </c>
      <c r="G772" s="32" t="str">
        <f t="shared" si="24"/>
        <v>4" PE STUB</v>
      </c>
      <c r="H772" s="278" t="s">
        <v>520</v>
      </c>
      <c r="I772" s="32" t="s">
        <v>462</v>
      </c>
      <c r="J772" s="279">
        <v>5</v>
      </c>
      <c r="K772" s="280">
        <v>7728.99</v>
      </c>
      <c r="L772" s="280">
        <v>7080.2</v>
      </c>
      <c r="M772" s="280">
        <v>648.79</v>
      </c>
      <c r="N772" s="281">
        <v>216</v>
      </c>
      <c r="O772" s="282">
        <v>529</v>
      </c>
      <c r="P772" s="280">
        <f t="shared" si="25"/>
        <v>18928.869027777775</v>
      </c>
    </row>
    <row r="773" spans="1:16" x14ac:dyDescent="0.2">
      <c r="A773" s="32" t="s">
        <v>622</v>
      </c>
      <c r="B773" s="32" t="s">
        <v>576</v>
      </c>
      <c r="C773" s="32" t="s">
        <v>577</v>
      </c>
      <c r="D773" s="32" t="s">
        <v>617</v>
      </c>
      <c r="E773" s="32" t="s">
        <v>556</v>
      </c>
      <c r="F773" s="32" t="s">
        <v>584</v>
      </c>
      <c r="G773" s="32" t="str">
        <f t="shared" si="24"/>
        <v>4" PE STUB</v>
      </c>
      <c r="H773" s="278" t="s">
        <v>518</v>
      </c>
      <c r="I773" s="32" t="s">
        <v>462</v>
      </c>
      <c r="J773" s="279">
        <v>9</v>
      </c>
      <c r="K773" s="280">
        <v>15774.53</v>
      </c>
      <c r="L773" s="280">
        <v>14191.08</v>
      </c>
      <c r="M773" s="280">
        <v>1583.45</v>
      </c>
      <c r="N773" s="281">
        <v>238</v>
      </c>
      <c r="O773" s="282">
        <v>529</v>
      </c>
      <c r="P773" s="280">
        <f t="shared" si="25"/>
        <v>35061.875504201686</v>
      </c>
    </row>
    <row r="774" spans="1:16" x14ac:dyDescent="0.2">
      <c r="A774" s="32" t="s">
        <v>622</v>
      </c>
      <c r="B774" s="32" t="s">
        <v>576</v>
      </c>
      <c r="C774" s="32" t="s">
        <v>577</v>
      </c>
      <c r="D774" s="32" t="s">
        <v>617</v>
      </c>
      <c r="E774" s="32" t="s">
        <v>556</v>
      </c>
      <c r="F774" s="32" t="s">
        <v>584</v>
      </c>
      <c r="G774" s="32" t="str">
        <f t="shared" si="24"/>
        <v>4" PE STUB</v>
      </c>
      <c r="H774" s="278" t="s">
        <v>517</v>
      </c>
      <c r="I774" s="32" t="s">
        <v>462</v>
      </c>
      <c r="J774" s="279">
        <v>8</v>
      </c>
      <c r="K774" s="280">
        <v>20906.59</v>
      </c>
      <c r="L774" s="280">
        <v>18434.189999999999</v>
      </c>
      <c r="M774" s="280">
        <v>2472.4</v>
      </c>
      <c r="N774" s="281">
        <v>249</v>
      </c>
      <c r="O774" s="282">
        <v>529</v>
      </c>
      <c r="P774" s="280">
        <f t="shared" si="25"/>
        <v>44416.008473895585</v>
      </c>
    </row>
    <row r="775" spans="1:16" x14ac:dyDescent="0.2">
      <c r="A775" s="32" t="s">
        <v>622</v>
      </c>
      <c r="B775" s="32" t="s">
        <v>576</v>
      </c>
      <c r="C775" s="32" t="s">
        <v>577</v>
      </c>
      <c r="D775" s="32" t="s">
        <v>617</v>
      </c>
      <c r="E775" s="32" t="s">
        <v>556</v>
      </c>
      <c r="F775" s="32" t="s">
        <v>584</v>
      </c>
      <c r="G775" s="32" t="str">
        <f t="shared" si="24"/>
        <v>4" PE STUB</v>
      </c>
      <c r="H775" s="278" t="s">
        <v>463</v>
      </c>
      <c r="I775" s="32" t="s">
        <v>462</v>
      </c>
      <c r="J775" s="279">
        <v>4</v>
      </c>
      <c r="K775" s="280">
        <v>8426.83</v>
      </c>
      <c r="L775" s="280">
        <v>7267.04</v>
      </c>
      <c r="M775" s="280">
        <v>1159.79</v>
      </c>
      <c r="N775" s="281">
        <v>258</v>
      </c>
      <c r="O775" s="282">
        <v>529</v>
      </c>
      <c r="P775" s="280">
        <f t="shared" si="25"/>
        <v>17278.267713178295</v>
      </c>
    </row>
    <row r="776" spans="1:16" x14ac:dyDescent="0.2">
      <c r="A776" s="32" t="s">
        <v>622</v>
      </c>
      <c r="B776" s="32" t="s">
        <v>576</v>
      </c>
      <c r="C776" s="32" t="s">
        <v>577</v>
      </c>
      <c r="D776" s="32" t="s">
        <v>617</v>
      </c>
      <c r="E776" s="32" t="s">
        <v>556</v>
      </c>
      <c r="F776" s="32" t="s">
        <v>584</v>
      </c>
      <c r="G776" s="32" t="str">
        <f t="shared" si="24"/>
        <v>4" PE STUB</v>
      </c>
      <c r="H776" s="278" t="s">
        <v>464</v>
      </c>
      <c r="I776" s="32" t="s">
        <v>462</v>
      </c>
      <c r="J776" s="279">
        <v>8</v>
      </c>
      <c r="K776" s="280">
        <v>12954.04</v>
      </c>
      <c r="L776" s="280">
        <v>10900.63</v>
      </c>
      <c r="M776" s="280">
        <v>2053.41</v>
      </c>
      <c r="N776" s="281">
        <v>263</v>
      </c>
      <c r="O776" s="282">
        <v>529</v>
      </c>
      <c r="P776" s="280">
        <f t="shared" si="25"/>
        <v>26055.844714828898</v>
      </c>
    </row>
    <row r="777" spans="1:16" x14ac:dyDescent="0.2">
      <c r="A777" s="32" t="s">
        <v>622</v>
      </c>
      <c r="B777" s="32" t="s">
        <v>576</v>
      </c>
      <c r="C777" s="32" t="s">
        <v>577</v>
      </c>
      <c r="D777" s="32" t="s">
        <v>617</v>
      </c>
      <c r="E777" s="32" t="s">
        <v>556</v>
      </c>
      <c r="F777" s="32" t="s">
        <v>584</v>
      </c>
      <c r="G777" s="32" t="str">
        <f t="shared" si="24"/>
        <v>4" PE STUB</v>
      </c>
      <c r="H777" s="278" t="s">
        <v>515</v>
      </c>
      <c r="I777" s="32" t="s">
        <v>462</v>
      </c>
      <c r="J777" s="279">
        <v>1</v>
      </c>
      <c r="K777" s="280">
        <v>3479.49</v>
      </c>
      <c r="L777" s="280">
        <v>2849.91</v>
      </c>
      <c r="M777" s="280">
        <v>629.58000000000004</v>
      </c>
      <c r="N777" s="281">
        <v>267</v>
      </c>
      <c r="O777" s="282">
        <v>529</v>
      </c>
      <c r="P777" s="280">
        <f t="shared" si="25"/>
        <v>6893.8210112359548</v>
      </c>
    </row>
    <row r="778" spans="1:16" x14ac:dyDescent="0.2">
      <c r="A778" s="32" t="s">
        <v>622</v>
      </c>
      <c r="B778" s="32" t="s">
        <v>576</v>
      </c>
      <c r="C778" s="32" t="s">
        <v>577</v>
      </c>
      <c r="D778" s="32" t="s">
        <v>617</v>
      </c>
      <c r="E778" s="32" t="s">
        <v>556</v>
      </c>
      <c r="F778" s="32" t="s">
        <v>584</v>
      </c>
      <c r="G778" s="32" t="str">
        <f t="shared" si="24"/>
        <v>4" PE STUB</v>
      </c>
      <c r="H778" s="278" t="s">
        <v>523</v>
      </c>
      <c r="I778" s="32" t="s">
        <v>462</v>
      </c>
      <c r="J778" s="279">
        <v>3</v>
      </c>
      <c r="K778" s="280">
        <v>6213.79</v>
      </c>
      <c r="L778" s="280">
        <v>4940.54</v>
      </c>
      <c r="M778" s="280">
        <v>1273.25</v>
      </c>
      <c r="N778" s="281">
        <v>274</v>
      </c>
      <c r="O778" s="282">
        <v>529</v>
      </c>
      <c r="P778" s="280">
        <f t="shared" si="25"/>
        <v>11996.696751824818</v>
      </c>
    </row>
    <row r="779" spans="1:16" x14ac:dyDescent="0.2">
      <c r="A779" s="32" t="s">
        <v>622</v>
      </c>
      <c r="B779" s="32" t="s">
        <v>576</v>
      </c>
      <c r="C779" s="32" t="s">
        <v>577</v>
      </c>
      <c r="D779" s="32" t="s">
        <v>617</v>
      </c>
      <c r="E779" s="32" t="s">
        <v>556</v>
      </c>
      <c r="F779" s="32" t="s">
        <v>584</v>
      </c>
      <c r="G779" s="32" t="str">
        <f t="shared" si="24"/>
        <v>4" PE STUB</v>
      </c>
      <c r="H779" s="278" t="s">
        <v>516</v>
      </c>
      <c r="I779" s="32" t="s">
        <v>462</v>
      </c>
      <c r="J779" s="279">
        <v>7</v>
      </c>
      <c r="K779" s="280">
        <v>21536.82</v>
      </c>
      <c r="L779" s="280">
        <v>16574.48</v>
      </c>
      <c r="M779" s="280">
        <v>4962.34</v>
      </c>
      <c r="N779" s="281">
        <v>281</v>
      </c>
      <c r="O779" s="282">
        <v>529</v>
      </c>
      <c r="P779" s="280">
        <f t="shared" si="25"/>
        <v>40544.404911032027</v>
      </c>
    </row>
    <row r="780" spans="1:16" x14ac:dyDescent="0.2">
      <c r="A780" s="32" t="s">
        <v>622</v>
      </c>
      <c r="B780" s="32" t="s">
        <v>576</v>
      </c>
      <c r="C780" s="32" t="s">
        <v>577</v>
      </c>
      <c r="D780" s="32" t="s">
        <v>617</v>
      </c>
      <c r="E780" s="32" t="s">
        <v>556</v>
      </c>
      <c r="F780" s="32" t="s">
        <v>584</v>
      </c>
      <c r="G780" s="32" t="str">
        <f t="shared" si="24"/>
        <v>4" PE STUB</v>
      </c>
      <c r="H780" s="278" t="s">
        <v>466</v>
      </c>
      <c r="I780" s="32" t="s">
        <v>462</v>
      </c>
      <c r="J780" s="279">
        <v>1</v>
      </c>
      <c r="K780" s="280">
        <v>3295.75</v>
      </c>
      <c r="L780" s="280">
        <v>2447.37</v>
      </c>
      <c r="M780" s="280">
        <v>848.38</v>
      </c>
      <c r="N780" s="281">
        <v>290</v>
      </c>
      <c r="O780" s="282">
        <v>529</v>
      </c>
      <c r="P780" s="280">
        <f t="shared" si="25"/>
        <v>6011.9025862068966</v>
      </c>
    </row>
    <row r="781" spans="1:16" x14ac:dyDescent="0.2">
      <c r="A781" s="32" t="s">
        <v>622</v>
      </c>
      <c r="B781" s="32" t="s">
        <v>576</v>
      </c>
      <c r="C781" s="32" t="s">
        <v>577</v>
      </c>
      <c r="D781" s="32" t="s">
        <v>617</v>
      </c>
      <c r="E781" s="32" t="s">
        <v>556</v>
      </c>
      <c r="F781" s="32" t="s">
        <v>584</v>
      </c>
      <c r="G781" s="32" t="str">
        <f t="shared" si="24"/>
        <v>4" PE STUB</v>
      </c>
      <c r="H781" s="278" t="s">
        <v>489</v>
      </c>
      <c r="I781" s="32" t="s">
        <v>462</v>
      </c>
      <c r="J781" s="279">
        <v>9</v>
      </c>
      <c r="K781" s="280">
        <v>18371.07</v>
      </c>
      <c r="L781" s="280">
        <v>13118.93</v>
      </c>
      <c r="M781" s="280">
        <v>5252.14</v>
      </c>
      <c r="N781" s="281">
        <v>296</v>
      </c>
      <c r="O781" s="282">
        <v>529</v>
      </c>
      <c r="P781" s="280">
        <f t="shared" si="25"/>
        <v>32832.081182432426</v>
      </c>
    </row>
    <row r="782" spans="1:16" x14ac:dyDescent="0.2">
      <c r="A782" s="32" t="s">
        <v>622</v>
      </c>
      <c r="B782" s="32" t="s">
        <v>576</v>
      </c>
      <c r="C782" s="32" t="s">
        <v>577</v>
      </c>
      <c r="D782" s="32" t="s">
        <v>617</v>
      </c>
      <c r="E782" s="32" t="s">
        <v>556</v>
      </c>
      <c r="F782" s="32" t="s">
        <v>584</v>
      </c>
      <c r="G782" s="32" t="str">
        <f t="shared" si="24"/>
        <v>4" PE STUB</v>
      </c>
      <c r="H782" s="278" t="s">
        <v>465</v>
      </c>
      <c r="I782" s="32" t="s">
        <v>462</v>
      </c>
      <c r="J782" s="279">
        <v>10</v>
      </c>
      <c r="K782" s="280">
        <v>20592.09</v>
      </c>
      <c r="L782" s="280">
        <v>14089.7</v>
      </c>
      <c r="M782" s="280">
        <v>6502.39</v>
      </c>
      <c r="N782" s="281">
        <v>307</v>
      </c>
      <c r="O782" s="282">
        <v>529</v>
      </c>
      <c r="P782" s="280">
        <f t="shared" si="25"/>
        <v>35482.787003257334</v>
      </c>
    </row>
    <row r="783" spans="1:16" x14ac:dyDescent="0.2">
      <c r="A783" s="32" t="s">
        <v>622</v>
      </c>
      <c r="B783" s="32" t="s">
        <v>576</v>
      </c>
      <c r="C783" s="32" t="s">
        <v>577</v>
      </c>
      <c r="D783" s="32" t="s">
        <v>617</v>
      </c>
      <c r="E783" s="32" t="s">
        <v>556</v>
      </c>
      <c r="F783" s="32" t="s">
        <v>584</v>
      </c>
      <c r="G783" s="32" t="str">
        <f t="shared" si="24"/>
        <v>4" PE STUB</v>
      </c>
      <c r="H783" s="278" t="s">
        <v>490</v>
      </c>
      <c r="I783" s="32" t="s">
        <v>462</v>
      </c>
      <c r="J783" s="279">
        <v>9</v>
      </c>
      <c r="K783" s="280">
        <v>21816.54</v>
      </c>
      <c r="L783" s="280">
        <v>14246.8</v>
      </c>
      <c r="M783" s="280">
        <v>7569.74</v>
      </c>
      <c r="N783" s="281">
        <v>310</v>
      </c>
      <c r="O783" s="282">
        <v>529</v>
      </c>
      <c r="P783" s="280">
        <f t="shared" si="25"/>
        <v>37228.869870967748</v>
      </c>
    </row>
    <row r="784" spans="1:16" x14ac:dyDescent="0.2">
      <c r="A784" s="32" t="s">
        <v>622</v>
      </c>
      <c r="B784" s="32" t="s">
        <v>576</v>
      </c>
      <c r="C784" s="32" t="s">
        <v>577</v>
      </c>
      <c r="D784" s="32" t="s">
        <v>617</v>
      </c>
      <c r="E784" s="32" t="s">
        <v>556</v>
      </c>
      <c r="F784" s="32" t="s">
        <v>584</v>
      </c>
      <c r="G784" s="32" t="str">
        <f t="shared" si="24"/>
        <v>4" PE STUB</v>
      </c>
      <c r="H784" s="278" t="s">
        <v>491</v>
      </c>
      <c r="I784" s="32" t="s">
        <v>462</v>
      </c>
      <c r="J784" s="279">
        <v>14</v>
      </c>
      <c r="K784" s="280">
        <v>32040.22</v>
      </c>
      <c r="L784" s="280">
        <v>19883.91</v>
      </c>
      <c r="M784" s="280">
        <v>12156.31</v>
      </c>
      <c r="N784" s="281">
        <v>319</v>
      </c>
      <c r="O784" s="282">
        <v>529</v>
      </c>
      <c r="P784" s="280">
        <f t="shared" si="25"/>
        <v>53132.527836990601</v>
      </c>
    </row>
    <row r="785" spans="1:16" x14ac:dyDescent="0.2">
      <c r="A785" s="32" t="s">
        <v>622</v>
      </c>
      <c r="B785" s="32" t="s">
        <v>576</v>
      </c>
      <c r="C785" s="32" t="s">
        <v>577</v>
      </c>
      <c r="D785" s="32" t="s">
        <v>617</v>
      </c>
      <c r="E785" s="32" t="s">
        <v>556</v>
      </c>
      <c r="F785" s="32" t="s">
        <v>584</v>
      </c>
      <c r="G785" s="32" t="str">
        <f t="shared" si="24"/>
        <v>4" PE STUB</v>
      </c>
      <c r="H785" s="278" t="s">
        <v>514</v>
      </c>
      <c r="I785" s="32" t="s">
        <v>462</v>
      </c>
      <c r="J785" s="279">
        <v>22</v>
      </c>
      <c r="K785" s="280">
        <v>96119.51</v>
      </c>
      <c r="L785" s="280">
        <v>56427.17</v>
      </c>
      <c r="M785" s="280">
        <v>39692.339999999997</v>
      </c>
      <c r="N785" s="281">
        <v>326</v>
      </c>
      <c r="O785" s="282">
        <v>529</v>
      </c>
      <c r="P785" s="280">
        <f t="shared" si="25"/>
        <v>155973.06990797544</v>
      </c>
    </row>
    <row r="786" spans="1:16" x14ac:dyDescent="0.2">
      <c r="A786" s="32" t="s">
        <v>622</v>
      </c>
      <c r="B786" s="32" t="s">
        <v>576</v>
      </c>
      <c r="C786" s="32" t="s">
        <v>577</v>
      </c>
      <c r="D786" s="32" t="s">
        <v>617</v>
      </c>
      <c r="E786" s="32" t="s">
        <v>556</v>
      </c>
      <c r="F786" s="32" t="s">
        <v>584</v>
      </c>
      <c r="G786" s="32" t="str">
        <f t="shared" si="24"/>
        <v>4" PE STUB</v>
      </c>
      <c r="H786" s="278" t="s">
        <v>513</v>
      </c>
      <c r="I786" s="32" t="s">
        <v>462</v>
      </c>
      <c r="J786" s="279">
        <v>15</v>
      </c>
      <c r="K786" s="280">
        <v>50405.62</v>
      </c>
      <c r="L786" s="280">
        <v>27850.639999999999</v>
      </c>
      <c r="M786" s="280">
        <v>22554.98</v>
      </c>
      <c r="N786" s="281">
        <v>338</v>
      </c>
      <c r="O786" s="282">
        <v>529</v>
      </c>
      <c r="P786" s="280">
        <f t="shared" si="25"/>
        <v>78889.26917159764</v>
      </c>
    </row>
    <row r="787" spans="1:16" x14ac:dyDescent="0.2">
      <c r="A787" s="32" t="s">
        <v>622</v>
      </c>
      <c r="B787" s="32" t="s">
        <v>576</v>
      </c>
      <c r="C787" s="32" t="s">
        <v>577</v>
      </c>
      <c r="D787" s="32" t="s">
        <v>617</v>
      </c>
      <c r="E787" s="32" t="s">
        <v>556</v>
      </c>
      <c r="F787" s="32" t="s">
        <v>584</v>
      </c>
      <c r="G787" s="32" t="str">
        <f t="shared" si="24"/>
        <v>4" PE STUB</v>
      </c>
      <c r="H787" s="278" t="s">
        <v>467</v>
      </c>
      <c r="I787" s="32" t="s">
        <v>462</v>
      </c>
      <c r="J787" s="279">
        <v>6</v>
      </c>
      <c r="K787" s="280">
        <v>21219.45</v>
      </c>
      <c r="L787" s="280">
        <v>10974.17</v>
      </c>
      <c r="M787" s="280">
        <v>10245.280000000001</v>
      </c>
      <c r="N787" s="281">
        <v>344</v>
      </c>
      <c r="O787" s="282">
        <v>529</v>
      </c>
      <c r="P787" s="280">
        <f t="shared" si="25"/>
        <v>32631.072819767443</v>
      </c>
    </row>
    <row r="788" spans="1:16" x14ac:dyDescent="0.2">
      <c r="A788" s="32" t="s">
        <v>622</v>
      </c>
      <c r="B788" s="32" t="s">
        <v>576</v>
      </c>
      <c r="C788" s="32" t="s">
        <v>577</v>
      </c>
      <c r="D788" s="32" t="s">
        <v>617</v>
      </c>
      <c r="E788" s="32" t="s">
        <v>556</v>
      </c>
      <c r="F788" s="32" t="s">
        <v>584</v>
      </c>
      <c r="G788" s="32" t="str">
        <f t="shared" si="24"/>
        <v>4" PE STUB</v>
      </c>
      <c r="H788" s="278" t="s">
        <v>473</v>
      </c>
      <c r="I788" s="32" t="s">
        <v>462</v>
      </c>
      <c r="J788" s="279">
        <v>2</v>
      </c>
      <c r="K788" s="280">
        <v>3983.18</v>
      </c>
      <c r="L788" s="280">
        <v>1916.53</v>
      </c>
      <c r="M788" s="280">
        <v>2066.65</v>
      </c>
      <c r="N788" s="281">
        <v>351</v>
      </c>
      <c r="O788" s="282">
        <v>529</v>
      </c>
      <c r="P788" s="280">
        <f t="shared" si="25"/>
        <v>6003.1402279202275</v>
      </c>
    </row>
    <row r="789" spans="1:16" x14ac:dyDescent="0.2">
      <c r="A789" s="32" t="s">
        <v>622</v>
      </c>
      <c r="B789" s="32" t="s">
        <v>576</v>
      </c>
      <c r="C789" s="32" t="s">
        <v>577</v>
      </c>
      <c r="D789" s="32" t="s">
        <v>617</v>
      </c>
      <c r="E789" s="32" t="s">
        <v>556</v>
      </c>
      <c r="F789" s="32" t="s">
        <v>584</v>
      </c>
      <c r="G789" s="32" t="str">
        <f t="shared" si="24"/>
        <v>4" PE STUB</v>
      </c>
      <c r="H789" s="278" t="s">
        <v>475</v>
      </c>
      <c r="I789" s="32" t="s">
        <v>462</v>
      </c>
      <c r="J789" s="279">
        <v>1</v>
      </c>
      <c r="K789" s="280">
        <v>8522.8700000000008</v>
      </c>
      <c r="L789" s="280">
        <v>2534.46</v>
      </c>
      <c r="M789" s="280">
        <v>5988.41</v>
      </c>
      <c r="N789" s="281">
        <v>393</v>
      </c>
      <c r="O789" s="282">
        <v>529</v>
      </c>
      <c r="P789" s="280">
        <f t="shared" si="25"/>
        <v>11472.260127226464</v>
      </c>
    </row>
    <row r="790" spans="1:16" x14ac:dyDescent="0.2">
      <c r="A790" s="32" t="s">
        <v>623</v>
      </c>
      <c r="B790" s="32" t="s">
        <v>576</v>
      </c>
      <c r="C790" s="32" t="s">
        <v>577</v>
      </c>
      <c r="D790" s="32" t="s">
        <v>624</v>
      </c>
      <c r="E790" s="32" t="s">
        <v>556</v>
      </c>
      <c r="F790" s="32" t="s">
        <v>579</v>
      </c>
      <c r="G790" s="32" t="str">
        <f t="shared" si="24"/>
        <v>6" PE EUF</v>
      </c>
      <c r="H790" s="278" t="s">
        <v>470</v>
      </c>
      <c r="I790" s="32" t="s">
        <v>462</v>
      </c>
      <c r="J790" s="279">
        <v>0</v>
      </c>
      <c r="K790" s="280">
        <v>16.03</v>
      </c>
      <c r="L790" s="280">
        <v>1.96</v>
      </c>
      <c r="M790" s="280">
        <v>14.07</v>
      </c>
      <c r="N790" s="281">
        <v>467</v>
      </c>
      <c r="O790" s="282">
        <v>529</v>
      </c>
      <c r="P790" s="280">
        <f t="shared" si="25"/>
        <v>18.158179871520343</v>
      </c>
    </row>
    <row r="791" spans="1:16" x14ac:dyDescent="0.2">
      <c r="A791" s="32" t="s">
        <v>625</v>
      </c>
      <c r="B791" s="32" t="s">
        <v>576</v>
      </c>
      <c r="C791" s="32" t="s">
        <v>577</v>
      </c>
      <c r="D791" s="32" t="s">
        <v>624</v>
      </c>
      <c r="E791" s="32" t="s">
        <v>556</v>
      </c>
      <c r="F791" s="32" t="s">
        <v>581</v>
      </c>
      <c r="G791" s="32" t="str">
        <f t="shared" si="24"/>
        <v>6" PE EXTN</v>
      </c>
      <c r="H791" s="278" t="s">
        <v>473</v>
      </c>
      <c r="I791" s="32" t="s">
        <v>462</v>
      </c>
      <c r="J791" s="279">
        <v>4</v>
      </c>
      <c r="K791" s="280">
        <v>102220.77</v>
      </c>
      <c r="L791" s="280">
        <v>49184.05</v>
      </c>
      <c r="M791" s="280">
        <v>53036.72</v>
      </c>
      <c r="N791" s="281">
        <v>351</v>
      </c>
      <c r="O791" s="282">
        <v>529</v>
      </c>
      <c r="P791" s="280">
        <f t="shared" si="25"/>
        <v>154059.22316239317</v>
      </c>
    </row>
    <row r="792" spans="1:16" x14ac:dyDescent="0.2">
      <c r="A792" s="32" t="s">
        <v>625</v>
      </c>
      <c r="B792" s="32" t="s">
        <v>576</v>
      </c>
      <c r="C792" s="32" t="s">
        <v>577</v>
      </c>
      <c r="D792" s="32" t="s">
        <v>624</v>
      </c>
      <c r="E792" s="32" t="s">
        <v>556</v>
      </c>
      <c r="F792" s="32" t="s">
        <v>581</v>
      </c>
      <c r="G792" s="32" t="str">
        <f t="shared" si="24"/>
        <v>6" PE EXTN</v>
      </c>
      <c r="H792" s="278" t="s">
        <v>478</v>
      </c>
      <c r="I792" s="32" t="s">
        <v>462</v>
      </c>
      <c r="J792" s="279">
        <v>1</v>
      </c>
      <c r="K792" s="280">
        <v>11414.89</v>
      </c>
      <c r="L792" s="280">
        <v>3812.66</v>
      </c>
      <c r="M792" s="280">
        <v>7602.23</v>
      </c>
      <c r="N792" s="281">
        <v>378</v>
      </c>
      <c r="O792" s="282">
        <v>529</v>
      </c>
      <c r="P792" s="280">
        <f t="shared" si="25"/>
        <v>15974.806375661376</v>
      </c>
    </row>
    <row r="793" spans="1:16" x14ac:dyDescent="0.2">
      <c r="A793" s="32" t="s">
        <v>625</v>
      </c>
      <c r="B793" s="32" t="s">
        <v>576</v>
      </c>
      <c r="C793" s="32" t="s">
        <v>577</v>
      </c>
      <c r="D793" s="32" t="s">
        <v>624</v>
      </c>
      <c r="E793" s="32" t="s">
        <v>556</v>
      </c>
      <c r="F793" s="32" t="s">
        <v>581</v>
      </c>
      <c r="G793" s="32" t="str">
        <f t="shared" si="24"/>
        <v>6" PE EXTN</v>
      </c>
      <c r="H793" s="278" t="s">
        <v>475</v>
      </c>
      <c r="I793" s="32" t="s">
        <v>462</v>
      </c>
      <c r="J793" s="279">
        <v>1</v>
      </c>
      <c r="K793" s="280">
        <v>1849.81</v>
      </c>
      <c r="L793" s="280">
        <v>550.08000000000004</v>
      </c>
      <c r="M793" s="280">
        <v>1299.73</v>
      </c>
      <c r="N793" s="281">
        <v>393</v>
      </c>
      <c r="O793" s="282">
        <v>529</v>
      </c>
      <c r="P793" s="280">
        <f t="shared" si="25"/>
        <v>2489.9478117048343</v>
      </c>
    </row>
    <row r="794" spans="1:16" x14ac:dyDescent="0.2">
      <c r="A794" s="32" t="s">
        <v>625</v>
      </c>
      <c r="B794" s="32" t="s">
        <v>576</v>
      </c>
      <c r="C794" s="32" t="s">
        <v>577</v>
      </c>
      <c r="D794" s="32" t="s">
        <v>624</v>
      </c>
      <c r="E794" s="32" t="s">
        <v>556</v>
      </c>
      <c r="F794" s="32" t="s">
        <v>581</v>
      </c>
      <c r="G794" s="32" t="str">
        <f t="shared" si="24"/>
        <v>6" PE EXTN</v>
      </c>
      <c r="H794" s="278" t="s">
        <v>474</v>
      </c>
      <c r="I794" s="32" t="s">
        <v>462</v>
      </c>
      <c r="J794" s="279">
        <v>2</v>
      </c>
      <c r="K794" s="280">
        <v>87671.15</v>
      </c>
      <c r="L794" s="280">
        <v>16698.66</v>
      </c>
      <c r="M794" s="280">
        <v>70972.490000000005</v>
      </c>
      <c r="N794" s="281">
        <v>431</v>
      </c>
      <c r="O794" s="282">
        <v>529</v>
      </c>
      <c r="P794" s="280">
        <f t="shared" si="25"/>
        <v>107605.65742459396</v>
      </c>
    </row>
    <row r="795" spans="1:16" x14ac:dyDescent="0.2">
      <c r="A795" s="32" t="s">
        <v>625</v>
      </c>
      <c r="B795" s="32" t="s">
        <v>576</v>
      </c>
      <c r="C795" s="32" t="s">
        <v>577</v>
      </c>
      <c r="D795" s="32" t="s">
        <v>624</v>
      </c>
      <c r="E795" s="32" t="s">
        <v>556</v>
      </c>
      <c r="F795" s="32" t="s">
        <v>581</v>
      </c>
      <c r="G795" s="32" t="str">
        <f t="shared" si="24"/>
        <v>6" PE EXTN</v>
      </c>
      <c r="H795" s="278" t="s">
        <v>477</v>
      </c>
      <c r="I795" s="32" t="s">
        <v>462</v>
      </c>
      <c r="J795" s="279">
        <v>2</v>
      </c>
      <c r="K795" s="280">
        <v>10177.85</v>
      </c>
      <c r="L795" s="280">
        <v>1589.16</v>
      </c>
      <c r="M795" s="280">
        <v>8588.69</v>
      </c>
      <c r="N795" s="281">
        <v>450</v>
      </c>
      <c r="O795" s="282">
        <v>529</v>
      </c>
      <c r="P795" s="280">
        <f t="shared" si="25"/>
        <v>11964.628111111111</v>
      </c>
    </row>
    <row r="796" spans="1:16" x14ac:dyDescent="0.2">
      <c r="A796" s="32" t="s">
        <v>625</v>
      </c>
      <c r="B796" s="32" t="s">
        <v>576</v>
      </c>
      <c r="C796" s="32" t="s">
        <v>577</v>
      </c>
      <c r="D796" s="32" t="s">
        <v>624</v>
      </c>
      <c r="E796" s="32" t="s">
        <v>556</v>
      </c>
      <c r="F796" s="32" t="s">
        <v>581</v>
      </c>
      <c r="G796" s="32" t="str">
        <f t="shared" si="24"/>
        <v>6" PE EXTN</v>
      </c>
      <c r="H796" s="278" t="s">
        <v>470</v>
      </c>
      <c r="I796" s="32" t="s">
        <v>462</v>
      </c>
      <c r="J796" s="279">
        <v>1</v>
      </c>
      <c r="K796" s="280">
        <v>62192.22</v>
      </c>
      <c r="L796" s="280">
        <v>7613.05</v>
      </c>
      <c r="M796" s="280">
        <v>54579.17</v>
      </c>
      <c r="N796" s="281">
        <v>467</v>
      </c>
      <c r="O796" s="282">
        <v>529</v>
      </c>
      <c r="P796" s="280">
        <f t="shared" si="25"/>
        <v>70449.00295503212</v>
      </c>
    </row>
    <row r="797" spans="1:16" x14ac:dyDescent="0.2">
      <c r="A797" s="32" t="s">
        <v>625</v>
      </c>
      <c r="B797" s="32" t="s">
        <v>576</v>
      </c>
      <c r="C797" s="32" t="s">
        <v>577</v>
      </c>
      <c r="D797" s="32" t="s">
        <v>624</v>
      </c>
      <c r="E797" s="32" t="s">
        <v>556</v>
      </c>
      <c r="F797" s="32" t="s">
        <v>581</v>
      </c>
      <c r="G797" s="32" t="str">
        <f t="shared" si="24"/>
        <v>6" PE EXTN</v>
      </c>
      <c r="H797" s="278" t="s">
        <v>461</v>
      </c>
      <c r="I797" s="32" t="s">
        <v>462</v>
      </c>
      <c r="J797" s="279">
        <v>1</v>
      </c>
      <c r="K797" s="280">
        <v>24973.17</v>
      </c>
      <c r="L797" s="280">
        <v>2223.04</v>
      </c>
      <c r="M797" s="280">
        <v>22750.13</v>
      </c>
      <c r="N797" s="281">
        <v>491</v>
      </c>
      <c r="O797" s="282">
        <v>529</v>
      </c>
      <c r="P797" s="280">
        <f t="shared" si="25"/>
        <v>26905.920427698569</v>
      </c>
    </row>
    <row r="798" spans="1:16" x14ac:dyDescent="0.2">
      <c r="A798" s="32" t="s">
        <v>625</v>
      </c>
      <c r="B798" s="32" t="s">
        <v>576</v>
      </c>
      <c r="C798" s="32" t="s">
        <v>577</v>
      </c>
      <c r="D798" s="32" t="s">
        <v>624</v>
      </c>
      <c r="E798" s="32" t="s">
        <v>556</v>
      </c>
      <c r="F798" s="32" t="s">
        <v>581</v>
      </c>
      <c r="G798" s="32" t="str">
        <f t="shared" si="24"/>
        <v>6" PE EXTN</v>
      </c>
      <c r="H798" s="278" t="s">
        <v>468</v>
      </c>
      <c r="I798" s="32" t="s">
        <v>462</v>
      </c>
      <c r="J798" s="279">
        <v>1</v>
      </c>
      <c r="K798" s="280">
        <v>7736.6</v>
      </c>
      <c r="L798" s="280">
        <v>427.83</v>
      </c>
      <c r="M798" s="280">
        <v>7308.77</v>
      </c>
      <c r="N798" s="281">
        <v>517</v>
      </c>
      <c r="O798" s="282">
        <v>529</v>
      </c>
      <c r="P798" s="280">
        <f t="shared" si="25"/>
        <v>7916.1729206963255</v>
      </c>
    </row>
    <row r="799" spans="1:16" x14ac:dyDescent="0.2">
      <c r="A799" s="32" t="s">
        <v>625</v>
      </c>
      <c r="B799" s="32" t="s">
        <v>576</v>
      </c>
      <c r="C799" s="32" t="s">
        <v>577</v>
      </c>
      <c r="D799" s="32" t="s">
        <v>624</v>
      </c>
      <c r="E799" s="32" t="s">
        <v>556</v>
      </c>
      <c r="F799" s="32" t="s">
        <v>581</v>
      </c>
      <c r="G799" s="32" t="str">
        <f t="shared" si="24"/>
        <v>6" PE EXTN</v>
      </c>
      <c r="H799" s="278" t="s">
        <v>468</v>
      </c>
      <c r="I799" s="32" t="s">
        <v>462</v>
      </c>
      <c r="J799" s="279">
        <v>2</v>
      </c>
      <c r="K799" s="280">
        <v>12415.53</v>
      </c>
      <c r="L799" s="280">
        <v>686.58</v>
      </c>
      <c r="M799" s="280">
        <v>11728.95</v>
      </c>
      <c r="N799" s="281">
        <v>517</v>
      </c>
      <c r="O799" s="282">
        <v>529</v>
      </c>
      <c r="P799" s="280">
        <f t="shared" si="25"/>
        <v>12703.704777562863</v>
      </c>
    </row>
    <row r="800" spans="1:16" x14ac:dyDescent="0.2">
      <c r="A800" s="32" t="s">
        <v>625</v>
      </c>
      <c r="B800" s="32" t="s">
        <v>576</v>
      </c>
      <c r="C800" s="32" t="s">
        <v>577</v>
      </c>
      <c r="D800" s="32" t="s">
        <v>624</v>
      </c>
      <c r="E800" s="32" t="s">
        <v>556</v>
      </c>
      <c r="F800" s="32" t="s">
        <v>581</v>
      </c>
      <c r="G800" s="32" t="str">
        <f t="shared" si="24"/>
        <v>6" PE EXTN</v>
      </c>
      <c r="H800" s="278" t="s">
        <v>469</v>
      </c>
      <c r="I800" s="32" t="s">
        <v>462</v>
      </c>
      <c r="J800" s="279">
        <v>1</v>
      </c>
      <c r="K800" s="280">
        <v>33088.35</v>
      </c>
      <c r="L800" s="280">
        <v>650.55999999999995</v>
      </c>
      <c r="M800" s="280">
        <v>32437.79</v>
      </c>
      <c r="N800" s="281">
        <v>529</v>
      </c>
      <c r="O800" s="282">
        <v>529</v>
      </c>
      <c r="P800" s="280">
        <f t="shared" si="25"/>
        <v>33088.35</v>
      </c>
    </row>
    <row r="801" spans="1:16" x14ac:dyDescent="0.2">
      <c r="A801" s="32" t="s">
        <v>625</v>
      </c>
      <c r="B801" s="32" t="s">
        <v>576</v>
      </c>
      <c r="C801" s="32" t="s">
        <v>577</v>
      </c>
      <c r="D801" s="32" t="s">
        <v>624</v>
      </c>
      <c r="E801" s="32" t="s">
        <v>556</v>
      </c>
      <c r="F801" s="32" t="s">
        <v>581</v>
      </c>
      <c r="G801" s="32" t="str">
        <f t="shared" si="24"/>
        <v>6" PE EXTN</v>
      </c>
      <c r="H801" s="278" t="s">
        <v>469</v>
      </c>
      <c r="I801" s="32" t="s">
        <v>462</v>
      </c>
      <c r="J801" s="279">
        <v>1</v>
      </c>
      <c r="K801" s="280">
        <v>53568.24</v>
      </c>
      <c r="L801" s="280">
        <v>1053.23</v>
      </c>
      <c r="M801" s="280">
        <v>52515.01</v>
      </c>
      <c r="N801" s="281">
        <v>529</v>
      </c>
      <c r="O801" s="282">
        <v>529</v>
      </c>
      <c r="P801" s="280">
        <f t="shared" si="25"/>
        <v>53568.24</v>
      </c>
    </row>
    <row r="802" spans="1:16" x14ac:dyDescent="0.2">
      <c r="A802" s="32" t="s">
        <v>626</v>
      </c>
      <c r="B802" s="32" t="s">
        <v>576</v>
      </c>
      <c r="C802" s="32" t="s">
        <v>577</v>
      </c>
      <c r="D802" s="32" t="s">
        <v>624</v>
      </c>
      <c r="E802" s="32" t="s">
        <v>556</v>
      </c>
      <c r="F802" s="32" t="s">
        <v>581</v>
      </c>
      <c r="G802" s="32" t="str">
        <f t="shared" si="24"/>
        <v>6" PE EXTN</v>
      </c>
      <c r="H802" s="278" t="s">
        <v>491</v>
      </c>
      <c r="I802" s="32" t="s">
        <v>462</v>
      </c>
      <c r="J802" s="279">
        <v>1</v>
      </c>
      <c r="K802" s="280">
        <v>12744.34</v>
      </c>
      <c r="L802" s="280">
        <v>7909.04</v>
      </c>
      <c r="M802" s="280">
        <v>4835.3</v>
      </c>
      <c r="N802" s="281">
        <v>319</v>
      </c>
      <c r="O802" s="282">
        <v>529</v>
      </c>
      <c r="P802" s="280">
        <f t="shared" si="25"/>
        <v>21134.03090909091</v>
      </c>
    </row>
    <row r="803" spans="1:16" x14ac:dyDescent="0.2">
      <c r="A803" s="32" t="s">
        <v>626</v>
      </c>
      <c r="B803" s="32" t="s">
        <v>576</v>
      </c>
      <c r="C803" s="32" t="s">
        <v>577</v>
      </c>
      <c r="D803" s="32" t="s">
        <v>624</v>
      </c>
      <c r="E803" s="32" t="s">
        <v>556</v>
      </c>
      <c r="F803" s="32" t="s">
        <v>581</v>
      </c>
      <c r="G803" s="32" t="str">
        <f t="shared" si="24"/>
        <v>6" PE EXTN</v>
      </c>
      <c r="H803" s="278" t="s">
        <v>514</v>
      </c>
      <c r="I803" s="32" t="s">
        <v>462</v>
      </c>
      <c r="J803" s="279">
        <v>3</v>
      </c>
      <c r="K803" s="280">
        <v>16905.66</v>
      </c>
      <c r="L803" s="280">
        <v>9924.5</v>
      </c>
      <c r="M803" s="280">
        <v>6981.16</v>
      </c>
      <c r="N803" s="281">
        <v>326</v>
      </c>
      <c r="O803" s="282">
        <v>529</v>
      </c>
      <c r="P803" s="280">
        <f t="shared" si="25"/>
        <v>27432.804110429446</v>
      </c>
    </row>
    <row r="804" spans="1:16" x14ac:dyDescent="0.2">
      <c r="A804" s="32" t="s">
        <v>626</v>
      </c>
      <c r="B804" s="32" t="s">
        <v>576</v>
      </c>
      <c r="C804" s="32" t="s">
        <v>577</v>
      </c>
      <c r="D804" s="32" t="s">
        <v>624</v>
      </c>
      <c r="E804" s="32" t="s">
        <v>556</v>
      </c>
      <c r="F804" s="32" t="s">
        <v>581</v>
      </c>
      <c r="G804" s="32" t="str">
        <f t="shared" si="24"/>
        <v>6" PE EXTN</v>
      </c>
      <c r="H804" s="278" t="s">
        <v>467</v>
      </c>
      <c r="I804" s="32" t="s">
        <v>462</v>
      </c>
      <c r="J804" s="279">
        <v>2</v>
      </c>
      <c r="K804" s="280">
        <v>56296.04</v>
      </c>
      <c r="L804" s="280">
        <v>29114.9</v>
      </c>
      <c r="M804" s="280">
        <v>27181.14</v>
      </c>
      <c r="N804" s="281">
        <v>344</v>
      </c>
      <c r="O804" s="282">
        <v>529</v>
      </c>
      <c r="P804" s="280">
        <f t="shared" si="25"/>
        <v>86571.526627906977</v>
      </c>
    </row>
    <row r="805" spans="1:16" x14ac:dyDescent="0.2">
      <c r="A805" s="32" t="s">
        <v>627</v>
      </c>
      <c r="B805" s="32" t="s">
        <v>576</v>
      </c>
      <c r="C805" s="32" t="s">
        <v>577</v>
      </c>
      <c r="D805" s="32" t="s">
        <v>624</v>
      </c>
      <c r="E805" s="32" t="s">
        <v>556</v>
      </c>
      <c r="F805" s="32" t="s">
        <v>584</v>
      </c>
      <c r="G805" s="32" t="str">
        <f t="shared" si="24"/>
        <v>6" PE STUB</v>
      </c>
      <c r="H805" s="278" t="s">
        <v>473</v>
      </c>
      <c r="I805" s="32" t="s">
        <v>462</v>
      </c>
      <c r="J805" s="279">
        <v>4</v>
      </c>
      <c r="K805" s="280">
        <v>53790.01</v>
      </c>
      <c r="L805" s="280">
        <v>25881.34</v>
      </c>
      <c r="M805" s="280">
        <v>27908.67</v>
      </c>
      <c r="N805" s="281">
        <v>351</v>
      </c>
      <c r="O805" s="282">
        <v>529</v>
      </c>
      <c r="P805" s="280">
        <f t="shared" si="25"/>
        <v>81068.134729344732</v>
      </c>
    </row>
    <row r="806" spans="1:16" x14ac:dyDescent="0.2">
      <c r="A806" s="32" t="s">
        <v>627</v>
      </c>
      <c r="B806" s="32" t="s">
        <v>576</v>
      </c>
      <c r="C806" s="32" t="s">
        <v>577</v>
      </c>
      <c r="D806" s="32" t="s">
        <v>624</v>
      </c>
      <c r="E806" s="32" t="s">
        <v>556</v>
      </c>
      <c r="F806" s="32" t="s">
        <v>584</v>
      </c>
      <c r="G806" s="32" t="str">
        <f t="shared" si="24"/>
        <v>6" PE STUB</v>
      </c>
      <c r="H806" s="278" t="s">
        <v>478</v>
      </c>
      <c r="I806" s="32" t="s">
        <v>462</v>
      </c>
      <c r="J806" s="279">
        <v>1</v>
      </c>
      <c r="K806" s="280">
        <v>4221.9399999999996</v>
      </c>
      <c r="L806" s="280">
        <v>1410.16</v>
      </c>
      <c r="M806" s="280">
        <v>2811.78</v>
      </c>
      <c r="N806" s="281">
        <v>378</v>
      </c>
      <c r="O806" s="282">
        <v>529</v>
      </c>
      <c r="P806" s="280">
        <f t="shared" si="25"/>
        <v>5908.4821693121694</v>
      </c>
    </row>
    <row r="807" spans="1:16" x14ac:dyDescent="0.2">
      <c r="A807" s="32" t="s">
        <v>627</v>
      </c>
      <c r="B807" s="32" t="s">
        <v>576</v>
      </c>
      <c r="C807" s="32" t="s">
        <v>577</v>
      </c>
      <c r="D807" s="32" t="s">
        <v>624</v>
      </c>
      <c r="E807" s="32" t="s">
        <v>556</v>
      </c>
      <c r="F807" s="32" t="s">
        <v>584</v>
      </c>
      <c r="G807" s="32" t="str">
        <f t="shared" si="24"/>
        <v>6" PE STUB</v>
      </c>
      <c r="H807" s="278" t="s">
        <v>475</v>
      </c>
      <c r="I807" s="32" t="s">
        <v>462</v>
      </c>
      <c r="J807" s="279">
        <v>1</v>
      </c>
      <c r="K807" s="280">
        <v>684.17</v>
      </c>
      <c r="L807" s="280">
        <v>203.45</v>
      </c>
      <c r="M807" s="280">
        <v>480.72</v>
      </c>
      <c r="N807" s="281">
        <v>393</v>
      </c>
      <c r="O807" s="282">
        <v>529</v>
      </c>
      <c r="P807" s="280">
        <f t="shared" si="25"/>
        <v>920.93111959287523</v>
      </c>
    </row>
    <row r="808" spans="1:16" x14ac:dyDescent="0.2">
      <c r="A808" s="32" t="s">
        <v>628</v>
      </c>
      <c r="B808" s="32" t="s">
        <v>576</v>
      </c>
      <c r="C808" s="32" t="s">
        <v>577</v>
      </c>
      <c r="D808" s="32" t="s">
        <v>624</v>
      </c>
      <c r="E808" s="32" t="s">
        <v>556</v>
      </c>
      <c r="F808" s="32" t="s">
        <v>584</v>
      </c>
      <c r="G808" s="32" t="str">
        <f t="shared" si="24"/>
        <v>6" PE STUB</v>
      </c>
      <c r="H808" s="278" t="s">
        <v>491</v>
      </c>
      <c r="I808" s="32" t="s">
        <v>462</v>
      </c>
      <c r="J808" s="279">
        <v>1</v>
      </c>
      <c r="K808" s="280">
        <v>4713.66</v>
      </c>
      <c r="L808" s="280">
        <v>2925.26</v>
      </c>
      <c r="M808" s="280">
        <v>1788.4</v>
      </c>
      <c r="N808" s="281">
        <v>319</v>
      </c>
      <c r="O808" s="282">
        <v>529</v>
      </c>
      <c r="P808" s="280">
        <f t="shared" si="25"/>
        <v>7816.6963636363635</v>
      </c>
    </row>
    <row r="809" spans="1:16" x14ac:dyDescent="0.2">
      <c r="A809" s="32" t="s">
        <v>628</v>
      </c>
      <c r="B809" s="32" t="s">
        <v>576</v>
      </c>
      <c r="C809" s="32" t="s">
        <v>577</v>
      </c>
      <c r="D809" s="32" t="s">
        <v>624</v>
      </c>
      <c r="E809" s="32" t="s">
        <v>556</v>
      </c>
      <c r="F809" s="32" t="s">
        <v>584</v>
      </c>
      <c r="G809" s="32" t="str">
        <f t="shared" si="24"/>
        <v>6" PE STUB</v>
      </c>
      <c r="H809" s="278" t="s">
        <v>514</v>
      </c>
      <c r="I809" s="32" t="s">
        <v>462</v>
      </c>
      <c r="J809" s="279">
        <v>3</v>
      </c>
      <c r="K809" s="280">
        <v>8970.34</v>
      </c>
      <c r="L809" s="280">
        <v>5266.06</v>
      </c>
      <c r="M809" s="280">
        <v>3704.28</v>
      </c>
      <c r="N809" s="281">
        <v>326</v>
      </c>
      <c r="O809" s="282">
        <v>529</v>
      </c>
      <c r="P809" s="280">
        <f t="shared" si="25"/>
        <v>14556.165214723926</v>
      </c>
    </row>
    <row r="810" spans="1:16" x14ac:dyDescent="0.2">
      <c r="A810" s="32" t="s">
        <v>628</v>
      </c>
      <c r="B810" s="32" t="s">
        <v>576</v>
      </c>
      <c r="C810" s="32" t="s">
        <v>577</v>
      </c>
      <c r="D810" s="32" t="s">
        <v>624</v>
      </c>
      <c r="E810" s="32" t="s">
        <v>556</v>
      </c>
      <c r="F810" s="32" t="s">
        <v>584</v>
      </c>
      <c r="G810" s="32" t="str">
        <f t="shared" si="24"/>
        <v>6" PE STUB</v>
      </c>
      <c r="H810" s="278" t="s">
        <v>467</v>
      </c>
      <c r="I810" s="32" t="s">
        <v>462</v>
      </c>
      <c r="J810" s="279">
        <v>3</v>
      </c>
      <c r="K810" s="280">
        <v>44806.85</v>
      </c>
      <c r="L810" s="280">
        <v>23172.98</v>
      </c>
      <c r="M810" s="280">
        <v>21633.87</v>
      </c>
      <c r="N810" s="281">
        <v>344</v>
      </c>
      <c r="O810" s="282">
        <v>529</v>
      </c>
      <c r="P810" s="280">
        <f t="shared" si="25"/>
        <v>68903.557122093029</v>
      </c>
    </row>
    <row r="811" spans="1:16" x14ac:dyDescent="0.2">
      <c r="A811" s="32" t="s">
        <v>628</v>
      </c>
      <c r="B811" s="32" t="s">
        <v>576</v>
      </c>
      <c r="C811" s="32" t="s">
        <v>577</v>
      </c>
      <c r="D811" s="32" t="s">
        <v>624</v>
      </c>
      <c r="E811" s="32" t="s">
        <v>556</v>
      </c>
      <c r="F811" s="32" t="s">
        <v>584</v>
      </c>
      <c r="G811" s="32" t="str">
        <f t="shared" si="24"/>
        <v>6" PE STUB</v>
      </c>
      <c r="H811" s="278" t="s">
        <v>474</v>
      </c>
      <c r="I811" s="32" t="s">
        <v>462</v>
      </c>
      <c r="J811" s="279">
        <v>2</v>
      </c>
      <c r="K811" s="280">
        <v>32426.31</v>
      </c>
      <c r="L811" s="280">
        <v>6176.22</v>
      </c>
      <c r="M811" s="280">
        <v>26250.09</v>
      </c>
      <c r="N811" s="281">
        <v>431</v>
      </c>
      <c r="O811" s="282">
        <v>529</v>
      </c>
      <c r="P811" s="280">
        <f t="shared" si="25"/>
        <v>39799.345684454755</v>
      </c>
    </row>
    <row r="812" spans="1:16" x14ac:dyDescent="0.2">
      <c r="A812" s="32" t="s">
        <v>628</v>
      </c>
      <c r="B812" s="32" t="s">
        <v>576</v>
      </c>
      <c r="C812" s="32" t="s">
        <v>577</v>
      </c>
      <c r="D812" s="32" t="s">
        <v>624</v>
      </c>
      <c r="E812" s="32" t="s">
        <v>556</v>
      </c>
      <c r="F812" s="32" t="s">
        <v>584</v>
      </c>
      <c r="G812" s="32" t="str">
        <f t="shared" si="24"/>
        <v>6" PE STUB</v>
      </c>
      <c r="H812" s="278" t="s">
        <v>477</v>
      </c>
      <c r="I812" s="32" t="s">
        <v>462</v>
      </c>
      <c r="J812" s="279">
        <v>2</v>
      </c>
      <c r="K812" s="280">
        <v>6653.92</v>
      </c>
      <c r="L812" s="280">
        <v>1038.94</v>
      </c>
      <c r="M812" s="280">
        <v>5614.98</v>
      </c>
      <c r="N812" s="281">
        <v>450</v>
      </c>
      <c r="O812" s="282">
        <v>529</v>
      </c>
      <c r="P812" s="280">
        <f t="shared" si="25"/>
        <v>7822.0526222222215</v>
      </c>
    </row>
    <row r="813" spans="1:16" x14ac:dyDescent="0.2">
      <c r="A813" s="32" t="s">
        <v>628</v>
      </c>
      <c r="B813" s="32" t="s">
        <v>576</v>
      </c>
      <c r="C813" s="32" t="s">
        <v>577</v>
      </c>
      <c r="D813" s="32" t="s">
        <v>624</v>
      </c>
      <c r="E813" s="32" t="s">
        <v>556</v>
      </c>
      <c r="F813" s="32" t="s">
        <v>584</v>
      </c>
      <c r="G813" s="32" t="str">
        <f t="shared" si="24"/>
        <v>6" PE STUB</v>
      </c>
      <c r="H813" s="278" t="s">
        <v>470</v>
      </c>
      <c r="I813" s="32" t="s">
        <v>462</v>
      </c>
      <c r="J813" s="279">
        <v>1</v>
      </c>
      <c r="K813" s="280">
        <v>13987.4</v>
      </c>
      <c r="L813" s="280">
        <v>1712.22</v>
      </c>
      <c r="M813" s="280">
        <v>12275.18</v>
      </c>
      <c r="N813" s="281">
        <v>467</v>
      </c>
      <c r="O813" s="282">
        <v>529</v>
      </c>
      <c r="P813" s="280">
        <f t="shared" si="25"/>
        <v>15844.399571734473</v>
      </c>
    </row>
    <row r="814" spans="1:16" x14ac:dyDescent="0.2">
      <c r="A814" s="32" t="s">
        <v>628</v>
      </c>
      <c r="B814" s="32" t="s">
        <v>576</v>
      </c>
      <c r="C814" s="32" t="s">
        <v>577</v>
      </c>
      <c r="D814" s="32" t="s">
        <v>624</v>
      </c>
      <c r="E814" s="32" t="s">
        <v>556</v>
      </c>
      <c r="F814" s="32" t="s">
        <v>584</v>
      </c>
      <c r="G814" s="32" t="str">
        <f t="shared" si="24"/>
        <v>6" PE STUB</v>
      </c>
      <c r="H814" s="278" t="s">
        <v>470</v>
      </c>
      <c r="I814" s="32" t="s">
        <v>462</v>
      </c>
      <c r="J814" s="279">
        <v>1</v>
      </c>
      <c r="K814" s="280">
        <v>23022.22</v>
      </c>
      <c r="L814" s="280">
        <v>2818.19</v>
      </c>
      <c r="M814" s="280">
        <v>20204.03</v>
      </c>
      <c r="N814" s="281">
        <v>467</v>
      </c>
      <c r="O814" s="282">
        <v>529</v>
      </c>
      <c r="P814" s="280">
        <f t="shared" si="25"/>
        <v>26078.703169164881</v>
      </c>
    </row>
    <row r="815" spans="1:16" x14ac:dyDescent="0.2">
      <c r="A815" s="32" t="s">
        <v>628</v>
      </c>
      <c r="B815" s="32" t="s">
        <v>576</v>
      </c>
      <c r="C815" s="32" t="s">
        <v>577</v>
      </c>
      <c r="D815" s="32" t="s">
        <v>624</v>
      </c>
      <c r="E815" s="32" t="s">
        <v>556</v>
      </c>
      <c r="F815" s="32" t="s">
        <v>584</v>
      </c>
      <c r="G815" s="32" t="str">
        <f t="shared" si="24"/>
        <v>6" PE STUB</v>
      </c>
      <c r="H815" s="278" t="s">
        <v>461</v>
      </c>
      <c r="I815" s="32" t="s">
        <v>462</v>
      </c>
      <c r="J815" s="279">
        <v>1</v>
      </c>
      <c r="K815" s="280">
        <v>265.02999999999997</v>
      </c>
      <c r="L815" s="280">
        <v>23.59</v>
      </c>
      <c r="M815" s="280">
        <v>241.44</v>
      </c>
      <c r="N815" s="281">
        <v>491</v>
      </c>
      <c r="O815" s="282">
        <v>529</v>
      </c>
      <c r="P815" s="280">
        <f t="shared" si="25"/>
        <v>285.54148676171076</v>
      </c>
    </row>
    <row r="816" spans="1:16" x14ac:dyDescent="0.2">
      <c r="A816" s="32" t="s">
        <v>628</v>
      </c>
      <c r="B816" s="32" t="s">
        <v>576</v>
      </c>
      <c r="C816" s="32" t="s">
        <v>577</v>
      </c>
      <c r="D816" s="32" t="s">
        <v>624</v>
      </c>
      <c r="E816" s="32" t="s">
        <v>556</v>
      </c>
      <c r="F816" s="32" t="s">
        <v>584</v>
      </c>
      <c r="G816" s="32" t="str">
        <f t="shared" si="24"/>
        <v>6" PE STUB</v>
      </c>
      <c r="H816" s="278" t="s">
        <v>461</v>
      </c>
      <c r="I816" s="32" t="s">
        <v>462</v>
      </c>
      <c r="J816" s="279">
        <v>2</v>
      </c>
      <c r="K816" s="280">
        <v>37478.65</v>
      </c>
      <c r="L816" s="280">
        <v>3336.24</v>
      </c>
      <c r="M816" s="280">
        <v>34142.410000000003</v>
      </c>
      <c r="N816" s="281">
        <v>491</v>
      </c>
      <c r="O816" s="282">
        <v>529</v>
      </c>
      <c r="P816" s="280">
        <f t="shared" si="25"/>
        <v>40379.23798370672</v>
      </c>
    </row>
    <row r="817" spans="1:16" x14ac:dyDescent="0.2">
      <c r="A817" s="32" t="s">
        <v>628</v>
      </c>
      <c r="B817" s="32" t="s">
        <v>576</v>
      </c>
      <c r="C817" s="32" t="s">
        <v>577</v>
      </c>
      <c r="D817" s="32" t="s">
        <v>624</v>
      </c>
      <c r="E817" s="32" t="s">
        <v>556</v>
      </c>
      <c r="F817" s="32" t="s">
        <v>584</v>
      </c>
      <c r="G817" s="32" t="str">
        <f t="shared" si="24"/>
        <v>6" PE STUB</v>
      </c>
      <c r="H817" s="278" t="s">
        <v>468</v>
      </c>
      <c r="I817" s="32" t="s">
        <v>462</v>
      </c>
      <c r="J817" s="279">
        <v>1</v>
      </c>
      <c r="K817" s="280">
        <v>4296.58</v>
      </c>
      <c r="L817" s="280">
        <v>237.6</v>
      </c>
      <c r="M817" s="280">
        <v>4058.98</v>
      </c>
      <c r="N817" s="281">
        <v>517</v>
      </c>
      <c r="O817" s="282">
        <v>529</v>
      </c>
      <c r="P817" s="280">
        <f t="shared" si="25"/>
        <v>4396.3071953578337</v>
      </c>
    </row>
    <row r="818" spans="1:16" x14ac:dyDescent="0.2">
      <c r="A818" s="32" t="s">
        <v>628</v>
      </c>
      <c r="B818" s="32" t="s">
        <v>576</v>
      </c>
      <c r="C818" s="32" t="s">
        <v>577</v>
      </c>
      <c r="D818" s="32" t="s">
        <v>624</v>
      </c>
      <c r="E818" s="32" t="s">
        <v>556</v>
      </c>
      <c r="F818" s="32" t="s">
        <v>584</v>
      </c>
      <c r="G818" s="32" t="str">
        <f t="shared" si="24"/>
        <v>6" PE STUB</v>
      </c>
      <c r="H818" s="278" t="s">
        <v>468</v>
      </c>
      <c r="I818" s="32" t="s">
        <v>462</v>
      </c>
      <c r="J818" s="279">
        <v>3</v>
      </c>
      <c r="K818" s="280">
        <v>10075.16</v>
      </c>
      <c r="L818" s="280">
        <v>557.16</v>
      </c>
      <c r="M818" s="280">
        <v>9518</v>
      </c>
      <c r="N818" s="281">
        <v>517</v>
      </c>
      <c r="O818" s="282">
        <v>529</v>
      </c>
      <c r="P818" s="280">
        <f t="shared" si="25"/>
        <v>10309.012843326887</v>
      </c>
    </row>
    <row r="819" spans="1:16" x14ac:dyDescent="0.2">
      <c r="A819" s="32" t="s">
        <v>628</v>
      </c>
      <c r="B819" s="32" t="s">
        <v>576</v>
      </c>
      <c r="C819" s="32" t="s">
        <v>577</v>
      </c>
      <c r="D819" s="32" t="s">
        <v>624</v>
      </c>
      <c r="E819" s="32" t="s">
        <v>556</v>
      </c>
      <c r="F819" s="32" t="s">
        <v>584</v>
      </c>
      <c r="G819" s="32" t="str">
        <f t="shared" si="24"/>
        <v>6" PE STUB</v>
      </c>
      <c r="H819" s="278" t="s">
        <v>469</v>
      </c>
      <c r="I819" s="32" t="s">
        <v>462</v>
      </c>
      <c r="J819" s="279">
        <v>1</v>
      </c>
      <c r="K819" s="280">
        <v>33788.980000000003</v>
      </c>
      <c r="L819" s="280">
        <v>664.34</v>
      </c>
      <c r="M819" s="280">
        <v>33124.639999999999</v>
      </c>
      <c r="N819" s="281">
        <v>529</v>
      </c>
      <c r="O819" s="282">
        <v>529</v>
      </c>
      <c r="P819" s="280">
        <f t="shared" si="25"/>
        <v>33788.980000000003</v>
      </c>
    </row>
    <row r="820" spans="1:16" x14ac:dyDescent="0.2">
      <c r="A820" s="32" t="s">
        <v>628</v>
      </c>
      <c r="B820" s="32" t="s">
        <v>576</v>
      </c>
      <c r="C820" s="32" t="s">
        <v>577</v>
      </c>
      <c r="D820" s="32" t="s">
        <v>624</v>
      </c>
      <c r="E820" s="32" t="s">
        <v>556</v>
      </c>
      <c r="F820" s="32" t="s">
        <v>584</v>
      </c>
      <c r="G820" s="32" t="str">
        <f t="shared" si="24"/>
        <v>6" PE STUB</v>
      </c>
      <c r="H820" s="278" t="s">
        <v>469</v>
      </c>
      <c r="I820" s="32" t="s">
        <v>462</v>
      </c>
      <c r="J820" s="279">
        <v>1</v>
      </c>
      <c r="K820" s="280">
        <v>67068.399999999994</v>
      </c>
      <c r="L820" s="280">
        <v>1318.66</v>
      </c>
      <c r="M820" s="280">
        <v>65749.740000000005</v>
      </c>
      <c r="N820" s="281">
        <v>529</v>
      </c>
      <c r="O820" s="282">
        <v>529</v>
      </c>
      <c r="P820" s="280">
        <f t="shared" si="25"/>
        <v>67068.399999999994</v>
      </c>
    </row>
    <row r="821" spans="1:16" x14ac:dyDescent="0.2">
      <c r="A821" s="32" t="s">
        <v>629</v>
      </c>
      <c r="B821" s="32" t="s">
        <v>630</v>
      </c>
      <c r="C821" s="32" t="s">
        <v>631</v>
      </c>
      <c r="D821" s="32" t="s">
        <v>632</v>
      </c>
      <c r="E821" s="32" t="s">
        <v>494</v>
      </c>
      <c r="F821" s="32" t="s">
        <v>581</v>
      </c>
      <c r="G821" s="32" t="str">
        <f t="shared" si="24"/>
        <v>.5-2" ST EXTN</v>
      </c>
      <c r="H821" s="278" t="s">
        <v>533</v>
      </c>
      <c r="I821" s="32" t="s">
        <v>462</v>
      </c>
      <c r="J821" s="279">
        <v>14</v>
      </c>
      <c r="K821" s="280">
        <v>4518.2700000000004</v>
      </c>
      <c r="L821" s="280">
        <v>50787.39</v>
      </c>
      <c r="M821" s="280">
        <v>-46269.120000000003</v>
      </c>
      <c r="N821" s="281">
        <v>78</v>
      </c>
      <c r="O821" s="282">
        <v>583</v>
      </c>
      <c r="P821" s="280">
        <f t="shared" si="25"/>
        <v>33771.171923076923</v>
      </c>
    </row>
    <row r="822" spans="1:16" x14ac:dyDescent="0.2">
      <c r="A822" s="32" t="s">
        <v>633</v>
      </c>
      <c r="B822" s="32" t="s">
        <v>630</v>
      </c>
      <c r="C822" s="32" t="s">
        <v>631</v>
      </c>
      <c r="D822" s="32" t="s">
        <v>632</v>
      </c>
      <c r="E822" s="32" t="s">
        <v>494</v>
      </c>
      <c r="F822" s="32" t="s">
        <v>584</v>
      </c>
      <c r="G822" s="32" t="str">
        <f t="shared" si="24"/>
        <v>.5-2" ST STUB</v>
      </c>
      <c r="H822" s="278" t="s">
        <v>533</v>
      </c>
      <c r="I822" s="32" t="s">
        <v>462</v>
      </c>
      <c r="J822" s="279">
        <v>35</v>
      </c>
      <c r="K822" s="280">
        <v>4177.82</v>
      </c>
      <c r="L822" s="280">
        <v>46960.58</v>
      </c>
      <c r="M822" s="280">
        <v>-42782.76</v>
      </c>
      <c r="N822" s="281">
        <v>78</v>
      </c>
      <c r="O822" s="282">
        <v>583</v>
      </c>
      <c r="P822" s="280">
        <f t="shared" si="25"/>
        <v>31226.526410256407</v>
      </c>
    </row>
    <row r="823" spans="1:16" x14ac:dyDescent="0.2">
      <c r="A823" s="32" t="s">
        <v>634</v>
      </c>
      <c r="B823" s="32" t="s">
        <v>635</v>
      </c>
      <c r="C823" s="32" t="s">
        <v>636</v>
      </c>
      <c r="D823" s="277" t="s">
        <v>637</v>
      </c>
      <c r="E823" s="32" t="s">
        <v>494</v>
      </c>
      <c r="F823" s="32" t="s">
        <v>581</v>
      </c>
      <c r="G823" s="32" t="str">
        <f t="shared" si="24"/>
        <v>.75" ST EXTN</v>
      </c>
      <c r="H823" s="278" t="s">
        <v>534</v>
      </c>
      <c r="I823" s="32" t="s">
        <v>462</v>
      </c>
      <c r="J823" s="279">
        <v>1410</v>
      </c>
      <c r="K823" s="280">
        <v>179768.66</v>
      </c>
      <c r="L823" s="280">
        <v>179768.66</v>
      </c>
      <c r="M823" s="280">
        <v>0</v>
      </c>
      <c r="N823" s="281">
        <v>68</v>
      </c>
      <c r="O823" s="282">
        <v>583</v>
      </c>
      <c r="P823" s="280">
        <f t="shared" si="25"/>
        <v>1541251.8938235296</v>
      </c>
    </row>
    <row r="824" spans="1:16" x14ac:dyDescent="0.2">
      <c r="A824" s="32" t="s">
        <v>634</v>
      </c>
      <c r="B824" s="32" t="s">
        <v>635</v>
      </c>
      <c r="C824" s="32" t="s">
        <v>636</v>
      </c>
      <c r="D824" s="277" t="s">
        <v>637</v>
      </c>
      <c r="E824" s="32" t="s">
        <v>494</v>
      </c>
      <c r="F824" s="32" t="s">
        <v>581</v>
      </c>
      <c r="G824" s="32" t="str">
        <f t="shared" si="24"/>
        <v>.75" ST EXTN</v>
      </c>
      <c r="H824" s="278" t="s">
        <v>532</v>
      </c>
      <c r="I824" s="32" t="s">
        <v>462</v>
      </c>
      <c r="J824" s="279">
        <v>3701</v>
      </c>
      <c r="K824" s="280">
        <v>439474.5</v>
      </c>
      <c r="L824" s="280">
        <v>439474.5</v>
      </c>
      <c r="M824" s="280">
        <v>0</v>
      </c>
      <c r="N824" s="281">
        <v>71</v>
      </c>
      <c r="O824" s="282">
        <v>583</v>
      </c>
      <c r="P824" s="280">
        <f t="shared" si="25"/>
        <v>3608642.7253521122</v>
      </c>
    </row>
    <row r="825" spans="1:16" x14ac:dyDescent="0.2">
      <c r="A825" s="32" t="s">
        <v>634</v>
      </c>
      <c r="B825" s="32" t="s">
        <v>635</v>
      </c>
      <c r="C825" s="32" t="s">
        <v>636</v>
      </c>
      <c r="D825" s="277" t="s">
        <v>637</v>
      </c>
      <c r="E825" s="32" t="s">
        <v>494</v>
      </c>
      <c r="F825" s="32" t="s">
        <v>581</v>
      </c>
      <c r="G825" s="32" t="str">
        <f t="shared" si="24"/>
        <v>.75" ST EXTN</v>
      </c>
      <c r="H825" s="278" t="s">
        <v>535</v>
      </c>
      <c r="I825" s="32" t="s">
        <v>462</v>
      </c>
      <c r="J825" s="279">
        <v>5981</v>
      </c>
      <c r="K825" s="280">
        <v>778620.62</v>
      </c>
      <c r="L825" s="280">
        <v>778620.62</v>
      </c>
      <c r="M825" s="280">
        <v>0</v>
      </c>
      <c r="N825" s="281">
        <v>74</v>
      </c>
      <c r="O825" s="282">
        <v>583</v>
      </c>
      <c r="P825" s="280">
        <f t="shared" si="25"/>
        <v>6134267.8575675674</v>
      </c>
    </row>
    <row r="826" spans="1:16" x14ac:dyDescent="0.2">
      <c r="A826" s="32" t="s">
        <v>634</v>
      </c>
      <c r="B826" s="32" t="s">
        <v>635</v>
      </c>
      <c r="C826" s="32" t="s">
        <v>636</v>
      </c>
      <c r="D826" s="277" t="s">
        <v>637</v>
      </c>
      <c r="E826" s="32" t="s">
        <v>494</v>
      </c>
      <c r="F826" s="32" t="s">
        <v>581</v>
      </c>
      <c r="G826" s="32" t="str">
        <f t="shared" si="24"/>
        <v>.75" ST EXTN</v>
      </c>
      <c r="H826" s="278" t="s">
        <v>533</v>
      </c>
      <c r="I826" s="32" t="s">
        <v>462</v>
      </c>
      <c r="J826" s="279">
        <v>4547</v>
      </c>
      <c r="K826" s="280">
        <v>635569.51</v>
      </c>
      <c r="L826" s="280">
        <v>635569.51</v>
      </c>
      <c r="M826" s="280">
        <v>0</v>
      </c>
      <c r="N826" s="281">
        <v>78</v>
      </c>
      <c r="O826" s="282">
        <v>583</v>
      </c>
      <c r="P826" s="280">
        <f t="shared" si="25"/>
        <v>4750474.6708974363</v>
      </c>
    </row>
    <row r="827" spans="1:16" x14ac:dyDescent="0.2">
      <c r="A827" s="32" t="s">
        <v>634</v>
      </c>
      <c r="B827" s="32" t="s">
        <v>635</v>
      </c>
      <c r="C827" s="32" t="s">
        <v>636</v>
      </c>
      <c r="D827" s="277" t="s">
        <v>637</v>
      </c>
      <c r="E827" s="32" t="s">
        <v>494</v>
      </c>
      <c r="F827" s="32" t="s">
        <v>581</v>
      </c>
      <c r="G827" s="32" t="str">
        <f t="shared" si="24"/>
        <v>.75" ST EXTN</v>
      </c>
      <c r="H827" s="278" t="s">
        <v>531</v>
      </c>
      <c r="I827" s="32" t="s">
        <v>462</v>
      </c>
      <c r="J827" s="279">
        <v>3317</v>
      </c>
      <c r="K827" s="280">
        <v>554535.64</v>
      </c>
      <c r="L827" s="280">
        <v>554535.64</v>
      </c>
      <c r="M827" s="280">
        <v>0</v>
      </c>
      <c r="N827" s="281">
        <v>84</v>
      </c>
      <c r="O827" s="282">
        <v>583</v>
      </c>
      <c r="P827" s="280">
        <f t="shared" si="25"/>
        <v>3848741.4061904764</v>
      </c>
    </row>
    <row r="828" spans="1:16" x14ac:dyDescent="0.2">
      <c r="A828" s="32" t="s">
        <v>634</v>
      </c>
      <c r="B828" s="32" t="s">
        <v>635</v>
      </c>
      <c r="C828" s="32" t="s">
        <v>636</v>
      </c>
      <c r="D828" s="277" t="s">
        <v>637</v>
      </c>
      <c r="E828" s="32" t="s">
        <v>494</v>
      </c>
      <c r="F828" s="32" t="s">
        <v>581</v>
      </c>
      <c r="G828" s="32" t="str">
        <f t="shared" si="24"/>
        <v>.75" ST EXTN</v>
      </c>
      <c r="H828" s="278" t="s">
        <v>527</v>
      </c>
      <c r="I828" s="32" t="s">
        <v>462</v>
      </c>
      <c r="J828" s="279">
        <v>2834</v>
      </c>
      <c r="K828" s="280">
        <v>486551.75</v>
      </c>
      <c r="L828" s="280">
        <v>486551.75</v>
      </c>
      <c r="M828" s="280">
        <v>0</v>
      </c>
      <c r="N828" s="281">
        <v>90</v>
      </c>
      <c r="O828" s="282">
        <v>583</v>
      </c>
      <c r="P828" s="280">
        <f t="shared" si="25"/>
        <v>3151774.1138888891</v>
      </c>
    </row>
    <row r="829" spans="1:16" x14ac:dyDescent="0.2">
      <c r="A829" s="32" t="s">
        <v>634</v>
      </c>
      <c r="B829" s="32" t="s">
        <v>635</v>
      </c>
      <c r="C829" s="32" t="s">
        <v>636</v>
      </c>
      <c r="D829" s="277" t="s">
        <v>637</v>
      </c>
      <c r="E829" s="32" t="s">
        <v>494</v>
      </c>
      <c r="F829" s="32" t="s">
        <v>581</v>
      </c>
      <c r="G829" s="32" t="str">
        <f t="shared" si="24"/>
        <v>.75" ST EXTN</v>
      </c>
      <c r="H829" s="278" t="s">
        <v>528</v>
      </c>
      <c r="I829" s="32" t="s">
        <v>462</v>
      </c>
      <c r="J829" s="279">
        <v>2730</v>
      </c>
      <c r="K829" s="280">
        <v>558234.6</v>
      </c>
      <c r="L829" s="280">
        <v>558234.6</v>
      </c>
      <c r="M829" s="280">
        <v>0</v>
      </c>
      <c r="N829" s="281">
        <v>96</v>
      </c>
      <c r="O829" s="282">
        <v>583</v>
      </c>
      <c r="P829" s="280">
        <f t="shared" si="25"/>
        <v>3390112.2062499998</v>
      </c>
    </row>
    <row r="830" spans="1:16" x14ac:dyDescent="0.2">
      <c r="A830" s="32" t="s">
        <v>634</v>
      </c>
      <c r="B830" s="32" t="s">
        <v>635</v>
      </c>
      <c r="C830" s="32" t="s">
        <v>636</v>
      </c>
      <c r="D830" s="277" t="s">
        <v>637</v>
      </c>
      <c r="E830" s="32" t="s">
        <v>494</v>
      </c>
      <c r="F830" s="32" t="s">
        <v>581</v>
      </c>
      <c r="G830" s="32" t="str">
        <f t="shared" si="24"/>
        <v>.75" ST EXTN</v>
      </c>
      <c r="H830" s="278" t="s">
        <v>529</v>
      </c>
      <c r="I830" s="32" t="s">
        <v>462</v>
      </c>
      <c r="J830" s="279">
        <v>3045</v>
      </c>
      <c r="K830" s="280">
        <v>631339.02</v>
      </c>
      <c r="L830" s="280">
        <v>631339.02</v>
      </c>
      <c r="M830" s="280">
        <v>0</v>
      </c>
      <c r="N830" s="281">
        <v>100</v>
      </c>
      <c r="O830" s="282">
        <v>583</v>
      </c>
      <c r="P830" s="280">
        <f t="shared" si="25"/>
        <v>3680706.4865999999</v>
      </c>
    </row>
    <row r="831" spans="1:16" x14ac:dyDescent="0.2">
      <c r="A831" s="32" t="s">
        <v>634</v>
      </c>
      <c r="B831" s="32" t="s">
        <v>635</v>
      </c>
      <c r="C831" s="32" t="s">
        <v>636</v>
      </c>
      <c r="D831" s="277" t="s">
        <v>637</v>
      </c>
      <c r="E831" s="32" t="s">
        <v>494</v>
      </c>
      <c r="F831" s="32" t="s">
        <v>581</v>
      </c>
      <c r="G831" s="32" t="str">
        <f t="shared" si="24"/>
        <v>.75" ST EXTN</v>
      </c>
      <c r="H831" s="278" t="s">
        <v>525</v>
      </c>
      <c r="I831" s="32" t="s">
        <v>462</v>
      </c>
      <c r="J831" s="279">
        <v>1804</v>
      </c>
      <c r="K831" s="280">
        <v>345600.09</v>
      </c>
      <c r="L831" s="280">
        <v>345600.09</v>
      </c>
      <c r="M831" s="280">
        <v>0</v>
      </c>
      <c r="N831" s="281">
        <v>113</v>
      </c>
      <c r="O831" s="282">
        <v>583</v>
      </c>
      <c r="P831" s="280">
        <f t="shared" si="25"/>
        <v>1783051.7917699115</v>
      </c>
    </row>
    <row r="832" spans="1:16" x14ac:dyDescent="0.2">
      <c r="A832" s="32" t="s">
        <v>634</v>
      </c>
      <c r="B832" s="32" t="s">
        <v>635</v>
      </c>
      <c r="C832" s="32" t="s">
        <v>636</v>
      </c>
      <c r="D832" s="277" t="s">
        <v>637</v>
      </c>
      <c r="E832" s="32" t="s">
        <v>494</v>
      </c>
      <c r="F832" s="32" t="s">
        <v>581</v>
      </c>
      <c r="G832" s="32" t="str">
        <f t="shared" si="24"/>
        <v>.75" ST EXTN</v>
      </c>
      <c r="H832" s="278" t="s">
        <v>524</v>
      </c>
      <c r="I832" s="32" t="s">
        <v>462</v>
      </c>
      <c r="J832" s="279">
        <v>440</v>
      </c>
      <c r="K832" s="280">
        <v>133246.85</v>
      </c>
      <c r="L832" s="280">
        <v>133246.85</v>
      </c>
      <c r="M832" s="280">
        <v>0</v>
      </c>
      <c r="N832" s="281">
        <v>133</v>
      </c>
      <c r="O832" s="282">
        <v>583</v>
      </c>
      <c r="P832" s="280">
        <f t="shared" si="25"/>
        <v>584082.05676691735</v>
      </c>
    </row>
    <row r="833" spans="1:16" x14ac:dyDescent="0.2">
      <c r="A833" s="32" t="s">
        <v>634</v>
      </c>
      <c r="B833" s="32" t="s">
        <v>635</v>
      </c>
      <c r="C833" s="32" t="s">
        <v>636</v>
      </c>
      <c r="D833" s="277" t="s">
        <v>637</v>
      </c>
      <c r="E833" s="32" t="s">
        <v>494</v>
      </c>
      <c r="F833" s="32" t="s">
        <v>581</v>
      </c>
      <c r="G833" s="32" t="str">
        <f t="shared" si="24"/>
        <v>.75" ST EXTN</v>
      </c>
      <c r="H833" s="278" t="s">
        <v>522</v>
      </c>
      <c r="I833" s="32" t="s">
        <v>462</v>
      </c>
      <c r="J833" s="279">
        <v>280</v>
      </c>
      <c r="K833" s="280">
        <v>111322.53</v>
      </c>
      <c r="L833" s="280">
        <v>111322.53</v>
      </c>
      <c r="M833" s="280">
        <v>0</v>
      </c>
      <c r="N833" s="281">
        <v>143</v>
      </c>
      <c r="O833" s="282">
        <v>583</v>
      </c>
      <c r="P833" s="280">
        <f t="shared" si="25"/>
        <v>453853.3915384615</v>
      </c>
    </row>
    <row r="834" spans="1:16" x14ac:dyDescent="0.2">
      <c r="A834" s="32" t="s">
        <v>634</v>
      </c>
      <c r="B834" s="32" t="s">
        <v>635</v>
      </c>
      <c r="C834" s="32" t="s">
        <v>636</v>
      </c>
      <c r="D834" s="277" t="s">
        <v>637</v>
      </c>
      <c r="E834" s="32" t="s">
        <v>494</v>
      </c>
      <c r="F834" s="32" t="s">
        <v>581</v>
      </c>
      <c r="G834" s="32" t="str">
        <f t="shared" ref="G834:G897" si="26">D834&amp;" "&amp;E834&amp;" "&amp;F834</f>
        <v>.75" ST EXTN</v>
      </c>
      <c r="H834" s="278" t="s">
        <v>526</v>
      </c>
      <c r="I834" s="32" t="s">
        <v>462</v>
      </c>
      <c r="J834" s="279">
        <v>472</v>
      </c>
      <c r="K834" s="280">
        <v>257116.61</v>
      </c>
      <c r="L834" s="280">
        <v>257116.61</v>
      </c>
      <c r="M834" s="280">
        <v>0</v>
      </c>
      <c r="N834" s="281">
        <v>153</v>
      </c>
      <c r="O834" s="282">
        <v>583</v>
      </c>
      <c r="P834" s="280">
        <f t="shared" ref="P834:P897" si="27">+(O834/N834)*K834</f>
        <v>979731.91915032663</v>
      </c>
    </row>
    <row r="835" spans="1:16" x14ac:dyDescent="0.2">
      <c r="A835" s="32" t="s">
        <v>634</v>
      </c>
      <c r="B835" s="32" t="s">
        <v>635</v>
      </c>
      <c r="C835" s="32" t="s">
        <v>636</v>
      </c>
      <c r="D835" s="277" t="s">
        <v>637</v>
      </c>
      <c r="E835" s="32" t="s">
        <v>494</v>
      </c>
      <c r="F835" s="32" t="s">
        <v>581</v>
      </c>
      <c r="G835" s="32" t="str">
        <f t="shared" si="26"/>
        <v>.75" ST EXTN</v>
      </c>
      <c r="H835" s="278" t="s">
        <v>469</v>
      </c>
      <c r="I835" s="32" t="s">
        <v>462</v>
      </c>
      <c r="J835" s="279">
        <v>0</v>
      </c>
      <c r="K835" s="280">
        <v>0.42</v>
      </c>
      <c r="L835" s="280">
        <v>0.13</v>
      </c>
      <c r="M835" s="280">
        <v>0.28999999999999998</v>
      </c>
      <c r="N835" s="281">
        <v>583</v>
      </c>
      <c r="O835" s="282">
        <v>583</v>
      </c>
      <c r="P835" s="280">
        <f t="shared" si="27"/>
        <v>0.42</v>
      </c>
    </row>
    <row r="836" spans="1:16" x14ac:dyDescent="0.2">
      <c r="A836" s="32" t="s">
        <v>634</v>
      </c>
      <c r="B836" s="32" t="s">
        <v>635</v>
      </c>
      <c r="C836" s="32" t="s">
        <v>636</v>
      </c>
      <c r="D836" s="277" t="s">
        <v>637</v>
      </c>
      <c r="E836" s="32" t="s">
        <v>494</v>
      </c>
      <c r="F836" s="32" t="s">
        <v>581</v>
      </c>
      <c r="G836" s="32" t="str">
        <f t="shared" si="26"/>
        <v>.75" ST EXTN</v>
      </c>
      <c r="H836" s="278" t="s">
        <v>469</v>
      </c>
      <c r="I836" s="32" t="s">
        <v>462</v>
      </c>
      <c r="J836" s="279">
        <v>3</v>
      </c>
      <c r="K836" s="280">
        <v>25599.98</v>
      </c>
      <c r="L836" s="280">
        <v>7864.52</v>
      </c>
      <c r="M836" s="280">
        <v>17735.46</v>
      </c>
      <c r="N836" s="281">
        <v>583</v>
      </c>
      <c r="O836" s="282">
        <v>583</v>
      </c>
      <c r="P836" s="280">
        <f t="shared" si="27"/>
        <v>25599.98</v>
      </c>
    </row>
    <row r="837" spans="1:16" x14ac:dyDescent="0.2">
      <c r="A837" s="32" t="s">
        <v>638</v>
      </c>
      <c r="B837" s="32" t="s">
        <v>635</v>
      </c>
      <c r="C837" s="32" t="s">
        <v>636</v>
      </c>
      <c r="D837" s="277" t="s">
        <v>637</v>
      </c>
      <c r="E837" s="32" t="s">
        <v>494</v>
      </c>
      <c r="F837" s="32" t="s">
        <v>584</v>
      </c>
      <c r="G837" s="32" t="str">
        <f t="shared" si="26"/>
        <v>.75" ST STUB</v>
      </c>
      <c r="H837" s="278" t="s">
        <v>534</v>
      </c>
      <c r="I837" s="32" t="s">
        <v>462</v>
      </c>
      <c r="J837" s="279">
        <v>1304</v>
      </c>
      <c r="K837" s="280">
        <v>61681.68</v>
      </c>
      <c r="L837" s="280">
        <v>61681.68</v>
      </c>
      <c r="M837" s="280">
        <v>0</v>
      </c>
      <c r="N837" s="281">
        <v>68</v>
      </c>
      <c r="O837" s="282">
        <v>583</v>
      </c>
      <c r="P837" s="280">
        <f t="shared" si="27"/>
        <v>528829.69764705887</v>
      </c>
    </row>
    <row r="838" spans="1:16" x14ac:dyDescent="0.2">
      <c r="A838" s="32" t="s">
        <v>638</v>
      </c>
      <c r="B838" s="32" t="s">
        <v>635</v>
      </c>
      <c r="C838" s="32" t="s">
        <v>636</v>
      </c>
      <c r="D838" s="277" t="s">
        <v>637</v>
      </c>
      <c r="E838" s="32" t="s">
        <v>494</v>
      </c>
      <c r="F838" s="32" t="s">
        <v>584</v>
      </c>
      <c r="G838" s="32" t="str">
        <f t="shared" si="26"/>
        <v>.75" ST STUB</v>
      </c>
      <c r="H838" s="278" t="s">
        <v>532</v>
      </c>
      <c r="I838" s="32" t="s">
        <v>462</v>
      </c>
      <c r="J838" s="279">
        <v>5043</v>
      </c>
      <c r="K838" s="280">
        <v>221648.91</v>
      </c>
      <c r="L838" s="280">
        <v>221648.91</v>
      </c>
      <c r="M838" s="280">
        <v>0</v>
      </c>
      <c r="N838" s="281">
        <v>71</v>
      </c>
      <c r="O838" s="282">
        <v>583</v>
      </c>
      <c r="P838" s="280">
        <f t="shared" si="27"/>
        <v>1820018.514507042</v>
      </c>
    </row>
    <row r="839" spans="1:16" x14ac:dyDescent="0.2">
      <c r="A839" s="32" t="s">
        <v>638</v>
      </c>
      <c r="B839" s="32" t="s">
        <v>635</v>
      </c>
      <c r="C839" s="32" t="s">
        <v>636</v>
      </c>
      <c r="D839" s="277" t="s">
        <v>637</v>
      </c>
      <c r="E839" s="32" t="s">
        <v>494</v>
      </c>
      <c r="F839" s="32" t="s">
        <v>584</v>
      </c>
      <c r="G839" s="32" t="str">
        <f t="shared" si="26"/>
        <v>.75" ST STUB</v>
      </c>
      <c r="H839" s="278" t="s">
        <v>535</v>
      </c>
      <c r="I839" s="32" t="s">
        <v>462</v>
      </c>
      <c r="J839" s="279">
        <v>6142</v>
      </c>
      <c r="K839" s="280">
        <v>294192.45</v>
      </c>
      <c r="L839" s="280">
        <v>294192.45</v>
      </c>
      <c r="M839" s="280">
        <v>0</v>
      </c>
      <c r="N839" s="281">
        <v>74</v>
      </c>
      <c r="O839" s="282">
        <v>583</v>
      </c>
      <c r="P839" s="280">
        <f t="shared" si="27"/>
        <v>2317759.4371621623</v>
      </c>
    </row>
    <row r="840" spans="1:16" x14ac:dyDescent="0.2">
      <c r="A840" s="32" t="s">
        <v>638</v>
      </c>
      <c r="B840" s="32" t="s">
        <v>635</v>
      </c>
      <c r="C840" s="32" t="s">
        <v>636</v>
      </c>
      <c r="D840" s="277" t="s">
        <v>637</v>
      </c>
      <c r="E840" s="32" t="s">
        <v>494</v>
      </c>
      <c r="F840" s="32" t="s">
        <v>584</v>
      </c>
      <c r="G840" s="32" t="str">
        <f t="shared" si="26"/>
        <v>.75" ST STUB</v>
      </c>
      <c r="H840" s="278" t="s">
        <v>533</v>
      </c>
      <c r="I840" s="32" t="s">
        <v>462</v>
      </c>
      <c r="J840" s="279">
        <v>4733</v>
      </c>
      <c r="K840" s="280">
        <v>244689.34</v>
      </c>
      <c r="L840" s="280">
        <v>244689.34</v>
      </c>
      <c r="M840" s="280">
        <v>0</v>
      </c>
      <c r="N840" s="281">
        <v>78</v>
      </c>
      <c r="O840" s="282">
        <v>583</v>
      </c>
      <c r="P840" s="280">
        <f t="shared" si="27"/>
        <v>1828895.9643589742</v>
      </c>
    </row>
    <row r="841" spans="1:16" x14ac:dyDescent="0.2">
      <c r="A841" s="32" t="s">
        <v>638</v>
      </c>
      <c r="B841" s="32" t="s">
        <v>635</v>
      </c>
      <c r="C841" s="32" t="s">
        <v>636</v>
      </c>
      <c r="D841" s="277" t="s">
        <v>637</v>
      </c>
      <c r="E841" s="32" t="s">
        <v>494</v>
      </c>
      <c r="F841" s="32" t="s">
        <v>584</v>
      </c>
      <c r="G841" s="32" t="str">
        <f t="shared" si="26"/>
        <v>.75" ST STUB</v>
      </c>
      <c r="H841" s="278" t="s">
        <v>531</v>
      </c>
      <c r="I841" s="32" t="s">
        <v>462</v>
      </c>
      <c r="J841" s="279">
        <v>3417</v>
      </c>
      <c r="K841" s="280">
        <v>214771.72</v>
      </c>
      <c r="L841" s="280">
        <v>214771.72</v>
      </c>
      <c r="M841" s="280">
        <v>0</v>
      </c>
      <c r="N841" s="281">
        <v>84</v>
      </c>
      <c r="O841" s="282">
        <v>583</v>
      </c>
      <c r="P841" s="280">
        <f t="shared" si="27"/>
        <v>1490618.0090476191</v>
      </c>
    </row>
    <row r="842" spans="1:16" x14ac:dyDescent="0.2">
      <c r="A842" s="32" t="s">
        <v>638</v>
      </c>
      <c r="B842" s="32" t="s">
        <v>635</v>
      </c>
      <c r="C842" s="32" t="s">
        <v>636</v>
      </c>
      <c r="D842" s="277" t="s">
        <v>637</v>
      </c>
      <c r="E842" s="32" t="s">
        <v>494</v>
      </c>
      <c r="F842" s="32" t="s">
        <v>584</v>
      </c>
      <c r="G842" s="32" t="str">
        <f t="shared" si="26"/>
        <v>.75" ST STUB</v>
      </c>
      <c r="H842" s="278" t="s">
        <v>527</v>
      </c>
      <c r="I842" s="32" t="s">
        <v>462</v>
      </c>
      <c r="J842" s="279">
        <v>2922</v>
      </c>
      <c r="K842" s="280">
        <v>185544.46</v>
      </c>
      <c r="L842" s="280">
        <v>185544.46</v>
      </c>
      <c r="M842" s="280">
        <v>0</v>
      </c>
      <c r="N842" s="281">
        <v>90</v>
      </c>
      <c r="O842" s="282">
        <v>583</v>
      </c>
      <c r="P842" s="280">
        <f t="shared" si="27"/>
        <v>1201915.7797777778</v>
      </c>
    </row>
    <row r="843" spans="1:16" x14ac:dyDescent="0.2">
      <c r="A843" s="32" t="s">
        <v>638</v>
      </c>
      <c r="B843" s="32" t="s">
        <v>635</v>
      </c>
      <c r="C843" s="32" t="s">
        <v>636</v>
      </c>
      <c r="D843" s="277" t="s">
        <v>637</v>
      </c>
      <c r="E843" s="32" t="s">
        <v>494</v>
      </c>
      <c r="F843" s="32" t="s">
        <v>584</v>
      </c>
      <c r="G843" s="32" t="str">
        <f t="shared" si="26"/>
        <v>.75" ST STUB</v>
      </c>
      <c r="H843" s="278" t="s">
        <v>528</v>
      </c>
      <c r="I843" s="32" t="s">
        <v>462</v>
      </c>
      <c r="J843" s="279">
        <v>2857</v>
      </c>
      <c r="K843" s="280">
        <v>216075.13</v>
      </c>
      <c r="L843" s="280">
        <v>216075.13</v>
      </c>
      <c r="M843" s="280">
        <v>0</v>
      </c>
      <c r="N843" s="281">
        <v>96</v>
      </c>
      <c r="O843" s="282">
        <v>583</v>
      </c>
      <c r="P843" s="280">
        <f t="shared" si="27"/>
        <v>1312206.2582291667</v>
      </c>
    </row>
    <row r="844" spans="1:16" x14ac:dyDescent="0.2">
      <c r="A844" s="32" t="s">
        <v>638</v>
      </c>
      <c r="B844" s="32" t="s">
        <v>635</v>
      </c>
      <c r="C844" s="32" t="s">
        <v>636</v>
      </c>
      <c r="D844" s="277" t="s">
        <v>637</v>
      </c>
      <c r="E844" s="32" t="s">
        <v>494</v>
      </c>
      <c r="F844" s="32" t="s">
        <v>584</v>
      </c>
      <c r="G844" s="32" t="str">
        <f t="shared" si="26"/>
        <v>.75" ST STUB</v>
      </c>
      <c r="H844" s="278" t="s">
        <v>529</v>
      </c>
      <c r="I844" s="32" t="s">
        <v>462</v>
      </c>
      <c r="J844" s="279">
        <v>3141</v>
      </c>
      <c r="K844" s="280">
        <v>240870.05</v>
      </c>
      <c r="L844" s="280">
        <v>240870.05</v>
      </c>
      <c r="M844" s="280">
        <v>0</v>
      </c>
      <c r="N844" s="281">
        <v>100</v>
      </c>
      <c r="O844" s="282">
        <v>583</v>
      </c>
      <c r="P844" s="280">
        <f t="shared" si="27"/>
        <v>1404272.3914999999</v>
      </c>
    </row>
    <row r="845" spans="1:16" x14ac:dyDescent="0.2">
      <c r="A845" s="32" t="s">
        <v>638</v>
      </c>
      <c r="B845" s="32" t="s">
        <v>635</v>
      </c>
      <c r="C845" s="32" t="s">
        <v>636</v>
      </c>
      <c r="D845" s="277" t="s">
        <v>637</v>
      </c>
      <c r="E845" s="32" t="s">
        <v>494</v>
      </c>
      <c r="F845" s="32" t="s">
        <v>584</v>
      </c>
      <c r="G845" s="32" t="str">
        <f t="shared" si="26"/>
        <v>.75" ST STUB</v>
      </c>
      <c r="H845" s="278" t="s">
        <v>525</v>
      </c>
      <c r="I845" s="32" t="s">
        <v>462</v>
      </c>
      <c r="J845" s="279">
        <v>1825</v>
      </c>
      <c r="K845" s="280">
        <v>129311.77</v>
      </c>
      <c r="L845" s="280">
        <v>129311.77</v>
      </c>
      <c r="M845" s="280">
        <v>0</v>
      </c>
      <c r="N845" s="281">
        <v>113</v>
      </c>
      <c r="O845" s="282">
        <v>583</v>
      </c>
      <c r="P845" s="280">
        <f t="shared" si="27"/>
        <v>667157.18504424777</v>
      </c>
    </row>
    <row r="846" spans="1:16" x14ac:dyDescent="0.2">
      <c r="A846" s="32" t="s">
        <v>638</v>
      </c>
      <c r="B846" s="32" t="s">
        <v>635</v>
      </c>
      <c r="C846" s="32" t="s">
        <v>636</v>
      </c>
      <c r="D846" s="277" t="s">
        <v>637</v>
      </c>
      <c r="E846" s="32" t="s">
        <v>494</v>
      </c>
      <c r="F846" s="32" t="s">
        <v>584</v>
      </c>
      <c r="G846" s="32" t="str">
        <f t="shared" si="26"/>
        <v>.75" ST STUB</v>
      </c>
      <c r="H846" s="278" t="s">
        <v>524</v>
      </c>
      <c r="I846" s="32" t="s">
        <v>462</v>
      </c>
      <c r="J846" s="279">
        <v>434</v>
      </c>
      <c r="K846" s="280">
        <v>48610.99</v>
      </c>
      <c r="L846" s="280">
        <v>48610.99</v>
      </c>
      <c r="M846" s="280">
        <v>0</v>
      </c>
      <c r="N846" s="281">
        <v>133</v>
      </c>
      <c r="O846" s="282">
        <v>583</v>
      </c>
      <c r="P846" s="280">
        <f t="shared" si="27"/>
        <v>213084.26443609025</v>
      </c>
    </row>
    <row r="847" spans="1:16" x14ac:dyDescent="0.2">
      <c r="A847" s="32" t="s">
        <v>638</v>
      </c>
      <c r="B847" s="32" t="s">
        <v>635</v>
      </c>
      <c r="C847" s="32" t="s">
        <v>636</v>
      </c>
      <c r="D847" s="277" t="s">
        <v>637</v>
      </c>
      <c r="E847" s="32" t="s">
        <v>494</v>
      </c>
      <c r="F847" s="32" t="s">
        <v>584</v>
      </c>
      <c r="G847" s="32" t="str">
        <f t="shared" si="26"/>
        <v>.75" ST STUB</v>
      </c>
      <c r="H847" s="278" t="s">
        <v>522</v>
      </c>
      <c r="I847" s="32" t="s">
        <v>462</v>
      </c>
      <c r="J847" s="279">
        <v>312</v>
      </c>
      <c r="K847" s="280">
        <v>45879.7</v>
      </c>
      <c r="L847" s="280">
        <v>45879.7</v>
      </c>
      <c r="M847" s="280">
        <v>0</v>
      </c>
      <c r="N847" s="281">
        <v>143</v>
      </c>
      <c r="O847" s="282">
        <v>583</v>
      </c>
      <c r="P847" s="280">
        <f t="shared" si="27"/>
        <v>187048.00769230767</v>
      </c>
    </row>
    <row r="848" spans="1:16" x14ac:dyDescent="0.2">
      <c r="A848" s="32" t="s">
        <v>638</v>
      </c>
      <c r="B848" s="32" t="s">
        <v>635</v>
      </c>
      <c r="C848" s="32" t="s">
        <v>636</v>
      </c>
      <c r="D848" s="277" t="s">
        <v>637</v>
      </c>
      <c r="E848" s="32" t="s">
        <v>494</v>
      </c>
      <c r="F848" s="32" t="s">
        <v>584</v>
      </c>
      <c r="G848" s="32" t="str">
        <f t="shared" si="26"/>
        <v>.75" ST STUB</v>
      </c>
      <c r="H848" s="278" t="s">
        <v>526</v>
      </c>
      <c r="I848" s="32" t="s">
        <v>462</v>
      </c>
      <c r="J848" s="279">
        <v>503</v>
      </c>
      <c r="K848" s="280">
        <v>98217.62</v>
      </c>
      <c r="L848" s="280">
        <v>98217.62</v>
      </c>
      <c r="M848" s="280">
        <v>0</v>
      </c>
      <c r="N848" s="281">
        <v>153</v>
      </c>
      <c r="O848" s="282">
        <v>583</v>
      </c>
      <c r="P848" s="280">
        <f t="shared" si="27"/>
        <v>374254.06836601306</v>
      </c>
    </row>
    <row r="849" spans="1:16" x14ac:dyDescent="0.2">
      <c r="A849" s="32" t="s">
        <v>638</v>
      </c>
      <c r="B849" s="32" t="s">
        <v>635</v>
      </c>
      <c r="C849" s="32" t="s">
        <v>636</v>
      </c>
      <c r="D849" s="277" t="s">
        <v>637</v>
      </c>
      <c r="E849" s="32" t="s">
        <v>494</v>
      </c>
      <c r="F849" s="32" t="s">
        <v>584</v>
      </c>
      <c r="G849" s="32" t="str">
        <f t="shared" si="26"/>
        <v>.75" ST STUB</v>
      </c>
      <c r="H849" s="278" t="s">
        <v>468</v>
      </c>
      <c r="I849" s="32" t="s">
        <v>462</v>
      </c>
      <c r="J849" s="279">
        <v>0</v>
      </c>
      <c r="K849" s="280">
        <v>0.41</v>
      </c>
      <c r="L849" s="280">
        <v>0.41</v>
      </c>
      <c r="M849" s="280">
        <v>0</v>
      </c>
      <c r="N849" s="281">
        <v>561</v>
      </c>
      <c r="O849" s="282">
        <v>583</v>
      </c>
      <c r="P849" s="280">
        <f t="shared" si="27"/>
        <v>0.42607843137254903</v>
      </c>
    </row>
    <row r="850" spans="1:16" x14ac:dyDescent="0.2">
      <c r="A850" s="32" t="s">
        <v>638</v>
      </c>
      <c r="B850" s="32" t="s">
        <v>635</v>
      </c>
      <c r="C850" s="32" t="s">
        <v>636</v>
      </c>
      <c r="D850" s="277" t="s">
        <v>637</v>
      </c>
      <c r="E850" s="32" t="s">
        <v>494</v>
      </c>
      <c r="F850" s="32" t="s">
        <v>584</v>
      </c>
      <c r="G850" s="32" t="str">
        <f t="shared" si="26"/>
        <v>.75" ST STUB</v>
      </c>
      <c r="H850" s="278" t="s">
        <v>469</v>
      </c>
      <c r="I850" s="32" t="s">
        <v>462</v>
      </c>
      <c r="J850" s="279">
        <v>1</v>
      </c>
      <c r="K850" s="280">
        <v>14473.74</v>
      </c>
      <c r="L850" s="280">
        <v>4446.45</v>
      </c>
      <c r="M850" s="280">
        <v>10027.290000000001</v>
      </c>
      <c r="N850" s="281">
        <v>583</v>
      </c>
      <c r="O850" s="282">
        <v>583</v>
      </c>
      <c r="P850" s="280">
        <f t="shared" si="27"/>
        <v>14473.74</v>
      </c>
    </row>
    <row r="851" spans="1:16" x14ac:dyDescent="0.2">
      <c r="A851" s="32" t="s">
        <v>638</v>
      </c>
      <c r="B851" s="32" t="s">
        <v>635</v>
      </c>
      <c r="C851" s="32" t="s">
        <v>636</v>
      </c>
      <c r="D851" s="277" t="s">
        <v>637</v>
      </c>
      <c r="E851" s="32" t="s">
        <v>494</v>
      </c>
      <c r="F851" s="32" t="s">
        <v>584</v>
      </c>
      <c r="G851" s="32" t="str">
        <f t="shared" si="26"/>
        <v>.75" ST STUB</v>
      </c>
      <c r="H851" s="278" t="s">
        <v>469</v>
      </c>
      <c r="I851" s="32" t="s">
        <v>462</v>
      </c>
      <c r="J851" s="279">
        <v>1</v>
      </c>
      <c r="K851" s="280">
        <v>25381.38</v>
      </c>
      <c r="L851" s="280">
        <v>7797.37</v>
      </c>
      <c r="M851" s="280">
        <v>17584.009999999998</v>
      </c>
      <c r="N851" s="281">
        <v>583</v>
      </c>
      <c r="O851" s="282">
        <v>583</v>
      </c>
      <c r="P851" s="280">
        <f t="shared" si="27"/>
        <v>25381.38</v>
      </c>
    </row>
    <row r="852" spans="1:16" x14ac:dyDescent="0.2">
      <c r="A852" s="32" t="s">
        <v>639</v>
      </c>
      <c r="B852" s="32" t="s">
        <v>640</v>
      </c>
      <c r="C852" s="32" t="s">
        <v>641</v>
      </c>
      <c r="D852" s="32" t="s">
        <v>642</v>
      </c>
      <c r="E852" s="32" t="s">
        <v>494</v>
      </c>
      <c r="F852" s="32" t="s">
        <v>581</v>
      </c>
      <c r="G852" s="32" t="str">
        <f t="shared" si="26"/>
        <v>.75-1" ST EXTN</v>
      </c>
      <c r="H852" s="278" t="s">
        <v>499</v>
      </c>
      <c r="I852" s="32" t="s">
        <v>462</v>
      </c>
      <c r="J852" s="279">
        <v>5328</v>
      </c>
      <c r="K852" s="280">
        <v>81466.12</v>
      </c>
      <c r="L852" s="280">
        <v>103109.39</v>
      </c>
      <c r="M852" s="280">
        <v>-21643.27</v>
      </c>
      <c r="N852" s="281">
        <v>37</v>
      </c>
      <c r="O852" s="282">
        <v>583</v>
      </c>
      <c r="P852" s="280">
        <f t="shared" si="27"/>
        <v>1283641.8367567565</v>
      </c>
    </row>
    <row r="853" spans="1:16" x14ac:dyDescent="0.2">
      <c r="A853" s="32" t="s">
        <v>639</v>
      </c>
      <c r="B853" s="32" t="s">
        <v>640</v>
      </c>
      <c r="C853" s="32" t="s">
        <v>641</v>
      </c>
      <c r="D853" s="32" t="s">
        <v>642</v>
      </c>
      <c r="E853" s="32" t="s">
        <v>494</v>
      </c>
      <c r="F853" s="32" t="s">
        <v>581</v>
      </c>
      <c r="G853" s="32" t="str">
        <f t="shared" si="26"/>
        <v>.75-1" ST EXTN</v>
      </c>
      <c r="H853" s="278" t="s">
        <v>643</v>
      </c>
      <c r="I853" s="32" t="s">
        <v>462</v>
      </c>
      <c r="J853" s="279">
        <v>200</v>
      </c>
      <c r="K853" s="280">
        <v>14910.1</v>
      </c>
      <c r="L853" s="280">
        <v>18733.52</v>
      </c>
      <c r="M853" s="280">
        <v>-3823.42</v>
      </c>
      <c r="N853" s="281">
        <v>41</v>
      </c>
      <c r="O853" s="282">
        <v>583</v>
      </c>
      <c r="P853" s="280">
        <f t="shared" si="27"/>
        <v>212014.34878048781</v>
      </c>
    </row>
    <row r="854" spans="1:16" x14ac:dyDescent="0.2">
      <c r="A854" s="32" t="s">
        <v>639</v>
      </c>
      <c r="B854" s="32" t="s">
        <v>640</v>
      </c>
      <c r="C854" s="32" t="s">
        <v>641</v>
      </c>
      <c r="D854" s="32" t="s">
        <v>642</v>
      </c>
      <c r="E854" s="32" t="s">
        <v>494</v>
      </c>
      <c r="F854" s="32" t="s">
        <v>581</v>
      </c>
      <c r="G854" s="32" t="str">
        <f t="shared" si="26"/>
        <v>.75-1" ST EXTN</v>
      </c>
      <c r="H854" s="278" t="s">
        <v>547</v>
      </c>
      <c r="I854" s="32" t="s">
        <v>462</v>
      </c>
      <c r="J854" s="279">
        <v>1830</v>
      </c>
      <c r="K854" s="280">
        <v>110662.58</v>
      </c>
      <c r="L854" s="280">
        <v>138528.62</v>
      </c>
      <c r="M854" s="280">
        <v>-27866.04</v>
      </c>
      <c r="N854" s="281">
        <v>45</v>
      </c>
      <c r="O854" s="282">
        <v>583</v>
      </c>
      <c r="P854" s="280">
        <f t="shared" si="27"/>
        <v>1433695.2031111112</v>
      </c>
    </row>
    <row r="855" spans="1:16" x14ac:dyDescent="0.2">
      <c r="A855" s="32" t="s">
        <v>639</v>
      </c>
      <c r="B855" s="32" t="s">
        <v>640</v>
      </c>
      <c r="C855" s="32" t="s">
        <v>641</v>
      </c>
      <c r="D855" s="32" t="s">
        <v>642</v>
      </c>
      <c r="E855" s="32" t="s">
        <v>494</v>
      </c>
      <c r="F855" s="32" t="s">
        <v>581</v>
      </c>
      <c r="G855" s="32" t="str">
        <f t="shared" si="26"/>
        <v>.75-1" ST EXTN</v>
      </c>
      <c r="H855" s="278" t="s">
        <v>495</v>
      </c>
      <c r="I855" s="32" t="s">
        <v>462</v>
      </c>
      <c r="J855" s="279">
        <v>1927</v>
      </c>
      <c r="K855" s="280">
        <v>220577.48</v>
      </c>
      <c r="L855" s="280">
        <v>275102.14</v>
      </c>
      <c r="M855" s="280">
        <v>-54524.66</v>
      </c>
      <c r="N855" s="281">
        <v>48</v>
      </c>
      <c r="O855" s="282">
        <v>583</v>
      </c>
      <c r="P855" s="280">
        <f t="shared" si="27"/>
        <v>2679097.3091666671</v>
      </c>
    </row>
    <row r="856" spans="1:16" x14ac:dyDescent="0.2">
      <c r="A856" s="32" t="s">
        <v>639</v>
      </c>
      <c r="B856" s="32" t="s">
        <v>640</v>
      </c>
      <c r="C856" s="32" t="s">
        <v>641</v>
      </c>
      <c r="D856" s="32" t="s">
        <v>642</v>
      </c>
      <c r="E856" s="32" t="s">
        <v>494</v>
      </c>
      <c r="F856" s="32" t="s">
        <v>581</v>
      </c>
      <c r="G856" s="32" t="str">
        <f t="shared" si="26"/>
        <v>.75-1" ST EXTN</v>
      </c>
      <c r="H856" s="278" t="s">
        <v>496</v>
      </c>
      <c r="I856" s="32" t="s">
        <v>462</v>
      </c>
      <c r="J856" s="279">
        <v>2266</v>
      </c>
      <c r="K856" s="280">
        <v>228270.27</v>
      </c>
      <c r="L856" s="280">
        <v>283641.82</v>
      </c>
      <c r="M856" s="280">
        <v>-55371.55</v>
      </c>
      <c r="N856" s="281">
        <v>51</v>
      </c>
      <c r="O856" s="282">
        <v>583</v>
      </c>
      <c r="P856" s="280">
        <f t="shared" si="27"/>
        <v>2609442.4982352941</v>
      </c>
    </row>
    <row r="857" spans="1:16" x14ac:dyDescent="0.2">
      <c r="A857" s="32" t="s">
        <v>639</v>
      </c>
      <c r="B857" s="32" t="s">
        <v>640</v>
      </c>
      <c r="C857" s="32" t="s">
        <v>641</v>
      </c>
      <c r="D857" s="32" t="s">
        <v>642</v>
      </c>
      <c r="E857" s="32" t="s">
        <v>494</v>
      </c>
      <c r="F857" s="32" t="s">
        <v>581</v>
      </c>
      <c r="G857" s="32" t="str">
        <f t="shared" si="26"/>
        <v>.75-1" ST EXTN</v>
      </c>
      <c r="H857" s="278" t="s">
        <v>506</v>
      </c>
      <c r="I857" s="32" t="s">
        <v>462</v>
      </c>
      <c r="J857" s="279">
        <v>3995</v>
      </c>
      <c r="K857" s="280">
        <v>354452.84</v>
      </c>
      <c r="L857" s="280">
        <v>438794.8</v>
      </c>
      <c r="M857" s="280">
        <v>-84341.96</v>
      </c>
      <c r="N857" s="281">
        <v>53</v>
      </c>
      <c r="O857" s="282">
        <v>583</v>
      </c>
      <c r="P857" s="280">
        <f t="shared" si="27"/>
        <v>3898981.24</v>
      </c>
    </row>
    <row r="858" spans="1:16" x14ac:dyDescent="0.2">
      <c r="A858" s="32" t="s">
        <v>639</v>
      </c>
      <c r="B858" s="32" t="s">
        <v>640</v>
      </c>
      <c r="C858" s="32" t="s">
        <v>641</v>
      </c>
      <c r="D858" s="32" t="s">
        <v>642</v>
      </c>
      <c r="E858" s="32" t="s">
        <v>494</v>
      </c>
      <c r="F858" s="32" t="s">
        <v>581</v>
      </c>
      <c r="G858" s="32" t="str">
        <f t="shared" si="26"/>
        <v>.75-1" ST EXTN</v>
      </c>
      <c r="H858" s="278" t="s">
        <v>507</v>
      </c>
      <c r="I858" s="32" t="s">
        <v>462</v>
      </c>
      <c r="J858" s="279">
        <v>3985</v>
      </c>
      <c r="K858" s="280">
        <v>377098.67</v>
      </c>
      <c r="L858" s="280">
        <v>465086.86</v>
      </c>
      <c r="M858" s="280">
        <v>-87988.19</v>
      </c>
      <c r="N858" s="281">
        <v>57</v>
      </c>
      <c r="O858" s="282">
        <v>583</v>
      </c>
      <c r="P858" s="280">
        <f t="shared" si="27"/>
        <v>3856991.6598245609</v>
      </c>
    </row>
    <row r="859" spans="1:16" x14ac:dyDescent="0.2">
      <c r="A859" s="32" t="s">
        <v>639</v>
      </c>
      <c r="B859" s="32" t="s">
        <v>640</v>
      </c>
      <c r="C859" s="32" t="s">
        <v>641</v>
      </c>
      <c r="D859" s="32" t="s">
        <v>642</v>
      </c>
      <c r="E859" s="32" t="s">
        <v>494</v>
      </c>
      <c r="F859" s="32" t="s">
        <v>581</v>
      </c>
      <c r="G859" s="32" t="str">
        <f t="shared" si="26"/>
        <v>.75-1" ST EXTN</v>
      </c>
      <c r="H859" s="278" t="s">
        <v>508</v>
      </c>
      <c r="I859" s="32" t="s">
        <v>462</v>
      </c>
      <c r="J859" s="279">
        <v>7203</v>
      </c>
      <c r="K859" s="280">
        <v>672552.51</v>
      </c>
      <c r="L859" s="280">
        <v>826371.31</v>
      </c>
      <c r="M859" s="280">
        <v>-153818.79999999999</v>
      </c>
      <c r="N859" s="281">
        <v>59</v>
      </c>
      <c r="O859" s="282">
        <v>583</v>
      </c>
      <c r="P859" s="280">
        <f t="shared" si="27"/>
        <v>6645730.7344067795</v>
      </c>
    </row>
    <row r="860" spans="1:16" x14ac:dyDescent="0.2">
      <c r="A860" s="32" t="s">
        <v>639</v>
      </c>
      <c r="B860" s="32" t="s">
        <v>640</v>
      </c>
      <c r="C860" s="32" t="s">
        <v>641</v>
      </c>
      <c r="D860" s="32" t="s">
        <v>642</v>
      </c>
      <c r="E860" s="32" t="s">
        <v>494</v>
      </c>
      <c r="F860" s="32" t="s">
        <v>581</v>
      </c>
      <c r="G860" s="32" t="str">
        <f t="shared" si="26"/>
        <v>.75-1" ST EXTN</v>
      </c>
      <c r="H860" s="278" t="s">
        <v>510</v>
      </c>
      <c r="I860" s="32" t="s">
        <v>462</v>
      </c>
      <c r="J860" s="279">
        <v>8963</v>
      </c>
      <c r="K860" s="280">
        <v>863667.33</v>
      </c>
      <c r="L860" s="280">
        <v>1057205.33</v>
      </c>
      <c r="M860" s="280">
        <v>-193538</v>
      </c>
      <c r="N860" s="281">
        <v>60</v>
      </c>
      <c r="O860" s="282">
        <v>583</v>
      </c>
      <c r="P860" s="280">
        <f t="shared" si="27"/>
        <v>8391967.556499999</v>
      </c>
    </row>
    <row r="861" spans="1:16" x14ac:dyDescent="0.2">
      <c r="A861" s="32" t="s">
        <v>639</v>
      </c>
      <c r="B861" s="32" t="s">
        <v>640</v>
      </c>
      <c r="C861" s="32" t="s">
        <v>641</v>
      </c>
      <c r="D861" s="32" t="s">
        <v>642</v>
      </c>
      <c r="E861" s="32" t="s">
        <v>494</v>
      </c>
      <c r="F861" s="32" t="s">
        <v>581</v>
      </c>
      <c r="G861" s="32" t="str">
        <f t="shared" si="26"/>
        <v>.75-1" ST EXTN</v>
      </c>
      <c r="H861" s="278" t="s">
        <v>511</v>
      </c>
      <c r="I861" s="32" t="s">
        <v>462</v>
      </c>
      <c r="J861" s="279">
        <v>8728</v>
      </c>
      <c r="K861" s="280">
        <v>948426.14</v>
      </c>
      <c r="L861" s="280">
        <v>1156575.53</v>
      </c>
      <c r="M861" s="280">
        <v>-208149.39</v>
      </c>
      <c r="N861" s="281">
        <v>61</v>
      </c>
      <c r="O861" s="282">
        <v>583</v>
      </c>
      <c r="P861" s="280">
        <f t="shared" si="27"/>
        <v>9064466.2232786883</v>
      </c>
    </row>
    <row r="862" spans="1:16" x14ac:dyDescent="0.2">
      <c r="A862" s="32" t="s">
        <v>639</v>
      </c>
      <c r="B862" s="32" t="s">
        <v>640</v>
      </c>
      <c r="C862" s="32" t="s">
        <v>641</v>
      </c>
      <c r="D862" s="32" t="s">
        <v>642</v>
      </c>
      <c r="E862" s="32" t="s">
        <v>494</v>
      </c>
      <c r="F862" s="32" t="s">
        <v>581</v>
      </c>
      <c r="G862" s="32" t="str">
        <f t="shared" si="26"/>
        <v>.75-1" ST EXTN</v>
      </c>
      <c r="H862" s="278" t="s">
        <v>509</v>
      </c>
      <c r="I862" s="32" t="s">
        <v>462</v>
      </c>
      <c r="J862" s="279">
        <v>7010</v>
      </c>
      <c r="K862" s="280">
        <v>825082.63</v>
      </c>
      <c r="L862" s="280">
        <v>1002349.84</v>
      </c>
      <c r="M862" s="280">
        <v>-177267.21</v>
      </c>
      <c r="N862" s="281">
        <v>63</v>
      </c>
      <c r="O862" s="282">
        <v>583</v>
      </c>
      <c r="P862" s="280">
        <f t="shared" si="27"/>
        <v>7635288.4649206353</v>
      </c>
    </row>
    <row r="863" spans="1:16" x14ac:dyDescent="0.2">
      <c r="A863" s="32" t="s">
        <v>639</v>
      </c>
      <c r="B863" s="32" t="s">
        <v>640</v>
      </c>
      <c r="C863" s="32" t="s">
        <v>641</v>
      </c>
      <c r="D863" s="32" t="s">
        <v>642</v>
      </c>
      <c r="E863" s="32" t="s">
        <v>494</v>
      </c>
      <c r="F863" s="32" t="s">
        <v>581</v>
      </c>
      <c r="G863" s="32" t="str">
        <f t="shared" si="26"/>
        <v>.75-1" ST EXTN</v>
      </c>
      <c r="H863" s="278" t="s">
        <v>468</v>
      </c>
      <c r="I863" s="32" t="s">
        <v>462</v>
      </c>
      <c r="J863" s="279">
        <v>1</v>
      </c>
      <c r="K863" s="280">
        <v>245.11</v>
      </c>
      <c r="L863" s="280">
        <v>246.81</v>
      </c>
      <c r="M863" s="280">
        <v>-1.7</v>
      </c>
      <c r="N863" s="281">
        <v>561</v>
      </c>
      <c r="O863" s="282">
        <v>583</v>
      </c>
      <c r="P863" s="280">
        <f t="shared" si="27"/>
        <v>254.72215686274512</v>
      </c>
    </row>
    <row r="864" spans="1:16" x14ac:dyDescent="0.2">
      <c r="A864" s="32" t="s">
        <v>644</v>
      </c>
      <c r="B864" s="32" t="s">
        <v>640</v>
      </c>
      <c r="C864" s="32" t="s">
        <v>641</v>
      </c>
      <c r="D864" s="32" t="s">
        <v>642</v>
      </c>
      <c r="E864" s="32" t="s">
        <v>494</v>
      </c>
      <c r="F864" s="32" t="s">
        <v>584</v>
      </c>
      <c r="G864" s="32" t="str">
        <f t="shared" si="26"/>
        <v>.75-1" ST STUB</v>
      </c>
      <c r="H864" s="278" t="s">
        <v>499</v>
      </c>
      <c r="I864" s="32" t="s">
        <v>462</v>
      </c>
      <c r="J864" s="279">
        <v>10403</v>
      </c>
      <c r="K864" s="280">
        <v>76056.55</v>
      </c>
      <c r="L864" s="280">
        <v>96262.65</v>
      </c>
      <c r="M864" s="280">
        <v>-20206.099999999999</v>
      </c>
      <c r="N864" s="281">
        <v>37</v>
      </c>
      <c r="O864" s="282">
        <v>583</v>
      </c>
      <c r="P864" s="280">
        <f t="shared" si="27"/>
        <v>1198404.5581081081</v>
      </c>
    </row>
    <row r="865" spans="1:16" x14ac:dyDescent="0.2">
      <c r="A865" s="32" t="s">
        <v>644</v>
      </c>
      <c r="B865" s="32" t="s">
        <v>640</v>
      </c>
      <c r="C865" s="32" t="s">
        <v>641</v>
      </c>
      <c r="D865" s="32" t="s">
        <v>642</v>
      </c>
      <c r="E865" s="32" t="s">
        <v>494</v>
      </c>
      <c r="F865" s="32" t="s">
        <v>584</v>
      </c>
      <c r="G865" s="32" t="str">
        <f t="shared" si="26"/>
        <v>.75-1" ST STUB</v>
      </c>
      <c r="H865" s="278" t="s">
        <v>643</v>
      </c>
      <c r="I865" s="32" t="s">
        <v>462</v>
      </c>
      <c r="J865" s="279">
        <v>200</v>
      </c>
      <c r="K865" s="280">
        <v>5514.71</v>
      </c>
      <c r="L865" s="280">
        <v>6928.85</v>
      </c>
      <c r="M865" s="280">
        <v>-1414.14</v>
      </c>
      <c r="N865" s="281">
        <v>41</v>
      </c>
      <c r="O865" s="282">
        <v>583</v>
      </c>
      <c r="P865" s="280">
        <f t="shared" si="27"/>
        <v>78416.486097560977</v>
      </c>
    </row>
    <row r="866" spans="1:16" x14ac:dyDescent="0.2">
      <c r="A866" s="32" t="s">
        <v>644</v>
      </c>
      <c r="B866" s="32" t="s">
        <v>640</v>
      </c>
      <c r="C866" s="32" t="s">
        <v>641</v>
      </c>
      <c r="D866" s="32" t="s">
        <v>642</v>
      </c>
      <c r="E866" s="32" t="s">
        <v>494</v>
      </c>
      <c r="F866" s="32" t="s">
        <v>584</v>
      </c>
      <c r="G866" s="32" t="str">
        <f t="shared" si="26"/>
        <v>.75-1" ST STUB</v>
      </c>
      <c r="H866" s="278" t="s">
        <v>547</v>
      </c>
      <c r="I866" s="32" t="s">
        <v>462</v>
      </c>
      <c r="J866" s="279">
        <v>1817</v>
      </c>
      <c r="K866" s="280">
        <v>40638.71</v>
      </c>
      <c r="L866" s="280">
        <v>50871.98</v>
      </c>
      <c r="M866" s="280">
        <v>-10233.27</v>
      </c>
      <c r="N866" s="281">
        <v>45</v>
      </c>
      <c r="O866" s="282">
        <v>583</v>
      </c>
      <c r="P866" s="280">
        <f t="shared" si="27"/>
        <v>526497.06511111115</v>
      </c>
    </row>
    <row r="867" spans="1:16" x14ac:dyDescent="0.2">
      <c r="A867" s="32" t="s">
        <v>644</v>
      </c>
      <c r="B867" s="32" t="s">
        <v>640</v>
      </c>
      <c r="C867" s="32" t="s">
        <v>641</v>
      </c>
      <c r="D867" s="32" t="s">
        <v>642</v>
      </c>
      <c r="E867" s="32" t="s">
        <v>494</v>
      </c>
      <c r="F867" s="32" t="s">
        <v>584</v>
      </c>
      <c r="G867" s="32" t="str">
        <f t="shared" si="26"/>
        <v>.75-1" ST STUB</v>
      </c>
      <c r="H867" s="278" t="s">
        <v>495</v>
      </c>
      <c r="I867" s="32" t="s">
        <v>462</v>
      </c>
      <c r="J867" s="279">
        <v>1927</v>
      </c>
      <c r="K867" s="280">
        <v>81583.199999999997</v>
      </c>
      <c r="L867" s="280">
        <v>101749.79</v>
      </c>
      <c r="M867" s="280">
        <v>-20166.59</v>
      </c>
      <c r="N867" s="281">
        <v>48</v>
      </c>
      <c r="O867" s="282">
        <v>583</v>
      </c>
      <c r="P867" s="280">
        <f t="shared" si="27"/>
        <v>990895.95000000007</v>
      </c>
    </row>
    <row r="868" spans="1:16" x14ac:dyDescent="0.2">
      <c r="A868" s="32" t="s">
        <v>644</v>
      </c>
      <c r="B868" s="32" t="s">
        <v>640</v>
      </c>
      <c r="C868" s="32" t="s">
        <v>641</v>
      </c>
      <c r="D868" s="32" t="s">
        <v>642</v>
      </c>
      <c r="E868" s="32" t="s">
        <v>494</v>
      </c>
      <c r="F868" s="32" t="s">
        <v>584</v>
      </c>
      <c r="G868" s="32" t="str">
        <f t="shared" si="26"/>
        <v>.75-1" ST STUB</v>
      </c>
      <c r="H868" s="278" t="s">
        <v>496</v>
      </c>
      <c r="I868" s="32" t="s">
        <v>462</v>
      </c>
      <c r="J868" s="279">
        <v>2272</v>
      </c>
      <c r="K868" s="280">
        <v>84652.28</v>
      </c>
      <c r="L868" s="280">
        <v>105186.39</v>
      </c>
      <c r="M868" s="280">
        <v>-20534.11</v>
      </c>
      <c r="N868" s="281">
        <v>51</v>
      </c>
      <c r="O868" s="282">
        <v>583</v>
      </c>
      <c r="P868" s="280">
        <f t="shared" si="27"/>
        <v>967691.74980392156</v>
      </c>
    </row>
    <row r="869" spans="1:16" x14ac:dyDescent="0.2">
      <c r="A869" s="32" t="s">
        <v>644</v>
      </c>
      <c r="B869" s="32" t="s">
        <v>640</v>
      </c>
      <c r="C869" s="32" t="s">
        <v>641</v>
      </c>
      <c r="D869" s="32" t="s">
        <v>642</v>
      </c>
      <c r="E869" s="32" t="s">
        <v>494</v>
      </c>
      <c r="F869" s="32" t="s">
        <v>584</v>
      </c>
      <c r="G869" s="32" t="str">
        <f t="shared" si="26"/>
        <v>.75-1" ST STUB</v>
      </c>
      <c r="H869" s="278" t="s">
        <v>506</v>
      </c>
      <c r="I869" s="32" t="s">
        <v>462</v>
      </c>
      <c r="J869" s="279">
        <v>4001</v>
      </c>
      <c r="K869" s="280">
        <v>131295.20000000001</v>
      </c>
      <c r="L869" s="280">
        <v>162536.85999999999</v>
      </c>
      <c r="M869" s="280">
        <v>-31241.66</v>
      </c>
      <c r="N869" s="281">
        <v>53</v>
      </c>
      <c r="O869" s="282">
        <v>583</v>
      </c>
      <c r="P869" s="280">
        <f t="shared" si="27"/>
        <v>1444247.2000000002</v>
      </c>
    </row>
    <row r="870" spans="1:16" x14ac:dyDescent="0.2">
      <c r="A870" s="32" t="s">
        <v>644</v>
      </c>
      <c r="B870" s="32" t="s">
        <v>640</v>
      </c>
      <c r="C870" s="32" t="s">
        <v>641</v>
      </c>
      <c r="D870" s="32" t="s">
        <v>642</v>
      </c>
      <c r="E870" s="32" t="s">
        <v>494</v>
      </c>
      <c r="F870" s="32" t="s">
        <v>584</v>
      </c>
      <c r="G870" s="32" t="str">
        <f t="shared" si="26"/>
        <v>.75-1" ST STUB</v>
      </c>
      <c r="H870" s="278" t="s">
        <v>507</v>
      </c>
      <c r="I870" s="32" t="s">
        <v>462</v>
      </c>
      <c r="J870" s="279">
        <v>4092</v>
      </c>
      <c r="K870" s="280">
        <v>143219.87</v>
      </c>
      <c r="L870" s="280">
        <v>176637.27</v>
      </c>
      <c r="M870" s="280">
        <v>-33417.4</v>
      </c>
      <c r="N870" s="281">
        <v>57</v>
      </c>
      <c r="O870" s="282">
        <v>583</v>
      </c>
      <c r="P870" s="280">
        <f t="shared" si="27"/>
        <v>1464862.8808771928</v>
      </c>
    </row>
    <row r="871" spans="1:16" x14ac:dyDescent="0.2">
      <c r="A871" s="32" t="s">
        <v>644</v>
      </c>
      <c r="B871" s="32" t="s">
        <v>640</v>
      </c>
      <c r="C871" s="32" t="s">
        <v>641</v>
      </c>
      <c r="D871" s="32" t="s">
        <v>642</v>
      </c>
      <c r="E871" s="32" t="s">
        <v>494</v>
      </c>
      <c r="F871" s="32" t="s">
        <v>584</v>
      </c>
      <c r="G871" s="32" t="str">
        <f t="shared" si="26"/>
        <v>.75-1" ST STUB</v>
      </c>
      <c r="H871" s="278" t="s">
        <v>508</v>
      </c>
      <c r="I871" s="32" t="s">
        <v>462</v>
      </c>
      <c r="J871" s="279">
        <v>7217</v>
      </c>
      <c r="K871" s="280">
        <v>249236.15</v>
      </c>
      <c r="L871" s="280">
        <v>306238.7</v>
      </c>
      <c r="M871" s="280">
        <v>-57002.55</v>
      </c>
      <c r="N871" s="281">
        <v>59</v>
      </c>
      <c r="O871" s="282">
        <v>583</v>
      </c>
      <c r="P871" s="280">
        <f t="shared" si="27"/>
        <v>2462791.1093220338</v>
      </c>
    </row>
    <row r="872" spans="1:16" x14ac:dyDescent="0.2">
      <c r="A872" s="32" t="s">
        <v>644</v>
      </c>
      <c r="B872" s="32" t="s">
        <v>640</v>
      </c>
      <c r="C872" s="32" t="s">
        <v>641</v>
      </c>
      <c r="D872" s="32" t="s">
        <v>642</v>
      </c>
      <c r="E872" s="32" t="s">
        <v>494</v>
      </c>
      <c r="F872" s="32" t="s">
        <v>584</v>
      </c>
      <c r="G872" s="32" t="str">
        <f t="shared" si="26"/>
        <v>.75-1" ST STUB</v>
      </c>
      <c r="H872" s="278" t="s">
        <v>510</v>
      </c>
      <c r="I872" s="32" t="s">
        <v>462</v>
      </c>
      <c r="J872" s="279">
        <v>9046</v>
      </c>
      <c r="K872" s="280">
        <v>322396.7</v>
      </c>
      <c r="L872" s="280">
        <v>394642.13</v>
      </c>
      <c r="M872" s="280">
        <v>-72245.429999999993</v>
      </c>
      <c r="N872" s="281">
        <v>60</v>
      </c>
      <c r="O872" s="282">
        <v>583</v>
      </c>
      <c r="P872" s="280">
        <f t="shared" si="27"/>
        <v>3132621.2683333335</v>
      </c>
    </row>
    <row r="873" spans="1:16" x14ac:dyDescent="0.2">
      <c r="A873" s="32" t="s">
        <v>644</v>
      </c>
      <c r="B873" s="32" t="s">
        <v>640</v>
      </c>
      <c r="C873" s="32" t="s">
        <v>641</v>
      </c>
      <c r="D873" s="32" t="s">
        <v>642</v>
      </c>
      <c r="E873" s="32" t="s">
        <v>494</v>
      </c>
      <c r="F873" s="32" t="s">
        <v>584</v>
      </c>
      <c r="G873" s="32" t="str">
        <f t="shared" si="26"/>
        <v>.75-1" ST STUB</v>
      </c>
      <c r="H873" s="278" t="s">
        <v>511</v>
      </c>
      <c r="I873" s="32" t="s">
        <v>462</v>
      </c>
      <c r="J873" s="279">
        <v>8735</v>
      </c>
      <c r="K873" s="280">
        <v>353451.07</v>
      </c>
      <c r="L873" s="280">
        <v>431022.34</v>
      </c>
      <c r="M873" s="280">
        <v>-77571.27</v>
      </c>
      <c r="N873" s="281">
        <v>61</v>
      </c>
      <c r="O873" s="282">
        <v>583</v>
      </c>
      <c r="P873" s="280">
        <f t="shared" si="27"/>
        <v>3378065.1444262294</v>
      </c>
    </row>
    <row r="874" spans="1:16" x14ac:dyDescent="0.2">
      <c r="A874" s="32" t="s">
        <v>644</v>
      </c>
      <c r="B874" s="32" t="s">
        <v>640</v>
      </c>
      <c r="C874" s="32" t="s">
        <v>641</v>
      </c>
      <c r="D874" s="32" t="s">
        <v>642</v>
      </c>
      <c r="E874" s="32" t="s">
        <v>494</v>
      </c>
      <c r="F874" s="32" t="s">
        <v>584</v>
      </c>
      <c r="G874" s="32" t="str">
        <f t="shared" si="26"/>
        <v>.75-1" ST STUB</v>
      </c>
      <c r="H874" s="278" t="s">
        <v>509</v>
      </c>
      <c r="I874" s="32" t="s">
        <v>462</v>
      </c>
      <c r="J874" s="279">
        <v>7158</v>
      </c>
      <c r="K874" s="280">
        <v>310656.32</v>
      </c>
      <c r="L874" s="280">
        <v>377400.16</v>
      </c>
      <c r="M874" s="280">
        <v>-66743.839999999997</v>
      </c>
      <c r="N874" s="281">
        <v>63</v>
      </c>
      <c r="O874" s="282">
        <v>583</v>
      </c>
      <c r="P874" s="280">
        <f t="shared" si="27"/>
        <v>2874803.7231746037</v>
      </c>
    </row>
    <row r="875" spans="1:16" x14ac:dyDescent="0.2">
      <c r="A875" s="32" t="s">
        <v>645</v>
      </c>
      <c r="B875" s="32" t="s">
        <v>635</v>
      </c>
      <c r="C875" s="32" t="s">
        <v>636</v>
      </c>
      <c r="D875" s="32" t="s">
        <v>646</v>
      </c>
      <c r="E875" s="32" t="s">
        <v>494</v>
      </c>
      <c r="F875" s="32" t="s">
        <v>581</v>
      </c>
      <c r="G875" s="32" t="str">
        <f t="shared" si="26"/>
        <v>1" ST EXTN</v>
      </c>
      <c r="H875" s="278" t="s">
        <v>530</v>
      </c>
      <c r="I875" s="32" t="s">
        <v>462</v>
      </c>
      <c r="J875" s="279">
        <v>4110</v>
      </c>
      <c r="K875" s="280">
        <v>480458.89</v>
      </c>
      <c r="L875" s="280">
        <v>480458.89</v>
      </c>
      <c r="M875" s="280">
        <v>0</v>
      </c>
      <c r="N875" s="281">
        <v>65</v>
      </c>
      <c r="O875" s="282">
        <v>583</v>
      </c>
      <c r="P875" s="280">
        <f t="shared" si="27"/>
        <v>4309346.6595384618</v>
      </c>
    </row>
    <row r="876" spans="1:16" x14ac:dyDescent="0.2">
      <c r="A876" s="32" t="s">
        <v>645</v>
      </c>
      <c r="B876" s="32" t="s">
        <v>635</v>
      </c>
      <c r="C876" s="32" t="s">
        <v>636</v>
      </c>
      <c r="D876" s="32" t="s">
        <v>646</v>
      </c>
      <c r="E876" s="32" t="s">
        <v>494</v>
      </c>
      <c r="F876" s="32" t="s">
        <v>581</v>
      </c>
      <c r="G876" s="32" t="str">
        <f t="shared" si="26"/>
        <v>1" ST EXTN</v>
      </c>
      <c r="H876" s="278" t="s">
        <v>534</v>
      </c>
      <c r="I876" s="32" t="s">
        <v>462</v>
      </c>
      <c r="J876" s="279">
        <v>4997</v>
      </c>
      <c r="K876" s="280">
        <v>637841.4</v>
      </c>
      <c r="L876" s="280">
        <v>637841.4</v>
      </c>
      <c r="M876" s="280">
        <v>0</v>
      </c>
      <c r="N876" s="281">
        <v>68</v>
      </c>
      <c r="O876" s="282">
        <v>583</v>
      </c>
      <c r="P876" s="280">
        <f t="shared" si="27"/>
        <v>5468552.0029411772</v>
      </c>
    </row>
    <row r="877" spans="1:16" x14ac:dyDescent="0.2">
      <c r="A877" s="32" t="s">
        <v>645</v>
      </c>
      <c r="B877" s="32" t="s">
        <v>635</v>
      </c>
      <c r="C877" s="32" t="s">
        <v>636</v>
      </c>
      <c r="D877" s="32" t="s">
        <v>646</v>
      </c>
      <c r="E877" s="32" t="s">
        <v>494</v>
      </c>
      <c r="F877" s="32" t="s">
        <v>581</v>
      </c>
      <c r="G877" s="32" t="str">
        <f t="shared" si="26"/>
        <v>1" ST EXTN</v>
      </c>
      <c r="H877" s="278" t="s">
        <v>532</v>
      </c>
      <c r="I877" s="32" t="s">
        <v>462</v>
      </c>
      <c r="J877" s="279">
        <v>6174</v>
      </c>
      <c r="K877" s="280">
        <v>733938.13</v>
      </c>
      <c r="L877" s="280">
        <v>733938.13</v>
      </c>
      <c r="M877" s="280">
        <v>0</v>
      </c>
      <c r="N877" s="281">
        <v>71</v>
      </c>
      <c r="O877" s="282">
        <v>583</v>
      </c>
      <c r="P877" s="280">
        <f t="shared" si="27"/>
        <v>6026562.39140845</v>
      </c>
    </row>
    <row r="878" spans="1:16" x14ac:dyDescent="0.2">
      <c r="A878" s="32" t="s">
        <v>645</v>
      </c>
      <c r="B878" s="32" t="s">
        <v>635</v>
      </c>
      <c r="C878" s="32" t="s">
        <v>636</v>
      </c>
      <c r="D878" s="32" t="s">
        <v>646</v>
      </c>
      <c r="E878" s="32" t="s">
        <v>494</v>
      </c>
      <c r="F878" s="32" t="s">
        <v>581</v>
      </c>
      <c r="G878" s="32" t="str">
        <f t="shared" si="26"/>
        <v>1" ST EXTN</v>
      </c>
      <c r="H878" s="278" t="s">
        <v>535</v>
      </c>
      <c r="I878" s="32" t="s">
        <v>462</v>
      </c>
      <c r="J878" s="279">
        <v>7221</v>
      </c>
      <c r="K878" s="280">
        <v>935161.98</v>
      </c>
      <c r="L878" s="280">
        <v>935161.98</v>
      </c>
      <c r="M878" s="280">
        <v>0</v>
      </c>
      <c r="N878" s="281">
        <v>74</v>
      </c>
      <c r="O878" s="282">
        <v>583</v>
      </c>
      <c r="P878" s="280">
        <f t="shared" si="27"/>
        <v>7367559.9235135131</v>
      </c>
    </row>
    <row r="879" spans="1:16" x14ac:dyDescent="0.2">
      <c r="A879" s="32" t="s">
        <v>645</v>
      </c>
      <c r="B879" s="32" t="s">
        <v>635</v>
      </c>
      <c r="C879" s="32" t="s">
        <v>636</v>
      </c>
      <c r="D879" s="32" t="s">
        <v>646</v>
      </c>
      <c r="E879" s="32" t="s">
        <v>494</v>
      </c>
      <c r="F879" s="32" t="s">
        <v>581</v>
      </c>
      <c r="G879" s="32" t="str">
        <f t="shared" si="26"/>
        <v>1" ST EXTN</v>
      </c>
      <c r="H879" s="278" t="s">
        <v>533</v>
      </c>
      <c r="I879" s="32" t="s">
        <v>462</v>
      </c>
      <c r="J879" s="279">
        <v>5712</v>
      </c>
      <c r="K879" s="280">
        <v>798442.5</v>
      </c>
      <c r="L879" s="280">
        <v>798442.5</v>
      </c>
      <c r="M879" s="280">
        <v>0</v>
      </c>
      <c r="N879" s="281">
        <v>78</v>
      </c>
      <c r="O879" s="282">
        <v>583</v>
      </c>
      <c r="P879" s="280">
        <f t="shared" si="27"/>
        <v>5967845.865384615</v>
      </c>
    </row>
    <row r="880" spans="1:16" x14ac:dyDescent="0.2">
      <c r="A880" s="32" t="s">
        <v>645</v>
      </c>
      <c r="B880" s="32" t="s">
        <v>635</v>
      </c>
      <c r="C880" s="32" t="s">
        <v>636</v>
      </c>
      <c r="D880" s="32" t="s">
        <v>646</v>
      </c>
      <c r="E880" s="32" t="s">
        <v>494</v>
      </c>
      <c r="F880" s="32" t="s">
        <v>581</v>
      </c>
      <c r="G880" s="32" t="str">
        <f t="shared" si="26"/>
        <v>1" ST EXTN</v>
      </c>
      <c r="H880" s="278" t="s">
        <v>531</v>
      </c>
      <c r="I880" s="32" t="s">
        <v>462</v>
      </c>
      <c r="J880" s="279">
        <v>4156</v>
      </c>
      <c r="K880" s="280">
        <v>694805.45</v>
      </c>
      <c r="L880" s="280">
        <v>694805.45</v>
      </c>
      <c r="M880" s="280">
        <v>0</v>
      </c>
      <c r="N880" s="281">
        <v>84</v>
      </c>
      <c r="O880" s="282">
        <v>583</v>
      </c>
      <c r="P880" s="280">
        <f t="shared" si="27"/>
        <v>4822280.6827380955</v>
      </c>
    </row>
    <row r="881" spans="1:16" x14ac:dyDescent="0.2">
      <c r="A881" s="32" t="s">
        <v>645</v>
      </c>
      <c r="B881" s="32" t="s">
        <v>635</v>
      </c>
      <c r="C881" s="32" t="s">
        <v>636</v>
      </c>
      <c r="D881" s="32" t="s">
        <v>646</v>
      </c>
      <c r="E881" s="32" t="s">
        <v>494</v>
      </c>
      <c r="F881" s="32" t="s">
        <v>581</v>
      </c>
      <c r="G881" s="32" t="str">
        <f t="shared" si="26"/>
        <v>1" ST EXTN</v>
      </c>
      <c r="H881" s="278" t="s">
        <v>527</v>
      </c>
      <c r="I881" s="32" t="s">
        <v>462</v>
      </c>
      <c r="J881" s="279">
        <v>3607</v>
      </c>
      <c r="K881" s="280">
        <v>618836.81999999995</v>
      </c>
      <c r="L881" s="280">
        <v>618836.81999999995</v>
      </c>
      <c r="M881" s="280">
        <v>0</v>
      </c>
      <c r="N881" s="281">
        <v>90</v>
      </c>
      <c r="O881" s="282">
        <v>583</v>
      </c>
      <c r="P881" s="280">
        <f t="shared" si="27"/>
        <v>4008687.4006666662</v>
      </c>
    </row>
    <row r="882" spans="1:16" x14ac:dyDescent="0.2">
      <c r="A882" s="32" t="s">
        <v>645</v>
      </c>
      <c r="B882" s="32" t="s">
        <v>635</v>
      </c>
      <c r="C882" s="32" t="s">
        <v>636</v>
      </c>
      <c r="D882" s="32" t="s">
        <v>646</v>
      </c>
      <c r="E882" s="32" t="s">
        <v>494</v>
      </c>
      <c r="F882" s="32" t="s">
        <v>581</v>
      </c>
      <c r="G882" s="32" t="str">
        <f t="shared" si="26"/>
        <v>1" ST EXTN</v>
      </c>
      <c r="H882" s="278" t="s">
        <v>528</v>
      </c>
      <c r="I882" s="32" t="s">
        <v>462</v>
      </c>
      <c r="J882" s="279">
        <v>3547</v>
      </c>
      <c r="K882" s="280">
        <v>724361.87</v>
      </c>
      <c r="L882" s="280">
        <v>724361.87</v>
      </c>
      <c r="M882" s="280">
        <v>0</v>
      </c>
      <c r="N882" s="281">
        <v>96</v>
      </c>
      <c r="O882" s="282">
        <v>583</v>
      </c>
      <c r="P882" s="280">
        <f t="shared" si="27"/>
        <v>4398989.2730208337</v>
      </c>
    </row>
    <row r="883" spans="1:16" x14ac:dyDescent="0.2">
      <c r="A883" s="32" t="s">
        <v>645</v>
      </c>
      <c r="B883" s="32" t="s">
        <v>635</v>
      </c>
      <c r="C883" s="32" t="s">
        <v>636</v>
      </c>
      <c r="D883" s="32" t="s">
        <v>646</v>
      </c>
      <c r="E883" s="32" t="s">
        <v>494</v>
      </c>
      <c r="F883" s="32" t="s">
        <v>581</v>
      </c>
      <c r="G883" s="32" t="str">
        <f t="shared" si="26"/>
        <v>1" ST EXTN</v>
      </c>
      <c r="H883" s="278" t="s">
        <v>529</v>
      </c>
      <c r="I883" s="32" t="s">
        <v>462</v>
      </c>
      <c r="J883" s="279">
        <v>3607</v>
      </c>
      <c r="K883" s="280">
        <v>747816.7</v>
      </c>
      <c r="L883" s="280">
        <v>747816.7</v>
      </c>
      <c r="M883" s="280">
        <v>0</v>
      </c>
      <c r="N883" s="281">
        <v>100</v>
      </c>
      <c r="O883" s="282">
        <v>583</v>
      </c>
      <c r="P883" s="280">
        <f t="shared" si="27"/>
        <v>4359771.3609999996</v>
      </c>
    </row>
    <row r="884" spans="1:16" x14ac:dyDescent="0.2">
      <c r="A884" s="32" t="s">
        <v>645</v>
      </c>
      <c r="B884" s="32" t="s">
        <v>635</v>
      </c>
      <c r="C884" s="32" t="s">
        <v>636</v>
      </c>
      <c r="D884" s="32" t="s">
        <v>646</v>
      </c>
      <c r="E884" s="32" t="s">
        <v>494</v>
      </c>
      <c r="F884" s="32" t="s">
        <v>581</v>
      </c>
      <c r="G884" s="32" t="str">
        <f t="shared" si="26"/>
        <v>1" ST EXTN</v>
      </c>
      <c r="H884" s="278" t="s">
        <v>525</v>
      </c>
      <c r="I884" s="32" t="s">
        <v>462</v>
      </c>
      <c r="J884" s="279">
        <v>2070</v>
      </c>
      <c r="K884" s="280">
        <v>396668.11</v>
      </c>
      <c r="L884" s="280">
        <v>396668.11</v>
      </c>
      <c r="M884" s="280">
        <v>0</v>
      </c>
      <c r="N884" s="281">
        <v>113</v>
      </c>
      <c r="O884" s="282">
        <v>583</v>
      </c>
      <c r="P884" s="280">
        <f t="shared" si="27"/>
        <v>2046526.6206194689</v>
      </c>
    </row>
    <row r="885" spans="1:16" x14ac:dyDescent="0.2">
      <c r="A885" s="32" t="s">
        <v>645</v>
      </c>
      <c r="B885" s="32" t="s">
        <v>635</v>
      </c>
      <c r="C885" s="32" t="s">
        <v>636</v>
      </c>
      <c r="D885" s="32" t="s">
        <v>646</v>
      </c>
      <c r="E885" s="32" t="s">
        <v>494</v>
      </c>
      <c r="F885" s="32" t="s">
        <v>581</v>
      </c>
      <c r="G885" s="32" t="str">
        <f t="shared" si="26"/>
        <v>1" ST EXTN</v>
      </c>
      <c r="H885" s="278" t="s">
        <v>524</v>
      </c>
      <c r="I885" s="32" t="s">
        <v>462</v>
      </c>
      <c r="J885" s="279">
        <v>652</v>
      </c>
      <c r="K885" s="280">
        <v>197434.67</v>
      </c>
      <c r="L885" s="280">
        <v>197434.67</v>
      </c>
      <c r="M885" s="280">
        <v>0</v>
      </c>
      <c r="N885" s="281">
        <v>133</v>
      </c>
      <c r="O885" s="282">
        <v>583</v>
      </c>
      <c r="P885" s="280">
        <f t="shared" si="27"/>
        <v>865446.71135338361</v>
      </c>
    </row>
    <row r="886" spans="1:16" x14ac:dyDescent="0.2">
      <c r="A886" s="32" t="s">
        <v>645</v>
      </c>
      <c r="B886" s="32" t="s">
        <v>635</v>
      </c>
      <c r="C886" s="32" t="s">
        <v>636</v>
      </c>
      <c r="D886" s="32" t="s">
        <v>646</v>
      </c>
      <c r="E886" s="32" t="s">
        <v>494</v>
      </c>
      <c r="F886" s="32" t="s">
        <v>581</v>
      </c>
      <c r="G886" s="32" t="str">
        <f t="shared" si="26"/>
        <v>1" ST EXTN</v>
      </c>
      <c r="H886" s="278" t="s">
        <v>522</v>
      </c>
      <c r="I886" s="32" t="s">
        <v>462</v>
      </c>
      <c r="J886" s="279">
        <v>404</v>
      </c>
      <c r="K886" s="280">
        <v>160490.6</v>
      </c>
      <c r="L886" s="280">
        <v>160490.6</v>
      </c>
      <c r="M886" s="280">
        <v>0</v>
      </c>
      <c r="N886" s="281">
        <v>143</v>
      </c>
      <c r="O886" s="282">
        <v>583</v>
      </c>
      <c r="P886" s="280">
        <f t="shared" si="27"/>
        <v>654307.83076923073</v>
      </c>
    </row>
    <row r="887" spans="1:16" x14ac:dyDescent="0.2">
      <c r="A887" s="32" t="s">
        <v>645</v>
      </c>
      <c r="B887" s="32" t="s">
        <v>635</v>
      </c>
      <c r="C887" s="32" t="s">
        <v>636</v>
      </c>
      <c r="D887" s="32" t="s">
        <v>646</v>
      </c>
      <c r="E887" s="32" t="s">
        <v>494</v>
      </c>
      <c r="F887" s="32" t="s">
        <v>581</v>
      </c>
      <c r="G887" s="32" t="str">
        <f t="shared" si="26"/>
        <v>1" ST EXTN</v>
      </c>
      <c r="H887" s="278" t="s">
        <v>526</v>
      </c>
      <c r="I887" s="32" t="s">
        <v>462</v>
      </c>
      <c r="J887" s="279">
        <v>651</v>
      </c>
      <c r="K887" s="280">
        <v>342696.3</v>
      </c>
      <c r="L887" s="280">
        <v>342696.3</v>
      </c>
      <c r="M887" s="280">
        <v>0</v>
      </c>
      <c r="N887" s="281">
        <v>153</v>
      </c>
      <c r="O887" s="282">
        <v>583</v>
      </c>
      <c r="P887" s="280">
        <f t="shared" si="27"/>
        <v>1305829.6921568627</v>
      </c>
    </row>
    <row r="888" spans="1:16" x14ac:dyDescent="0.2">
      <c r="A888" s="32" t="s">
        <v>645</v>
      </c>
      <c r="B888" s="32" t="s">
        <v>635</v>
      </c>
      <c r="C888" s="32" t="s">
        <v>636</v>
      </c>
      <c r="D888" s="32" t="s">
        <v>646</v>
      </c>
      <c r="E888" s="32" t="s">
        <v>494</v>
      </c>
      <c r="F888" s="32" t="s">
        <v>581</v>
      </c>
      <c r="G888" s="32" t="str">
        <f t="shared" si="26"/>
        <v>1" ST EXTN</v>
      </c>
      <c r="H888" s="278" t="s">
        <v>486</v>
      </c>
      <c r="I888" s="32" t="s">
        <v>462</v>
      </c>
      <c r="J888" s="279">
        <v>5</v>
      </c>
      <c r="K888" s="280">
        <v>5463.04</v>
      </c>
      <c r="L888" s="280">
        <v>5463.04</v>
      </c>
      <c r="M888" s="280">
        <v>0</v>
      </c>
      <c r="N888" s="281">
        <v>166</v>
      </c>
      <c r="O888" s="282">
        <v>583</v>
      </c>
      <c r="P888" s="280">
        <f t="shared" si="27"/>
        <v>19186.459759036145</v>
      </c>
    </row>
    <row r="889" spans="1:16" x14ac:dyDescent="0.2">
      <c r="A889" s="32" t="s">
        <v>645</v>
      </c>
      <c r="B889" s="32" t="s">
        <v>635</v>
      </c>
      <c r="C889" s="32" t="s">
        <v>636</v>
      </c>
      <c r="D889" s="32" t="s">
        <v>646</v>
      </c>
      <c r="E889" s="32" t="s">
        <v>494</v>
      </c>
      <c r="F889" s="32" t="s">
        <v>581</v>
      </c>
      <c r="G889" s="32" t="str">
        <f t="shared" si="26"/>
        <v>1" ST EXTN</v>
      </c>
      <c r="H889" s="278" t="s">
        <v>521</v>
      </c>
      <c r="I889" s="32" t="s">
        <v>462</v>
      </c>
      <c r="J889" s="279">
        <v>5</v>
      </c>
      <c r="K889" s="280">
        <v>2500.1</v>
      </c>
      <c r="L889" s="280">
        <v>2500.1</v>
      </c>
      <c r="M889" s="280">
        <v>0</v>
      </c>
      <c r="N889" s="281">
        <v>198</v>
      </c>
      <c r="O889" s="282">
        <v>583</v>
      </c>
      <c r="P889" s="280">
        <f t="shared" si="27"/>
        <v>7361.405555555556</v>
      </c>
    </row>
    <row r="890" spans="1:16" x14ac:dyDescent="0.2">
      <c r="A890" s="32" t="s">
        <v>645</v>
      </c>
      <c r="B890" s="32" t="s">
        <v>635</v>
      </c>
      <c r="C890" s="32" t="s">
        <v>636</v>
      </c>
      <c r="D890" s="32" t="s">
        <v>646</v>
      </c>
      <c r="E890" s="32" t="s">
        <v>494</v>
      </c>
      <c r="F890" s="32" t="s">
        <v>581</v>
      </c>
      <c r="G890" s="32" t="str">
        <f t="shared" si="26"/>
        <v>1" ST EXTN</v>
      </c>
      <c r="H890" s="278" t="s">
        <v>520</v>
      </c>
      <c r="I890" s="32" t="s">
        <v>462</v>
      </c>
      <c r="J890" s="279">
        <v>16</v>
      </c>
      <c r="K890" s="280">
        <v>13229.3</v>
      </c>
      <c r="L890" s="280">
        <v>13229.3</v>
      </c>
      <c r="M890" s="280">
        <v>0</v>
      </c>
      <c r="N890" s="281">
        <v>222</v>
      </c>
      <c r="O890" s="282">
        <v>583</v>
      </c>
      <c r="P890" s="280">
        <f t="shared" si="27"/>
        <v>34741.810360360359</v>
      </c>
    </row>
    <row r="891" spans="1:16" x14ac:dyDescent="0.2">
      <c r="A891" s="32" t="s">
        <v>645</v>
      </c>
      <c r="B891" s="32" t="s">
        <v>635</v>
      </c>
      <c r="C891" s="32" t="s">
        <v>636</v>
      </c>
      <c r="D891" s="32" t="s">
        <v>646</v>
      </c>
      <c r="E891" s="32" t="s">
        <v>494</v>
      </c>
      <c r="F891" s="32" t="s">
        <v>581</v>
      </c>
      <c r="G891" s="32" t="str">
        <f t="shared" si="26"/>
        <v>1" ST EXTN</v>
      </c>
      <c r="H891" s="278" t="s">
        <v>518</v>
      </c>
      <c r="I891" s="32" t="s">
        <v>462</v>
      </c>
      <c r="J891" s="279">
        <v>8</v>
      </c>
      <c r="K891" s="280">
        <v>5331.32</v>
      </c>
      <c r="L891" s="280">
        <v>5331.32</v>
      </c>
      <c r="M891" s="280">
        <v>0</v>
      </c>
      <c r="N891" s="281">
        <v>245</v>
      </c>
      <c r="O891" s="282">
        <v>583</v>
      </c>
      <c r="P891" s="280">
        <f t="shared" si="27"/>
        <v>12686.365551020408</v>
      </c>
    </row>
    <row r="892" spans="1:16" x14ac:dyDescent="0.2">
      <c r="A892" s="32" t="s">
        <v>645</v>
      </c>
      <c r="B892" s="32" t="s">
        <v>635</v>
      </c>
      <c r="C892" s="32" t="s">
        <v>636</v>
      </c>
      <c r="D892" s="32" t="s">
        <v>646</v>
      </c>
      <c r="E892" s="32" t="s">
        <v>494</v>
      </c>
      <c r="F892" s="32" t="s">
        <v>581</v>
      </c>
      <c r="G892" s="32" t="str">
        <f t="shared" si="26"/>
        <v>1" ST EXTN</v>
      </c>
      <c r="H892" s="278" t="s">
        <v>517</v>
      </c>
      <c r="I892" s="32" t="s">
        <v>462</v>
      </c>
      <c r="J892" s="279">
        <v>22</v>
      </c>
      <c r="K892" s="280">
        <v>17651.63</v>
      </c>
      <c r="L892" s="280">
        <v>17651.63</v>
      </c>
      <c r="M892" s="280">
        <v>0</v>
      </c>
      <c r="N892" s="281">
        <v>254</v>
      </c>
      <c r="O892" s="282">
        <v>583</v>
      </c>
      <c r="P892" s="280">
        <f t="shared" si="27"/>
        <v>40515.355472440948</v>
      </c>
    </row>
    <row r="893" spans="1:16" x14ac:dyDescent="0.2">
      <c r="A893" s="32" t="s">
        <v>645</v>
      </c>
      <c r="B893" s="32" t="s">
        <v>635</v>
      </c>
      <c r="C893" s="32" t="s">
        <v>636</v>
      </c>
      <c r="D893" s="32" t="s">
        <v>646</v>
      </c>
      <c r="E893" s="32" t="s">
        <v>494</v>
      </c>
      <c r="F893" s="32" t="s">
        <v>581</v>
      </c>
      <c r="G893" s="32" t="str">
        <f t="shared" si="26"/>
        <v>1" ST EXTN</v>
      </c>
      <c r="H893" s="278" t="s">
        <v>463</v>
      </c>
      <c r="I893" s="32" t="s">
        <v>462</v>
      </c>
      <c r="J893" s="279">
        <v>9</v>
      </c>
      <c r="K893" s="280">
        <v>11328.84</v>
      </c>
      <c r="L893" s="280">
        <v>11328.84</v>
      </c>
      <c r="M893" s="280">
        <v>0</v>
      </c>
      <c r="N893" s="281">
        <v>262</v>
      </c>
      <c r="O893" s="282">
        <v>583</v>
      </c>
      <c r="P893" s="280">
        <f t="shared" si="27"/>
        <v>25208.830992366413</v>
      </c>
    </row>
    <row r="894" spans="1:16" x14ac:dyDescent="0.2">
      <c r="A894" s="32" t="s">
        <v>645</v>
      </c>
      <c r="B894" s="32" t="s">
        <v>635</v>
      </c>
      <c r="C894" s="32" t="s">
        <v>636</v>
      </c>
      <c r="D894" s="32" t="s">
        <v>646</v>
      </c>
      <c r="E894" s="32" t="s">
        <v>494</v>
      </c>
      <c r="F894" s="32" t="s">
        <v>581</v>
      </c>
      <c r="G894" s="32" t="str">
        <f t="shared" si="26"/>
        <v>1" ST EXTN</v>
      </c>
      <c r="H894" s="278" t="s">
        <v>464</v>
      </c>
      <c r="I894" s="32" t="s">
        <v>462</v>
      </c>
      <c r="J894" s="279">
        <v>4</v>
      </c>
      <c r="K894" s="280">
        <v>4549.6400000000003</v>
      </c>
      <c r="L894" s="280">
        <v>4549.6400000000003</v>
      </c>
      <c r="M894" s="280">
        <v>0</v>
      </c>
      <c r="N894" s="281">
        <v>266</v>
      </c>
      <c r="O894" s="282">
        <v>583</v>
      </c>
      <c r="P894" s="280">
        <f t="shared" si="27"/>
        <v>9971.579398496242</v>
      </c>
    </row>
    <row r="895" spans="1:16" x14ac:dyDescent="0.2">
      <c r="A895" s="32" t="s">
        <v>645</v>
      </c>
      <c r="B895" s="32" t="s">
        <v>635</v>
      </c>
      <c r="C895" s="32" t="s">
        <v>636</v>
      </c>
      <c r="D895" s="32" t="s">
        <v>646</v>
      </c>
      <c r="E895" s="32" t="s">
        <v>494</v>
      </c>
      <c r="F895" s="32" t="s">
        <v>581</v>
      </c>
      <c r="G895" s="32" t="str">
        <f t="shared" si="26"/>
        <v>1" ST EXTN</v>
      </c>
      <c r="H895" s="278" t="s">
        <v>515</v>
      </c>
      <c r="I895" s="32" t="s">
        <v>462</v>
      </c>
      <c r="J895" s="279">
        <v>8</v>
      </c>
      <c r="K895" s="280">
        <v>10351.56</v>
      </c>
      <c r="L895" s="280">
        <v>10351.56</v>
      </c>
      <c r="M895" s="280">
        <v>0</v>
      </c>
      <c r="N895" s="281">
        <v>264</v>
      </c>
      <c r="O895" s="282">
        <v>583</v>
      </c>
      <c r="P895" s="280">
        <f t="shared" si="27"/>
        <v>22859.695</v>
      </c>
    </row>
    <row r="896" spans="1:16" x14ac:dyDescent="0.2">
      <c r="A896" s="32" t="s">
        <v>645</v>
      </c>
      <c r="B896" s="32" t="s">
        <v>635</v>
      </c>
      <c r="C896" s="32" t="s">
        <v>636</v>
      </c>
      <c r="D896" s="32" t="s">
        <v>646</v>
      </c>
      <c r="E896" s="32" t="s">
        <v>494</v>
      </c>
      <c r="F896" s="32" t="s">
        <v>581</v>
      </c>
      <c r="G896" s="32" t="str">
        <f t="shared" si="26"/>
        <v>1" ST EXTN</v>
      </c>
      <c r="H896" s="278" t="s">
        <v>523</v>
      </c>
      <c r="I896" s="32" t="s">
        <v>462</v>
      </c>
      <c r="J896" s="279">
        <v>6</v>
      </c>
      <c r="K896" s="280">
        <v>20508.7</v>
      </c>
      <c r="L896" s="280">
        <v>20508.7</v>
      </c>
      <c r="M896" s="280">
        <v>0</v>
      </c>
      <c r="N896" s="281">
        <v>273</v>
      </c>
      <c r="O896" s="282">
        <v>583</v>
      </c>
      <c r="P896" s="280">
        <f t="shared" si="27"/>
        <v>43796.9673992674</v>
      </c>
    </row>
    <row r="897" spans="1:16" x14ac:dyDescent="0.2">
      <c r="A897" s="32" t="s">
        <v>645</v>
      </c>
      <c r="B897" s="32" t="s">
        <v>635</v>
      </c>
      <c r="C897" s="32" t="s">
        <v>636</v>
      </c>
      <c r="D897" s="32" t="s">
        <v>646</v>
      </c>
      <c r="E897" s="32" t="s">
        <v>494</v>
      </c>
      <c r="F897" s="32" t="s">
        <v>581</v>
      </c>
      <c r="G897" s="32" t="str">
        <f t="shared" si="26"/>
        <v>1" ST EXTN</v>
      </c>
      <c r="H897" s="278" t="s">
        <v>516</v>
      </c>
      <c r="I897" s="32" t="s">
        <v>462</v>
      </c>
      <c r="J897" s="279">
        <v>33</v>
      </c>
      <c r="K897" s="280">
        <v>54872.52</v>
      </c>
      <c r="L897" s="280">
        <v>54872.52</v>
      </c>
      <c r="M897" s="280">
        <v>0</v>
      </c>
      <c r="N897" s="281">
        <v>283</v>
      </c>
      <c r="O897" s="282">
        <v>583</v>
      </c>
      <c r="P897" s="280">
        <f t="shared" si="27"/>
        <v>113041.26911660777</v>
      </c>
    </row>
    <row r="898" spans="1:16" x14ac:dyDescent="0.2">
      <c r="A898" s="32" t="s">
        <v>645</v>
      </c>
      <c r="B898" s="32" t="s">
        <v>635</v>
      </c>
      <c r="C898" s="32" t="s">
        <v>636</v>
      </c>
      <c r="D898" s="32" t="s">
        <v>646</v>
      </c>
      <c r="E898" s="32" t="s">
        <v>494</v>
      </c>
      <c r="F898" s="32" t="s">
        <v>581</v>
      </c>
      <c r="G898" s="32" t="str">
        <f t="shared" ref="G898:G961" si="28">D898&amp;" "&amp;E898&amp;" "&amp;F898</f>
        <v>1" ST EXTN</v>
      </c>
      <c r="H898" s="278" t="s">
        <v>466</v>
      </c>
      <c r="I898" s="32" t="s">
        <v>462</v>
      </c>
      <c r="J898" s="279">
        <v>6</v>
      </c>
      <c r="K898" s="280">
        <v>13490.14</v>
      </c>
      <c r="L898" s="280">
        <v>13490.14</v>
      </c>
      <c r="M898" s="280">
        <v>0</v>
      </c>
      <c r="N898" s="281">
        <v>294</v>
      </c>
      <c r="O898" s="282">
        <v>583</v>
      </c>
      <c r="P898" s="280">
        <f t="shared" ref="P898:P961" si="29">+(O898/N898)*K898</f>
        <v>26750.855850340136</v>
      </c>
    </row>
    <row r="899" spans="1:16" x14ac:dyDescent="0.2">
      <c r="A899" s="32" t="s">
        <v>645</v>
      </c>
      <c r="B899" s="32" t="s">
        <v>635</v>
      </c>
      <c r="C899" s="32" t="s">
        <v>636</v>
      </c>
      <c r="D899" s="32" t="s">
        <v>646</v>
      </c>
      <c r="E899" s="32" t="s">
        <v>494</v>
      </c>
      <c r="F899" s="32" t="s">
        <v>581</v>
      </c>
      <c r="G899" s="32" t="str">
        <f t="shared" si="28"/>
        <v>1" ST EXTN</v>
      </c>
      <c r="H899" s="278" t="s">
        <v>465</v>
      </c>
      <c r="I899" s="32" t="s">
        <v>462</v>
      </c>
      <c r="J899" s="279">
        <v>8</v>
      </c>
      <c r="K899" s="280">
        <v>19737.419999999998</v>
      </c>
      <c r="L899" s="280">
        <v>19737.419999999998</v>
      </c>
      <c r="M899" s="280">
        <v>0</v>
      </c>
      <c r="N899" s="281">
        <v>308</v>
      </c>
      <c r="O899" s="282">
        <v>583</v>
      </c>
      <c r="P899" s="280">
        <f t="shared" si="29"/>
        <v>37360.116428571426</v>
      </c>
    </row>
    <row r="900" spans="1:16" x14ac:dyDescent="0.2">
      <c r="A900" s="32" t="s">
        <v>645</v>
      </c>
      <c r="B900" s="32" t="s">
        <v>635</v>
      </c>
      <c r="C900" s="32" t="s">
        <v>636</v>
      </c>
      <c r="D900" s="32" t="s">
        <v>646</v>
      </c>
      <c r="E900" s="32" t="s">
        <v>494</v>
      </c>
      <c r="F900" s="32" t="s">
        <v>581</v>
      </c>
      <c r="G900" s="32" t="str">
        <f t="shared" si="28"/>
        <v>1" ST EXTN</v>
      </c>
      <c r="H900" s="278" t="s">
        <v>490</v>
      </c>
      <c r="I900" s="32" t="s">
        <v>462</v>
      </c>
      <c r="J900" s="279">
        <v>13</v>
      </c>
      <c r="K900" s="280">
        <v>35282.949999999997</v>
      </c>
      <c r="L900" s="280">
        <v>35282.949999999997</v>
      </c>
      <c r="M900" s="280">
        <v>0</v>
      </c>
      <c r="N900" s="281">
        <v>313</v>
      </c>
      <c r="O900" s="282">
        <v>583</v>
      </c>
      <c r="P900" s="280">
        <f t="shared" si="29"/>
        <v>65718.721565495202</v>
      </c>
    </row>
    <row r="901" spans="1:16" x14ac:dyDescent="0.2">
      <c r="A901" s="32" t="s">
        <v>645</v>
      </c>
      <c r="B901" s="32" t="s">
        <v>635</v>
      </c>
      <c r="C901" s="32" t="s">
        <v>636</v>
      </c>
      <c r="D901" s="32" t="s">
        <v>646</v>
      </c>
      <c r="E901" s="32" t="s">
        <v>494</v>
      </c>
      <c r="F901" s="32" t="s">
        <v>581</v>
      </c>
      <c r="G901" s="32" t="str">
        <f t="shared" si="28"/>
        <v>1" ST EXTN</v>
      </c>
      <c r="H901" s="278" t="s">
        <v>514</v>
      </c>
      <c r="I901" s="32" t="s">
        <v>462</v>
      </c>
      <c r="J901" s="279">
        <v>1</v>
      </c>
      <c r="K901" s="280">
        <v>7841.14</v>
      </c>
      <c r="L901" s="280">
        <v>7841.14</v>
      </c>
      <c r="M901" s="280">
        <v>0</v>
      </c>
      <c r="N901" s="281">
        <v>333</v>
      </c>
      <c r="O901" s="282">
        <v>583</v>
      </c>
      <c r="P901" s="280">
        <f t="shared" si="29"/>
        <v>13727.881741741741</v>
      </c>
    </row>
    <row r="902" spans="1:16" x14ac:dyDescent="0.2">
      <c r="A902" s="32" t="s">
        <v>645</v>
      </c>
      <c r="B902" s="32" t="s">
        <v>635</v>
      </c>
      <c r="C902" s="32" t="s">
        <v>636</v>
      </c>
      <c r="D902" s="32" t="s">
        <v>646</v>
      </c>
      <c r="E902" s="32" t="s">
        <v>494</v>
      </c>
      <c r="F902" s="32" t="s">
        <v>581</v>
      </c>
      <c r="G902" s="32" t="str">
        <f t="shared" si="28"/>
        <v>1" ST EXTN</v>
      </c>
      <c r="H902" s="278" t="s">
        <v>513</v>
      </c>
      <c r="I902" s="32" t="s">
        <v>462</v>
      </c>
      <c r="J902" s="279">
        <v>2</v>
      </c>
      <c r="K902" s="280">
        <v>4582.0600000000004</v>
      </c>
      <c r="L902" s="280">
        <v>4582.0600000000004</v>
      </c>
      <c r="M902" s="280">
        <v>0</v>
      </c>
      <c r="N902" s="281">
        <v>342</v>
      </c>
      <c r="O902" s="282">
        <v>583</v>
      </c>
      <c r="P902" s="280">
        <f t="shared" si="29"/>
        <v>7810.9385380116964</v>
      </c>
    </row>
    <row r="903" spans="1:16" x14ac:dyDescent="0.2">
      <c r="A903" s="32" t="s">
        <v>645</v>
      </c>
      <c r="B903" s="32" t="s">
        <v>635</v>
      </c>
      <c r="C903" s="32" t="s">
        <v>636</v>
      </c>
      <c r="D903" s="32" t="s">
        <v>646</v>
      </c>
      <c r="E903" s="32" t="s">
        <v>494</v>
      </c>
      <c r="F903" s="32" t="s">
        <v>581</v>
      </c>
      <c r="G903" s="32" t="str">
        <f t="shared" si="28"/>
        <v>1" ST EXTN</v>
      </c>
      <c r="H903" s="278" t="s">
        <v>467</v>
      </c>
      <c r="I903" s="32" t="s">
        <v>462</v>
      </c>
      <c r="J903" s="279">
        <v>2</v>
      </c>
      <c r="K903" s="280">
        <v>9509.17</v>
      </c>
      <c r="L903" s="280">
        <v>9509.17</v>
      </c>
      <c r="M903" s="280">
        <v>0</v>
      </c>
      <c r="N903" s="281">
        <v>348</v>
      </c>
      <c r="O903" s="282">
        <v>583</v>
      </c>
      <c r="P903" s="280">
        <f t="shared" si="29"/>
        <v>15930.592270114943</v>
      </c>
    </row>
    <row r="904" spans="1:16" x14ac:dyDescent="0.2">
      <c r="A904" s="32" t="s">
        <v>645</v>
      </c>
      <c r="B904" s="32" t="s">
        <v>635</v>
      </c>
      <c r="C904" s="32" t="s">
        <v>636</v>
      </c>
      <c r="D904" s="32" t="s">
        <v>646</v>
      </c>
      <c r="E904" s="32" t="s">
        <v>494</v>
      </c>
      <c r="F904" s="32" t="s">
        <v>581</v>
      </c>
      <c r="G904" s="32" t="str">
        <f t="shared" si="28"/>
        <v>1" ST EXTN</v>
      </c>
      <c r="H904" s="278" t="s">
        <v>473</v>
      </c>
      <c r="I904" s="32" t="s">
        <v>462</v>
      </c>
      <c r="J904" s="279">
        <v>8</v>
      </c>
      <c r="K904" s="280">
        <v>27051.71</v>
      </c>
      <c r="L904" s="280">
        <v>27051.71</v>
      </c>
      <c r="M904" s="280">
        <v>0</v>
      </c>
      <c r="N904" s="281">
        <v>356</v>
      </c>
      <c r="O904" s="282">
        <v>583</v>
      </c>
      <c r="P904" s="280">
        <f t="shared" si="29"/>
        <v>44300.974522471908</v>
      </c>
    </row>
    <row r="905" spans="1:16" x14ac:dyDescent="0.2">
      <c r="A905" s="32" t="s">
        <v>645</v>
      </c>
      <c r="B905" s="32" t="s">
        <v>635</v>
      </c>
      <c r="C905" s="32" t="s">
        <v>636</v>
      </c>
      <c r="D905" s="32" t="s">
        <v>646</v>
      </c>
      <c r="E905" s="32" t="s">
        <v>494</v>
      </c>
      <c r="F905" s="32" t="s">
        <v>581</v>
      </c>
      <c r="G905" s="32" t="str">
        <f t="shared" si="28"/>
        <v>1" ST EXTN</v>
      </c>
      <c r="H905" s="278" t="s">
        <v>479</v>
      </c>
      <c r="I905" s="32" t="s">
        <v>462</v>
      </c>
      <c r="J905" s="279">
        <v>13</v>
      </c>
      <c r="K905" s="280">
        <v>40194.49</v>
      </c>
      <c r="L905" s="280">
        <v>40194.49</v>
      </c>
      <c r="M905" s="280">
        <v>0</v>
      </c>
      <c r="N905" s="281">
        <v>362</v>
      </c>
      <c r="O905" s="282">
        <v>583</v>
      </c>
      <c r="P905" s="280">
        <f t="shared" si="29"/>
        <v>64733.11511049723</v>
      </c>
    </row>
    <row r="906" spans="1:16" x14ac:dyDescent="0.2">
      <c r="A906" s="32" t="s">
        <v>645</v>
      </c>
      <c r="B906" s="32" t="s">
        <v>635</v>
      </c>
      <c r="C906" s="32" t="s">
        <v>636</v>
      </c>
      <c r="D906" s="32" t="s">
        <v>646</v>
      </c>
      <c r="E906" s="32" t="s">
        <v>494</v>
      </c>
      <c r="F906" s="32" t="s">
        <v>581</v>
      </c>
      <c r="G906" s="32" t="str">
        <f t="shared" si="28"/>
        <v>1" ST EXTN</v>
      </c>
      <c r="H906" s="278" t="s">
        <v>480</v>
      </c>
      <c r="I906" s="32" t="s">
        <v>462</v>
      </c>
      <c r="J906" s="279">
        <v>3</v>
      </c>
      <c r="K906" s="280">
        <v>14144.63</v>
      </c>
      <c r="L906" s="280">
        <v>14144.63</v>
      </c>
      <c r="M906" s="280">
        <v>0</v>
      </c>
      <c r="N906" s="281">
        <v>371</v>
      </c>
      <c r="O906" s="282">
        <v>583</v>
      </c>
      <c r="P906" s="280">
        <f t="shared" si="29"/>
        <v>22227.275714285712</v>
      </c>
    </row>
    <row r="907" spans="1:16" x14ac:dyDescent="0.2">
      <c r="A907" s="32" t="s">
        <v>645</v>
      </c>
      <c r="B907" s="32" t="s">
        <v>635</v>
      </c>
      <c r="C907" s="32" t="s">
        <v>636</v>
      </c>
      <c r="D907" s="32" t="s">
        <v>646</v>
      </c>
      <c r="E907" s="32" t="s">
        <v>494</v>
      </c>
      <c r="F907" s="32" t="s">
        <v>581</v>
      </c>
      <c r="G907" s="32" t="str">
        <f t="shared" si="28"/>
        <v>1" ST EXTN</v>
      </c>
      <c r="H907" s="278" t="s">
        <v>475</v>
      </c>
      <c r="I907" s="32" t="s">
        <v>462</v>
      </c>
      <c r="J907" s="279">
        <v>6</v>
      </c>
      <c r="K907" s="280">
        <v>14868.08</v>
      </c>
      <c r="L907" s="280">
        <v>14868.08</v>
      </c>
      <c r="M907" s="280">
        <v>0</v>
      </c>
      <c r="N907" s="281">
        <v>397</v>
      </c>
      <c r="O907" s="282">
        <v>583</v>
      </c>
      <c r="P907" s="280">
        <f t="shared" si="29"/>
        <v>21833.98146095718</v>
      </c>
    </row>
    <row r="908" spans="1:16" x14ac:dyDescent="0.2">
      <c r="A908" s="32" t="s">
        <v>645</v>
      </c>
      <c r="B908" s="32" t="s">
        <v>635</v>
      </c>
      <c r="C908" s="32" t="s">
        <v>636</v>
      </c>
      <c r="D908" s="32" t="s">
        <v>646</v>
      </c>
      <c r="E908" s="32" t="s">
        <v>494</v>
      </c>
      <c r="F908" s="32" t="s">
        <v>581</v>
      </c>
      <c r="G908" s="32" t="str">
        <f t="shared" si="28"/>
        <v>1" ST EXTN</v>
      </c>
      <c r="H908" s="278" t="s">
        <v>471</v>
      </c>
      <c r="I908" s="32" t="s">
        <v>462</v>
      </c>
      <c r="J908" s="279">
        <v>4</v>
      </c>
      <c r="K908" s="280">
        <v>26398.16</v>
      </c>
      <c r="L908" s="280">
        <v>26398.16</v>
      </c>
      <c r="M908" s="280">
        <v>0</v>
      </c>
      <c r="N908" s="281">
        <v>402</v>
      </c>
      <c r="O908" s="282">
        <v>583</v>
      </c>
      <c r="P908" s="280">
        <f t="shared" si="29"/>
        <v>38283.898706467662</v>
      </c>
    </row>
    <row r="909" spans="1:16" x14ac:dyDescent="0.2">
      <c r="A909" s="32" t="s">
        <v>645</v>
      </c>
      <c r="B909" s="32" t="s">
        <v>635</v>
      </c>
      <c r="C909" s="32" t="s">
        <v>636</v>
      </c>
      <c r="D909" s="32" t="s">
        <v>646</v>
      </c>
      <c r="E909" s="32" t="s">
        <v>494</v>
      </c>
      <c r="F909" s="32" t="s">
        <v>581</v>
      </c>
      <c r="G909" s="32" t="str">
        <f t="shared" si="28"/>
        <v>1" ST EXTN</v>
      </c>
      <c r="H909" s="278" t="s">
        <v>476</v>
      </c>
      <c r="I909" s="32" t="s">
        <v>462</v>
      </c>
      <c r="J909" s="279">
        <v>12</v>
      </c>
      <c r="K909" s="280">
        <v>73208.14</v>
      </c>
      <c r="L909" s="280">
        <v>73208.14</v>
      </c>
      <c r="M909" s="280">
        <v>0</v>
      </c>
      <c r="N909" s="281">
        <v>432</v>
      </c>
      <c r="O909" s="282">
        <v>583</v>
      </c>
      <c r="P909" s="280">
        <f t="shared" si="29"/>
        <v>98797.096342592587</v>
      </c>
    </row>
    <row r="910" spans="1:16" x14ac:dyDescent="0.2">
      <c r="A910" s="32" t="s">
        <v>645</v>
      </c>
      <c r="B910" s="32" t="s">
        <v>635</v>
      </c>
      <c r="C910" s="32" t="s">
        <v>636</v>
      </c>
      <c r="D910" s="32" t="s">
        <v>646</v>
      </c>
      <c r="E910" s="32" t="s">
        <v>494</v>
      </c>
      <c r="F910" s="32" t="s">
        <v>581</v>
      </c>
      <c r="G910" s="32" t="str">
        <f t="shared" si="28"/>
        <v>1" ST EXTN</v>
      </c>
      <c r="H910" s="278" t="s">
        <v>477</v>
      </c>
      <c r="I910" s="32" t="s">
        <v>462</v>
      </c>
      <c r="J910" s="279">
        <v>1</v>
      </c>
      <c r="K910" s="280">
        <v>13847.81</v>
      </c>
      <c r="L910" s="280">
        <v>13847.81</v>
      </c>
      <c r="M910" s="280">
        <v>0</v>
      </c>
      <c r="N910" s="281">
        <v>517</v>
      </c>
      <c r="O910" s="282">
        <v>583</v>
      </c>
      <c r="P910" s="280">
        <f t="shared" si="29"/>
        <v>15615.615531914893</v>
      </c>
    </row>
    <row r="911" spans="1:16" x14ac:dyDescent="0.2">
      <c r="A911" s="32" t="s">
        <v>645</v>
      </c>
      <c r="B911" s="32" t="s">
        <v>635</v>
      </c>
      <c r="C911" s="32" t="s">
        <v>636</v>
      </c>
      <c r="D911" s="32" t="s">
        <v>646</v>
      </c>
      <c r="E911" s="32" t="s">
        <v>494</v>
      </c>
      <c r="F911" s="32" t="s">
        <v>581</v>
      </c>
      <c r="G911" s="32" t="str">
        <f t="shared" si="28"/>
        <v>1" ST EXTN</v>
      </c>
      <c r="H911" s="278" t="s">
        <v>470</v>
      </c>
      <c r="I911" s="32" t="s">
        <v>462</v>
      </c>
      <c r="J911" s="279">
        <v>1</v>
      </c>
      <c r="K911" s="280">
        <v>3384.54</v>
      </c>
      <c r="L911" s="280">
        <v>3384.54</v>
      </c>
      <c r="M911" s="280">
        <v>0</v>
      </c>
      <c r="N911" s="281">
        <v>514</v>
      </c>
      <c r="O911" s="282">
        <v>583</v>
      </c>
      <c r="P911" s="280">
        <f t="shared" si="29"/>
        <v>3838.8848638132295</v>
      </c>
    </row>
    <row r="912" spans="1:16" x14ac:dyDescent="0.2">
      <c r="A912" s="32" t="s">
        <v>645</v>
      </c>
      <c r="B912" s="32" t="s">
        <v>635</v>
      </c>
      <c r="C912" s="32" t="s">
        <v>636</v>
      </c>
      <c r="D912" s="32" t="s">
        <v>646</v>
      </c>
      <c r="E912" s="32" t="s">
        <v>494</v>
      </c>
      <c r="F912" s="32" t="s">
        <v>581</v>
      </c>
      <c r="G912" s="32" t="str">
        <f t="shared" si="28"/>
        <v>1" ST EXTN</v>
      </c>
      <c r="H912" s="278" t="s">
        <v>461</v>
      </c>
      <c r="I912" s="32" t="s">
        <v>462</v>
      </c>
      <c r="J912" s="279">
        <v>2</v>
      </c>
      <c r="K912" s="280">
        <v>22755.39</v>
      </c>
      <c r="L912" s="280">
        <v>22755.39</v>
      </c>
      <c r="M912" s="280">
        <v>0</v>
      </c>
      <c r="N912" s="281">
        <v>568</v>
      </c>
      <c r="O912" s="282">
        <v>583</v>
      </c>
      <c r="P912" s="280">
        <f t="shared" si="29"/>
        <v>23356.324595070419</v>
      </c>
    </row>
    <row r="913" spans="1:16" x14ac:dyDescent="0.2">
      <c r="A913" s="32" t="s">
        <v>645</v>
      </c>
      <c r="B913" s="32" t="s">
        <v>635</v>
      </c>
      <c r="C913" s="32" t="s">
        <v>636</v>
      </c>
      <c r="D913" s="32" t="s">
        <v>646</v>
      </c>
      <c r="E913" s="32" t="s">
        <v>494</v>
      </c>
      <c r="F913" s="32" t="s">
        <v>581</v>
      </c>
      <c r="G913" s="32" t="str">
        <f t="shared" si="28"/>
        <v>1" ST EXTN</v>
      </c>
      <c r="H913" s="278" t="s">
        <v>461</v>
      </c>
      <c r="I913" s="32" t="s">
        <v>462</v>
      </c>
      <c r="J913" s="279">
        <v>3</v>
      </c>
      <c r="K913" s="280">
        <v>11124.94</v>
      </c>
      <c r="L913" s="280">
        <v>11124.94</v>
      </c>
      <c r="M913" s="280">
        <v>0</v>
      </c>
      <c r="N913" s="281">
        <v>568</v>
      </c>
      <c r="O913" s="282">
        <v>583</v>
      </c>
      <c r="P913" s="280">
        <f t="shared" si="29"/>
        <v>11418.732429577465</v>
      </c>
    </row>
    <row r="914" spans="1:16" x14ac:dyDescent="0.2">
      <c r="A914" s="32" t="s">
        <v>645</v>
      </c>
      <c r="B914" s="32" t="s">
        <v>635</v>
      </c>
      <c r="C914" s="32" t="s">
        <v>636</v>
      </c>
      <c r="D914" s="32" t="s">
        <v>646</v>
      </c>
      <c r="E914" s="32" t="s">
        <v>494</v>
      </c>
      <c r="F914" s="32" t="s">
        <v>581</v>
      </c>
      <c r="G914" s="32" t="str">
        <f t="shared" si="28"/>
        <v>1" ST EXTN</v>
      </c>
      <c r="H914" s="278" t="s">
        <v>468</v>
      </c>
      <c r="I914" s="32" t="s">
        <v>462</v>
      </c>
      <c r="J914" s="279">
        <v>3</v>
      </c>
      <c r="K914" s="280">
        <v>29873.31</v>
      </c>
      <c r="L914" s="280">
        <v>29873.31</v>
      </c>
      <c r="M914" s="280">
        <v>0</v>
      </c>
      <c r="N914" s="281">
        <v>561</v>
      </c>
      <c r="O914" s="282">
        <v>583</v>
      </c>
      <c r="P914" s="280">
        <f t="shared" si="29"/>
        <v>31044.812352941179</v>
      </c>
    </row>
    <row r="915" spans="1:16" x14ac:dyDescent="0.2">
      <c r="A915" s="32" t="s">
        <v>645</v>
      </c>
      <c r="B915" s="32" t="s">
        <v>635</v>
      </c>
      <c r="C915" s="32" t="s">
        <v>636</v>
      </c>
      <c r="D915" s="32" t="s">
        <v>646</v>
      </c>
      <c r="E915" s="32" t="s">
        <v>494</v>
      </c>
      <c r="F915" s="32" t="s">
        <v>581</v>
      </c>
      <c r="G915" s="32" t="str">
        <f t="shared" si="28"/>
        <v>1" ST EXTN</v>
      </c>
      <c r="H915" s="278" t="s">
        <v>469</v>
      </c>
      <c r="I915" s="32" t="s">
        <v>462</v>
      </c>
      <c r="J915" s="279">
        <v>1</v>
      </c>
      <c r="K915" s="280">
        <v>14228.64</v>
      </c>
      <c r="L915" s="280">
        <v>4371.16</v>
      </c>
      <c r="M915" s="280">
        <v>9857.48</v>
      </c>
      <c r="N915" s="281">
        <v>583</v>
      </c>
      <c r="O915" s="282">
        <v>583</v>
      </c>
      <c r="P915" s="280">
        <f t="shared" si="29"/>
        <v>14228.64</v>
      </c>
    </row>
    <row r="916" spans="1:16" x14ac:dyDescent="0.2">
      <c r="A916" s="32" t="s">
        <v>647</v>
      </c>
      <c r="B916" s="32" t="s">
        <v>635</v>
      </c>
      <c r="C916" s="32" t="s">
        <v>636</v>
      </c>
      <c r="D916" s="32" t="s">
        <v>646</v>
      </c>
      <c r="E916" s="32" t="s">
        <v>494</v>
      </c>
      <c r="F916" s="32" t="s">
        <v>584</v>
      </c>
      <c r="G916" s="32" t="str">
        <f t="shared" si="28"/>
        <v>1" ST STUB</v>
      </c>
      <c r="H916" s="278" t="s">
        <v>530</v>
      </c>
      <c r="I916" s="32" t="s">
        <v>462</v>
      </c>
      <c r="J916" s="279">
        <v>4114</v>
      </c>
      <c r="K916" s="280">
        <v>177876.77</v>
      </c>
      <c r="L916" s="280">
        <v>177876.77</v>
      </c>
      <c r="M916" s="280">
        <v>0</v>
      </c>
      <c r="N916" s="281">
        <v>65</v>
      </c>
      <c r="O916" s="282">
        <v>583</v>
      </c>
      <c r="P916" s="280">
        <f t="shared" si="29"/>
        <v>1595417.7986153846</v>
      </c>
    </row>
    <row r="917" spans="1:16" x14ac:dyDescent="0.2">
      <c r="A917" s="32" t="s">
        <v>647</v>
      </c>
      <c r="B917" s="32" t="s">
        <v>635</v>
      </c>
      <c r="C917" s="32" t="s">
        <v>636</v>
      </c>
      <c r="D917" s="32" t="s">
        <v>646</v>
      </c>
      <c r="E917" s="32" t="s">
        <v>494</v>
      </c>
      <c r="F917" s="32" t="s">
        <v>584</v>
      </c>
      <c r="G917" s="32" t="str">
        <f t="shared" si="28"/>
        <v>1" ST STUB</v>
      </c>
      <c r="H917" s="278" t="s">
        <v>534</v>
      </c>
      <c r="I917" s="32" t="s">
        <v>462</v>
      </c>
      <c r="J917" s="279">
        <v>5003</v>
      </c>
      <c r="K917" s="280">
        <v>236197.2</v>
      </c>
      <c r="L917" s="280">
        <v>236197.2</v>
      </c>
      <c r="M917" s="280">
        <v>0</v>
      </c>
      <c r="N917" s="281">
        <v>68</v>
      </c>
      <c r="O917" s="282">
        <v>583</v>
      </c>
      <c r="P917" s="280">
        <f t="shared" si="29"/>
        <v>2025043.6411764708</v>
      </c>
    </row>
    <row r="918" spans="1:16" x14ac:dyDescent="0.2">
      <c r="A918" s="32" t="s">
        <v>647</v>
      </c>
      <c r="B918" s="32" t="s">
        <v>635</v>
      </c>
      <c r="C918" s="32" t="s">
        <v>636</v>
      </c>
      <c r="D918" s="32" t="s">
        <v>646</v>
      </c>
      <c r="E918" s="32" t="s">
        <v>494</v>
      </c>
      <c r="F918" s="32" t="s">
        <v>584</v>
      </c>
      <c r="G918" s="32" t="str">
        <f t="shared" si="28"/>
        <v>1" ST STUB</v>
      </c>
      <c r="H918" s="278" t="s">
        <v>532</v>
      </c>
      <c r="I918" s="32" t="s">
        <v>462</v>
      </c>
      <c r="J918" s="279">
        <v>6178</v>
      </c>
      <c r="K918" s="280">
        <v>271632.43</v>
      </c>
      <c r="L918" s="280">
        <v>271632.43</v>
      </c>
      <c r="M918" s="280">
        <v>0</v>
      </c>
      <c r="N918" s="281">
        <v>71</v>
      </c>
      <c r="O918" s="282">
        <v>583</v>
      </c>
      <c r="P918" s="280">
        <f t="shared" si="29"/>
        <v>2230446.5730985911</v>
      </c>
    </row>
    <row r="919" spans="1:16" x14ac:dyDescent="0.2">
      <c r="A919" s="32" t="s">
        <v>647</v>
      </c>
      <c r="B919" s="32" t="s">
        <v>635</v>
      </c>
      <c r="C919" s="32" t="s">
        <v>636</v>
      </c>
      <c r="D919" s="32" t="s">
        <v>646</v>
      </c>
      <c r="E919" s="32" t="s">
        <v>494</v>
      </c>
      <c r="F919" s="32" t="s">
        <v>584</v>
      </c>
      <c r="G919" s="32" t="str">
        <f t="shared" si="28"/>
        <v>1" ST STUB</v>
      </c>
      <c r="H919" s="278" t="s">
        <v>535</v>
      </c>
      <c r="I919" s="32" t="s">
        <v>462</v>
      </c>
      <c r="J919" s="279">
        <v>7225</v>
      </c>
      <c r="K919" s="280">
        <v>346073.43</v>
      </c>
      <c r="L919" s="280">
        <v>346073.43</v>
      </c>
      <c r="M919" s="280">
        <v>0</v>
      </c>
      <c r="N919" s="281">
        <v>74</v>
      </c>
      <c r="O919" s="282">
        <v>583</v>
      </c>
      <c r="P919" s="280">
        <f t="shared" si="29"/>
        <v>2726497.4282432431</v>
      </c>
    </row>
    <row r="920" spans="1:16" x14ac:dyDescent="0.2">
      <c r="A920" s="32" t="s">
        <v>647</v>
      </c>
      <c r="B920" s="32" t="s">
        <v>635</v>
      </c>
      <c r="C920" s="32" t="s">
        <v>636</v>
      </c>
      <c r="D920" s="32" t="s">
        <v>646</v>
      </c>
      <c r="E920" s="32" t="s">
        <v>494</v>
      </c>
      <c r="F920" s="32" t="s">
        <v>584</v>
      </c>
      <c r="G920" s="32" t="str">
        <f t="shared" si="28"/>
        <v>1" ST STUB</v>
      </c>
      <c r="H920" s="278" t="s">
        <v>533</v>
      </c>
      <c r="I920" s="32" t="s">
        <v>462</v>
      </c>
      <c r="J920" s="279">
        <v>5720</v>
      </c>
      <c r="K920" s="280">
        <v>295727.94</v>
      </c>
      <c r="L920" s="280">
        <v>295727.94</v>
      </c>
      <c r="M920" s="280">
        <v>0</v>
      </c>
      <c r="N920" s="281">
        <v>78</v>
      </c>
      <c r="O920" s="282">
        <v>583</v>
      </c>
      <c r="P920" s="280">
        <f t="shared" si="29"/>
        <v>2210376.7823076923</v>
      </c>
    </row>
    <row r="921" spans="1:16" x14ac:dyDescent="0.2">
      <c r="A921" s="32" t="s">
        <v>647</v>
      </c>
      <c r="B921" s="32" t="s">
        <v>635</v>
      </c>
      <c r="C921" s="32" t="s">
        <v>636</v>
      </c>
      <c r="D921" s="32" t="s">
        <v>646</v>
      </c>
      <c r="E921" s="32" t="s">
        <v>494</v>
      </c>
      <c r="F921" s="32" t="s">
        <v>584</v>
      </c>
      <c r="G921" s="32" t="str">
        <f t="shared" si="28"/>
        <v>1" ST STUB</v>
      </c>
      <c r="H921" s="278" t="s">
        <v>531</v>
      </c>
      <c r="I921" s="32" t="s">
        <v>462</v>
      </c>
      <c r="J921" s="279">
        <v>4158</v>
      </c>
      <c r="K921" s="280">
        <v>257106.54</v>
      </c>
      <c r="L921" s="280">
        <v>257106.54</v>
      </c>
      <c r="M921" s="280">
        <v>0</v>
      </c>
      <c r="N921" s="281">
        <v>84</v>
      </c>
      <c r="O921" s="282">
        <v>583</v>
      </c>
      <c r="P921" s="280">
        <f t="shared" si="29"/>
        <v>1784441.8192857143</v>
      </c>
    </row>
    <row r="922" spans="1:16" x14ac:dyDescent="0.2">
      <c r="A922" s="32" t="s">
        <v>647</v>
      </c>
      <c r="B922" s="32" t="s">
        <v>635</v>
      </c>
      <c r="C922" s="32" t="s">
        <v>636</v>
      </c>
      <c r="D922" s="32" t="s">
        <v>646</v>
      </c>
      <c r="E922" s="32" t="s">
        <v>494</v>
      </c>
      <c r="F922" s="32" t="s">
        <v>584</v>
      </c>
      <c r="G922" s="32" t="str">
        <f t="shared" si="28"/>
        <v>1" ST STUB</v>
      </c>
      <c r="H922" s="278" t="s">
        <v>527</v>
      </c>
      <c r="I922" s="32" t="s">
        <v>462</v>
      </c>
      <c r="J922" s="279">
        <v>3607</v>
      </c>
      <c r="K922" s="280">
        <v>228884.83</v>
      </c>
      <c r="L922" s="280">
        <v>228884.83</v>
      </c>
      <c r="M922" s="280">
        <v>0</v>
      </c>
      <c r="N922" s="281">
        <v>90</v>
      </c>
      <c r="O922" s="282">
        <v>583</v>
      </c>
      <c r="P922" s="280">
        <f t="shared" si="29"/>
        <v>1482665.0654444443</v>
      </c>
    </row>
    <row r="923" spans="1:16" x14ac:dyDescent="0.2">
      <c r="A923" s="32" t="s">
        <v>647</v>
      </c>
      <c r="B923" s="32" t="s">
        <v>635</v>
      </c>
      <c r="C923" s="32" t="s">
        <v>636</v>
      </c>
      <c r="D923" s="32" t="s">
        <v>646</v>
      </c>
      <c r="E923" s="32" t="s">
        <v>494</v>
      </c>
      <c r="F923" s="32" t="s">
        <v>584</v>
      </c>
      <c r="G923" s="32" t="str">
        <f t="shared" si="28"/>
        <v>1" ST STUB</v>
      </c>
      <c r="H923" s="278" t="s">
        <v>528</v>
      </c>
      <c r="I923" s="32" t="s">
        <v>462</v>
      </c>
      <c r="J923" s="279">
        <v>3548</v>
      </c>
      <c r="K923" s="280">
        <v>267990.21000000002</v>
      </c>
      <c r="L923" s="280">
        <v>267990.21000000002</v>
      </c>
      <c r="M923" s="280">
        <v>0</v>
      </c>
      <c r="N923" s="281">
        <v>96</v>
      </c>
      <c r="O923" s="282">
        <v>583</v>
      </c>
      <c r="P923" s="280">
        <f t="shared" si="29"/>
        <v>1627482.2128125003</v>
      </c>
    </row>
    <row r="924" spans="1:16" x14ac:dyDescent="0.2">
      <c r="A924" s="32" t="s">
        <v>647</v>
      </c>
      <c r="B924" s="32" t="s">
        <v>635</v>
      </c>
      <c r="C924" s="32" t="s">
        <v>636</v>
      </c>
      <c r="D924" s="32" t="s">
        <v>646</v>
      </c>
      <c r="E924" s="32" t="s">
        <v>494</v>
      </c>
      <c r="F924" s="32" t="s">
        <v>584</v>
      </c>
      <c r="G924" s="32" t="str">
        <f t="shared" si="28"/>
        <v>1" ST STUB</v>
      </c>
      <c r="H924" s="278" t="s">
        <v>529</v>
      </c>
      <c r="I924" s="32" t="s">
        <v>462</v>
      </c>
      <c r="J924" s="279">
        <v>3611</v>
      </c>
      <c r="K924" s="280">
        <v>276896.46000000002</v>
      </c>
      <c r="L924" s="280">
        <v>276896.46000000002</v>
      </c>
      <c r="M924" s="280">
        <v>0</v>
      </c>
      <c r="N924" s="281">
        <v>100</v>
      </c>
      <c r="O924" s="282">
        <v>583</v>
      </c>
      <c r="P924" s="280">
        <f t="shared" si="29"/>
        <v>1614306.3618000001</v>
      </c>
    </row>
    <row r="925" spans="1:16" x14ac:dyDescent="0.2">
      <c r="A925" s="32" t="s">
        <v>647</v>
      </c>
      <c r="B925" s="32" t="s">
        <v>635</v>
      </c>
      <c r="C925" s="32" t="s">
        <v>636</v>
      </c>
      <c r="D925" s="32" t="s">
        <v>646</v>
      </c>
      <c r="E925" s="32" t="s">
        <v>494</v>
      </c>
      <c r="F925" s="32" t="s">
        <v>584</v>
      </c>
      <c r="G925" s="32" t="str">
        <f t="shared" si="28"/>
        <v>1" ST STUB</v>
      </c>
      <c r="H925" s="278" t="s">
        <v>525</v>
      </c>
      <c r="I925" s="32" t="s">
        <v>462</v>
      </c>
      <c r="J925" s="279">
        <v>2073</v>
      </c>
      <c r="K925" s="280">
        <v>146925.47</v>
      </c>
      <c r="L925" s="280">
        <v>146925.47</v>
      </c>
      <c r="M925" s="280">
        <v>0</v>
      </c>
      <c r="N925" s="281">
        <v>113</v>
      </c>
      <c r="O925" s="282">
        <v>583</v>
      </c>
      <c r="P925" s="280">
        <f t="shared" si="29"/>
        <v>758031.40716814157</v>
      </c>
    </row>
    <row r="926" spans="1:16" x14ac:dyDescent="0.2">
      <c r="A926" s="32" t="s">
        <v>647</v>
      </c>
      <c r="B926" s="32" t="s">
        <v>635</v>
      </c>
      <c r="C926" s="32" t="s">
        <v>636</v>
      </c>
      <c r="D926" s="32" t="s">
        <v>646</v>
      </c>
      <c r="E926" s="32" t="s">
        <v>494</v>
      </c>
      <c r="F926" s="32" t="s">
        <v>584</v>
      </c>
      <c r="G926" s="32" t="str">
        <f t="shared" si="28"/>
        <v>1" ST STUB</v>
      </c>
      <c r="H926" s="278" t="s">
        <v>524</v>
      </c>
      <c r="I926" s="32" t="s">
        <v>462</v>
      </c>
      <c r="J926" s="279">
        <v>653</v>
      </c>
      <c r="K926" s="280">
        <v>73135.78</v>
      </c>
      <c r="L926" s="280">
        <v>73135.78</v>
      </c>
      <c r="M926" s="280">
        <v>0</v>
      </c>
      <c r="N926" s="281">
        <v>133</v>
      </c>
      <c r="O926" s="282">
        <v>583</v>
      </c>
      <c r="P926" s="280">
        <f t="shared" si="29"/>
        <v>320587.66721804516</v>
      </c>
    </row>
    <row r="927" spans="1:16" x14ac:dyDescent="0.2">
      <c r="A927" s="32" t="s">
        <v>647</v>
      </c>
      <c r="B927" s="32" t="s">
        <v>635</v>
      </c>
      <c r="C927" s="32" t="s">
        <v>636</v>
      </c>
      <c r="D927" s="32" t="s">
        <v>646</v>
      </c>
      <c r="E927" s="32" t="s">
        <v>494</v>
      </c>
      <c r="F927" s="32" t="s">
        <v>584</v>
      </c>
      <c r="G927" s="32" t="str">
        <f t="shared" si="28"/>
        <v>1" ST STUB</v>
      </c>
      <c r="H927" s="278" t="s">
        <v>522</v>
      </c>
      <c r="I927" s="32" t="s">
        <v>462</v>
      </c>
      <c r="J927" s="279">
        <v>408</v>
      </c>
      <c r="K927" s="280">
        <v>59947.25</v>
      </c>
      <c r="L927" s="280">
        <v>59947.25</v>
      </c>
      <c r="M927" s="280">
        <v>0</v>
      </c>
      <c r="N927" s="281">
        <v>143</v>
      </c>
      <c r="O927" s="282">
        <v>583</v>
      </c>
      <c r="P927" s="280">
        <f t="shared" si="29"/>
        <v>244400.32692307691</v>
      </c>
    </row>
    <row r="928" spans="1:16" x14ac:dyDescent="0.2">
      <c r="A928" s="32" t="s">
        <v>647</v>
      </c>
      <c r="B928" s="32" t="s">
        <v>635</v>
      </c>
      <c r="C928" s="32" t="s">
        <v>636</v>
      </c>
      <c r="D928" s="32" t="s">
        <v>646</v>
      </c>
      <c r="E928" s="32" t="s">
        <v>494</v>
      </c>
      <c r="F928" s="32" t="s">
        <v>584</v>
      </c>
      <c r="G928" s="32" t="str">
        <f t="shared" si="28"/>
        <v>1" ST STUB</v>
      </c>
      <c r="H928" s="278" t="s">
        <v>526</v>
      </c>
      <c r="I928" s="32" t="s">
        <v>462</v>
      </c>
      <c r="J928" s="279">
        <v>652</v>
      </c>
      <c r="K928" s="280">
        <v>126945.4</v>
      </c>
      <c r="L928" s="280">
        <v>126945.4</v>
      </c>
      <c r="M928" s="280">
        <v>0</v>
      </c>
      <c r="N928" s="281">
        <v>153</v>
      </c>
      <c r="O928" s="282">
        <v>583</v>
      </c>
      <c r="P928" s="280">
        <f t="shared" si="29"/>
        <v>483720.05359477119</v>
      </c>
    </row>
    <row r="929" spans="1:16" x14ac:dyDescent="0.2">
      <c r="A929" s="32" t="s">
        <v>647</v>
      </c>
      <c r="B929" s="32" t="s">
        <v>635</v>
      </c>
      <c r="C929" s="32" t="s">
        <v>636</v>
      </c>
      <c r="D929" s="32" t="s">
        <v>646</v>
      </c>
      <c r="E929" s="32" t="s">
        <v>494</v>
      </c>
      <c r="F929" s="32" t="s">
        <v>584</v>
      </c>
      <c r="G929" s="32" t="str">
        <f t="shared" si="28"/>
        <v>1" ST STUB</v>
      </c>
      <c r="H929" s="278" t="s">
        <v>486</v>
      </c>
      <c r="I929" s="32" t="s">
        <v>462</v>
      </c>
      <c r="J929" s="279">
        <v>8</v>
      </c>
      <c r="K929" s="280">
        <v>3233.07</v>
      </c>
      <c r="L929" s="280">
        <v>3233.07</v>
      </c>
      <c r="M929" s="280">
        <v>0</v>
      </c>
      <c r="N929" s="281">
        <v>166</v>
      </c>
      <c r="O929" s="282">
        <v>583</v>
      </c>
      <c r="P929" s="280">
        <f t="shared" si="29"/>
        <v>11354.697650602411</v>
      </c>
    </row>
    <row r="930" spans="1:16" x14ac:dyDescent="0.2">
      <c r="A930" s="32" t="s">
        <v>647</v>
      </c>
      <c r="B930" s="32" t="s">
        <v>635</v>
      </c>
      <c r="C930" s="32" t="s">
        <v>636</v>
      </c>
      <c r="D930" s="32" t="s">
        <v>646</v>
      </c>
      <c r="E930" s="32" t="s">
        <v>494</v>
      </c>
      <c r="F930" s="32" t="s">
        <v>584</v>
      </c>
      <c r="G930" s="32" t="str">
        <f t="shared" si="28"/>
        <v>1" ST STUB</v>
      </c>
      <c r="H930" s="278" t="s">
        <v>521</v>
      </c>
      <c r="I930" s="32" t="s">
        <v>462</v>
      </c>
      <c r="J930" s="279">
        <v>6</v>
      </c>
      <c r="K930" s="280">
        <v>1109.6600000000001</v>
      </c>
      <c r="L930" s="280">
        <v>1109.6600000000001</v>
      </c>
      <c r="M930" s="280">
        <v>0</v>
      </c>
      <c r="N930" s="281">
        <v>198</v>
      </c>
      <c r="O930" s="282">
        <v>583</v>
      </c>
      <c r="P930" s="280">
        <f t="shared" si="29"/>
        <v>3267.3322222222228</v>
      </c>
    </row>
    <row r="931" spans="1:16" x14ac:dyDescent="0.2">
      <c r="A931" s="32" t="s">
        <v>647</v>
      </c>
      <c r="B931" s="32" t="s">
        <v>635</v>
      </c>
      <c r="C931" s="32" t="s">
        <v>636</v>
      </c>
      <c r="D931" s="32" t="s">
        <v>646</v>
      </c>
      <c r="E931" s="32" t="s">
        <v>494</v>
      </c>
      <c r="F931" s="32" t="s">
        <v>584</v>
      </c>
      <c r="G931" s="32" t="str">
        <f t="shared" si="28"/>
        <v>1" ST STUB</v>
      </c>
      <c r="H931" s="278" t="s">
        <v>520</v>
      </c>
      <c r="I931" s="32" t="s">
        <v>462</v>
      </c>
      <c r="J931" s="279">
        <v>19</v>
      </c>
      <c r="K931" s="280">
        <v>5810.46</v>
      </c>
      <c r="L931" s="280">
        <v>5810.46</v>
      </c>
      <c r="M931" s="280">
        <v>0</v>
      </c>
      <c r="N931" s="281">
        <v>222</v>
      </c>
      <c r="O931" s="282">
        <v>583</v>
      </c>
      <c r="P931" s="280">
        <f t="shared" si="29"/>
        <v>15259.00081081081</v>
      </c>
    </row>
    <row r="932" spans="1:16" x14ac:dyDescent="0.2">
      <c r="A932" s="32" t="s">
        <v>647</v>
      </c>
      <c r="B932" s="32" t="s">
        <v>635</v>
      </c>
      <c r="C932" s="32" t="s">
        <v>636</v>
      </c>
      <c r="D932" s="32" t="s">
        <v>646</v>
      </c>
      <c r="E932" s="32" t="s">
        <v>494</v>
      </c>
      <c r="F932" s="32" t="s">
        <v>584</v>
      </c>
      <c r="G932" s="32" t="str">
        <f t="shared" si="28"/>
        <v>1" ST STUB</v>
      </c>
      <c r="H932" s="278" t="s">
        <v>518</v>
      </c>
      <c r="I932" s="32" t="s">
        <v>462</v>
      </c>
      <c r="J932" s="279">
        <v>7</v>
      </c>
      <c r="K932" s="280">
        <v>1725.49</v>
      </c>
      <c r="L932" s="280">
        <v>1725.49</v>
      </c>
      <c r="M932" s="280">
        <v>0</v>
      </c>
      <c r="N932" s="281">
        <v>245</v>
      </c>
      <c r="O932" s="282">
        <v>583</v>
      </c>
      <c r="P932" s="280">
        <f t="shared" si="29"/>
        <v>4105.9619183673467</v>
      </c>
    </row>
    <row r="933" spans="1:16" x14ac:dyDescent="0.2">
      <c r="A933" s="32" t="s">
        <v>647</v>
      </c>
      <c r="B933" s="32" t="s">
        <v>635</v>
      </c>
      <c r="C933" s="32" t="s">
        <v>636</v>
      </c>
      <c r="D933" s="32" t="s">
        <v>646</v>
      </c>
      <c r="E933" s="32" t="s">
        <v>494</v>
      </c>
      <c r="F933" s="32" t="s">
        <v>584</v>
      </c>
      <c r="G933" s="32" t="str">
        <f t="shared" si="28"/>
        <v>1" ST STUB</v>
      </c>
      <c r="H933" s="278" t="s">
        <v>517</v>
      </c>
      <c r="I933" s="32" t="s">
        <v>462</v>
      </c>
      <c r="J933" s="279">
        <v>23</v>
      </c>
      <c r="K933" s="280">
        <v>6825.43</v>
      </c>
      <c r="L933" s="280">
        <v>6825.43</v>
      </c>
      <c r="M933" s="280">
        <v>0</v>
      </c>
      <c r="N933" s="281">
        <v>254</v>
      </c>
      <c r="O933" s="282">
        <v>583</v>
      </c>
      <c r="P933" s="280">
        <f t="shared" si="29"/>
        <v>15666.242874015748</v>
      </c>
    </row>
    <row r="934" spans="1:16" x14ac:dyDescent="0.2">
      <c r="A934" s="32" t="s">
        <v>647</v>
      </c>
      <c r="B934" s="32" t="s">
        <v>635</v>
      </c>
      <c r="C934" s="32" t="s">
        <v>636</v>
      </c>
      <c r="D934" s="32" t="s">
        <v>646</v>
      </c>
      <c r="E934" s="32" t="s">
        <v>494</v>
      </c>
      <c r="F934" s="32" t="s">
        <v>584</v>
      </c>
      <c r="G934" s="32" t="str">
        <f t="shared" si="28"/>
        <v>1" ST STUB</v>
      </c>
      <c r="H934" s="278" t="s">
        <v>463</v>
      </c>
      <c r="I934" s="32" t="s">
        <v>462</v>
      </c>
      <c r="J934" s="279">
        <v>9</v>
      </c>
      <c r="K934" s="280">
        <v>4190.12</v>
      </c>
      <c r="L934" s="280">
        <v>4190.12</v>
      </c>
      <c r="M934" s="280">
        <v>0</v>
      </c>
      <c r="N934" s="281">
        <v>262</v>
      </c>
      <c r="O934" s="282">
        <v>583</v>
      </c>
      <c r="P934" s="280">
        <f t="shared" si="29"/>
        <v>9323.8166412213741</v>
      </c>
    </row>
    <row r="935" spans="1:16" x14ac:dyDescent="0.2">
      <c r="A935" s="32" t="s">
        <v>647</v>
      </c>
      <c r="B935" s="32" t="s">
        <v>635</v>
      </c>
      <c r="C935" s="32" t="s">
        <v>636</v>
      </c>
      <c r="D935" s="32" t="s">
        <v>646</v>
      </c>
      <c r="E935" s="32" t="s">
        <v>494</v>
      </c>
      <c r="F935" s="32" t="s">
        <v>584</v>
      </c>
      <c r="G935" s="32" t="str">
        <f t="shared" si="28"/>
        <v>1" ST STUB</v>
      </c>
      <c r="H935" s="278" t="s">
        <v>464</v>
      </c>
      <c r="I935" s="32" t="s">
        <v>462</v>
      </c>
      <c r="J935" s="279">
        <v>5</v>
      </c>
      <c r="K935" s="280">
        <v>2103.41</v>
      </c>
      <c r="L935" s="280">
        <v>2103.41</v>
      </c>
      <c r="M935" s="280">
        <v>0</v>
      </c>
      <c r="N935" s="281">
        <v>266</v>
      </c>
      <c r="O935" s="282">
        <v>583</v>
      </c>
      <c r="P935" s="280">
        <f t="shared" si="29"/>
        <v>4610.1053759398501</v>
      </c>
    </row>
    <row r="936" spans="1:16" x14ac:dyDescent="0.2">
      <c r="A936" s="32" t="s">
        <v>647</v>
      </c>
      <c r="B936" s="32" t="s">
        <v>635</v>
      </c>
      <c r="C936" s="32" t="s">
        <v>636</v>
      </c>
      <c r="D936" s="32" t="s">
        <v>646</v>
      </c>
      <c r="E936" s="32" t="s">
        <v>494</v>
      </c>
      <c r="F936" s="32" t="s">
        <v>584</v>
      </c>
      <c r="G936" s="32" t="str">
        <f t="shared" si="28"/>
        <v>1" ST STUB</v>
      </c>
      <c r="H936" s="278" t="s">
        <v>515</v>
      </c>
      <c r="I936" s="32" t="s">
        <v>462</v>
      </c>
      <c r="J936" s="279">
        <v>7</v>
      </c>
      <c r="K936" s="280">
        <v>3350.14</v>
      </c>
      <c r="L936" s="280">
        <v>3350.14</v>
      </c>
      <c r="M936" s="280">
        <v>0</v>
      </c>
      <c r="N936" s="281">
        <v>264</v>
      </c>
      <c r="O936" s="282">
        <v>583</v>
      </c>
      <c r="P936" s="280">
        <f t="shared" si="29"/>
        <v>7398.2258333333339</v>
      </c>
    </row>
    <row r="937" spans="1:16" x14ac:dyDescent="0.2">
      <c r="A937" s="32" t="s">
        <v>647</v>
      </c>
      <c r="B937" s="32" t="s">
        <v>635</v>
      </c>
      <c r="C937" s="32" t="s">
        <v>636</v>
      </c>
      <c r="D937" s="32" t="s">
        <v>646</v>
      </c>
      <c r="E937" s="32" t="s">
        <v>494</v>
      </c>
      <c r="F937" s="32" t="s">
        <v>584</v>
      </c>
      <c r="G937" s="32" t="str">
        <f t="shared" si="28"/>
        <v>1" ST STUB</v>
      </c>
      <c r="H937" s="278" t="s">
        <v>523</v>
      </c>
      <c r="I937" s="32" t="s">
        <v>462</v>
      </c>
      <c r="J937" s="279">
        <v>4</v>
      </c>
      <c r="K937" s="280">
        <v>5056.97</v>
      </c>
      <c r="L937" s="280">
        <v>5056.97</v>
      </c>
      <c r="M937" s="280">
        <v>0</v>
      </c>
      <c r="N937" s="281">
        <v>273</v>
      </c>
      <c r="O937" s="282">
        <v>583</v>
      </c>
      <c r="P937" s="280">
        <f t="shared" si="29"/>
        <v>10799.316886446886</v>
      </c>
    </row>
    <row r="938" spans="1:16" x14ac:dyDescent="0.2">
      <c r="A938" s="32" t="s">
        <v>647</v>
      </c>
      <c r="B938" s="32" t="s">
        <v>635</v>
      </c>
      <c r="C938" s="32" t="s">
        <v>636</v>
      </c>
      <c r="D938" s="32" t="s">
        <v>646</v>
      </c>
      <c r="E938" s="32" t="s">
        <v>494</v>
      </c>
      <c r="F938" s="32" t="s">
        <v>584</v>
      </c>
      <c r="G938" s="32" t="str">
        <f t="shared" si="28"/>
        <v>1" ST STUB</v>
      </c>
      <c r="H938" s="278" t="s">
        <v>516</v>
      </c>
      <c r="I938" s="32" t="s">
        <v>462</v>
      </c>
      <c r="J938" s="279">
        <v>34</v>
      </c>
      <c r="K938" s="280">
        <v>20910.330000000002</v>
      </c>
      <c r="L938" s="280">
        <v>20910.330000000002</v>
      </c>
      <c r="M938" s="280">
        <v>0</v>
      </c>
      <c r="N938" s="281">
        <v>283</v>
      </c>
      <c r="O938" s="282">
        <v>583</v>
      </c>
      <c r="P938" s="280">
        <f t="shared" si="29"/>
        <v>43076.757561837461</v>
      </c>
    </row>
    <row r="939" spans="1:16" x14ac:dyDescent="0.2">
      <c r="A939" s="32" t="s">
        <v>647</v>
      </c>
      <c r="B939" s="32" t="s">
        <v>635</v>
      </c>
      <c r="C939" s="32" t="s">
        <v>636</v>
      </c>
      <c r="D939" s="32" t="s">
        <v>646</v>
      </c>
      <c r="E939" s="32" t="s">
        <v>494</v>
      </c>
      <c r="F939" s="32" t="s">
        <v>584</v>
      </c>
      <c r="G939" s="32" t="str">
        <f t="shared" si="28"/>
        <v>1" ST STUB</v>
      </c>
      <c r="H939" s="278" t="s">
        <v>466</v>
      </c>
      <c r="I939" s="32" t="s">
        <v>462</v>
      </c>
      <c r="J939" s="279">
        <v>6</v>
      </c>
      <c r="K939" s="280">
        <v>4989.5</v>
      </c>
      <c r="L939" s="280">
        <v>4989.5</v>
      </c>
      <c r="M939" s="280">
        <v>0</v>
      </c>
      <c r="N939" s="281">
        <v>294</v>
      </c>
      <c r="O939" s="282">
        <v>583</v>
      </c>
      <c r="P939" s="280">
        <f t="shared" si="29"/>
        <v>9894.1445578231305</v>
      </c>
    </row>
    <row r="940" spans="1:16" x14ac:dyDescent="0.2">
      <c r="A940" s="32" t="s">
        <v>647</v>
      </c>
      <c r="B940" s="32" t="s">
        <v>635</v>
      </c>
      <c r="C940" s="32" t="s">
        <v>636</v>
      </c>
      <c r="D940" s="32" t="s">
        <v>646</v>
      </c>
      <c r="E940" s="32" t="s">
        <v>494</v>
      </c>
      <c r="F940" s="32" t="s">
        <v>584</v>
      </c>
      <c r="G940" s="32" t="str">
        <f t="shared" si="28"/>
        <v>1" ST STUB</v>
      </c>
      <c r="H940" s="278" t="s">
        <v>465</v>
      </c>
      <c r="I940" s="32" t="s">
        <v>462</v>
      </c>
      <c r="J940" s="279">
        <v>8</v>
      </c>
      <c r="K940" s="280">
        <v>7300.14</v>
      </c>
      <c r="L940" s="280">
        <v>7300.14</v>
      </c>
      <c r="M940" s="280">
        <v>0</v>
      </c>
      <c r="N940" s="281">
        <v>308</v>
      </c>
      <c r="O940" s="282">
        <v>583</v>
      </c>
      <c r="P940" s="280">
        <f t="shared" si="29"/>
        <v>13818.122142857143</v>
      </c>
    </row>
    <row r="941" spans="1:16" x14ac:dyDescent="0.2">
      <c r="A941" s="32" t="s">
        <v>647</v>
      </c>
      <c r="B941" s="32" t="s">
        <v>635</v>
      </c>
      <c r="C941" s="32" t="s">
        <v>636</v>
      </c>
      <c r="D941" s="32" t="s">
        <v>646</v>
      </c>
      <c r="E941" s="32" t="s">
        <v>494</v>
      </c>
      <c r="F941" s="32" t="s">
        <v>584</v>
      </c>
      <c r="G941" s="32" t="str">
        <f t="shared" si="28"/>
        <v>1" ST STUB</v>
      </c>
      <c r="H941" s="278" t="s">
        <v>490</v>
      </c>
      <c r="I941" s="32" t="s">
        <v>462</v>
      </c>
      <c r="J941" s="279">
        <v>12</v>
      </c>
      <c r="K941" s="280">
        <v>12046.12</v>
      </c>
      <c r="L941" s="280">
        <v>12046.12</v>
      </c>
      <c r="M941" s="280">
        <v>0</v>
      </c>
      <c r="N941" s="281">
        <v>313</v>
      </c>
      <c r="O941" s="282">
        <v>583</v>
      </c>
      <c r="P941" s="280">
        <f t="shared" si="29"/>
        <v>22437.341725239621</v>
      </c>
    </row>
    <row r="942" spans="1:16" x14ac:dyDescent="0.2">
      <c r="A942" s="32" t="s">
        <v>647</v>
      </c>
      <c r="B942" s="32" t="s">
        <v>635</v>
      </c>
      <c r="C942" s="32" t="s">
        <v>636</v>
      </c>
      <c r="D942" s="32" t="s">
        <v>646</v>
      </c>
      <c r="E942" s="32" t="s">
        <v>494</v>
      </c>
      <c r="F942" s="32" t="s">
        <v>584</v>
      </c>
      <c r="G942" s="32" t="str">
        <f t="shared" si="28"/>
        <v>1" ST STUB</v>
      </c>
      <c r="H942" s="278" t="s">
        <v>514</v>
      </c>
      <c r="I942" s="32" t="s">
        <v>462</v>
      </c>
      <c r="J942" s="279">
        <v>2</v>
      </c>
      <c r="K942" s="280">
        <v>5800.24</v>
      </c>
      <c r="L942" s="280">
        <v>5800.24</v>
      </c>
      <c r="M942" s="280">
        <v>0</v>
      </c>
      <c r="N942" s="281">
        <v>333</v>
      </c>
      <c r="O942" s="282">
        <v>583</v>
      </c>
      <c r="P942" s="280">
        <f t="shared" si="29"/>
        <v>10154.774534534534</v>
      </c>
    </row>
    <row r="943" spans="1:16" x14ac:dyDescent="0.2">
      <c r="A943" s="32" t="s">
        <v>647</v>
      </c>
      <c r="B943" s="32" t="s">
        <v>635</v>
      </c>
      <c r="C943" s="32" t="s">
        <v>636</v>
      </c>
      <c r="D943" s="32" t="s">
        <v>646</v>
      </c>
      <c r="E943" s="32" t="s">
        <v>494</v>
      </c>
      <c r="F943" s="32" t="s">
        <v>584</v>
      </c>
      <c r="G943" s="32" t="str">
        <f t="shared" si="28"/>
        <v>1" ST STUB</v>
      </c>
      <c r="H943" s="278" t="s">
        <v>513</v>
      </c>
      <c r="I943" s="32" t="s">
        <v>462</v>
      </c>
      <c r="J943" s="279">
        <v>2</v>
      </c>
      <c r="K943" s="280">
        <v>1694.74</v>
      </c>
      <c r="L943" s="280">
        <v>1694.74</v>
      </c>
      <c r="M943" s="280">
        <v>0</v>
      </c>
      <c r="N943" s="281">
        <v>342</v>
      </c>
      <c r="O943" s="282">
        <v>583</v>
      </c>
      <c r="P943" s="280">
        <f t="shared" si="29"/>
        <v>2888.9866081871346</v>
      </c>
    </row>
    <row r="944" spans="1:16" x14ac:dyDescent="0.2">
      <c r="A944" s="32" t="s">
        <v>647</v>
      </c>
      <c r="B944" s="32" t="s">
        <v>635</v>
      </c>
      <c r="C944" s="32" t="s">
        <v>636</v>
      </c>
      <c r="D944" s="32" t="s">
        <v>646</v>
      </c>
      <c r="E944" s="32" t="s">
        <v>494</v>
      </c>
      <c r="F944" s="32" t="s">
        <v>584</v>
      </c>
      <c r="G944" s="32" t="str">
        <f t="shared" si="28"/>
        <v>1" ST STUB</v>
      </c>
      <c r="H944" s="278" t="s">
        <v>467</v>
      </c>
      <c r="I944" s="32" t="s">
        <v>462</v>
      </c>
      <c r="J944" s="279">
        <v>2</v>
      </c>
      <c r="K944" s="280">
        <v>3517.39</v>
      </c>
      <c r="L944" s="280">
        <v>3517.39</v>
      </c>
      <c r="M944" s="280">
        <v>0</v>
      </c>
      <c r="N944" s="281">
        <v>348</v>
      </c>
      <c r="O944" s="282">
        <v>583</v>
      </c>
      <c r="P944" s="280">
        <f t="shared" si="29"/>
        <v>5892.6389942528731</v>
      </c>
    </row>
    <row r="945" spans="1:16" x14ac:dyDescent="0.2">
      <c r="A945" s="32" t="s">
        <v>647</v>
      </c>
      <c r="B945" s="32" t="s">
        <v>635</v>
      </c>
      <c r="C945" s="32" t="s">
        <v>636</v>
      </c>
      <c r="D945" s="32" t="s">
        <v>646</v>
      </c>
      <c r="E945" s="32" t="s">
        <v>494</v>
      </c>
      <c r="F945" s="32" t="s">
        <v>584</v>
      </c>
      <c r="G945" s="32" t="str">
        <f t="shared" si="28"/>
        <v>1" ST STUB</v>
      </c>
      <c r="H945" s="278" t="s">
        <v>473</v>
      </c>
      <c r="I945" s="32" t="s">
        <v>462</v>
      </c>
      <c r="J945" s="279">
        <v>8</v>
      </c>
      <c r="K945" s="280">
        <v>10005.43</v>
      </c>
      <c r="L945" s="280">
        <v>10005.43</v>
      </c>
      <c r="M945" s="280">
        <v>0</v>
      </c>
      <c r="N945" s="281">
        <v>356</v>
      </c>
      <c r="O945" s="282">
        <v>583</v>
      </c>
      <c r="P945" s="280">
        <f t="shared" si="29"/>
        <v>16385.296882022471</v>
      </c>
    </row>
    <row r="946" spans="1:16" x14ac:dyDescent="0.2">
      <c r="A946" s="32" t="s">
        <v>647</v>
      </c>
      <c r="B946" s="32" t="s">
        <v>635</v>
      </c>
      <c r="C946" s="32" t="s">
        <v>636</v>
      </c>
      <c r="D946" s="32" t="s">
        <v>646</v>
      </c>
      <c r="E946" s="32" t="s">
        <v>494</v>
      </c>
      <c r="F946" s="32" t="s">
        <v>584</v>
      </c>
      <c r="G946" s="32" t="str">
        <f t="shared" si="28"/>
        <v>1" ST STUB</v>
      </c>
      <c r="H946" s="278" t="s">
        <v>479</v>
      </c>
      <c r="I946" s="32" t="s">
        <v>462</v>
      </c>
      <c r="J946" s="279">
        <v>9</v>
      </c>
      <c r="K946" s="280">
        <v>10531.42</v>
      </c>
      <c r="L946" s="280">
        <v>10531.42</v>
      </c>
      <c r="M946" s="280">
        <v>0</v>
      </c>
      <c r="N946" s="281">
        <v>362</v>
      </c>
      <c r="O946" s="282">
        <v>583</v>
      </c>
      <c r="P946" s="280">
        <f t="shared" si="29"/>
        <v>16960.822817679556</v>
      </c>
    </row>
    <row r="947" spans="1:16" x14ac:dyDescent="0.2">
      <c r="A947" s="32" t="s">
        <v>647</v>
      </c>
      <c r="B947" s="32" t="s">
        <v>635</v>
      </c>
      <c r="C947" s="32" t="s">
        <v>636</v>
      </c>
      <c r="D947" s="32" t="s">
        <v>646</v>
      </c>
      <c r="E947" s="32" t="s">
        <v>494</v>
      </c>
      <c r="F947" s="32" t="s">
        <v>584</v>
      </c>
      <c r="G947" s="32" t="str">
        <f t="shared" si="28"/>
        <v>1" ST STUB</v>
      </c>
      <c r="H947" s="278" t="s">
        <v>480</v>
      </c>
      <c r="I947" s="32" t="s">
        <v>462</v>
      </c>
      <c r="J947" s="279">
        <v>2</v>
      </c>
      <c r="K947" s="280">
        <v>6670.57</v>
      </c>
      <c r="L947" s="280">
        <v>6670.57</v>
      </c>
      <c r="M947" s="280">
        <v>0</v>
      </c>
      <c r="N947" s="281">
        <v>371</v>
      </c>
      <c r="O947" s="282">
        <v>583</v>
      </c>
      <c r="P947" s="280">
        <f t="shared" si="29"/>
        <v>10482.324285714285</v>
      </c>
    </row>
    <row r="948" spans="1:16" x14ac:dyDescent="0.2">
      <c r="A948" s="32" t="s">
        <v>647</v>
      </c>
      <c r="B948" s="32" t="s">
        <v>635</v>
      </c>
      <c r="C948" s="32" t="s">
        <v>636</v>
      </c>
      <c r="D948" s="32" t="s">
        <v>646</v>
      </c>
      <c r="E948" s="32" t="s">
        <v>494</v>
      </c>
      <c r="F948" s="32" t="s">
        <v>584</v>
      </c>
      <c r="G948" s="32" t="str">
        <f t="shared" si="28"/>
        <v>1" ST STUB</v>
      </c>
      <c r="H948" s="278" t="s">
        <v>475</v>
      </c>
      <c r="I948" s="32" t="s">
        <v>462</v>
      </c>
      <c r="J948" s="279">
        <v>5</v>
      </c>
      <c r="K948" s="280">
        <v>3927.84</v>
      </c>
      <c r="L948" s="280">
        <v>3927.84</v>
      </c>
      <c r="M948" s="280">
        <v>0</v>
      </c>
      <c r="N948" s="281">
        <v>397</v>
      </c>
      <c r="O948" s="282">
        <v>583</v>
      </c>
      <c r="P948" s="280">
        <f t="shared" si="29"/>
        <v>5768.0874559193953</v>
      </c>
    </row>
    <row r="949" spans="1:16" x14ac:dyDescent="0.2">
      <c r="A949" s="32" t="s">
        <v>647</v>
      </c>
      <c r="B949" s="32" t="s">
        <v>635</v>
      </c>
      <c r="C949" s="32" t="s">
        <v>636</v>
      </c>
      <c r="D949" s="32" t="s">
        <v>646</v>
      </c>
      <c r="E949" s="32" t="s">
        <v>494</v>
      </c>
      <c r="F949" s="32" t="s">
        <v>584</v>
      </c>
      <c r="G949" s="32" t="str">
        <f t="shared" si="28"/>
        <v>1" ST STUB</v>
      </c>
      <c r="H949" s="278" t="s">
        <v>471</v>
      </c>
      <c r="I949" s="32" t="s">
        <v>462</v>
      </c>
      <c r="J949" s="279">
        <v>4</v>
      </c>
      <c r="K949" s="280">
        <v>9763.7000000000007</v>
      </c>
      <c r="L949" s="280">
        <v>9763.7000000000007</v>
      </c>
      <c r="M949" s="280">
        <v>0</v>
      </c>
      <c r="N949" s="281">
        <v>402</v>
      </c>
      <c r="O949" s="282">
        <v>583</v>
      </c>
      <c r="P949" s="280">
        <f t="shared" si="29"/>
        <v>14159.793781094528</v>
      </c>
    </row>
    <row r="950" spans="1:16" x14ac:dyDescent="0.2">
      <c r="A950" s="32" t="s">
        <v>647</v>
      </c>
      <c r="B950" s="32" t="s">
        <v>635</v>
      </c>
      <c r="C950" s="32" t="s">
        <v>636</v>
      </c>
      <c r="D950" s="32" t="s">
        <v>646</v>
      </c>
      <c r="E950" s="32" t="s">
        <v>494</v>
      </c>
      <c r="F950" s="32" t="s">
        <v>584</v>
      </c>
      <c r="G950" s="32" t="str">
        <f t="shared" si="28"/>
        <v>1" ST STUB</v>
      </c>
      <c r="H950" s="278" t="s">
        <v>476</v>
      </c>
      <c r="I950" s="32" t="s">
        <v>462</v>
      </c>
      <c r="J950" s="279">
        <v>7</v>
      </c>
      <c r="K950" s="280">
        <v>2890.52</v>
      </c>
      <c r="L950" s="280">
        <v>2890.52</v>
      </c>
      <c r="M950" s="280">
        <v>0</v>
      </c>
      <c r="N950" s="281">
        <v>432</v>
      </c>
      <c r="O950" s="282">
        <v>583</v>
      </c>
      <c r="P950" s="280">
        <f t="shared" si="29"/>
        <v>3900.8637962962962</v>
      </c>
    </row>
    <row r="951" spans="1:16" x14ac:dyDescent="0.2">
      <c r="A951" s="32" t="s">
        <v>647</v>
      </c>
      <c r="B951" s="32" t="s">
        <v>635</v>
      </c>
      <c r="C951" s="32" t="s">
        <v>636</v>
      </c>
      <c r="D951" s="32" t="s">
        <v>646</v>
      </c>
      <c r="E951" s="32" t="s">
        <v>494</v>
      </c>
      <c r="F951" s="32" t="s">
        <v>584</v>
      </c>
      <c r="G951" s="32" t="str">
        <f t="shared" si="28"/>
        <v>1" ST STUB</v>
      </c>
      <c r="H951" s="278" t="s">
        <v>477</v>
      </c>
      <c r="I951" s="32" t="s">
        <v>462</v>
      </c>
      <c r="J951" s="279">
        <v>1</v>
      </c>
      <c r="K951" s="280">
        <v>6221.48</v>
      </c>
      <c r="L951" s="280">
        <v>6221.48</v>
      </c>
      <c r="M951" s="280">
        <v>0</v>
      </c>
      <c r="N951" s="281">
        <v>517</v>
      </c>
      <c r="O951" s="282">
        <v>583</v>
      </c>
      <c r="P951" s="280">
        <f t="shared" si="29"/>
        <v>7015.7114893617018</v>
      </c>
    </row>
    <row r="952" spans="1:16" x14ac:dyDescent="0.2">
      <c r="A952" s="32" t="s">
        <v>647</v>
      </c>
      <c r="B952" s="32" t="s">
        <v>635</v>
      </c>
      <c r="C952" s="32" t="s">
        <v>636</v>
      </c>
      <c r="D952" s="32" t="s">
        <v>646</v>
      </c>
      <c r="E952" s="32" t="s">
        <v>494</v>
      </c>
      <c r="F952" s="32" t="s">
        <v>584</v>
      </c>
      <c r="G952" s="32" t="str">
        <f t="shared" si="28"/>
        <v>1" ST STUB</v>
      </c>
      <c r="H952" s="278" t="s">
        <v>470</v>
      </c>
      <c r="I952" s="32" t="s">
        <v>462</v>
      </c>
      <c r="J952" s="279">
        <v>1</v>
      </c>
      <c r="K952" s="280">
        <v>2292.92</v>
      </c>
      <c r="L952" s="280">
        <v>2292.92</v>
      </c>
      <c r="M952" s="280">
        <v>0</v>
      </c>
      <c r="N952" s="281">
        <v>514</v>
      </c>
      <c r="O952" s="282">
        <v>583</v>
      </c>
      <c r="P952" s="280">
        <f t="shared" si="29"/>
        <v>2600.7244357976656</v>
      </c>
    </row>
    <row r="953" spans="1:16" x14ac:dyDescent="0.2">
      <c r="A953" s="32" t="s">
        <v>647</v>
      </c>
      <c r="B953" s="32" t="s">
        <v>635</v>
      </c>
      <c r="C953" s="32" t="s">
        <v>636</v>
      </c>
      <c r="D953" s="32" t="s">
        <v>646</v>
      </c>
      <c r="E953" s="32" t="s">
        <v>494</v>
      </c>
      <c r="F953" s="32" t="s">
        <v>584</v>
      </c>
      <c r="G953" s="32" t="str">
        <f t="shared" si="28"/>
        <v>1" ST STUB</v>
      </c>
      <c r="H953" s="278" t="s">
        <v>461</v>
      </c>
      <c r="I953" s="32" t="s">
        <v>462</v>
      </c>
      <c r="J953" s="279">
        <v>2</v>
      </c>
      <c r="K953" s="280">
        <v>13114.84</v>
      </c>
      <c r="L953" s="280">
        <v>13114.84</v>
      </c>
      <c r="M953" s="280">
        <v>0</v>
      </c>
      <c r="N953" s="281">
        <v>568</v>
      </c>
      <c r="O953" s="282">
        <v>583</v>
      </c>
      <c r="P953" s="280">
        <f t="shared" si="29"/>
        <v>13461.182605633801</v>
      </c>
    </row>
    <row r="954" spans="1:16" x14ac:dyDescent="0.2">
      <c r="A954" s="32" t="s">
        <v>647</v>
      </c>
      <c r="B954" s="32" t="s">
        <v>635</v>
      </c>
      <c r="C954" s="32" t="s">
        <v>636</v>
      </c>
      <c r="D954" s="32" t="s">
        <v>646</v>
      </c>
      <c r="E954" s="32" t="s">
        <v>494</v>
      </c>
      <c r="F954" s="32" t="s">
        <v>584</v>
      </c>
      <c r="G954" s="32" t="str">
        <f t="shared" si="28"/>
        <v>1" ST STUB</v>
      </c>
      <c r="H954" s="278" t="s">
        <v>461</v>
      </c>
      <c r="I954" s="32" t="s">
        <v>462</v>
      </c>
      <c r="J954" s="279">
        <v>3</v>
      </c>
      <c r="K954" s="280">
        <v>6147.29</v>
      </c>
      <c r="L954" s="280">
        <v>6147.29</v>
      </c>
      <c r="M954" s="280">
        <v>0</v>
      </c>
      <c r="N954" s="281">
        <v>568</v>
      </c>
      <c r="O954" s="282">
        <v>583</v>
      </c>
      <c r="P954" s="280">
        <f t="shared" si="29"/>
        <v>6309.6304049295768</v>
      </c>
    </row>
    <row r="955" spans="1:16" x14ac:dyDescent="0.2">
      <c r="A955" s="32" t="s">
        <v>647</v>
      </c>
      <c r="B955" s="32" t="s">
        <v>635</v>
      </c>
      <c r="C955" s="32" t="s">
        <v>636</v>
      </c>
      <c r="D955" s="32" t="s">
        <v>646</v>
      </c>
      <c r="E955" s="32" t="s">
        <v>494</v>
      </c>
      <c r="F955" s="32" t="s">
        <v>584</v>
      </c>
      <c r="G955" s="32" t="str">
        <f t="shared" si="28"/>
        <v>1" ST STUB</v>
      </c>
      <c r="H955" s="278" t="s">
        <v>468</v>
      </c>
      <c r="I955" s="32" t="s">
        <v>462</v>
      </c>
      <c r="J955" s="279">
        <v>3</v>
      </c>
      <c r="K955" s="280">
        <v>19093.849999999999</v>
      </c>
      <c r="L955" s="280">
        <v>19093.849999999999</v>
      </c>
      <c r="M955" s="280">
        <v>0</v>
      </c>
      <c r="N955" s="281">
        <v>561</v>
      </c>
      <c r="O955" s="282">
        <v>583</v>
      </c>
      <c r="P955" s="280">
        <f t="shared" si="29"/>
        <v>19842.628431372548</v>
      </c>
    </row>
    <row r="956" spans="1:16" x14ac:dyDescent="0.2">
      <c r="A956" s="32" t="s">
        <v>647</v>
      </c>
      <c r="B956" s="32" t="s">
        <v>635</v>
      </c>
      <c r="C956" s="32" t="s">
        <v>636</v>
      </c>
      <c r="D956" s="32" t="s">
        <v>646</v>
      </c>
      <c r="E956" s="32" t="s">
        <v>494</v>
      </c>
      <c r="F956" s="32" t="s">
        <v>584</v>
      </c>
      <c r="G956" s="32" t="str">
        <f t="shared" si="28"/>
        <v>1" ST STUB</v>
      </c>
      <c r="H956" s="278" t="s">
        <v>469</v>
      </c>
      <c r="I956" s="32" t="s">
        <v>462</v>
      </c>
      <c r="J956" s="279">
        <v>1</v>
      </c>
      <c r="K956" s="280">
        <v>11221.79</v>
      </c>
      <c r="L956" s="280">
        <v>3447.43</v>
      </c>
      <c r="M956" s="280">
        <v>7774.36</v>
      </c>
      <c r="N956" s="281">
        <v>583</v>
      </c>
      <c r="O956" s="282">
        <v>583</v>
      </c>
      <c r="P956" s="280">
        <f t="shared" si="29"/>
        <v>11221.79</v>
      </c>
    </row>
    <row r="957" spans="1:16" x14ac:dyDescent="0.2">
      <c r="A957" s="32" t="s">
        <v>648</v>
      </c>
      <c r="B957" s="32" t="s">
        <v>635</v>
      </c>
      <c r="C957" s="32" t="s">
        <v>636</v>
      </c>
      <c r="D957" s="32" t="s">
        <v>599</v>
      </c>
      <c r="E957" s="32" t="s">
        <v>494</v>
      </c>
      <c r="F957" s="32" t="s">
        <v>581</v>
      </c>
      <c r="G957" s="32" t="str">
        <f t="shared" si="28"/>
        <v>1.25" ST EXTN</v>
      </c>
      <c r="H957" s="278" t="s">
        <v>535</v>
      </c>
      <c r="I957" s="32" t="s">
        <v>462</v>
      </c>
      <c r="J957" s="279">
        <v>0</v>
      </c>
      <c r="K957" s="280">
        <v>0.88</v>
      </c>
      <c r="L957" s="280">
        <v>0.88</v>
      </c>
      <c r="M957" s="280">
        <v>0</v>
      </c>
      <c r="N957" s="281">
        <v>74</v>
      </c>
      <c r="O957" s="282">
        <v>583</v>
      </c>
      <c r="P957" s="280">
        <f t="shared" si="29"/>
        <v>6.9329729729729728</v>
      </c>
    </row>
    <row r="958" spans="1:16" x14ac:dyDescent="0.2">
      <c r="A958" s="32" t="s">
        <v>648</v>
      </c>
      <c r="B958" s="32" t="s">
        <v>635</v>
      </c>
      <c r="C958" s="32" t="s">
        <v>636</v>
      </c>
      <c r="D958" s="32" t="s">
        <v>599</v>
      </c>
      <c r="E958" s="32" t="s">
        <v>494</v>
      </c>
      <c r="F958" s="32" t="s">
        <v>581</v>
      </c>
      <c r="G958" s="32" t="str">
        <f t="shared" si="28"/>
        <v>1.25" ST EXTN</v>
      </c>
      <c r="H958" s="278" t="s">
        <v>533</v>
      </c>
      <c r="I958" s="32" t="s">
        <v>462</v>
      </c>
      <c r="J958" s="279">
        <v>212</v>
      </c>
      <c r="K958" s="280">
        <v>59357.1</v>
      </c>
      <c r="L958" s="280">
        <v>59357.1</v>
      </c>
      <c r="M958" s="280">
        <v>0</v>
      </c>
      <c r="N958" s="281">
        <v>78</v>
      </c>
      <c r="O958" s="282">
        <v>583</v>
      </c>
      <c r="P958" s="280">
        <f t="shared" si="29"/>
        <v>443656.2730769231</v>
      </c>
    </row>
    <row r="959" spans="1:16" x14ac:dyDescent="0.2">
      <c r="A959" s="32" t="s">
        <v>648</v>
      </c>
      <c r="B959" s="32" t="s">
        <v>635</v>
      </c>
      <c r="C959" s="32" t="s">
        <v>636</v>
      </c>
      <c r="D959" s="32" t="s">
        <v>599</v>
      </c>
      <c r="E959" s="32" t="s">
        <v>494</v>
      </c>
      <c r="F959" s="32" t="s">
        <v>581</v>
      </c>
      <c r="G959" s="32" t="str">
        <f t="shared" si="28"/>
        <v>1.25" ST EXTN</v>
      </c>
      <c r="H959" s="278" t="s">
        <v>531</v>
      </c>
      <c r="I959" s="32" t="s">
        <v>462</v>
      </c>
      <c r="J959" s="279">
        <v>442</v>
      </c>
      <c r="K959" s="280">
        <v>152178.76</v>
      </c>
      <c r="L959" s="280">
        <v>152178.76</v>
      </c>
      <c r="M959" s="280">
        <v>0</v>
      </c>
      <c r="N959" s="281">
        <v>84</v>
      </c>
      <c r="O959" s="282">
        <v>583</v>
      </c>
      <c r="P959" s="280">
        <f t="shared" si="29"/>
        <v>1056193.0604761906</v>
      </c>
    </row>
    <row r="960" spans="1:16" x14ac:dyDescent="0.2">
      <c r="A960" s="32" t="s">
        <v>648</v>
      </c>
      <c r="B960" s="32" t="s">
        <v>635</v>
      </c>
      <c r="C960" s="32" t="s">
        <v>636</v>
      </c>
      <c r="D960" s="32" t="s">
        <v>599</v>
      </c>
      <c r="E960" s="32" t="s">
        <v>494</v>
      </c>
      <c r="F960" s="32" t="s">
        <v>581</v>
      </c>
      <c r="G960" s="32" t="str">
        <f t="shared" si="28"/>
        <v>1.25" ST EXTN</v>
      </c>
      <c r="H960" s="278" t="s">
        <v>527</v>
      </c>
      <c r="I960" s="32" t="s">
        <v>462</v>
      </c>
      <c r="J960" s="279">
        <v>424</v>
      </c>
      <c r="K960" s="280">
        <v>136954.67000000001</v>
      </c>
      <c r="L960" s="280">
        <v>136954.67000000001</v>
      </c>
      <c r="M960" s="280">
        <v>0</v>
      </c>
      <c r="N960" s="281">
        <v>90</v>
      </c>
      <c r="O960" s="282">
        <v>583</v>
      </c>
      <c r="P960" s="280">
        <f t="shared" si="29"/>
        <v>887161.91788888897</v>
      </c>
    </row>
    <row r="961" spans="1:16" x14ac:dyDescent="0.2">
      <c r="A961" s="32" t="s">
        <v>648</v>
      </c>
      <c r="B961" s="32" t="s">
        <v>635</v>
      </c>
      <c r="C961" s="32" t="s">
        <v>636</v>
      </c>
      <c r="D961" s="32" t="s">
        <v>599</v>
      </c>
      <c r="E961" s="32" t="s">
        <v>494</v>
      </c>
      <c r="F961" s="32" t="s">
        <v>581</v>
      </c>
      <c r="G961" s="32" t="str">
        <f t="shared" si="28"/>
        <v>1.25" ST EXTN</v>
      </c>
      <c r="H961" s="278" t="s">
        <v>528</v>
      </c>
      <c r="I961" s="32" t="s">
        <v>462</v>
      </c>
      <c r="J961" s="279">
        <v>72</v>
      </c>
      <c r="K961" s="280">
        <v>31065.21</v>
      </c>
      <c r="L961" s="280">
        <v>31065.21</v>
      </c>
      <c r="M961" s="280">
        <v>0</v>
      </c>
      <c r="N961" s="281">
        <v>96</v>
      </c>
      <c r="O961" s="282">
        <v>583</v>
      </c>
      <c r="P961" s="280">
        <f t="shared" si="29"/>
        <v>188656.43156250002</v>
      </c>
    </row>
    <row r="962" spans="1:16" x14ac:dyDescent="0.2">
      <c r="A962" s="32" t="s">
        <v>648</v>
      </c>
      <c r="B962" s="32" t="s">
        <v>635</v>
      </c>
      <c r="C962" s="32" t="s">
        <v>636</v>
      </c>
      <c r="D962" s="32" t="s">
        <v>599</v>
      </c>
      <c r="E962" s="32" t="s">
        <v>494</v>
      </c>
      <c r="F962" s="32" t="s">
        <v>581</v>
      </c>
      <c r="G962" s="32" t="str">
        <f t="shared" ref="G962:G1025" si="30">D962&amp;" "&amp;E962&amp;" "&amp;F962</f>
        <v>1.25" ST EXTN</v>
      </c>
      <c r="H962" s="278" t="s">
        <v>529</v>
      </c>
      <c r="I962" s="32" t="s">
        <v>462</v>
      </c>
      <c r="J962" s="279">
        <v>271</v>
      </c>
      <c r="K962" s="280">
        <v>147929.97</v>
      </c>
      <c r="L962" s="280">
        <v>147929.97</v>
      </c>
      <c r="M962" s="280">
        <v>0</v>
      </c>
      <c r="N962" s="281">
        <v>100</v>
      </c>
      <c r="O962" s="282">
        <v>583</v>
      </c>
      <c r="P962" s="280">
        <f t="shared" ref="P962:P1025" si="31">+(O962/N962)*K962</f>
        <v>862431.72510000004</v>
      </c>
    </row>
    <row r="963" spans="1:16" x14ac:dyDescent="0.2">
      <c r="A963" s="32" t="s">
        <v>648</v>
      </c>
      <c r="B963" s="32" t="s">
        <v>635</v>
      </c>
      <c r="C963" s="32" t="s">
        <v>636</v>
      </c>
      <c r="D963" s="32" t="s">
        <v>599</v>
      </c>
      <c r="E963" s="32" t="s">
        <v>494</v>
      </c>
      <c r="F963" s="32" t="s">
        <v>581</v>
      </c>
      <c r="G963" s="32" t="str">
        <f t="shared" si="30"/>
        <v>1.25" ST EXTN</v>
      </c>
      <c r="H963" s="278" t="s">
        <v>525</v>
      </c>
      <c r="I963" s="32" t="s">
        <v>462</v>
      </c>
      <c r="J963" s="279">
        <v>211</v>
      </c>
      <c r="K963" s="280">
        <v>75289.48</v>
      </c>
      <c r="L963" s="280">
        <v>75289.48</v>
      </c>
      <c r="M963" s="280">
        <v>0</v>
      </c>
      <c r="N963" s="281">
        <v>113</v>
      </c>
      <c r="O963" s="282">
        <v>583</v>
      </c>
      <c r="P963" s="280">
        <f t="shared" si="31"/>
        <v>388440.41451327433</v>
      </c>
    </row>
    <row r="964" spans="1:16" x14ac:dyDescent="0.2">
      <c r="A964" s="32" t="s">
        <v>648</v>
      </c>
      <c r="B964" s="32" t="s">
        <v>635</v>
      </c>
      <c r="C964" s="32" t="s">
        <v>636</v>
      </c>
      <c r="D964" s="32" t="s">
        <v>599</v>
      </c>
      <c r="E964" s="32" t="s">
        <v>494</v>
      </c>
      <c r="F964" s="32" t="s">
        <v>581</v>
      </c>
      <c r="G964" s="32" t="str">
        <f t="shared" si="30"/>
        <v>1.25" ST EXTN</v>
      </c>
      <c r="H964" s="278" t="s">
        <v>524</v>
      </c>
      <c r="I964" s="32" t="s">
        <v>462</v>
      </c>
      <c r="J964" s="279">
        <v>6</v>
      </c>
      <c r="K964" s="280">
        <v>10431.27</v>
      </c>
      <c r="L964" s="280">
        <v>10431.27</v>
      </c>
      <c r="M964" s="280">
        <v>0</v>
      </c>
      <c r="N964" s="281">
        <v>133</v>
      </c>
      <c r="O964" s="282">
        <v>583</v>
      </c>
      <c r="P964" s="280">
        <f t="shared" si="31"/>
        <v>45725.040676691737</v>
      </c>
    </row>
    <row r="965" spans="1:16" x14ac:dyDescent="0.2">
      <c r="A965" s="32" t="s">
        <v>648</v>
      </c>
      <c r="B965" s="32" t="s">
        <v>635</v>
      </c>
      <c r="C965" s="32" t="s">
        <v>636</v>
      </c>
      <c r="D965" s="32" t="s">
        <v>599</v>
      </c>
      <c r="E965" s="32" t="s">
        <v>494</v>
      </c>
      <c r="F965" s="32" t="s">
        <v>581</v>
      </c>
      <c r="G965" s="32" t="str">
        <f t="shared" si="30"/>
        <v>1.25" ST EXTN</v>
      </c>
      <c r="H965" s="278" t="s">
        <v>522</v>
      </c>
      <c r="I965" s="32" t="s">
        <v>462</v>
      </c>
      <c r="J965" s="279">
        <v>33</v>
      </c>
      <c r="K965" s="280">
        <v>30599.84</v>
      </c>
      <c r="L965" s="280">
        <v>30599.84</v>
      </c>
      <c r="M965" s="280">
        <v>0</v>
      </c>
      <c r="N965" s="281">
        <v>143</v>
      </c>
      <c r="O965" s="282">
        <v>583</v>
      </c>
      <c r="P965" s="280">
        <f t="shared" si="31"/>
        <v>124753.19384615384</v>
      </c>
    </row>
    <row r="966" spans="1:16" x14ac:dyDescent="0.2">
      <c r="A966" s="32" t="s">
        <v>648</v>
      </c>
      <c r="B966" s="32" t="s">
        <v>635</v>
      </c>
      <c r="C966" s="32" t="s">
        <v>636</v>
      </c>
      <c r="D966" s="32" t="s">
        <v>599</v>
      </c>
      <c r="E966" s="32" t="s">
        <v>494</v>
      </c>
      <c r="F966" s="32" t="s">
        <v>581</v>
      </c>
      <c r="G966" s="32" t="str">
        <f t="shared" si="30"/>
        <v>1.25" ST EXTN</v>
      </c>
      <c r="H966" s="278" t="s">
        <v>526</v>
      </c>
      <c r="I966" s="32" t="s">
        <v>462</v>
      </c>
      <c r="J966" s="279">
        <v>46</v>
      </c>
      <c r="K966" s="280">
        <v>59338.82</v>
      </c>
      <c r="L966" s="280">
        <v>59338.82</v>
      </c>
      <c r="M966" s="280">
        <v>0</v>
      </c>
      <c r="N966" s="281">
        <v>153</v>
      </c>
      <c r="O966" s="282">
        <v>583</v>
      </c>
      <c r="P966" s="280">
        <f t="shared" si="31"/>
        <v>226108.05267973855</v>
      </c>
    </row>
    <row r="967" spans="1:16" x14ac:dyDescent="0.2">
      <c r="A967" s="32" t="s">
        <v>648</v>
      </c>
      <c r="B967" s="32" t="s">
        <v>635</v>
      </c>
      <c r="C967" s="32" t="s">
        <v>636</v>
      </c>
      <c r="D967" s="32" t="s">
        <v>599</v>
      </c>
      <c r="E967" s="32" t="s">
        <v>494</v>
      </c>
      <c r="F967" s="32" t="s">
        <v>581</v>
      </c>
      <c r="G967" s="32" t="str">
        <f t="shared" si="30"/>
        <v>1.25" ST EXTN</v>
      </c>
      <c r="H967" s="278" t="s">
        <v>486</v>
      </c>
      <c r="I967" s="32" t="s">
        <v>462</v>
      </c>
      <c r="J967" s="279">
        <v>10</v>
      </c>
      <c r="K967" s="280">
        <v>10582.33</v>
      </c>
      <c r="L967" s="280">
        <v>10582.33</v>
      </c>
      <c r="M967" s="280">
        <v>0</v>
      </c>
      <c r="N967" s="281">
        <v>166</v>
      </c>
      <c r="O967" s="282">
        <v>583</v>
      </c>
      <c r="P967" s="280">
        <f t="shared" si="31"/>
        <v>37165.652951807228</v>
      </c>
    </row>
    <row r="968" spans="1:16" x14ac:dyDescent="0.2">
      <c r="A968" s="32" t="s">
        <v>648</v>
      </c>
      <c r="B968" s="32" t="s">
        <v>635</v>
      </c>
      <c r="C968" s="32" t="s">
        <v>636</v>
      </c>
      <c r="D968" s="32" t="s">
        <v>599</v>
      </c>
      <c r="E968" s="32" t="s">
        <v>494</v>
      </c>
      <c r="F968" s="32" t="s">
        <v>581</v>
      </c>
      <c r="G968" s="32" t="str">
        <f t="shared" si="30"/>
        <v>1.25" ST EXTN</v>
      </c>
      <c r="H968" s="278" t="s">
        <v>521</v>
      </c>
      <c r="I968" s="32" t="s">
        <v>462</v>
      </c>
      <c r="J968" s="279">
        <v>2</v>
      </c>
      <c r="K968" s="280">
        <v>2721.62</v>
      </c>
      <c r="L968" s="280">
        <v>2721.62</v>
      </c>
      <c r="M968" s="280">
        <v>0</v>
      </c>
      <c r="N968" s="281">
        <v>198</v>
      </c>
      <c r="O968" s="282">
        <v>583</v>
      </c>
      <c r="P968" s="280">
        <f t="shared" si="31"/>
        <v>8013.6588888888891</v>
      </c>
    </row>
    <row r="969" spans="1:16" x14ac:dyDescent="0.2">
      <c r="A969" s="32" t="s">
        <v>648</v>
      </c>
      <c r="B969" s="32" t="s">
        <v>635</v>
      </c>
      <c r="C969" s="32" t="s">
        <v>636</v>
      </c>
      <c r="D969" s="32" t="s">
        <v>599</v>
      </c>
      <c r="E969" s="32" t="s">
        <v>494</v>
      </c>
      <c r="F969" s="32" t="s">
        <v>581</v>
      </c>
      <c r="G969" s="32" t="str">
        <f t="shared" si="30"/>
        <v>1.25" ST EXTN</v>
      </c>
      <c r="H969" s="278" t="s">
        <v>520</v>
      </c>
      <c r="I969" s="32" t="s">
        <v>462</v>
      </c>
      <c r="J969" s="279">
        <v>18</v>
      </c>
      <c r="K969" s="280">
        <v>21604.75</v>
      </c>
      <c r="L969" s="280">
        <v>21604.75</v>
      </c>
      <c r="M969" s="280">
        <v>0</v>
      </c>
      <c r="N969" s="281">
        <v>222</v>
      </c>
      <c r="O969" s="282">
        <v>583</v>
      </c>
      <c r="P969" s="280">
        <f t="shared" si="31"/>
        <v>56736.798423423425</v>
      </c>
    </row>
    <row r="970" spans="1:16" x14ac:dyDescent="0.2">
      <c r="A970" s="32" t="s">
        <v>648</v>
      </c>
      <c r="B970" s="32" t="s">
        <v>635</v>
      </c>
      <c r="C970" s="32" t="s">
        <v>636</v>
      </c>
      <c r="D970" s="32" t="s">
        <v>599</v>
      </c>
      <c r="E970" s="32" t="s">
        <v>494</v>
      </c>
      <c r="F970" s="32" t="s">
        <v>581</v>
      </c>
      <c r="G970" s="32" t="str">
        <f t="shared" si="30"/>
        <v>1.25" ST EXTN</v>
      </c>
      <c r="H970" s="278" t="s">
        <v>518</v>
      </c>
      <c r="I970" s="32" t="s">
        <v>462</v>
      </c>
      <c r="J970" s="279">
        <v>24</v>
      </c>
      <c r="K970" s="280">
        <v>34737.269999999997</v>
      </c>
      <c r="L970" s="280">
        <v>34737.269999999997</v>
      </c>
      <c r="M970" s="280">
        <v>0</v>
      </c>
      <c r="N970" s="281">
        <v>245</v>
      </c>
      <c r="O970" s="282">
        <v>583</v>
      </c>
      <c r="P970" s="280">
        <f t="shared" si="31"/>
        <v>82660.524122448973</v>
      </c>
    </row>
    <row r="971" spans="1:16" x14ac:dyDescent="0.2">
      <c r="A971" s="32" t="s">
        <v>648</v>
      </c>
      <c r="B971" s="32" t="s">
        <v>635</v>
      </c>
      <c r="C971" s="32" t="s">
        <v>636</v>
      </c>
      <c r="D971" s="32" t="s">
        <v>599</v>
      </c>
      <c r="E971" s="32" t="s">
        <v>494</v>
      </c>
      <c r="F971" s="32" t="s">
        <v>581</v>
      </c>
      <c r="G971" s="32" t="str">
        <f t="shared" si="30"/>
        <v>1.25" ST EXTN</v>
      </c>
      <c r="H971" s="278" t="s">
        <v>517</v>
      </c>
      <c r="I971" s="32" t="s">
        <v>462</v>
      </c>
      <c r="J971" s="279">
        <v>24</v>
      </c>
      <c r="K971" s="280">
        <v>40547.99</v>
      </c>
      <c r="L971" s="280">
        <v>40547.99</v>
      </c>
      <c r="M971" s="280">
        <v>0</v>
      </c>
      <c r="N971" s="281">
        <v>254</v>
      </c>
      <c r="O971" s="282">
        <v>583</v>
      </c>
      <c r="P971" s="280">
        <f t="shared" si="31"/>
        <v>93068.811692913383</v>
      </c>
    </row>
    <row r="972" spans="1:16" x14ac:dyDescent="0.2">
      <c r="A972" s="32" t="s">
        <v>648</v>
      </c>
      <c r="B972" s="32" t="s">
        <v>635</v>
      </c>
      <c r="C972" s="32" t="s">
        <v>636</v>
      </c>
      <c r="D972" s="32" t="s">
        <v>599</v>
      </c>
      <c r="E972" s="32" t="s">
        <v>494</v>
      </c>
      <c r="F972" s="32" t="s">
        <v>581</v>
      </c>
      <c r="G972" s="32" t="str">
        <f t="shared" si="30"/>
        <v>1.25" ST EXTN</v>
      </c>
      <c r="H972" s="278" t="s">
        <v>463</v>
      </c>
      <c r="I972" s="32" t="s">
        <v>462</v>
      </c>
      <c r="J972" s="279">
        <v>11</v>
      </c>
      <c r="K972" s="280">
        <v>17952.91</v>
      </c>
      <c r="L972" s="280">
        <v>17952.91</v>
      </c>
      <c r="M972" s="280">
        <v>0</v>
      </c>
      <c r="N972" s="281">
        <v>262</v>
      </c>
      <c r="O972" s="282">
        <v>583</v>
      </c>
      <c r="P972" s="280">
        <f t="shared" si="31"/>
        <v>39948.650877862594</v>
      </c>
    </row>
    <row r="973" spans="1:16" x14ac:dyDescent="0.2">
      <c r="A973" s="32" t="s">
        <v>648</v>
      </c>
      <c r="B973" s="32" t="s">
        <v>635</v>
      </c>
      <c r="C973" s="32" t="s">
        <v>636</v>
      </c>
      <c r="D973" s="32" t="s">
        <v>599</v>
      </c>
      <c r="E973" s="32" t="s">
        <v>494</v>
      </c>
      <c r="F973" s="32" t="s">
        <v>581</v>
      </c>
      <c r="G973" s="32" t="str">
        <f t="shared" si="30"/>
        <v>1.25" ST EXTN</v>
      </c>
      <c r="H973" s="278" t="s">
        <v>464</v>
      </c>
      <c r="I973" s="32" t="s">
        <v>462</v>
      </c>
      <c r="J973" s="279">
        <v>0</v>
      </c>
      <c r="K973" s="280">
        <v>0.37</v>
      </c>
      <c r="L973" s="280">
        <v>0.37</v>
      </c>
      <c r="M973" s="280">
        <v>0</v>
      </c>
      <c r="N973" s="281">
        <v>266</v>
      </c>
      <c r="O973" s="282">
        <v>583</v>
      </c>
      <c r="P973" s="280">
        <f t="shared" si="31"/>
        <v>0.81093984962406018</v>
      </c>
    </row>
    <row r="974" spans="1:16" x14ac:dyDescent="0.2">
      <c r="A974" s="32" t="s">
        <v>648</v>
      </c>
      <c r="B974" s="32" t="s">
        <v>635</v>
      </c>
      <c r="C974" s="32" t="s">
        <v>636</v>
      </c>
      <c r="D974" s="32" t="s">
        <v>599</v>
      </c>
      <c r="E974" s="32" t="s">
        <v>494</v>
      </c>
      <c r="F974" s="32" t="s">
        <v>581</v>
      </c>
      <c r="G974" s="32" t="str">
        <f t="shared" si="30"/>
        <v>1.25" ST EXTN</v>
      </c>
      <c r="H974" s="278" t="s">
        <v>515</v>
      </c>
      <c r="I974" s="32" t="s">
        <v>462</v>
      </c>
      <c r="J974" s="279">
        <v>4</v>
      </c>
      <c r="K974" s="280">
        <v>13682.65</v>
      </c>
      <c r="L974" s="280">
        <v>13682.65</v>
      </c>
      <c r="M974" s="280">
        <v>0</v>
      </c>
      <c r="N974" s="281">
        <v>264</v>
      </c>
      <c r="O974" s="282">
        <v>583</v>
      </c>
      <c r="P974" s="280">
        <f t="shared" si="31"/>
        <v>30215.852083333335</v>
      </c>
    </row>
    <row r="975" spans="1:16" x14ac:dyDescent="0.2">
      <c r="A975" s="32" t="s">
        <v>648</v>
      </c>
      <c r="B975" s="32" t="s">
        <v>635</v>
      </c>
      <c r="C975" s="32" t="s">
        <v>636</v>
      </c>
      <c r="D975" s="32" t="s">
        <v>599</v>
      </c>
      <c r="E975" s="32" t="s">
        <v>494</v>
      </c>
      <c r="F975" s="32" t="s">
        <v>581</v>
      </c>
      <c r="G975" s="32" t="str">
        <f t="shared" si="30"/>
        <v>1.25" ST EXTN</v>
      </c>
      <c r="H975" s="278" t="s">
        <v>470</v>
      </c>
      <c r="I975" s="32" t="s">
        <v>462</v>
      </c>
      <c r="J975" s="279">
        <v>0</v>
      </c>
      <c r="K975" s="280">
        <v>0.73</v>
      </c>
      <c r="L975" s="280">
        <v>0.73</v>
      </c>
      <c r="M975" s="280">
        <v>0</v>
      </c>
      <c r="N975" s="281">
        <v>514</v>
      </c>
      <c r="O975" s="282">
        <v>583</v>
      </c>
      <c r="P975" s="280">
        <f t="shared" si="31"/>
        <v>0.82799610894941633</v>
      </c>
    </row>
    <row r="976" spans="1:16" x14ac:dyDescent="0.2">
      <c r="A976" s="32" t="s">
        <v>648</v>
      </c>
      <c r="B976" s="32" t="s">
        <v>635</v>
      </c>
      <c r="C976" s="32" t="s">
        <v>636</v>
      </c>
      <c r="D976" s="32" t="s">
        <v>599</v>
      </c>
      <c r="E976" s="32" t="s">
        <v>494</v>
      </c>
      <c r="F976" s="32" t="s">
        <v>581</v>
      </c>
      <c r="G976" s="32" t="str">
        <f t="shared" si="30"/>
        <v>1.25" ST EXTN</v>
      </c>
      <c r="H976" s="278" t="s">
        <v>461</v>
      </c>
      <c r="I976" s="32" t="s">
        <v>462</v>
      </c>
      <c r="J976" s="279">
        <v>4</v>
      </c>
      <c r="K976" s="280">
        <v>52255.3</v>
      </c>
      <c r="L976" s="280">
        <v>52255.3</v>
      </c>
      <c r="M976" s="280">
        <v>0</v>
      </c>
      <c r="N976" s="281">
        <v>568</v>
      </c>
      <c r="O976" s="282">
        <v>583</v>
      </c>
      <c r="P976" s="280">
        <f t="shared" si="31"/>
        <v>53635.281514084505</v>
      </c>
    </row>
    <row r="977" spans="1:16" x14ac:dyDescent="0.2">
      <c r="A977" s="32" t="s">
        <v>648</v>
      </c>
      <c r="B977" s="32" t="s">
        <v>635</v>
      </c>
      <c r="C977" s="32" t="s">
        <v>636</v>
      </c>
      <c r="D977" s="32" t="s">
        <v>599</v>
      </c>
      <c r="E977" s="32" t="s">
        <v>494</v>
      </c>
      <c r="F977" s="32" t="s">
        <v>581</v>
      </c>
      <c r="G977" s="32" t="str">
        <f t="shared" si="30"/>
        <v>1.25" ST EXTN</v>
      </c>
      <c r="H977" s="278" t="s">
        <v>461</v>
      </c>
      <c r="I977" s="32" t="s">
        <v>462</v>
      </c>
      <c r="J977" s="279">
        <v>5</v>
      </c>
      <c r="K977" s="280">
        <v>75356.95</v>
      </c>
      <c r="L977" s="280">
        <v>75356.95</v>
      </c>
      <c r="M977" s="280">
        <v>0</v>
      </c>
      <c r="N977" s="281">
        <v>568</v>
      </c>
      <c r="O977" s="282">
        <v>583</v>
      </c>
      <c r="P977" s="280">
        <f t="shared" si="31"/>
        <v>77347.010299295769</v>
      </c>
    </row>
    <row r="978" spans="1:16" x14ac:dyDescent="0.2">
      <c r="A978" s="32" t="s">
        <v>648</v>
      </c>
      <c r="B978" s="32" t="s">
        <v>635</v>
      </c>
      <c r="C978" s="32" t="s">
        <v>636</v>
      </c>
      <c r="D978" s="32" t="s">
        <v>599</v>
      </c>
      <c r="E978" s="32" t="s">
        <v>494</v>
      </c>
      <c r="F978" s="32" t="s">
        <v>581</v>
      </c>
      <c r="G978" s="32" t="str">
        <f t="shared" si="30"/>
        <v>1.25" ST EXTN</v>
      </c>
      <c r="H978" s="278" t="s">
        <v>468</v>
      </c>
      <c r="I978" s="32" t="s">
        <v>462</v>
      </c>
      <c r="J978" s="279">
        <v>1</v>
      </c>
      <c r="K978" s="280">
        <v>18824.150000000001</v>
      </c>
      <c r="L978" s="280">
        <v>18824.150000000001</v>
      </c>
      <c r="M978" s="280">
        <v>0</v>
      </c>
      <c r="N978" s="281">
        <v>561</v>
      </c>
      <c r="O978" s="282">
        <v>583</v>
      </c>
      <c r="P978" s="280">
        <f t="shared" si="31"/>
        <v>19562.351960784315</v>
      </c>
    </row>
    <row r="979" spans="1:16" x14ac:dyDescent="0.2">
      <c r="A979" s="32" t="s">
        <v>648</v>
      </c>
      <c r="B979" s="32" t="s">
        <v>635</v>
      </c>
      <c r="C979" s="32" t="s">
        <v>636</v>
      </c>
      <c r="D979" s="32" t="s">
        <v>599</v>
      </c>
      <c r="E979" s="32" t="s">
        <v>494</v>
      </c>
      <c r="F979" s="32" t="s">
        <v>581</v>
      </c>
      <c r="G979" s="32" t="str">
        <f t="shared" si="30"/>
        <v>1.25" ST EXTN</v>
      </c>
      <c r="H979" s="278" t="s">
        <v>468</v>
      </c>
      <c r="I979" s="32" t="s">
        <v>462</v>
      </c>
      <c r="J979" s="279">
        <v>1</v>
      </c>
      <c r="K979" s="280">
        <v>22941.72</v>
      </c>
      <c r="L979" s="280">
        <v>22941.72</v>
      </c>
      <c r="M979" s="280">
        <v>0</v>
      </c>
      <c r="N979" s="281">
        <v>561</v>
      </c>
      <c r="O979" s="282">
        <v>583</v>
      </c>
      <c r="P979" s="280">
        <f t="shared" si="31"/>
        <v>23841.39529411765</v>
      </c>
    </row>
    <row r="980" spans="1:16" x14ac:dyDescent="0.2">
      <c r="A980" s="32" t="s">
        <v>648</v>
      </c>
      <c r="B980" s="32" t="s">
        <v>635</v>
      </c>
      <c r="C980" s="32" t="s">
        <v>636</v>
      </c>
      <c r="D980" s="32" t="s">
        <v>599</v>
      </c>
      <c r="E980" s="32" t="s">
        <v>494</v>
      </c>
      <c r="F980" s="32" t="s">
        <v>581</v>
      </c>
      <c r="G980" s="32" t="str">
        <f t="shared" si="30"/>
        <v>1.25" ST EXTN</v>
      </c>
      <c r="H980" s="278" t="s">
        <v>469</v>
      </c>
      <c r="I980" s="32" t="s">
        <v>462</v>
      </c>
      <c r="J980" s="279">
        <v>2</v>
      </c>
      <c r="K980" s="280">
        <v>20237.810000000001</v>
      </c>
      <c r="L980" s="280">
        <v>6217.22</v>
      </c>
      <c r="M980" s="280">
        <v>14020.59</v>
      </c>
      <c r="N980" s="281">
        <v>583</v>
      </c>
      <c r="O980" s="282">
        <v>583</v>
      </c>
      <c r="P980" s="280">
        <f t="shared" si="31"/>
        <v>20237.810000000001</v>
      </c>
    </row>
    <row r="981" spans="1:16" x14ac:dyDescent="0.2">
      <c r="A981" s="32" t="s">
        <v>648</v>
      </c>
      <c r="B981" s="32" t="s">
        <v>635</v>
      </c>
      <c r="C981" s="32" t="s">
        <v>636</v>
      </c>
      <c r="D981" s="32" t="s">
        <v>599</v>
      </c>
      <c r="E981" s="32" t="s">
        <v>494</v>
      </c>
      <c r="F981" s="32" t="s">
        <v>581</v>
      </c>
      <c r="G981" s="32" t="str">
        <f t="shared" si="30"/>
        <v>1.25" ST EXTN</v>
      </c>
      <c r="H981" s="278" t="s">
        <v>469</v>
      </c>
      <c r="I981" s="32" t="s">
        <v>462</v>
      </c>
      <c r="J981" s="279">
        <v>4</v>
      </c>
      <c r="K981" s="280">
        <v>57862.09</v>
      </c>
      <c r="L981" s="280">
        <v>17775.71</v>
      </c>
      <c r="M981" s="280">
        <v>40086.379999999997</v>
      </c>
      <c r="N981" s="281">
        <v>583</v>
      </c>
      <c r="O981" s="282">
        <v>583</v>
      </c>
      <c r="P981" s="280">
        <f t="shared" si="31"/>
        <v>57862.09</v>
      </c>
    </row>
    <row r="982" spans="1:16" x14ac:dyDescent="0.2">
      <c r="A982" s="32" t="s">
        <v>649</v>
      </c>
      <c r="B982" s="32" t="s">
        <v>635</v>
      </c>
      <c r="C982" s="32" t="s">
        <v>636</v>
      </c>
      <c r="D982" s="32" t="s">
        <v>599</v>
      </c>
      <c r="E982" s="32" t="s">
        <v>494</v>
      </c>
      <c r="F982" s="32" t="s">
        <v>584</v>
      </c>
      <c r="G982" s="32" t="str">
        <f t="shared" si="30"/>
        <v>1.25" ST STUB</v>
      </c>
      <c r="H982" s="278" t="s">
        <v>532</v>
      </c>
      <c r="I982" s="32" t="s">
        <v>462</v>
      </c>
      <c r="J982" s="279">
        <v>274</v>
      </c>
      <c r="K982" s="280">
        <v>30500.6</v>
      </c>
      <c r="L982" s="280">
        <v>30500.6</v>
      </c>
      <c r="M982" s="280">
        <v>0</v>
      </c>
      <c r="N982" s="281">
        <v>71</v>
      </c>
      <c r="O982" s="282">
        <v>583</v>
      </c>
      <c r="P982" s="280">
        <f t="shared" si="31"/>
        <v>250448.58873239433</v>
      </c>
    </row>
    <row r="983" spans="1:16" x14ac:dyDescent="0.2">
      <c r="A983" s="32" t="s">
        <v>649</v>
      </c>
      <c r="B983" s="32" t="s">
        <v>635</v>
      </c>
      <c r="C983" s="32" t="s">
        <v>636</v>
      </c>
      <c r="D983" s="32" t="s">
        <v>599</v>
      </c>
      <c r="E983" s="32" t="s">
        <v>494</v>
      </c>
      <c r="F983" s="32" t="s">
        <v>584</v>
      </c>
      <c r="G983" s="32" t="str">
        <f t="shared" si="30"/>
        <v>1.25" ST STUB</v>
      </c>
      <c r="H983" s="278" t="s">
        <v>535</v>
      </c>
      <c r="I983" s="32" t="s">
        <v>462</v>
      </c>
      <c r="J983" s="279">
        <v>221</v>
      </c>
      <c r="K983" s="280">
        <v>24129.48</v>
      </c>
      <c r="L983" s="280">
        <v>24129.48</v>
      </c>
      <c r="M983" s="280">
        <v>0</v>
      </c>
      <c r="N983" s="281">
        <v>74</v>
      </c>
      <c r="O983" s="282">
        <v>583</v>
      </c>
      <c r="P983" s="280">
        <f t="shared" si="31"/>
        <v>190101.17351351349</v>
      </c>
    </row>
    <row r="984" spans="1:16" x14ac:dyDescent="0.2">
      <c r="A984" s="32" t="s">
        <v>649</v>
      </c>
      <c r="B984" s="32" t="s">
        <v>635</v>
      </c>
      <c r="C984" s="32" t="s">
        <v>636</v>
      </c>
      <c r="D984" s="32" t="s">
        <v>599</v>
      </c>
      <c r="E984" s="32" t="s">
        <v>494</v>
      </c>
      <c r="F984" s="32" t="s">
        <v>584</v>
      </c>
      <c r="G984" s="32" t="str">
        <f t="shared" si="30"/>
        <v>1.25" ST STUB</v>
      </c>
      <c r="H984" s="278" t="s">
        <v>533</v>
      </c>
      <c r="I984" s="32" t="s">
        <v>462</v>
      </c>
      <c r="J984" s="279">
        <v>356</v>
      </c>
      <c r="K984" s="280">
        <v>36865.839999999997</v>
      </c>
      <c r="L984" s="280">
        <v>36865.839999999997</v>
      </c>
      <c r="M984" s="280">
        <v>0</v>
      </c>
      <c r="N984" s="281">
        <v>78</v>
      </c>
      <c r="O984" s="282">
        <v>583</v>
      </c>
      <c r="P984" s="280">
        <f t="shared" si="31"/>
        <v>275548.52205128205</v>
      </c>
    </row>
    <row r="985" spans="1:16" x14ac:dyDescent="0.2">
      <c r="A985" s="32" t="s">
        <v>649</v>
      </c>
      <c r="B985" s="32" t="s">
        <v>635</v>
      </c>
      <c r="C985" s="32" t="s">
        <v>636</v>
      </c>
      <c r="D985" s="32" t="s">
        <v>599</v>
      </c>
      <c r="E985" s="32" t="s">
        <v>494</v>
      </c>
      <c r="F985" s="32" t="s">
        <v>584</v>
      </c>
      <c r="G985" s="32" t="str">
        <f t="shared" si="30"/>
        <v>1.25" ST STUB</v>
      </c>
      <c r="H985" s="278" t="s">
        <v>531</v>
      </c>
      <c r="I985" s="32" t="s">
        <v>462</v>
      </c>
      <c r="J985" s="279">
        <v>557</v>
      </c>
      <c r="K985" s="280">
        <v>70929.570000000007</v>
      </c>
      <c r="L985" s="280">
        <v>70929.570000000007</v>
      </c>
      <c r="M985" s="280">
        <v>0</v>
      </c>
      <c r="N985" s="281">
        <v>84</v>
      </c>
      <c r="O985" s="282">
        <v>583</v>
      </c>
      <c r="P985" s="280">
        <f t="shared" si="31"/>
        <v>492284.99178571434</v>
      </c>
    </row>
    <row r="986" spans="1:16" x14ac:dyDescent="0.2">
      <c r="A986" s="32" t="s">
        <v>649</v>
      </c>
      <c r="B986" s="32" t="s">
        <v>635</v>
      </c>
      <c r="C986" s="32" t="s">
        <v>636</v>
      </c>
      <c r="D986" s="32" t="s">
        <v>599</v>
      </c>
      <c r="E986" s="32" t="s">
        <v>494</v>
      </c>
      <c r="F986" s="32" t="s">
        <v>584</v>
      </c>
      <c r="G986" s="32" t="str">
        <f t="shared" si="30"/>
        <v>1.25" ST STUB</v>
      </c>
      <c r="H986" s="278" t="s">
        <v>527</v>
      </c>
      <c r="I986" s="32" t="s">
        <v>462</v>
      </c>
      <c r="J986" s="279">
        <v>493</v>
      </c>
      <c r="K986" s="280">
        <v>58897.31</v>
      </c>
      <c r="L986" s="280">
        <v>58897.31</v>
      </c>
      <c r="M986" s="280">
        <v>0</v>
      </c>
      <c r="N986" s="281">
        <v>90</v>
      </c>
      <c r="O986" s="282">
        <v>583</v>
      </c>
      <c r="P986" s="280">
        <f t="shared" si="31"/>
        <v>381523.6858888889</v>
      </c>
    </row>
    <row r="987" spans="1:16" x14ac:dyDescent="0.2">
      <c r="A987" s="32" t="s">
        <v>649</v>
      </c>
      <c r="B987" s="32" t="s">
        <v>635</v>
      </c>
      <c r="C987" s="32" t="s">
        <v>636</v>
      </c>
      <c r="D987" s="32" t="s">
        <v>599</v>
      </c>
      <c r="E987" s="32" t="s">
        <v>494</v>
      </c>
      <c r="F987" s="32" t="s">
        <v>584</v>
      </c>
      <c r="G987" s="32" t="str">
        <f t="shared" si="30"/>
        <v>1.25" ST STUB</v>
      </c>
      <c r="H987" s="278" t="s">
        <v>528</v>
      </c>
      <c r="I987" s="32" t="s">
        <v>462</v>
      </c>
      <c r="J987" s="279">
        <v>111</v>
      </c>
      <c r="K987" s="280">
        <v>17713.560000000001</v>
      </c>
      <c r="L987" s="280">
        <v>17713.560000000001</v>
      </c>
      <c r="M987" s="280">
        <v>0</v>
      </c>
      <c r="N987" s="281">
        <v>96</v>
      </c>
      <c r="O987" s="282">
        <v>583</v>
      </c>
      <c r="P987" s="280">
        <f t="shared" si="31"/>
        <v>107572.97375000002</v>
      </c>
    </row>
    <row r="988" spans="1:16" x14ac:dyDescent="0.2">
      <c r="A988" s="32" t="s">
        <v>649</v>
      </c>
      <c r="B988" s="32" t="s">
        <v>635</v>
      </c>
      <c r="C988" s="32" t="s">
        <v>636</v>
      </c>
      <c r="D988" s="32" t="s">
        <v>599</v>
      </c>
      <c r="E988" s="32" t="s">
        <v>494</v>
      </c>
      <c r="F988" s="32" t="s">
        <v>584</v>
      </c>
      <c r="G988" s="32" t="str">
        <f t="shared" si="30"/>
        <v>1.25" ST STUB</v>
      </c>
      <c r="H988" s="278" t="s">
        <v>529</v>
      </c>
      <c r="I988" s="32" t="s">
        <v>462</v>
      </c>
      <c r="J988" s="279">
        <v>321</v>
      </c>
      <c r="K988" s="280">
        <v>64808.68</v>
      </c>
      <c r="L988" s="280">
        <v>64808.68</v>
      </c>
      <c r="M988" s="280">
        <v>0</v>
      </c>
      <c r="N988" s="281">
        <v>100</v>
      </c>
      <c r="O988" s="282">
        <v>583</v>
      </c>
      <c r="P988" s="280">
        <f t="shared" si="31"/>
        <v>377834.60440000001</v>
      </c>
    </row>
    <row r="989" spans="1:16" x14ac:dyDescent="0.2">
      <c r="A989" s="32" t="s">
        <v>649</v>
      </c>
      <c r="B989" s="32" t="s">
        <v>635</v>
      </c>
      <c r="C989" s="32" t="s">
        <v>636</v>
      </c>
      <c r="D989" s="32" t="s">
        <v>599</v>
      </c>
      <c r="E989" s="32" t="s">
        <v>494</v>
      </c>
      <c r="F989" s="32" t="s">
        <v>584</v>
      </c>
      <c r="G989" s="32" t="str">
        <f t="shared" si="30"/>
        <v>1.25" ST STUB</v>
      </c>
      <c r="H989" s="278" t="s">
        <v>525</v>
      </c>
      <c r="I989" s="32" t="s">
        <v>462</v>
      </c>
      <c r="J989" s="279">
        <v>356</v>
      </c>
      <c r="K989" s="280">
        <v>46983.21</v>
      </c>
      <c r="L989" s="280">
        <v>46983.21</v>
      </c>
      <c r="M989" s="280">
        <v>0</v>
      </c>
      <c r="N989" s="281">
        <v>113</v>
      </c>
      <c r="O989" s="282">
        <v>583</v>
      </c>
      <c r="P989" s="280">
        <f t="shared" si="31"/>
        <v>242400.10115044247</v>
      </c>
    </row>
    <row r="990" spans="1:16" x14ac:dyDescent="0.2">
      <c r="A990" s="32" t="s">
        <v>649</v>
      </c>
      <c r="B990" s="32" t="s">
        <v>635</v>
      </c>
      <c r="C990" s="32" t="s">
        <v>636</v>
      </c>
      <c r="D990" s="32" t="s">
        <v>599</v>
      </c>
      <c r="E990" s="32" t="s">
        <v>494</v>
      </c>
      <c r="F990" s="32" t="s">
        <v>584</v>
      </c>
      <c r="G990" s="32" t="str">
        <f t="shared" si="30"/>
        <v>1.25" ST STUB</v>
      </c>
      <c r="H990" s="278" t="s">
        <v>524</v>
      </c>
      <c r="I990" s="32" t="s">
        <v>462</v>
      </c>
      <c r="J990" s="279">
        <v>11</v>
      </c>
      <c r="K990" s="280">
        <v>7073</v>
      </c>
      <c r="L990" s="280">
        <v>7073</v>
      </c>
      <c r="M990" s="280">
        <v>0</v>
      </c>
      <c r="N990" s="281">
        <v>133</v>
      </c>
      <c r="O990" s="282">
        <v>583</v>
      </c>
      <c r="P990" s="280">
        <f t="shared" si="31"/>
        <v>31004.203007518801</v>
      </c>
    </row>
    <row r="991" spans="1:16" x14ac:dyDescent="0.2">
      <c r="A991" s="32" t="s">
        <v>649</v>
      </c>
      <c r="B991" s="32" t="s">
        <v>635</v>
      </c>
      <c r="C991" s="32" t="s">
        <v>636</v>
      </c>
      <c r="D991" s="32" t="s">
        <v>599</v>
      </c>
      <c r="E991" s="32" t="s">
        <v>494</v>
      </c>
      <c r="F991" s="32" t="s">
        <v>584</v>
      </c>
      <c r="G991" s="32" t="str">
        <f t="shared" si="30"/>
        <v>1.25" ST STUB</v>
      </c>
      <c r="H991" s="278" t="s">
        <v>522</v>
      </c>
      <c r="I991" s="32" t="s">
        <v>462</v>
      </c>
      <c r="J991" s="279">
        <v>44</v>
      </c>
      <c r="K991" s="280">
        <v>15090.28</v>
      </c>
      <c r="L991" s="280">
        <v>15090.28</v>
      </c>
      <c r="M991" s="280">
        <v>0</v>
      </c>
      <c r="N991" s="281">
        <v>143</v>
      </c>
      <c r="O991" s="282">
        <v>583</v>
      </c>
      <c r="P991" s="280">
        <f t="shared" si="31"/>
        <v>61521.910769230766</v>
      </c>
    </row>
    <row r="992" spans="1:16" x14ac:dyDescent="0.2">
      <c r="A992" s="32" t="s">
        <v>649</v>
      </c>
      <c r="B992" s="32" t="s">
        <v>635</v>
      </c>
      <c r="C992" s="32" t="s">
        <v>636</v>
      </c>
      <c r="D992" s="32" t="s">
        <v>599</v>
      </c>
      <c r="E992" s="32" t="s">
        <v>494</v>
      </c>
      <c r="F992" s="32" t="s">
        <v>584</v>
      </c>
      <c r="G992" s="32" t="str">
        <f t="shared" si="30"/>
        <v>1.25" ST STUB</v>
      </c>
      <c r="H992" s="278" t="s">
        <v>526</v>
      </c>
      <c r="I992" s="32" t="s">
        <v>462</v>
      </c>
      <c r="J992" s="279">
        <v>50</v>
      </c>
      <c r="K992" s="280">
        <v>23855.7</v>
      </c>
      <c r="L992" s="280">
        <v>23855.7</v>
      </c>
      <c r="M992" s="280">
        <v>0</v>
      </c>
      <c r="N992" s="281">
        <v>153</v>
      </c>
      <c r="O992" s="282">
        <v>583</v>
      </c>
      <c r="P992" s="280">
        <f t="shared" si="31"/>
        <v>90901.131372549018</v>
      </c>
    </row>
    <row r="993" spans="1:16" x14ac:dyDescent="0.2">
      <c r="A993" s="32" t="s">
        <v>649</v>
      </c>
      <c r="B993" s="32" t="s">
        <v>635</v>
      </c>
      <c r="C993" s="32" t="s">
        <v>636</v>
      </c>
      <c r="D993" s="32" t="s">
        <v>599</v>
      </c>
      <c r="E993" s="32" t="s">
        <v>494</v>
      </c>
      <c r="F993" s="32" t="s">
        <v>584</v>
      </c>
      <c r="G993" s="32" t="str">
        <f t="shared" si="30"/>
        <v>1.25" ST STUB</v>
      </c>
      <c r="H993" s="278" t="s">
        <v>486</v>
      </c>
      <c r="I993" s="32" t="s">
        <v>462</v>
      </c>
      <c r="J993" s="279">
        <v>16</v>
      </c>
      <c r="K993" s="280">
        <v>6262.42</v>
      </c>
      <c r="L993" s="280">
        <v>6262.42</v>
      </c>
      <c r="M993" s="280">
        <v>0</v>
      </c>
      <c r="N993" s="281">
        <v>166</v>
      </c>
      <c r="O993" s="282">
        <v>583</v>
      </c>
      <c r="P993" s="280">
        <f t="shared" si="31"/>
        <v>21993.920843373497</v>
      </c>
    </row>
    <row r="994" spans="1:16" x14ac:dyDescent="0.2">
      <c r="A994" s="32" t="s">
        <v>649</v>
      </c>
      <c r="B994" s="32" t="s">
        <v>635</v>
      </c>
      <c r="C994" s="32" t="s">
        <v>636</v>
      </c>
      <c r="D994" s="32" t="s">
        <v>599</v>
      </c>
      <c r="E994" s="32" t="s">
        <v>494</v>
      </c>
      <c r="F994" s="32" t="s">
        <v>584</v>
      </c>
      <c r="G994" s="32" t="str">
        <f t="shared" si="30"/>
        <v>1.25" ST STUB</v>
      </c>
      <c r="H994" s="278" t="s">
        <v>521</v>
      </c>
      <c r="I994" s="32" t="s">
        <v>462</v>
      </c>
      <c r="J994" s="279">
        <v>8</v>
      </c>
      <c r="K994" s="280">
        <v>4025.95</v>
      </c>
      <c r="L994" s="280">
        <v>4025.95</v>
      </c>
      <c r="M994" s="280">
        <v>0</v>
      </c>
      <c r="N994" s="281">
        <v>198</v>
      </c>
      <c r="O994" s="282">
        <v>583</v>
      </c>
      <c r="P994" s="280">
        <f t="shared" si="31"/>
        <v>11854.186111111112</v>
      </c>
    </row>
    <row r="995" spans="1:16" x14ac:dyDescent="0.2">
      <c r="A995" s="32" t="s">
        <v>649</v>
      </c>
      <c r="B995" s="32" t="s">
        <v>635</v>
      </c>
      <c r="C995" s="32" t="s">
        <v>636</v>
      </c>
      <c r="D995" s="32" t="s">
        <v>599</v>
      </c>
      <c r="E995" s="32" t="s">
        <v>494</v>
      </c>
      <c r="F995" s="32" t="s">
        <v>584</v>
      </c>
      <c r="G995" s="32" t="str">
        <f t="shared" si="30"/>
        <v>1.25" ST STUB</v>
      </c>
      <c r="H995" s="278" t="s">
        <v>520</v>
      </c>
      <c r="I995" s="32" t="s">
        <v>462</v>
      </c>
      <c r="J995" s="279">
        <v>26</v>
      </c>
      <c r="K995" s="280">
        <v>11542.15</v>
      </c>
      <c r="L995" s="280">
        <v>11542.15</v>
      </c>
      <c r="M995" s="280">
        <v>0</v>
      </c>
      <c r="N995" s="281">
        <v>222</v>
      </c>
      <c r="O995" s="282">
        <v>583</v>
      </c>
      <c r="P995" s="280">
        <f t="shared" si="31"/>
        <v>30311.141666666666</v>
      </c>
    </row>
    <row r="996" spans="1:16" x14ac:dyDescent="0.2">
      <c r="A996" s="32" t="s">
        <v>649</v>
      </c>
      <c r="B996" s="32" t="s">
        <v>635</v>
      </c>
      <c r="C996" s="32" t="s">
        <v>636</v>
      </c>
      <c r="D996" s="32" t="s">
        <v>599</v>
      </c>
      <c r="E996" s="32" t="s">
        <v>494</v>
      </c>
      <c r="F996" s="32" t="s">
        <v>584</v>
      </c>
      <c r="G996" s="32" t="str">
        <f t="shared" si="30"/>
        <v>1.25" ST STUB</v>
      </c>
      <c r="H996" s="278" t="s">
        <v>518</v>
      </c>
      <c r="I996" s="32" t="s">
        <v>462</v>
      </c>
      <c r="J996" s="279">
        <v>27</v>
      </c>
      <c r="K996" s="280">
        <v>14454.06</v>
      </c>
      <c r="L996" s="280">
        <v>14454.06</v>
      </c>
      <c r="M996" s="280">
        <v>0</v>
      </c>
      <c r="N996" s="281">
        <v>245</v>
      </c>
      <c r="O996" s="282">
        <v>583</v>
      </c>
      <c r="P996" s="280">
        <f t="shared" si="31"/>
        <v>34394.763183673473</v>
      </c>
    </row>
    <row r="997" spans="1:16" x14ac:dyDescent="0.2">
      <c r="A997" s="32" t="s">
        <v>649</v>
      </c>
      <c r="B997" s="32" t="s">
        <v>635</v>
      </c>
      <c r="C997" s="32" t="s">
        <v>636</v>
      </c>
      <c r="D997" s="32" t="s">
        <v>599</v>
      </c>
      <c r="E997" s="32" t="s">
        <v>494</v>
      </c>
      <c r="F997" s="32" t="s">
        <v>584</v>
      </c>
      <c r="G997" s="32" t="str">
        <f t="shared" si="30"/>
        <v>1.25" ST STUB</v>
      </c>
      <c r="H997" s="278" t="s">
        <v>517</v>
      </c>
      <c r="I997" s="32" t="s">
        <v>462</v>
      </c>
      <c r="J997" s="279">
        <v>32</v>
      </c>
      <c r="K997" s="280">
        <v>19996.240000000002</v>
      </c>
      <c r="L997" s="280">
        <v>19996.240000000002</v>
      </c>
      <c r="M997" s="280">
        <v>0</v>
      </c>
      <c r="N997" s="281">
        <v>254</v>
      </c>
      <c r="O997" s="282">
        <v>583</v>
      </c>
      <c r="P997" s="280">
        <f t="shared" si="31"/>
        <v>45896.881574803148</v>
      </c>
    </row>
    <row r="998" spans="1:16" x14ac:dyDescent="0.2">
      <c r="A998" s="32" t="s">
        <v>649</v>
      </c>
      <c r="B998" s="32" t="s">
        <v>635</v>
      </c>
      <c r="C998" s="32" t="s">
        <v>636</v>
      </c>
      <c r="D998" s="32" t="s">
        <v>599</v>
      </c>
      <c r="E998" s="32" t="s">
        <v>494</v>
      </c>
      <c r="F998" s="32" t="s">
        <v>584</v>
      </c>
      <c r="G998" s="32" t="str">
        <f t="shared" si="30"/>
        <v>1.25" ST STUB</v>
      </c>
      <c r="H998" s="278" t="s">
        <v>463</v>
      </c>
      <c r="I998" s="32" t="s">
        <v>462</v>
      </c>
      <c r="J998" s="279">
        <v>17</v>
      </c>
      <c r="K998" s="280">
        <v>10261.84</v>
      </c>
      <c r="L998" s="280">
        <v>10261.84</v>
      </c>
      <c r="M998" s="280">
        <v>0</v>
      </c>
      <c r="N998" s="281">
        <v>262</v>
      </c>
      <c r="O998" s="282">
        <v>583</v>
      </c>
      <c r="P998" s="280">
        <f t="shared" si="31"/>
        <v>22834.552366412216</v>
      </c>
    </row>
    <row r="999" spans="1:16" x14ac:dyDescent="0.2">
      <c r="A999" s="32" t="s">
        <v>649</v>
      </c>
      <c r="B999" s="32" t="s">
        <v>635</v>
      </c>
      <c r="C999" s="32" t="s">
        <v>636</v>
      </c>
      <c r="D999" s="32" t="s">
        <v>599</v>
      </c>
      <c r="E999" s="32" t="s">
        <v>494</v>
      </c>
      <c r="F999" s="32" t="s">
        <v>584</v>
      </c>
      <c r="G999" s="32" t="str">
        <f t="shared" si="30"/>
        <v>1.25" ST STUB</v>
      </c>
      <c r="H999" s="278" t="s">
        <v>464</v>
      </c>
      <c r="I999" s="32" t="s">
        <v>462</v>
      </c>
      <c r="J999" s="279">
        <v>6</v>
      </c>
      <c r="K999" s="280">
        <v>5749.56</v>
      </c>
      <c r="L999" s="280">
        <v>5749.56</v>
      </c>
      <c r="M999" s="280">
        <v>0</v>
      </c>
      <c r="N999" s="281">
        <v>266</v>
      </c>
      <c r="O999" s="282">
        <v>583</v>
      </c>
      <c r="P999" s="280">
        <f t="shared" si="31"/>
        <v>12601.479248120302</v>
      </c>
    </row>
    <row r="1000" spans="1:16" x14ac:dyDescent="0.2">
      <c r="A1000" s="32" t="s">
        <v>649</v>
      </c>
      <c r="B1000" s="32" t="s">
        <v>635</v>
      </c>
      <c r="C1000" s="32" t="s">
        <v>636</v>
      </c>
      <c r="D1000" s="32" t="s">
        <v>599</v>
      </c>
      <c r="E1000" s="32" t="s">
        <v>494</v>
      </c>
      <c r="F1000" s="32" t="s">
        <v>584</v>
      </c>
      <c r="G1000" s="32" t="str">
        <f t="shared" si="30"/>
        <v>1.25" ST STUB</v>
      </c>
      <c r="H1000" s="278" t="s">
        <v>515</v>
      </c>
      <c r="I1000" s="32" t="s">
        <v>462</v>
      </c>
      <c r="J1000" s="279">
        <v>7</v>
      </c>
      <c r="K1000" s="280">
        <v>8856.09</v>
      </c>
      <c r="L1000" s="280">
        <v>8856.09</v>
      </c>
      <c r="M1000" s="280">
        <v>0</v>
      </c>
      <c r="N1000" s="281">
        <v>264</v>
      </c>
      <c r="O1000" s="282">
        <v>583</v>
      </c>
      <c r="P1000" s="280">
        <f t="shared" si="31"/>
        <v>19557.198750000003</v>
      </c>
    </row>
    <row r="1001" spans="1:16" x14ac:dyDescent="0.2">
      <c r="A1001" s="32" t="s">
        <v>649</v>
      </c>
      <c r="B1001" s="32" t="s">
        <v>635</v>
      </c>
      <c r="C1001" s="32" t="s">
        <v>636</v>
      </c>
      <c r="D1001" s="32" t="s">
        <v>599</v>
      </c>
      <c r="E1001" s="32" t="s">
        <v>494</v>
      </c>
      <c r="F1001" s="32" t="s">
        <v>584</v>
      </c>
      <c r="G1001" s="32" t="str">
        <f t="shared" si="30"/>
        <v>1.25" ST STUB</v>
      </c>
      <c r="H1001" s="278" t="s">
        <v>470</v>
      </c>
      <c r="I1001" s="32" t="s">
        <v>462</v>
      </c>
      <c r="J1001" s="279">
        <v>1</v>
      </c>
      <c r="K1001" s="280">
        <v>800.43</v>
      </c>
      <c r="L1001" s="280">
        <v>800.43</v>
      </c>
      <c r="M1001" s="280">
        <v>0</v>
      </c>
      <c r="N1001" s="281">
        <v>514</v>
      </c>
      <c r="O1001" s="282">
        <v>583</v>
      </c>
      <c r="P1001" s="280">
        <f t="shared" si="31"/>
        <v>907.88071984435794</v>
      </c>
    </row>
    <row r="1002" spans="1:16" x14ac:dyDescent="0.2">
      <c r="A1002" s="32" t="s">
        <v>649</v>
      </c>
      <c r="B1002" s="32" t="s">
        <v>635</v>
      </c>
      <c r="C1002" s="32" t="s">
        <v>636</v>
      </c>
      <c r="D1002" s="32" t="s">
        <v>599</v>
      </c>
      <c r="E1002" s="32" t="s">
        <v>494</v>
      </c>
      <c r="F1002" s="32" t="s">
        <v>584</v>
      </c>
      <c r="G1002" s="32" t="str">
        <f t="shared" si="30"/>
        <v>1.25" ST STUB</v>
      </c>
      <c r="H1002" s="278" t="s">
        <v>461</v>
      </c>
      <c r="I1002" s="32" t="s">
        <v>462</v>
      </c>
      <c r="J1002" s="279">
        <v>2</v>
      </c>
      <c r="K1002" s="280">
        <v>24295.43</v>
      </c>
      <c r="L1002" s="280">
        <v>24295.43</v>
      </c>
      <c r="M1002" s="280">
        <v>0</v>
      </c>
      <c r="N1002" s="281">
        <v>568</v>
      </c>
      <c r="O1002" s="282">
        <v>583</v>
      </c>
      <c r="P1002" s="280">
        <f t="shared" si="31"/>
        <v>24937.034665492956</v>
      </c>
    </row>
    <row r="1003" spans="1:16" x14ac:dyDescent="0.2">
      <c r="A1003" s="32" t="s">
        <v>649</v>
      </c>
      <c r="B1003" s="32" t="s">
        <v>635</v>
      </c>
      <c r="C1003" s="32" t="s">
        <v>636</v>
      </c>
      <c r="D1003" s="32" t="s">
        <v>599</v>
      </c>
      <c r="E1003" s="32" t="s">
        <v>494</v>
      </c>
      <c r="F1003" s="32" t="s">
        <v>584</v>
      </c>
      <c r="G1003" s="32" t="str">
        <f t="shared" si="30"/>
        <v>1.25" ST STUB</v>
      </c>
      <c r="H1003" s="278" t="s">
        <v>461</v>
      </c>
      <c r="I1003" s="32" t="s">
        <v>462</v>
      </c>
      <c r="J1003" s="279">
        <v>2</v>
      </c>
      <c r="K1003" s="280">
        <v>24412.22</v>
      </c>
      <c r="L1003" s="280">
        <v>24412.22</v>
      </c>
      <c r="M1003" s="280">
        <v>0</v>
      </c>
      <c r="N1003" s="281">
        <v>568</v>
      </c>
      <c r="O1003" s="282">
        <v>583</v>
      </c>
      <c r="P1003" s="280">
        <f t="shared" si="31"/>
        <v>25056.908908450703</v>
      </c>
    </row>
    <row r="1004" spans="1:16" x14ac:dyDescent="0.2">
      <c r="A1004" s="32" t="s">
        <v>649</v>
      </c>
      <c r="B1004" s="32" t="s">
        <v>635</v>
      </c>
      <c r="C1004" s="32" t="s">
        <v>636</v>
      </c>
      <c r="D1004" s="32" t="s">
        <v>599</v>
      </c>
      <c r="E1004" s="32" t="s">
        <v>494</v>
      </c>
      <c r="F1004" s="32" t="s">
        <v>584</v>
      </c>
      <c r="G1004" s="32" t="str">
        <f t="shared" si="30"/>
        <v>1.25" ST STUB</v>
      </c>
      <c r="H1004" s="278" t="s">
        <v>468</v>
      </c>
      <c r="I1004" s="32" t="s">
        <v>462</v>
      </c>
      <c r="J1004" s="279">
        <v>1</v>
      </c>
      <c r="K1004" s="280">
        <v>3025.92</v>
      </c>
      <c r="L1004" s="280">
        <v>3025.92</v>
      </c>
      <c r="M1004" s="280">
        <v>0</v>
      </c>
      <c r="N1004" s="281">
        <v>561</v>
      </c>
      <c r="O1004" s="282">
        <v>583</v>
      </c>
      <c r="P1004" s="280">
        <f t="shared" si="31"/>
        <v>3144.5835294117651</v>
      </c>
    </row>
    <row r="1005" spans="1:16" x14ac:dyDescent="0.2">
      <c r="A1005" s="32" t="s">
        <v>649</v>
      </c>
      <c r="B1005" s="32" t="s">
        <v>635</v>
      </c>
      <c r="C1005" s="32" t="s">
        <v>636</v>
      </c>
      <c r="D1005" s="32" t="s">
        <v>599</v>
      </c>
      <c r="E1005" s="32" t="s">
        <v>494</v>
      </c>
      <c r="F1005" s="32" t="s">
        <v>584</v>
      </c>
      <c r="G1005" s="32" t="str">
        <f t="shared" si="30"/>
        <v>1.25" ST STUB</v>
      </c>
      <c r="H1005" s="278" t="s">
        <v>468</v>
      </c>
      <c r="I1005" s="32" t="s">
        <v>462</v>
      </c>
      <c r="J1005" s="279">
        <v>1</v>
      </c>
      <c r="K1005" s="280">
        <v>15874.56</v>
      </c>
      <c r="L1005" s="280">
        <v>15874.56</v>
      </c>
      <c r="M1005" s="280">
        <v>0</v>
      </c>
      <c r="N1005" s="281">
        <v>561</v>
      </c>
      <c r="O1005" s="282">
        <v>583</v>
      </c>
      <c r="P1005" s="280">
        <f t="shared" si="31"/>
        <v>16497.091764705881</v>
      </c>
    </row>
    <row r="1006" spans="1:16" x14ac:dyDescent="0.2">
      <c r="A1006" s="32" t="s">
        <v>649</v>
      </c>
      <c r="B1006" s="32" t="s">
        <v>635</v>
      </c>
      <c r="C1006" s="32" t="s">
        <v>636</v>
      </c>
      <c r="D1006" s="32" t="s">
        <v>599</v>
      </c>
      <c r="E1006" s="32" t="s">
        <v>494</v>
      </c>
      <c r="F1006" s="32" t="s">
        <v>584</v>
      </c>
      <c r="G1006" s="32" t="str">
        <f t="shared" si="30"/>
        <v>1.25" ST STUB</v>
      </c>
      <c r="H1006" s="278" t="s">
        <v>468</v>
      </c>
      <c r="I1006" s="32" t="s">
        <v>462</v>
      </c>
      <c r="J1006" s="279">
        <v>1</v>
      </c>
      <c r="K1006" s="280">
        <v>22504.16</v>
      </c>
      <c r="L1006" s="280">
        <v>22504.16</v>
      </c>
      <c r="M1006" s="280">
        <v>0</v>
      </c>
      <c r="N1006" s="281">
        <v>561</v>
      </c>
      <c r="O1006" s="282">
        <v>583</v>
      </c>
      <c r="P1006" s="280">
        <f t="shared" si="31"/>
        <v>23386.676078431374</v>
      </c>
    </row>
    <row r="1007" spans="1:16" x14ac:dyDescent="0.2">
      <c r="A1007" s="32" t="s">
        <v>649</v>
      </c>
      <c r="B1007" s="32" t="s">
        <v>635</v>
      </c>
      <c r="C1007" s="32" t="s">
        <v>636</v>
      </c>
      <c r="D1007" s="32" t="s">
        <v>599</v>
      </c>
      <c r="E1007" s="32" t="s">
        <v>494</v>
      </c>
      <c r="F1007" s="32" t="s">
        <v>584</v>
      </c>
      <c r="G1007" s="32" t="str">
        <f t="shared" si="30"/>
        <v>1.25" ST STUB</v>
      </c>
      <c r="H1007" s="278" t="s">
        <v>469</v>
      </c>
      <c r="I1007" s="32" t="s">
        <v>462</v>
      </c>
      <c r="J1007" s="279">
        <v>2</v>
      </c>
      <c r="K1007" s="280">
        <v>18635.75</v>
      </c>
      <c r="L1007" s="280">
        <v>5725.06</v>
      </c>
      <c r="M1007" s="280">
        <v>12910.69</v>
      </c>
      <c r="N1007" s="281">
        <v>583</v>
      </c>
      <c r="O1007" s="282">
        <v>583</v>
      </c>
      <c r="P1007" s="280">
        <f t="shared" si="31"/>
        <v>18635.75</v>
      </c>
    </row>
    <row r="1008" spans="1:16" x14ac:dyDescent="0.2">
      <c r="A1008" s="32" t="s">
        <v>649</v>
      </c>
      <c r="B1008" s="32" t="s">
        <v>635</v>
      </c>
      <c r="C1008" s="32" t="s">
        <v>636</v>
      </c>
      <c r="D1008" s="32" t="s">
        <v>599</v>
      </c>
      <c r="E1008" s="32" t="s">
        <v>494</v>
      </c>
      <c r="F1008" s="32" t="s">
        <v>584</v>
      </c>
      <c r="G1008" s="32" t="str">
        <f t="shared" si="30"/>
        <v>1.25" ST STUB</v>
      </c>
      <c r="H1008" s="278" t="s">
        <v>469</v>
      </c>
      <c r="I1008" s="32" t="s">
        <v>462</v>
      </c>
      <c r="J1008" s="279">
        <v>3</v>
      </c>
      <c r="K1008" s="280">
        <v>71974.83</v>
      </c>
      <c r="L1008" s="280">
        <v>22111.26</v>
      </c>
      <c r="M1008" s="280">
        <v>49863.57</v>
      </c>
      <c r="N1008" s="281">
        <v>583</v>
      </c>
      <c r="O1008" s="282">
        <v>583</v>
      </c>
      <c r="P1008" s="280">
        <f t="shared" si="31"/>
        <v>71974.83</v>
      </c>
    </row>
    <row r="1009" spans="1:16" x14ac:dyDescent="0.2">
      <c r="A1009" s="32" t="s">
        <v>650</v>
      </c>
      <c r="B1009" s="32" t="s">
        <v>640</v>
      </c>
      <c r="C1009" s="32" t="s">
        <v>641</v>
      </c>
      <c r="D1009" s="32" t="s">
        <v>651</v>
      </c>
      <c r="E1009" s="32" t="s">
        <v>494</v>
      </c>
      <c r="F1009" s="32" t="s">
        <v>581</v>
      </c>
      <c r="G1009" s="32" t="str">
        <f t="shared" si="30"/>
        <v>1.25-2" ST EXTN</v>
      </c>
      <c r="H1009" s="278" t="s">
        <v>499</v>
      </c>
      <c r="I1009" s="32" t="s">
        <v>462</v>
      </c>
      <c r="J1009" s="279">
        <v>29124</v>
      </c>
      <c r="K1009" s="280">
        <v>706401.19</v>
      </c>
      <c r="L1009" s="280">
        <v>894072.24</v>
      </c>
      <c r="M1009" s="280">
        <v>-187671.05</v>
      </c>
      <c r="N1009" s="281">
        <v>37</v>
      </c>
      <c r="O1009" s="282">
        <v>583</v>
      </c>
      <c r="P1009" s="280">
        <f t="shared" si="31"/>
        <v>11130591.723513512</v>
      </c>
    </row>
    <row r="1010" spans="1:16" x14ac:dyDescent="0.2">
      <c r="A1010" s="32" t="s">
        <v>650</v>
      </c>
      <c r="B1010" s="32" t="s">
        <v>640</v>
      </c>
      <c r="C1010" s="32" t="s">
        <v>641</v>
      </c>
      <c r="D1010" s="32" t="s">
        <v>651</v>
      </c>
      <c r="E1010" s="32" t="s">
        <v>494</v>
      </c>
      <c r="F1010" s="32" t="s">
        <v>581</v>
      </c>
      <c r="G1010" s="32" t="str">
        <f t="shared" si="30"/>
        <v>1.25-2" ST EXTN</v>
      </c>
      <c r="H1010" s="278" t="s">
        <v>643</v>
      </c>
      <c r="I1010" s="32" t="s">
        <v>462</v>
      </c>
      <c r="J1010" s="279">
        <v>311</v>
      </c>
      <c r="K1010" s="280">
        <v>26848.03</v>
      </c>
      <c r="L1010" s="280">
        <v>33732.699999999997</v>
      </c>
      <c r="M1010" s="280">
        <v>-6884.67</v>
      </c>
      <c r="N1010" s="281">
        <v>41</v>
      </c>
      <c r="O1010" s="282">
        <v>583</v>
      </c>
      <c r="P1010" s="280">
        <f t="shared" si="31"/>
        <v>381765.88999999996</v>
      </c>
    </row>
    <row r="1011" spans="1:16" x14ac:dyDescent="0.2">
      <c r="A1011" s="32" t="s">
        <v>650</v>
      </c>
      <c r="B1011" s="32" t="s">
        <v>640</v>
      </c>
      <c r="C1011" s="32" t="s">
        <v>641</v>
      </c>
      <c r="D1011" s="32" t="s">
        <v>651</v>
      </c>
      <c r="E1011" s="32" t="s">
        <v>494</v>
      </c>
      <c r="F1011" s="32" t="s">
        <v>581</v>
      </c>
      <c r="G1011" s="32" t="str">
        <f t="shared" si="30"/>
        <v>1.25-2" ST EXTN</v>
      </c>
      <c r="H1011" s="278" t="s">
        <v>547</v>
      </c>
      <c r="I1011" s="32" t="s">
        <v>462</v>
      </c>
      <c r="J1011" s="279">
        <v>997</v>
      </c>
      <c r="K1011" s="280">
        <v>110436.9</v>
      </c>
      <c r="L1011" s="280">
        <v>138246.12</v>
      </c>
      <c r="M1011" s="280">
        <v>-27809.22</v>
      </c>
      <c r="N1011" s="281">
        <v>45</v>
      </c>
      <c r="O1011" s="282">
        <v>583</v>
      </c>
      <c r="P1011" s="280">
        <f t="shared" si="31"/>
        <v>1430771.3933333333</v>
      </c>
    </row>
    <row r="1012" spans="1:16" x14ac:dyDescent="0.2">
      <c r="A1012" s="32" t="s">
        <v>650</v>
      </c>
      <c r="B1012" s="32" t="s">
        <v>640</v>
      </c>
      <c r="C1012" s="32" t="s">
        <v>641</v>
      </c>
      <c r="D1012" s="32" t="s">
        <v>651</v>
      </c>
      <c r="E1012" s="32" t="s">
        <v>494</v>
      </c>
      <c r="F1012" s="32" t="s">
        <v>581</v>
      </c>
      <c r="G1012" s="32" t="str">
        <f t="shared" si="30"/>
        <v>1.25-2" ST EXTN</v>
      </c>
      <c r="H1012" s="278" t="s">
        <v>495</v>
      </c>
      <c r="I1012" s="32" t="s">
        <v>462</v>
      </c>
      <c r="J1012" s="279">
        <v>725</v>
      </c>
      <c r="K1012" s="280">
        <v>119803</v>
      </c>
      <c r="L1012" s="280">
        <v>149417.16</v>
      </c>
      <c r="M1012" s="280">
        <v>-29614.16</v>
      </c>
      <c r="N1012" s="281">
        <v>48</v>
      </c>
      <c r="O1012" s="282">
        <v>583</v>
      </c>
      <c r="P1012" s="280">
        <f t="shared" si="31"/>
        <v>1455107.2708333335</v>
      </c>
    </row>
    <row r="1013" spans="1:16" x14ac:dyDescent="0.2">
      <c r="A1013" s="32" t="s">
        <v>650</v>
      </c>
      <c r="B1013" s="32" t="s">
        <v>640</v>
      </c>
      <c r="C1013" s="32" t="s">
        <v>641</v>
      </c>
      <c r="D1013" s="32" t="s">
        <v>651</v>
      </c>
      <c r="E1013" s="32" t="s">
        <v>494</v>
      </c>
      <c r="F1013" s="32" t="s">
        <v>581</v>
      </c>
      <c r="G1013" s="32" t="str">
        <f t="shared" si="30"/>
        <v>1.25-2" ST EXTN</v>
      </c>
      <c r="H1013" s="278" t="s">
        <v>496</v>
      </c>
      <c r="I1013" s="32" t="s">
        <v>462</v>
      </c>
      <c r="J1013" s="279">
        <v>575</v>
      </c>
      <c r="K1013" s="280">
        <v>89211.61</v>
      </c>
      <c r="L1013" s="280">
        <v>110851.68</v>
      </c>
      <c r="M1013" s="280">
        <v>-21640.07</v>
      </c>
      <c r="N1013" s="281">
        <v>51</v>
      </c>
      <c r="O1013" s="282">
        <v>583</v>
      </c>
      <c r="P1013" s="280">
        <f t="shared" si="31"/>
        <v>1019811.1496078431</v>
      </c>
    </row>
    <row r="1014" spans="1:16" x14ac:dyDescent="0.2">
      <c r="A1014" s="32" t="s">
        <v>650</v>
      </c>
      <c r="B1014" s="32" t="s">
        <v>640</v>
      </c>
      <c r="C1014" s="32" t="s">
        <v>641</v>
      </c>
      <c r="D1014" s="32" t="s">
        <v>651</v>
      </c>
      <c r="E1014" s="32" t="s">
        <v>494</v>
      </c>
      <c r="F1014" s="32" t="s">
        <v>581</v>
      </c>
      <c r="G1014" s="32" t="str">
        <f t="shared" si="30"/>
        <v>1.25-2" ST EXTN</v>
      </c>
      <c r="H1014" s="278" t="s">
        <v>506</v>
      </c>
      <c r="I1014" s="32" t="s">
        <v>462</v>
      </c>
      <c r="J1014" s="279">
        <v>732</v>
      </c>
      <c r="K1014" s="280">
        <v>109288.98</v>
      </c>
      <c r="L1014" s="280">
        <v>135294.26999999999</v>
      </c>
      <c r="M1014" s="280">
        <v>-26005.29</v>
      </c>
      <c r="N1014" s="281">
        <v>53</v>
      </c>
      <c r="O1014" s="282">
        <v>583</v>
      </c>
      <c r="P1014" s="280">
        <f t="shared" si="31"/>
        <v>1202178.78</v>
      </c>
    </row>
    <row r="1015" spans="1:16" x14ac:dyDescent="0.2">
      <c r="A1015" s="32" t="s">
        <v>650</v>
      </c>
      <c r="B1015" s="32" t="s">
        <v>640</v>
      </c>
      <c r="C1015" s="32" t="s">
        <v>641</v>
      </c>
      <c r="D1015" s="32" t="s">
        <v>651</v>
      </c>
      <c r="E1015" s="32" t="s">
        <v>494</v>
      </c>
      <c r="F1015" s="32" t="s">
        <v>581</v>
      </c>
      <c r="G1015" s="32" t="str">
        <f t="shared" si="30"/>
        <v>1.25-2" ST EXTN</v>
      </c>
      <c r="H1015" s="278" t="s">
        <v>507</v>
      </c>
      <c r="I1015" s="32" t="s">
        <v>462</v>
      </c>
      <c r="J1015" s="279">
        <v>680</v>
      </c>
      <c r="K1015" s="280">
        <v>99182.71</v>
      </c>
      <c r="L1015" s="280">
        <v>122324.95</v>
      </c>
      <c r="M1015" s="280">
        <v>-23142.240000000002</v>
      </c>
      <c r="N1015" s="281">
        <v>57</v>
      </c>
      <c r="O1015" s="282">
        <v>583</v>
      </c>
      <c r="P1015" s="280">
        <f t="shared" si="31"/>
        <v>1014447.7180701755</v>
      </c>
    </row>
    <row r="1016" spans="1:16" x14ac:dyDescent="0.2">
      <c r="A1016" s="32" t="s">
        <v>650</v>
      </c>
      <c r="B1016" s="32" t="s">
        <v>640</v>
      </c>
      <c r="C1016" s="32" t="s">
        <v>641</v>
      </c>
      <c r="D1016" s="32" t="s">
        <v>651</v>
      </c>
      <c r="E1016" s="32" t="s">
        <v>494</v>
      </c>
      <c r="F1016" s="32" t="s">
        <v>581</v>
      </c>
      <c r="G1016" s="32" t="str">
        <f t="shared" si="30"/>
        <v>1.25-2" ST EXTN</v>
      </c>
      <c r="H1016" s="278" t="s">
        <v>508</v>
      </c>
      <c r="I1016" s="32" t="s">
        <v>462</v>
      </c>
      <c r="J1016" s="279">
        <v>1059</v>
      </c>
      <c r="K1016" s="280">
        <v>194426.02</v>
      </c>
      <c r="L1016" s="280">
        <v>238893</v>
      </c>
      <c r="M1016" s="280">
        <v>-44466.98</v>
      </c>
      <c r="N1016" s="281">
        <v>59</v>
      </c>
      <c r="O1016" s="282">
        <v>583</v>
      </c>
      <c r="P1016" s="280">
        <f t="shared" si="31"/>
        <v>1921192.7061016946</v>
      </c>
    </row>
    <row r="1017" spans="1:16" x14ac:dyDescent="0.2">
      <c r="A1017" s="32" t="s">
        <v>650</v>
      </c>
      <c r="B1017" s="32" t="s">
        <v>640</v>
      </c>
      <c r="C1017" s="32" t="s">
        <v>641</v>
      </c>
      <c r="D1017" s="32" t="s">
        <v>651</v>
      </c>
      <c r="E1017" s="32" t="s">
        <v>494</v>
      </c>
      <c r="F1017" s="32" t="s">
        <v>581</v>
      </c>
      <c r="G1017" s="32" t="str">
        <f t="shared" si="30"/>
        <v>1.25-2" ST EXTN</v>
      </c>
      <c r="H1017" s="278" t="s">
        <v>510</v>
      </c>
      <c r="I1017" s="32" t="s">
        <v>462</v>
      </c>
      <c r="J1017" s="279">
        <v>1316</v>
      </c>
      <c r="K1017" s="280">
        <v>236426.81</v>
      </c>
      <c r="L1017" s="280">
        <v>289407.35999999999</v>
      </c>
      <c r="M1017" s="280">
        <v>-52980.55</v>
      </c>
      <c r="N1017" s="281">
        <v>60</v>
      </c>
      <c r="O1017" s="282">
        <v>583</v>
      </c>
      <c r="P1017" s="280">
        <f t="shared" si="31"/>
        <v>2297280.5038333335</v>
      </c>
    </row>
    <row r="1018" spans="1:16" x14ac:dyDescent="0.2">
      <c r="A1018" s="32" t="s">
        <v>650</v>
      </c>
      <c r="B1018" s="32" t="s">
        <v>640</v>
      </c>
      <c r="C1018" s="32" t="s">
        <v>641</v>
      </c>
      <c r="D1018" s="32" t="s">
        <v>651</v>
      </c>
      <c r="E1018" s="32" t="s">
        <v>494</v>
      </c>
      <c r="F1018" s="32" t="s">
        <v>581</v>
      </c>
      <c r="G1018" s="32" t="str">
        <f t="shared" si="30"/>
        <v>1.25-2" ST EXTN</v>
      </c>
      <c r="H1018" s="278" t="s">
        <v>511</v>
      </c>
      <c r="I1018" s="32" t="s">
        <v>462</v>
      </c>
      <c r="J1018" s="279">
        <v>1352</v>
      </c>
      <c r="K1018" s="280">
        <v>243435.73</v>
      </c>
      <c r="L1018" s="280">
        <v>296862.13</v>
      </c>
      <c r="M1018" s="280">
        <v>-53426.400000000001</v>
      </c>
      <c r="N1018" s="281">
        <v>61</v>
      </c>
      <c r="O1018" s="282">
        <v>583</v>
      </c>
      <c r="P1018" s="280">
        <f t="shared" si="31"/>
        <v>2326607.0588524593</v>
      </c>
    </row>
    <row r="1019" spans="1:16" x14ac:dyDescent="0.2">
      <c r="A1019" s="32" t="s">
        <v>650</v>
      </c>
      <c r="B1019" s="32" t="s">
        <v>640</v>
      </c>
      <c r="C1019" s="32" t="s">
        <v>641</v>
      </c>
      <c r="D1019" s="32" t="s">
        <v>651</v>
      </c>
      <c r="E1019" s="32" t="s">
        <v>494</v>
      </c>
      <c r="F1019" s="32" t="s">
        <v>581</v>
      </c>
      <c r="G1019" s="32" t="str">
        <f t="shared" si="30"/>
        <v>1.25-2" ST EXTN</v>
      </c>
      <c r="H1019" s="278" t="s">
        <v>509</v>
      </c>
      <c r="I1019" s="32" t="s">
        <v>462</v>
      </c>
      <c r="J1019" s="279">
        <v>1036</v>
      </c>
      <c r="K1019" s="280">
        <v>221183.48</v>
      </c>
      <c r="L1019" s="280">
        <v>268704.27</v>
      </c>
      <c r="M1019" s="280">
        <v>-47520.79</v>
      </c>
      <c r="N1019" s="281">
        <v>63</v>
      </c>
      <c r="O1019" s="282">
        <v>583</v>
      </c>
      <c r="P1019" s="280">
        <f t="shared" si="31"/>
        <v>2046824.9022222224</v>
      </c>
    </row>
    <row r="1020" spans="1:16" x14ac:dyDescent="0.2">
      <c r="A1020" s="32" t="s">
        <v>650</v>
      </c>
      <c r="B1020" s="32" t="s">
        <v>640</v>
      </c>
      <c r="C1020" s="32" t="s">
        <v>641</v>
      </c>
      <c r="D1020" s="32" t="s">
        <v>651</v>
      </c>
      <c r="E1020" s="32" t="s">
        <v>494</v>
      </c>
      <c r="F1020" s="32" t="s">
        <v>581</v>
      </c>
      <c r="G1020" s="32" t="str">
        <f t="shared" si="30"/>
        <v>1.25-2" ST EXTN</v>
      </c>
      <c r="H1020" s="278" t="s">
        <v>474</v>
      </c>
      <c r="I1020" s="32" t="s">
        <v>462</v>
      </c>
      <c r="J1020" s="279">
        <v>2</v>
      </c>
      <c r="K1020" s="280">
        <v>7783.26</v>
      </c>
      <c r="L1020" s="280">
        <v>7981.05</v>
      </c>
      <c r="M1020" s="280">
        <v>-197.79</v>
      </c>
      <c r="N1020" s="281">
        <v>489</v>
      </c>
      <c r="O1020" s="282">
        <v>583</v>
      </c>
      <c r="P1020" s="280">
        <f t="shared" si="31"/>
        <v>9279.4285889570565</v>
      </c>
    </row>
    <row r="1021" spans="1:16" x14ac:dyDescent="0.2">
      <c r="A1021" s="32" t="s">
        <v>650</v>
      </c>
      <c r="B1021" s="32" t="s">
        <v>640</v>
      </c>
      <c r="C1021" s="32" t="s">
        <v>641</v>
      </c>
      <c r="D1021" s="32" t="s">
        <v>651</v>
      </c>
      <c r="E1021" s="32" t="s">
        <v>494</v>
      </c>
      <c r="F1021" s="32" t="s">
        <v>581</v>
      </c>
      <c r="G1021" s="32" t="str">
        <f t="shared" si="30"/>
        <v>1.25-2" ST EXTN</v>
      </c>
      <c r="H1021" s="278" t="s">
        <v>477</v>
      </c>
      <c r="I1021" s="32" t="s">
        <v>462</v>
      </c>
      <c r="J1021" s="279">
        <v>2</v>
      </c>
      <c r="K1021" s="280">
        <v>21737.48</v>
      </c>
      <c r="L1021" s="280">
        <v>22189.439999999999</v>
      </c>
      <c r="M1021" s="280">
        <v>-451.96</v>
      </c>
      <c r="N1021" s="281">
        <v>517</v>
      </c>
      <c r="O1021" s="282">
        <v>583</v>
      </c>
      <c r="P1021" s="280">
        <f t="shared" si="31"/>
        <v>24512.477446808509</v>
      </c>
    </row>
    <row r="1022" spans="1:16" x14ac:dyDescent="0.2">
      <c r="A1022" s="32" t="s">
        <v>650</v>
      </c>
      <c r="B1022" s="32" t="s">
        <v>640</v>
      </c>
      <c r="C1022" s="32" t="s">
        <v>641</v>
      </c>
      <c r="D1022" s="32" t="s">
        <v>651</v>
      </c>
      <c r="E1022" s="32" t="s">
        <v>494</v>
      </c>
      <c r="F1022" s="32" t="s">
        <v>581</v>
      </c>
      <c r="G1022" s="32" t="str">
        <f t="shared" si="30"/>
        <v>1.25-2" ST EXTN</v>
      </c>
      <c r="H1022" s="278" t="s">
        <v>470</v>
      </c>
      <c r="I1022" s="32" t="s">
        <v>462</v>
      </c>
      <c r="J1022" s="279">
        <v>1</v>
      </c>
      <c r="K1022" s="280">
        <v>12777.79</v>
      </c>
      <c r="L1022" s="280">
        <v>12984.42</v>
      </c>
      <c r="M1022" s="280">
        <v>-206.63</v>
      </c>
      <c r="N1022" s="281">
        <v>514</v>
      </c>
      <c r="O1022" s="282">
        <v>583</v>
      </c>
      <c r="P1022" s="280">
        <f t="shared" si="31"/>
        <v>14493.096439688716</v>
      </c>
    </row>
    <row r="1023" spans="1:16" x14ac:dyDescent="0.2">
      <c r="A1023" s="32" t="s">
        <v>650</v>
      </c>
      <c r="B1023" s="32" t="s">
        <v>640</v>
      </c>
      <c r="C1023" s="32" t="s">
        <v>641</v>
      </c>
      <c r="D1023" s="32" t="s">
        <v>651</v>
      </c>
      <c r="E1023" s="32" t="s">
        <v>494</v>
      </c>
      <c r="F1023" s="32" t="s">
        <v>581</v>
      </c>
      <c r="G1023" s="32" t="str">
        <f t="shared" si="30"/>
        <v>1.25-2" ST EXTN</v>
      </c>
      <c r="H1023" s="278" t="s">
        <v>468</v>
      </c>
      <c r="I1023" s="32" t="s">
        <v>462</v>
      </c>
      <c r="J1023" s="279">
        <v>2</v>
      </c>
      <c r="K1023" s="280">
        <v>27874.09</v>
      </c>
      <c r="L1023" s="280">
        <v>28067.27</v>
      </c>
      <c r="M1023" s="280">
        <v>-193.18</v>
      </c>
      <c r="N1023" s="281">
        <v>561</v>
      </c>
      <c r="O1023" s="282">
        <v>583</v>
      </c>
      <c r="P1023" s="280">
        <f t="shared" si="31"/>
        <v>28967.191568627455</v>
      </c>
    </row>
    <row r="1024" spans="1:16" x14ac:dyDescent="0.2">
      <c r="A1024" s="32" t="s">
        <v>650</v>
      </c>
      <c r="B1024" s="32" t="s">
        <v>640</v>
      </c>
      <c r="C1024" s="32" t="s">
        <v>641</v>
      </c>
      <c r="D1024" s="32" t="s">
        <v>651</v>
      </c>
      <c r="E1024" s="32" t="s">
        <v>494</v>
      </c>
      <c r="F1024" s="32" t="s">
        <v>581</v>
      </c>
      <c r="G1024" s="32" t="str">
        <f t="shared" si="30"/>
        <v>1.25-2" ST EXTN</v>
      </c>
      <c r="H1024" s="278" t="s">
        <v>469</v>
      </c>
      <c r="I1024" s="32" t="s">
        <v>462</v>
      </c>
      <c r="J1024" s="279">
        <v>11</v>
      </c>
      <c r="K1024" s="280">
        <v>151815</v>
      </c>
      <c r="L1024" s="280">
        <v>152165.72</v>
      </c>
      <c r="M1024" s="280">
        <v>-350.72</v>
      </c>
      <c r="N1024" s="281">
        <v>583</v>
      </c>
      <c r="O1024" s="282">
        <v>583</v>
      </c>
      <c r="P1024" s="280">
        <f t="shared" si="31"/>
        <v>151815</v>
      </c>
    </row>
    <row r="1025" spans="1:16" x14ac:dyDescent="0.2">
      <c r="A1025" s="32" t="s">
        <v>652</v>
      </c>
      <c r="B1025" s="32" t="s">
        <v>640</v>
      </c>
      <c r="C1025" s="32" t="s">
        <v>641</v>
      </c>
      <c r="D1025" s="32" t="s">
        <v>651</v>
      </c>
      <c r="E1025" s="32" t="s">
        <v>494</v>
      </c>
      <c r="F1025" s="32" t="s">
        <v>584</v>
      </c>
      <c r="G1025" s="32" t="str">
        <f t="shared" si="30"/>
        <v>1.25-2" ST STUB</v>
      </c>
      <c r="H1025" s="278" t="s">
        <v>499</v>
      </c>
      <c r="I1025" s="32" t="s">
        <v>462</v>
      </c>
      <c r="J1025" s="279">
        <v>38273</v>
      </c>
      <c r="K1025" s="280">
        <v>423624.29</v>
      </c>
      <c r="L1025" s="280">
        <v>536169.42000000004</v>
      </c>
      <c r="M1025" s="280">
        <v>-112545.13</v>
      </c>
      <c r="N1025" s="281">
        <v>37</v>
      </c>
      <c r="O1025" s="282">
        <v>583</v>
      </c>
      <c r="P1025" s="280">
        <f t="shared" si="31"/>
        <v>6674944.8937837835</v>
      </c>
    </row>
    <row r="1026" spans="1:16" x14ac:dyDescent="0.2">
      <c r="A1026" s="32" t="s">
        <v>652</v>
      </c>
      <c r="B1026" s="32" t="s">
        <v>640</v>
      </c>
      <c r="C1026" s="32" t="s">
        <v>641</v>
      </c>
      <c r="D1026" s="32" t="s">
        <v>651</v>
      </c>
      <c r="E1026" s="32" t="s">
        <v>494</v>
      </c>
      <c r="F1026" s="32" t="s">
        <v>584</v>
      </c>
      <c r="G1026" s="32" t="str">
        <f t="shared" ref="G1026:G1089" si="32">D1026&amp;" "&amp;E1026&amp;" "&amp;F1026</f>
        <v>1.25-2" ST STUB</v>
      </c>
      <c r="H1026" s="278" t="s">
        <v>643</v>
      </c>
      <c r="I1026" s="32" t="s">
        <v>462</v>
      </c>
      <c r="J1026" s="279">
        <v>313</v>
      </c>
      <c r="K1026" s="280">
        <v>9993.9500000000007</v>
      </c>
      <c r="L1026" s="280">
        <v>12556.71</v>
      </c>
      <c r="M1026" s="280">
        <v>-2562.7600000000002</v>
      </c>
      <c r="N1026" s="281">
        <v>41</v>
      </c>
      <c r="O1026" s="282">
        <v>583</v>
      </c>
      <c r="P1026" s="280">
        <f t="shared" ref="P1026:P1089" si="33">+(O1026/N1026)*K1026</f>
        <v>142109.09390243902</v>
      </c>
    </row>
    <row r="1027" spans="1:16" x14ac:dyDescent="0.2">
      <c r="A1027" s="32" t="s">
        <v>652</v>
      </c>
      <c r="B1027" s="32" t="s">
        <v>640</v>
      </c>
      <c r="C1027" s="32" t="s">
        <v>641</v>
      </c>
      <c r="D1027" s="32" t="s">
        <v>651</v>
      </c>
      <c r="E1027" s="32" t="s">
        <v>494</v>
      </c>
      <c r="F1027" s="32" t="s">
        <v>584</v>
      </c>
      <c r="G1027" s="32" t="str">
        <f t="shared" si="32"/>
        <v>1.25-2" ST STUB</v>
      </c>
      <c r="H1027" s="278" t="s">
        <v>547</v>
      </c>
      <c r="I1027" s="32" t="s">
        <v>462</v>
      </c>
      <c r="J1027" s="279">
        <v>1100</v>
      </c>
      <c r="K1027" s="280">
        <v>45066.37</v>
      </c>
      <c r="L1027" s="280">
        <v>56414.57</v>
      </c>
      <c r="M1027" s="280">
        <v>-11348.2</v>
      </c>
      <c r="N1027" s="281">
        <v>45</v>
      </c>
      <c r="O1027" s="282">
        <v>583</v>
      </c>
      <c r="P1027" s="280">
        <f t="shared" si="33"/>
        <v>583859.86022222228</v>
      </c>
    </row>
    <row r="1028" spans="1:16" x14ac:dyDescent="0.2">
      <c r="A1028" s="32" t="s">
        <v>652</v>
      </c>
      <c r="B1028" s="32" t="s">
        <v>640</v>
      </c>
      <c r="C1028" s="32" t="s">
        <v>641</v>
      </c>
      <c r="D1028" s="32" t="s">
        <v>651</v>
      </c>
      <c r="E1028" s="32" t="s">
        <v>494</v>
      </c>
      <c r="F1028" s="32" t="s">
        <v>584</v>
      </c>
      <c r="G1028" s="32" t="str">
        <f t="shared" si="32"/>
        <v>1.25-2" ST STUB</v>
      </c>
      <c r="H1028" s="278" t="s">
        <v>495</v>
      </c>
      <c r="I1028" s="32" t="s">
        <v>462</v>
      </c>
      <c r="J1028" s="279">
        <v>695</v>
      </c>
      <c r="K1028" s="280">
        <v>42477.06</v>
      </c>
      <c r="L1028" s="280">
        <v>52976.99</v>
      </c>
      <c r="M1028" s="280">
        <v>-10499.93</v>
      </c>
      <c r="N1028" s="281">
        <v>48</v>
      </c>
      <c r="O1028" s="282">
        <v>583</v>
      </c>
      <c r="P1028" s="280">
        <f t="shared" si="33"/>
        <v>515919.29125000001</v>
      </c>
    </row>
    <row r="1029" spans="1:16" x14ac:dyDescent="0.2">
      <c r="A1029" s="32" t="s">
        <v>652</v>
      </c>
      <c r="B1029" s="32" t="s">
        <v>640</v>
      </c>
      <c r="C1029" s="32" t="s">
        <v>641</v>
      </c>
      <c r="D1029" s="32" t="s">
        <v>651</v>
      </c>
      <c r="E1029" s="32" t="s">
        <v>494</v>
      </c>
      <c r="F1029" s="32" t="s">
        <v>584</v>
      </c>
      <c r="G1029" s="32" t="str">
        <f t="shared" si="32"/>
        <v>1.25-2" ST STUB</v>
      </c>
      <c r="H1029" s="278" t="s">
        <v>496</v>
      </c>
      <c r="I1029" s="32" t="s">
        <v>462</v>
      </c>
      <c r="J1029" s="279">
        <v>559</v>
      </c>
      <c r="K1029" s="280">
        <v>32078.13</v>
      </c>
      <c r="L1029" s="280">
        <v>39859.33</v>
      </c>
      <c r="M1029" s="280">
        <v>-7781.2</v>
      </c>
      <c r="N1029" s="281">
        <v>51</v>
      </c>
      <c r="O1029" s="282">
        <v>583</v>
      </c>
      <c r="P1029" s="280">
        <f t="shared" si="33"/>
        <v>366697.05470588239</v>
      </c>
    </row>
    <row r="1030" spans="1:16" x14ac:dyDescent="0.2">
      <c r="A1030" s="32" t="s">
        <v>652</v>
      </c>
      <c r="B1030" s="32" t="s">
        <v>640</v>
      </c>
      <c r="C1030" s="32" t="s">
        <v>641</v>
      </c>
      <c r="D1030" s="32" t="s">
        <v>651</v>
      </c>
      <c r="E1030" s="32" t="s">
        <v>494</v>
      </c>
      <c r="F1030" s="32" t="s">
        <v>584</v>
      </c>
      <c r="G1030" s="32" t="str">
        <f t="shared" si="32"/>
        <v>1.25-2" ST STUB</v>
      </c>
      <c r="H1030" s="278" t="s">
        <v>506</v>
      </c>
      <c r="I1030" s="32" t="s">
        <v>462</v>
      </c>
      <c r="J1030" s="279">
        <v>707</v>
      </c>
      <c r="K1030" s="280">
        <v>39041.449999999997</v>
      </c>
      <c r="L1030" s="280">
        <v>48331.35</v>
      </c>
      <c r="M1030" s="280">
        <v>-9289.9</v>
      </c>
      <c r="N1030" s="281">
        <v>53</v>
      </c>
      <c r="O1030" s="282">
        <v>583</v>
      </c>
      <c r="P1030" s="280">
        <f t="shared" si="33"/>
        <v>429455.94999999995</v>
      </c>
    </row>
    <row r="1031" spans="1:16" x14ac:dyDescent="0.2">
      <c r="A1031" s="32" t="s">
        <v>652</v>
      </c>
      <c r="B1031" s="32" t="s">
        <v>640</v>
      </c>
      <c r="C1031" s="32" t="s">
        <v>641</v>
      </c>
      <c r="D1031" s="32" t="s">
        <v>651</v>
      </c>
      <c r="E1031" s="32" t="s">
        <v>494</v>
      </c>
      <c r="F1031" s="32" t="s">
        <v>584</v>
      </c>
      <c r="G1031" s="32" t="str">
        <f t="shared" si="32"/>
        <v>1.25-2" ST STUB</v>
      </c>
      <c r="H1031" s="278" t="s">
        <v>507</v>
      </c>
      <c r="I1031" s="32" t="s">
        <v>462</v>
      </c>
      <c r="J1031" s="279">
        <v>488</v>
      </c>
      <c r="K1031" s="280">
        <v>28702.37</v>
      </c>
      <c r="L1031" s="280">
        <v>35399.480000000003</v>
      </c>
      <c r="M1031" s="280">
        <v>-6697.11</v>
      </c>
      <c r="N1031" s="281">
        <v>57</v>
      </c>
      <c r="O1031" s="282">
        <v>583</v>
      </c>
      <c r="P1031" s="280">
        <f t="shared" si="33"/>
        <v>293569.85456140345</v>
      </c>
    </row>
    <row r="1032" spans="1:16" x14ac:dyDescent="0.2">
      <c r="A1032" s="32" t="s">
        <v>652</v>
      </c>
      <c r="B1032" s="32" t="s">
        <v>640</v>
      </c>
      <c r="C1032" s="32" t="s">
        <v>641</v>
      </c>
      <c r="D1032" s="32" t="s">
        <v>651</v>
      </c>
      <c r="E1032" s="32" t="s">
        <v>494</v>
      </c>
      <c r="F1032" s="32" t="s">
        <v>584</v>
      </c>
      <c r="G1032" s="32" t="str">
        <f t="shared" si="32"/>
        <v>1.25-2" ST STUB</v>
      </c>
      <c r="H1032" s="278" t="s">
        <v>508</v>
      </c>
      <c r="I1032" s="32" t="s">
        <v>462</v>
      </c>
      <c r="J1032" s="279">
        <v>996</v>
      </c>
      <c r="K1032" s="280">
        <v>67633.149999999994</v>
      </c>
      <c r="L1032" s="280">
        <v>83101.460000000006</v>
      </c>
      <c r="M1032" s="280">
        <v>-15468.31</v>
      </c>
      <c r="N1032" s="281">
        <v>59</v>
      </c>
      <c r="O1032" s="282">
        <v>583</v>
      </c>
      <c r="P1032" s="280">
        <f t="shared" si="33"/>
        <v>668307.22796610161</v>
      </c>
    </row>
    <row r="1033" spans="1:16" x14ac:dyDescent="0.2">
      <c r="A1033" s="32" t="s">
        <v>652</v>
      </c>
      <c r="B1033" s="32" t="s">
        <v>640</v>
      </c>
      <c r="C1033" s="32" t="s">
        <v>641</v>
      </c>
      <c r="D1033" s="32" t="s">
        <v>651</v>
      </c>
      <c r="E1033" s="32" t="s">
        <v>494</v>
      </c>
      <c r="F1033" s="32" t="s">
        <v>584</v>
      </c>
      <c r="G1033" s="32" t="str">
        <f t="shared" si="32"/>
        <v>1.25-2" ST STUB</v>
      </c>
      <c r="H1033" s="278" t="s">
        <v>510</v>
      </c>
      <c r="I1033" s="32" t="s">
        <v>462</v>
      </c>
      <c r="J1033" s="279">
        <v>1215</v>
      </c>
      <c r="K1033" s="280">
        <v>80734.3</v>
      </c>
      <c r="L1033" s="280">
        <v>98825.94</v>
      </c>
      <c r="M1033" s="280">
        <v>-18091.64</v>
      </c>
      <c r="N1033" s="281">
        <v>60</v>
      </c>
      <c r="O1033" s="282">
        <v>583</v>
      </c>
      <c r="P1033" s="280">
        <f t="shared" si="33"/>
        <v>784468.28166666673</v>
      </c>
    </row>
    <row r="1034" spans="1:16" x14ac:dyDescent="0.2">
      <c r="A1034" s="32" t="s">
        <v>652</v>
      </c>
      <c r="B1034" s="32" t="s">
        <v>640</v>
      </c>
      <c r="C1034" s="32" t="s">
        <v>641</v>
      </c>
      <c r="D1034" s="32" t="s">
        <v>651</v>
      </c>
      <c r="E1034" s="32" t="s">
        <v>494</v>
      </c>
      <c r="F1034" s="32" t="s">
        <v>584</v>
      </c>
      <c r="G1034" s="32" t="str">
        <f t="shared" si="32"/>
        <v>1.25-2" ST STUB</v>
      </c>
      <c r="H1034" s="278" t="s">
        <v>511</v>
      </c>
      <c r="I1034" s="32" t="s">
        <v>462</v>
      </c>
      <c r="J1034" s="279">
        <v>1181</v>
      </c>
      <c r="K1034" s="280">
        <v>78649.820000000007</v>
      </c>
      <c r="L1034" s="280">
        <v>95910.96</v>
      </c>
      <c r="M1034" s="280">
        <v>-17261.14</v>
      </c>
      <c r="N1034" s="281">
        <v>61</v>
      </c>
      <c r="O1034" s="282">
        <v>583</v>
      </c>
      <c r="P1034" s="280">
        <f t="shared" si="33"/>
        <v>751685.98459016404</v>
      </c>
    </row>
    <row r="1035" spans="1:16" x14ac:dyDescent="0.2">
      <c r="A1035" s="32" t="s">
        <v>652</v>
      </c>
      <c r="B1035" s="32" t="s">
        <v>640</v>
      </c>
      <c r="C1035" s="32" t="s">
        <v>641</v>
      </c>
      <c r="D1035" s="32" t="s">
        <v>651</v>
      </c>
      <c r="E1035" s="32" t="s">
        <v>494</v>
      </c>
      <c r="F1035" s="32" t="s">
        <v>584</v>
      </c>
      <c r="G1035" s="32" t="str">
        <f t="shared" si="32"/>
        <v>1.25-2" ST STUB</v>
      </c>
      <c r="H1035" s="278" t="s">
        <v>509</v>
      </c>
      <c r="I1035" s="32" t="s">
        <v>462</v>
      </c>
      <c r="J1035" s="279">
        <v>793</v>
      </c>
      <c r="K1035" s="280">
        <v>66508.63</v>
      </c>
      <c r="L1035" s="280">
        <v>80797.86</v>
      </c>
      <c r="M1035" s="280">
        <v>-14289.23</v>
      </c>
      <c r="N1035" s="281">
        <v>63</v>
      </c>
      <c r="O1035" s="282">
        <v>583</v>
      </c>
      <c r="P1035" s="280">
        <f t="shared" si="33"/>
        <v>615468.75063492078</v>
      </c>
    </row>
    <row r="1036" spans="1:16" x14ac:dyDescent="0.2">
      <c r="A1036" s="32" t="s">
        <v>653</v>
      </c>
      <c r="B1036" s="32" t="s">
        <v>640</v>
      </c>
      <c r="C1036" s="32" t="s">
        <v>641</v>
      </c>
      <c r="D1036" s="32" t="s">
        <v>654</v>
      </c>
      <c r="E1036" s="32" t="s">
        <v>494</v>
      </c>
      <c r="F1036" s="32" t="s">
        <v>581</v>
      </c>
      <c r="G1036" s="32" t="str">
        <f t="shared" si="32"/>
        <v>12" ST EXTN</v>
      </c>
      <c r="H1036" s="278" t="s">
        <v>495</v>
      </c>
      <c r="I1036" s="32" t="s">
        <v>462</v>
      </c>
      <c r="J1036" s="279">
        <v>1</v>
      </c>
      <c r="K1036" s="280">
        <v>243.99</v>
      </c>
      <c r="L1036" s="280">
        <v>304.3</v>
      </c>
      <c r="M1036" s="280">
        <v>-60.31</v>
      </c>
      <c r="N1036" s="281">
        <v>48</v>
      </c>
      <c r="O1036" s="282">
        <v>583</v>
      </c>
      <c r="P1036" s="280">
        <f t="shared" si="33"/>
        <v>2963.4618750000004</v>
      </c>
    </row>
    <row r="1037" spans="1:16" x14ac:dyDescent="0.2">
      <c r="A1037" s="32" t="s">
        <v>653</v>
      </c>
      <c r="B1037" s="32" t="s">
        <v>640</v>
      </c>
      <c r="C1037" s="32" t="s">
        <v>641</v>
      </c>
      <c r="D1037" s="32" t="s">
        <v>654</v>
      </c>
      <c r="E1037" s="32" t="s">
        <v>494</v>
      </c>
      <c r="F1037" s="32" t="s">
        <v>581</v>
      </c>
      <c r="G1037" s="32" t="str">
        <f t="shared" si="32"/>
        <v>12" ST EXTN</v>
      </c>
      <c r="H1037" s="278" t="s">
        <v>496</v>
      </c>
      <c r="I1037" s="32" t="s">
        <v>462</v>
      </c>
      <c r="J1037" s="279">
        <v>1</v>
      </c>
      <c r="K1037" s="280">
        <v>2745.27</v>
      </c>
      <c r="L1037" s="280">
        <v>3411.19</v>
      </c>
      <c r="M1037" s="280">
        <v>-665.92</v>
      </c>
      <c r="N1037" s="281">
        <v>51</v>
      </c>
      <c r="O1037" s="282">
        <v>583</v>
      </c>
      <c r="P1037" s="280">
        <f t="shared" si="33"/>
        <v>31382.204117647059</v>
      </c>
    </row>
    <row r="1038" spans="1:16" x14ac:dyDescent="0.2">
      <c r="A1038" s="32" t="s">
        <v>653</v>
      </c>
      <c r="B1038" s="32" t="s">
        <v>640</v>
      </c>
      <c r="C1038" s="32" t="s">
        <v>641</v>
      </c>
      <c r="D1038" s="32" t="s">
        <v>654</v>
      </c>
      <c r="E1038" s="32" t="s">
        <v>494</v>
      </c>
      <c r="F1038" s="32" t="s">
        <v>581</v>
      </c>
      <c r="G1038" s="32" t="str">
        <f t="shared" si="32"/>
        <v>12" ST EXTN</v>
      </c>
      <c r="H1038" s="278" t="s">
        <v>518</v>
      </c>
      <c r="I1038" s="32" t="s">
        <v>462</v>
      </c>
      <c r="J1038" s="279">
        <v>2</v>
      </c>
      <c r="K1038" s="280">
        <v>31275.38</v>
      </c>
      <c r="L1038" s="280">
        <v>35393.75</v>
      </c>
      <c r="M1038" s="280">
        <v>-4118.37</v>
      </c>
      <c r="N1038" s="281">
        <v>245</v>
      </c>
      <c r="O1038" s="282">
        <v>583</v>
      </c>
      <c r="P1038" s="280">
        <f t="shared" si="33"/>
        <v>74422.638938775519</v>
      </c>
    </row>
    <row r="1039" spans="1:16" x14ac:dyDescent="0.2">
      <c r="A1039" s="32" t="s">
        <v>655</v>
      </c>
      <c r="B1039" s="32" t="s">
        <v>640</v>
      </c>
      <c r="C1039" s="32" t="s">
        <v>641</v>
      </c>
      <c r="D1039" s="32" t="s">
        <v>654</v>
      </c>
      <c r="E1039" s="32" t="s">
        <v>494</v>
      </c>
      <c r="F1039" s="32" t="s">
        <v>584</v>
      </c>
      <c r="G1039" s="32" t="str">
        <f t="shared" si="32"/>
        <v>12" ST STUB</v>
      </c>
      <c r="H1039" s="278" t="s">
        <v>495</v>
      </c>
      <c r="I1039" s="32" t="s">
        <v>462</v>
      </c>
      <c r="J1039" s="279">
        <v>1</v>
      </c>
      <c r="K1039" s="280">
        <v>90.24</v>
      </c>
      <c r="L1039" s="280">
        <v>112.55</v>
      </c>
      <c r="M1039" s="280">
        <v>-22.31</v>
      </c>
      <c r="N1039" s="281">
        <v>48</v>
      </c>
      <c r="O1039" s="282">
        <v>583</v>
      </c>
      <c r="P1039" s="280">
        <f t="shared" si="33"/>
        <v>1096.04</v>
      </c>
    </row>
    <row r="1040" spans="1:16" x14ac:dyDescent="0.2">
      <c r="A1040" s="32" t="s">
        <v>655</v>
      </c>
      <c r="B1040" s="32" t="s">
        <v>640</v>
      </c>
      <c r="C1040" s="32" t="s">
        <v>641</v>
      </c>
      <c r="D1040" s="32" t="s">
        <v>654</v>
      </c>
      <c r="E1040" s="32" t="s">
        <v>494</v>
      </c>
      <c r="F1040" s="32" t="s">
        <v>584</v>
      </c>
      <c r="G1040" s="32" t="str">
        <f t="shared" si="32"/>
        <v>12" ST STUB</v>
      </c>
      <c r="H1040" s="278" t="s">
        <v>496</v>
      </c>
      <c r="I1040" s="32" t="s">
        <v>462</v>
      </c>
      <c r="J1040" s="279">
        <v>1</v>
      </c>
      <c r="K1040" s="280">
        <v>1015.38</v>
      </c>
      <c r="L1040" s="280">
        <v>1261.68</v>
      </c>
      <c r="M1040" s="280">
        <v>-246.3</v>
      </c>
      <c r="N1040" s="281">
        <v>51</v>
      </c>
      <c r="O1040" s="282">
        <v>583</v>
      </c>
      <c r="P1040" s="280">
        <f t="shared" si="33"/>
        <v>11607.187058823529</v>
      </c>
    </row>
    <row r="1041" spans="1:16" x14ac:dyDescent="0.2">
      <c r="A1041" s="32" t="s">
        <v>655</v>
      </c>
      <c r="B1041" s="32" t="s">
        <v>640</v>
      </c>
      <c r="C1041" s="32" t="s">
        <v>641</v>
      </c>
      <c r="D1041" s="32" t="s">
        <v>654</v>
      </c>
      <c r="E1041" s="32" t="s">
        <v>494</v>
      </c>
      <c r="F1041" s="32" t="s">
        <v>584</v>
      </c>
      <c r="G1041" s="32" t="str">
        <f t="shared" si="32"/>
        <v>12" ST STUB</v>
      </c>
      <c r="H1041" s="278" t="s">
        <v>518</v>
      </c>
      <c r="I1041" s="32" t="s">
        <v>462</v>
      </c>
      <c r="J1041" s="279">
        <v>2</v>
      </c>
      <c r="K1041" s="280">
        <v>11567.61</v>
      </c>
      <c r="L1041" s="280">
        <v>13090.84</v>
      </c>
      <c r="M1041" s="280">
        <v>-1523.23</v>
      </c>
      <c r="N1041" s="281">
        <v>245</v>
      </c>
      <c r="O1041" s="282">
        <v>583</v>
      </c>
      <c r="P1041" s="280">
        <f t="shared" si="33"/>
        <v>27526.190326530614</v>
      </c>
    </row>
    <row r="1042" spans="1:16" x14ac:dyDescent="0.2">
      <c r="A1042" s="32" t="s">
        <v>656</v>
      </c>
      <c r="B1042" s="32" t="s">
        <v>635</v>
      </c>
      <c r="C1042" s="32" t="s">
        <v>636</v>
      </c>
      <c r="D1042" s="32" t="s">
        <v>608</v>
      </c>
      <c r="E1042" s="32" t="s">
        <v>494</v>
      </c>
      <c r="F1042" s="32" t="s">
        <v>581</v>
      </c>
      <c r="G1042" s="32" t="str">
        <f t="shared" si="32"/>
        <v>2" ST EXTN</v>
      </c>
      <c r="H1042" s="278" t="s">
        <v>530</v>
      </c>
      <c r="I1042" s="32" t="s">
        <v>462</v>
      </c>
      <c r="J1042" s="279">
        <v>535</v>
      </c>
      <c r="K1042" s="280">
        <v>109472.1</v>
      </c>
      <c r="L1042" s="280">
        <v>109472.1</v>
      </c>
      <c r="M1042" s="280">
        <v>0</v>
      </c>
      <c r="N1042" s="281">
        <v>65</v>
      </c>
      <c r="O1042" s="282">
        <v>583</v>
      </c>
      <c r="P1042" s="280">
        <f t="shared" si="33"/>
        <v>981880.52769230772</v>
      </c>
    </row>
    <row r="1043" spans="1:16" x14ac:dyDescent="0.2">
      <c r="A1043" s="32" t="s">
        <v>656</v>
      </c>
      <c r="B1043" s="32" t="s">
        <v>635</v>
      </c>
      <c r="C1043" s="32" t="s">
        <v>636</v>
      </c>
      <c r="D1043" s="32" t="s">
        <v>608</v>
      </c>
      <c r="E1043" s="32" t="s">
        <v>494</v>
      </c>
      <c r="F1043" s="32" t="s">
        <v>581</v>
      </c>
      <c r="G1043" s="32" t="str">
        <f t="shared" si="32"/>
        <v>2" ST EXTN</v>
      </c>
      <c r="H1043" s="278" t="s">
        <v>534</v>
      </c>
      <c r="I1043" s="32" t="s">
        <v>462</v>
      </c>
      <c r="J1043" s="279">
        <v>752</v>
      </c>
      <c r="K1043" s="280">
        <v>196069.59</v>
      </c>
      <c r="L1043" s="280">
        <v>196069.59</v>
      </c>
      <c r="M1043" s="280">
        <v>0</v>
      </c>
      <c r="N1043" s="281">
        <v>68</v>
      </c>
      <c r="O1043" s="282">
        <v>583</v>
      </c>
      <c r="P1043" s="280">
        <f t="shared" si="33"/>
        <v>1681008.3966176473</v>
      </c>
    </row>
    <row r="1044" spans="1:16" x14ac:dyDescent="0.2">
      <c r="A1044" s="32" t="s">
        <v>656</v>
      </c>
      <c r="B1044" s="32" t="s">
        <v>635</v>
      </c>
      <c r="C1044" s="32" t="s">
        <v>636</v>
      </c>
      <c r="D1044" s="32" t="s">
        <v>608</v>
      </c>
      <c r="E1044" s="32" t="s">
        <v>494</v>
      </c>
      <c r="F1044" s="32" t="s">
        <v>581</v>
      </c>
      <c r="G1044" s="32" t="str">
        <f t="shared" si="32"/>
        <v>2" ST EXTN</v>
      </c>
      <c r="H1044" s="278" t="s">
        <v>532</v>
      </c>
      <c r="I1044" s="32" t="s">
        <v>462</v>
      </c>
      <c r="J1044" s="279">
        <v>741</v>
      </c>
      <c r="K1044" s="280">
        <v>222839.83</v>
      </c>
      <c r="L1044" s="280">
        <v>222839.83</v>
      </c>
      <c r="M1044" s="280">
        <v>0</v>
      </c>
      <c r="N1044" s="281">
        <v>71</v>
      </c>
      <c r="O1044" s="282">
        <v>583</v>
      </c>
      <c r="P1044" s="280">
        <f t="shared" si="33"/>
        <v>1829797.4773239433</v>
      </c>
    </row>
    <row r="1045" spans="1:16" x14ac:dyDescent="0.2">
      <c r="A1045" s="32" t="s">
        <v>656</v>
      </c>
      <c r="B1045" s="32" t="s">
        <v>635</v>
      </c>
      <c r="C1045" s="32" t="s">
        <v>636</v>
      </c>
      <c r="D1045" s="32" t="s">
        <v>608</v>
      </c>
      <c r="E1045" s="32" t="s">
        <v>494</v>
      </c>
      <c r="F1045" s="32" t="s">
        <v>581</v>
      </c>
      <c r="G1045" s="32" t="str">
        <f t="shared" si="32"/>
        <v>2" ST EXTN</v>
      </c>
      <c r="H1045" s="278" t="s">
        <v>535</v>
      </c>
      <c r="I1045" s="32" t="s">
        <v>462</v>
      </c>
      <c r="J1045" s="279">
        <v>811</v>
      </c>
      <c r="K1045" s="280">
        <v>239678.96</v>
      </c>
      <c r="L1045" s="280">
        <v>239678.96</v>
      </c>
      <c r="M1045" s="280">
        <v>0</v>
      </c>
      <c r="N1045" s="281">
        <v>74</v>
      </c>
      <c r="O1045" s="282">
        <v>583</v>
      </c>
      <c r="P1045" s="280">
        <f t="shared" si="33"/>
        <v>1888281.5362162162</v>
      </c>
    </row>
    <row r="1046" spans="1:16" x14ac:dyDescent="0.2">
      <c r="A1046" s="32" t="s">
        <v>656</v>
      </c>
      <c r="B1046" s="32" t="s">
        <v>635</v>
      </c>
      <c r="C1046" s="32" t="s">
        <v>636</v>
      </c>
      <c r="D1046" s="32" t="s">
        <v>608</v>
      </c>
      <c r="E1046" s="32" t="s">
        <v>494</v>
      </c>
      <c r="F1046" s="32" t="s">
        <v>581</v>
      </c>
      <c r="G1046" s="32" t="str">
        <f t="shared" si="32"/>
        <v>2" ST EXTN</v>
      </c>
      <c r="H1046" s="278" t="s">
        <v>533</v>
      </c>
      <c r="I1046" s="32" t="s">
        <v>462</v>
      </c>
      <c r="J1046" s="279">
        <v>565</v>
      </c>
      <c r="K1046" s="280">
        <v>157603.49</v>
      </c>
      <c r="L1046" s="280">
        <v>157603.49</v>
      </c>
      <c r="M1046" s="280">
        <v>0</v>
      </c>
      <c r="N1046" s="281">
        <v>78</v>
      </c>
      <c r="O1046" s="282">
        <v>583</v>
      </c>
      <c r="P1046" s="280">
        <f t="shared" si="33"/>
        <v>1177985.0598717949</v>
      </c>
    </row>
    <row r="1047" spans="1:16" x14ac:dyDescent="0.2">
      <c r="A1047" s="32" t="s">
        <v>656</v>
      </c>
      <c r="B1047" s="32" t="s">
        <v>635</v>
      </c>
      <c r="C1047" s="32" t="s">
        <v>636</v>
      </c>
      <c r="D1047" s="32" t="s">
        <v>608</v>
      </c>
      <c r="E1047" s="32" t="s">
        <v>494</v>
      </c>
      <c r="F1047" s="32" t="s">
        <v>581</v>
      </c>
      <c r="G1047" s="32" t="str">
        <f t="shared" si="32"/>
        <v>2" ST EXTN</v>
      </c>
      <c r="H1047" s="278" t="s">
        <v>531</v>
      </c>
      <c r="I1047" s="32" t="s">
        <v>462</v>
      </c>
      <c r="J1047" s="279">
        <v>779</v>
      </c>
      <c r="K1047" s="280">
        <v>268102.15999999997</v>
      </c>
      <c r="L1047" s="280">
        <v>268102.15999999997</v>
      </c>
      <c r="M1047" s="280">
        <v>0</v>
      </c>
      <c r="N1047" s="281">
        <v>84</v>
      </c>
      <c r="O1047" s="282">
        <v>583</v>
      </c>
      <c r="P1047" s="280">
        <f t="shared" si="33"/>
        <v>1860756.658095238</v>
      </c>
    </row>
    <row r="1048" spans="1:16" x14ac:dyDescent="0.2">
      <c r="A1048" s="32" t="s">
        <v>656</v>
      </c>
      <c r="B1048" s="32" t="s">
        <v>635</v>
      </c>
      <c r="C1048" s="32" t="s">
        <v>636</v>
      </c>
      <c r="D1048" s="32" t="s">
        <v>608</v>
      </c>
      <c r="E1048" s="32" t="s">
        <v>494</v>
      </c>
      <c r="F1048" s="32" t="s">
        <v>581</v>
      </c>
      <c r="G1048" s="32" t="str">
        <f t="shared" si="32"/>
        <v>2" ST EXTN</v>
      </c>
      <c r="H1048" s="278" t="s">
        <v>527</v>
      </c>
      <c r="I1048" s="32" t="s">
        <v>462</v>
      </c>
      <c r="J1048" s="279">
        <v>606</v>
      </c>
      <c r="K1048" s="280">
        <v>196163.52</v>
      </c>
      <c r="L1048" s="280">
        <v>196163.52</v>
      </c>
      <c r="M1048" s="280">
        <v>0</v>
      </c>
      <c r="N1048" s="281">
        <v>90</v>
      </c>
      <c r="O1048" s="282">
        <v>583</v>
      </c>
      <c r="P1048" s="280">
        <f t="shared" si="33"/>
        <v>1270703.6906666667</v>
      </c>
    </row>
    <row r="1049" spans="1:16" x14ac:dyDescent="0.2">
      <c r="A1049" s="32" t="s">
        <v>656</v>
      </c>
      <c r="B1049" s="32" t="s">
        <v>635</v>
      </c>
      <c r="C1049" s="32" t="s">
        <v>636</v>
      </c>
      <c r="D1049" s="32" t="s">
        <v>608</v>
      </c>
      <c r="E1049" s="32" t="s">
        <v>494</v>
      </c>
      <c r="F1049" s="32" t="s">
        <v>581</v>
      </c>
      <c r="G1049" s="32" t="str">
        <f t="shared" si="32"/>
        <v>2" ST EXTN</v>
      </c>
      <c r="H1049" s="278" t="s">
        <v>528</v>
      </c>
      <c r="I1049" s="32" t="s">
        <v>462</v>
      </c>
      <c r="J1049" s="279">
        <v>441</v>
      </c>
      <c r="K1049" s="280">
        <v>189315.96</v>
      </c>
      <c r="L1049" s="280">
        <v>189315.96</v>
      </c>
      <c r="M1049" s="280">
        <v>0</v>
      </c>
      <c r="N1049" s="281">
        <v>96</v>
      </c>
      <c r="O1049" s="282">
        <v>583</v>
      </c>
      <c r="P1049" s="280">
        <f t="shared" si="33"/>
        <v>1149700.0487500001</v>
      </c>
    </row>
    <row r="1050" spans="1:16" x14ac:dyDescent="0.2">
      <c r="A1050" s="32" t="s">
        <v>656</v>
      </c>
      <c r="B1050" s="32" t="s">
        <v>635</v>
      </c>
      <c r="C1050" s="32" t="s">
        <v>636</v>
      </c>
      <c r="D1050" s="32" t="s">
        <v>608</v>
      </c>
      <c r="E1050" s="32" t="s">
        <v>494</v>
      </c>
      <c r="F1050" s="32" t="s">
        <v>581</v>
      </c>
      <c r="G1050" s="32" t="str">
        <f t="shared" si="32"/>
        <v>2" ST EXTN</v>
      </c>
      <c r="H1050" s="278" t="s">
        <v>529</v>
      </c>
      <c r="I1050" s="32" t="s">
        <v>462</v>
      </c>
      <c r="J1050" s="279">
        <v>399</v>
      </c>
      <c r="K1050" s="280">
        <v>217639.9</v>
      </c>
      <c r="L1050" s="280">
        <v>217639.9</v>
      </c>
      <c r="M1050" s="280">
        <v>0</v>
      </c>
      <c r="N1050" s="281">
        <v>100</v>
      </c>
      <c r="O1050" s="282">
        <v>583</v>
      </c>
      <c r="P1050" s="280">
        <f t="shared" si="33"/>
        <v>1268840.6170000001</v>
      </c>
    </row>
    <row r="1051" spans="1:16" x14ac:dyDescent="0.2">
      <c r="A1051" s="32" t="s">
        <v>656</v>
      </c>
      <c r="B1051" s="32" t="s">
        <v>635</v>
      </c>
      <c r="C1051" s="32" t="s">
        <v>636</v>
      </c>
      <c r="D1051" s="32" t="s">
        <v>608</v>
      </c>
      <c r="E1051" s="32" t="s">
        <v>494</v>
      </c>
      <c r="F1051" s="32" t="s">
        <v>581</v>
      </c>
      <c r="G1051" s="32" t="str">
        <f t="shared" si="32"/>
        <v>2" ST EXTN</v>
      </c>
      <c r="H1051" s="278" t="s">
        <v>525</v>
      </c>
      <c r="I1051" s="32" t="s">
        <v>462</v>
      </c>
      <c r="J1051" s="279">
        <v>408</v>
      </c>
      <c r="K1051" s="280">
        <v>145603.82</v>
      </c>
      <c r="L1051" s="280">
        <v>145603.82</v>
      </c>
      <c r="M1051" s="280">
        <v>0</v>
      </c>
      <c r="N1051" s="281">
        <v>113</v>
      </c>
      <c r="O1051" s="282">
        <v>583</v>
      </c>
      <c r="P1051" s="280">
        <f t="shared" si="33"/>
        <v>751212.62884955748</v>
      </c>
    </row>
    <row r="1052" spans="1:16" x14ac:dyDescent="0.2">
      <c r="A1052" s="32" t="s">
        <v>656</v>
      </c>
      <c r="B1052" s="32" t="s">
        <v>635</v>
      </c>
      <c r="C1052" s="32" t="s">
        <v>636</v>
      </c>
      <c r="D1052" s="32" t="s">
        <v>608</v>
      </c>
      <c r="E1052" s="32" t="s">
        <v>494</v>
      </c>
      <c r="F1052" s="32" t="s">
        <v>581</v>
      </c>
      <c r="G1052" s="32" t="str">
        <f t="shared" si="32"/>
        <v>2" ST EXTN</v>
      </c>
      <c r="H1052" s="278" t="s">
        <v>524</v>
      </c>
      <c r="I1052" s="32" t="s">
        <v>462</v>
      </c>
      <c r="J1052" s="279">
        <v>27</v>
      </c>
      <c r="K1052" s="280">
        <v>48634.34</v>
      </c>
      <c r="L1052" s="280">
        <v>48634.34</v>
      </c>
      <c r="M1052" s="280">
        <v>0</v>
      </c>
      <c r="N1052" s="281">
        <v>133</v>
      </c>
      <c r="O1052" s="282">
        <v>583</v>
      </c>
      <c r="P1052" s="280">
        <f t="shared" si="33"/>
        <v>213186.61819548873</v>
      </c>
    </row>
    <row r="1053" spans="1:16" x14ac:dyDescent="0.2">
      <c r="A1053" s="32" t="s">
        <v>656</v>
      </c>
      <c r="B1053" s="32" t="s">
        <v>635</v>
      </c>
      <c r="C1053" s="32" t="s">
        <v>636</v>
      </c>
      <c r="D1053" s="32" t="s">
        <v>608</v>
      </c>
      <c r="E1053" s="32" t="s">
        <v>494</v>
      </c>
      <c r="F1053" s="32" t="s">
        <v>581</v>
      </c>
      <c r="G1053" s="32" t="str">
        <f t="shared" si="32"/>
        <v>2" ST EXTN</v>
      </c>
      <c r="H1053" s="278" t="s">
        <v>522</v>
      </c>
      <c r="I1053" s="32" t="s">
        <v>462</v>
      </c>
      <c r="J1053" s="279">
        <v>54</v>
      </c>
      <c r="K1053" s="280">
        <v>49331.23</v>
      </c>
      <c r="L1053" s="280">
        <v>49331.23</v>
      </c>
      <c r="M1053" s="280">
        <v>0</v>
      </c>
      <c r="N1053" s="281">
        <v>143</v>
      </c>
      <c r="O1053" s="282">
        <v>583</v>
      </c>
      <c r="P1053" s="280">
        <f t="shared" si="33"/>
        <v>201119.63</v>
      </c>
    </row>
    <row r="1054" spans="1:16" x14ac:dyDescent="0.2">
      <c r="A1054" s="32" t="s">
        <v>656</v>
      </c>
      <c r="B1054" s="32" t="s">
        <v>635</v>
      </c>
      <c r="C1054" s="32" t="s">
        <v>636</v>
      </c>
      <c r="D1054" s="32" t="s">
        <v>608</v>
      </c>
      <c r="E1054" s="32" t="s">
        <v>494</v>
      </c>
      <c r="F1054" s="32" t="s">
        <v>581</v>
      </c>
      <c r="G1054" s="32" t="str">
        <f t="shared" si="32"/>
        <v>2" ST EXTN</v>
      </c>
      <c r="H1054" s="278" t="s">
        <v>526</v>
      </c>
      <c r="I1054" s="32" t="s">
        <v>462</v>
      </c>
      <c r="J1054" s="279">
        <v>58</v>
      </c>
      <c r="K1054" s="280">
        <v>75380.37</v>
      </c>
      <c r="L1054" s="280">
        <v>75380.37</v>
      </c>
      <c r="M1054" s="280">
        <v>0</v>
      </c>
      <c r="N1054" s="281">
        <v>153</v>
      </c>
      <c r="O1054" s="282">
        <v>583</v>
      </c>
      <c r="P1054" s="280">
        <f t="shared" si="33"/>
        <v>287233.69745098037</v>
      </c>
    </row>
    <row r="1055" spans="1:16" x14ac:dyDescent="0.2">
      <c r="A1055" s="32" t="s">
        <v>656</v>
      </c>
      <c r="B1055" s="32" t="s">
        <v>635</v>
      </c>
      <c r="C1055" s="32" t="s">
        <v>636</v>
      </c>
      <c r="D1055" s="32" t="s">
        <v>608</v>
      </c>
      <c r="E1055" s="32" t="s">
        <v>494</v>
      </c>
      <c r="F1055" s="32" t="s">
        <v>581</v>
      </c>
      <c r="G1055" s="32" t="str">
        <f t="shared" si="32"/>
        <v>2" ST EXTN</v>
      </c>
      <c r="H1055" s="278" t="s">
        <v>486</v>
      </c>
      <c r="I1055" s="32" t="s">
        <v>462</v>
      </c>
      <c r="J1055" s="279">
        <v>29</v>
      </c>
      <c r="K1055" s="280">
        <v>31117.08</v>
      </c>
      <c r="L1055" s="280">
        <v>31117.08</v>
      </c>
      <c r="M1055" s="280">
        <v>0</v>
      </c>
      <c r="N1055" s="281">
        <v>166</v>
      </c>
      <c r="O1055" s="282">
        <v>583</v>
      </c>
      <c r="P1055" s="280">
        <f t="shared" si="33"/>
        <v>109284.68457831326</v>
      </c>
    </row>
    <row r="1056" spans="1:16" x14ac:dyDescent="0.2">
      <c r="A1056" s="32" t="s">
        <v>656</v>
      </c>
      <c r="B1056" s="32" t="s">
        <v>635</v>
      </c>
      <c r="C1056" s="32" t="s">
        <v>636</v>
      </c>
      <c r="D1056" s="32" t="s">
        <v>608</v>
      </c>
      <c r="E1056" s="32" t="s">
        <v>494</v>
      </c>
      <c r="F1056" s="32" t="s">
        <v>581</v>
      </c>
      <c r="G1056" s="32" t="str">
        <f t="shared" si="32"/>
        <v>2" ST EXTN</v>
      </c>
      <c r="H1056" s="278" t="s">
        <v>521</v>
      </c>
      <c r="I1056" s="32" t="s">
        <v>462</v>
      </c>
      <c r="J1056" s="279">
        <v>23</v>
      </c>
      <c r="K1056" s="280">
        <v>31069.38</v>
      </c>
      <c r="L1056" s="280">
        <v>31069.38</v>
      </c>
      <c r="M1056" s="280">
        <v>0</v>
      </c>
      <c r="N1056" s="281">
        <v>198</v>
      </c>
      <c r="O1056" s="282">
        <v>583</v>
      </c>
      <c r="P1056" s="280">
        <f t="shared" si="33"/>
        <v>91482.063333333339</v>
      </c>
    </row>
    <row r="1057" spans="1:16" x14ac:dyDescent="0.2">
      <c r="A1057" s="32" t="s">
        <v>656</v>
      </c>
      <c r="B1057" s="32" t="s">
        <v>635</v>
      </c>
      <c r="C1057" s="32" t="s">
        <v>636</v>
      </c>
      <c r="D1057" s="32" t="s">
        <v>608</v>
      </c>
      <c r="E1057" s="32" t="s">
        <v>494</v>
      </c>
      <c r="F1057" s="32" t="s">
        <v>581</v>
      </c>
      <c r="G1057" s="32" t="str">
        <f t="shared" si="32"/>
        <v>2" ST EXTN</v>
      </c>
      <c r="H1057" s="278" t="s">
        <v>520</v>
      </c>
      <c r="I1057" s="32" t="s">
        <v>462</v>
      </c>
      <c r="J1057" s="279">
        <v>30</v>
      </c>
      <c r="K1057" s="280">
        <v>36758.699999999997</v>
      </c>
      <c r="L1057" s="280">
        <v>36758.699999999997</v>
      </c>
      <c r="M1057" s="280">
        <v>0</v>
      </c>
      <c r="N1057" s="281">
        <v>222</v>
      </c>
      <c r="O1057" s="282">
        <v>583</v>
      </c>
      <c r="P1057" s="280">
        <f t="shared" si="33"/>
        <v>96532.982432432429</v>
      </c>
    </row>
    <row r="1058" spans="1:16" x14ac:dyDescent="0.2">
      <c r="A1058" s="32" t="s">
        <v>656</v>
      </c>
      <c r="B1058" s="32" t="s">
        <v>635</v>
      </c>
      <c r="C1058" s="32" t="s">
        <v>636</v>
      </c>
      <c r="D1058" s="32" t="s">
        <v>608</v>
      </c>
      <c r="E1058" s="32" t="s">
        <v>494</v>
      </c>
      <c r="F1058" s="32" t="s">
        <v>581</v>
      </c>
      <c r="G1058" s="32" t="str">
        <f t="shared" si="32"/>
        <v>2" ST EXTN</v>
      </c>
      <c r="H1058" s="278" t="s">
        <v>518</v>
      </c>
      <c r="I1058" s="32" t="s">
        <v>462</v>
      </c>
      <c r="J1058" s="279">
        <v>31</v>
      </c>
      <c r="K1058" s="280">
        <v>46977.47</v>
      </c>
      <c r="L1058" s="280">
        <v>46977.47</v>
      </c>
      <c r="M1058" s="280">
        <v>0</v>
      </c>
      <c r="N1058" s="281">
        <v>245</v>
      </c>
      <c r="O1058" s="282">
        <v>583</v>
      </c>
      <c r="P1058" s="280">
        <f t="shared" si="33"/>
        <v>111787.20412244898</v>
      </c>
    </row>
    <row r="1059" spans="1:16" x14ac:dyDescent="0.2">
      <c r="A1059" s="32" t="s">
        <v>656</v>
      </c>
      <c r="B1059" s="32" t="s">
        <v>635</v>
      </c>
      <c r="C1059" s="32" t="s">
        <v>636</v>
      </c>
      <c r="D1059" s="32" t="s">
        <v>608</v>
      </c>
      <c r="E1059" s="32" t="s">
        <v>494</v>
      </c>
      <c r="F1059" s="32" t="s">
        <v>581</v>
      </c>
      <c r="G1059" s="32" t="str">
        <f t="shared" si="32"/>
        <v>2" ST EXTN</v>
      </c>
      <c r="H1059" s="278" t="s">
        <v>517</v>
      </c>
      <c r="I1059" s="32" t="s">
        <v>462</v>
      </c>
      <c r="J1059" s="279">
        <v>30</v>
      </c>
      <c r="K1059" s="280">
        <v>51369.89</v>
      </c>
      <c r="L1059" s="280">
        <v>51369.89</v>
      </c>
      <c r="M1059" s="280">
        <v>0</v>
      </c>
      <c r="N1059" s="281">
        <v>254</v>
      </c>
      <c r="O1059" s="282">
        <v>583</v>
      </c>
      <c r="P1059" s="280">
        <f t="shared" si="33"/>
        <v>117908.05460629921</v>
      </c>
    </row>
    <row r="1060" spans="1:16" x14ac:dyDescent="0.2">
      <c r="A1060" s="32" t="s">
        <v>656</v>
      </c>
      <c r="B1060" s="32" t="s">
        <v>635</v>
      </c>
      <c r="C1060" s="32" t="s">
        <v>636</v>
      </c>
      <c r="D1060" s="32" t="s">
        <v>608</v>
      </c>
      <c r="E1060" s="32" t="s">
        <v>494</v>
      </c>
      <c r="F1060" s="32" t="s">
        <v>581</v>
      </c>
      <c r="G1060" s="32" t="str">
        <f t="shared" si="32"/>
        <v>2" ST EXTN</v>
      </c>
      <c r="H1060" s="278" t="s">
        <v>463</v>
      </c>
      <c r="I1060" s="32" t="s">
        <v>462</v>
      </c>
      <c r="J1060" s="279">
        <v>15</v>
      </c>
      <c r="K1060" s="280">
        <v>26503.43</v>
      </c>
      <c r="L1060" s="280">
        <v>26503.43</v>
      </c>
      <c r="M1060" s="280">
        <v>0</v>
      </c>
      <c r="N1060" s="281">
        <v>262</v>
      </c>
      <c r="O1060" s="282">
        <v>583</v>
      </c>
      <c r="P1060" s="280">
        <f t="shared" si="33"/>
        <v>58975.189656488546</v>
      </c>
    </row>
    <row r="1061" spans="1:16" x14ac:dyDescent="0.2">
      <c r="A1061" s="32" t="s">
        <v>656</v>
      </c>
      <c r="B1061" s="32" t="s">
        <v>635</v>
      </c>
      <c r="C1061" s="32" t="s">
        <v>636</v>
      </c>
      <c r="D1061" s="32" t="s">
        <v>608</v>
      </c>
      <c r="E1061" s="32" t="s">
        <v>494</v>
      </c>
      <c r="F1061" s="32" t="s">
        <v>581</v>
      </c>
      <c r="G1061" s="32" t="str">
        <f t="shared" si="32"/>
        <v>2" ST EXTN</v>
      </c>
      <c r="H1061" s="278" t="s">
        <v>464</v>
      </c>
      <c r="I1061" s="32" t="s">
        <v>462</v>
      </c>
      <c r="J1061" s="279">
        <v>10</v>
      </c>
      <c r="K1061" s="280">
        <v>25907.19</v>
      </c>
      <c r="L1061" s="280">
        <v>25907.19</v>
      </c>
      <c r="M1061" s="280">
        <v>0</v>
      </c>
      <c r="N1061" s="281">
        <v>266</v>
      </c>
      <c r="O1061" s="282">
        <v>583</v>
      </c>
      <c r="P1061" s="280">
        <f t="shared" si="33"/>
        <v>56781.548007518802</v>
      </c>
    </row>
    <row r="1062" spans="1:16" x14ac:dyDescent="0.2">
      <c r="A1062" s="32" t="s">
        <v>656</v>
      </c>
      <c r="B1062" s="32" t="s">
        <v>635</v>
      </c>
      <c r="C1062" s="32" t="s">
        <v>636</v>
      </c>
      <c r="D1062" s="32" t="s">
        <v>608</v>
      </c>
      <c r="E1062" s="32" t="s">
        <v>494</v>
      </c>
      <c r="F1062" s="32" t="s">
        <v>581</v>
      </c>
      <c r="G1062" s="32" t="str">
        <f t="shared" si="32"/>
        <v>2" ST EXTN</v>
      </c>
      <c r="H1062" s="278" t="s">
        <v>515</v>
      </c>
      <c r="I1062" s="32" t="s">
        <v>462</v>
      </c>
      <c r="J1062" s="279">
        <v>6</v>
      </c>
      <c r="K1062" s="280">
        <v>18813.439999999999</v>
      </c>
      <c r="L1062" s="280">
        <v>18813.439999999999</v>
      </c>
      <c r="M1062" s="280">
        <v>0</v>
      </c>
      <c r="N1062" s="281">
        <v>264</v>
      </c>
      <c r="O1062" s="282">
        <v>583</v>
      </c>
      <c r="P1062" s="280">
        <f t="shared" si="33"/>
        <v>41546.346666666665</v>
      </c>
    </row>
    <row r="1063" spans="1:16" x14ac:dyDescent="0.2">
      <c r="A1063" s="32" t="s">
        <v>656</v>
      </c>
      <c r="B1063" s="32" t="s">
        <v>635</v>
      </c>
      <c r="C1063" s="32" t="s">
        <v>636</v>
      </c>
      <c r="D1063" s="32" t="s">
        <v>608</v>
      </c>
      <c r="E1063" s="32" t="s">
        <v>494</v>
      </c>
      <c r="F1063" s="32" t="s">
        <v>581</v>
      </c>
      <c r="G1063" s="32" t="str">
        <f t="shared" si="32"/>
        <v>2" ST EXTN</v>
      </c>
      <c r="H1063" s="278" t="s">
        <v>523</v>
      </c>
      <c r="I1063" s="32" t="s">
        <v>462</v>
      </c>
      <c r="J1063" s="279">
        <v>8</v>
      </c>
      <c r="K1063" s="280">
        <v>32579.9</v>
      </c>
      <c r="L1063" s="280">
        <v>32579.9</v>
      </c>
      <c r="M1063" s="280">
        <v>0</v>
      </c>
      <c r="N1063" s="281">
        <v>273</v>
      </c>
      <c r="O1063" s="282">
        <v>583</v>
      </c>
      <c r="P1063" s="280">
        <f t="shared" si="33"/>
        <v>69575.390842490844</v>
      </c>
    </row>
    <row r="1064" spans="1:16" x14ac:dyDescent="0.2">
      <c r="A1064" s="32" t="s">
        <v>656</v>
      </c>
      <c r="B1064" s="32" t="s">
        <v>635</v>
      </c>
      <c r="C1064" s="32" t="s">
        <v>636</v>
      </c>
      <c r="D1064" s="32" t="s">
        <v>608</v>
      </c>
      <c r="E1064" s="32" t="s">
        <v>494</v>
      </c>
      <c r="F1064" s="32" t="s">
        <v>581</v>
      </c>
      <c r="G1064" s="32" t="str">
        <f t="shared" si="32"/>
        <v>2" ST EXTN</v>
      </c>
      <c r="H1064" s="278" t="s">
        <v>516</v>
      </c>
      <c r="I1064" s="32" t="s">
        <v>462</v>
      </c>
      <c r="J1064" s="279">
        <v>11</v>
      </c>
      <c r="K1064" s="280">
        <v>46185.21</v>
      </c>
      <c r="L1064" s="280">
        <v>46185.21</v>
      </c>
      <c r="M1064" s="280">
        <v>0</v>
      </c>
      <c r="N1064" s="281">
        <v>283</v>
      </c>
      <c r="O1064" s="282">
        <v>583</v>
      </c>
      <c r="P1064" s="280">
        <f t="shared" si="33"/>
        <v>95144.796572438165</v>
      </c>
    </row>
    <row r="1065" spans="1:16" x14ac:dyDescent="0.2">
      <c r="A1065" s="32" t="s">
        <v>656</v>
      </c>
      <c r="B1065" s="32" t="s">
        <v>635</v>
      </c>
      <c r="C1065" s="32" t="s">
        <v>636</v>
      </c>
      <c r="D1065" s="32" t="s">
        <v>608</v>
      </c>
      <c r="E1065" s="32" t="s">
        <v>494</v>
      </c>
      <c r="F1065" s="32" t="s">
        <v>581</v>
      </c>
      <c r="G1065" s="32" t="str">
        <f t="shared" si="32"/>
        <v>2" ST EXTN</v>
      </c>
      <c r="H1065" s="278" t="s">
        <v>465</v>
      </c>
      <c r="I1065" s="32" t="s">
        <v>462</v>
      </c>
      <c r="J1065" s="279">
        <v>0</v>
      </c>
      <c r="K1065" s="280">
        <v>0.28999999999999998</v>
      </c>
      <c r="L1065" s="280">
        <v>0.28999999999999998</v>
      </c>
      <c r="M1065" s="280">
        <v>0</v>
      </c>
      <c r="N1065" s="281">
        <v>308</v>
      </c>
      <c r="O1065" s="282">
        <v>583</v>
      </c>
      <c r="P1065" s="280">
        <f t="shared" si="33"/>
        <v>0.54892857142857132</v>
      </c>
    </row>
    <row r="1066" spans="1:16" x14ac:dyDescent="0.2">
      <c r="A1066" s="32" t="s">
        <v>656</v>
      </c>
      <c r="B1066" s="32" t="s">
        <v>635</v>
      </c>
      <c r="C1066" s="32" t="s">
        <v>636</v>
      </c>
      <c r="D1066" s="32" t="s">
        <v>608</v>
      </c>
      <c r="E1066" s="32" t="s">
        <v>494</v>
      </c>
      <c r="F1066" s="32" t="s">
        <v>581</v>
      </c>
      <c r="G1066" s="32" t="str">
        <f t="shared" si="32"/>
        <v>2" ST EXTN</v>
      </c>
      <c r="H1066" s="278" t="s">
        <v>467</v>
      </c>
      <c r="I1066" s="32" t="s">
        <v>462</v>
      </c>
      <c r="J1066" s="279">
        <v>4</v>
      </c>
      <c r="K1066" s="280">
        <v>31063.56</v>
      </c>
      <c r="L1066" s="280">
        <v>31063.56</v>
      </c>
      <c r="M1066" s="280">
        <v>0</v>
      </c>
      <c r="N1066" s="281">
        <v>348</v>
      </c>
      <c r="O1066" s="282">
        <v>583</v>
      </c>
      <c r="P1066" s="280">
        <f t="shared" si="33"/>
        <v>52040.389310344828</v>
      </c>
    </row>
    <row r="1067" spans="1:16" x14ac:dyDescent="0.2">
      <c r="A1067" s="32" t="s">
        <v>656</v>
      </c>
      <c r="B1067" s="32" t="s">
        <v>635</v>
      </c>
      <c r="C1067" s="32" t="s">
        <v>636</v>
      </c>
      <c r="D1067" s="32" t="s">
        <v>608</v>
      </c>
      <c r="E1067" s="32" t="s">
        <v>494</v>
      </c>
      <c r="F1067" s="32" t="s">
        <v>581</v>
      </c>
      <c r="G1067" s="32" t="str">
        <f t="shared" si="32"/>
        <v>2" ST EXTN</v>
      </c>
      <c r="H1067" s="278" t="s">
        <v>473</v>
      </c>
      <c r="I1067" s="32" t="s">
        <v>462</v>
      </c>
      <c r="J1067" s="279">
        <v>12</v>
      </c>
      <c r="K1067" s="280">
        <v>65386.02</v>
      </c>
      <c r="L1067" s="280">
        <v>65386.02</v>
      </c>
      <c r="M1067" s="280">
        <v>0</v>
      </c>
      <c r="N1067" s="281">
        <v>356</v>
      </c>
      <c r="O1067" s="282">
        <v>583</v>
      </c>
      <c r="P1067" s="280">
        <f t="shared" si="33"/>
        <v>107078.79117977527</v>
      </c>
    </row>
    <row r="1068" spans="1:16" x14ac:dyDescent="0.2">
      <c r="A1068" s="32" t="s">
        <v>656</v>
      </c>
      <c r="B1068" s="32" t="s">
        <v>635</v>
      </c>
      <c r="C1068" s="32" t="s">
        <v>636</v>
      </c>
      <c r="D1068" s="32" t="s">
        <v>608</v>
      </c>
      <c r="E1068" s="32" t="s">
        <v>494</v>
      </c>
      <c r="F1068" s="32" t="s">
        <v>581</v>
      </c>
      <c r="G1068" s="32" t="str">
        <f t="shared" si="32"/>
        <v>2" ST EXTN</v>
      </c>
      <c r="H1068" s="278" t="s">
        <v>479</v>
      </c>
      <c r="I1068" s="32" t="s">
        <v>462</v>
      </c>
      <c r="J1068" s="279">
        <v>7</v>
      </c>
      <c r="K1068" s="280">
        <v>31763.58</v>
      </c>
      <c r="L1068" s="280">
        <v>31763.58</v>
      </c>
      <c r="M1068" s="280">
        <v>0</v>
      </c>
      <c r="N1068" s="281">
        <v>362</v>
      </c>
      <c r="O1068" s="282">
        <v>583</v>
      </c>
      <c r="P1068" s="280">
        <f t="shared" si="33"/>
        <v>51155.157845303867</v>
      </c>
    </row>
    <row r="1069" spans="1:16" x14ac:dyDescent="0.2">
      <c r="A1069" s="32" t="s">
        <v>656</v>
      </c>
      <c r="B1069" s="32" t="s">
        <v>635</v>
      </c>
      <c r="C1069" s="32" t="s">
        <v>636</v>
      </c>
      <c r="D1069" s="32" t="s">
        <v>608</v>
      </c>
      <c r="E1069" s="32" t="s">
        <v>494</v>
      </c>
      <c r="F1069" s="32" t="s">
        <v>581</v>
      </c>
      <c r="G1069" s="32" t="str">
        <f t="shared" si="32"/>
        <v>2" ST EXTN</v>
      </c>
      <c r="H1069" s="278" t="s">
        <v>480</v>
      </c>
      <c r="I1069" s="32" t="s">
        <v>462</v>
      </c>
      <c r="J1069" s="279">
        <v>1</v>
      </c>
      <c r="K1069" s="280">
        <v>18550.16</v>
      </c>
      <c r="L1069" s="280">
        <v>18550.16</v>
      </c>
      <c r="M1069" s="280">
        <v>0</v>
      </c>
      <c r="N1069" s="281">
        <v>371</v>
      </c>
      <c r="O1069" s="282">
        <v>583</v>
      </c>
      <c r="P1069" s="280">
        <f t="shared" si="33"/>
        <v>29150.251428571428</v>
      </c>
    </row>
    <row r="1070" spans="1:16" x14ac:dyDescent="0.2">
      <c r="A1070" s="32" t="s">
        <v>656</v>
      </c>
      <c r="B1070" s="32" t="s">
        <v>635</v>
      </c>
      <c r="C1070" s="32" t="s">
        <v>636</v>
      </c>
      <c r="D1070" s="32" t="s">
        <v>608</v>
      </c>
      <c r="E1070" s="32" t="s">
        <v>494</v>
      </c>
      <c r="F1070" s="32" t="s">
        <v>581</v>
      </c>
      <c r="G1070" s="32" t="str">
        <f t="shared" si="32"/>
        <v>2" ST EXTN</v>
      </c>
      <c r="H1070" s="278" t="s">
        <v>472</v>
      </c>
      <c r="I1070" s="32" t="s">
        <v>462</v>
      </c>
      <c r="J1070" s="279">
        <v>5</v>
      </c>
      <c r="K1070" s="280">
        <v>40034.53</v>
      </c>
      <c r="L1070" s="280">
        <v>40034.53</v>
      </c>
      <c r="M1070" s="280">
        <v>0</v>
      </c>
      <c r="N1070" s="281">
        <v>380</v>
      </c>
      <c r="O1070" s="282">
        <v>583</v>
      </c>
      <c r="P1070" s="280">
        <f t="shared" si="33"/>
        <v>61421.397342105258</v>
      </c>
    </row>
    <row r="1071" spans="1:16" x14ac:dyDescent="0.2">
      <c r="A1071" s="32" t="s">
        <v>656</v>
      </c>
      <c r="B1071" s="32" t="s">
        <v>635</v>
      </c>
      <c r="C1071" s="32" t="s">
        <v>636</v>
      </c>
      <c r="D1071" s="32" t="s">
        <v>608</v>
      </c>
      <c r="E1071" s="32" t="s">
        <v>494</v>
      </c>
      <c r="F1071" s="32" t="s">
        <v>581</v>
      </c>
      <c r="G1071" s="32" t="str">
        <f t="shared" si="32"/>
        <v>2" ST EXTN</v>
      </c>
      <c r="H1071" s="278" t="s">
        <v>478</v>
      </c>
      <c r="I1071" s="32" t="s">
        <v>462</v>
      </c>
      <c r="J1071" s="279">
        <v>5</v>
      </c>
      <c r="K1071" s="280">
        <v>48066.43</v>
      </c>
      <c r="L1071" s="280">
        <v>48066.43</v>
      </c>
      <c r="M1071" s="280">
        <v>0</v>
      </c>
      <c r="N1071" s="281">
        <v>386</v>
      </c>
      <c r="O1071" s="282">
        <v>583</v>
      </c>
      <c r="P1071" s="280">
        <f t="shared" si="33"/>
        <v>72597.742720207258</v>
      </c>
    </row>
    <row r="1072" spans="1:16" x14ac:dyDescent="0.2">
      <c r="A1072" s="32" t="s">
        <v>656</v>
      </c>
      <c r="B1072" s="32" t="s">
        <v>635</v>
      </c>
      <c r="C1072" s="32" t="s">
        <v>636</v>
      </c>
      <c r="D1072" s="32" t="s">
        <v>608</v>
      </c>
      <c r="E1072" s="32" t="s">
        <v>494</v>
      </c>
      <c r="F1072" s="32" t="s">
        <v>581</v>
      </c>
      <c r="G1072" s="32" t="str">
        <f t="shared" si="32"/>
        <v>2" ST EXTN</v>
      </c>
      <c r="H1072" s="278" t="s">
        <v>475</v>
      </c>
      <c r="I1072" s="32" t="s">
        <v>462</v>
      </c>
      <c r="J1072" s="279">
        <v>3</v>
      </c>
      <c r="K1072" s="280">
        <v>13524.8</v>
      </c>
      <c r="L1072" s="280">
        <v>13524.8</v>
      </c>
      <c r="M1072" s="280">
        <v>0</v>
      </c>
      <c r="N1072" s="281">
        <v>397</v>
      </c>
      <c r="O1072" s="282">
        <v>583</v>
      </c>
      <c r="P1072" s="280">
        <f t="shared" si="33"/>
        <v>19861.356171284635</v>
      </c>
    </row>
    <row r="1073" spans="1:16" x14ac:dyDescent="0.2">
      <c r="A1073" s="32" t="s">
        <v>656</v>
      </c>
      <c r="B1073" s="32" t="s">
        <v>635</v>
      </c>
      <c r="C1073" s="32" t="s">
        <v>636</v>
      </c>
      <c r="D1073" s="32" t="s">
        <v>608</v>
      </c>
      <c r="E1073" s="32" t="s">
        <v>494</v>
      </c>
      <c r="F1073" s="32" t="s">
        <v>581</v>
      </c>
      <c r="G1073" s="32" t="str">
        <f t="shared" si="32"/>
        <v>2" ST EXTN</v>
      </c>
      <c r="H1073" s="278" t="s">
        <v>471</v>
      </c>
      <c r="I1073" s="32" t="s">
        <v>462</v>
      </c>
      <c r="J1073" s="279">
        <v>3</v>
      </c>
      <c r="K1073" s="280">
        <v>25620.98</v>
      </c>
      <c r="L1073" s="280">
        <v>25620.98</v>
      </c>
      <c r="M1073" s="280">
        <v>0</v>
      </c>
      <c r="N1073" s="281">
        <v>402</v>
      </c>
      <c r="O1073" s="282">
        <v>583</v>
      </c>
      <c r="P1073" s="280">
        <f t="shared" si="33"/>
        <v>37156.794378109451</v>
      </c>
    </row>
    <row r="1074" spans="1:16" x14ac:dyDescent="0.2">
      <c r="A1074" s="32" t="s">
        <v>656</v>
      </c>
      <c r="B1074" s="32" t="s">
        <v>635</v>
      </c>
      <c r="C1074" s="32" t="s">
        <v>636</v>
      </c>
      <c r="D1074" s="32" t="s">
        <v>608</v>
      </c>
      <c r="E1074" s="32" t="s">
        <v>494</v>
      </c>
      <c r="F1074" s="32" t="s">
        <v>581</v>
      </c>
      <c r="G1074" s="32" t="str">
        <f t="shared" si="32"/>
        <v>2" ST EXTN</v>
      </c>
      <c r="H1074" s="278" t="s">
        <v>476</v>
      </c>
      <c r="I1074" s="32" t="s">
        <v>462</v>
      </c>
      <c r="J1074" s="279">
        <v>6</v>
      </c>
      <c r="K1074" s="280">
        <v>38711.74</v>
      </c>
      <c r="L1074" s="280">
        <v>38711.74</v>
      </c>
      <c r="M1074" s="280">
        <v>0</v>
      </c>
      <c r="N1074" s="281">
        <v>432</v>
      </c>
      <c r="O1074" s="282">
        <v>583</v>
      </c>
      <c r="P1074" s="280">
        <f t="shared" si="33"/>
        <v>52242.926898148144</v>
      </c>
    </row>
    <row r="1075" spans="1:16" x14ac:dyDescent="0.2">
      <c r="A1075" s="32" t="s">
        <v>656</v>
      </c>
      <c r="B1075" s="32" t="s">
        <v>635</v>
      </c>
      <c r="C1075" s="32" t="s">
        <v>636</v>
      </c>
      <c r="D1075" s="32" t="s">
        <v>608</v>
      </c>
      <c r="E1075" s="32" t="s">
        <v>494</v>
      </c>
      <c r="F1075" s="32" t="s">
        <v>581</v>
      </c>
      <c r="G1075" s="32" t="str">
        <f t="shared" si="32"/>
        <v>2" ST EXTN</v>
      </c>
      <c r="H1075" s="278" t="s">
        <v>474</v>
      </c>
      <c r="I1075" s="32" t="s">
        <v>462</v>
      </c>
      <c r="J1075" s="279">
        <v>6</v>
      </c>
      <c r="K1075" s="280">
        <v>25151.21</v>
      </c>
      <c r="L1075" s="280">
        <v>25151.21</v>
      </c>
      <c r="M1075" s="280">
        <v>0</v>
      </c>
      <c r="N1075" s="281">
        <v>489</v>
      </c>
      <c r="O1075" s="282">
        <v>583</v>
      </c>
      <c r="P1075" s="280">
        <f t="shared" si="33"/>
        <v>29986.002924335378</v>
      </c>
    </row>
    <row r="1076" spans="1:16" x14ac:dyDescent="0.2">
      <c r="A1076" s="32" t="s">
        <v>656</v>
      </c>
      <c r="B1076" s="32" t="s">
        <v>635</v>
      </c>
      <c r="C1076" s="32" t="s">
        <v>636</v>
      </c>
      <c r="D1076" s="32" t="s">
        <v>608</v>
      </c>
      <c r="E1076" s="32" t="s">
        <v>494</v>
      </c>
      <c r="F1076" s="32" t="s">
        <v>581</v>
      </c>
      <c r="G1076" s="32" t="str">
        <f t="shared" si="32"/>
        <v>2" ST EXTN</v>
      </c>
      <c r="H1076" s="278" t="s">
        <v>477</v>
      </c>
      <c r="I1076" s="32" t="s">
        <v>462</v>
      </c>
      <c r="J1076" s="279">
        <v>9</v>
      </c>
      <c r="K1076" s="280">
        <v>287842.71999999997</v>
      </c>
      <c r="L1076" s="280">
        <v>287842.71999999997</v>
      </c>
      <c r="M1076" s="280">
        <v>0</v>
      </c>
      <c r="N1076" s="281">
        <v>517</v>
      </c>
      <c r="O1076" s="282">
        <v>583</v>
      </c>
      <c r="P1076" s="280">
        <f t="shared" si="33"/>
        <v>324588.5991489361</v>
      </c>
    </row>
    <row r="1077" spans="1:16" x14ac:dyDescent="0.2">
      <c r="A1077" s="32" t="s">
        <v>656</v>
      </c>
      <c r="B1077" s="32" t="s">
        <v>635</v>
      </c>
      <c r="C1077" s="32" t="s">
        <v>636</v>
      </c>
      <c r="D1077" s="32" t="s">
        <v>608</v>
      </c>
      <c r="E1077" s="32" t="s">
        <v>494</v>
      </c>
      <c r="F1077" s="32" t="s">
        <v>581</v>
      </c>
      <c r="G1077" s="32" t="str">
        <f t="shared" si="32"/>
        <v>2" ST EXTN</v>
      </c>
      <c r="H1077" s="278" t="s">
        <v>470</v>
      </c>
      <c r="I1077" s="32" t="s">
        <v>462</v>
      </c>
      <c r="J1077" s="279">
        <v>3</v>
      </c>
      <c r="K1077" s="280">
        <v>96732.26</v>
      </c>
      <c r="L1077" s="280">
        <v>96732.26</v>
      </c>
      <c r="M1077" s="280">
        <v>0</v>
      </c>
      <c r="N1077" s="281">
        <v>514</v>
      </c>
      <c r="O1077" s="282">
        <v>583</v>
      </c>
      <c r="P1077" s="280">
        <f t="shared" si="33"/>
        <v>109717.71902723734</v>
      </c>
    </row>
    <row r="1078" spans="1:16" x14ac:dyDescent="0.2">
      <c r="A1078" s="32" t="s">
        <v>656</v>
      </c>
      <c r="B1078" s="32" t="s">
        <v>635</v>
      </c>
      <c r="C1078" s="32" t="s">
        <v>636</v>
      </c>
      <c r="D1078" s="32" t="s">
        <v>608</v>
      </c>
      <c r="E1078" s="32" t="s">
        <v>494</v>
      </c>
      <c r="F1078" s="32" t="s">
        <v>581</v>
      </c>
      <c r="G1078" s="32" t="str">
        <f t="shared" si="32"/>
        <v>2" ST EXTN</v>
      </c>
      <c r="H1078" s="278" t="s">
        <v>470</v>
      </c>
      <c r="I1078" s="32" t="s">
        <v>462</v>
      </c>
      <c r="J1078" s="279">
        <v>16</v>
      </c>
      <c r="K1078" s="280">
        <v>156274.45000000001</v>
      </c>
      <c r="L1078" s="280">
        <v>156274.45000000001</v>
      </c>
      <c r="M1078" s="280">
        <v>0</v>
      </c>
      <c r="N1078" s="281">
        <v>514</v>
      </c>
      <c r="O1078" s="282">
        <v>583</v>
      </c>
      <c r="P1078" s="280">
        <f t="shared" si="33"/>
        <v>177252.92675097278</v>
      </c>
    </row>
    <row r="1079" spans="1:16" x14ac:dyDescent="0.2">
      <c r="A1079" s="32" t="s">
        <v>656</v>
      </c>
      <c r="B1079" s="32" t="s">
        <v>635</v>
      </c>
      <c r="C1079" s="32" t="s">
        <v>636</v>
      </c>
      <c r="D1079" s="32" t="s">
        <v>608</v>
      </c>
      <c r="E1079" s="32" t="s">
        <v>494</v>
      </c>
      <c r="F1079" s="32" t="s">
        <v>581</v>
      </c>
      <c r="G1079" s="32" t="str">
        <f t="shared" si="32"/>
        <v>2" ST EXTN</v>
      </c>
      <c r="H1079" s="278" t="s">
        <v>461</v>
      </c>
      <c r="I1079" s="32" t="s">
        <v>462</v>
      </c>
      <c r="J1079" s="279">
        <v>1</v>
      </c>
      <c r="K1079" s="280">
        <v>7666.29</v>
      </c>
      <c r="L1079" s="280">
        <v>7666.29</v>
      </c>
      <c r="M1079" s="280">
        <v>0</v>
      </c>
      <c r="N1079" s="281">
        <v>568</v>
      </c>
      <c r="O1079" s="282">
        <v>583</v>
      </c>
      <c r="P1079" s="280">
        <f t="shared" si="33"/>
        <v>7868.7448415492954</v>
      </c>
    </row>
    <row r="1080" spans="1:16" x14ac:dyDescent="0.2">
      <c r="A1080" s="32" t="s">
        <v>656</v>
      </c>
      <c r="B1080" s="32" t="s">
        <v>635</v>
      </c>
      <c r="C1080" s="32" t="s">
        <v>636</v>
      </c>
      <c r="D1080" s="32" t="s">
        <v>608</v>
      </c>
      <c r="E1080" s="32" t="s">
        <v>494</v>
      </c>
      <c r="F1080" s="32" t="s">
        <v>581</v>
      </c>
      <c r="G1080" s="32" t="str">
        <f t="shared" si="32"/>
        <v>2" ST EXTN</v>
      </c>
      <c r="H1080" s="278" t="s">
        <v>461</v>
      </c>
      <c r="I1080" s="32" t="s">
        <v>462</v>
      </c>
      <c r="J1080" s="279">
        <v>6</v>
      </c>
      <c r="K1080" s="280">
        <v>149257.07999999999</v>
      </c>
      <c r="L1080" s="280">
        <v>149257.07999999999</v>
      </c>
      <c r="M1080" s="280">
        <v>0</v>
      </c>
      <c r="N1080" s="281">
        <v>568</v>
      </c>
      <c r="O1080" s="282">
        <v>583</v>
      </c>
      <c r="P1080" s="280">
        <f t="shared" si="33"/>
        <v>153198.7282394366</v>
      </c>
    </row>
    <row r="1081" spans="1:16" x14ac:dyDescent="0.2">
      <c r="A1081" s="32" t="s">
        <v>656</v>
      </c>
      <c r="B1081" s="32" t="s">
        <v>635</v>
      </c>
      <c r="C1081" s="32" t="s">
        <v>636</v>
      </c>
      <c r="D1081" s="32" t="s">
        <v>608</v>
      </c>
      <c r="E1081" s="32" t="s">
        <v>494</v>
      </c>
      <c r="F1081" s="32" t="s">
        <v>581</v>
      </c>
      <c r="G1081" s="32" t="str">
        <f t="shared" si="32"/>
        <v>2" ST EXTN</v>
      </c>
      <c r="H1081" s="278" t="s">
        <v>468</v>
      </c>
      <c r="I1081" s="32" t="s">
        <v>462</v>
      </c>
      <c r="J1081" s="279">
        <v>3</v>
      </c>
      <c r="K1081" s="280">
        <v>55400.43</v>
      </c>
      <c r="L1081" s="280">
        <v>55400.43</v>
      </c>
      <c r="M1081" s="280">
        <v>0</v>
      </c>
      <c r="N1081" s="281">
        <v>561</v>
      </c>
      <c r="O1081" s="282">
        <v>583</v>
      </c>
      <c r="P1081" s="280">
        <f t="shared" si="33"/>
        <v>57572.995882352945</v>
      </c>
    </row>
    <row r="1082" spans="1:16" x14ac:dyDescent="0.2">
      <c r="A1082" s="32" t="s">
        <v>656</v>
      </c>
      <c r="B1082" s="32" t="s">
        <v>635</v>
      </c>
      <c r="C1082" s="32" t="s">
        <v>636</v>
      </c>
      <c r="D1082" s="32" t="s">
        <v>608</v>
      </c>
      <c r="E1082" s="32" t="s">
        <v>494</v>
      </c>
      <c r="F1082" s="32" t="s">
        <v>581</v>
      </c>
      <c r="G1082" s="32" t="str">
        <f t="shared" si="32"/>
        <v>2" ST EXTN</v>
      </c>
      <c r="H1082" s="278" t="s">
        <v>468</v>
      </c>
      <c r="I1082" s="32" t="s">
        <v>462</v>
      </c>
      <c r="J1082" s="279">
        <v>6</v>
      </c>
      <c r="K1082" s="280">
        <v>127186.52</v>
      </c>
      <c r="L1082" s="280">
        <v>127186.52</v>
      </c>
      <c r="M1082" s="280">
        <v>0</v>
      </c>
      <c r="N1082" s="281">
        <v>561</v>
      </c>
      <c r="O1082" s="282">
        <v>583</v>
      </c>
      <c r="P1082" s="280">
        <f t="shared" si="33"/>
        <v>132174.22666666668</v>
      </c>
    </row>
    <row r="1083" spans="1:16" x14ac:dyDescent="0.2">
      <c r="A1083" s="32" t="s">
        <v>656</v>
      </c>
      <c r="B1083" s="32" t="s">
        <v>635</v>
      </c>
      <c r="C1083" s="32" t="s">
        <v>636</v>
      </c>
      <c r="D1083" s="32" t="s">
        <v>608</v>
      </c>
      <c r="E1083" s="32" t="s">
        <v>494</v>
      </c>
      <c r="F1083" s="32" t="s">
        <v>581</v>
      </c>
      <c r="G1083" s="32" t="str">
        <f t="shared" si="32"/>
        <v>2" ST EXTN</v>
      </c>
      <c r="H1083" s="278" t="s">
        <v>469</v>
      </c>
      <c r="I1083" s="32" t="s">
        <v>462</v>
      </c>
      <c r="J1083" s="279">
        <v>18</v>
      </c>
      <c r="K1083" s="280">
        <v>285447.74</v>
      </c>
      <c r="L1083" s="280">
        <v>87691.89</v>
      </c>
      <c r="M1083" s="280">
        <v>197755.85</v>
      </c>
      <c r="N1083" s="281">
        <v>583</v>
      </c>
      <c r="O1083" s="282">
        <v>583</v>
      </c>
      <c r="P1083" s="280">
        <f t="shared" si="33"/>
        <v>285447.74</v>
      </c>
    </row>
    <row r="1084" spans="1:16" x14ac:dyDescent="0.2">
      <c r="A1084" s="32" t="s">
        <v>657</v>
      </c>
      <c r="B1084" s="32" t="s">
        <v>635</v>
      </c>
      <c r="C1084" s="32" t="s">
        <v>636</v>
      </c>
      <c r="D1084" s="32" t="s">
        <v>608</v>
      </c>
      <c r="E1084" s="32" t="s">
        <v>494</v>
      </c>
      <c r="F1084" s="32" t="s">
        <v>584</v>
      </c>
      <c r="G1084" s="32" t="str">
        <f t="shared" si="32"/>
        <v>2" ST STUB</v>
      </c>
      <c r="H1084" s="278" t="s">
        <v>530</v>
      </c>
      <c r="I1084" s="32" t="s">
        <v>462</v>
      </c>
      <c r="J1084" s="279">
        <v>528</v>
      </c>
      <c r="K1084" s="280">
        <v>39960.07</v>
      </c>
      <c r="L1084" s="280">
        <v>39960.07</v>
      </c>
      <c r="M1084" s="280">
        <v>0</v>
      </c>
      <c r="N1084" s="281">
        <v>65</v>
      </c>
      <c r="O1084" s="282">
        <v>583</v>
      </c>
      <c r="P1084" s="280">
        <f t="shared" si="33"/>
        <v>358411.08938461536</v>
      </c>
    </row>
    <row r="1085" spans="1:16" x14ac:dyDescent="0.2">
      <c r="A1085" s="32" t="s">
        <v>657</v>
      </c>
      <c r="B1085" s="32" t="s">
        <v>635</v>
      </c>
      <c r="C1085" s="32" t="s">
        <v>636</v>
      </c>
      <c r="D1085" s="32" t="s">
        <v>608</v>
      </c>
      <c r="E1085" s="32" t="s">
        <v>494</v>
      </c>
      <c r="F1085" s="32" t="s">
        <v>584</v>
      </c>
      <c r="G1085" s="32" t="str">
        <f t="shared" si="32"/>
        <v>2" ST STUB</v>
      </c>
      <c r="H1085" s="278" t="s">
        <v>534</v>
      </c>
      <c r="I1085" s="32" t="s">
        <v>462</v>
      </c>
      <c r="J1085" s="279">
        <v>758</v>
      </c>
      <c r="K1085" s="280">
        <v>73097.56</v>
      </c>
      <c r="L1085" s="280">
        <v>73097.56</v>
      </c>
      <c r="M1085" s="280">
        <v>0</v>
      </c>
      <c r="N1085" s="281">
        <v>68</v>
      </c>
      <c r="O1085" s="282">
        <v>583</v>
      </c>
      <c r="P1085" s="280">
        <f t="shared" si="33"/>
        <v>626704.08058823529</v>
      </c>
    </row>
    <row r="1086" spans="1:16" x14ac:dyDescent="0.2">
      <c r="A1086" s="32" t="s">
        <v>657</v>
      </c>
      <c r="B1086" s="32" t="s">
        <v>635</v>
      </c>
      <c r="C1086" s="32" t="s">
        <v>636</v>
      </c>
      <c r="D1086" s="32" t="s">
        <v>608</v>
      </c>
      <c r="E1086" s="32" t="s">
        <v>494</v>
      </c>
      <c r="F1086" s="32" t="s">
        <v>584</v>
      </c>
      <c r="G1086" s="32" t="str">
        <f t="shared" si="32"/>
        <v>2" ST STUB</v>
      </c>
      <c r="H1086" s="278" t="s">
        <v>532</v>
      </c>
      <c r="I1086" s="32" t="s">
        <v>462</v>
      </c>
      <c r="J1086" s="279">
        <v>736</v>
      </c>
      <c r="K1086" s="280">
        <v>81864.039999999994</v>
      </c>
      <c r="L1086" s="280">
        <v>81864.039999999994</v>
      </c>
      <c r="M1086" s="280">
        <v>0</v>
      </c>
      <c r="N1086" s="281">
        <v>71</v>
      </c>
      <c r="O1086" s="282">
        <v>583</v>
      </c>
      <c r="P1086" s="280">
        <f t="shared" si="33"/>
        <v>672207.53971830977</v>
      </c>
    </row>
    <row r="1087" spans="1:16" x14ac:dyDescent="0.2">
      <c r="A1087" s="32" t="s">
        <v>657</v>
      </c>
      <c r="B1087" s="32" t="s">
        <v>635</v>
      </c>
      <c r="C1087" s="32" t="s">
        <v>636</v>
      </c>
      <c r="D1087" s="32" t="s">
        <v>608</v>
      </c>
      <c r="E1087" s="32" t="s">
        <v>494</v>
      </c>
      <c r="F1087" s="32" t="s">
        <v>584</v>
      </c>
      <c r="G1087" s="32" t="str">
        <f t="shared" si="32"/>
        <v>2" ST STUB</v>
      </c>
      <c r="H1087" s="278" t="s">
        <v>535</v>
      </c>
      <c r="I1087" s="32" t="s">
        <v>462</v>
      </c>
      <c r="J1087" s="279">
        <v>812</v>
      </c>
      <c r="K1087" s="280">
        <v>88757.61</v>
      </c>
      <c r="L1087" s="280">
        <v>88757.61</v>
      </c>
      <c r="M1087" s="280">
        <v>0</v>
      </c>
      <c r="N1087" s="281">
        <v>74</v>
      </c>
      <c r="O1087" s="282">
        <v>583</v>
      </c>
      <c r="P1087" s="280">
        <f t="shared" si="33"/>
        <v>699266.03554054047</v>
      </c>
    </row>
    <row r="1088" spans="1:16" x14ac:dyDescent="0.2">
      <c r="A1088" s="32" t="s">
        <v>657</v>
      </c>
      <c r="B1088" s="32" t="s">
        <v>635</v>
      </c>
      <c r="C1088" s="32" t="s">
        <v>636</v>
      </c>
      <c r="D1088" s="32" t="s">
        <v>608</v>
      </c>
      <c r="E1088" s="32" t="s">
        <v>494</v>
      </c>
      <c r="F1088" s="32" t="s">
        <v>584</v>
      </c>
      <c r="G1088" s="32" t="str">
        <f t="shared" si="32"/>
        <v>2" ST STUB</v>
      </c>
      <c r="H1088" s="278" t="s">
        <v>533</v>
      </c>
      <c r="I1088" s="32" t="s">
        <v>462</v>
      </c>
      <c r="J1088" s="279">
        <v>568</v>
      </c>
      <c r="K1088" s="280">
        <v>58601.2</v>
      </c>
      <c r="L1088" s="280">
        <v>58601.2</v>
      </c>
      <c r="M1088" s="280">
        <v>0</v>
      </c>
      <c r="N1088" s="281">
        <v>78</v>
      </c>
      <c r="O1088" s="282">
        <v>583</v>
      </c>
      <c r="P1088" s="280">
        <f t="shared" si="33"/>
        <v>438006.40512820514</v>
      </c>
    </row>
    <row r="1089" spans="1:16" x14ac:dyDescent="0.2">
      <c r="A1089" s="32" t="s">
        <v>657</v>
      </c>
      <c r="B1089" s="32" t="s">
        <v>635</v>
      </c>
      <c r="C1089" s="32" t="s">
        <v>636</v>
      </c>
      <c r="D1089" s="32" t="s">
        <v>608</v>
      </c>
      <c r="E1089" s="32" t="s">
        <v>494</v>
      </c>
      <c r="F1089" s="32" t="s">
        <v>584</v>
      </c>
      <c r="G1089" s="32" t="str">
        <f t="shared" si="32"/>
        <v>2" ST STUB</v>
      </c>
      <c r="H1089" s="278" t="s">
        <v>531</v>
      </c>
      <c r="I1089" s="32" t="s">
        <v>462</v>
      </c>
      <c r="J1089" s="279">
        <v>784</v>
      </c>
      <c r="K1089" s="280">
        <v>99797.58</v>
      </c>
      <c r="L1089" s="280">
        <v>99797.58</v>
      </c>
      <c r="M1089" s="280">
        <v>0</v>
      </c>
      <c r="N1089" s="281">
        <v>84</v>
      </c>
      <c r="O1089" s="282">
        <v>583</v>
      </c>
      <c r="P1089" s="280">
        <f t="shared" si="33"/>
        <v>692642.72785714292</v>
      </c>
    </row>
    <row r="1090" spans="1:16" x14ac:dyDescent="0.2">
      <c r="A1090" s="32" t="s">
        <v>657</v>
      </c>
      <c r="B1090" s="32" t="s">
        <v>635</v>
      </c>
      <c r="C1090" s="32" t="s">
        <v>636</v>
      </c>
      <c r="D1090" s="32" t="s">
        <v>608</v>
      </c>
      <c r="E1090" s="32" t="s">
        <v>494</v>
      </c>
      <c r="F1090" s="32" t="s">
        <v>584</v>
      </c>
      <c r="G1090" s="32" t="str">
        <f t="shared" ref="G1090:G1153" si="34">D1090&amp;" "&amp;E1090&amp;" "&amp;F1090</f>
        <v>2" ST STUB</v>
      </c>
      <c r="H1090" s="278" t="s">
        <v>527</v>
      </c>
      <c r="I1090" s="32" t="s">
        <v>462</v>
      </c>
      <c r="J1090" s="279">
        <v>610</v>
      </c>
      <c r="K1090" s="280">
        <v>73032.55</v>
      </c>
      <c r="L1090" s="280">
        <v>73032.55</v>
      </c>
      <c r="M1090" s="280">
        <v>0</v>
      </c>
      <c r="N1090" s="281">
        <v>90</v>
      </c>
      <c r="O1090" s="282">
        <v>583</v>
      </c>
      <c r="P1090" s="280">
        <f t="shared" ref="P1090:P1153" si="35">+(O1090/N1090)*K1090</f>
        <v>473088.62944444449</v>
      </c>
    </row>
    <row r="1091" spans="1:16" x14ac:dyDescent="0.2">
      <c r="A1091" s="32" t="s">
        <v>657</v>
      </c>
      <c r="B1091" s="32" t="s">
        <v>635</v>
      </c>
      <c r="C1091" s="32" t="s">
        <v>636</v>
      </c>
      <c r="D1091" s="32" t="s">
        <v>608</v>
      </c>
      <c r="E1091" s="32" t="s">
        <v>494</v>
      </c>
      <c r="F1091" s="32" t="s">
        <v>584</v>
      </c>
      <c r="G1091" s="32" t="str">
        <f t="shared" si="34"/>
        <v>2" ST STUB</v>
      </c>
      <c r="H1091" s="278" t="s">
        <v>528</v>
      </c>
      <c r="I1091" s="32" t="s">
        <v>462</v>
      </c>
      <c r="J1091" s="279">
        <v>446</v>
      </c>
      <c r="K1091" s="280">
        <v>70814.850000000006</v>
      </c>
      <c r="L1091" s="280">
        <v>70814.850000000006</v>
      </c>
      <c r="M1091" s="280">
        <v>0</v>
      </c>
      <c r="N1091" s="281">
        <v>96</v>
      </c>
      <c r="O1091" s="282">
        <v>583</v>
      </c>
      <c r="P1091" s="280">
        <f t="shared" si="35"/>
        <v>430052.68281250005</v>
      </c>
    </row>
    <row r="1092" spans="1:16" x14ac:dyDescent="0.2">
      <c r="A1092" s="32" t="s">
        <v>657</v>
      </c>
      <c r="B1092" s="32" t="s">
        <v>635</v>
      </c>
      <c r="C1092" s="32" t="s">
        <v>636</v>
      </c>
      <c r="D1092" s="32" t="s">
        <v>608</v>
      </c>
      <c r="E1092" s="32" t="s">
        <v>494</v>
      </c>
      <c r="F1092" s="32" t="s">
        <v>584</v>
      </c>
      <c r="G1092" s="32" t="str">
        <f t="shared" si="34"/>
        <v>2" ST STUB</v>
      </c>
      <c r="H1092" s="278" t="s">
        <v>529</v>
      </c>
      <c r="I1092" s="32" t="s">
        <v>462</v>
      </c>
      <c r="J1092" s="279">
        <v>401</v>
      </c>
      <c r="K1092" s="280">
        <v>80900.42</v>
      </c>
      <c r="L1092" s="280">
        <v>80900.42</v>
      </c>
      <c r="M1092" s="280">
        <v>0</v>
      </c>
      <c r="N1092" s="281">
        <v>100</v>
      </c>
      <c r="O1092" s="282">
        <v>583</v>
      </c>
      <c r="P1092" s="280">
        <f t="shared" si="35"/>
        <v>471649.4486</v>
      </c>
    </row>
    <row r="1093" spans="1:16" x14ac:dyDescent="0.2">
      <c r="A1093" s="32" t="s">
        <v>657</v>
      </c>
      <c r="B1093" s="32" t="s">
        <v>635</v>
      </c>
      <c r="C1093" s="32" t="s">
        <v>636</v>
      </c>
      <c r="D1093" s="32" t="s">
        <v>608</v>
      </c>
      <c r="E1093" s="32" t="s">
        <v>494</v>
      </c>
      <c r="F1093" s="32" t="s">
        <v>584</v>
      </c>
      <c r="G1093" s="32" t="str">
        <f t="shared" si="34"/>
        <v>2" ST STUB</v>
      </c>
      <c r="H1093" s="278" t="s">
        <v>525</v>
      </c>
      <c r="I1093" s="32" t="s">
        <v>462</v>
      </c>
      <c r="J1093" s="279">
        <v>408</v>
      </c>
      <c r="K1093" s="280">
        <v>53853.51</v>
      </c>
      <c r="L1093" s="280">
        <v>53853.51</v>
      </c>
      <c r="M1093" s="280">
        <v>0</v>
      </c>
      <c r="N1093" s="281">
        <v>113</v>
      </c>
      <c r="O1093" s="282">
        <v>583</v>
      </c>
      <c r="P1093" s="280">
        <f t="shared" si="35"/>
        <v>277845.98522123892</v>
      </c>
    </row>
    <row r="1094" spans="1:16" x14ac:dyDescent="0.2">
      <c r="A1094" s="32" t="s">
        <v>657</v>
      </c>
      <c r="B1094" s="32" t="s">
        <v>635</v>
      </c>
      <c r="C1094" s="32" t="s">
        <v>636</v>
      </c>
      <c r="D1094" s="32" t="s">
        <v>608</v>
      </c>
      <c r="E1094" s="32" t="s">
        <v>494</v>
      </c>
      <c r="F1094" s="32" t="s">
        <v>584</v>
      </c>
      <c r="G1094" s="32" t="str">
        <f t="shared" si="34"/>
        <v>2" ST STUB</v>
      </c>
      <c r="H1094" s="278" t="s">
        <v>524</v>
      </c>
      <c r="I1094" s="32" t="s">
        <v>462</v>
      </c>
      <c r="J1094" s="279">
        <v>28</v>
      </c>
      <c r="K1094" s="280">
        <v>18654.29</v>
      </c>
      <c r="L1094" s="280">
        <v>18654.29</v>
      </c>
      <c r="M1094" s="280">
        <v>0</v>
      </c>
      <c r="N1094" s="281">
        <v>133</v>
      </c>
      <c r="O1094" s="282">
        <v>583</v>
      </c>
      <c r="P1094" s="280">
        <f t="shared" si="35"/>
        <v>81770.308796992496</v>
      </c>
    </row>
    <row r="1095" spans="1:16" x14ac:dyDescent="0.2">
      <c r="A1095" s="32" t="s">
        <v>657</v>
      </c>
      <c r="B1095" s="32" t="s">
        <v>635</v>
      </c>
      <c r="C1095" s="32" t="s">
        <v>636</v>
      </c>
      <c r="D1095" s="32" t="s">
        <v>608</v>
      </c>
      <c r="E1095" s="32" t="s">
        <v>494</v>
      </c>
      <c r="F1095" s="32" t="s">
        <v>584</v>
      </c>
      <c r="G1095" s="32" t="str">
        <f t="shared" si="34"/>
        <v>2" ST STUB</v>
      </c>
      <c r="H1095" s="278" t="s">
        <v>522</v>
      </c>
      <c r="I1095" s="32" t="s">
        <v>462</v>
      </c>
      <c r="J1095" s="279">
        <v>57</v>
      </c>
      <c r="K1095" s="280">
        <v>19259.45</v>
      </c>
      <c r="L1095" s="280">
        <v>19259.45</v>
      </c>
      <c r="M1095" s="280">
        <v>0</v>
      </c>
      <c r="N1095" s="281">
        <v>143</v>
      </c>
      <c r="O1095" s="282">
        <v>583</v>
      </c>
      <c r="P1095" s="280">
        <f t="shared" si="35"/>
        <v>78519.296153846153</v>
      </c>
    </row>
    <row r="1096" spans="1:16" x14ac:dyDescent="0.2">
      <c r="A1096" s="32" t="s">
        <v>657</v>
      </c>
      <c r="B1096" s="32" t="s">
        <v>635</v>
      </c>
      <c r="C1096" s="32" t="s">
        <v>636</v>
      </c>
      <c r="D1096" s="32" t="s">
        <v>608</v>
      </c>
      <c r="E1096" s="32" t="s">
        <v>494</v>
      </c>
      <c r="F1096" s="32" t="s">
        <v>584</v>
      </c>
      <c r="G1096" s="32" t="str">
        <f t="shared" si="34"/>
        <v>2" ST STUB</v>
      </c>
      <c r="H1096" s="278" t="s">
        <v>526</v>
      </c>
      <c r="I1096" s="32" t="s">
        <v>462</v>
      </c>
      <c r="J1096" s="279">
        <v>57</v>
      </c>
      <c r="K1096" s="280">
        <v>27399.74</v>
      </c>
      <c r="L1096" s="280">
        <v>27399.74</v>
      </c>
      <c r="M1096" s="280">
        <v>0</v>
      </c>
      <c r="N1096" s="281">
        <v>153</v>
      </c>
      <c r="O1096" s="282">
        <v>583</v>
      </c>
      <c r="P1096" s="280">
        <f t="shared" si="35"/>
        <v>104405.54522875817</v>
      </c>
    </row>
    <row r="1097" spans="1:16" x14ac:dyDescent="0.2">
      <c r="A1097" s="32" t="s">
        <v>657</v>
      </c>
      <c r="B1097" s="32" t="s">
        <v>635</v>
      </c>
      <c r="C1097" s="32" t="s">
        <v>636</v>
      </c>
      <c r="D1097" s="32" t="s">
        <v>608</v>
      </c>
      <c r="E1097" s="32" t="s">
        <v>494</v>
      </c>
      <c r="F1097" s="32" t="s">
        <v>584</v>
      </c>
      <c r="G1097" s="32" t="str">
        <f t="shared" si="34"/>
        <v>2" ST STUB</v>
      </c>
      <c r="H1097" s="278" t="s">
        <v>486</v>
      </c>
      <c r="I1097" s="32" t="s">
        <v>462</v>
      </c>
      <c r="J1097" s="279">
        <v>35</v>
      </c>
      <c r="K1097" s="280">
        <v>13890.19</v>
      </c>
      <c r="L1097" s="280">
        <v>13890.19</v>
      </c>
      <c r="M1097" s="280">
        <v>0</v>
      </c>
      <c r="N1097" s="281">
        <v>166</v>
      </c>
      <c r="O1097" s="282">
        <v>583</v>
      </c>
      <c r="P1097" s="280">
        <f t="shared" si="35"/>
        <v>48783.016686746989</v>
      </c>
    </row>
    <row r="1098" spans="1:16" x14ac:dyDescent="0.2">
      <c r="A1098" s="32" t="s">
        <v>657</v>
      </c>
      <c r="B1098" s="32" t="s">
        <v>635</v>
      </c>
      <c r="C1098" s="32" t="s">
        <v>636</v>
      </c>
      <c r="D1098" s="32" t="s">
        <v>608</v>
      </c>
      <c r="E1098" s="32" t="s">
        <v>494</v>
      </c>
      <c r="F1098" s="32" t="s">
        <v>584</v>
      </c>
      <c r="G1098" s="32" t="str">
        <f t="shared" si="34"/>
        <v>2" ST STUB</v>
      </c>
      <c r="H1098" s="278" t="s">
        <v>521</v>
      </c>
      <c r="I1098" s="32" t="s">
        <v>462</v>
      </c>
      <c r="J1098" s="279">
        <v>26</v>
      </c>
      <c r="K1098" s="280">
        <v>12990.35</v>
      </c>
      <c r="L1098" s="280">
        <v>12990.35</v>
      </c>
      <c r="M1098" s="280">
        <v>0</v>
      </c>
      <c r="N1098" s="281">
        <v>198</v>
      </c>
      <c r="O1098" s="282">
        <v>583</v>
      </c>
      <c r="P1098" s="280">
        <f t="shared" si="35"/>
        <v>38249.363888888889</v>
      </c>
    </row>
    <row r="1099" spans="1:16" x14ac:dyDescent="0.2">
      <c r="A1099" s="32" t="s">
        <v>657</v>
      </c>
      <c r="B1099" s="32" t="s">
        <v>635</v>
      </c>
      <c r="C1099" s="32" t="s">
        <v>636</v>
      </c>
      <c r="D1099" s="32" t="s">
        <v>608</v>
      </c>
      <c r="E1099" s="32" t="s">
        <v>494</v>
      </c>
      <c r="F1099" s="32" t="s">
        <v>584</v>
      </c>
      <c r="G1099" s="32" t="str">
        <f t="shared" si="34"/>
        <v>2" ST STUB</v>
      </c>
      <c r="H1099" s="278" t="s">
        <v>520</v>
      </c>
      <c r="I1099" s="32" t="s">
        <v>462</v>
      </c>
      <c r="J1099" s="279">
        <v>31</v>
      </c>
      <c r="K1099" s="280">
        <v>14048.86</v>
      </c>
      <c r="L1099" s="280">
        <v>14048.86</v>
      </c>
      <c r="M1099" s="280">
        <v>0</v>
      </c>
      <c r="N1099" s="281">
        <v>222</v>
      </c>
      <c r="O1099" s="282">
        <v>583</v>
      </c>
      <c r="P1099" s="280">
        <f t="shared" si="35"/>
        <v>36894.078288288292</v>
      </c>
    </row>
    <row r="1100" spans="1:16" x14ac:dyDescent="0.2">
      <c r="A1100" s="32" t="s">
        <v>657</v>
      </c>
      <c r="B1100" s="32" t="s">
        <v>635</v>
      </c>
      <c r="C1100" s="32" t="s">
        <v>636</v>
      </c>
      <c r="D1100" s="32" t="s">
        <v>608</v>
      </c>
      <c r="E1100" s="32" t="s">
        <v>494</v>
      </c>
      <c r="F1100" s="32" t="s">
        <v>584</v>
      </c>
      <c r="G1100" s="32" t="str">
        <f t="shared" si="34"/>
        <v>2" ST STUB</v>
      </c>
      <c r="H1100" s="278" t="s">
        <v>518</v>
      </c>
      <c r="I1100" s="32" t="s">
        <v>462</v>
      </c>
      <c r="J1100" s="279">
        <v>31</v>
      </c>
      <c r="K1100" s="280">
        <v>17375.240000000002</v>
      </c>
      <c r="L1100" s="280">
        <v>17375.240000000002</v>
      </c>
      <c r="M1100" s="280">
        <v>0</v>
      </c>
      <c r="N1100" s="281">
        <v>245</v>
      </c>
      <c r="O1100" s="282">
        <v>583</v>
      </c>
      <c r="P1100" s="280">
        <f t="shared" si="35"/>
        <v>41345.97926530613</v>
      </c>
    </row>
    <row r="1101" spans="1:16" x14ac:dyDescent="0.2">
      <c r="A1101" s="32" t="s">
        <v>657</v>
      </c>
      <c r="B1101" s="32" t="s">
        <v>635</v>
      </c>
      <c r="C1101" s="32" t="s">
        <v>636</v>
      </c>
      <c r="D1101" s="32" t="s">
        <v>608</v>
      </c>
      <c r="E1101" s="32" t="s">
        <v>494</v>
      </c>
      <c r="F1101" s="32" t="s">
        <v>584</v>
      </c>
      <c r="G1101" s="32" t="str">
        <f t="shared" si="34"/>
        <v>2" ST STUB</v>
      </c>
      <c r="H1101" s="278" t="s">
        <v>517</v>
      </c>
      <c r="I1101" s="32" t="s">
        <v>462</v>
      </c>
      <c r="J1101" s="279">
        <v>33</v>
      </c>
      <c r="K1101" s="280">
        <v>20899.8</v>
      </c>
      <c r="L1101" s="280">
        <v>20899.8</v>
      </c>
      <c r="M1101" s="280">
        <v>0</v>
      </c>
      <c r="N1101" s="281">
        <v>254</v>
      </c>
      <c r="O1101" s="282">
        <v>583</v>
      </c>
      <c r="P1101" s="280">
        <f t="shared" si="35"/>
        <v>47970.800787401575</v>
      </c>
    </row>
    <row r="1102" spans="1:16" x14ac:dyDescent="0.2">
      <c r="A1102" s="32" t="s">
        <v>657</v>
      </c>
      <c r="B1102" s="32" t="s">
        <v>635</v>
      </c>
      <c r="C1102" s="32" t="s">
        <v>636</v>
      </c>
      <c r="D1102" s="32" t="s">
        <v>608</v>
      </c>
      <c r="E1102" s="32" t="s">
        <v>494</v>
      </c>
      <c r="F1102" s="32" t="s">
        <v>584</v>
      </c>
      <c r="G1102" s="32" t="str">
        <f t="shared" si="34"/>
        <v>2" ST STUB</v>
      </c>
      <c r="H1102" s="278" t="s">
        <v>463</v>
      </c>
      <c r="I1102" s="32" t="s">
        <v>462</v>
      </c>
      <c r="J1102" s="279">
        <v>15</v>
      </c>
      <c r="K1102" s="280">
        <v>9802.65</v>
      </c>
      <c r="L1102" s="280">
        <v>9802.65</v>
      </c>
      <c r="M1102" s="280">
        <v>0</v>
      </c>
      <c r="N1102" s="281">
        <v>262</v>
      </c>
      <c r="O1102" s="282">
        <v>583</v>
      </c>
      <c r="P1102" s="280">
        <f t="shared" si="35"/>
        <v>21812.766984732825</v>
      </c>
    </row>
    <row r="1103" spans="1:16" x14ac:dyDescent="0.2">
      <c r="A1103" s="32" t="s">
        <v>657</v>
      </c>
      <c r="B1103" s="32" t="s">
        <v>635</v>
      </c>
      <c r="C1103" s="32" t="s">
        <v>636</v>
      </c>
      <c r="D1103" s="32" t="s">
        <v>608</v>
      </c>
      <c r="E1103" s="32" t="s">
        <v>494</v>
      </c>
      <c r="F1103" s="32" t="s">
        <v>584</v>
      </c>
      <c r="G1103" s="32" t="str">
        <f t="shared" si="34"/>
        <v>2" ST STUB</v>
      </c>
      <c r="H1103" s="278" t="s">
        <v>464</v>
      </c>
      <c r="I1103" s="32" t="s">
        <v>462</v>
      </c>
      <c r="J1103" s="279">
        <v>9</v>
      </c>
      <c r="K1103" s="280">
        <v>8623.93</v>
      </c>
      <c r="L1103" s="280">
        <v>8623.93</v>
      </c>
      <c r="M1103" s="280">
        <v>0</v>
      </c>
      <c r="N1103" s="281">
        <v>266</v>
      </c>
      <c r="O1103" s="282">
        <v>583</v>
      </c>
      <c r="P1103" s="280">
        <f t="shared" si="35"/>
        <v>18901.320263157897</v>
      </c>
    </row>
    <row r="1104" spans="1:16" x14ac:dyDescent="0.2">
      <c r="A1104" s="32" t="s">
        <v>657</v>
      </c>
      <c r="B1104" s="32" t="s">
        <v>635</v>
      </c>
      <c r="C1104" s="32" t="s">
        <v>636</v>
      </c>
      <c r="D1104" s="32" t="s">
        <v>608</v>
      </c>
      <c r="E1104" s="32" t="s">
        <v>494</v>
      </c>
      <c r="F1104" s="32" t="s">
        <v>584</v>
      </c>
      <c r="G1104" s="32" t="str">
        <f t="shared" si="34"/>
        <v>2" ST STUB</v>
      </c>
      <c r="H1104" s="278" t="s">
        <v>515</v>
      </c>
      <c r="I1104" s="32" t="s">
        <v>462</v>
      </c>
      <c r="J1104" s="279">
        <v>4</v>
      </c>
      <c r="K1104" s="280">
        <v>4639.29</v>
      </c>
      <c r="L1104" s="280">
        <v>4639.29</v>
      </c>
      <c r="M1104" s="280">
        <v>0</v>
      </c>
      <c r="N1104" s="281">
        <v>264</v>
      </c>
      <c r="O1104" s="282">
        <v>583</v>
      </c>
      <c r="P1104" s="280">
        <f t="shared" si="35"/>
        <v>10245.098750000001</v>
      </c>
    </row>
    <row r="1105" spans="1:16" x14ac:dyDescent="0.2">
      <c r="A1105" s="32" t="s">
        <v>657</v>
      </c>
      <c r="B1105" s="32" t="s">
        <v>635</v>
      </c>
      <c r="C1105" s="32" t="s">
        <v>636</v>
      </c>
      <c r="D1105" s="32" t="s">
        <v>608</v>
      </c>
      <c r="E1105" s="32" t="s">
        <v>494</v>
      </c>
      <c r="F1105" s="32" t="s">
        <v>584</v>
      </c>
      <c r="G1105" s="32" t="str">
        <f t="shared" si="34"/>
        <v>2" ST STUB</v>
      </c>
      <c r="H1105" s="278" t="s">
        <v>523</v>
      </c>
      <c r="I1105" s="32" t="s">
        <v>462</v>
      </c>
      <c r="J1105" s="279">
        <v>9</v>
      </c>
      <c r="K1105" s="280">
        <v>13556.35</v>
      </c>
      <c r="L1105" s="280">
        <v>13556.35</v>
      </c>
      <c r="M1105" s="280">
        <v>0</v>
      </c>
      <c r="N1105" s="281">
        <v>273</v>
      </c>
      <c r="O1105" s="282">
        <v>583</v>
      </c>
      <c r="P1105" s="280">
        <f t="shared" si="35"/>
        <v>28950.007509157509</v>
      </c>
    </row>
    <row r="1106" spans="1:16" x14ac:dyDescent="0.2">
      <c r="A1106" s="32" t="s">
        <v>657</v>
      </c>
      <c r="B1106" s="32" t="s">
        <v>635</v>
      </c>
      <c r="C1106" s="32" t="s">
        <v>636</v>
      </c>
      <c r="D1106" s="32" t="s">
        <v>608</v>
      </c>
      <c r="E1106" s="32" t="s">
        <v>494</v>
      </c>
      <c r="F1106" s="32" t="s">
        <v>584</v>
      </c>
      <c r="G1106" s="32" t="str">
        <f t="shared" si="34"/>
        <v>2" ST STUB</v>
      </c>
      <c r="H1106" s="278" t="s">
        <v>516</v>
      </c>
      <c r="I1106" s="32" t="s">
        <v>462</v>
      </c>
      <c r="J1106" s="279">
        <v>10</v>
      </c>
      <c r="K1106" s="280">
        <v>15529.27</v>
      </c>
      <c r="L1106" s="280">
        <v>15529.27</v>
      </c>
      <c r="M1106" s="280">
        <v>0</v>
      </c>
      <c r="N1106" s="281">
        <v>283</v>
      </c>
      <c r="O1106" s="282">
        <v>583</v>
      </c>
      <c r="P1106" s="280">
        <f t="shared" si="35"/>
        <v>31991.393674911662</v>
      </c>
    </row>
    <row r="1107" spans="1:16" x14ac:dyDescent="0.2">
      <c r="A1107" s="32" t="s">
        <v>657</v>
      </c>
      <c r="B1107" s="32" t="s">
        <v>635</v>
      </c>
      <c r="C1107" s="32" t="s">
        <v>636</v>
      </c>
      <c r="D1107" s="32" t="s">
        <v>608</v>
      </c>
      <c r="E1107" s="32" t="s">
        <v>494</v>
      </c>
      <c r="F1107" s="32" t="s">
        <v>584</v>
      </c>
      <c r="G1107" s="32" t="str">
        <f t="shared" si="34"/>
        <v>2" ST STUB</v>
      </c>
      <c r="H1107" s="278" t="s">
        <v>465</v>
      </c>
      <c r="I1107" s="32" t="s">
        <v>462</v>
      </c>
      <c r="J1107" s="279">
        <v>2</v>
      </c>
      <c r="K1107" s="280">
        <v>2074.1999999999998</v>
      </c>
      <c r="L1107" s="280">
        <v>2074.1999999999998</v>
      </c>
      <c r="M1107" s="280">
        <v>0</v>
      </c>
      <c r="N1107" s="281">
        <v>308</v>
      </c>
      <c r="O1107" s="282">
        <v>583</v>
      </c>
      <c r="P1107" s="280">
        <f t="shared" si="35"/>
        <v>3926.1642857142851</v>
      </c>
    </row>
    <row r="1108" spans="1:16" x14ac:dyDescent="0.2">
      <c r="A1108" s="32" t="s">
        <v>657</v>
      </c>
      <c r="B1108" s="32" t="s">
        <v>635</v>
      </c>
      <c r="C1108" s="32" t="s">
        <v>636</v>
      </c>
      <c r="D1108" s="32" t="s">
        <v>608</v>
      </c>
      <c r="E1108" s="32" t="s">
        <v>494</v>
      </c>
      <c r="F1108" s="32" t="s">
        <v>584</v>
      </c>
      <c r="G1108" s="32" t="str">
        <f t="shared" si="34"/>
        <v>2" ST STUB</v>
      </c>
      <c r="H1108" s="278" t="s">
        <v>467</v>
      </c>
      <c r="I1108" s="32" t="s">
        <v>462</v>
      </c>
      <c r="J1108" s="279">
        <v>6</v>
      </c>
      <c r="K1108" s="280">
        <v>17233.79</v>
      </c>
      <c r="L1108" s="280">
        <v>17233.79</v>
      </c>
      <c r="M1108" s="280">
        <v>0</v>
      </c>
      <c r="N1108" s="281">
        <v>348</v>
      </c>
      <c r="O1108" s="282">
        <v>583</v>
      </c>
      <c r="P1108" s="280">
        <f t="shared" si="35"/>
        <v>28871.550488505749</v>
      </c>
    </row>
    <row r="1109" spans="1:16" x14ac:dyDescent="0.2">
      <c r="A1109" s="32" t="s">
        <v>657</v>
      </c>
      <c r="B1109" s="32" t="s">
        <v>635</v>
      </c>
      <c r="C1109" s="32" t="s">
        <v>636</v>
      </c>
      <c r="D1109" s="32" t="s">
        <v>608</v>
      </c>
      <c r="E1109" s="32" t="s">
        <v>494</v>
      </c>
      <c r="F1109" s="32" t="s">
        <v>584</v>
      </c>
      <c r="G1109" s="32" t="str">
        <f t="shared" si="34"/>
        <v>2" ST STUB</v>
      </c>
      <c r="H1109" s="278" t="s">
        <v>473</v>
      </c>
      <c r="I1109" s="32" t="s">
        <v>462</v>
      </c>
      <c r="J1109" s="279">
        <v>15</v>
      </c>
      <c r="K1109" s="280">
        <v>30954.43</v>
      </c>
      <c r="L1109" s="280">
        <v>30954.43</v>
      </c>
      <c r="M1109" s="280">
        <v>0</v>
      </c>
      <c r="N1109" s="281">
        <v>356</v>
      </c>
      <c r="O1109" s="282">
        <v>583</v>
      </c>
      <c r="P1109" s="280">
        <f t="shared" si="35"/>
        <v>50692.22665730337</v>
      </c>
    </row>
    <row r="1110" spans="1:16" x14ac:dyDescent="0.2">
      <c r="A1110" s="32" t="s">
        <v>657</v>
      </c>
      <c r="B1110" s="32" t="s">
        <v>635</v>
      </c>
      <c r="C1110" s="32" t="s">
        <v>636</v>
      </c>
      <c r="D1110" s="32" t="s">
        <v>608</v>
      </c>
      <c r="E1110" s="32" t="s">
        <v>494</v>
      </c>
      <c r="F1110" s="32" t="s">
        <v>584</v>
      </c>
      <c r="G1110" s="32" t="str">
        <f t="shared" si="34"/>
        <v>2" ST STUB</v>
      </c>
      <c r="H1110" s="278" t="s">
        <v>479</v>
      </c>
      <c r="I1110" s="32" t="s">
        <v>462</v>
      </c>
      <c r="J1110" s="279">
        <v>7</v>
      </c>
      <c r="K1110" s="280">
        <v>11563.88</v>
      </c>
      <c r="L1110" s="280">
        <v>11563.88</v>
      </c>
      <c r="M1110" s="280">
        <v>0</v>
      </c>
      <c r="N1110" s="281">
        <v>362</v>
      </c>
      <c r="O1110" s="282">
        <v>583</v>
      </c>
      <c r="P1110" s="280">
        <f t="shared" si="35"/>
        <v>18623.59679558011</v>
      </c>
    </row>
    <row r="1111" spans="1:16" x14ac:dyDescent="0.2">
      <c r="A1111" s="32" t="s">
        <v>657</v>
      </c>
      <c r="B1111" s="32" t="s">
        <v>635</v>
      </c>
      <c r="C1111" s="32" t="s">
        <v>636</v>
      </c>
      <c r="D1111" s="32" t="s">
        <v>608</v>
      </c>
      <c r="E1111" s="32" t="s">
        <v>494</v>
      </c>
      <c r="F1111" s="32" t="s">
        <v>584</v>
      </c>
      <c r="G1111" s="32" t="str">
        <f t="shared" si="34"/>
        <v>2" ST STUB</v>
      </c>
      <c r="H1111" s="278" t="s">
        <v>480</v>
      </c>
      <c r="I1111" s="32" t="s">
        <v>462</v>
      </c>
      <c r="J1111" s="279">
        <v>4</v>
      </c>
      <c r="K1111" s="280">
        <v>10069.25</v>
      </c>
      <c r="L1111" s="280">
        <v>10069.25</v>
      </c>
      <c r="M1111" s="280">
        <v>0</v>
      </c>
      <c r="N1111" s="281">
        <v>371</v>
      </c>
      <c r="O1111" s="282">
        <v>583</v>
      </c>
      <c r="P1111" s="280">
        <f t="shared" si="35"/>
        <v>15823.107142857143</v>
      </c>
    </row>
    <row r="1112" spans="1:16" x14ac:dyDescent="0.2">
      <c r="A1112" s="32" t="s">
        <v>657</v>
      </c>
      <c r="B1112" s="32" t="s">
        <v>635</v>
      </c>
      <c r="C1112" s="32" t="s">
        <v>636</v>
      </c>
      <c r="D1112" s="32" t="s">
        <v>608</v>
      </c>
      <c r="E1112" s="32" t="s">
        <v>494</v>
      </c>
      <c r="F1112" s="32" t="s">
        <v>584</v>
      </c>
      <c r="G1112" s="32" t="str">
        <f t="shared" si="34"/>
        <v>2" ST STUB</v>
      </c>
      <c r="H1112" s="278" t="s">
        <v>472</v>
      </c>
      <c r="I1112" s="32" t="s">
        <v>462</v>
      </c>
      <c r="J1112" s="279">
        <v>6</v>
      </c>
      <c r="K1112" s="280">
        <v>11302.92</v>
      </c>
      <c r="L1112" s="280">
        <v>11302.92</v>
      </c>
      <c r="M1112" s="280">
        <v>0</v>
      </c>
      <c r="N1112" s="281">
        <v>380</v>
      </c>
      <c r="O1112" s="282">
        <v>583</v>
      </c>
      <c r="P1112" s="280">
        <f t="shared" si="35"/>
        <v>17341.058842105263</v>
      </c>
    </row>
    <row r="1113" spans="1:16" x14ac:dyDescent="0.2">
      <c r="A1113" s="32" t="s">
        <v>657</v>
      </c>
      <c r="B1113" s="32" t="s">
        <v>635</v>
      </c>
      <c r="C1113" s="32" t="s">
        <v>636</v>
      </c>
      <c r="D1113" s="32" t="s">
        <v>608</v>
      </c>
      <c r="E1113" s="32" t="s">
        <v>494</v>
      </c>
      <c r="F1113" s="32" t="s">
        <v>584</v>
      </c>
      <c r="G1113" s="32" t="str">
        <f t="shared" si="34"/>
        <v>2" ST STUB</v>
      </c>
      <c r="H1113" s="278" t="s">
        <v>478</v>
      </c>
      <c r="I1113" s="32" t="s">
        <v>462</v>
      </c>
      <c r="J1113" s="279">
        <v>4</v>
      </c>
      <c r="K1113" s="280">
        <v>19830.419999999998</v>
      </c>
      <c r="L1113" s="280">
        <v>19830.419999999998</v>
      </c>
      <c r="M1113" s="280">
        <v>0</v>
      </c>
      <c r="N1113" s="281">
        <v>386</v>
      </c>
      <c r="O1113" s="282">
        <v>583</v>
      </c>
      <c r="P1113" s="280">
        <f t="shared" si="35"/>
        <v>29951.12658031088</v>
      </c>
    </row>
    <row r="1114" spans="1:16" x14ac:dyDescent="0.2">
      <c r="A1114" s="32" t="s">
        <v>657</v>
      </c>
      <c r="B1114" s="32" t="s">
        <v>635</v>
      </c>
      <c r="C1114" s="32" t="s">
        <v>636</v>
      </c>
      <c r="D1114" s="32" t="s">
        <v>608</v>
      </c>
      <c r="E1114" s="32" t="s">
        <v>494</v>
      </c>
      <c r="F1114" s="32" t="s">
        <v>584</v>
      </c>
      <c r="G1114" s="32" t="str">
        <f t="shared" si="34"/>
        <v>2" ST STUB</v>
      </c>
      <c r="H1114" s="278" t="s">
        <v>475</v>
      </c>
      <c r="I1114" s="32" t="s">
        <v>462</v>
      </c>
      <c r="J1114" s="279">
        <v>4</v>
      </c>
      <c r="K1114" s="280">
        <v>6824.98</v>
      </c>
      <c r="L1114" s="280">
        <v>6824.98</v>
      </c>
      <c r="M1114" s="280">
        <v>0</v>
      </c>
      <c r="N1114" s="281">
        <v>397</v>
      </c>
      <c r="O1114" s="282">
        <v>583</v>
      </c>
      <c r="P1114" s="280">
        <f t="shared" si="35"/>
        <v>10022.577682619647</v>
      </c>
    </row>
    <row r="1115" spans="1:16" x14ac:dyDescent="0.2">
      <c r="A1115" s="32" t="s">
        <v>657</v>
      </c>
      <c r="B1115" s="32" t="s">
        <v>635</v>
      </c>
      <c r="C1115" s="32" t="s">
        <v>636</v>
      </c>
      <c r="D1115" s="32" t="s">
        <v>608</v>
      </c>
      <c r="E1115" s="32" t="s">
        <v>494</v>
      </c>
      <c r="F1115" s="32" t="s">
        <v>584</v>
      </c>
      <c r="G1115" s="32" t="str">
        <f t="shared" si="34"/>
        <v>2" ST STUB</v>
      </c>
      <c r="H1115" s="278" t="s">
        <v>471</v>
      </c>
      <c r="I1115" s="32" t="s">
        <v>462</v>
      </c>
      <c r="J1115" s="279">
        <v>4</v>
      </c>
      <c r="K1115" s="280">
        <v>21587.63</v>
      </c>
      <c r="L1115" s="280">
        <v>21587.63</v>
      </c>
      <c r="M1115" s="280">
        <v>0</v>
      </c>
      <c r="N1115" s="281">
        <v>402</v>
      </c>
      <c r="O1115" s="282">
        <v>583</v>
      </c>
      <c r="P1115" s="280">
        <f t="shared" si="35"/>
        <v>31307.433557213932</v>
      </c>
    </row>
    <row r="1116" spans="1:16" x14ac:dyDescent="0.2">
      <c r="A1116" s="32" t="s">
        <v>657</v>
      </c>
      <c r="B1116" s="32" t="s">
        <v>635</v>
      </c>
      <c r="C1116" s="32" t="s">
        <v>636</v>
      </c>
      <c r="D1116" s="32" t="s">
        <v>608</v>
      </c>
      <c r="E1116" s="32" t="s">
        <v>494</v>
      </c>
      <c r="F1116" s="32" t="s">
        <v>584</v>
      </c>
      <c r="G1116" s="32" t="str">
        <f t="shared" si="34"/>
        <v>2" ST STUB</v>
      </c>
      <c r="H1116" s="278" t="s">
        <v>476</v>
      </c>
      <c r="I1116" s="32" t="s">
        <v>462</v>
      </c>
      <c r="J1116" s="279">
        <v>6</v>
      </c>
      <c r="K1116" s="280">
        <v>23154.43</v>
      </c>
      <c r="L1116" s="280">
        <v>23154.43</v>
      </c>
      <c r="M1116" s="280">
        <v>0</v>
      </c>
      <c r="N1116" s="281">
        <v>432</v>
      </c>
      <c r="O1116" s="282">
        <v>583</v>
      </c>
      <c r="P1116" s="280">
        <f t="shared" si="35"/>
        <v>31247.76085648148</v>
      </c>
    </row>
    <row r="1117" spans="1:16" x14ac:dyDescent="0.2">
      <c r="A1117" s="32" t="s">
        <v>657</v>
      </c>
      <c r="B1117" s="32" t="s">
        <v>635</v>
      </c>
      <c r="C1117" s="32" t="s">
        <v>636</v>
      </c>
      <c r="D1117" s="32" t="s">
        <v>608</v>
      </c>
      <c r="E1117" s="32" t="s">
        <v>494</v>
      </c>
      <c r="F1117" s="32" t="s">
        <v>584</v>
      </c>
      <c r="G1117" s="32" t="str">
        <f t="shared" si="34"/>
        <v>2" ST STUB</v>
      </c>
      <c r="H1117" s="278" t="s">
        <v>474</v>
      </c>
      <c r="I1117" s="32" t="s">
        <v>462</v>
      </c>
      <c r="J1117" s="279">
        <v>2</v>
      </c>
      <c r="K1117" s="280">
        <v>-98.78</v>
      </c>
      <c r="L1117" s="280">
        <v>-98.78</v>
      </c>
      <c r="M1117" s="280">
        <v>0</v>
      </c>
      <c r="N1117" s="281">
        <v>489</v>
      </c>
      <c r="O1117" s="282">
        <v>583</v>
      </c>
      <c r="P1117" s="280">
        <f t="shared" si="35"/>
        <v>-117.76838445807772</v>
      </c>
    </row>
    <row r="1118" spans="1:16" x14ac:dyDescent="0.2">
      <c r="A1118" s="32" t="s">
        <v>657</v>
      </c>
      <c r="B1118" s="32" t="s">
        <v>635</v>
      </c>
      <c r="C1118" s="32" t="s">
        <v>636</v>
      </c>
      <c r="D1118" s="32" t="s">
        <v>608</v>
      </c>
      <c r="E1118" s="32" t="s">
        <v>494</v>
      </c>
      <c r="F1118" s="32" t="s">
        <v>584</v>
      </c>
      <c r="G1118" s="32" t="str">
        <f t="shared" si="34"/>
        <v>2" ST STUB</v>
      </c>
      <c r="H1118" s="278" t="s">
        <v>477</v>
      </c>
      <c r="I1118" s="32" t="s">
        <v>462</v>
      </c>
      <c r="J1118" s="279">
        <v>7</v>
      </c>
      <c r="K1118" s="280">
        <v>58145.29</v>
      </c>
      <c r="L1118" s="280">
        <v>58145.29</v>
      </c>
      <c r="M1118" s="280">
        <v>0</v>
      </c>
      <c r="N1118" s="281">
        <v>517</v>
      </c>
      <c r="O1118" s="282">
        <v>583</v>
      </c>
      <c r="P1118" s="280">
        <f t="shared" si="35"/>
        <v>65568.092978723405</v>
      </c>
    </row>
    <row r="1119" spans="1:16" x14ac:dyDescent="0.2">
      <c r="A1119" s="32" t="s">
        <v>657</v>
      </c>
      <c r="B1119" s="32" t="s">
        <v>635</v>
      </c>
      <c r="C1119" s="32" t="s">
        <v>636</v>
      </c>
      <c r="D1119" s="32" t="s">
        <v>608</v>
      </c>
      <c r="E1119" s="32" t="s">
        <v>494</v>
      </c>
      <c r="F1119" s="32" t="s">
        <v>584</v>
      </c>
      <c r="G1119" s="32" t="str">
        <f t="shared" si="34"/>
        <v>2" ST STUB</v>
      </c>
      <c r="H1119" s="278" t="s">
        <v>470</v>
      </c>
      <c r="I1119" s="32" t="s">
        <v>462</v>
      </c>
      <c r="J1119" s="279">
        <v>1</v>
      </c>
      <c r="K1119" s="280">
        <v>13120.79</v>
      </c>
      <c r="L1119" s="280">
        <v>13120.79</v>
      </c>
      <c r="M1119" s="280">
        <v>0</v>
      </c>
      <c r="N1119" s="281">
        <v>514</v>
      </c>
      <c r="O1119" s="282">
        <v>583</v>
      </c>
      <c r="P1119" s="280">
        <f t="shared" si="35"/>
        <v>14882.141186770428</v>
      </c>
    </row>
    <row r="1120" spans="1:16" x14ac:dyDescent="0.2">
      <c r="A1120" s="32" t="s">
        <v>657</v>
      </c>
      <c r="B1120" s="32" t="s">
        <v>635</v>
      </c>
      <c r="C1120" s="32" t="s">
        <v>636</v>
      </c>
      <c r="D1120" s="32" t="s">
        <v>608</v>
      </c>
      <c r="E1120" s="32" t="s">
        <v>494</v>
      </c>
      <c r="F1120" s="32" t="s">
        <v>584</v>
      </c>
      <c r="G1120" s="32" t="str">
        <f t="shared" si="34"/>
        <v>2" ST STUB</v>
      </c>
      <c r="H1120" s="278" t="s">
        <v>470</v>
      </c>
      <c r="I1120" s="32" t="s">
        <v>462</v>
      </c>
      <c r="J1120" s="279">
        <v>13</v>
      </c>
      <c r="K1120" s="280">
        <v>42890.76</v>
      </c>
      <c r="L1120" s="280">
        <v>42890.76</v>
      </c>
      <c r="M1120" s="280">
        <v>0</v>
      </c>
      <c r="N1120" s="281">
        <v>514</v>
      </c>
      <c r="O1120" s="282">
        <v>583</v>
      </c>
      <c r="P1120" s="280">
        <f t="shared" si="35"/>
        <v>48648.469027237355</v>
      </c>
    </row>
    <row r="1121" spans="1:16" x14ac:dyDescent="0.2">
      <c r="A1121" s="32" t="s">
        <v>657</v>
      </c>
      <c r="B1121" s="32" t="s">
        <v>635</v>
      </c>
      <c r="C1121" s="32" t="s">
        <v>636</v>
      </c>
      <c r="D1121" s="32" t="s">
        <v>608</v>
      </c>
      <c r="E1121" s="32" t="s">
        <v>494</v>
      </c>
      <c r="F1121" s="32" t="s">
        <v>584</v>
      </c>
      <c r="G1121" s="32" t="str">
        <f t="shared" si="34"/>
        <v>2" ST STUB</v>
      </c>
      <c r="H1121" s="278" t="s">
        <v>461</v>
      </c>
      <c r="I1121" s="32" t="s">
        <v>462</v>
      </c>
      <c r="J1121" s="279">
        <v>1</v>
      </c>
      <c r="K1121" s="280">
        <v>4042.09</v>
      </c>
      <c r="L1121" s="280">
        <v>4042.09</v>
      </c>
      <c r="M1121" s="280">
        <v>0</v>
      </c>
      <c r="N1121" s="281">
        <v>568</v>
      </c>
      <c r="O1121" s="282">
        <v>583</v>
      </c>
      <c r="P1121" s="280">
        <f t="shared" si="35"/>
        <v>4148.8353345070418</v>
      </c>
    </row>
    <row r="1122" spans="1:16" x14ac:dyDescent="0.2">
      <c r="A1122" s="32" t="s">
        <v>657</v>
      </c>
      <c r="B1122" s="32" t="s">
        <v>635</v>
      </c>
      <c r="C1122" s="32" t="s">
        <v>636</v>
      </c>
      <c r="D1122" s="32" t="s">
        <v>608</v>
      </c>
      <c r="E1122" s="32" t="s">
        <v>494</v>
      </c>
      <c r="F1122" s="32" t="s">
        <v>584</v>
      </c>
      <c r="G1122" s="32" t="str">
        <f t="shared" si="34"/>
        <v>2" ST STUB</v>
      </c>
      <c r="H1122" s="278" t="s">
        <v>461</v>
      </c>
      <c r="I1122" s="32" t="s">
        <v>462</v>
      </c>
      <c r="J1122" s="279">
        <v>4</v>
      </c>
      <c r="K1122" s="280">
        <v>49537.94</v>
      </c>
      <c r="L1122" s="280">
        <v>49537.94</v>
      </c>
      <c r="M1122" s="280">
        <v>0</v>
      </c>
      <c r="N1122" s="281">
        <v>568</v>
      </c>
      <c r="O1122" s="282">
        <v>583</v>
      </c>
      <c r="P1122" s="280">
        <f t="shared" si="35"/>
        <v>50846.160246478874</v>
      </c>
    </row>
    <row r="1123" spans="1:16" x14ac:dyDescent="0.2">
      <c r="A1123" s="32" t="s">
        <v>657</v>
      </c>
      <c r="B1123" s="32" t="s">
        <v>635</v>
      </c>
      <c r="C1123" s="32" t="s">
        <v>636</v>
      </c>
      <c r="D1123" s="32" t="s">
        <v>608</v>
      </c>
      <c r="E1123" s="32" t="s">
        <v>494</v>
      </c>
      <c r="F1123" s="32" t="s">
        <v>584</v>
      </c>
      <c r="G1123" s="32" t="str">
        <f t="shared" si="34"/>
        <v>2" ST STUB</v>
      </c>
      <c r="H1123" s="278" t="s">
        <v>468</v>
      </c>
      <c r="I1123" s="32" t="s">
        <v>462</v>
      </c>
      <c r="J1123" s="279">
        <v>3</v>
      </c>
      <c r="K1123" s="280">
        <v>43328.05</v>
      </c>
      <c r="L1123" s="280">
        <v>43328.05</v>
      </c>
      <c r="M1123" s="280">
        <v>0</v>
      </c>
      <c r="N1123" s="281">
        <v>561</v>
      </c>
      <c r="O1123" s="282">
        <v>583</v>
      </c>
      <c r="P1123" s="280">
        <f t="shared" si="35"/>
        <v>45027.189215686281</v>
      </c>
    </row>
    <row r="1124" spans="1:16" x14ac:dyDescent="0.2">
      <c r="A1124" s="32" t="s">
        <v>657</v>
      </c>
      <c r="B1124" s="32" t="s">
        <v>635</v>
      </c>
      <c r="C1124" s="32" t="s">
        <v>636</v>
      </c>
      <c r="D1124" s="32" t="s">
        <v>608</v>
      </c>
      <c r="E1124" s="32" t="s">
        <v>494</v>
      </c>
      <c r="F1124" s="32" t="s">
        <v>584</v>
      </c>
      <c r="G1124" s="32" t="str">
        <f t="shared" si="34"/>
        <v>2" ST STUB</v>
      </c>
      <c r="H1124" s="278" t="s">
        <v>469</v>
      </c>
      <c r="I1124" s="32" t="s">
        <v>462</v>
      </c>
      <c r="J1124" s="279">
        <v>5</v>
      </c>
      <c r="K1124" s="280">
        <v>58412.1</v>
      </c>
      <c r="L1124" s="280">
        <v>17944.68</v>
      </c>
      <c r="M1124" s="280">
        <v>40467.42</v>
      </c>
      <c r="N1124" s="281">
        <v>583</v>
      </c>
      <c r="O1124" s="282">
        <v>583</v>
      </c>
      <c r="P1124" s="280">
        <f t="shared" si="35"/>
        <v>58412.1</v>
      </c>
    </row>
    <row r="1125" spans="1:16" x14ac:dyDescent="0.2">
      <c r="A1125" s="32" t="s">
        <v>658</v>
      </c>
      <c r="B1125" s="32" t="s">
        <v>635</v>
      </c>
      <c r="C1125" s="32" t="s">
        <v>636</v>
      </c>
      <c r="D1125" s="32" t="s">
        <v>659</v>
      </c>
      <c r="E1125" s="32" t="s">
        <v>494</v>
      </c>
      <c r="F1125" s="32" t="s">
        <v>581</v>
      </c>
      <c r="G1125" s="32" t="str">
        <f t="shared" si="34"/>
        <v>3" ST EXTN</v>
      </c>
      <c r="H1125" s="278" t="s">
        <v>534</v>
      </c>
      <c r="I1125" s="32" t="s">
        <v>462</v>
      </c>
      <c r="J1125" s="279">
        <v>8</v>
      </c>
      <c r="K1125" s="280">
        <v>9163.3700000000008</v>
      </c>
      <c r="L1125" s="280">
        <v>9163.3700000000008</v>
      </c>
      <c r="M1125" s="280">
        <v>0</v>
      </c>
      <c r="N1125" s="281">
        <v>68</v>
      </c>
      <c r="O1125" s="282">
        <v>583</v>
      </c>
      <c r="P1125" s="280">
        <f t="shared" si="35"/>
        <v>78562.422205882365</v>
      </c>
    </row>
    <row r="1126" spans="1:16" x14ac:dyDescent="0.2">
      <c r="A1126" s="32" t="s">
        <v>658</v>
      </c>
      <c r="B1126" s="32" t="s">
        <v>635</v>
      </c>
      <c r="C1126" s="32" t="s">
        <v>636</v>
      </c>
      <c r="D1126" s="32" t="s">
        <v>659</v>
      </c>
      <c r="E1126" s="32" t="s">
        <v>494</v>
      </c>
      <c r="F1126" s="32" t="s">
        <v>581</v>
      </c>
      <c r="G1126" s="32" t="str">
        <f t="shared" si="34"/>
        <v>3" ST EXTN</v>
      </c>
      <c r="H1126" s="278" t="s">
        <v>532</v>
      </c>
      <c r="I1126" s="32" t="s">
        <v>462</v>
      </c>
      <c r="J1126" s="279">
        <v>2</v>
      </c>
      <c r="K1126" s="280">
        <v>3766.07</v>
      </c>
      <c r="L1126" s="280">
        <v>3766.07</v>
      </c>
      <c r="M1126" s="280">
        <v>0</v>
      </c>
      <c r="N1126" s="281">
        <v>71</v>
      </c>
      <c r="O1126" s="282">
        <v>583</v>
      </c>
      <c r="P1126" s="280">
        <f t="shared" si="35"/>
        <v>30924.208591549293</v>
      </c>
    </row>
    <row r="1127" spans="1:16" x14ac:dyDescent="0.2">
      <c r="A1127" s="32" t="s">
        <v>658</v>
      </c>
      <c r="B1127" s="32" t="s">
        <v>635</v>
      </c>
      <c r="C1127" s="32" t="s">
        <v>636</v>
      </c>
      <c r="D1127" s="32" t="s">
        <v>659</v>
      </c>
      <c r="E1127" s="32" t="s">
        <v>494</v>
      </c>
      <c r="F1127" s="32" t="s">
        <v>581</v>
      </c>
      <c r="G1127" s="32" t="str">
        <f t="shared" si="34"/>
        <v>3" ST EXTN</v>
      </c>
      <c r="H1127" s="278" t="s">
        <v>535</v>
      </c>
      <c r="I1127" s="32" t="s">
        <v>462</v>
      </c>
      <c r="J1127" s="279">
        <v>14</v>
      </c>
      <c r="K1127" s="280">
        <v>21275.95</v>
      </c>
      <c r="L1127" s="280">
        <v>21275.95</v>
      </c>
      <c r="M1127" s="280">
        <v>0</v>
      </c>
      <c r="N1127" s="281">
        <v>74</v>
      </c>
      <c r="O1127" s="282">
        <v>583</v>
      </c>
      <c r="P1127" s="280">
        <f t="shared" si="35"/>
        <v>167619.98445945946</v>
      </c>
    </row>
    <row r="1128" spans="1:16" x14ac:dyDescent="0.2">
      <c r="A1128" s="32" t="s">
        <v>658</v>
      </c>
      <c r="B1128" s="32" t="s">
        <v>635</v>
      </c>
      <c r="C1128" s="32" t="s">
        <v>636</v>
      </c>
      <c r="D1128" s="32" t="s">
        <v>659</v>
      </c>
      <c r="E1128" s="32" t="s">
        <v>494</v>
      </c>
      <c r="F1128" s="32" t="s">
        <v>581</v>
      </c>
      <c r="G1128" s="32" t="str">
        <f t="shared" si="34"/>
        <v>3" ST EXTN</v>
      </c>
      <c r="H1128" s="278" t="s">
        <v>533</v>
      </c>
      <c r="I1128" s="32" t="s">
        <v>462</v>
      </c>
      <c r="J1128" s="279">
        <v>17</v>
      </c>
      <c r="K1128" s="280">
        <v>23266.28</v>
      </c>
      <c r="L1128" s="280">
        <v>23266.28</v>
      </c>
      <c r="M1128" s="280">
        <v>0</v>
      </c>
      <c r="N1128" s="281">
        <v>78</v>
      </c>
      <c r="O1128" s="282">
        <v>583</v>
      </c>
      <c r="P1128" s="280">
        <f t="shared" si="35"/>
        <v>173900.52871794871</v>
      </c>
    </row>
    <row r="1129" spans="1:16" x14ac:dyDescent="0.2">
      <c r="A1129" s="32" t="s">
        <v>658</v>
      </c>
      <c r="B1129" s="32" t="s">
        <v>635</v>
      </c>
      <c r="C1129" s="32" t="s">
        <v>636</v>
      </c>
      <c r="D1129" s="32" t="s">
        <v>659</v>
      </c>
      <c r="E1129" s="32" t="s">
        <v>494</v>
      </c>
      <c r="F1129" s="32" t="s">
        <v>581</v>
      </c>
      <c r="G1129" s="32" t="str">
        <f t="shared" si="34"/>
        <v>3" ST EXTN</v>
      </c>
      <c r="H1129" s="278" t="s">
        <v>531</v>
      </c>
      <c r="I1129" s="32" t="s">
        <v>462</v>
      </c>
      <c r="J1129" s="279">
        <v>3</v>
      </c>
      <c r="K1129" s="280">
        <v>1137.0899999999999</v>
      </c>
      <c r="L1129" s="280">
        <v>1137.0899999999999</v>
      </c>
      <c r="M1129" s="280">
        <v>0</v>
      </c>
      <c r="N1129" s="281">
        <v>84</v>
      </c>
      <c r="O1129" s="282">
        <v>583</v>
      </c>
      <c r="P1129" s="280">
        <f t="shared" si="35"/>
        <v>7891.9460714285715</v>
      </c>
    </row>
    <row r="1130" spans="1:16" x14ac:dyDescent="0.2">
      <c r="A1130" s="32" t="s">
        <v>658</v>
      </c>
      <c r="B1130" s="32" t="s">
        <v>635</v>
      </c>
      <c r="C1130" s="32" t="s">
        <v>636</v>
      </c>
      <c r="D1130" s="32" t="s">
        <v>659</v>
      </c>
      <c r="E1130" s="32" t="s">
        <v>494</v>
      </c>
      <c r="F1130" s="32" t="s">
        <v>581</v>
      </c>
      <c r="G1130" s="32" t="str">
        <f t="shared" si="34"/>
        <v>3" ST EXTN</v>
      </c>
      <c r="H1130" s="278" t="s">
        <v>527</v>
      </c>
      <c r="I1130" s="32" t="s">
        <v>462</v>
      </c>
      <c r="J1130" s="279">
        <v>2</v>
      </c>
      <c r="K1130" s="280">
        <v>806.06</v>
      </c>
      <c r="L1130" s="280">
        <v>806.06</v>
      </c>
      <c r="M1130" s="280">
        <v>0</v>
      </c>
      <c r="N1130" s="281">
        <v>90</v>
      </c>
      <c r="O1130" s="282">
        <v>583</v>
      </c>
      <c r="P1130" s="280">
        <f t="shared" si="35"/>
        <v>5221.4775555555552</v>
      </c>
    </row>
    <row r="1131" spans="1:16" x14ac:dyDescent="0.2">
      <c r="A1131" s="32" t="s">
        <v>658</v>
      </c>
      <c r="B1131" s="32" t="s">
        <v>635</v>
      </c>
      <c r="C1131" s="32" t="s">
        <v>636</v>
      </c>
      <c r="D1131" s="32" t="s">
        <v>659</v>
      </c>
      <c r="E1131" s="32" t="s">
        <v>494</v>
      </c>
      <c r="F1131" s="32" t="s">
        <v>581</v>
      </c>
      <c r="G1131" s="32" t="str">
        <f t="shared" si="34"/>
        <v>3" ST EXTN</v>
      </c>
      <c r="H1131" s="278" t="s">
        <v>529</v>
      </c>
      <c r="I1131" s="32" t="s">
        <v>462</v>
      </c>
      <c r="J1131" s="279">
        <v>1</v>
      </c>
      <c r="K1131" s="280">
        <v>444.35</v>
      </c>
      <c r="L1131" s="280">
        <v>444.35</v>
      </c>
      <c r="M1131" s="280">
        <v>0</v>
      </c>
      <c r="N1131" s="281">
        <v>100</v>
      </c>
      <c r="O1131" s="282">
        <v>583</v>
      </c>
      <c r="P1131" s="280">
        <f t="shared" si="35"/>
        <v>2590.5605</v>
      </c>
    </row>
    <row r="1132" spans="1:16" x14ac:dyDescent="0.2">
      <c r="A1132" s="32" t="s">
        <v>660</v>
      </c>
      <c r="B1132" s="32" t="s">
        <v>640</v>
      </c>
      <c r="C1132" s="32" t="s">
        <v>641</v>
      </c>
      <c r="D1132" s="32" t="s">
        <v>659</v>
      </c>
      <c r="E1132" s="32" t="s">
        <v>494</v>
      </c>
      <c r="F1132" s="32" t="s">
        <v>581</v>
      </c>
      <c r="G1132" s="32" t="str">
        <f t="shared" si="34"/>
        <v>3" ST EXTN</v>
      </c>
      <c r="H1132" s="278" t="s">
        <v>499</v>
      </c>
      <c r="I1132" s="32" t="s">
        <v>462</v>
      </c>
      <c r="J1132" s="279">
        <v>358</v>
      </c>
      <c r="K1132" s="280">
        <v>29380.66</v>
      </c>
      <c r="L1132" s="280">
        <v>37186.28</v>
      </c>
      <c r="M1132" s="280">
        <v>-7805.62</v>
      </c>
      <c r="N1132" s="281">
        <v>37</v>
      </c>
      <c r="O1132" s="283">
        <v>583</v>
      </c>
      <c r="P1132" s="280">
        <f t="shared" si="35"/>
        <v>462943.91297297296</v>
      </c>
    </row>
    <row r="1133" spans="1:16" x14ac:dyDescent="0.2">
      <c r="A1133" s="32" t="s">
        <v>660</v>
      </c>
      <c r="B1133" s="32" t="s">
        <v>640</v>
      </c>
      <c r="C1133" s="32" t="s">
        <v>641</v>
      </c>
      <c r="D1133" s="32" t="s">
        <v>659</v>
      </c>
      <c r="E1133" s="32" t="s">
        <v>494</v>
      </c>
      <c r="F1133" s="32" t="s">
        <v>581</v>
      </c>
      <c r="G1133" s="32" t="str">
        <f t="shared" si="34"/>
        <v>3" ST EXTN</v>
      </c>
      <c r="H1133" s="278" t="s">
        <v>498</v>
      </c>
      <c r="I1133" s="32" t="s">
        <v>462</v>
      </c>
      <c r="J1133" s="279">
        <v>2</v>
      </c>
      <c r="K1133" s="280">
        <v>1054.69</v>
      </c>
      <c r="L1133" s="280">
        <v>1330.02</v>
      </c>
      <c r="M1133" s="280">
        <v>-275.33</v>
      </c>
      <c r="N1133" s="281">
        <v>39</v>
      </c>
      <c r="O1133" s="282">
        <v>583</v>
      </c>
      <c r="P1133" s="280">
        <f t="shared" si="35"/>
        <v>15766.263333333334</v>
      </c>
    </row>
    <row r="1134" spans="1:16" x14ac:dyDescent="0.2">
      <c r="A1134" s="32" t="s">
        <v>660</v>
      </c>
      <c r="B1134" s="32" t="s">
        <v>640</v>
      </c>
      <c r="C1134" s="32" t="s">
        <v>641</v>
      </c>
      <c r="D1134" s="32" t="s">
        <v>659</v>
      </c>
      <c r="E1134" s="32" t="s">
        <v>494</v>
      </c>
      <c r="F1134" s="32" t="s">
        <v>581</v>
      </c>
      <c r="G1134" s="32" t="str">
        <f t="shared" si="34"/>
        <v>3" ST EXTN</v>
      </c>
      <c r="H1134" s="278" t="s">
        <v>643</v>
      </c>
      <c r="I1134" s="32" t="s">
        <v>462</v>
      </c>
      <c r="J1134" s="279">
        <v>26</v>
      </c>
      <c r="K1134" s="280">
        <v>9907.2800000000007</v>
      </c>
      <c r="L1134" s="280">
        <v>12447.82</v>
      </c>
      <c r="M1134" s="280">
        <v>-2540.54</v>
      </c>
      <c r="N1134" s="281">
        <v>41</v>
      </c>
      <c r="O1134" s="282">
        <v>583</v>
      </c>
      <c r="P1134" s="280">
        <f t="shared" si="35"/>
        <v>140876.68878048781</v>
      </c>
    </row>
    <row r="1135" spans="1:16" x14ac:dyDescent="0.2">
      <c r="A1135" s="32" t="s">
        <v>660</v>
      </c>
      <c r="B1135" s="32" t="s">
        <v>640</v>
      </c>
      <c r="C1135" s="32" t="s">
        <v>641</v>
      </c>
      <c r="D1135" s="32" t="s">
        <v>659</v>
      </c>
      <c r="E1135" s="32" t="s">
        <v>494</v>
      </c>
      <c r="F1135" s="32" t="s">
        <v>581</v>
      </c>
      <c r="G1135" s="32" t="str">
        <f t="shared" si="34"/>
        <v>3" ST EXTN</v>
      </c>
      <c r="H1135" s="278" t="s">
        <v>495</v>
      </c>
      <c r="I1135" s="32" t="s">
        <v>462</v>
      </c>
      <c r="J1135" s="279">
        <v>40</v>
      </c>
      <c r="K1135" s="280">
        <v>26432.2</v>
      </c>
      <c r="L1135" s="280">
        <v>32965.99</v>
      </c>
      <c r="M1135" s="280">
        <v>-6533.79</v>
      </c>
      <c r="N1135" s="281">
        <v>48</v>
      </c>
      <c r="O1135" s="282">
        <v>583</v>
      </c>
      <c r="P1135" s="280">
        <f t="shared" si="35"/>
        <v>321041.09583333338</v>
      </c>
    </row>
    <row r="1136" spans="1:16" x14ac:dyDescent="0.2">
      <c r="A1136" s="32" t="s">
        <v>660</v>
      </c>
      <c r="B1136" s="32" t="s">
        <v>640</v>
      </c>
      <c r="C1136" s="32" t="s">
        <v>641</v>
      </c>
      <c r="D1136" s="32" t="s">
        <v>659</v>
      </c>
      <c r="E1136" s="32" t="s">
        <v>494</v>
      </c>
      <c r="F1136" s="32" t="s">
        <v>581</v>
      </c>
      <c r="G1136" s="32" t="str">
        <f t="shared" si="34"/>
        <v>3" ST EXTN</v>
      </c>
      <c r="H1136" s="278" t="s">
        <v>496</v>
      </c>
      <c r="I1136" s="32" t="s">
        <v>462</v>
      </c>
      <c r="J1136" s="279">
        <v>37</v>
      </c>
      <c r="K1136" s="280">
        <v>19501.62</v>
      </c>
      <c r="L1136" s="280">
        <v>24232.13</v>
      </c>
      <c r="M1136" s="280">
        <v>-4730.51</v>
      </c>
      <c r="N1136" s="281">
        <v>51</v>
      </c>
      <c r="O1136" s="282">
        <v>583</v>
      </c>
      <c r="P1136" s="280">
        <f t="shared" si="35"/>
        <v>222930.28352941177</v>
      </c>
    </row>
    <row r="1137" spans="1:16" x14ac:dyDescent="0.2">
      <c r="A1137" s="32" t="s">
        <v>660</v>
      </c>
      <c r="B1137" s="32" t="s">
        <v>640</v>
      </c>
      <c r="C1137" s="32" t="s">
        <v>641</v>
      </c>
      <c r="D1137" s="32" t="s">
        <v>659</v>
      </c>
      <c r="E1137" s="32" t="s">
        <v>494</v>
      </c>
      <c r="F1137" s="32" t="s">
        <v>581</v>
      </c>
      <c r="G1137" s="32" t="str">
        <f t="shared" si="34"/>
        <v>3" ST EXTN</v>
      </c>
      <c r="H1137" s="278" t="s">
        <v>506</v>
      </c>
      <c r="I1137" s="32" t="s">
        <v>462</v>
      </c>
      <c r="J1137" s="279">
        <v>40</v>
      </c>
      <c r="K1137" s="280">
        <v>24614.07</v>
      </c>
      <c r="L1137" s="280">
        <v>30470.98</v>
      </c>
      <c r="M1137" s="280">
        <v>-5856.91</v>
      </c>
      <c r="N1137" s="281">
        <v>53</v>
      </c>
      <c r="O1137" s="282">
        <v>583</v>
      </c>
      <c r="P1137" s="280">
        <f t="shared" si="35"/>
        <v>270754.77</v>
      </c>
    </row>
    <row r="1138" spans="1:16" x14ac:dyDescent="0.2">
      <c r="A1138" s="32" t="s">
        <v>660</v>
      </c>
      <c r="B1138" s="32" t="s">
        <v>640</v>
      </c>
      <c r="C1138" s="32" t="s">
        <v>641</v>
      </c>
      <c r="D1138" s="32" t="s">
        <v>659</v>
      </c>
      <c r="E1138" s="32" t="s">
        <v>494</v>
      </c>
      <c r="F1138" s="32" t="s">
        <v>581</v>
      </c>
      <c r="G1138" s="32" t="str">
        <f t="shared" si="34"/>
        <v>3" ST EXTN</v>
      </c>
      <c r="H1138" s="278" t="s">
        <v>507</v>
      </c>
      <c r="I1138" s="32" t="s">
        <v>462</v>
      </c>
      <c r="J1138" s="279">
        <v>25</v>
      </c>
      <c r="K1138" s="280">
        <v>17162.52</v>
      </c>
      <c r="L1138" s="280">
        <v>21167.040000000001</v>
      </c>
      <c r="M1138" s="280">
        <v>-4004.52</v>
      </c>
      <c r="N1138" s="281">
        <v>57</v>
      </c>
      <c r="O1138" s="282">
        <v>583</v>
      </c>
      <c r="P1138" s="280">
        <f t="shared" si="35"/>
        <v>175539.4589473684</v>
      </c>
    </row>
    <row r="1139" spans="1:16" x14ac:dyDescent="0.2">
      <c r="A1139" s="32" t="s">
        <v>660</v>
      </c>
      <c r="B1139" s="32" t="s">
        <v>640</v>
      </c>
      <c r="C1139" s="32" t="s">
        <v>641</v>
      </c>
      <c r="D1139" s="32" t="s">
        <v>659</v>
      </c>
      <c r="E1139" s="32" t="s">
        <v>494</v>
      </c>
      <c r="F1139" s="32" t="s">
        <v>581</v>
      </c>
      <c r="G1139" s="32" t="str">
        <f t="shared" si="34"/>
        <v>3" ST EXTN</v>
      </c>
      <c r="H1139" s="278" t="s">
        <v>508</v>
      </c>
      <c r="I1139" s="32" t="s">
        <v>462</v>
      </c>
      <c r="J1139" s="279">
        <v>26</v>
      </c>
      <c r="K1139" s="280">
        <v>18273.77</v>
      </c>
      <c r="L1139" s="280">
        <v>22453.15</v>
      </c>
      <c r="M1139" s="280">
        <v>-4179.38</v>
      </c>
      <c r="N1139" s="281">
        <v>59</v>
      </c>
      <c r="O1139" s="282">
        <v>583</v>
      </c>
      <c r="P1139" s="280">
        <f t="shared" si="35"/>
        <v>180569.62559322032</v>
      </c>
    </row>
    <row r="1140" spans="1:16" x14ac:dyDescent="0.2">
      <c r="A1140" s="32" t="s">
        <v>660</v>
      </c>
      <c r="B1140" s="32" t="s">
        <v>640</v>
      </c>
      <c r="C1140" s="32" t="s">
        <v>641</v>
      </c>
      <c r="D1140" s="32" t="s">
        <v>659</v>
      </c>
      <c r="E1140" s="32" t="s">
        <v>494</v>
      </c>
      <c r="F1140" s="32" t="s">
        <v>581</v>
      </c>
      <c r="G1140" s="32" t="str">
        <f t="shared" si="34"/>
        <v>3" ST EXTN</v>
      </c>
      <c r="H1140" s="278" t="s">
        <v>510</v>
      </c>
      <c r="I1140" s="32" t="s">
        <v>462</v>
      </c>
      <c r="J1140" s="279">
        <v>39</v>
      </c>
      <c r="K1140" s="280">
        <v>23736.01</v>
      </c>
      <c r="L1140" s="280">
        <v>29054.98</v>
      </c>
      <c r="M1140" s="280">
        <v>-5318.97</v>
      </c>
      <c r="N1140" s="281">
        <v>60</v>
      </c>
      <c r="O1140" s="282">
        <v>583</v>
      </c>
      <c r="P1140" s="280">
        <f t="shared" si="35"/>
        <v>230634.89716666666</v>
      </c>
    </row>
    <row r="1141" spans="1:16" x14ac:dyDescent="0.2">
      <c r="A1141" s="32" t="s">
        <v>660</v>
      </c>
      <c r="B1141" s="32" t="s">
        <v>640</v>
      </c>
      <c r="C1141" s="32" t="s">
        <v>641</v>
      </c>
      <c r="D1141" s="32" t="s">
        <v>659</v>
      </c>
      <c r="E1141" s="32" t="s">
        <v>494</v>
      </c>
      <c r="F1141" s="32" t="s">
        <v>581</v>
      </c>
      <c r="G1141" s="32" t="str">
        <f t="shared" si="34"/>
        <v>3" ST EXTN</v>
      </c>
      <c r="H1141" s="278" t="s">
        <v>511</v>
      </c>
      <c r="I1141" s="32" t="s">
        <v>462</v>
      </c>
      <c r="J1141" s="279">
        <v>18</v>
      </c>
      <c r="K1141" s="280">
        <v>11964.6</v>
      </c>
      <c r="L1141" s="280">
        <v>14590.45</v>
      </c>
      <c r="M1141" s="280">
        <v>-2625.85</v>
      </c>
      <c r="N1141" s="281">
        <v>61</v>
      </c>
      <c r="O1141" s="282">
        <v>583</v>
      </c>
      <c r="P1141" s="280">
        <f t="shared" si="35"/>
        <v>114350.19344262296</v>
      </c>
    </row>
    <row r="1142" spans="1:16" x14ac:dyDescent="0.2">
      <c r="A1142" s="32" t="s">
        <v>660</v>
      </c>
      <c r="B1142" s="32" t="s">
        <v>640</v>
      </c>
      <c r="C1142" s="32" t="s">
        <v>641</v>
      </c>
      <c r="D1142" s="32" t="s">
        <v>659</v>
      </c>
      <c r="E1142" s="32" t="s">
        <v>494</v>
      </c>
      <c r="F1142" s="32" t="s">
        <v>581</v>
      </c>
      <c r="G1142" s="32" t="str">
        <f t="shared" si="34"/>
        <v>3" ST EXTN</v>
      </c>
      <c r="H1142" s="278" t="s">
        <v>509</v>
      </c>
      <c r="I1142" s="32" t="s">
        <v>462</v>
      </c>
      <c r="J1142" s="279">
        <v>20</v>
      </c>
      <c r="K1142" s="280">
        <v>16653.150000000001</v>
      </c>
      <c r="L1142" s="280">
        <v>20231.04</v>
      </c>
      <c r="M1142" s="280">
        <v>-3577.89</v>
      </c>
      <c r="N1142" s="281">
        <v>63</v>
      </c>
      <c r="O1142" s="282">
        <v>583</v>
      </c>
      <c r="P1142" s="280">
        <f t="shared" si="35"/>
        <v>154107.72142857144</v>
      </c>
    </row>
    <row r="1143" spans="1:16" x14ac:dyDescent="0.2">
      <c r="A1143" s="32" t="s">
        <v>661</v>
      </c>
      <c r="B1143" s="32" t="s">
        <v>635</v>
      </c>
      <c r="C1143" s="32" t="s">
        <v>636</v>
      </c>
      <c r="D1143" s="32" t="s">
        <v>659</v>
      </c>
      <c r="E1143" s="32" t="s">
        <v>494</v>
      </c>
      <c r="F1143" s="32" t="s">
        <v>584</v>
      </c>
      <c r="G1143" s="32" t="str">
        <f t="shared" si="34"/>
        <v>3" ST STUB</v>
      </c>
      <c r="H1143" s="278" t="s">
        <v>534</v>
      </c>
      <c r="I1143" s="32" t="s">
        <v>462</v>
      </c>
      <c r="J1143" s="279">
        <v>9</v>
      </c>
      <c r="K1143" s="280">
        <v>3812.93</v>
      </c>
      <c r="L1143" s="280">
        <v>3812.93</v>
      </c>
      <c r="M1143" s="280">
        <v>0</v>
      </c>
      <c r="N1143" s="281">
        <v>68</v>
      </c>
      <c r="O1143" s="282">
        <v>583</v>
      </c>
      <c r="P1143" s="280">
        <f t="shared" si="35"/>
        <v>32690.267500000002</v>
      </c>
    </row>
    <row r="1144" spans="1:16" x14ac:dyDescent="0.2">
      <c r="A1144" s="32" t="s">
        <v>661</v>
      </c>
      <c r="B1144" s="32" t="s">
        <v>635</v>
      </c>
      <c r="C1144" s="32" t="s">
        <v>636</v>
      </c>
      <c r="D1144" s="32" t="s">
        <v>659</v>
      </c>
      <c r="E1144" s="32" t="s">
        <v>494</v>
      </c>
      <c r="F1144" s="32" t="s">
        <v>584</v>
      </c>
      <c r="G1144" s="32" t="str">
        <f t="shared" si="34"/>
        <v>3" ST STUB</v>
      </c>
      <c r="H1144" s="278" t="s">
        <v>532</v>
      </c>
      <c r="I1144" s="32" t="s">
        <v>462</v>
      </c>
      <c r="J1144" s="279">
        <v>4</v>
      </c>
      <c r="K1144" s="280">
        <v>2785.67</v>
      </c>
      <c r="L1144" s="280">
        <v>2785.67</v>
      </c>
      <c r="M1144" s="280">
        <v>0</v>
      </c>
      <c r="N1144" s="281">
        <v>71</v>
      </c>
      <c r="O1144" s="282">
        <v>583</v>
      </c>
      <c r="P1144" s="280">
        <f t="shared" si="35"/>
        <v>22873.881830985913</v>
      </c>
    </row>
    <row r="1145" spans="1:16" x14ac:dyDescent="0.2">
      <c r="A1145" s="32" t="s">
        <v>661</v>
      </c>
      <c r="B1145" s="32" t="s">
        <v>635</v>
      </c>
      <c r="C1145" s="32" t="s">
        <v>636</v>
      </c>
      <c r="D1145" s="32" t="s">
        <v>659</v>
      </c>
      <c r="E1145" s="32" t="s">
        <v>494</v>
      </c>
      <c r="F1145" s="32" t="s">
        <v>584</v>
      </c>
      <c r="G1145" s="32" t="str">
        <f t="shared" si="34"/>
        <v>3" ST STUB</v>
      </c>
      <c r="H1145" s="278" t="s">
        <v>535</v>
      </c>
      <c r="I1145" s="32" t="s">
        <v>462</v>
      </c>
      <c r="J1145" s="279">
        <v>15</v>
      </c>
      <c r="K1145" s="280">
        <v>8431.2999999999993</v>
      </c>
      <c r="L1145" s="280">
        <v>8431.2999999999993</v>
      </c>
      <c r="M1145" s="280">
        <v>0</v>
      </c>
      <c r="N1145" s="281">
        <v>74</v>
      </c>
      <c r="O1145" s="282">
        <v>583</v>
      </c>
      <c r="P1145" s="280">
        <f t="shared" si="35"/>
        <v>66424.971621621618</v>
      </c>
    </row>
    <row r="1146" spans="1:16" x14ac:dyDescent="0.2">
      <c r="A1146" s="32" t="s">
        <v>661</v>
      </c>
      <c r="B1146" s="32" t="s">
        <v>635</v>
      </c>
      <c r="C1146" s="32" t="s">
        <v>636</v>
      </c>
      <c r="D1146" s="32" t="s">
        <v>659</v>
      </c>
      <c r="E1146" s="32" t="s">
        <v>494</v>
      </c>
      <c r="F1146" s="32" t="s">
        <v>584</v>
      </c>
      <c r="G1146" s="32" t="str">
        <f t="shared" si="34"/>
        <v>3" ST STUB</v>
      </c>
      <c r="H1146" s="278" t="s">
        <v>533</v>
      </c>
      <c r="I1146" s="32" t="s">
        <v>462</v>
      </c>
      <c r="J1146" s="279">
        <v>18</v>
      </c>
      <c r="K1146" s="280">
        <v>9111.52</v>
      </c>
      <c r="L1146" s="280">
        <v>9111.52</v>
      </c>
      <c r="M1146" s="280">
        <v>0</v>
      </c>
      <c r="N1146" s="281">
        <v>78</v>
      </c>
      <c r="O1146" s="282">
        <v>583</v>
      </c>
      <c r="P1146" s="280">
        <f t="shared" si="35"/>
        <v>68102.771282051282</v>
      </c>
    </row>
    <row r="1147" spans="1:16" x14ac:dyDescent="0.2">
      <c r="A1147" s="32" t="s">
        <v>661</v>
      </c>
      <c r="B1147" s="32" t="s">
        <v>635</v>
      </c>
      <c r="C1147" s="32" t="s">
        <v>636</v>
      </c>
      <c r="D1147" s="32" t="s">
        <v>659</v>
      </c>
      <c r="E1147" s="32" t="s">
        <v>494</v>
      </c>
      <c r="F1147" s="32" t="s">
        <v>584</v>
      </c>
      <c r="G1147" s="32" t="str">
        <f t="shared" si="34"/>
        <v>3" ST STUB</v>
      </c>
      <c r="H1147" s="278" t="s">
        <v>531</v>
      </c>
      <c r="I1147" s="32" t="s">
        <v>462</v>
      </c>
      <c r="J1147" s="279">
        <v>4</v>
      </c>
      <c r="K1147" s="280">
        <v>560.76</v>
      </c>
      <c r="L1147" s="280">
        <v>560.76</v>
      </c>
      <c r="M1147" s="280">
        <v>0</v>
      </c>
      <c r="N1147" s="281">
        <v>84</v>
      </c>
      <c r="O1147" s="282">
        <v>583</v>
      </c>
      <c r="P1147" s="280">
        <f t="shared" si="35"/>
        <v>3891.9414285714288</v>
      </c>
    </row>
    <row r="1148" spans="1:16" x14ac:dyDescent="0.2">
      <c r="A1148" s="32" t="s">
        <v>661</v>
      </c>
      <c r="B1148" s="32" t="s">
        <v>635</v>
      </c>
      <c r="C1148" s="32" t="s">
        <v>636</v>
      </c>
      <c r="D1148" s="32" t="s">
        <v>659</v>
      </c>
      <c r="E1148" s="32" t="s">
        <v>494</v>
      </c>
      <c r="F1148" s="32" t="s">
        <v>584</v>
      </c>
      <c r="G1148" s="32" t="str">
        <f t="shared" si="34"/>
        <v>3" ST STUB</v>
      </c>
      <c r="H1148" s="278" t="s">
        <v>527</v>
      </c>
      <c r="I1148" s="32" t="s">
        <v>462</v>
      </c>
      <c r="J1148" s="279">
        <v>3</v>
      </c>
      <c r="K1148" s="280">
        <v>447.06</v>
      </c>
      <c r="L1148" s="280">
        <v>447.06</v>
      </c>
      <c r="M1148" s="280">
        <v>0</v>
      </c>
      <c r="N1148" s="281">
        <v>90</v>
      </c>
      <c r="O1148" s="282">
        <v>583</v>
      </c>
      <c r="P1148" s="280">
        <f t="shared" si="35"/>
        <v>2895.9553333333333</v>
      </c>
    </row>
    <row r="1149" spans="1:16" x14ac:dyDescent="0.2">
      <c r="A1149" s="32" t="s">
        <v>661</v>
      </c>
      <c r="B1149" s="32" t="s">
        <v>635</v>
      </c>
      <c r="C1149" s="32" t="s">
        <v>636</v>
      </c>
      <c r="D1149" s="32" t="s">
        <v>659</v>
      </c>
      <c r="E1149" s="32" t="s">
        <v>494</v>
      </c>
      <c r="F1149" s="32" t="s">
        <v>584</v>
      </c>
      <c r="G1149" s="32" t="str">
        <f t="shared" si="34"/>
        <v>3" ST STUB</v>
      </c>
      <c r="H1149" s="278" t="s">
        <v>529</v>
      </c>
      <c r="I1149" s="32" t="s">
        <v>462</v>
      </c>
      <c r="J1149" s="279">
        <v>1</v>
      </c>
      <c r="K1149" s="280">
        <v>164.38</v>
      </c>
      <c r="L1149" s="280">
        <v>164.38</v>
      </c>
      <c r="M1149" s="280">
        <v>0</v>
      </c>
      <c r="N1149" s="281">
        <v>100</v>
      </c>
      <c r="O1149" s="282">
        <v>583</v>
      </c>
      <c r="P1149" s="280">
        <f t="shared" si="35"/>
        <v>958.33539999999994</v>
      </c>
    </row>
    <row r="1150" spans="1:16" x14ac:dyDescent="0.2">
      <c r="A1150" s="32" t="s">
        <v>662</v>
      </c>
      <c r="B1150" s="32" t="s">
        <v>640</v>
      </c>
      <c r="C1150" s="32" t="s">
        <v>641</v>
      </c>
      <c r="D1150" s="32" t="s">
        <v>659</v>
      </c>
      <c r="E1150" s="32" t="s">
        <v>494</v>
      </c>
      <c r="F1150" s="32" t="s">
        <v>584</v>
      </c>
      <c r="G1150" s="32" t="str">
        <f t="shared" si="34"/>
        <v>3" ST STUB</v>
      </c>
      <c r="H1150" s="278" t="s">
        <v>499</v>
      </c>
      <c r="I1150" s="32" t="s">
        <v>462</v>
      </c>
      <c r="J1150" s="279">
        <v>451</v>
      </c>
      <c r="K1150" s="280">
        <v>17750.150000000001</v>
      </c>
      <c r="L1150" s="280">
        <v>22465.87</v>
      </c>
      <c r="M1150" s="280">
        <v>-4715.72</v>
      </c>
      <c r="N1150" s="281">
        <v>37</v>
      </c>
      <c r="O1150" s="282">
        <v>583</v>
      </c>
      <c r="P1150" s="280">
        <f t="shared" si="35"/>
        <v>279684.79594594595</v>
      </c>
    </row>
    <row r="1151" spans="1:16" x14ac:dyDescent="0.2">
      <c r="A1151" s="32" t="s">
        <v>662</v>
      </c>
      <c r="B1151" s="32" t="s">
        <v>640</v>
      </c>
      <c r="C1151" s="32" t="s">
        <v>641</v>
      </c>
      <c r="D1151" s="32" t="s">
        <v>659</v>
      </c>
      <c r="E1151" s="32" t="s">
        <v>494</v>
      </c>
      <c r="F1151" s="32" t="s">
        <v>584</v>
      </c>
      <c r="G1151" s="32" t="str">
        <f t="shared" si="34"/>
        <v>3" ST STUB</v>
      </c>
      <c r="H1151" s="278" t="s">
        <v>643</v>
      </c>
      <c r="I1151" s="32" t="s">
        <v>462</v>
      </c>
      <c r="J1151" s="279">
        <v>26</v>
      </c>
      <c r="K1151" s="280">
        <v>3664.33</v>
      </c>
      <c r="L1151" s="280">
        <v>4603.9799999999996</v>
      </c>
      <c r="M1151" s="280">
        <v>-939.65</v>
      </c>
      <c r="N1151" s="281">
        <v>41</v>
      </c>
      <c r="O1151" s="282">
        <v>583</v>
      </c>
      <c r="P1151" s="280">
        <f t="shared" si="35"/>
        <v>52104.985121951213</v>
      </c>
    </row>
    <row r="1152" spans="1:16" x14ac:dyDescent="0.2">
      <c r="A1152" s="32" t="s">
        <v>662</v>
      </c>
      <c r="B1152" s="32" t="s">
        <v>640</v>
      </c>
      <c r="C1152" s="32" t="s">
        <v>641</v>
      </c>
      <c r="D1152" s="32" t="s">
        <v>659</v>
      </c>
      <c r="E1152" s="32" t="s">
        <v>494</v>
      </c>
      <c r="F1152" s="32" t="s">
        <v>584</v>
      </c>
      <c r="G1152" s="32" t="str">
        <f t="shared" si="34"/>
        <v>3" ST STUB</v>
      </c>
      <c r="H1152" s="278" t="s">
        <v>495</v>
      </c>
      <c r="I1152" s="32" t="s">
        <v>462</v>
      </c>
      <c r="J1152" s="279">
        <v>39</v>
      </c>
      <c r="K1152" s="280">
        <v>9531.89</v>
      </c>
      <c r="L1152" s="280">
        <v>11888.08</v>
      </c>
      <c r="M1152" s="280">
        <v>-2356.19</v>
      </c>
      <c r="N1152" s="281">
        <v>48</v>
      </c>
      <c r="O1152" s="282">
        <v>583</v>
      </c>
      <c r="P1152" s="280">
        <f t="shared" si="35"/>
        <v>115772.74729166666</v>
      </c>
    </row>
    <row r="1153" spans="1:16" x14ac:dyDescent="0.2">
      <c r="A1153" s="32" t="s">
        <v>662</v>
      </c>
      <c r="B1153" s="32" t="s">
        <v>640</v>
      </c>
      <c r="C1153" s="32" t="s">
        <v>641</v>
      </c>
      <c r="D1153" s="32" t="s">
        <v>659</v>
      </c>
      <c r="E1153" s="32" t="s">
        <v>494</v>
      </c>
      <c r="F1153" s="32" t="s">
        <v>584</v>
      </c>
      <c r="G1153" s="32" t="str">
        <f t="shared" si="34"/>
        <v>3" ST STUB</v>
      </c>
      <c r="H1153" s="278" t="s">
        <v>496</v>
      </c>
      <c r="I1153" s="32" t="s">
        <v>462</v>
      </c>
      <c r="J1153" s="279">
        <v>37</v>
      </c>
      <c r="K1153" s="280">
        <v>7212.97</v>
      </c>
      <c r="L1153" s="280">
        <v>8962.6200000000008</v>
      </c>
      <c r="M1153" s="280">
        <v>-1749.65</v>
      </c>
      <c r="N1153" s="281">
        <v>51</v>
      </c>
      <c r="O1153" s="282">
        <v>583</v>
      </c>
      <c r="P1153" s="280">
        <f t="shared" si="35"/>
        <v>82454.147254901967</v>
      </c>
    </row>
    <row r="1154" spans="1:16" x14ac:dyDescent="0.2">
      <c r="A1154" s="32" t="s">
        <v>662</v>
      </c>
      <c r="B1154" s="32" t="s">
        <v>640</v>
      </c>
      <c r="C1154" s="32" t="s">
        <v>641</v>
      </c>
      <c r="D1154" s="32" t="s">
        <v>659</v>
      </c>
      <c r="E1154" s="32" t="s">
        <v>494</v>
      </c>
      <c r="F1154" s="32" t="s">
        <v>584</v>
      </c>
      <c r="G1154" s="32" t="str">
        <f t="shared" ref="G1154:G1217" si="36">D1154&amp;" "&amp;E1154&amp;" "&amp;F1154</f>
        <v>3" ST STUB</v>
      </c>
      <c r="H1154" s="278" t="s">
        <v>506</v>
      </c>
      <c r="I1154" s="32" t="s">
        <v>462</v>
      </c>
      <c r="J1154" s="279">
        <v>40</v>
      </c>
      <c r="K1154" s="280">
        <v>9103.83</v>
      </c>
      <c r="L1154" s="280">
        <v>11270.08</v>
      </c>
      <c r="M1154" s="280">
        <v>-2166.25</v>
      </c>
      <c r="N1154" s="281">
        <v>53</v>
      </c>
      <c r="O1154" s="282">
        <v>583</v>
      </c>
      <c r="P1154" s="280">
        <f t="shared" ref="P1154:P1217" si="37">+(O1154/N1154)*K1154</f>
        <v>100142.13</v>
      </c>
    </row>
    <row r="1155" spans="1:16" x14ac:dyDescent="0.2">
      <c r="A1155" s="32" t="s">
        <v>662</v>
      </c>
      <c r="B1155" s="32" t="s">
        <v>640</v>
      </c>
      <c r="C1155" s="32" t="s">
        <v>641</v>
      </c>
      <c r="D1155" s="32" t="s">
        <v>659</v>
      </c>
      <c r="E1155" s="32" t="s">
        <v>494</v>
      </c>
      <c r="F1155" s="32" t="s">
        <v>584</v>
      </c>
      <c r="G1155" s="32" t="str">
        <f t="shared" si="36"/>
        <v>3" ST STUB</v>
      </c>
      <c r="H1155" s="278" t="s">
        <v>507</v>
      </c>
      <c r="I1155" s="32" t="s">
        <v>462</v>
      </c>
      <c r="J1155" s="279">
        <v>24</v>
      </c>
      <c r="K1155" s="280">
        <v>6093.94</v>
      </c>
      <c r="L1155" s="280">
        <v>7515.84</v>
      </c>
      <c r="M1155" s="280">
        <v>-1421.9</v>
      </c>
      <c r="N1155" s="281">
        <v>57</v>
      </c>
      <c r="O1155" s="282">
        <v>583</v>
      </c>
      <c r="P1155" s="280">
        <f t="shared" si="37"/>
        <v>62329.245964912276</v>
      </c>
    </row>
    <row r="1156" spans="1:16" x14ac:dyDescent="0.2">
      <c r="A1156" s="32" t="s">
        <v>662</v>
      </c>
      <c r="B1156" s="32" t="s">
        <v>640</v>
      </c>
      <c r="C1156" s="32" t="s">
        <v>641</v>
      </c>
      <c r="D1156" s="32" t="s">
        <v>659</v>
      </c>
      <c r="E1156" s="32" t="s">
        <v>494</v>
      </c>
      <c r="F1156" s="32" t="s">
        <v>584</v>
      </c>
      <c r="G1156" s="32" t="str">
        <f t="shared" si="36"/>
        <v>3" ST STUB</v>
      </c>
      <c r="H1156" s="278" t="s">
        <v>508</v>
      </c>
      <c r="I1156" s="32" t="s">
        <v>462</v>
      </c>
      <c r="J1156" s="279">
        <v>27</v>
      </c>
      <c r="K1156" s="280">
        <v>7018.75</v>
      </c>
      <c r="L1156" s="280">
        <v>8624</v>
      </c>
      <c r="M1156" s="280">
        <v>-1605.25</v>
      </c>
      <c r="N1156" s="281">
        <v>59</v>
      </c>
      <c r="O1156" s="282">
        <v>583</v>
      </c>
      <c r="P1156" s="280">
        <f t="shared" si="37"/>
        <v>69354.766949152545</v>
      </c>
    </row>
    <row r="1157" spans="1:16" x14ac:dyDescent="0.2">
      <c r="A1157" s="32" t="s">
        <v>662</v>
      </c>
      <c r="B1157" s="32" t="s">
        <v>640</v>
      </c>
      <c r="C1157" s="32" t="s">
        <v>641</v>
      </c>
      <c r="D1157" s="32" t="s">
        <v>659</v>
      </c>
      <c r="E1157" s="32" t="s">
        <v>494</v>
      </c>
      <c r="F1157" s="32" t="s">
        <v>584</v>
      </c>
      <c r="G1157" s="32" t="str">
        <f t="shared" si="36"/>
        <v>3" ST STUB</v>
      </c>
      <c r="H1157" s="278" t="s">
        <v>510</v>
      </c>
      <c r="I1157" s="32" t="s">
        <v>462</v>
      </c>
      <c r="J1157" s="279">
        <v>40</v>
      </c>
      <c r="K1157" s="280">
        <v>9004.17</v>
      </c>
      <c r="L1157" s="280">
        <v>11021.9</v>
      </c>
      <c r="M1157" s="280">
        <v>-2017.73</v>
      </c>
      <c r="N1157" s="281">
        <v>60</v>
      </c>
      <c r="O1157" s="282">
        <v>583</v>
      </c>
      <c r="P1157" s="280">
        <f t="shared" si="37"/>
        <v>87490.518500000006</v>
      </c>
    </row>
    <row r="1158" spans="1:16" x14ac:dyDescent="0.2">
      <c r="A1158" s="32" t="s">
        <v>662</v>
      </c>
      <c r="B1158" s="32" t="s">
        <v>640</v>
      </c>
      <c r="C1158" s="32" t="s">
        <v>641</v>
      </c>
      <c r="D1158" s="32" t="s">
        <v>659</v>
      </c>
      <c r="E1158" s="32" t="s">
        <v>494</v>
      </c>
      <c r="F1158" s="32" t="s">
        <v>584</v>
      </c>
      <c r="G1158" s="32" t="str">
        <f t="shared" si="36"/>
        <v>3" ST STUB</v>
      </c>
      <c r="H1158" s="278" t="s">
        <v>511</v>
      </c>
      <c r="I1158" s="32" t="s">
        <v>462</v>
      </c>
      <c r="J1158" s="279">
        <v>20</v>
      </c>
      <c r="K1158" s="280">
        <v>4916.96</v>
      </c>
      <c r="L1158" s="280">
        <v>5996.08</v>
      </c>
      <c r="M1158" s="280">
        <v>-1079.1199999999999</v>
      </c>
      <c r="N1158" s="281">
        <v>61</v>
      </c>
      <c r="O1158" s="282">
        <v>583</v>
      </c>
      <c r="P1158" s="280">
        <f t="shared" si="37"/>
        <v>46993.240655737703</v>
      </c>
    </row>
    <row r="1159" spans="1:16" x14ac:dyDescent="0.2">
      <c r="A1159" s="32" t="s">
        <v>662</v>
      </c>
      <c r="B1159" s="32" t="s">
        <v>640</v>
      </c>
      <c r="C1159" s="32" t="s">
        <v>641</v>
      </c>
      <c r="D1159" s="32" t="s">
        <v>659</v>
      </c>
      <c r="E1159" s="32" t="s">
        <v>494</v>
      </c>
      <c r="F1159" s="32" t="s">
        <v>584</v>
      </c>
      <c r="G1159" s="32" t="str">
        <f t="shared" si="36"/>
        <v>3" ST STUB</v>
      </c>
      <c r="H1159" s="278" t="s">
        <v>509</v>
      </c>
      <c r="I1159" s="32" t="s">
        <v>462</v>
      </c>
      <c r="J1159" s="279">
        <v>18</v>
      </c>
      <c r="K1159" s="280">
        <v>5543.47</v>
      </c>
      <c r="L1159" s="280">
        <v>6734.47</v>
      </c>
      <c r="M1159" s="280">
        <v>-1191</v>
      </c>
      <c r="N1159" s="281">
        <v>63</v>
      </c>
      <c r="O1159" s="282">
        <v>583</v>
      </c>
      <c r="P1159" s="280">
        <f t="shared" si="37"/>
        <v>51299.095396825403</v>
      </c>
    </row>
    <row r="1160" spans="1:16" x14ac:dyDescent="0.2">
      <c r="A1160" s="32" t="s">
        <v>663</v>
      </c>
      <c r="B1160" s="32" t="s">
        <v>635</v>
      </c>
      <c r="C1160" s="32" t="s">
        <v>636</v>
      </c>
      <c r="D1160" s="32" t="s">
        <v>617</v>
      </c>
      <c r="E1160" s="32" t="s">
        <v>494</v>
      </c>
      <c r="F1160" s="32" t="s">
        <v>581</v>
      </c>
      <c r="G1160" s="32" t="str">
        <f t="shared" si="36"/>
        <v>4" ST EXTN</v>
      </c>
      <c r="H1160" s="278" t="s">
        <v>513</v>
      </c>
      <c r="I1160" s="32" t="s">
        <v>462</v>
      </c>
      <c r="J1160" s="279">
        <v>0</v>
      </c>
      <c r="K1160" s="280">
        <v>0.19</v>
      </c>
      <c r="L1160" s="280">
        <v>0.19</v>
      </c>
      <c r="M1160" s="280">
        <v>0</v>
      </c>
      <c r="N1160" s="281">
        <v>342</v>
      </c>
      <c r="O1160" s="282">
        <v>583</v>
      </c>
      <c r="P1160" s="280">
        <f t="shared" si="37"/>
        <v>0.32388888888888889</v>
      </c>
    </row>
    <row r="1161" spans="1:16" x14ac:dyDescent="0.2">
      <c r="A1161" s="32" t="s">
        <v>663</v>
      </c>
      <c r="B1161" s="32" t="s">
        <v>635</v>
      </c>
      <c r="C1161" s="32" t="s">
        <v>636</v>
      </c>
      <c r="D1161" s="32" t="s">
        <v>617</v>
      </c>
      <c r="E1161" s="32" t="s">
        <v>494</v>
      </c>
      <c r="F1161" s="32" t="s">
        <v>581</v>
      </c>
      <c r="G1161" s="32" t="str">
        <f t="shared" si="36"/>
        <v>4" ST EXTN</v>
      </c>
      <c r="H1161" s="278" t="s">
        <v>467</v>
      </c>
      <c r="I1161" s="32" t="s">
        <v>462</v>
      </c>
      <c r="J1161" s="279">
        <v>1</v>
      </c>
      <c r="K1161" s="280">
        <v>9980.94</v>
      </c>
      <c r="L1161" s="280">
        <v>9980.94</v>
      </c>
      <c r="M1161" s="280">
        <v>0</v>
      </c>
      <c r="N1161" s="281">
        <v>348</v>
      </c>
      <c r="O1161" s="282">
        <v>583</v>
      </c>
      <c r="P1161" s="280">
        <f t="shared" si="37"/>
        <v>16720.942586206897</v>
      </c>
    </row>
    <row r="1162" spans="1:16" x14ac:dyDescent="0.2">
      <c r="A1162" s="32" t="s">
        <v>663</v>
      </c>
      <c r="B1162" s="32" t="s">
        <v>635</v>
      </c>
      <c r="C1162" s="32" t="s">
        <v>636</v>
      </c>
      <c r="D1162" s="32" t="s">
        <v>617</v>
      </c>
      <c r="E1162" s="32" t="s">
        <v>494</v>
      </c>
      <c r="F1162" s="32" t="s">
        <v>581</v>
      </c>
      <c r="G1162" s="32" t="str">
        <f t="shared" si="36"/>
        <v>4" ST EXTN</v>
      </c>
      <c r="H1162" s="278" t="s">
        <v>473</v>
      </c>
      <c r="I1162" s="32" t="s">
        <v>462</v>
      </c>
      <c r="J1162" s="279">
        <v>3</v>
      </c>
      <c r="K1162" s="280">
        <v>18708</v>
      </c>
      <c r="L1162" s="280">
        <v>18708</v>
      </c>
      <c r="M1162" s="280">
        <v>0</v>
      </c>
      <c r="N1162" s="281">
        <v>356</v>
      </c>
      <c r="O1162" s="282">
        <v>583</v>
      </c>
      <c r="P1162" s="280">
        <f t="shared" si="37"/>
        <v>30636.977528089887</v>
      </c>
    </row>
    <row r="1163" spans="1:16" x14ac:dyDescent="0.2">
      <c r="A1163" s="32" t="s">
        <v>663</v>
      </c>
      <c r="B1163" s="32" t="s">
        <v>635</v>
      </c>
      <c r="C1163" s="32" t="s">
        <v>636</v>
      </c>
      <c r="D1163" s="32" t="s">
        <v>617</v>
      </c>
      <c r="E1163" s="32" t="s">
        <v>494</v>
      </c>
      <c r="F1163" s="32" t="s">
        <v>581</v>
      </c>
      <c r="G1163" s="32" t="str">
        <f t="shared" si="36"/>
        <v>4" ST EXTN</v>
      </c>
      <c r="H1163" s="278" t="s">
        <v>479</v>
      </c>
      <c r="I1163" s="32" t="s">
        <v>462</v>
      </c>
      <c r="J1163" s="279">
        <v>1</v>
      </c>
      <c r="K1163" s="280">
        <v>41888.06</v>
      </c>
      <c r="L1163" s="280">
        <v>41888.06</v>
      </c>
      <c r="M1163" s="280">
        <v>0</v>
      </c>
      <c r="N1163" s="281">
        <v>362</v>
      </c>
      <c r="O1163" s="282">
        <v>583</v>
      </c>
      <c r="P1163" s="280">
        <f t="shared" si="37"/>
        <v>67460.604917127072</v>
      </c>
    </row>
    <row r="1164" spans="1:16" x14ac:dyDescent="0.2">
      <c r="A1164" s="32" t="s">
        <v>663</v>
      </c>
      <c r="B1164" s="32" t="s">
        <v>635</v>
      </c>
      <c r="C1164" s="32" t="s">
        <v>636</v>
      </c>
      <c r="D1164" s="32" t="s">
        <v>617</v>
      </c>
      <c r="E1164" s="32" t="s">
        <v>494</v>
      </c>
      <c r="F1164" s="32" t="s">
        <v>581</v>
      </c>
      <c r="G1164" s="32" t="str">
        <f t="shared" si="36"/>
        <v>4" ST EXTN</v>
      </c>
      <c r="H1164" s="278" t="s">
        <v>475</v>
      </c>
      <c r="I1164" s="32" t="s">
        <v>462</v>
      </c>
      <c r="J1164" s="279">
        <v>1</v>
      </c>
      <c r="K1164" s="280">
        <v>78881.789999999994</v>
      </c>
      <c r="L1164" s="280">
        <v>78881.789999999994</v>
      </c>
      <c r="M1164" s="280">
        <v>0</v>
      </c>
      <c r="N1164" s="281">
        <v>397</v>
      </c>
      <c r="O1164" s="282">
        <v>583</v>
      </c>
      <c r="P1164" s="280">
        <f t="shared" si="37"/>
        <v>115839.00143576825</v>
      </c>
    </row>
    <row r="1165" spans="1:16" x14ac:dyDescent="0.2">
      <c r="A1165" s="32" t="s">
        <v>663</v>
      </c>
      <c r="B1165" s="32" t="s">
        <v>635</v>
      </c>
      <c r="C1165" s="32" t="s">
        <v>636</v>
      </c>
      <c r="D1165" s="32" t="s">
        <v>617</v>
      </c>
      <c r="E1165" s="32" t="s">
        <v>494</v>
      </c>
      <c r="F1165" s="32" t="s">
        <v>581</v>
      </c>
      <c r="G1165" s="32" t="str">
        <f t="shared" si="36"/>
        <v>4" ST EXTN</v>
      </c>
      <c r="H1165" s="278" t="s">
        <v>471</v>
      </c>
      <c r="I1165" s="32" t="s">
        <v>462</v>
      </c>
      <c r="J1165" s="279">
        <v>2</v>
      </c>
      <c r="K1165" s="280">
        <v>44391.96</v>
      </c>
      <c r="L1165" s="280">
        <v>44391.96</v>
      </c>
      <c r="M1165" s="280">
        <v>0</v>
      </c>
      <c r="N1165" s="281">
        <v>402</v>
      </c>
      <c r="O1165" s="282">
        <v>583</v>
      </c>
      <c r="P1165" s="280">
        <f t="shared" si="37"/>
        <v>64379.384776119405</v>
      </c>
    </row>
    <row r="1166" spans="1:16" x14ac:dyDescent="0.2">
      <c r="A1166" s="32" t="s">
        <v>663</v>
      </c>
      <c r="B1166" s="32" t="s">
        <v>635</v>
      </c>
      <c r="C1166" s="32" t="s">
        <v>636</v>
      </c>
      <c r="D1166" s="32" t="s">
        <v>617</v>
      </c>
      <c r="E1166" s="32" t="s">
        <v>494</v>
      </c>
      <c r="F1166" s="32" t="s">
        <v>581</v>
      </c>
      <c r="G1166" s="32" t="str">
        <f t="shared" si="36"/>
        <v>4" ST EXTN</v>
      </c>
      <c r="H1166" s="278" t="s">
        <v>476</v>
      </c>
      <c r="I1166" s="32" t="s">
        <v>462</v>
      </c>
      <c r="J1166" s="279">
        <v>5</v>
      </c>
      <c r="K1166" s="280">
        <v>80860.820000000007</v>
      </c>
      <c r="L1166" s="280">
        <v>80860.820000000007</v>
      </c>
      <c r="M1166" s="280">
        <v>0</v>
      </c>
      <c r="N1166" s="281">
        <v>432</v>
      </c>
      <c r="O1166" s="282">
        <v>583</v>
      </c>
      <c r="P1166" s="280">
        <f t="shared" si="37"/>
        <v>109124.67143518518</v>
      </c>
    </row>
    <row r="1167" spans="1:16" x14ac:dyDescent="0.2">
      <c r="A1167" s="32" t="s">
        <v>663</v>
      </c>
      <c r="B1167" s="32" t="s">
        <v>635</v>
      </c>
      <c r="C1167" s="32" t="s">
        <v>636</v>
      </c>
      <c r="D1167" s="32" t="s">
        <v>617</v>
      </c>
      <c r="E1167" s="32" t="s">
        <v>494</v>
      </c>
      <c r="F1167" s="32" t="s">
        <v>581</v>
      </c>
      <c r="G1167" s="32" t="str">
        <f t="shared" si="36"/>
        <v>4" ST EXTN</v>
      </c>
      <c r="H1167" s="278" t="s">
        <v>474</v>
      </c>
      <c r="I1167" s="32" t="s">
        <v>462</v>
      </c>
      <c r="J1167" s="279">
        <v>2</v>
      </c>
      <c r="K1167" s="280">
        <v>159748.89000000001</v>
      </c>
      <c r="L1167" s="280">
        <v>159748.89000000001</v>
      </c>
      <c r="M1167" s="280">
        <v>0</v>
      </c>
      <c r="N1167" s="281">
        <v>489</v>
      </c>
      <c r="O1167" s="282">
        <v>583</v>
      </c>
      <c r="P1167" s="280">
        <f t="shared" si="37"/>
        <v>190457.26558282212</v>
      </c>
    </row>
    <row r="1168" spans="1:16" x14ac:dyDescent="0.2">
      <c r="A1168" s="32" t="s">
        <v>663</v>
      </c>
      <c r="B1168" s="32" t="s">
        <v>635</v>
      </c>
      <c r="C1168" s="32" t="s">
        <v>636</v>
      </c>
      <c r="D1168" s="32" t="s">
        <v>617</v>
      </c>
      <c r="E1168" s="32" t="s">
        <v>494</v>
      </c>
      <c r="F1168" s="32" t="s">
        <v>581</v>
      </c>
      <c r="G1168" s="32" t="str">
        <f t="shared" si="36"/>
        <v>4" ST EXTN</v>
      </c>
      <c r="H1168" s="278" t="s">
        <v>477</v>
      </c>
      <c r="I1168" s="32" t="s">
        <v>462</v>
      </c>
      <c r="J1168" s="279">
        <v>6</v>
      </c>
      <c r="K1168" s="280">
        <v>240491.54</v>
      </c>
      <c r="L1168" s="280">
        <v>240491.54</v>
      </c>
      <c r="M1168" s="280">
        <v>0</v>
      </c>
      <c r="N1168" s="281">
        <v>517</v>
      </c>
      <c r="O1168" s="282">
        <v>583</v>
      </c>
      <c r="P1168" s="280">
        <f t="shared" si="37"/>
        <v>271192.58765957446</v>
      </c>
    </row>
    <row r="1169" spans="1:16" x14ac:dyDescent="0.2">
      <c r="A1169" s="32" t="s">
        <v>663</v>
      </c>
      <c r="B1169" s="32" t="s">
        <v>635</v>
      </c>
      <c r="C1169" s="32" t="s">
        <v>636</v>
      </c>
      <c r="D1169" s="32" t="s">
        <v>617</v>
      </c>
      <c r="E1169" s="32" t="s">
        <v>494</v>
      </c>
      <c r="F1169" s="32" t="s">
        <v>581</v>
      </c>
      <c r="G1169" s="32" t="str">
        <f t="shared" si="36"/>
        <v>4" ST EXTN</v>
      </c>
      <c r="H1169" s="278" t="s">
        <v>461</v>
      </c>
      <c r="I1169" s="32" t="s">
        <v>462</v>
      </c>
      <c r="J1169" s="279">
        <v>1</v>
      </c>
      <c r="K1169" s="280">
        <v>35318.629999999997</v>
      </c>
      <c r="L1169" s="280">
        <v>35318.629999999997</v>
      </c>
      <c r="M1169" s="280">
        <v>0</v>
      </c>
      <c r="N1169" s="281">
        <v>568</v>
      </c>
      <c r="O1169" s="282">
        <v>583</v>
      </c>
      <c r="P1169" s="280">
        <f t="shared" si="37"/>
        <v>36251.340299295771</v>
      </c>
    </row>
    <row r="1170" spans="1:16" x14ac:dyDescent="0.2">
      <c r="A1170" s="32" t="s">
        <v>663</v>
      </c>
      <c r="B1170" s="32" t="s">
        <v>635</v>
      </c>
      <c r="C1170" s="32" t="s">
        <v>636</v>
      </c>
      <c r="D1170" s="32" t="s">
        <v>617</v>
      </c>
      <c r="E1170" s="32" t="s">
        <v>494</v>
      </c>
      <c r="F1170" s="32" t="s">
        <v>581</v>
      </c>
      <c r="G1170" s="32" t="str">
        <f t="shared" si="36"/>
        <v>4" ST EXTN</v>
      </c>
      <c r="H1170" s="278" t="s">
        <v>461</v>
      </c>
      <c r="I1170" s="32" t="s">
        <v>462</v>
      </c>
      <c r="J1170" s="279">
        <v>2</v>
      </c>
      <c r="K1170" s="280">
        <v>158558.10999999999</v>
      </c>
      <c r="L1170" s="280">
        <v>158558.10999999999</v>
      </c>
      <c r="M1170" s="280">
        <v>0</v>
      </c>
      <c r="N1170" s="281">
        <v>568</v>
      </c>
      <c r="O1170" s="282">
        <v>583</v>
      </c>
      <c r="P1170" s="280">
        <f t="shared" si="37"/>
        <v>162745.3840316901</v>
      </c>
    </row>
    <row r="1171" spans="1:16" x14ac:dyDescent="0.2">
      <c r="A1171" s="32" t="s">
        <v>663</v>
      </c>
      <c r="B1171" s="32" t="s">
        <v>635</v>
      </c>
      <c r="C1171" s="32" t="s">
        <v>636</v>
      </c>
      <c r="D1171" s="32" t="s">
        <v>617</v>
      </c>
      <c r="E1171" s="32" t="s">
        <v>494</v>
      </c>
      <c r="F1171" s="32" t="s">
        <v>581</v>
      </c>
      <c r="G1171" s="32" t="str">
        <f t="shared" si="36"/>
        <v>4" ST EXTN</v>
      </c>
      <c r="H1171" s="278" t="s">
        <v>461</v>
      </c>
      <c r="I1171" s="32" t="s">
        <v>462</v>
      </c>
      <c r="J1171" s="279">
        <v>5</v>
      </c>
      <c r="K1171" s="280">
        <v>63155.45</v>
      </c>
      <c r="L1171" s="280">
        <v>63155.45</v>
      </c>
      <c r="M1171" s="280">
        <v>0</v>
      </c>
      <c r="N1171" s="281">
        <v>568</v>
      </c>
      <c r="O1171" s="282">
        <v>583</v>
      </c>
      <c r="P1171" s="280">
        <f t="shared" si="37"/>
        <v>64823.287588028157</v>
      </c>
    </row>
    <row r="1172" spans="1:16" x14ac:dyDescent="0.2">
      <c r="A1172" s="32" t="s">
        <v>663</v>
      </c>
      <c r="B1172" s="32" t="s">
        <v>635</v>
      </c>
      <c r="C1172" s="32" t="s">
        <v>636</v>
      </c>
      <c r="D1172" s="32" t="s">
        <v>617</v>
      </c>
      <c r="E1172" s="32" t="s">
        <v>494</v>
      </c>
      <c r="F1172" s="32" t="s">
        <v>581</v>
      </c>
      <c r="G1172" s="32" t="str">
        <f t="shared" si="36"/>
        <v>4" ST EXTN</v>
      </c>
      <c r="H1172" s="278" t="s">
        <v>468</v>
      </c>
      <c r="I1172" s="32" t="s">
        <v>462</v>
      </c>
      <c r="J1172" s="279">
        <v>3</v>
      </c>
      <c r="K1172" s="280">
        <v>238563.39</v>
      </c>
      <c r="L1172" s="280">
        <v>238563.39</v>
      </c>
      <c r="M1172" s="280">
        <v>0</v>
      </c>
      <c r="N1172" s="281">
        <v>561</v>
      </c>
      <c r="O1172" s="282">
        <v>583</v>
      </c>
      <c r="P1172" s="280">
        <f t="shared" si="37"/>
        <v>247918.81705882357</v>
      </c>
    </row>
    <row r="1173" spans="1:16" x14ac:dyDescent="0.2">
      <c r="A1173" s="32" t="s">
        <v>663</v>
      </c>
      <c r="B1173" s="32" t="s">
        <v>635</v>
      </c>
      <c r="C1173" s="32" t="s">
        <v>636</v>
      </c>
      <c r="D1173" s="32" t="s">
        <v>617</v>
      </c>
      <c r="E1173" s="32" t="s">
        <v>494</v>
      </c>
      <c r="F1173" s="32" t="s">
        <v>581</v>
      </c>
      <c r="G1173" s="32" t="str">
        <f t="shared" si="36"/>
        <v>4" ST EXTN</v>
      </c>
      <c r="H1173" s="278" t="s">
        <v>469</v>
      </c>
      <c r="I1173" s="32" t="s">
        <v>462</v>
      </c>
      <c r="J1173" s="279">
        <v>1</v>
      </c>
      <c r="K1173" s="280">
        <v>87644.6</v>
      </c>
      <c r="L1173" s="280">
        <v>26925.14</v>
      </c>
      <c r="M1173" s="280">
        <v>60719.46</v>
      </c>
      <c r="N1173" s="281">
        <v>583</v>
      </c>
      <c r="O1173" s="282">
        <v>583</v>
      </c>
      <c r="P1173" s="280">
        <f t="shared" si="37"/>
        <v>87644.6</v>
      </c>
    </row>
    <row r="1174" spans="1:16" x14ac:dyDescent="0.2">
      <c r="A1174" s="32" t="s">
        <v>664</v>
      </c>
      <c r="B1174" s="32" t="s">
        <v>635</v>
      </c>
      <c r="C1174" s="32" t="s">
        <v>636</v>
      </c>
      <c r="D1174" s="32" t="s">
        <v>617</v>
      </c>
      <c r="E1174" s="32" t="s">
        <v>494</v>
      </c>
      <c r="F1174" s="32" t="s">
        <v>584</v>
      </c>
      <c r="G1174" s="32" t="str">
        <f t="shared" si="36"/>
        <v>4" ST STUB</v>
      </c>
      <c r="H1174" s="278" t="s">
        <v>514</v>
      </c>
      <c r="I1174" s="32" t="s">
        <v>462</v>
      </c>
      <c r="J1174" s="279">
        <v>2</v>
      </c>
      <c r="K1174" s="280">
        <v>7757.1</v>
      </c>
      <c r="L1174" s="280">
        <v>7757.1</v>
      </c>
      <c r="M1174" s="280">
        <v>0</v>
      </c>
      <c r="N1174" s="281">
        <v>333</v>
      </c>
      <c r="O1174" s="282">
        <v>583</v>
      </c>
      <c r="P1174" s="280">
        <f t="shared" si="37"/>
        <v>13580.748648648649</v>
      </c>
    </row>
    <row r="1175" spans="1:16" x14ac:dyDescent="0.2">
      <c r="A1175" s="32" t="s">
        <v>664</v>
      </c>
      <c r="B1175" s="32" t="s">
        <v>635</v>
      </c>
      <c r="C1175" s="32" t="s">
        <v>636</v>
      </c>
      <c r="D1175" s="32" t="s">
        <v>617</v>
      </c>
      <c r="E1175" s="32" t="s">
        <v>494</v>
      </c>
      <c r="F1175" s="32" t="s">
        <v>584</v>
      </c>
      <c r="G1175" s="32" t="str">
        <f t="shared" si="36"/>
        <v>4" ST STUB</v>
      </c>
      <c r="H1175" s="278" t="s">
        <v>513</v>
      </c>
      <c r="I1175" s="32" t="s">
        <v>462</v>
      </c>
      <c r="J1175" s="279">
        <v>8</v>
      </c>
      <c r="K1175" s="280">
        <v>53365.87</v>
      </c>
      <c r="L1175" s="280">
        <v>53365.87</v>
      </c>
      <c r="M1175" s="280">
        <v>0</v>
      </c>
      <c r="N1175" s="281">
        <v>342</v>
      </c>
      <c r="O1175" s="282">
        <v>583</v>
      </c>
      <c r="P1175" s="280">
        <f t="shared" si="37"/>
        <v>90971.643888888895</v>
      </c>
    </row>
    <row r="1176" spans="1:16" x14ac:dyDescent="0.2">
      <c r="A1176" s="32" t="s">
        <v>664</v>
      </c>
      <c r="B1176" s="32" t="s">
        <v>635</v>
      </c>
      <c r="C1176" s="32" t="s">
        <v>636</v>
      </c>
      <c r="D1176" s="32" t="s">
        <v>617</v>
      </c>
      <c r="E1176" s="32" t="s">
        <v>494</v>
      </c>
      <c r="F1176" s="32" t="s">
        <v>584</v>
      </c>
      <c r="G1176" s="32" t="str">
        <f t="shared" si="36"/>
        <v>4" ST STUB</v>
      </c>
      <c r="H1176" s="278" t="s">
        <v>467</v>
      </c>
      <c r="I1176" s="32" t="s">
        <v>462</v>
      </c>
      <c r="J1176" s="279">
        <v>5</v>
      </c>
      <c r="K1176" s="280">
        <v>24496.240000000002</v>
      </c>
      <c r="L1176" s="280">
        <v>24496.240000000002</v>
      </c>
      <c r="M1176" s="280">
        <v>0</v>
      </c>
      <c r="N1176" s="281">
        <v>348</v>
      </c>
      <c r="O1176" s="282">
        <v>583</v>
      </c>
      <c r="P1176" s="280">
        <f t="shared" si="37"/>
        <v>41038.241149425288</v>
      </c>
    </row>
    <row r="1177" spans="1:16" x14ac:dyDescent="0.2">
      <c r="A1177" s="32" t="s">
        <v>664</v>
      </c>
      <c r="B1177" s="32" t="s">
        <v>635</v>
      </c>
      <c r="C1177" s="32" t="s">
        <v>636</v>
      </c>
      <c r="D1177" s="32" t="s">
        <v>617</v>
      </c>
      <c r="E1177" s="32" t="s">
        <v>494</v>
      </c>
      <c r="F1177" s="32" t="s">
        <v>584</v>
      </c>
      <c r="G1177" s="32" t="str">
        <f t="shared" si="36"/>
        <v>4" ST STUB</v>
      </c>
      <c r="H1177" s="278" t="s">
        <v>473</v>
      </c>
      <c r="I1177" s="32" t="s">
        <v>462</v>
      </c>
      <c r="J1177" s="279">
        <v>6</v>
      </c>
      <c r="K1177" s="280">
        <v>13561.03</v>
      </c>
      <c r="L1177" s="280">
        <v>13561.03</v>
      </c>
      <c r="M1177" s="280">
        <v>0</v>
      </c>
      <c r="N1177" s="281">
        <v>356</v>
      </c>
      <c r="O1177" s="282">
        <v>583</v>
      </c>
      <c r="P1177" s="280">
        <f t="shared" si="37"/>
        <v>22208.091264044946</v>
      </c>
    </row>
    <row r="1178" spans="1:16" x14ac:dyDescent="0.2">
      <c r="A1178" s="32" t="s">
        <v>664</v>
      </c>
      <c r="B1178" s="32" t="s">
        <v>635</v>
      </c>
      <c r="C1178" s="32" t="s">
        <v>636</v>
      </c>
      <c r="D1178" s="32" t="s">
        <v>617</v>
      </c>
      <c r="E1178" s="32" t="s">
        <v>494</v>
      </c>
      <c r="F1178" s="32" t="s">
        <v>584</v>
      </c>
      <c r="G1178" s="32" t="str">
        <f t="shared" si="36"/>
        <v>4" ST STUB</v>
      </c>
      <c r="H1178" s="278" t="s">
        <v>479</v>
      </c>
      <c r="I1178" s="32" t="s">
        <v>462</v>
      </c>
      <c r="J1178" s="279">
        <v>4</v>
      </c>
      <c r="K1178" s="280">
        <v>46853.38</v>
      </c>
      <c r="L1178" s="280">
        <v>46853.38</v>
      </c>
      <c r="M1178" s="280">
        <v>0</v>
      </c>
      <c r="N1178" s="281">
        <v>362</v>
      </c>
      <c r="O1178" s="282">
        <v>583</v>
      </c>
      <c r="P1178" s="280">
        <f t="shared" si="37"/>
        <v>75457.239060773471</v>
      </c>
    </row>
    <row r="1179" spans="1:16" x14ac:dyDescent="0.2">
      <c r="A1179" s="32" t="s">
        <v>664</v>
      </c>
      <c r="B1179" s="32" t="s">
        <v>635</v>
      </c>
      <c r="C1179" s="32" t="s">
        <v>636</v>
      </c>
      <c r="D1179" s="32" t="s">
        <v>617</v>
      </c>
      <c r="E1179" s="32" t="s">
        <v>494</v>
      </c>
      <c r="F1179" s="32" t="s">
        <v>584</v>
      </c>
      <c r="G1179" s="32" t="str">
        <f t="shared" si="36"/>
        <v>4" ST STUB</v>
      </c>
      <c r="H1179" s="278" t="s">
        <v>478</v>
      </c>
      <c r="I1179" s="32" t="s">
        <v>462</v>
      </c>
      <c r="J1179" s="279">
        <v>1</v>
      </c>
      <c r="K1179" s="280">
        <v>40.98</v>
      </c>
      <c r="L1179" s="280">
        <v>40.98</v>
      </c>
      <c r="M1179" s="280">
        <v>0</v>
      </c>
      <c r="N1179" s="281">
        <v>386</v>
      </c>
      <c r="O1179" s="282">
        <v>583</v>
      </c>
      <c r="P1179" s="280">
        <f t="shared" si="37"/>
        <v>61.894663212435233</v>
      </c>
    </row>
    <row r="1180" spans="1:16" x14ac:dyDescent="0.2">
      <c r="A1180" s="32" t="s">
        <v>664</v>
      </c>
      <c r="B1180" s="32" t="s">
        <v>635</v>
      </c>
      <c r="C1180" s="32" t="s">
        <v>636</v>
      </c>
      <c r="D1180" s="32" t="s">
        <v>617</v>
      </c>
      <c r="E1180" s="32" t="s">
        <v>494</v>
      </c>
      <c r="F1180" s="32" t="s">
        <v>584</v>
      </c>
      <c r="G1180" s="32" t="str">
        <f t="shared" si="36"/>
        <v>4" ST STUB</v>
      </c>
      <c r="H1180" s="278" t="s">
        <v>475</v>
      </c>
      <c r="I1180" s="32" t="s">
        <v>462</v>
      </c>
      <c r="J1180" s="279">
        <v>1</v>
      </c>
      <c r="K1180" s="280">
        <v>29269.94</v>
      </c>
      <c r="L1180" s="280">
        <v>29269.94</v>
      </c>
      <c r="M1180" s="280">
        <v>0</v>
      </c>
      <c r="N1180" s="281">
        <v>397</v>
      </c>
      <c r="O1180" s="282">
        <v>583</v>
      </c>
      <c r="P1180" s="280">
        <f t="shared" si="37"/>
        <v>42983.312392947104</v>
      </c>
    </row>
    <row r="1181" spans="1:16" x14ac:dyDescent="0.2">
      <c r="A1181" s="32" t="s">
        <v>664</v>
      </c>
      <c r="B1181" s="32" t="s">
        <v>635</v>
      </c>
      <c r="C1181" s="32" t="s">
        <v>636</v>
      </c>
      <c r="D1181" s="32" t="s">
        <v>617</v>
      </c>
      <c r="E1181" s="32" t="s">
        <v>494</v>
      </c>
      <c r="F1181" s="32" t="s">
        <v>584</v>
      </c>
      <c r="G1181" s="32" t="str">
        <f t="shared" si="36"/>
        <v>4" ST STUB</v>
      </c>
      <c r="H1181" s="278" t="s">
        <v>471</v>
      </c>
      <c r="I1181" s="32" t="s">
        <v>462</v>
      </c>
      <c r="J1181" s="279">
        <v>2</v>
      </c>
      <c r="K1181" s="280">
        <v>16418.95</v>
      </c>
      <c r="L1181" s="280">
        <v>16418.95</v>
      </c>
      <c r="M1181" s="280">
        <v>0</v>
      </c>
      <c r="N1181" s="281">
        <v>402</v>
      </c>
      <c r="O1181" s="282">
        <v>583</v>
      </c>
      <c r="P1181" s="280">
        <f t="shared" si="37"/>
        <v>23811.561815920399</v>
      </c>
    </row>
    <row r="1182" spans="1:16" x14ac:dyDescent="0.2">
      <c r="A1182" s="32" t="s">
        <v>664</v>
      </c>
      <c r="B1182" s="32" t="s">
        <v>635</v>
      </c>
      <c r="C1182" s="32" t="s">
        <v>636</v>
      </c>
      <c r="D1182" s="32" t="s">
        <v>617</v>
      </c>
      <c r="E1182" s="32" t="s">
        <v>494</v>
      </c>
      <c r="F1182" s="32" t="s">
        <v>584</v>
      </c>
      <c r="G1182" s="32" t="str">
        <f t="shared" si="36"/>
        <v>4" ST STUB</v>
      </c>
      <c r="H1182" s="278" t="s">
        <v>474</v>
      </c>
      <c r="I1182" s="32" t="s">
        <v>462</v>
      </c>
      <c r="J1182" s="279">
        <v>1</v>
      </c>
      <c r="K1182" s="280">
        <v>21235.79</v>
      </c>
      <c r="L1182" s="280">
        <v>21235.79</v>
      </c>
      <c r="M1182" s="280">
        <v>0</v>
      </c>
      <c r="N1182" s="281">
        <v>489</v>
      </c>
      <c r="O1182" s="282">
        <v>583</v>
      </c>
      <c r="P1182" s="280">
        <f t="shared" si="37"/>
        <v>25317.925501022499</v>
      </c>
    </row>
    <row r="1183" spans="1:16" x14ac:dyDescent="0.2">
      <c r="A1183" s="32" t="s">
        <v>664</v>
      </c>
      <c r="B1183" s="32" t="s">
        <v>635</v>
      </c>
      <c r="C1183" s="32" t="s">
        <v>636</v>
      </c>
      <c r="D1183" s="32" t="s">
        <v>617</v>
      </c>
      <c r="E1183" s="32" t="s">
        <v>494</v>
      </c>
      <c r="F1183" s="32" t="s">
        <v>584</v>
      </c>
      <c r="G1183" s="32" t="str">
        <f t="shared" si="36"/>
        <v>4" ST STUB</v>
      </c>
      <c r="H1183" s="278" t="s">
        <v>477</v>
      </c>
      <c r="I1183" s="32" t="s">
        <v>462</v>
      </c>
      <c r="J1183" s="279">
        <v>4</v>
      </c>
      <c r="K1183" s="280">
        <v>44053.82</v>
      </c>
      <c r="L1183" s="280">
        <v>44053.82</v>
      </c>
      <c r="M1183" s="280">
        <v>0</v>
      </c>
      <c r="N1183" s="281">
        <v>517</v>
      </c>
      <c r="O1183" s="282">
        <v>583</v>
      </c>
      <c r="P1183" s="280">
        <f t="shared" si="37"/>
        <v>49677.711914893618</v>
      </c>
    </row>
    <row r="1184" spans="1:16" x14ac:dyDescent="0.2">
      <c r="A1184" s="32" t="s">
        <v>664</v>
      </c>
      <c r="B1184" s="32" t="s">
        <v>635</v>
      </c>
      <c r="C1184" s="32" t="s">
        <v>636</v>
      </c>
      <c r="D1184" s="32" t="s">
        <v>617</v>
      </c>
      <c r="E1184" s="32" t="s">
        <v>494</v>
      </c>
      <c r="F1184" s="32" t="s">
        <v>584</v>
      </c>
      <c r="G1184" s="32" t="str">
        <f t="shared" si="36"/>
        <v>4" ST STUB</v>
      </c>
      <c r="H1184" s="278" t="s">
        <v>461</v>
      </c>
      <c r="I1184" s="32" t="s">
        <v>462</v>
      </c>
      <c r="J1184" s="279">
        <v>1</v>
      </c>
      <c r="K1184" s="280">
        <v>13249.13</v>
      </c>
      <c r="L1184" s="280">
        <v>13249.13</v>
      </c>
      <c r="M1184" s="280">
        <v>0</v>
      </c>
      <c r="N1184" s="281">
        <v>568</v>
      </c>
      <c r="O1184" s="282">
        <v>583</v>
      </c>
      <c r="P1184" s="280">
        <f t="shared" si="37"/>
        <v>13599.018996478871</v>
      </c>
    </row>
    <row r="1185" spans="1:16" x14ac:dyDescent="0.2">
      <c r="A1185" s="32" t="s">
        <v>664</v>
      </c>
      <c r="B1185" s="32" t="s">
        <v>635</v>
      </c>
      <c r="C1185" s="32" t="s">
        <v>636</v>
      </c>
      <c r="D1185" s="32" t="s">
        <v>617</v>
      </c>
      <c r="E1185" s="32" t="s">
        <v>494</v>
      </c>
      <c r="F1185" s="32" t="s">
        <v>584</v>
      </c>
      <c r="G1185" s="32" t="str">
        <f t="shared" si="36"/>
        <v>4" ST STUB</v>
      </c>
      <c r="H1185" s="278" t="s">
        <v>461</v>
      </c>
      <c r="I1185" s="32" t="s">
        <v>462</v>
      </c>
      <c r="J1185" s="279">
        <v>3</v>
      </c>
      <c r="K1185" s="280">
        <v>212582.23</v>
      </c>
      <c r="L1185" s="280">
        <v>212582.23</v>
      </c>
      <c r="M1185" s="280">
        <v>0</v>
      </c>
      <c r="N1185" s="281">
        <v>568</v>
      </c>
      <c r="O1185" s="282">
        <v>583</v>
      </c>
      <c r="P1185" s="280">
        <f t="shared" si="37"/>
        <v>218196.1973415493</v>
      </c>
    </row>
    <row r="1186" spans="1:16" x14ac:dyDescent="0.2">
      <c r="A1186" s="32" t="s">
        <v>664</v>
      </c>
      <c r="B1186" s="32" t="s">
        <v>635</v>
      </c>
      <c r="C1186" s="32" t="s">
        <v>636</v>
      </c>
      <c r="D1186" s="32" t="s">
        <v>617</v>
      </c>
      <c r="E1186" s="32" t="s">
        <v>494</v>
      </c>
      <c r="F1186" s="32" t="s">
        <v>584</v>
      </c>
      <c r="G1186" s="32" t="str">
        <f t="shared" si="36"/>
        <v>4" ST STUB</v>
      </c>
      <c r="H1186" s="278" t="s">
        <v>468</v>
      </c>
      <c r="I1186" s="32" t="s">
        <v>462</v>
      </c>
      <c r="J1186" s="279">
        <v>1</v>
      </c>
      <c r="K1186" s="280">
        <v>2191.71</v>
      </c>
      <c r="L1186" s="280">
        <v>2191.71</v>
      </c>
      <c r="M1186" s="280">
        <v>0</v>
      </c>
      <c r="N1186" s="281">
        <v>561</v>
      </c>
      <c r="O1186" s="282">
        <v>583</v>
      </c>
      <c r="P1186" s="280">
        <f t="shared" si="37"/>
        <v>2277.659411764706</v>
      </c>
    </row>
    <row r="1187" spans="1:16" x14ac:dyDescent="0.2">
      <c r="A1187" s="32" t="s">
        <v>665</v>
      </c>
      <c r="B1187" s="32" t="s">
        <v>635</v>
      </c>
      <c r="C1187" s="32" t="s">
        <v>636</v>
      </c>
      <c r="D1187" s="32" t="s">
        <v>624</v>
      </c>
      <c r="E1187" s="32" t="s">
        <v>494</v>
      </c>
      <c r="F1187" s="32" t="s">
        <v>579</v>
      </c>
      <c r="G1187" s="32" t="str">
        <f t="shared" si="36"/>
        <v>6" ST EUF</v>
      </c>
      <c r="H1187" s="278" t="s">
        <v>467</v>
      </c>
      <c r="I1187" s="32" t="s">
        <v>462</v>
      </c>
      <c r="J1187" s="279">
        <v>1</v>
      </c>
      <c r="K1187" s="280">
        <v>20736.98</v>
      </c>
      <c r="L1187" s="280">
        <v>20736.98</v>
      </c>
      <c r="M1187" s="280">
        <v>0</v>
      </c>
      <c r="N1187" s="281">
        <v>348</v>
      </c>
      <c r="O1187" s="282">
        <v>583</v>
      </c>
      <c r="P1187" s="280">
        <f t="shared" si="37"/>
        <v>34740.400402298852</v>
      </c>
    </row>
    <row r="1188" spans="1:16" x14ac:dyDescent="0.2">
      <c r="A1188" s="32" t="s">
        <v>665</v>
      </c>
      <c r="B1188" s="32" t="s">
        <v>635</v>
      </c>
      <c r="C1188" s="32" t="s">
        <v>636</v>
      </c>
      <c r="D1188" s="32" t="s">
        <v>624</v>
      </c>
      <c r="E1188" s="32" t="s">
        <v>494</v>
      </c>
      <c r="F1188" s="32" t="s">
        <v>579</v>
      </c>
      <c r="G1188" s="32" t="str">
        <f t="shared" si="36"/>
        <v>6" ST EUF</v>
      </c>
      <c r="H1188" s="278" t="s">
        <v>476</v>
      </c>
      <c r="I1188" s="32" t="s">
        <v>462</v>
      </c>
      <c r="J1188" s="279">
        <v>1</v>
      </c>
      <c r="K1188" s="280">
        <v>8740.0400000000009</v>
      </c>
      <c r="L1188" s="280">
        <v>8740.0400000000009</v>
      </c>
      <c r="M1188" s="280">
        <v>0</v>
      </c>
      <c r="N1188" s="281">
        <v>432</v>
      </c>
      <c r="O1188" s="282">
        <v>583</v>
      </c>
      <c r="P1188" s="280">
        <f t="shared" si="37"/>
        <v>11795.007685185186</v>
      </c>
    </row>
    <row r="1189" spans="1:16" x14ac:dyDescent="0.2">
      <c r="A1189" s="32" t="s">
        <v>666</v>
      </c>
      <c r="B1189" s="32" t="s">
        <v>635</v>
      </c>
      <c r="C1189" s="32" t="s">
        <v>636</v>
      </c>
      <c r="D1189" s="32" t="s">
        <v>624</v>
      </c>
      <c r="E1189" s="32" t="s">
        <v>494</v>
      </c>
      <c r="F1189" s="32" t="s">
        <v>581</v>
      </c>
      <c r="G1189" s="32" t="str">
        <f t="shared" si="36"/>
        <v>6" ST EXTN</v>
      </c>
      <c r="H1189" s="278" t="s">
        <v>534</v>
      </c>
      <c r="I1189" s="32" t="s">
        <v>462</v>
      </c>
      <c r="J1189" s="279">
        <v>6</v>
      </c>
      <c r="K1189" s="280">
        <v>12407.61</v>
      </c>
      <c r="L1189" s="280">
        <v>12407.61</v>
      </c>
      <c r="M1189" s="280">
        <v>0</v>
      </c>
      <c r="N1189" s="281">
        <v>68</v>
      </c>
      <c r="O1189" s="282">
        <v>583</v>
      </c>
      <c r="P1189" s="280">
        <f t="shared" si="37"/>
        <v>106377.00926470589</v>
      </c>
    </row>
    <row r="1190" spans="1:16" x14ac:dyDescent="0.2">
      <c r="A1190" s="32" t="s">
        <v>666</v>
      </c>
      <c r="B1190" s="32" t="s">
        <v>635</v>
      </c>
      <c r="C1190" s="32" t="s">
        <v>636</v>
      </c>
      <c r="D1190" s="32" t="s">
        <v>624</v>
      </c>
      <c r="E1190" s="32" t="s">
        <v>494</v>
      </c>
      <c r="F1190" s="32" t="s">
        <v>581</v>
      </c>
      <c r="G1190" s="32" t="str">
        <f t="shared" si="36"/>
        <v>6" ST EXTN</v>
      </c>
      <c r="H1190" s="278" t="s">
        <v>532</v>
      </c>
      <c r="I1190" s="32" t="s">
        <v>462</v>
      </c>
      <c r="J1190" s="279">
        <v>1</v>
      </c>
      <c r="K1190" s="280">
        <v>2903.07</v>
      </c>
      <c r="L1190" s="280">
        <v>2903.07</v>
      </c>
      <c r="M1190" s="280">
        <v>0</v>
      </c>
      <c r="N1190" s="281">
        <v>71</v>
      </c>
      <c r="O1190" s="282">
        <v>583</v>
      </c>
      <c r="P1190" s="280">
        <f t="shared" si="37"/>
        <v>23837.884647887324</v>
      </c>
    </row>
    <row r="1191" spans="1:16" x14ac:dyDescent="0.2">
      <c r="A1191" s="32" t="s">
        <v>666</v>
      </c>
      <c r="B1191" s="32" t="s">
        <v>635</v>
      </c>
      <c r="C1191" s="32" t="s">
        <v>636</v>
      </c>
      <c r="D1191" s="32" t="s">
        <v>624</v>
      </c>
      <c r="E1191" s="32" t="s">
        <v>494</v>
      </c>
      <c r="F1191" s="32" t="s">
        <v>581</v>
      </c>
      <c r="G1191" s="32" t="str">
        <f t="shared" si="36"/>
        <v>6" ST EXTN</v>
      </c>
      <c r="H1191" s="278" t="s">
        <v>535</v>
      </c>
      <c r="I1191" s="32" t="s">
        <v>462</v>
      </c>
      <c r="J1191" s="279">
        <v>5</v>
      </c>
      <c r="K1191" s="280">
        <v>7766.38</v>
      </c>
      <c r="L1191" s="280">
        <v>7766.38</v>
      </c>
      <c r="M1191" s="280">
        <v>0</v>
      </c>
      <c r="N1191" s="281">
        <v>74</v>
      </c>
      <c r="O1191" s="282">
        <v>583</v>
      </c>
      <c r="P1191" s="280">
        <f t="shared" si="37"/>
        <v>61186.480270270265</v>
      </c>
    </row>
    <row r="1192" spans="1:16" x14ac:dyDescent="0.2">
      <c r="A1192" s="32" t="s">
        <v>666</v>
      </c>
      <c r="B1192" s="32" t="s">
        <v>635</v>
      </c>
      <c r="C1192" s="32" t="s">
        <v>636</v>
      </c>
      <c r="D1192" s="32" t="s">
        <v>624</v>
      </c>
      <c r="E1192" s="32" t="s">
        <v>494</v>
      </c>
      <c r="F1192" s="32" t="s">
        <v>581</v>
      </c>
      <c r="G1192" s="32" t="str">
        <f t="shared" si="36"/>
        <v>6" ST EXTN</v>
      </c>
      <c r="H1192" s="278" t="s">
        <v>533</v>
      </c>
      <c r="I1192" s="32" t="s">
        <v>462</v>
      </c>
      <c r="J1192" s="279">
        <v>1</v>
      </c>
      <c r="K1192" s="280">
        <v>5174.28</v>
      </c>
      <c r="L1192" s="280">
        <v>5174.28</v>
      </c>
      <c r="M1192" s="280">
        <v>0</v>
      </c>
      <c r="N1192" s="281">
        <v>78</v>
      </c>
      <c r="O1192" s="282">
        <v>583</v>
      </c>
      <c r="P1192" s="280">
        <f t="shared" si="37"/>
        <v>38674.426153846151</v>
      </c>
    </row>
    <row r="1193" spans="1:16" x14ac:dyDescent="0.2">
      <c r="A1193" s="32" t="s">
        <v>666</v>
      </c>
      <c r="B1193" s="32" t="s">
        <v>635</v>
      </c>
      <c r="C1193" s="32" t="s">
        <v>636</v>
      </c>
      <c r="D1193" s="32" t="s">
        <v>624</v>
      </c>
      <c r="E1193" s="32" t="s">
        <v>494</v>
      </c>
      <c r="F1193" s="32" t="s">
        <v>581</v>
      </c>
      <c r="G1193" s="32" t="str">
        <f t="shared" si="36"/>
        <v>6" ST EXTN</v>
      </c>
      <c r="H1193" s="278" t="s">
        <v>531</v>
      </c>
      <c r="I1193" s="32" t="s">
        <v>462</v>
      </c>
      <c r="J1193" s="279">
        <v>2</v>
      </c>
      <c r="K1193" s="280">
        <v>10946.93</v>
      </c>
      <c r="L1193" s="280">
        <v>10946.93</v>
      </c>
      <c r="M1193" s="280">
        <v>0</v>
      </c>
      <c r="N1193" s="281">
        <v>84</v>
      </c>
      <c r="O1193" s="282">
        <v>583</v>
      </c>
      <c r="P1193" s="280">
        <f t="shared" si="37"/>
        <v>75976.90702380953</v>
      </c>
    </row>
    <row r="1194" spans="1:16" x14ac:dyDescent="0.2">
      <c r="A1194" s="32" t="s">
        <v>666</v>
      </c>
      <c r="B1194" s="32" t="s">
        <v>635</v>
      </c>
      <c r="C1194" s="32" t="s">
        <v>636</v>
      </c>
      <c r="D1194" s="32" t="s">
        <v>624</v>
      </c>
      <c r="E1194" s="32" t="s">
        <v>494</v>
      </c>
      <c r="F1194" s="32" t="s">
        <v>581</v>
      </c>
      <c r="G1194" s="32" t="str">
        <f t="shared" si="36"/>
        <v>6" ST EXTN</v>
      </c>
      <c r="H1194" s="278" t="s">
        <v>527</v>
      </c>
      <c r="I1194" s="32" t="s">
        <v>462</v>
      </c>
      <c r="J1194" s="279">
        <v>1</v>
      </c>
      <c r="K1194" s="280">
        <v>5252.49</v>
      </c>
      <c r="L1194" s="280">
        <v>5252.49</v>
      </c>
      <c r="M1194" s="280">
        <v>0</v>
      </c>
      <c r="N1194" s="281">
        <v>90</v>
      </c>
      <c r="O1194" s="282">
        <v>583</v>
      </c>
      <c r="P1194" s="280">
        <f t="shared" si="37"/>
        <v>34024.462999999996</v>
      </c>
    </row>
    <row r="1195" spans="1:16" x14ac:dyDescent="0.2">
      <c r="A1195" s="32" t="s">
        <v>666</v>
      </c>
      <c r="B1195" s="32" t="s">
        <v>635</v>
      </c>
      <c r="C1195" s="32" t="s">
        <v>636</v>
      </c>
      <c r="D1195" s="32" t="s">
        <v>624</v>
      </c>
      <c r="E1195" s="32" t="s">
        <v>494</v>
      </c>
      <c r="F1195" s="32" t="s">
        <v>581</v>
      </c>
      <c r="G1195" s="32" t="str">
        <f t="shared" si="36"/>
        <v>6" ST EXTN</v>
      </c>
      <c r="H1195" s="278" t="s">
        <v>524</v>
      </c>
      <c r="I1195" s="32" t="s">
        <v>462</v>
      </c>
      <c r="J1195" s="279">
        <v>2</v>
      </c>
      <c r="K1195" s="280">
        <v>7847.38</v>
      </c>
      <c r="L1195" s="280">
        <v>7847.38</v>
      </c>
      <c r="M1195" s="280">
        <v>0</v>
      </c>
      <c r="N1195" s="281">
        <v>133</v>
      </c>
      <c r="O1195" s="282">
        <v>583</v>
      </c>
      <c r="P1195" s="280">
        <f t="shared" si="37"/>
        <v>34398.665714285715</v>
      </c>
    </row>
    <row r="1196" spans="1:16" x14ac:dyDescent="0.2">
      <c r="A1196" s="32" t="s">
        <v>666</v>
      </c>
      <c r="B1196" s="32" t="s">
        <v>635</v>
      </c>
      <c r="C1196" s="32" t="s">
        <v>636</v>
      </c>
      <c r="D1196" s="32" t="s">
        <v>624</v>
      </c>
      <c r="E1196" s="32" t="s">
        <v>494</v>
      </c>
      <c r="F1196" s="32" t="s">
        <v>581</v>
      </c>
      <c r="G1196" s="32" t="str">
        <f t="shared" si="36"/>
        <v>6" ST EXTN</v>
      </c>
      <c r="H1196" s="278" t="s">
        <v>526</v>
      </c>
      <c r="I1196" s="32" t="s">
        <v>462</v>
      </c>
      <c r="J1196" s="279">
        <v>1</v>
      </c>
      <c r="K1196" s="280">
        <v>11560.37</v>
      </c>
      <c r="L1196" s="280">
        <v>11560.37</v>
      </c>
      <c r="M1196" s="280">
        <v>0</v>
      </c>
      <c r="N1196" s="281">
        <v>153</v>
      </c>
      <c r="O1196" s="282">
        <v>583</v>
      </c>
      <c r="P1196" s="280">
        <f t="shared" si="37"/>
        <v>44050.298758169934</v>
      </c>
    </row>
    <row r="1197" spans="1:16" x14ac:dyDescent="0.2">
      <c r="A1197" s="32" t="s">
        <v>666</v>
      </c>
      <c r="B1197" s="32" t="s">
        <v>635</v>
      </c>
      <c r="C1197" s="32" t="s">
        <v>636</v>
      </c>
      <c r="D1197" s="32" t="s">
        <v>624</v>
      </c>
      <c r="E1197" s="32" t="s">
        <v>494</v>
      </c>
      <c r="F1197" s="32" t="s">
        <v>581</v>
      </c>
      <c r="G1197" s="32" t="str">
        <f t="shared" si="36"/>
        <v>6" ST EXTN</v>
      </c>
      <c r="H1197" s="278" t="s">
        <v>521</v>
      </c>
      <c r="I1197" s="32" t="s">
        <v>462</v>
      </c>
      <c r="J1197" s="279">
        <v>1</v>
      </c>
      <c r="K1197" s="280">
        <v>11868.73</v>
      </c>
      <c r="L1197" s="280">
        <v>11868.73</v>
      </c>
      <c r="M1197" s="280">
        <v>0</v>
      </c>
      <c r="N1197" s="281">
        <v>198</v>
      </c>
      <c r="O1197" s="282">
        <v>583</v>
      </c>
      <c r="P1197" s="280">
        <f t="shared" si="37"/>
        <v>34946.816111111111</v>
      </c>
    </row>
    <row r="1198" spans="1:16" x14ac:dyDescent="0.2">
      <c r="A1198" s="32" t="s">
        <v>666</v>
      </c>
      <c r="B1198" s="32" t="s">
        <v>635</v>
      </c>
      <c r="C1198" s="32" t="s">
        <v>636</v>
      </c>
      <c r="D1198" s="32" t="s">
        <v>624</v>
      </c>
      <c r="E1198" s="32" t="s">
        <v>494</v>
      </c>
      <c r="F1198" s="32" t="s">
        <v>581</v>
      </c>
      <c r="G1198" s="32" t="str">
        <f t="shared" si="36"/>
        <v>6" ST EXTN</v>
      </c>
      <c r="H1198" s="278" t="s">
        <v>520</v>
      </c>
      <c r="I1198" s="32" t="s">
        <v>462</v>
      </c>
      <c r="J1198" s="279">
        <v>1</v>
      </c>
      <c r="K1198" s="280">
        <v>304.61</v>
      </c>
      <c r="L1198" s="280">
        <v>304.61</v>
      </c>
      <c r="M1198" s="280">
        <v>0</v>
      </c>
      <c r="N1198" s="281">
        <v>222</v>
      </c>
      <c r="O1198" s="282">
        <v>583</v>
      </c>
      <c r="P1198" s="280">
        <f t="shared" si="37"/>
        <v>799.94427927927939</v>
      </c>
    </row>
    <row r="1199" spans="1:16" x14ac:dyDescent="0.2">
      <c r="A1199" s="32" t="s">
        <v>666</v>
      </c>
      <c r="B1199" s="32" t="s">
        <v>635</v>
      </c>
      <c r="C1199" s="32" t="s">
        <v>636</v>
      </c>
      <c r="D1199" s="32" t="s">
        <v>624</v>
      </c>
      <c r="E1199" s="32" t="s">
        <v>494</v>
      </c>
      <c r="F1199" s="32" t="s">
        <v>581</v>
      </c>
      <c r="G1199" s="32" t="str">
        <f t="shared" si="36"/>
        <v>6" ST EXTN</v>
      </c>
      <c r="H1199" s="278" t="s">
        <v>523</v>
      </c>
      <c r="I1199" s="32" t="s">
        <v>462</v>
      </c>
      <c r="J1199" s="279">
        <v>1</v>
      </c>
      <c r="K1199" s="280">
        <v>13227.15</v>
      </c>
      <c r="L1199" s="280">
        <v>13227.15</v>
      </c>
      <c r="M1199" s="280">
        <v>0</v>
      </c>
      <c r="N1199" s="281">
        <v>273</v>
      </c>
      <c r="O1199" s="282">
        <v>583</v>
      </c>
      <c r="P1199" s="280">
        <f t="shared" si="37"/>
        <v>28246.990659340659</v>
      </c>
    </row>
    <row r="1200" spans="1:16" x14ac:dyDescent="0.2">
      <c r="A1200" s="32" t="s">
        <v>666</v>
      </c>
      <c r="B1200" s="32" t="s">
        <v>635</v>
      </c>
      <c r="C1200" s="32" t="s">
        <v>636</v>
      </c>
      <c r="D1200" s="32" t="s">
        <v>624</v>
      </c>
      <c r="E1200" s="32" t="s">
        <v>494</v>
      </c>
      <c r="F1200" s="32" t="s">
        <v>581</v>
      </c>
      <c r="G1200" s="32" t="str">
        <f t="shared" si="36"/>
        <v>6" ST EXTN</v>
      </c>
      <c r="H1200" s="278" t="s">
        <v>516</v>
      </c>
      <c r="I1200" s="32" t="s">
        <v>462</v>
      </c>
      <c r="J1200" s="279">
        <v>2</v>
      </c>
      <c r="K1200" s="280">
        <v>20412.900000000001</v>
      </c>
      <c r="L1200" s="280">
        <v>20412.900000000001</v>
      </c>
      <c r="M1200" s="280">
        <v>0</v>
      </c>
      <c r="N1200" s="281">
        <v>283</v>
      </c>
      <c r="O1200" s="282">
        <v>583</v>
      </c>
      <c r="P1200" s="280">
        <f t="shared" si="37"/>
        <v>42052.016607773854</v>
      </c>
    </row>
    <row r="1201" spans="1:16" x14ac:dyDescent="0.2">
      <c r="A1201" s="32" t="s">
        <v>666</v>
      </c>
      <c r="B1201" s="32" t="s">
        <v>635</v>
      </c>
      <c r="C1201" s="32" t="s">
        <v>636</v>
      </c>
      <c r="D1201" s="32" t="s">
        <v>624</v>
      </c>
      <c r="E1201" s="32" t="s">
        <v>494</v>
      </c>
      <c r="F1201" s="32" t="s">
        <v>581</v>
      </c>
      <c r="G1201" s="32" t="str">
        <f t="shared" si="36"/>
        <v>6" ST EXTN</v>
      </c>
      <c r="H1201" s="278" t="s">
        <v>465</v>
      </c>
      <c r="I1201" s="32" t="s">
        <v>462</v>
      </c>
      <c r="J1201" s="279">
        <v>1</v>
      </c>
      <c r="K1201" s="280">
        <v>31627.5</v>
      </c>
      <c r="L1201" s="280">
        <v>31627.5</v>
      </c>
      <c r="M1201" s="280">
        <v>0</v>
      </c>
      <c r="N1201" s="281">
        <v>308</v>
      </c>
      <c r="O1201" s="282">
        <v>583</v>
      </c>
      <c r="P1201" s="280">
        <f t="shared" si="37"/>
        <v>59866.339285714283</v>
      </c>
    </row>
    <row r="1202" spans="1:16" x14ac:dyDescent="0.2">
      <c r="A1202" s="32" t="s">
        <v>666</v>
      </c>
      <c r="B1202" s="32" t="s">
        <v>635</v>
      </c>
      <c r="C1202" s="32" t="s">
        <v>636</v>
      </c>
      <c r="D1202" s="32" t="s">
        <v>624</v>
      </c>
      <c r="E1202" s="32" t="s">
        <v>494</v>
      </c>
      <c r="F1202" s="32" t="s">
        <v>581</v>
      </c>
      <c r="G1202" s="32" t="str">
        <f t="shared" si="36"/>
        <v>6" ST EXTN</v>
      </c>
      <c r="H1202" s="278" t="s">
        <v>490</v>
      </c>
      <c r="I1202" s="32" t="s">
        <v>462</v>
      </c>
      <c r="J1202" s="279">
        <v>1</v>
      </c>
      <c r="K1202" s="280">
        <v>4900.0200000000004</v>
      </c>
      <c r="L1202" s="280">
        <v>4900.0200000000004</v>
      </c>
      <c r="M1202" s="280">
        <v>0</v>
      </c>
      <c r="N1202" s="281">
        <v>313</v>
      </c>
      <c r="O1202" s="282">
        <v>583</v>
      </c>
      <c r="P1202" s="280">
        <f t="shared" si="37"/>
        <v>9126.8743130990424</v>
      </c>
    </row>
    <row r="1203" spans="1:16" x14ac:dyDescent="0.2">
      <c r="A1203" s="32" t="s">
        <v>666</v>
      </c>
      <c r="B1203" s="32" t="s">
        <v>635</v>
      </c>
      <c r="C1203" s="32" t="s">
        <v>636</v>
      </c>
      <c r="D1203" s="32" t="s">
        <v>624</v>
      </c>
      <c r="E1203" s="32" t="s">
        <v>494</v>
      </c>
      <c r="F1203" s="32" t="s">
        <v>581</v>
      </c>
      <c r="G1203" s="32" t="str">
        <f t="shared" si="36"/>
        <v>6" ST EXTN</v>
      </c>
      <c r="H1203" s="278" t="s">
        <v>491</v>
      </c>
      <c r="I1203" s="32" t="s">
        <v>462</v>
      </c>
      <c r="J1203" s="279">
        <v>1</v>
      </c>
      <c r="K1203" s="280">
        <v>87574.75</v>
      </c>
      <c r="L1203" s="280">
        <v>87574.75</v>
      </c>
      <c r="M1203" s="280">
        <v>0</v>
      </c>
      <c r="N1203" s="281">
        <v>319</v>
      </c>
      <c r="O1203" s="282">
        <v>583</v>
      </c>
      <c r="P1203" s="280">
        <f t="shared" si="37"/>
        <v>160050.4051724138</v>
      </c>
    </row>
    <row r="1204" spans="1:16" x14ac:dyDescent="0.2">
      <c r="A1204" s="32" t="s">
        <v>666</v>
      </c>
      <c r="B1204" s="32" t="s">
        <v>635</v>
      </c>
      <c r="C1204" s="32" t="s">
        <v>636</v>
      </c>
      <c r="D1204" s="32" t="s">
        <v>624</v>
      </c>
      <c r="E1204" s="32" t="s">
        <v>494</v>
      </c>
      <c r="F1204" s="32" t="s">
        <v>581</v>
      </c>
      <c r="G1204" s="32" t="str">
        <f t="shared" si="36"/>
        <v>6" ST EXTN</v>
      </c>
      <c r="H1204" s="278" t="s">
        <v>476</v>
      </c>
      <c r="I1204" s="32" t="s">
        <v>462</v>
      </c>
      <c r="J1204" s="279">
        <v>1</v>
      </c>
      <c r="K1204" s="280">
        <v>102171.44</v>
      </c>
      <c r="L1204" s="280">
        <v>102171.44</v>
      </c>
      <c r="M1204" s="280">
        <v>0</v>
      </c>
      <c r="N1204" s="281">
        <v>432</v>
      </c>
      <c r="O1204" s="282">
        <v>583</v>
      </c>
      <c r="P1204" s="280">
        <f t="shared" si="37"/>
        <v>137884.1424074074</v>
      </c>
    </row>
    <row r="1205" spans="1:16" x14ac:dyDescent="0.2">
      <c r="A1205" s="32" t="s">
        <v>667</v>
      </c>
      <c r="B1205" s="32" t="s">
        <v>640</v>
      </c>
      <c r="C1205" s="32" t="s">
        <v>641</v>
      </c>
      <c r="D1205" s="32" t="s">
        <v>624</v>
      </c>
      <c r="E1205" s="32" t="s">
        <v>494</v>
      </c>
      <c r="F1205" s="32" t="s">
        <v>581</v>
      </c>
      <c r="G1205" s="32" t="str">
        <f t="shared" si="36"/>
        <v>6" ST EXTN</v>
      </c>
      <c r="H1205" s="278" t="s">
        <v>495</v>
      </c>
      <c r="I1205" s="32" t="s">
        <v>462</v>
      </c>
      <c r="J1205" s="279">
        <v>2</v>
      </c>
      <c r="K1205" s="280">
        <v>9572.16</v>
      </c>
      <c r="L1205" s="280">
        <v>11938.31</v>
      </c>
      <c r="M1205" s="280">
        <v>-2366.15</v>
      </c>
      <c r="N1205" s="281">
        <v>48</v>
      </c>
      <c r="O1205" s="282">
        <v>583</v>
      </c>
      <c r="P1205" s="280">
        <f t="shared" si="37"/>
        <v>116261.86</v>
      </c>
    </row>
    <row r="1206" spans="1:16" x14ac:dyDescent="0.2">
      <c r="A1206" s="32" t="s">
        <v>667</v>
      </c>
      <c r="B1206" s="32" t="s">
        <v>640</v>
      </c>
      <c r="C1206" s="32" t="s">
        <v>641</v>
      </c>
      <c r="D1206" s="32" t="s">
        <v>624</v>
      </c>
      <c r="E1206" s="32" t="s">
        <v>494</v>
      </c>
      <c r="F1206" s="32" t="s">
        <v>581</v>
      </c>
      <c r="G1206" s="32" t="str">
        <f t="shared" si="36"/>
        <v>6" ST EXTN</v>
      </c>
      <c r="H1206" s="278" t="s">
        <v>496</v>
      </c>
      <c r="I1206" s="32" t="s">
        <v>462</v>
      </c>
      <c r="J1206" s="279">
        <v>1</v>
      </c>
      <c r="K1206" s="280">
        <v>2265.5100000000002</v>
      </c>
      <c r="L1206" s="280">
        <v>2815.06</v>
      </c>
      <c r="M1206" s="280">
        <v>-549.54999999999995</v>
      </c>
      <c r="N1206" s="281">
        <v>51</v>
      </c>
      <c r="O1206" s="282">
        <v>583</v>
      </c>
      <c r="P1206" s="280">
        <f t="shared" si="37"/>
        <v>25897.888823529414</v>
      </c>
    </row>
    <row r="1207" spans="1:16" x14ac:dyDescent="0.2">
      <c r="A1207" s="32" t="s">
        <v>667</v>
      </c>
      <c r="B1207" s="32" t="s">
        <v>640</v>
      </c>
      <c r="C1207" s="32" t="s">
        <v>641</v>
      </c>
      <c r="D1207" s="32" t="s">
        <v>624</v>
      </c>
      <c r="E1207" s="32" t="s">
        <v>494</v>
      </c>
      <c r="F1207" s="32" t="s">
        <v>581</v>
      </c>
      <c r="G1207" s="32" t="str">
        <f t="shared" si="36"/>
        <v>6" ST EXTN</v>
      </c>
      <c r="H1207" s="278" t="s">
        <v>508</v>
      </c>
      <c r="I1207" s="32" t="s">
        <v>462</v>
      </c>
      <c r="J1207" s="279">
        <v>1</v>
      </c>
      <c r="K1207" s="280">
        <v>4440.29</v>
      </c>
      <c r="L1207" s="280">
        <v>5455.82</v>
      </c>
      <c r="M1207" s="280">
        <v>-1015.53</v>
      </c>
      <c r="N1207" s="281">
        <v>59</v>
      </c>
      <c r="O1207" s="282">
        <v>583</v>
      </c>
      <c r="P1207" s="280">
        <f t="shared" si="37"/>
        <v>43876.085932203387</v>
      </c>
    </row>
    <row r="1208" spans="1:16" x14ac:dyDescent="0.2">
      <c r="A1208" s="32" t="s">
        <v>667</v>
      </c>
      <c r="B1208" s="32" t="s">
        <v>640</v>
      </c>
      <c r="C1208" s="32" t="s">
        <v>641</v>
      </c>
      <c r="D1208" s="32" t="s">
        <v>624</v>
      </c>
      <c r="E1208" s="32" t="s">
        <v>494</v>
      </c>
      <c r="F1208" s="32" t="s">
        <v>581</v>
      </c>
      <c r="G1208" s="32" t="str">
        <f t="shared" si="36"/>
        <v>6" ST EXTN</v>
      </c>
      <c r="H1208" s="278" t="s">
        <v>510</v>
      </c>
      <c r="I1208" s="32" t="s">
        <v>462</v>
      </c>
      <c r="J1208" s="279">
        <v>1</v>
      </c>
      <c r="K1208" s="280">
        <v>251.48</v>
      </c>
      <c r="L1208" s="280">
        <v>307.83</v>
      </c>
      <c r="M1208" s="280">
        <v>-56.35</v>
      </c>
      <c r="N1208" s="281">
        <v>60</v>
      </c>
      <c r="O1208" s="282">
        <v>583</v>
      </c>
      <c r="P1208" s="280">
        <f t="shared" si="37"/>
        <v>2443.5473333333334</v>
      </c>
    </row>
    <row r="1209" spans="1:16" x14ac:dyDescent="0.2">
      <c r="A1209" s="32" t="s">
        <v>667</v>
      </c>
      <c r="B1209" s="32" t="s">
        <v>640</v>
      </c>
      <c r="C1209" s="32" t="s">
        <v>641</v>
      </c>
      <c r="D1209" s="32" t="s">
        <v>624</v>
      </c>
      <c r="E1209" s="32" t="s">
        <v>494</v>
      </c>
      <c r="F1209" s="32" t="s">
        <v>581</v>
      </c>
      <c r="G1209" s="32" t="str">
        <f t="shared" si="36"/>
        <v>6" ST EXTN</v>
      </c>
      <c r="H1209" s="278" t="s">
        <v>511</v>
      </c>
      <c r="I1209" s="32" t="s">
        <v>462</v>
      </c>
      <c r="J1209" s="279">
        <v>1</v>
      </c>
      <c r="K1209" s="280">
        <v>2648.26</v>
      </c>
      <c r="L1209" s="280">
        <v>3229.47</v>
      </c>
      <c r="M1209" s="280">
        <v>-581.21</v>
      </c>
      <c r="N1209" s="281">
        <v>61</v>
      </c>
      <c r="O1209" s="282">
        <v>583</v>
      </c>
      <c r="P1209" s="280">
        <f t="shared" si="37"/>
        <v>25310.419344262296</v>
      </c>
    </row>
    <row r="1210" spans="1:16" x14ac:dyDescent="0.2">
      <c r="A1210" s="32" t="s">
        <v>668</v>
      </c>
      <c r="B1210" s="32" t="s">
        <v>635</v>
      </c>
      <c r="C1210" s="32" t="s">
        <v>636</v>
      </c>
      <c r="D1210" s="32" t="s">
        <v>624</v>
      </c>
      <c r="E1210" s="32" t="s">
        <v>494</v>
      </c>
      <c r="F1210" s="32" t="s">
        <v>584</v>
      </c>
      <c r="G1210" s="32" t="str">
        <f t="shared" si="36"/>
        <v>6" ST STUB</v>
      </c>
      <c r="H1210" s="278" t="s">
        <v>534</v>
      </c>
      <c r="I1210" s="32" t="s">
        <v>462</v>
      </c>
      <c r="J1210" s="279">
        <v>6</v>
      </c>
      <c r="K1210" s="280">
        <v>4589.3</v>
      </c>
      <c r="L1210" s="280">
        <v>4589.3</v>
      </c>
      <c r="M1210" s="280">
        <v>0</v>
      </c>
      <c r="N1210" s="281">
        <v>68</v>
      </c>
      <c r="O1210" s="282">
        <v>583</v>
      </c>
      <c r="P1210" s="280">
        <f t="shared" si="37"/>
        <v>39346.498529411772</v>
      </c>
    </row>
    <row r="1211" spans="1:16" x14ac:dyDescent="0.2">
      <c r="A1211" s="32" t="s">
        <v>668</v>
      </c>
      <c r="B1211" s="32" t="s">
        <v>635</v>
      </c>
      <c r="C1211" s="32" t="s">
        <v>636</v>
      </c>
      <c r="D1211" s="32" t="s">
        <v>624</v>
      </c>
      <c r="E1211" s="32" t="s">
        <v>494</v>
      </c>
      <c r="F1211" s="32" t="s">
        <v>584</v>
      </c>
      <c r="G1211" s="32" t="str">
        <f t="shared" si="36"/>
        <v>6" ST STUB</v>
      </c>
      <c r="H1211" s="278" t="s">
        <v>532</v>
      </c>
      <c r="I1211" s="32" t="s">
        <v>462</v>
      </c>
      <c r="J1211" s="279">
        <v>1</v>
      </c>
      <c r="K1211" s="280">
        <v>1073.74</v>
      </c>
      <c r="L1211" s="280">
        <v>1073.74</v>
      </c>
      <c r="M1211" s="280">
        <v>0</v>
      </c>
      <c r="N1211" s="281">
        <v>71</v>
      </c>
      <c r="O1211" s="282">
        <v>583</v>
      </c>
      <c r="P1211" s="280">
        <f t="shared" si="37"/>
        <v>8816.7664788732382</v>
      </c>
    </row>
    <row r="1212" spans="1:16" x14ac:dyDescent="0.2">
      <c r="A1212" s="32" t="s">
        <v>668</v>
      </c>
      <c r="B1212" s="32" t="s">
        <v>635</v>
      </c>
      <c r="C1212" s="32" t="s">
        <v>636</v>
      </c>
      <c r="D1212" s="32" t="s">
        <v>624</v>
      </c>
      <c r="E1212" s="32" t="s">
        <v>494</v>
      </c>
      <c r="F1212" s="32" t="s">
        <v>584</v>
      </c>
      <c r="G1212" s="32" t="str">
        <f t="shared" si="36"/>
        <v>6" ST STUB</v>
      </c>
      <c r="H1212" s="278" t="s">
        <v>535</v>
      </c>
      <c r="I1212" s="32" t="s">
        <v>462</v>
      </c>
      <c r="J1212" s="279">
        <v>5</v>
      </c>
      <c r="K1212" s="280">
        <v>2872.49</v>
      </c>
      <c r="L1212" s="280">
        <v>2872.49</v>
      </c>
      <c r="M1212" s="280">
        <v>0</v>
      </c>
      <c r="N1212" s="281">
        <v>74</v>
      </c>
      <c r="O1212" s="282">
        <v>583</v>
      </c>
      <c r="P1212" s="280">
        <f t="shared" si="37"/>
        <v>22630.563108108105</v>
      </c>
    </row>
    <row r="1213" spans="1:16" x14ac:dyDescent="0.2">
      <c r="A1213" s="32" t="s">
        <v>668</v>
      </c>
      <c r="B1213" s="32" t="s">
        <v>635</v>
      </c>
      <c r="C1213" s="32" t="s">
        <v>636</v>
      </c>
      <c r="D1213" s="32" t="s">
        <v>624</v>
      </c>
      <c r="E1213" s="32" t="s">
        <v>494</v>
      </c>
      <c r="F1213" s="32" t="s">
        <v>584</v>
      </c>
      <c r="G1213" s="32" t="str">
        <f t="shared" si="36"/>
        <v>6" ST STUB</v>
      </c>
      <c r="H1213" s="278" t="s">
        <v>533</v>
      </c>
      <c r="I1213" s="32" t="s">
        <v>462</v>
      </c>
      <c r="J1213" s="279">
        <v>1</v>
      </c>
      <c r="K1213" s="280">
        <v>1913.78</v>
      </c>
      <c r="L1213" s="280">
        <v>1913.78</v>
      </c>
      <c r="M1213" s="280">
        <v>0</v>
      </c>
      <c r="N1213" s="281">
        <v>78</v>
      </c>
      <c r="O1213" s="282">
        <v>583</v>
      </c>
      <c r="P1213" s="280">
        <f t="shared" si="37"/>
        <v>14304.278717948719</v>
      </c>
    </row>
    <row r="1214" spans="1:16" x14ac:dyDescent="0.2">
      <c r="A1214" s="32" t="s">
        <v>668</v>
      </c>
      <c r="B1214" s="32" t="s">
        <v>635</v>
      </c>
      <c r="C1214" s="32" t="s">
        <v>636</v>
      </c>
      <c r="D1214" s="32" t="s">
        <v>624</v>
      </c>
      <c r="E1214" s="32" t="s">
        <v>494</v>
      </c>
      <c r="F1214" s="32" t="s">
        <v>584</v>
      </c>
      <c r="G1214" s="32" t="str">
        <f t="shared" si="36"/>
        <v>6" ST STUB</v>
      </c>
      <c r="H1214" s="278" t="s">
        <v>531</v>
      </c>
      <c r="I1214" s="32" t="s">
        <v>462</v>
      </c>
      <c r="J1214" s="279">
        <v>2</v>
      </c>
      <c r="K1214" s="280">
        <v>4048.86</v>
      </c>
      <c r="L1214" s="280">
        <v>4048.86</v>
      </c>
      <c r="M1214" s="280">
        <v>0</v>
      </c>
      <c r="N1214" s="281">
        <v>84</v>
      </c>
      <c r="O1214" s="282">
        <v>583</v>
      </c>
      <c r="P1214" s="280">
        <f t="shared" si="37"/>
        <v>28101.016428571431</v>
      </c>
    </row>
    <row r="1215" spans="1:16" x14ac:dyDescent="0.2">
      <c r="A1215" s="32" t="s">
        <v>668</v>
      </c>
      <c r="B1215" s="32" t="s">
        <v>635</v>
      </c>
      <c r="C1215" s="32" t="s">
        <v>636</v>
      </c>
      <c r="D1215" s="32" t="s">
        <v>624</v>
      </c>
      <c r="E1215" s="32" t="s">
        <v>494</v>
      </c>
      <c r="F1215" s="32" t="s">
        <v>584</v>
      </c>
      <c r="G1215" s="32" t="str">
        <f t="shared" si="36"/>
        <v>6" ST STUB</v>
      </c>
      <c r="H1215" s="278" t="s">
        <v>527</v>
      </c>
      <c r="I1215" s="32" t="s">
        <v>462</v>
      </c>
      <c r="J1215" s="279">
        <v>1</v>
      </c>
      <c r="K1215" s="280">
        <v>1942.7</v>
      </c>
      <c r="L1215" s="280">
        <v>1942.7</v>
      </c>
      <c r="M1215" s="280">
        <v>0</v>
      </c>
      <c r="N1215" s="281">
        <v>90</v>
      </c>
      <c r="O1215" s="282">
        <v>583</v>
      </c>
      <c r="P1215" s="280">
        <f t="shared" si="37"/>
        <v>12584.378888888888</v>
      </c>
    </row>
    <row r="1216" spans="1:16" x14ac:dyDescent="0.2">
      <c r="A1216" s="32" t="s">
        <v>668</v>
      </c>
      <c r="B1216" s="32" t="s">
        <v>635</v>
      </c>
      <c r="C1216" s="32" t="s">
        <v>636</v>
      </c>
      <c r="D1216" s="32" t="s">
        <v>624</v>
      </c>
      <c r="E1216" s="32" t="s">
        <v>494</v>
      </c>
      <c r="F1216" s="32" t="s">
        <v>584</v>
      </c>
      <c r="G1216" s="32" t="str">
        <f t="shared" si="36"/>
        <v>6" ST STUB</v>
      </c>
      <c r="H1216" s="278" t="s">
        <v>524</v>
      </c>
      <c r="I1216" s="32" t="s">
        <v>462</v>
      </c>
      <c r="J1216" s="279">
        <v>2</v>
      </c>
      <c r="K1216" s="280">
        <v>2902.45</v>
      </c>
      <c r="L1216" s="280">
        <v>2902.45</v>
      </c>
      <c r="M1216" s="280">
        <v>0</v>
      </c>
      <c r="N1216" s="281">
        <v>133</v>
      </c>
      <c r="O1216" s="282">
        <v>583</v>
      </c>
      <c r="P1216" s="280">
        <f t="shared" si="37"/>
        <v>12722.76954887218</v>
      </c>
    </row>
    <row r="1217" spans="1:16" x14ac:dyDescent="0.2">
      <c r="A1217" s="32" t="s">
        <v>668</v>
      </c>
      <c r="B1217" s="32" t="s">
        <v>635</v>
      </c>
      <c r="C1217" s="32" t="s">
        <v>636</v>
      </c>
      <c r="D1217" s="32" t="s">
        <v>624</v>
      </c>
      <c r="E1217" s="32" t="s">
        <v>494</v>
      </c>
      <c r="F1217" s="32" t="s">
        <v>584</v>
      </c>
      <c r="G1217" s="32" t="str">
        <f t="shared" si="36"/>
        <v>6" ST STUB</v>
      </c>
      <c r="H1217" s="278" t="s">
        <v>526</v>
      </c>
      <c r="I1217" s="32" t="s">
        <v>462</v>
      </c>
      <c r="J1217" s="279">
        <v>1</v>
      </c>
      <c r="K1217" s="280">
        <v>4275.76</v>
      </c>
      <c r="L1217" s="280">
        <v>4275.76</v>
      </c>
      <c r="M1217" s="280">
        <v>0</v>
      </c>
      <c r="N1217" s="281">
        <v>153</v>
      </c>
      <c r="O1217" s="282">
        <v>583</v>
      </c>
      <c r="P1217" s="280">
        <f t="shared" si="37"/>
        <v>16292.60183006536</v>
      </c>
    </row>
    <row r="1218" spans="1:16" x14ac:dyDescent="0.2">
      <c r="A1218" s="32" t="s">
        <v>668</v>
      </c>
      <c r="B1218" s="32" t="s">
        <v>635</v>
      </c>
      <c r="C1218" s="32" t="s">
        <v>636</v>
      </c>
      <c r="D1218" s="32" t="s">
        <v>624</v>
      </c>
      <c r="E1218" s="32" t="s">
        <v>494</v>
      </c>
      <c r="F1218" s="32" t="s">
        <v>584</v>
      </c>
      <c r="G1218" s="32" t="str">
        <f t="shared" ref="G1218:G1245" si="38">D1218&amp;" "&amp;E1218&amp;" "&amp;F1218</f>
        <v>6" ST STUB</v>
      </c>
      <c r="H1218" s="278" t="s">
        <v>521</v>
      </c>
      <c r="I1218" s="32" t="s">
        <v>462</v>
      </c>
      <c r="J1218" s="279">
        <v>1</v>
      </c>
      <c r="K1218" s="280">
        <v>4389.8100000000004</v>
      </c>
      <c r="L1218" s="280">
        <v>4389.8100000000004</v>
      </c>
      <c r="M1218" s="280">
        <v>0</v>
      </c>
      <c r="N1218" s="281">
        <v>198</v>
      </c>
      <c r="O1218" s="282">
        <v>583</v>
      </c>
      <c r="P1218" s="280">
        <f t="shared" ref="P1218:P1273" si="39">+(O1218/N1218)*K1218</f>
        <v>12925.551666666668</v>
      </c>
    </row>
    <row r="1219" spans="1:16" x14ac:dyDescent="0.2">
      <c r="A1219" s="32" t="s">
        <v>668</v>
      </c>
      <c r="B1219" s="32" t="s">
        <v>635</v>
      </c>
      <c r="C1219" s="32" t="s">
        <v>636</v>
      </c>
      <c r="D1219" s="32" t="s">
        <v>624</v>
      </c>
      <c r="E1219" s="32" t="s">
        <v>494</v>
      </c>
      <c r="F1219" s="32" t="s">
        <v>584</v>
      </c>
      <c r="G1219" s="32" t="str">
        <f t="shared" si="38"/>
        <v>6" ST STUB</v>
      </c>
      <c r="H1219" s="278" t="s">
        <v>520</v>
      </c>
      <c r="I1219" s="32" t="s">
        <v>462</v>
      </c>
      <c r="J1219" s="279">
        <v>1</v>
      </c>
      <c r="K1219" s="280">
        <v>112.67</v>
      </c>
      <c r="L1219" s="280">
        <v>112.67</v>
      </c>
      <c r="M1219" s="280">
        <v>0</v>
      </c>
      <c r="N1219" s="281">
        <v>222</v>
      </c>
      <c r="O1219" s="282">
        <v>583</v>
      </c>
      <c r="P1219" s="280">
        <f t="shared" si="39"/>
        <v>295.88563063063066</v>
      </c>
    </row>
    <row r="1220" spans="1:16" x14ac:dyDescent="0.2">
      <c r="A1220" s="32" t="s">
        <v>668</v>
      </c>
      <c r="B1220" s="32" t="s">
        <v>635</v>
      </c>
      <c r="C1220" s="32" t="s">
        <v>636</v>
      </c>
      <c r="D1220" s="32" t="s">
        <v>624</v>
      </c>
      <c r="E1220" s="32" t="s">
        <v>494</v>
      </c>
      <c r="F1220" s="32" t="s">
        <v>584</v>
      </c>
      <c r="G1220" s="32" t="str">
        <f t="shared" si="38"/>
        <v>6" ST STUB</v>
      </c>
      <c r="H1220" s="278" t="s">
        <v>516</v>
      </c>
      <c r="I1220" s="32" t="s">
        <v>462</v>
      </c>
      <c r="J1220" s="279">
        <v>2</v>
      </c>
      <c r="K1220" s="280">
        <v>7549.98</v>
      </c>
      <c r="L1220" s="280">
        <v>7549.98</v>
      </c>
      <c r="M1220" s="280">
        <v>0</v>
      </c>
      <c r="N1220" s="281">
        <v>283</v>
      </c>
      <c r="O1220" s="282">
        <v>583</v>
      </c>
      <c r="P1220" s="280">
        <f t="shared" si="39"/>
        <v>15553.492367491164</v>
      </c>
    </row>
    <row r="1221" spans="1:16" x14ac:dyDescent="0.2">
      <c r="A1221" s="32" t="s">
        <v>668</v>
      </c>
      <c r="B1221" s="32" t="s">
        <v>635</v>
      </c>
      <c r="C1221" s="32" t="s">
        <v>636</v>
      </c>
      <c r="D1221" s="32" t="s">
        <v>624</v>
      </c>
      <c r="E1221" s="32" t="s">
        <v>494</v>
      </c>
      <c r="F1221" s="32" t="s">
        <v>584</v>
      </c>
      <c r="G1221" s="32" t="str">
        <f t="shared" si="38"/>
        <v>6" ST STUB</v>
      </c>
      <c r="H1221" s="278" t="s">
        <v>490</v>
      </c>
      <c r="I1221" s="32" t="s">
        <v>462</v>
      </c>
      <c r="J1221" s="279">
        <v>1</v>
      </c>
      <c r="K1221" s="280">
        <v>1812.34</v>
      </c>
      <c r="L1221" s="280">
        <v>1812.34</v>
      </c>
      <c r="M1221" s="280">
        <v>0</v>
      </c>
      <c r="N1221" s="281">
        <v>313</v>
      </c>
      <c r="O1221" s="282">
        <v>583</v>
      </c>
      <c r="P1221" s="280">
        <f t="shared" si="39"/>
        <v>3375.7003833865815</v>
      </c>
    </row>
    <row r="1222" spans="1:16" x14ac:dyDescent="0.2">
      <c r="A1222" s="32" t="s">
        <v>668</v>
      </c>
      <c r="B1222" s="32" t="s">
        <v>635</v>
      </c>
      <c r="C1222" s="32" t="s">
        <v>636</v>
      </c>
      <c r="D1222" s="32" t="s">
        <v>624</v>
      </c>
      <c r="E1222" s="32" t="s">
        <v>494</v>
      </c>
      <c r="F1222" s="32" t="s">
        <v>584</v>
      </c>
      <c r="G1222" s="32" t="str">
        <f t="shared" si="38"/>
        <v>6" ST STUB</v>
      </c>
      <c r="H1222" s="278" t="s">
        <v>491</v>
      </c>
      <c r="I1222" s="32" t="s">
        <v>462</v>
      </c>
      <c r="J1222" s="279">
        <v>1</v>
      </c>
      <c r="K1222" s="280">
        <v>32390.66</v>
      </c>
      <c r="L1222" s="280">
        <v>32390.66</v>
      </c>
      <c r="M1222" s="280">
        <v>0</v>
      </c>
      <c r="N1222" s="281">
        <v>319</v>
      </c>
      <c r="O1222" s="282">
        <v>583</v>
      </c>
      <c r="P1222" s="280">
        <f t="shared" si="39"/>
        <v>59196.723448275865</v>
      </c>
    </row>
    <row r="1223" spans="1:16" x14ac:dyDescent="0.2">
      <c r="A1223" s="32" t="s">
        <v>668</v>
      </c>
      <c r="B1223" s="32" t="s">
        <v>635</v>
      </c>
      <c r="C1223" s="32" t="s">
        <v>636</v>
      </c>
      <c r="D1223" s="32" t="s">
        <v>624</v>
      </c>
      <c r="E1223" s="32" t="s">
        <v>494</v>
      </c>
      <c r="F1223" s="32" t="s">
        <v>584</v>
      </c>
      <c r="G1223" s="32" t="str">
        <f t="shared" si="38"/>
        <v>6" ST STUB</v>
      </c>
      <c r="H1223" s="278" t="s">
        <v>467</v>
      </c>
      <c r="I1223" s="32" t="s">
        <v>462</v>
      </c>
      <c r="J1223" s="279">
        <v>2</v>
      </c>
      <c r="K1223" s="280">
        <v>1680.44</v>
      </c>
      <c r="L1223" s="280">
        <v>1680.44</v>
      </c>
      <c r="M1223" s="280">
        <v>0</v>
      </c>
      <c r="N1223" s="281">
        <v>348</v>
      </c>
      <c r="O1223" s="282">
        <v>583</v>
      </c>
      <c r="P1223" s="280">
        <f t="shared" si="39"/>
        <v>2815.2198850574714</v>
      </c>
    </row>
    <row r="1224" spans="1:16" x14ac:dyDescent="0.2">
      <c r="A1224" s="32" t="s">
        <v>668</v>
      </c>
      <c r="B1224" s="32" t="s">
        <v>635</v>
      </c>
      <c r="C1224" s="32" t="s">
        <v>636</v>
      </c>
      <c r="D1224" s="32" t="s">
        <v>624</v>
      </c>
      <c r="E1224" s="32" t="s">
        <v>494</v>
      </c>
      <c r="F1224" s="32" t="s">
        <v>584</v>
      </c>
      <c r="G1224" s="32" t="str">
        <f t="shared" si="38"/>
        <v>6" ST STUB</v>
      </c>
      <c r="H1224" s="278" t="s">
        <v>476</v>
      </c>
      <c r="I1224" s="32" t="s">
        <v>462</v>
      </c>
      <c r="J1224" s="279">
        <v>1</v>
      </c>
      <c r="K1224" s="280">
        <v>6886.5</v>
      </c>
      <c r="L1224" s="280">
        <v>6886.5</v>
      </c>
      <c r="M1224" s="280">
        <v>0</v>
      </c>
      <c r="N1224" s="281">
        <v>432</v>
      </c>
      <c r="O1224" s="282">
        <v>583</v>
      </c>
      <c r="P1224" s="280">
        <f t="shared" si="39"/>
        <v>9293.5868055555547</v>
      </c>
    </row>
    <row r="1225" spans="1:16" x14ac:dyDescent="0.2">
      <c r="A1225" s="32" t="s">
        <v>669</v>
      </c>
      <c r="B1225" s="32" t="s">
        <v>640</v>
      </c>
      <c r="C1225" s="32" t="s">
        <v>641</v>
      </c>
      <c r="D1225" s="32" t="s">
        <v>624</v>
      </c>
      <c r="E1225" s="32" t="s">
        <v>494</v>
      </c>
      <c r="F1225" s="32" t="s">
        <v>584</v>
      </c>
      <c r="G1225" s="32" t="str">
        <f t="shared" si="38"/>
        <v>6" ST STUB</v>
      </c>
      <c r="H1225" s="278" t="s">
        <v>495</v>
      </c>
      <c r="I1225" s="32" t="s">
        <v>462</v>
      </c>
      <c r="J1225" s="279">
        <v>3</v>
      </c>
      <c r="K1225" s="280">
        <v>5310.58</v>
      </c>
      <c r="L1225" s="280">
        <v>6623.3</v>
      </c>
      <c r="M1225" s="280">
        <v>-1312.72</v>
      </c>
      <c r="N1225" s="281">
        <v>48</v>
      </c>
      <c r="O1225" s="282">
        <v>583</v>
      </c>
      <c r="P1225" s="280">
        <f t="shared" si="39"/>
        <v>64501.419583333336</v>
      </c>
    </row>
    <row r="1226" spans="1:16" x14ac:dyDescent="0.2">
      <c r="A1226" s="32" t="s">
        <v>669</v>
      </c>
      <c r="B1226" s="32" t="s">
        <v>640</v>
      </c>
      <c r="C1226" s="32" t="s">
        <v>641</v>
      </c>
      <c r="D1226" s="32" t="s">
        <v>624</v>
      </c>
      <c r="E1226" s="32" t="s">
        <v>494</v>
      </c>
      <c r="F1226" s="32" t="s">
        <v>584</v>
      </c>
      <c r="G1226" s="32" t="str">
        <f t="shared" si="38"/>
        <v>6" ST STUB</v>
      </c>
      <c r="H1226" s="278" t="s">
        <v>496</v>
      </c>
      <c r="I1226" s="32" t="s">
        <v>462</v>
      </c>
      <c r="J1226" s="279">
        <v>2</v>
      </c>
      <c r="K1226" s="280">
        <v>1675.86</v>
      </c>
      <c r="L1226" s="280">
        <v>2082.37</v>
      </c>
      <c r="M1226" s="280">
        <v>-406.51</v>
      </c>
      <c r="N1226" s="281">
        <v>51</v>
      </c>
      <c r="O1226" s="282">
        <v>583</v>
      </c>
      <c r="P1226" s="280">
        <f t="shared" si="39"/>
        <v>19157.38</v>
      </c>
    </row>
    <row r="1227" spans="1:16" x14ac:dyDescent="0.2">
      <c r="A1227" s="32" t="s">
        <v>669</v>
      </c>
      <c r="B1227" s="32" t="s">
        <v>640</v>
      </c>
      <c r="C1227" s="32" t="s">
        <v>641</v>
      </c>
      <c r="D1227" s="32" t="s">
        <v>624</v>
      </c>
      <c r="E1227" s="32" t="s">
        <v>494</v>
      </c>
      <c r="F1227" s="32" t="s">
        <v>584</v>
      </c>
      <c r="G1227" s="32" t="str">
        <f t="shared" si="38"/>
        <v>6" ST STUB</v>
      </c>
      <c r="H1227" s="278" t="s">
        <v>507</v>
      </c>
      <c r="I1227" s="32" t="s">
        <v>462</v>
      </c>
      <c r="J1227" s="279">
        <v>1</v>
      </c>
      <c r="K1227" s="280">
        <v>344.92</v>
      </c>
      <c r="L1227" s="280">
        <v>425.4</v>
      </c>
      <c r="M1227" s="280">
        <v>-80.48</v>
      </c>
      <c r="N1227" s="281">
        <v>57</v>
      </c>
      <c r="O1227" s="282">
        <v>583</v>
      </c>
      <c r="P1227" s="280">
        <f t="shared" si="39"/>
        <v>3527.8659649122806</v>
      </c>
    </row>
    <row r="1228" spans="1:16" x14ac:dyDescent="0.2">
      <c r="A1228" s="32" t="s">
        <v>669</v>
      </c>
      <c r="B1228" s="32" t="s">
        <v>640</v>
      </c>
      <c r="C1228" s="32" t="s">
        <v>641</v>
      </c>
      <c r="D1228" s="32" t="s">
        <v>624</v>
      </c>
      <c r="E1228" s="32" t="s">
        <v>494</v>
      </c>
      <c r="F1228" s="32" t="s">
        <v>584</v>
      </c>
      <c r="G1228" s="32" t="str">
        <f t="shared" si="38"/>
        <v>6" ST STUB</v>
      </c>
      <c r="H1228" s="278" t="s">
        <v>508</v>
      </c>
      <c r="I1228" s="32" t="s">
        <v>462</v>
      </c>
      <c r="J1228" s="279">
        <v>1</v>
      </c>
      <c r="K1228" s="280">
        <v>1642.09</v>
      </c>
      <c r="L1228" s="280">
        <v>2017.65</v>
      </c>
      <c r="M1228" s="280">
        <v>-375.56</v>
      </c>
      <c r="N1228" s="281">
        <v>59</v>
      </c>
      <c r="O1228" s="282">
        <v>583</v>
      </c>
      <c r="P1228" s="280">
        <f t="shared" si="39"/>
        <v>16226.075762711862</v>
      </c>
    </row>
    <row r="1229" spans="1:16" x14ac:dyDescent="0.2">
      <c r="A1229" s="32" t="s">
        <v>669</v>
      </c>
      <c r="B1229" s="32" t="s">
        <v>640</v>
      </c>
      <c r="C1229" s="32" t="s">
        <v>641</v>
      </c>
      <c r="D1229" s="32" t="s">
        <v>624</v>
      </c>
      <c r="E1229" s="32" t="s">
        <v>494</v>
      </c>
      <c r="F1229" s="32" t="s">
        <v>584</v>
      </c>
      <c r="G1229" s="32" t="str">
        <f t="shared" si="38"/>
        <v>6" ST STUB</v>
      </c>
      <c r="H1229" s="278" t="s">
        <v>510</v>
      </c>
      <c r="I1229" s="32" t="s">
        <v>462</v>
      </c>
      <c r="J1229" s="279">
        <v>1</v>
      </c>
      <c r="K1229" s="280">
        <v>93.01</v>
      </c>
      <c r="L1229" s="280">
        <v>113.85</v>
      </c>
      <c r="M1229" s="280">
        <v>-20.84</v>
      </c>
      <c r="N1229" s="281">
        <v>60</v>
      </c>
      <c r="O1229" s="282">
        <v>583</v>
      </c>
      <c r="P1229" s="280">
        <f t="shared" si="39"/>
        <v>903.74716666666677</v>
      </c>
    </row>
    <row r="1230" spans="1:16" x14ac:dyDescent="0.2">
      <c r="A1230" s="32" t="s">
        <v>669</v>
      </c>
      <c r="B1230" s="32" t="s">
        <v>640</v>
      </c>
      <c r="C1230" s="32" t="s">
        <v>641</v>
      </c>
      <c r="D1230" s="32" t="s">
        <v>624</v>
      </c>
      <c r="E1230" s="32" t="s">
        <v>494</v>
      </c>
      <c r="F1230" s="32" t="s">
        <v>584</v>
      </c>
      <c r="G1230" s="32" t="str">
        <f t="shared" si="38"/>
        <v>6" ST STUB</v>
      </c>
      <c r="H1230" s="278" t="s">
        <v>511</v>
      </c>
      <c r="I1230" s="32" t="s">
        <v>462</v>
      </c>
      <c r="J1230" s="279">
        <v>1</v>
      </c>
      <c r="K1230" s="280">
        <v>979.49</v>
      </c>
      <c r="L1230" s="280">
        <v>1194.46</v>
      </c>
      <c r="M1230" s="280">
        <v>-214.97</v>
      </c>
      <c r="N1230" s="281">
        <v>61</v>
      </c>
      <c r="O1230" s="282">
        <v>583</v>
      </c>
      <c r="P1230" s="280">
        <f t="shared" si="39"/>
        <v>9361.3552459016391</v>
      </c>
    </row>
    <row r="1231" spans="1:16" x14ac:dyDescent="0.2">
      <c r="A1231" s="32" t="s">
        <v>670</v>
      </c>
      <c r="B1231" s="32" t="s">
        <v>635</v>
      </c>
      <c r="C1231" s="32" t="s">
        <v>636</v>
      </c>
      <c r="D1231" s="32" t="s">
        <v>671</v>
      </c>
      <c r="E1231" s="32" t="s">
        <v>494</v>
      </c>
      <c r="F1231" s="32" t="s">
        <v>581</v>
      </c>
      <c r="G1231" s="32" t="str">
        <f t="shared" si="38"/>
        <v>8" ST EXTN</v>
      </c>
      <c r="H1231" s="278" t="s">
        <v>532</v>
      </c>
      <c r="I1231" s="32" t="s">
        <v>462</v>
      </c>
      <c r="J1231" s="279">
        <v>4</v>
      </c>
      <c r="K1231" s="280">
        <v>7920.06</v>
      </c>
      <c r="L1231" s="280">
        <v>7920.06</v>
      </c>
      <c r="M1231" s="280">
        <v>0</v>
      </c>
      <c r="N1231" s="281">
        <v>71</v>
      </c>
      <c r="O1231" s="282">
        <v>583</v>
      </c>
      <c r="P1231" s="280">
        <f t="shared" si="39"/>
        <v>65033.732112676051</v>
      </c>
    </row>
    <row r="1232" spans="1:16" x14ac:dyDescent="0.2">
      <c r="A1232" s="32" t="s">
        <v>670</v>
      </c>
      <c r="B1232" s="32" t="s">
        <v>635</v>
      </c>
      <c r="C1232" s="32" t="s">
        <v>636</v>
      </c>
      <c r="D1232" s="32" t="s">
        <v>671</v>
      </c>
      <c r="E1232" s="32" t="s">
        <v>494</v>
      </c>
      <c r="F1232" s="32" t="s">
        <v>581</v>
      </c>
      <c r="G1232" s="32" t="str">
        <f t="shared" si="38"/>
        <v>8" ST EXTN</v>
      </c>
      <c r="H1232" s="278" t="s">
        <v>535</v>
      </c>
      <c r="I1232" s="32" t="s">
        <v>462</v>
      </c>
      <c r="J1232" s="279">
        <v>1</v>
      </c>
      <c r="K1232" s="280">
        <v>1556.17</v>
      </c>
      <c r="L1232" s="280">
        <v>1556.17</v>
      </c>
      <c r="M1232" s="280">
        <v>0</v>
      </c>
      <c r="N1232" s="281">
        <v>74</v>
      </c>
      <c r="O1232" s="282">
        <v>583</v>
      </c>
      <c r="P1232" s="280">
        <f t="shared" si="39"/>
        <v>12260.096081081081</v>
      </c>
    </row>
    <row r="1233" spans="1:16" x14ac:dyDescent="0.2">
      <c r="A1233" s="32" t="s">
        <v>670</v>
      </c>
      <c r="B1233" s="32" t="s">
        <v>635</v>
      </c>
      <c r="C1233" s="32" t="s">
        <v>636</v>
      </c>
      <c r="D1233" s="32" t="s">
        <v>671</v>
      </c>
      <c r="E1233" s="32" t="s">
        <v>494</v>
      </c>
      <c r="F1233" s="32" t="s">
        <v>581</v>
      </c>
      <c r="G1233" s="32" t="str">
        <f t="shared" si="38"/>
        <v>8" ST EXTN</v>
      </c>
      <c r="H1233" s="278" t="s">
        <v>527</v>
      </c>
      <c r="I1233" s="32" t="s">
        <v>462</v>
      </c>
      <c r="J1233" s="279">
        <v>2</v>
      </c>
      <c r="K1233" s="280">
        <v>5304.18</v>
      </c>
      <c r="L1233" s="280">
        <v>5304.18</v>
      </c>
      <c r="M1233" s="280">
        <v>0</v>
      </c>
      <c r="N1233" s="281">
        <v>90</v>
      </c>
      <c r="O1233" s="282">
        <v>583</v>
      </c>
      <c r="P1233" s="280">
        <f t="shared" si="39"/>
        <v>34359.299333333336</v>
      </c>
    </row>
    <row r="1234" spans="1:16" x14ac:dyDescent="0.2">
      <c r="A1234" s="32" t="s">
        <v>670</v>
      </c>
      <c r="B1234" s="32" t="s">
        <v>635</v>
      </c>
      <c r="C1234" s="32" t="s">
        <v>636</v>
      </c>
      <c r="D1234" s="32" t="s">
        <v>671</v>
      </c>
      <c r="E1234" s="32" t="s">
        <v>494</v>
      </c>
      <c r="F1234" s="32" t="s">
        <v>581</v>
      </c>
      <c r="G1234" s="32" t="str">
        <f t="shared" si="38"/>
        <v>8" ST EXTN</v>
      </c>
      <c r="H1234" s="278" t="s">
        <v>516</v>
      </c>
      <c r="I1234" s="32" t="s">
        <v>462</v>
      </c>
      <c r="J1234" s="279">
        <v>1</v>
      </c>
      <c r="K1234" s="280">
        <v>13515.29</v>
      </c>
      <c r="L1234" s="280">
        <v>13515.29</v>
      </c>
      <c r="M1234" s="280">
        <v>0</v>
      </c>
      <c r="N1234" s="281">
        <v>283</v>
      </c>
      <c r="O1234" s="282">
        <v>583</v>
      </c>
      <c r="P1234" s="280">
        <f t="shared" si="39"/>
        <v>27842.452544169613</v>
      </c>
    </row>
    <row r="1235" spans="1:16" x14ac:dyDescent="0.2">
      <c r="A1235" s="32" t="s">
        <v>670</v>
      </c>
      <c r="B1235" s="32" t="s">
        <v>635</v>
      </c>
      <c r="C1235" s="32" t="s">
        <v>636</v>
      </c>
      <c r="D1235" s="32" t="s">
        <v>671</v>
      </c>
      <c r="E1235" s="32" t="s">
        <v>494</v>
      </c>
      <c r="F1235" s="32" t="s">
        <v>581</v>
      </c>
      <c r="G1235" s="32" t="str">
        <f t="shared" si="38"/>
        <v>8" ST EXTN</v>
      </c>
      <c r="H1235" s="278" t="s">
        <v>465</v>
      </c>
      <c r="I1235" s="32" t="s">
        <v>462</v>
      </c>
      <c r="J1235" s="279">
        <v>1</v>
      </c>
      <c r="K1235" s="280">
        <v>10727.7</v>
      </c>
      <c r="L1235" s="280">
        <v>10727.7</v>
      </c>
      <c r="M1235" s="280">
        <v>0</v>
      </c>
      <c r="N1235" s="281">
        <v>308</v>
      </c>
      <c r="O1235" s="282">
        <v>583</v>
      </c>
      <c r="P1235" s="280">
        <f t="shared" si="39"/>
        <v>20306.003571428573</v>
      </c>
    </row>
    <row r="1236" spans="1:16" x14ac:dyDescent="0.2">
      <c r="A1236" s="32" t="s">
        <v>670</v>
      </c>
      <c r="B1236" s="32" t="s">
        <v>635</v>
      </c>
      <c r="C1236" s="32" t="s">
        <v>636</v>
      </c>
      <c r="D1236" s="32" t="s">
        <v>671</v>
      </c>
      <c r="E1236" s="32" t="s">
        <v>494</v>
      </c>
      <c r="F1236" s="32" t="s">
        <v>581</v>
      </c>
      <c r="G1236" s="32" t="str">
        <f t="shared" si="38"/>
        <v>8" ST EXTN</v>
      </c>
      <c r="H1236" s="278" t="s">
        <v>490</v>
      </c>
      <c r="I1236" s="32" t="s">
        <v>462</v>
      </c>
      <c r="J1236" s="279">
        <v>2</v>
      </c>
      <c r="K1236" s="280">
        <v>8538.18</v>
      </c>
      <c r="L1236" s="280">
        <v>8538.18</v>
      </c>
      <c r="M1236" s="280">
        <v>0</v>
      </c>
      <c r="N1236" s="281">
        <v>313</v>
      </c>
      <c r="O1236" s="282">
        <v>583</v>
      </c>
      <c r="P1236" s="280">
        <f t="shared" si="39"/>
        <v>15903.38319488818</v>
      </c>
    </row>
    <row r="1237" spans="1:16" x14ac:dyDescent="0.2">
      <c r="A1237" s="32" t="s">
        <v>670</v>
      </c>
      <c r="B1237" s="32" t="s">
        <v>635</v>
      </c>
      <c r="C1237" s="32" t="s">
        <v>636</v>
      </c>
      <c r="D1237" s="32" t="s">
        <v>671</v>
      </c>
      <c r="E1237" s="32" t="s">
        <v>494</v>
      </c>
      <c r="F1237" s="32" t="s">
        <v>581</v>
      </c>
      <c r="G1237" s="32" t="str">
        <f t="shared" si="38"/>
        <v>8" ST EXTN</v>
      </c>
      <c r="H1237" s="278" t="s">
        <v>491</v>
      </c>
      <c r="I1237" s="32" t="s">
        <v>462</v>
      </c>
      <c r="J1237" s="279">
        <v>1</v>
      </c>
      <c r="K1237" s="280">
        <v>24833.93</v>
      </c>
      <c r="L1237" s="280">
        <v>24833.93</v>
      </c>
      <c r="M1237" s="280">
        <v>0</v>
      </c>
      <c r="N1237" s="281">
        <v>319</v>
      </c>
      <c r="O1237" s="282">
        <v>583</v>
      </c>
      <c r="P1237" s="280">
        <f t="shared" si="39"/>
        <v>45386.147931034488</v>
      </c>
    </row>
    <row r="1238" spans="1:16" x14ac:dyDescent="0.2">
      <c r="A1238" s="32" t="s">
        <v>670</v>
      </c>
      <c r="B1238" s="32" t="s">
        <v>635</v>
      </c>
      <c r="C1238" s="32" t="s">
        <v>636</v>
      </c>
      <c r="D1238" s="32" t="s">
        <v>671</v>
      </c>
      <c r="E1238" s="32" t="s">
        <v>494</v>
      </c>
      <c r="F1238" s="32" t="s">
        <v>581</v>
      </c>
      <c r="G1238" s="32" t="str">
        <f t="shared" si="38"/>
        <v>8" ST EXTN</v>
      </c>
      <c r="H1238" s="278" t="s">
        <v>467</v>
      </c>
      <c r="I1238" s="32" t="s">
        <v>462</v>
      </c>
      <c r="J1238" s="279">
        <v>2</v>
      </c>
      <c r="K1238" s="280">
        <v>3364.7</v>
      </c>
      <c r="L1238" s="280">
        <v>3364.7</v>
      </c>
      <c r="M1238" s="280">
        <v>0</v>
      </c>
      <c r="N1238" s="281">
        <v>348</v>
      </c>
      <c r="O1238" s="282">
        <v>583</v>
      </c>
      <c r="P1238" s="280">
        <f t="shared" si="39"/>
        <v>5636.8393678160919</v>
      </c>
    </row>
    <row r="1239" spans="1:16" x14ac:dyDescent="0.2">
      <c r="A1239" s="32" t="s">
        <v>672</v>
      </c>
      <c r="B1239" s="32" t="s">
        <v>635</v>
      </c>
      <c r="C1239" s="32" t="s">
        <v>636</v>
      </c>
      <c r="D1239" s="32" t="s">
        <v>671</v>
      </c>
      <c r="E1239" s="32" t="s">
        <v>494</v>
      </c>
      <c r="F1239" s="32" t="s">
        <v>584</v>
      </c>
      <c r="G1239" s="32" t="str">
        <f t="shared" si="38"/>
        <v>8" ST STUB</v>
      </c>
      <c r="H1239" s="278" t="s">
        <v>532</v>
      </c>
      <c r="I1239" s="32" t="s">
        <v>462</v>
      </c>
      <c r="J1239" s="279">
        <v>4</v>
      </c>
      <c r="K1239" s="280">
        <v>2929.34</v>
      </c>
      <c r="L1239" s="280">
        <v>2929.34</v>
      </c>
      <c r="M1239" s="280">
        <v>0</v>
      </c>
      <c r="N1239" s="281">
        <v>71</v>
      </c>
      <c r="O1239" s="282">
        <v>583</v>
      </c>
      <c r="P1239" s="280">
        <f t="shared" si="39"/>
        <v>24053.594647887323</v>
      </c>
    </row>
    <row r="1240" spans="1:16" x14ac:dyDescent="0.2">
      <c r="A1240" s="32" t="s">
        <v>672</v>
      </c>
      <c r="B1240" s="32" t="s">
        <v>635</v>
      </c>
      <c r="C1240" s="32" t="s">
        <v>636</v>
      </c>
      <c r="D1240" s="32" t="s">
        <v>671</v>
      </c>
      <c r="E1240" s="32" t="s">
        <v>494</v>
      </c>
      <c r="F1240" s="32" t="s">
        <v>584</v>
      </c>
      <c r="G1240" s="32" t="str">
        <f t="shared" si="38"/>
        <v>8" ST STUB</v>
      </c>
      <c r="H1240" s="278" t="s">
        <v>527</v>
      </c>
      <c r="I1240" s="32" t="s">
        <v>462</v>
      </c>
      <c r="J1240" s="279">
        <v>2</v>
      </c>
      <c r="K1240" s="280">
        <v>1961.82</v>
      </c>
      <c r="L1240" s="280">
        <v>1961.82</v>
      </c>
      <c r="M1240" s="280">
        <v>0</v>
      </c>
      <c r="N1240" s="281">
        <v>90</v>
      </c>
      <c r="O1240" s="282">
        <v>583</v>
      </c>
      <c r="P1240" s="280">
        <f t="shared" si="39"/>
        <v>12708.234</v>
      </c>
    </row>
    <row r="1241" spans="1:16" x14ac:dyDescent="0.2">
      <c r="A1241" s="32" t="s">
        <v>672</v>
      </c>
      <c r="B1241" s="32" t="s">
        <v>635</v>
      </c>
      <c r="C1241" s="32" t="s">
        <v>636</v>
      </c>
      <c r="D1241" s="32" t="s">
        <v>671</v>
      </c>
      <c r="E1241" s="32" t="s">
        <v>494</v>
      </c>
      <c r="F1241" s="32" t="s">
        <v>584</v>
      </c>
      <c r="G1241" s="32" t="str">
        <f t="shared" si="38"/>
        <v>8" ST STUB</v>
      </c>
      <c r="H1241" s="278" t="s">
        <v>516</v>
      </c>
      <c r="I1241" s="32" t="s">
        <v>462</v>
      </c>
      <c r="J1241" s="279">
        <v>1</v>
      </c>
      <c r="K1241" s="280">
        <v>4998.8100000000004</v>
      </c>
      <c r="L1241" s="280">
        <v>4998.8100000000004</v>
      </c>
      <c r="M1241" s="280">
        <v>0</v>
      </c>
      <c r="N1241" s="281">
        <v>283</v>
      </c>
      <c r="O1241" s="282">
        <v>583</v>
      </c>
      <c r="P1241" s="280">
        <f t="shared" si="39"/>
        <v>10297.901872791521</v>
      </c>
    </row>
    <row r="1242" spans="1:16" x14ac:dyDescent="0.2">
      <c r="A1242" s="32" t="s">
        <v>672</v>
      </c>
      <c r="B1242" s="32" t="s">
        <v>635</v>
      </c>
      <c r="C1242" s="32" t="s">
        <v>636</v>
      </c>
      <c r="D1242" s="32" t="s">
        <v>671</v>
      </c>
      <c r="E1242" s="32" t="s">
        <v>494</v>
      </c>
      <c r="F1242" s="32" t="s">
        <v>584</v>
      </c>
      <c r="G1242" s="32" t="str">
        <f t="shared" si="38"/>
        <v>8" ST STUB</v>
      </c>
      <c r="H1242" s="278" t="s">
        <v>465</v>
      </c>
      <c r="I1242" s="32" t="s">
        <v>462</v>
      </c>
      <c r="J1242" s="279">
        <v>1</v>
      </c>
      <c r="K1242" s="280">
        <v>3967.72</v>
      </c>
      <c r="L1242" s="280">
        <v>3967.72</v>
      </c>
      <c r="M1242" s="280">
        <v>0</v>
      </c>
      <c r="N1242" s="281">
        <v>308</v>
      </c>
      <c r="O1242" s="282">
        <v>583</v>
      </c>
      <c r="P1242" s="280">
        <f t="shared" si="39"/>
        <v>7510.3271428571425</v>
      </c>
    </row>
    <row r="1243" spans="1:16" x14ac:dyDescent="0.2">
      <c r="A1243" s="32" t="s">
        <v>672</v>
      </c>
      <c r="B1243" s="32" t="s">
        <v>635</v>
      </c>
      <c r="C1243" s="32" t="s">
        <v>636</v>
      </c>
      <c r="D1243" s="32" t="s">
        <v>671</v>
      </c>
      <c r="E1243" s="32" t="s">
        <v>494</v>
      </c>
      <c r="F1243" s="32" t="s">
        <v>584</v>
      </c>
      <c r="G1243" s="32" t="str">
        <f t="shared" si="38"/>
        <v>8" ST STUB</v>
      </c>
      <c r="H1243" s="278" t="s">
        <v>490</v>
      </c>
      <c r="I1243" s="32" t="s">
        <v>462</v>
      </c>
      <c r="J1243" s="279">
        <v>2</v>
      </c>
      <c r="K1243" s="280">
        <v>3157.96</v>
      </c>
      <c r="L1243" s="280">
        <v>3157.96</v>
      </c>
      <c r="M1243" s="280">
        <v>0</v>
      </c>
      <c r="N1243" s="281">
        <v>313</v>
      </c>
      <c r="O1243" s="282">
        <v>583</v>
      </c>
      <c r="P1243" s="280">
        <f t="shared" si="39"/>
        <v>5882.0788498402562</v>
      </c>
    </row>
    <row r="1244" spans="1:16" x14ac:dyDescent="0.2">
      <c r="A1244" s="32" t="s">
        <v>672</v>
      </c>
      <c r="B1244" s="32" t="s">
        <v>635</v>
      </c>
      <c r="C1244" s="32" t="s">
        <v>636</v>
      </c>
      <c r="D1244" s="32" t="s">
        <v>671</v>
      </c>
      <c r="E1244" s="32" t="s">
        <v>494</v>
      </c>
      <c r="F1244" s="32" t="s">
        <v>584</v>
      </c>
      <c r="G1244" s="32" t="str">
        <f t="shared" si="38"/>
        <v>8" ST STUB</v>
      </c>
      <c r="H1244" s="278" t="s">
        <v>491</v>
      </c>
      <c r="I1244" s="32" t="s">
        <v>462</v>
      </c>
      <c r="J1244" s="279">
        <v>1</v>
      </c>
      <c r="K1244" s="280">
        <v>9185.15</v>
      </c>
      <c r="L1244" s="280">
        <v>9185.15</v>
      </c>
      <c r="M1244" s="280">
        <v>0</v>
      </c>
      <c r="N1244" s="281">
        <v>319</v>
      </c>
      <c r="O1244" s="282">
        <v>583</v>
      </c>
      <c r="P1244" s="280">
        <f t="shared" si="39"/>
        <v>16786.653448275862</v>
      </c>
    </row>
    <row r="1245" spans="1:16" x14ac:dyDescent="0.2">
      <c r="A1245" s="32" t="s">
        <v>672</v>
      </c>
      <c r="B1245" s="32" t="s">
        <v>635</v>
      </c>
      <c r="C1245" s="32" t="s">
        <v>636</v>
      </c>
      <c r="D1245" s="32" t="s">
        <v>671</v>
      </c>
      <c r="E1245" s="32" t="s">
        <v>494</v>
      </c>
      <c r="F1245" s="32" t="s">
        <v>584</v>
      </c>
      <c r="G1245" s="32" t="str">
        <f t="shared" si="38"/>
        <v>8" ST STUB</v>
      </c>
      <c r="H1245" s="278" t="s">
        <v>467</v>
      </c>
      <c r="I1245" s="32" t="s">
        <v>462</v>
      </c>
      <c r="J1245" s="279">
        <v>2</v>
      </c>
      <c r="K1245" s="280">
        <v>3364.7</v>
      </c>
      <c r="L1245" s="280">
        <v>3364.7</v>
      </c>
      <c r="M1245" s="280">
        <v>0</v>
      </c>
      <c r="N1245" s="281">
        <v>348</v>
      </c>
      <c r="O1245" s="282">
        <v>583</v>
      </c>
      <c r="P1245" s="280">
        <f t="shared" si="39"/>
        <v>5636.8393678160919</v>
      </c>
    </row>
    <row r="1246" spans="1:16" x14ac:dyDescent="0.2">
      <c r="A1246" s="32" t="s">
        <v>673</v>
      </c>
      <c r="B1246" s="32" t="s">
        <v>674</v>
      </c>
      <c r="C1246" s="32" t="s">
        <v>675</v>
      </c>
      <c r="H1246" s="278" t="s">
        <v>469</v>
      </c>
      <c r="I1246" s="32" t="s">
        <v>462</v>
      </c>
      <c r="J1246" s="279">
        <v>1</v>
      </c>
      <c r="K1246" s="280">
        <v>13828.66</v>
      </c>
      <c r="L1246" s="280">
        <v>316.67</v>
      </c>
      <c r="M1246" s="280">
        <v>13511.99</v>
      </c>
      <c r="N1246" s="281">
        <v>583</v>
      </c>
      <c r="O1246" s="284">
        <v>583</v>
      </c>
      <c r="P1246" s="280">
        <f t="shared" si="39"/>
        <v>13828.66</v>
      </c>
    </row>
    <row r="1247" spans="1:16" x14ac:dyDescent="0.2">
      <c r="A1247" s="32" t="s">
        <v>673</v>
      </c>
      <c r="B1247" s="32" t="s">
        <v>676</v>
      </c>
      <c r="C1247" s="32" t="s">
        <v>677</v>
      </c>
      <c r="H1247" s="278" t="s">
        <v>479</v>
      </c>
      <c r="I1247" s="32" t="s">
        <v>462</v>
      </c>
      <c r="J1247" s="279">
        <v>8</v>
      </c>
      <c r="K1247" s="280">
        <v>2564.0500000000002</v>
      </c>
      <c r="L1247" s="280">
        <v>959.66</v>
      </c>
      <c r="M1247" s="280">
        <v>1604.39</v>
      </c>
      <c r="N1247" s="281">
        <v>362</v>
      </c>
      <c r="O1247" s="282">
        <v>583</v>
      </c>
      <c r="P1247" s="280">
        <f t="shared" si="39"/>
        <v>4129.3954419889506</v>
      </c>
    </row>
    <row r="1248" spans="1:16" x14ac:dyDescent="0.2">
      <c r="A1248" s="32" t="s">
        <v>673</v>
      </c>
      <c r="B1248" s="32" t="s">
        <v>676</v>
      </c>
      <c r="C1248" s="32" t="s">
        <v>677</v>
      </c>
      <c r="H1248" s="278" t="s">
        <v>480</v>
      </c>
      <c r="I1248" s="32" t="s">
        <v>462</v>
      </c>
      <c r="J1248" s="279">
        <v>13644</v>
      </c>
      <c r="K1248" s="280">
        <v>736551.89</v>
      </c>
      <c r="L1248" s="280">
        <v>253620.12</v>
      </c>
      <c r="M1248" s="280">
        <v>482931.77</v>
      </c>
      <c r="N1248" s="281">
        <v>371</v>
      </c>
      <c r="O1248" s="282">
        <v>583</v>
      </c>
      <c r="P1248" s="280">
        <f t="shared" si="39"/>
        <v>1157438.6842857143</v>
      </c>
    </row>
    <row r="1249" spans="1:16" x14ac:dyDescent="0.2">
      <c r="A1249" s="32" t="s">
        <v>673</v>
      </c>
      <c r="B1249" s="32" t="s">
        <v>676</v>
      </c>
      <c r="C1249" s="32" t="s">
        <v>677</v>
      </c>
      <c r="H1249" s="278" t="s">
        <v>472</v>
      </c>
      <c r="I1249" s="32" t="s">
        <v>462</v>
      </c>
      <c r="J1249" s="279">
        <v>257</v>
      </c>
      <c r="K1249" s="280">
        <v>1503193.97</v>
      </c>
      <c r="L1249" s="280">
        <v>472592.5</v>
      </c>
      <c r="M1249" s="280">
        <v>1030601.47</v>
      </c>
      <c r="N1249" s="281">
        <v>380</v>
      </c>
      <c r="O1249" s="282">
        <v>583</v>
      </c>
      <c r="P1249" s="280">
        <f t="shared" si="39"/>
        <v>2306216.011868421</v>
      </c>
    </row>
    <row r="1250" spans="1:16" x14ac:dyDescent="0.2">
      <c r="A1250" s="32" t="s">
        <v>673</v>
      </c>
      <c r="B1250" s="32" t="s">
        <v>676</v>
      </c>
      <c r="C1250" s="32" t="s">
        <v>677</v>
      </c>
      <c r="H1250" s="278" t="s">
        <v>478</v>
      </c>
      <c r="I1250" s="32" t="s">
        <v>462</v>
      </c>
      <c r="J1250" s="279">
        <v>817</v>
      </c>
      <c r="K1250" s="280">
        <v>1405617.18</v>
      </c>
      <c r="L1250" s="280">
        <v>399827.98</v>
      </c>
      <c r="M1250" s="280">
        <v>1005789.2</v>
      </c>
      <c r="N1250" s="281">
        <v>386</v>
      </c>
      <c r="O1250" s="282">
        <v>583</v>
      </c>
      <c r="P1250" s="280">
        <f t="shared" si="39"/>
        <v>2122991.7511398965</v>
      </c>
    </row>
    <row r="1251" spans="1:16" x14ac:dyDescent="0.2">
      <c r="A1251" s="32" t="s">
        <v>673</v>
      </c>
      <c r="B1251" s="32" t="s">
        <v>676</v>
      </c>
      <c r="C1251" s="32" t="s">
        <v>677</v>
      </c>
      <c r="H1251" s="278" t="s">
        <v>475</v>
      </c>
      <c r="I1251" s="32" t="s">
        <v>462</v>
      </c>
      <c r="J1251" s="279">
        <v>344</v>
      </c>
      <c r="K1251" s="280">
        <v>554931.99</v>
      </c>
      <c r="L1251" s="280">
        <v>141234.63</v>
      </c>
      <c r="M1251" s="280">
        <v>413697.36</v>
      </c>
      <c r="N1251" s="281">
        <v>397</v>
      </c>
      <c r="O1251" s="282">
        <v>583</v>
      </c>
      <c r="P1251" s="280">
        <f t="shared" si="39"/>
        <v>814925.31528967258</v>
      </c>
    </row>
    <row r="1252" spans="1:16" x14ac:dyDescent="0.2">
      <c r="A1252" s="32" t="s">
        <v>673</v>
      </c>
      <c r="B1252" s="32" t="s">
        <v>676</v>
      </c>
      <c r="C1252" s="32" t="s">
        <v>677</v>
      </c>
      <c r="H1252" s="278" t="s">
        <v>471</v>
      </c>
      <c r="I1252" s="32" t="s">
        <v>462</v>
      </c>
      <c r="J1252" s="279">
        <v>77</v>
      </c>
      <c r="K1252" s="280">
        <v>118926.57</v>
      </c>
      <c r="L1252" s="280">
        <v>26706.85</v>
      </c>
      <c r="M1252" s="280">
        <v>92219.72</v>
      </c>
      <c r="N1252" s="281">
        <v>402</v>
      </c>
      <c r="O1252" s="282">
        <v>583</v>
      </c>
      <c r="P1252" s="280">
        <f t="shared" si="39"/>
        <v>172473.11022388062</v>
      </c>
    </row>
    <row r="1253" spans="1:16" x14ac:dyDescent="0.2">
      <c r="A1253" s="32" t="s">
        <v>673</v>
      </c>
      <c r="B1253" s="32" t="s">
        <v>676</v>
      </c>
      <c r="C1253" s="32" t="s">
        <v>677</v>
      </c>
      <c r="H1253" s="278" t="s">
        <v>476</v>
      </c>
      <c r="I1253" s="32" t="s">
        <v>462</v>
      </c>
      <c r="J1253" s="279">
        <v>234</v>
      </c>
      <c r="K1253" s="280">
        <v>247169.63</v>
      </c>
      <c r="L1253" s="280">
        <v>48105.08</v>
      </c>
      <c r="M1253" s="280">
        <v>199064.55</v>
      </c>
      <c r="N1253" s="281">
        <v>432</v>
      </c>
      <c r="O1253" s="282">
        <v>583</v>
      </c>
      <c r="P1253" s="280">
        <f t="shared" si="39"/>
        <v>333564.57011574076</v>
      </c>
    </row>
    <row r="1254" spans="1:16" x14ac:dyDescent="0.2">
      <c r="A1254" s="32" t="s">
        <v>673</v>
      </c>
      <c r="B1254" s="32" t="s">
        <v>676</v>
      </c>
      <c r="C1254" s="32" t="s">
        <v>677</v>
      </c>
      <c r="H1254" s="278" t="s">
        <v>474</v>
      </c>
      <c r="I1254" s="32" t="s">
        <v>462</v>
      </c>
      <c r="J1254" s="279">
        <v>119</v>
      </c>
      <c r="K1254" s="280">
        <v>627332.87</v>
      </c>
      <c r="L1254" s="280">
        <v>103310.21</v>
      </c>
      <c r="M1254" s="280">
        <v>524022.66</v>
      </c>
      <c r="N1254" s="281">
        <v>489</v>
      </c>
      <c r="O1254" s="282">
        <v>583</v>
      </c>
      <c r="P1254" s="280">
        <f t="shared" si="39"/>
        <v>747924.46464212681</v>
      </c>
    </row>
    <row r="1255" spans="1:16" x14ac:dyDescent="0.2">
      <c r="A1255" s="32" t="s">
        <v>673</v>
      </c>
      <c r="B1255" s="32" t="s">
        <v>676</v>
      </c>
      <c r="C1255" s="32" t="s">
        <v>677</v>
      </c>
      <c r="H1255" s="278" t="s">
        <v>477</v>
      </c>
      <c r="I1255" s="32" t="s">
        <v>462</v>
      </c>
      <c r="J1255" s="279">
        <v>408</v>
      </c>
      <c r="K1255" s="280">
        <v>7445013.29</v>
      </c>
      <c r="L1255" s="280">
        <v>1003137.52</v>
      </c>
      <c r="M1255" s="280">
        <v>6441875.7699999996</v>
      </c>
      <c r="N1255" s="281">
        <v>517</v>
      </c>
      <c r="O1255" s="282">
        <v>583</v>
      </c>
      <c r="P1255" s="280">
        <f t="shared" si="39"/>
        <v>8395440.5185106378</v>
      </c>
    </row>
    <row r="1256" spans="1:16" x14ac:dyDescent="0.2">
      <c r="A1256" s="32" t="s">
        <v>673</v>
      </c>
      <c r="B1256" s="32" t="s">
        <v>676</v>
      </c>
      <c r="C1256" s="32" t="s">
        <v>677</v>
      </c>
      <c r="H1256" s="278" t="s">
        <v>470</v>
      </c>
      <c r="I1256" s="32" t="s">
        <v>462</v>
      </c>
      <c r="J1256" s="279">
        <v>3</v>
      </c>
      <c r="K1256" s="280">
        <v>160090.22</v>
      </c>
      <c r="L1256" s="280">
        <v>16777.04</v>
      </c>
      <c r="M1256" s="280">
        <v>143313.18</v>
      </c>
      <c r="N1256" s="281">
        <v>514</v>
      </c>
      <c r="O1256" s="282">
        <v>583</v>
      </c>
      <c r="P1256" s="280">
        <f t="shared" si="39"/>
        <v>181580.93046692607</v>
      </c>
    </row>
    <row r="1257" spans="1:16" x14ac:dyDescent="0.2">
      <c r="A1257" s="32" t="s">
        <v>673</v>
      </c>
      <c r="B1257" s="32" t="s">
        <v>676</v>
      </c>
      <c r="C1257" s="32" t="s">
        <v>677</v>
      </c>
      <c r="H1257" s="278" t="s">
        <v>470</v>
      </c>
      <c r="I1257" s="32" t="s">
        <v>462</v>
      </c>
      <c r="J1257" s="279">
        <v>45</v>
      </c>
      <c r="K1257" s="280">
        <v>320955.49</v>
      </c>
      <c r="L1257" s="280">
        <v>33635.300000000003</v>
      </c>
      <c r="M1257" s="280">
        <v>287320.19</v>
      </c>
      <c r="N1257" s="281">
        <v>514</v>
      </c>
      <c r="O1257" s="282">
        <v>583</v>
      </c>
      <c r="P1257" s="280">
        <f t="shared" si="39"/>
        <v>364040.9546108949</v>
      </c>
    </row>
    <row r="1258" spans="1:16" x14ac:dyDescent="0.2">
      <c r="A1258" s="32" t="s">
        <v>673</v>
      </c>
      <c r="B1258" s="32" t="s">
        <v>676</v>
      </c>
      <c r="C1258" s="32" t="s">
        <v>677</v>
      </c>
      <c r="H1258" s="278" t="s">
        <v>470</v>
      </c>
      <c r="I1258" s="32" t="s">
        <v>462</v>
      </c>
      <c r="J1258" s="279">
        <v>98</v>
      </c>
      <c r="K1258" s="280">
        <v>384223</v>
      </c>
      <c r="L1258" s="280">
        <v>40265.58</v>
      </c>
      <c r="M1258" s="280">
        <v>343957.42</v>
      </c>
      <c r="N1258" s="281">
        <v>514</v>
      </c>
      <c r="O1258" s="282">
        <v>583</v>
      </c>
      <c r="P1258" s="280">
        <f t="shared" si="39"/>
        <v>435801.57392996107</v>
      </c>
    </row>
    <row r="1259" spans="1:16" x14ac:dyDescent="0.2">
      <c r="A1259" s="32" t="s">
        <v>673</v>
      </c>
      <c r="B1259" s="32" t="s">
        <v>676</v>
      </c>
      <c r="C1259" s="32" t="s">
        <v>677</v>
      </c>
      <c r="H1259" s="278" t="s">
        <v>470</v>
      </c>
      <c r="I1259" s="32" t="s">
        <v>462</v>
      </c>
      <c r="J1259" s="279">
        <v>121</v>
      </c>
      <c r="K1259" s="280">
        <v>901564.36</v>
      </c>
      <c r="L1259" s="280">
        <v>94481.61</v>
      </c>
      <c r="M1259" s="280">
        <v>807082.75</v>
      </c>
      <c r="N1259" s="281">
        <v>514</v>
      </c>
      <c r="O1259" s="282">
        <v>583</v>
      </c>
      <c r="P1259" s="280">
        <f t="shared" si="39"/>
        <v>1022591.4822568092</v>
      </c>
    </row>
    <row r="1260" spans="1:16" x14ac:dyDescent="0.2">
      <c r="A1260" s="32" t="s">
        <v>673</v>
      </c>
      <c r="B1260" s="32" t="s">
        <v>676</v>
      </c>
      <c r="C1260" s="32" t="s">
        <v>677</v>
      </c>
      <c r="H1260" s="278" t="s">
        <v>470</v>
      </c>
      <c r="I1260" s="32" t="s">
        <v>462</v>
      </c>
      <c r="J1260" s="279">
        <v>258</v>
      </c>
      <c r="K1260" s="280">
        <v>707336.12</v>
      </c>
      <c r="L1260" s="280">
        <v>74126.990000000005</v>
      </c>
      <c r="M1260" s="280">
        <v>633209.13</v>
      </c>
      <c r="N1260" s="281">
        <v>514</v>
      </c>
      <c r="O1260" s="282">
        <v>583</v>
      </c>
      <c r="P1260" s="280">
        <f t="shared" si="39"/>
        <v>802289.8014785992</v>
      </c>
    </row>
    <row r="1261" spans="1:16" x14ac:dyDescent="0.2">
      <c r="A1261" s="32" t="s">
        <v>673</v>
      </c>
      <c r="B1261" s="32" t="s">
        <v>676</v>
      </c>
      <c r="C1261" s="32" t="s">
        <v>677</v>
      </c>
      <c r="H1261" s="278" t="s">
        <v>461</v>
      </c>
      <c r="I1261" s="32" t="s">
        <v>462</v>
      </c>
      <c r="J1261" s="279">
        <v>2</v>
      </c>
      <c r="K1261" s="280">
        <v>22587.360000000001</v>
      </c>
      <c r="L1261" s="280">
        <v>1690.78</v>
      </c>
      <c r="M1261" s="280">
        <v>20896.580000000002</v>
      </c>
      <c r="N1261" s="281">
        <v>568</v>
      </c>
      <c r="O1261" s="282">
        <v>583</v>
      </c>
      <c r="P1261" s="280">
        <f t="shared" si="39"/>
        <v>23183.857183098589</v>
      </c>
    </row>
    <row r="1262" spans="1:16" x14ac:dyDescent="0.2">
      <c r="A1262" s="32" t="s">
        <v>673</v>
      </c>
      <c r="B1262" s="32" t="s">
        <v>676</v>
      </c>
      <c r="C1262" s="32" t="s">
        <v>677</v>
      </c>
      <c r="H1262" s="278" t="s">
        <v>461</v>
      </c>
      <c r="I1262" s="32" t="s">
        <v>462</v>
      </c>
      <c r="J1262" s="279">
        <v>20</v>
      </c>
      <c r="K1262" s="280">
        <v>61597.51</v>
      </c>
      <c r="L1262" s="280">
        <v>4610.8999999999996</v>
      </c>
      <c r="M1262" s="280">
        <v>56986.61</v>
      </c>
      <c r="N1262" s="281">
        <v>568</v>
      </c>
      <c r="O1262" s="282">
        <v>583</v>
      </c>
      <c r="P1262" s="280">
        <f t="shared" si="39"/>
        <v>63224.204806338028</v>
      </c>
    </row>
    <row r="1263" spans="1:16" x14ac:dyDescent="0.2">
      <c r="A1263" s="32" t="s">
        <v>673</v>
      </c>
      <c r="B1263" s="32" t="s">
        <v>676</v>
      </c>
      <c r="C1263" s="32" t="s">
        <v>677</v>
      </c>
      <c r="H1263" s="278" t="s">
        <v>461</v>
      </c>
      <c r="I1263" s="32" t="s">
        <v>462</v>
      </c>
      <c r="J1263" s="279">
        <v>54</v>
      </c>
      <c r="K1263" s="280">
        <v>283649.78999999998</v>
      </c>
      <c r="L1263" s="280">
        <v>21232.69</v>
      </c>
      <c r="M1263" s="280">
        <v>262417.09999999998</v>
      </c>
      <c r="N1263" s="281">
        <v>568</v>
      </c>
      <c r="O1263" s="282">
        <v>583</v>
      </c>
      <c r="P1263" s="280">
        <f t="shared" si="39"/>
        <v>291140.54149647884</v>
      </c>
    </row>
    <row r="1264" spans="1:16" x14ac:dyDescent="0.2">
      <c r="A1264" s="32" t="s">
        <v>673</v>
      </c>
      <c r="B1264" s="32" t="s">
        <v>676</v>
      </c>
      <c r="C1264" s="32" t="s">
        <v>677</v>
      </c>
      <c r="H1264" s="278" t="s">
        <v>461</v>
      </c>
      <c r="I1264" s="32" t="s">
        <v>462</v>
      </c>
      <c r="J1264" s="279">
        <v>185</v>
      </c>
      <c r="K1264" s="280">
        <v>714401.13</v>
      </c>
      <c r="L1264" s="280">
        <v>53476.71</v>
      </c>
      <c r="M1264" s="280">
        <v>660924.42000000004</v>
      </c>
      <c r="N1264" s="281">
        <v>568</v>
      </c>
      <c r="O1264" s="282">
        <v>583</v>
      </c>
      <c r="P1264" s="280">
        <f t="shared" si="39"/>
        <v>733267.35702464788</v>
      </c>
    </row>
    <row r="1265" spans="1:16" x14ac:dyDescent="0.2">
      <c r="A1265" s="32" t="s">
        <v>673</v>
      </c>
      <c r="B1265" s="32" t="s">
        <v>676</v>
      </c>
      <c r="C1265" s="32" t="s">
        <v>677</v>
      </c>
      <c r="H1265" s="278" t="s">
        <v>468</v>
      </c>
      <c r="I1265" s="32" t="s">
        <v>462</v>
      </c>
      <c r="J1265" s="279">
        <v>1</v>
      </c>
      <c r="K1265" s="280">
        <v>85.71</v>
      </c>
      <c r="L1265" s="280">
        <v>3.85</v>
      </c>
      <c r="M1265" s="280">
        <v>81.86</v>
      </c>
      <c r="N1265" s="281">
        <v>561</v>
      </c>
      <c r="O1265" s="282">
        <v>583</v>
      </c>
      <c r="P1265" s="280">
        <f t="shared" si="39"/>
        <v>89.071176470588242</v>
      </c>
    </row>
    <row r="1266" spans="1:16" x14ac:dyDescent="0.2">
      <c r="A1266" s="32" t="s">
        <v>673</v>
      </c>
      <c r="B1266" s="32" t="s">
        <v>676</v>
      </c>
      <c r="C1266" s="32" t="s">
        <v>677</v>
      </c>
      <c r="H1266" s="278" t="s">
        <v>468</v>
      </c>
      <c r="I1266" s="32" t="s">
        <v>462</v>
      </c>
      <c r="J1266" s="279">
        <v>2</v>
      </c>
      <c r="K1266" s="280">
        <v>290175.88</v>
      </c>
      <c r="L1266" s="280">
        <v>13032.72</v>
      </c>
      <c r="M1266" s="280">
        <v>277143.15999999997</v>
      </c>
      <c r="N1266" s="281">
        <v>561</v>
      </c>
      <c r="O1266" s="282">
        <v>583</v>
      </c>
      <c r="P1266" s="280">
        <f t="shared" si="39"/>
        <v>301555.32627450983</v>
      </c>
    </row>
    <row r="1267" spans="1:16" x14ac:dyDescent="0.2">
      <c r="A1267" s="32" t="s">
        <v>673</v>
      </c>
      <c r="B1267" s="32" t="s">
        <v>676</v>
      </c>
      <c r="C1267" s="32" t="s">
        <v>677</v>
      </c>
      <c r="H1267" s="278" t="s">
        <v>468</v>
      </c>
      <c r="I1267" s="32" t="s">
        <v>462</v>
      </c>
      <c r="J1267" s="279">
        <v>3</v>
      </c>
      <c r="K1267" s="280">
        <v>931153.64</v>
      </c>
      <c r="L1267" s="280">
        <v>41821.07</v>
      </c>
      <c r="M1267" s="280">
        <v>889332.57</v>
      </c>
      <c r="N1267" s="281">
        <v>561</v>
      </c>
      <c r="O1267" s="282">
        <v>583</v>
      </c>
      <c r="P1267" s="280">
        <f t="shared" si="39"/>
        <v>967669.46901960799</v>
      </c>
    </row>
    <row r="1268" spans="1:16" x14ac:dyDescent="0.2">
      <c r="A1268" s="32" t="s">
        <v>673</v>
      </c>
      <c r="B1268" s="32" t="s">
        <v>676</v>
      </c>
      <c r="C1268" s="32" t="s">
        <v>677</v>
      </c>
      <c r="H1268" s="278" t="s">
        <v>469</v>
      </c>
      <c r="I1268" s="32" t="s">
        <v>462</v>
      </c>
      <c r="J1268" s="279">
        <v>0</v>
      </c>
      <c r="K1268" s="280">
        <v>34095.67</v>
      </c>
      <c r="L1268" s="280">
        <v>510.45</v>
      </c>
      <c r="M1268" s="280">
        <v>33585.22</v>
      </c>
      <c r="N1268" s="281">
        <v>583</v>
      </c>
      <c r="O1268" s="282">
        <v>583</v>
      </c>
      <c r="P1268" s="280">
        <f t="shared" si="39"/>
        <v>34095.67</v>
      </c>
    </row>
    <row r="1269" spans="1:16" x14ac:dyDescent="0.2">
      <c r="A1269" s="32" t="s">
        <v>673</v>
      </c>
      <c r="B1269" s="32" t="s">
        <v>676</v>
      </c>
      <c r="C1269" s="32" t="s">
        <v>677</v>
      </c>
      <c r="H1269" s="278" t="s">
        <v>469</v>
      </c>
      <c r="I1269" s="32" t="s">
        <v>462</v>
      </c>
      <c r="J1269" s="279">
        <v>2</v>
      </c>
      <c r="K1269" s="280">
        <v>10021.76</v>
      </c>
      <c r="L1269" s="280">
        <v>150.04</v>
      </c>
      <c r="M1269" s="280">
        <v>9871.7199999999993</v>
      </c>
      <c r="N1269" s="281">
        <v>583</v>
      </c>
      <c r="O1269" s="282">
        <v>583</v>
      </c>
      <c r="P1269" s="280">
        <f t="shared" si="39"/>
        <v>10021.76</v>
      </c>
    </row>
    <row r="1270" spans="1:16" x14ac:dyDescent="0.2">
      <c r="A1270" s="32" t="s">
        <v>673</v>
      </c>
      <c r="B1270" s="32" t="s">
        <v>676</v>
      </c>
      <c r="C1270" s="32" t="s">
        <v>677</v>
      </c>
      <c r="H1270" s="278" t="s">
        <v>469</v>
      </c>
      <c r="I1270" s="32" t="s">
        <v>462</v>
      </c>
      <c r="J1270" s="279">
        <v>3</v>
      </c>
      <c r="K1270" s="280">
        <v>7973.69</v>
      </c>
      <c r="L1270" s="280">
        <v>119.37</v>
      </c>
      <c r="M1270" s="280">
        <v>7854.32</v>
      </c>
      <c r="N1270" s="281">
        <v>583</v>
      </c>
      <c r="O1270" s="282">
        <v>583</v>
      </c>
      <c r="P1270" s="280">
        <f t="shared" si="39"/>
        <v>7973.69</v>
      </c>
    </row>
    <row r="1271" spans="1:16" x14ac:dyDescent="0.2">
      <c r="A1271" s="32" t="s">
        <v>673</v>
      </c>
      <c r="B1271" s="32" t="s">
        <v>676</v>
      </c>
      <c r="C1271" s="32" t="s">
        <v>677</v>
      </c>
      <c r="H1271" s="278" t="s">
        <v>469</v>
      </c>
      <c r="I1271" s="32" t="s">
        <v>462</v>
      </c>
      <c r="J1271" s="279">
        <v>15</v>
      </c>
      <c r="K1271" s="280">
        <v>42979.57</v>
      </c>
      <c r="L1271" s="280">
        <v>643.45000000000005</v>
      </c>
      <c r="M1271" s="280">
        <v>42336.12</v>
      </c>
      <c r="N1271" s="281">
        <v>583</v>
      </c>
      <c r="O1271" s="282">
        <v>583</v>
      </c>
      <c r="P1271" s="280">
        <f t="shared" si="39"/>
        <v>42979.57</v>
      </c>
    </row>
    <row r="1272" spans="1:16" x14ac:dyDescent="0.2">
      <c r="A1272" s="32" t="s">
        <v>673</v>
      </c>
      <c r="B1272" s="32" t="s">
        <v>676</v>
      </c>
      <c r="C1272" s="32" t="s">
        <v>677</v>
      </c>
      <c r="H1272" s="278" t="s">
        <v>469</v>
      </c>
      <c r="I1272" s="32" t="s">
        <v>462</v>
      </c>
      <c r="J1272" s="279">
        <v>39</v>
      </c>
      <c r="K1272" s="280">
        <v>72013.05</v>
      </c>
      <c r="L1272" s="280">
        <v>1078.1099999999999</v>
      </c>
      <c r="M1272" s="280">
        <v>70934.94</v>
      </c>
      <c r="N1272" s="281">
        <v>583</v>
      </c>
      <c r="O1272" s="282">
        <v>583</v>
      </c>
      <c r="P1272" s="280">
        <f t="shared" si="39"/>
        <v>72013.05</v>
      </c>
    </row>
    <row r="1273" spans="1:16" x14ac:dyDescent="0.2">
      <c r="A1273" s="32" t="s">
        <v>673</v>
      </c>
      <c r="B1273" s="32" t="s">
        <v>676</v>
      </c>
      <c r="C1273" s="32" t="s">
        <v>677</v>
      </c>
      <c r="H1273" s="278" t="s">
        <v>469</v>
      </c>
      <c r="I1273" s="32" t="s">
        <v>462</v>
      </c>
      <c r="J1273" s="285">
        <v>111</v>
      </c>
      <c r="K1273" s="286">
        <v>303550.05</v>
      </c>
      <c r="L1273" s="286">
        <v>4544.47</v>
      </c>
      <c r="M1273" s="286">
        <v>299005.58</v>
      </c>
      <c r="N1273" s="287">
        <v>583</v>
      </c>
      <c r="O1273" s="288">
        <v>583</v>
      </c>
      <c r="P1273" s="286">
        <f t="shared" si="39"/>
        <v>303550.05</v>
      </c>
    </row>
    <row r="1274" spans="1:16" ht="13.5" thickBot="1" x14ac:dyDescent="0.25">
      <c r="G1274" s="20" t="s">
        <v>678</v>
      </c>
      <c r="H1274" s="1"/>
      <c r="I1274" s="1"/>
      <c r="J1274" s="289">
        <f>SUM(J2:J1273)</f>
        <v>1610044</v>
      </c>
      <c r="K1274" s="289">
        <f>SUM(K2:K1273)</f>
        <v>725126710.26000035</v>
      </c>
      <c r="L1274" s="289">
        <f>SUM(L2:L1273)</f>
        <v>315235747.80999988</v>
      </c>
      <c r="M1274" s="289">
        <f>SUM(M2:M1273)</f>
        <v>409890962.45000023</v>
      </c>
      <c r="N1274" s="290"/>
      <c r="O1274" s="291"/>
      <c r="P1274" s="292">
        <f>SUM(P2:P1273)</f>
        <v>1278200486.3829722</v>
      </c>
    </row>
    <row r="1275" spans="1:16" x14ac:dyDescent="0.2">
      <c r="G1275" s="1" t="s">
        <v>572</v>
      </c>
      <c r="H1275" s="1"/>
      <c r="I1275" s="1"/>
      <c r="J1275" s="289">
        <f>J1274-SUM(J1246:J1273)</f>
        <v>1593173</v>
      </c>
      <c r="K1275" s="293"/>
      <c r="L1275" s="293"/>
      <c r="M1275" s="293"/>
      <c r="N1275" s="2"/>
      <c r="O1275" s="112"/>
      <c r="P1275" s="112">
        <f>P1274-SUM(P1246:P1273)</f>
        <v>1256474485.5417299</v>
      </c>
    </row>
  </sheetData>
  <pageMargins left="0.7" right="0.7" top="0.75" bottom="0.75" header="0.3" footer="0.3"/>
  <pageSetup fitToHeight="2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54"/>
  <sheetViews>
    <sheetView workbookViewId="0">
      <selection activeCell="C35" sqref="C35"/>
    </sheetView>
  </sheetViews>
  <sheetFormatPr defaultRowHeight="12.75" x14ac:dyDescent="0.2"/>
  <cols>
    <col min="1" max="1" width="15.28515625" bestFit="1" customWidth="1"/>
    <col min="2" max="2" width="19.5703125" customWidth="1"/>
    <col min="3" max="3" width="13.85546875" bestFit="1" customWidth="1"/>
    <col min="4" max="4" width="14.85546875" customWidth="1"/>
    <col min="7" max="9" width="9.140625" customWidth="1"/>
    <col min="257" max="257" width="15.28515625" bestFit="1" customWidth="1"/>
    <col min="258" max="258" width="19.5703125" customWidth="1"/>
    <col min="259" max="259" width="13.85546875" bestFit="1" customWidth="1"/>
    <col min="260" max="260" width="14.85546875" customWidth="1"/>
    <col min="263" max="265" width="9.140625" customWidth="1"/>
    <col min="513" max="513" width="15.28515625" bestFit="1" customWidth="1"/>
    <col min="514" max="514" width="19.5703125" customWidth="1"/>
    <col min="515" max="515" width="13.85546875" bestFit="1" customWidth="1"/>
    <col min="516" max="516" width="14.85546875" customWidth="1"/>
    <col min="519" max="521" width="9.140625" customWidth="1"/>
    <col min="769" max="769" width="15.28515625" bestFit="1" customWidth="1"/>
    <col min="770" max="770" width="19.5703125" customWidth="1"/>
    <col min="771" max="771" width="13.85546875" bestFit="1" customWidth="1"/>
    <col min="772" max="772" width="14.85546875" customWidth="1"/>
    <col min="775" max="777" width="9.140625" customWidth="1"/>
    <col min="1025" max="1025" width="15.28515625" bestFit="1" customWidth="1"/>
    <col min="1026" max="1026" width="19.5703125" customWidth="1"/>
    <col min="1027" max="1027" width="13.85546875" bestFit="1" customWidth="1"/>
    <col min="1028" max="1028" width="14.85546875" customWidth="1"/>
    <col min="1031" max="1033" width="9.140625" customWidth="1"/>
    <col min="1281" max="1281" width="15.28515625" bestFit="1" customWidth="1"/>
    <col min="1282" max="1282" width="19.5703125" customWidth="1"/>
    <col min="1283" max="1283" width="13.85546875" bestFit="1" customWidth="1"/>
    <col min="1284" max="1284" width="14.85546875" customWidth="1"/>
    <col min="1287" max="1289" width="9.140625" customWidth="1"/>
    <col min="1537" max="1537" width="15.28515625" bestFit="1" customWidth="1"/>
    <col min="1538" max="1538" width="19.5703125" customWidth="1"/>
    <col min="1539" max="1539" width="13.85546875" bestFit="1" customWidth="1"/>
    <col min="1540" max="1540" width="14.85546875" customWidth="1"/>
    <col min="1543" max="1545" width="9.140625" customWidth="1"/>
    <col min="1793" max="1793" width="15.28515625" bestFit="1" customWidth="1"/>
    <col min="1794" max="1794" width="19.5703125" customWidth="1"/>
    <col min="1795" max="1795" width="13.85546875" bestFit="1" customWidth="1"/>
    <col min="1796" max="1796" width="14.85546875" customWidth="1"/>
    <col min="1799" max="1801" width="9.140625" customWidth="1"/>
    <col min="2049" max="2049" width="15.28515625" bestFit="1" customWidth="1"/>
    <col min="2050" max="2050" width="19.5703125" customWidth="1"/>
    <col min="2051" max="2051" width="13.85546875" bestFit="1" customWidth="1"/>
    <col min="2052" max="2052" width="14.85546875" customWidth="1"/>
    <col min="2055" max="2057" width="9.140625" customWidth="1"/>
    <col min="2305" max="2305" width="15.28515625" bestFit="1" customWidth="1"/>
    <col min="2306" max="2306" width="19.5703125" customWidth="1"/>
    <col min="2307" max="2307" width="13.85546875" bestFit="1" customWidth="1"/>
    <col min="2308" max="2308" width="14.85546875" customWidth="1"/>
    <col min="2311" max="2313" width="9.140625" customWidth="1"/>
    <col min="2561" max="2561" width="15.28515625" bestFit="1" customWidth="1"/>
    <col min="2562" max="2562" width="19.5703125" customWidth="1"/>
    <col min="2563" max="2563" width="13.85546875" bestFit="1" customWidth="1"/>
    <col min="2564" max="2564" width="14.85546875" customWidth="1"/>
    <col min="2567" max="2569" width="9.140625" customWidth="1"/>
    <col min="2817" max="2817" width="15.28515625" bestFit="1" customWidth="1"/>
    <col min="2818" max="2818" width="19.5703125" customWidth="1"/>
    <col min="2819" max="2819" width="13.85546875" bestFit="1" customWidth="1"/>
    <col min="2820" max="2820" width="14.85546875" customWidth="1"/>
    <col min="2823" max="2825" width="9.140625" customWidth="1"/>
    <col min="3073" max="3073" width="15.28515625" bestFit="1" customWidth="1"/>
    <col min="3074" max="3074" width="19.5703125" customWidth="1"/>
    <col min="3075" max="3075" width="13.85546875" bestFit="1" customWidth="1"/>
    <col min="3076" max="3076" width="14.85546875" customWidth="1"/>
    <col min="3079" max="3081" width="9.140625" customWidth="1"/>
    <col min="3329" max="3329" width="15.28515625" bestFit="1" customWidth="1"/>
    <col min="3330" max="3330" width="19.5703125" customWidth="1"/>
    <col min="3331" max="3331" width="13.85546875" bestFit="1" customWidth="1"/>
    <col min="3332" max="3332" width="14.85546875" customWidth="1"/>
    <col min="3335" max="3337" width="9.140625" customWidth="1"/>
    <col min="3585" max="3585" width="15.28515625" bestFit="1" customWidth="1"/>
    <col min="3586" max="3586" width="19.5703125" customWidth="1"/>
    <col min="3587" max="3587" width="13.85546875" bestFit="1" customWidth="1"/>
    <col min="3588" max="3588" width="14.85546875" customWidth="1"/>
    <col min="3591" max="3593" width="9.140625" customWidth="1"/>
    <col min="3841" max="3841" width="15.28515625" bestFit="1" customWidth="1"/>
    <col min="3842" max="3842" width="19.5703125" customWidth="1"/>
    <col min="3843" max="3843" width="13.85546875" bestFit="1" customWidth="1"/>
    <col min="3844" max="3844" width="14.85546875" customWidth="1"/>
    <col min="3847" max="3849" width="9.140625" customWidth="1"/>
    <col min="4097" max="4097" width="15.28515625" bestFit="1" customWidth="1"/>
    <col min="4098" max="4098" width="19.5703125" customWidth="1"/>
    <col min="4099" max="4099" width="13.85546875" bestFit="1" customWidth="1"/>
    <col min="4100" max="4100" width="14.85546875" customWidth="1"/>
    <col min="4103" max="4105" width="9.140625" customWidth="1"/>
    <col min="4353" max="4353" width="15.28515625" bestFit="1" customWidth="1"/>
    <col min="4354" max="4354" width="19.5703125" customWidth="1"/>
    <col min="4355" max="4355" width="13.85546875" bestFit="1" customWidth="1"/>
    <col min="4356" max="4356" width="14.85546875" customWidth="1"/>
    <col min="4359" max="4361" width="9.140625" customWidth="1"/>
    <col min="4609" max="4609" width="15.28515625" bestFit="1" customWidth="1"/>
    <col min="4610" max="4610" width="19.5703125" customWidth="1"/>
    <col min="4611" max="4611" width="13.85546875" bestFit="1" customWidth="1"/>
    <col min="4612" max="4612" width="14.85546875" customWidth="1"/>
    <col min="4615" max="4617" width="9.140625" customWidth="1"/>
    <col min="4865" max="4865" width="15.28515625" bestFit="1" customWidth="1"/>
    <col min="4866" max="4866" width="19.5703125" customWidth="1"/>
    <col min="4867" max="4867" width="13.85546875" bestFit="1" customWidth="1"/>
    <col min="4868" max="4868" width="14.85546875" customWidth="1"/>
    <col min="4871" max="4873" width="9.140625" customWidth="1"/>
    <col min="5121" max="5121" width="15.28515625" bestFit="1" customWidth="1"/>
    <col min="5122" max="5122" width="19.5703125" customWidth="1"/>
    <col min="5123" max="5123" width="13.85546875" bestFit="1" customWidth="1"/>
    <col min="5124" max="5124" width="14.85546875" customWidth="1"/>
    <col min="5127" max="5129" width="9.140625" customWidth="1"/>
    <col min="5377" max="5377" width="15.28515625" bestFit="1" customWidth="1"/>
    <col min="5378" max="5378" width="19.5703125" customWidth="1"/>
    <col min="5379" max="5379" width="13.85546875" bestFit="1" customWidth="1"/>
    <col min="5380" max="5380" width="14.85546875" customWidth="1"/>
    <col min="5383" max="5385" width="9.140625" customWidth="1"/>
    <col min="5633" max="5633" width="15.28515625" bestFit="1" customWidth="1"/>
    <col min="5634" max="5634" width="19.5703125" customWidth="1"/>
    <col min="5635" max="5635" width="13.85546875" bestFit="1" customWidth="1"/>
    <col min="5636" max="5636" width="14.85546875" customWidth="1"/>
    <col min="5639" max="5641" width="9.140625" customWidth="1"/>
    <col min="5889" max="5889" width="15.28515625" bestFit="1" customWidth="1"/>
    <col min="5890" max="5890" width="19.5703125" customWidth="1"/>
    <col min="5891" max="5891" width="13.85546875" bestFit="1" customWidth="1"/>
    <col min="5892" max="5892" width="14.85546875" customWidth="1"/>
    <col min="5895" max="5897" width="9.140625" customWidth="1"/>
    <col min="6145" max="6145" width="15.28515625" bestFit="1" customWidth="1"/>
    <col min="6146" max="6146" width="19.5703125" customWidth="1"/>
    <col min="6147" max="6147" width="13.85546875" bestFit="1" customWidth="1"/>
    <col min="6148" max="6148" width="14.85546875" customWidth="1"/>
    <col min="6151" max="6153" width="9.140625" customWidth="1"/>
    <col min="6401" max="6401" width="15.28515625" bestFit="1" customWidth="1"/>
    <col min="6402" max="6402" width="19.5703125" customWidth="1"/>
    <col min="6403" max="6403" width="13.85546875" bestFit="1" customWidth="1"/>
    <col min="6404" max="6404" width="14.85546875" customWidth="1"/>
    <col min="6407" max="6409" width="9.140625" customWidth="1"/>
    <col min="6657" max="6657" width="15.28515625" bestFit="1" customWidth="1"/>
    <col min="6658" max="6658" width="19.5703125" customWidth="1"/>
    <col min="6659" max="6659" width="13.85546875" bestFit="1" customWidth="1"/>
    <col min="6660" max="6660" width="14.85546875" customWidth="1"/>
    <col min="6663" max="6665" width="9.140625" customWidth="1"/>
    <col min="6913" max="6913" width="15.28515625" bestFit="1" customWidth="1"/>
    <col min="6914" max="6914" width="19.5703125" customWidth="1"/>
    <col min="6915" max="6915" width="13.85546875" bestFit="1" customWidth="1"/>
    <col min="6916" max="6916" width="14.85546875" customWidth="1"/>
    <col min="6919" max="6921" width="9.140625" customWidth="1"/>
    <col min="7169" max="7169" width="15.28515625" bestFit="1" customWidth="1"/>
    <col min="7170" max="7170" width="19.5703125" customWidth="1"/>
    <col min="7171" max="7171" width="13.85546875" bestFit="1" customWidth="1"/>
    <col min="7172" max="7172" width="14.85546875" customWidth="1"/>
    <col min="7175" max="7177" width="9.140625" customWidth="1"/>
    <col min="7425" max="7425" width="15.28515625" bestFit="1" customWidth="1"/>
    <col min="7426" max="7426" width="19.5703125" customWidth="1"/>
    <col min="7427" max="7427" width="13.85546875" bestFit="1" customWidth="1"/>
    <col min="7428" max="7428" width="14.85546875" customWidth="1"/>
    <col min="7431" max="7433" width="9.140625" customWidth="1"/>
    <col min="7681" max="7681" width="15.28515625" bestFit="1" customWidth="1"/>
    <col min="7682" max="7682" width="19.5703125" customWidth="1"/>
    <col min="7683" max="7683" width="13.85546875" bestFit="1" customWidth="1"/>
    <col min="7684" max="7684" width="14.85546875" customWidth="1"/>
    <col min="7687" max="7689" width="9.140625" customWidth="1"/>
    <col min="7937" max="7937" width="15.28515625" bestFit="1" customWidth="1"/>
    <col min="7938" max="7938" width="19.5703125" customWidth="1"/>
    <col min="7939" max="7939" width="13.85546875" bestFit="1" customWidth="1"/>
    <col min="7940" max="7940" width="14.85546875" customWidth="1"/>
    <col min="7943" max="7945" width="9.140625" customWidth="1"/>
    <col min="8193" max="8193" width="15.28515625" bestFit="1" customWidth="1"/>
    <col min="8194" max="8194" width="19.5703125" customWidth="1"/>
    <col min="8195" max="8195" width="13.85546875" bestFit="1" customWidth="1"/>
    <col min="8196" max="8196" width="14.85546875" customWidth="1"/>
    <col min="8199" max="8201" width="9.140625" customWidth="1"/>
    <col min="8449" max="8449" width="15.28515625" bestFit="1" customWidth="1"/>
    <col min="8450" max="8450" width="19.5703125" customWidth="1"/>
    <col min="8451" max="8451" width="13.85546875" bestFit="1" customWidth="1"/>
    <col min="8452" max="8452" width="14.85546875" customWidth="1"/>
    <col min="8455" max="8457" width="9.140625" customWidth="1"/>
    <col min="8705" max="8705" width="15.28515625" bestFit="1" customWidth="1"/>
    <col min="8706" max="8706" width="19.5703125" customWidth="1"/>
    <col min="8707" max="8707" width="13.85546875" bestFit="1" customWidth="1"/>
    <col min="8708" max="8708" width="14.85546875" customWidth="1"/>
    <col min="8711" max="8713" width="9.140625" customWidth="1"/>
    <col min="8961" max="8961" width="15.28515625" bestFit="1" customWidth="1"/>
    <col min="8962" max="8962" width="19.5703125" customWidth="1"/>
    <col min="8963" max="8963" width="13.85546875" bestFit="1" customWidth="1"/>
    <col min="8964" max="8964" width="14.85546875" customWidth="1"/>
    <col min="8967" max="8969" width="9.140625" customWidth="1"/>
    <col min="9217" max="9217" width="15.28515625" bestFit="1" customWidth="1"/>
    <col min="9218" max="9218" width="19.5703125" customWidth="1"/>
    <col min="9219" max="9219" width="13.85546875" bestFit="1" customWidth="1"/>
    <col min="9220" max="9220" width="14.85546875" customWidth="1"/>
    <col min="9223" max="9225" width="9.140625" customWidth="1"/>
    <col min="9473" max="9473" width="15.28515625" bestFit="1" customWidth="1"/>
    <col min="9474" max="9474" width="19.5703125" customWidth="1"/>
    <col min="9475" max="9475" width="13.85546875" bestFit="1" customWidth="1"/>
    <col min="9476" max="9476" width="14.85546875" customWidth="1"/>
    <col min="9479" max="9481" width="9.140625" customWidth="1"/>
    <col min="9729" max="9729" width="15.28515625" bestFit="1" customWidth="1"/>
    <col min="9730" max="9730" width="19.5703125" customWidth="1"/>
    <col min="9731" max="9731" width="13.85546875" bestFit="1" customWidth="1"/>
    <col min="9732" max="9732" width="14.85546875" customWidth="1"/>
    <col min="9735" max="9737" width="9.140625" customWidth="1"/>
    <col min="9985" max="9985" width="15.28515625" bestFit="1" customWidth="1"/>
    <col min="9986" max="9986" width="19.5703125" customWidth="1"/>
    <col min="9987" max="9987" width="13.85546875" bestFit="1" customWidth="1"/>
    <col min="9988" max="9988" width="14.85546875" customWidth="1"/>
    <col min="9991" max="9993" width="9.140625" customWidth="1"/>
    <col min="10241" max="10241" width="15.28515625" bestFit="1" customWidth="1"/>
    <col min="10242" max="10242" width="19.5703125" customWidth="1"/>
    <col min="10243" max="10243" width="13.85546875" bestFit="1" customWidth="1"/>
    <col min="10244" max="10244" width="14.85546875" customWidth="1"/>
    <col min="10247" max="10249" width="9.140625" customWidth="1"/>
    <col min="10497" max="10497" width="15.28515625" bestFit="1" customWidth="1"/>
    <col min="10498" max="10498" width="19.5703125" customWidth="1"/>
    <col min="10499" max="10499" width="13.85546875" bestFit="1" customWidth="1"/>
    <col min="10500" max="10500" width="14.85546875" customWidth="1"/>
    <col min="10503" max="10505" width="9.140625" customWidth="1"/>
    <col min="10753" max="10753" width="15.28515625" bestFit="1" customWidth="1"/>
    <col min="10754" max="10754" width="19.5703125" customWidth="1"/>
    <col min="10755" max="10755" width="13.85546875" bestFit="1" customWidth="1"/>
    <col min="10756" max="10756" width="14.85546875" customWidth="1"/>
    <col min="10759" max="10761" width="9.140625" customWidth="1"/>
    <col min="11009" max="11009" width="15.28515625" bestFit="1" customWidth="1"/>
    <col min="11010" max="11010" width="19.5703125" customWidth="1"/>
    <col min="11011" max="11011" width="13.85546875" bestFit="1" customWidth="1"/>
    <col min="11012" max="11012" width="14.85546875" customWidth="1"/>
    <col min="11015" max="11017" width="9.140625" customWidth="1"/>
    <col min="11265" max="11265" width="15.28515625" bestFit="1" customWidth="1"/>
    <col min="11266" max="11266" width="19.5703125" customWidth="1"/>
    <col min="11267" max="11267" width="13.85546875" bestFit="1" customWidth="1"/>
    <col min="11268" max="11268" width="14.85546875" customWidth="1"/>
    <col min="11271" max="11273" width="9.140625" customWidth="1"/>
    <col min="11521" max="11521" width="15.28515625" bestFit="1" customWidth="1"/>
    <col min="11522" max="11522" width="19.5703125" customWidth="1"/>
    <col min="11523" max="11523" width="13.85546875" bestFit="1" customWidth="1"/>
    <col min="11524" max="11524" width="14.85546875" customWidth="1"/>
    <col min="11527" max="11529" width="9.140625" customWidth="1"/>
    <col min="11777" max="11777" width="15.28515625" bestFit="1" customWidth="1"/>
    <col min="11778" max="11778" width="19.5703125" customWidth="1"/>
    <col min="11779" max="11779" width="13.85546875" bestFit="1" customWidth="1"/>
    <col min="11780" max="11780" width="14.85546875" customWidth="1"/>
    <col min="11783" max="11785" width="9.140625" customWidth="1"/>
    <col min="12033" max="12033" width="15.28515625" bestFit="1" customWidth="1"/>
    <col min="12034" max="12034" width="19.5703125" customWidth="1"/>
    <col min="12035" max="12035" width="13.85546875" bestFit="1" customWidth="1"/>
    <col min="12036" max="12036" width="14.85546875" customWidth="1"/>
    <col min="12039" max="12041" width="9.140625" customWidth="1"/>
    <col min="12289" max="12289" width="15.28515625" bestFit="1" customWidth="1"/>
    <col min="12290" max="12290" width="19.5703125" customWidth="1"/>
    <col min="12291" max="12291" width="13.85546875" bestFit="1" customWidth="1"/>
    <col min="12292" max="12292" width="14.85546875" customWidth="1"/>
    <col min="12295" max="12297" width="9.140625" customWidth="1"/>
    <col min="12545" max="12545" width="15.28515625" bestFit="1" customWidth="1"/>
    <col min="12546" max="12546" width="19.5703125" customWidth="1"/>
    <col min="12547" max="12547" width="13.85546875" bestFit="1" customWidth="1"/>
    <col min="12548" max="12548" width="14.85546875" customWidth="1"/>
    <col min="12551" max="12553" width="9.140625" customWidth="1"/>
    <col min="12801" max="12801" width="15.28515625" bestFit="1" customWidth="1"/>
    <col min="12802" max="12802" width="19.5703125" customWidth="1"/>
    <col min="12803" max="12803" width="13.85546875" bestFit="1" customWidth="1"/>
    <col min="12804" max="12804" width="14.85546875" customWidth="1"/>
    <col min="12807" max="12809" width="9.140625" customWidth="1"/>
    <col min="13057" max="13057" width="15.28515625" bestFit="1" customWidth="1"/>
    <col min="13058" max="13058" width="19.5703125" customWidth="1"/>
    <col min="13059" max="13059" width="13.85546875" bestFit="1" customWidth="1"/>
    <col min="13060" max="13060" width="14.85546875" customWidth="1"/>
    <col min="13063" max="13065" width="9.140625" customWidth="1"/>
    <col min="13313" max="13313" width="15.28515625" bestFit="1" customWidth="1"/>
    <col min="13314" max="13314" width="19.5703125" customWidth="1"/>
    <col min="13315" max="13315" width="13.85546875" bestFit="1" customWidth="1"/>
    <col min="13316" max="13316" width="14.85546875" customWidth="1"/>
    <col min="13319" max="13321" width="9.140625" customWidth="1"/>
    <col min="13569" max="13569" width="15.28515625" bestFit="1" customWidth="1"/>
    <col min="13570" max="13570" width="19.5703125" customWidth="1"/>
    <col min="13571" max="13571" width="13.85546875" bestFit="1" customWidth="1"/>
    <col min="13572" max="13572" width="14.85546875" customWidth="1"/>
    <col min="13575" max="13577" width="9.140625" customWidth="1"/>
    <col min="13825" max="13825" width="15.28515625" bestFit="1" customWidth="1"/>
    <col min="13826" max="13826" width="19.5703125" customWidth="1"/>
    <col min="13827" max="13827" width="13.85546875" bestFit="1" customWidth="1"/>
    <col min="13828" max="13828" width="14.85546875" customWidth="1"/>
    <col min="13831" max="13833" width="9.140625" customWidth="1"/>
    <col min="14081" max="14081" width="15.28515625" bestFit="1" customWidth="1"/>
    <col min="14082" max="14082" width="19.5703125" customWidth="1"/>
    <col min="14083" max="14083" width="13.85546875" bestFit="1" customWidth="1"/>
    <col min="14084" max="14084" width="14.85546875" customWidth="1"/>
    <col min="14087" max="14089" width="9.140625" customWidth="1"/>
    <col min="14337" max="14337" width="15.28515625" bestFit="1" customWidth="1"/>
    <col min="14338" max="14338" width="19.5703125" customWidth="1"/>
    <col min="14339" max="14339" width="13.85546875" bestFit="1" customWidth="1"/>
    <col min="14340" max="14340" width="14.85546875" customWidth="1"/>
    <col min="14343" max="14345" width="9.140625" customWidth="1"/>
    <col min="14593" max="14593" width="15.28515625" bestFit="1" customWidth="1"/>
    <col min="14594" max="14594" width="19.5703125" customWidth="1"/>
    <col min="14595" max="14595" width="13.85546875" bestFit="1" customWidth="1"/>
    <col min="14596" max="14596" width="14.85546875" customWidth="1"/>
    <col min="14599" max="14601" width="9.140625" customWidth="1"/>
    <col min="14849" max="14849" width="15.28515625" bestFit="1" customWidth="1"/>
    <col min="14850" max="14850" width="19.5703125" customWidth="1"/>
    <col min="14851" max="14851" width="13.85546875" bestFit="1" customWidth="1"/>
    <col min="14852" max="14852" width="14.85546875" customWidth="1"/>
    <col min="14855" max="14857" width="9.140625" customWidth="1"/>
    <col min="15105" max="15105" width="15.28515625" bestFit="1" customWidth="1"/>
    <col min="15106" max="15106" width="19.5703125" customWidth="1"/>
    <col min="15107" max="15107" width="13.85546875" bestFit="1" customWidth="1"/>
    <col min="15108" max="15108" width="14.85546875" customWidth="1"/>
    <col min="15111" max="15113" width="9.140625" customWidth="1"/>
    <col min="15361" max="15361" width="15.28515625" bestFit="1" customWidth="1"/>
    <col min="15362" max="15362" width="19.5703125" customWidth="1"/>
    <col min="15363" max="15363" width="13.85546875" bestFit="1" customWidth="1"/>
    <col min="15364" max="15364" width="14.85546875" customWidth="1"/>
    <col min="15367" max="15369" width="9.140625" customWidth="1"/>
    <col min="15617" max="15617" width="15.28515625" bestFit="1" customWidth="1"/>
    <col min="15618" max="15618" width="19.5703125" customWidth="1"/>
    <col min="15619" max="15619" width="13.85546875" bestFit="1" customWidth="1"/>
    <col min="15620" max="15620" width="14.85546875" customWidth="1"/>
    <col min="15623" max="15625" width="9.140625" customWidth="1"/>
    <col min="15873" max="15873" width="15.28515625" bestFit="1" customWidth="1"/>
    <col min="15874" max="15874" width="19.5703125" customWidth="1"/>
    <col min="15875" max="15875" width="13.85546875" bestFit="1" customWidth="1"/>
    <col min="15876" max="15876" width="14.85546875" customWidth="1"/>
    <col min="15879" max="15881" width="9.140625" customWidth="1"/>
    <col min="16129" max="16129" width="15.28515625" bestFit="1" customWidth="1"/>
    <col min="16130" max="16130" width="19.5703125" customWidth="1"/>
    <col min="16131" max="16131" width="13.85546875" bestFit="1" customWidth="1"/>
    <col min="16132" max="16132" width="14.85546875" customWidth="1"/>
    <col min="16135" max="16137" width="9.140625" customWidth="1"/>
  </cols>
  <sheetData>
    <row r="1" spans="1:6" x14ac:dyDescent="0.2">
      <c r="A1" t="s">
        <v>679</v>
      </c>
    </row>
    <row r="2" spans="1:6" x14ac:dyDescent="0.2">
      <c r="A2" t="s">
        <v>680</v>
      </c>
    </row>
    <row r="3" spans="1:6" x14ac:dyDescent="0.2">
      <c r="A3" s="6" t="s">
        <v>408</v>
      </c>
    </row>
    <row r="4" spans="1:6" x14ac:dyDescent="0.2">
      <c r="B4" s="219">
        <v>2010</v>
      </c>
      <c r="C4" s="219"/>
      <c r="D4" s="219">
        <v>2010</v>
      </c>
    </row>
    <row r="5" spans="1:6" x14ac:dyDescent="0.2">
      <c r="B5" s="221" t="s">
        <v>410</v>
      </c>
      <c r="C5" s="221" t="s">
        <v>412</v>
      </c>
      <c r="D5" s="221" t="s">
        <v>681</v>
      </c>
    </row>
    <row r="6" spans="1:6" x14ac:dyDescent="0.2">
      <c r="A6" t="s">
        <v>682</v>
      </c>
      <c r="B6" s="222">
        <f>SUMIF('JKP-8.4c - G380 123110 (Final)'!$G$2:$G$1273,'JKP-8.4c - Total Costs'!A6,'JKP-8.4c - G380 123110 (Final)'!$P$2:$P$1273)</f>
        <v>33771.171923076923</v>
      </c>
      <c r="C6" s="295">
        <f>SUMIF('JKP-8.4c - G380 123110 (Final)'!$G$2:$G$1273,'JKP-8.4c - Total Costs'!A6,'JKP-8.4c - G380 123110 (Final)'!$J$2:$J$1273)</f>
        <v>14</v>
      </c>
      <c r="D6" s="222">
        <f>IF(C6=0,0,B6/C6)</f>
        <v>2412.226565934066</v>
      </c>
      <c r="E6" s="296"/>
      <c r="F6" s="296"/>
    </row>
    <row r="7" spans="1:6" x14ac:dyDescent="0.2">
      <c r="A7" t="s">
        <v>683</v>
      </c>
      <c r="B7" s="222">
        <f>SUMIF('JKP-8.4c - G380 123110 (Final)'!$G$2:$G$1273,'JKP-8.4c - Total Costs'!A7,'JKP-8.4c - G380 123110 (Final)'!$P$2:$P$1273)</f>
        <v>31226.526410256407</v>
      </c>
      <c r="C7" s="295">
        <f>SUMIF('JKP-8.4c - G380 123110 (Final)'!$G$2:$G$1273,'JKP-8.4c - Total Costs'!A7,'JKP-8.4c - G380 123110 (Final)'!$J$2:$J$1273)</f>
        <v>35</v>
      </c>
      <c r="D7" s="222">
        <f t="shared" ref="D7:D52" si="0">IF(C7=0,0,B7/C7)</f>
        <v>892.18646886446879</v>
      </c>
      <c r="E7" s="296"/>
      <c r="F7" s="296"/>
    </row>
    <row r="8" spans="1:6" x14ac:dyDescent="0.2">
      <c r="A8" t="s">
        <v>684</v>
      </c>
      <c r="B8" s="222">
        <f>SUMIF('JKP-8.4c - G380 123110 (Final)'!$G$2:$G$1273,'JKP-8.4c - Total Costs'!A8,'JKP-8.4c - G380 123110 (Final)'!$P$2:$P$1273)</f>
        <v>0.10764534883720932</v>
      </c>
      <c r="C8" s="295">
        <f>SUMIF('JKP-8.4c - G380 123110 (Final)'!$G$2:$G$1273,'JKP-8.4c - Total Costs'!A8,'JKP-8.4c - G380 123110 (Final)'!$J$2:$J$1273)</f>
        <v>0</v>
      </c>
      <c r="D8" s="222">
        <f t="shared" si="0"/>
        <v>0</v>
      </c>
      <c r="E8" s="296"/>
      <c r="F8" s="296"/>
    </row>
    <row r="9" spans="1:6" x14ac:dyDescent="0.2">
      <c r="A9" t="s">
        <v>685</v>
      </c>
      <c r="B9" s="222">
        <f>SUMIF('JKP-8.4c - G380 123110 (Final)'!$G$2:$G$1273,'JKP-8.4c - Total Costs'!A9,'JKP-8.4c - G380 123110 (Final)'!$P$2:$P$1273)</f>
        <v>491110775.88692904</v>
      </c>
      <c r="C9" s="295">
        <f>SUMIF('JKP-8.4c - G380 123110 (Final)'!$G$2:$G$1273,'JKP-8.4c - Total Costs'!A9,'JKP-8.4c - G380 123110 (Final)'!$J$2:$J$1273)</f>
        <v>537252</v>
      </c>
      <c r="D9" s="222">
        <f t="shared" si="0"/>
        <v>914.11623574584928</v>
      </c>
      <c r="E9" s="296"/>
      <c r="F9" s="296"/>
    </row>
    <row r="10" spans="1:6" x14ac:dyDescent="0.2">
      <c r="A10" t="s">
        <v>686</v>
      </c>
      <c r="B10" s="222">
        <f>SUMIF('JKP-8.4c - G380 123110 (Final)'!$G$2:$G$1273,'JKP-8.4c - Total Costs'!A10,'JKP-8.4c - G380 123110 (Final)'!$P$2:$P$1273)</f>
        <v>231655149.34426093</v>
      </c>
      <c r="C10" s="295">
        <f>SUMIF('JKP-8.4c - G380 123110 (Final)'!$G$2:$G$1273,'JKP-8.4c - Total Costs'!A10,'JKP-8.4c - G380 123110 (Final)'!$J$2:$J$1273)</f>
        <v>515871</v>
      </c>
      <c r="D10" s="222">
        <f t="shared" si="0"/>
        <v>449.05635196446576</v>
      </c>
      <c r="E10" s="296"/>
      <c r="F10" s="296"/>
    </row>
    <row r="11" spans="1:6" x14ac:dyDescent="0.2">
      <c r="A11" t="s">
        <v>687</v>
      </c>
      <c r="B11" s="222">
        <f>SUMIF('JKP-8.4c - G380 123110 (Final)'!$G$2:$G$1273,'JKP-8.4c - Total Costs'!A11,'JKP-8.4c - G380 123110 (Final)'!$P$2:$P$1273)</f>
        <v>14621758.124290187</v>
      </c>
      <c r="C11" s="295">
        <f>SUMIF('JKP-8.4c - G380 123110 (Final)'!$G$2:$G$1273,'JKP-8.4c - Total Costs'!A11,'JKP-8.4c - G380 123110 (Final)'!$J$2:$J$1273)</f>
        <v>18123</v>
      </c>
      <c r="D11" s="222">
        <f t="shared" si="0"/>
        <v>806.80671656404502</v>
      </c>
      <c r="E11" s="296"/>
      <c r="F11" s="296"/>
    </row>
    <row r="12" spans="1:6" x14ac:dyDescent="0.2">
      <c r="A12" t="s">
        <v>688</v>
      </c>
      <c r="B12" s="222">
        <f>SUMIF('JKP-8.4c - G380 123110 (Final)'!$G$2:$G$1273,'JKP-8.4c - Total Costs'!A12,'JKP-8.4c - G380 123110 (Final)'!$P$2:$P$1273)</f>
        <v>33932290.919795625</v>
      </c>
      <c r="C12" s="295">
        <f>SUMIF('JKP-8.4c - G380 123110 (Final)'!$G$2:$G$1273,'JKP-8.4c - Total Costs'!A12,'JKP-8.4c - G380 123110 (Final)'!$J$2:$J$1273)</f>
        <v>30564</v>
      </c>
      <c r="D12" s="222">
        <f t="shared" si="0"/>
        <v>1110.2045190353235</v>
      </c>
      <c r="E12" s="296"/>
      <c r="F12" s="296"/>
    </row>
    <row r="13" spans="1:6" x14ac:dyDescent="0.2">
      <c r="A13" t="s">
        <v>689</v>
      </c>
      <c r="B13" s="222">
        <f>SUMIF('JKP-8.4c - G380 123110 (Final)'!$G$2:$G$1273,'JKP-8.4c - Total Costs'!A13,'JKP-8.4c - G380 123110 (Final)'!$P$2:$P$1273)</f>
        <v>13385915.12384689</v>
      </c>
      <c r="C13" s="295">
        <f>SUMIF('JKP-8.4c - G380 123110 (Final)'!$G$2:$G$1273,'JKP-8.4c - Total Costs'!A13,'JKP-8.4c - G380 123110 (Final)'!$J$2:$J$1273)</f>
        <v>32635</v>
      </c>
      <c r="D13" s="222">
        <f t="shared" si="0"/>
        <v>410.17052624013758</v>
      </c>
      <c r="E13" s="296"/>
      <c r="F13" s="296"/>
    </row>
    <row r="14" spans="1:6" x14ac:dyDescent="0.2">
      <c r="A14" t="s">
        <v>690</v>
      </c>
      <c r="B14" s="222">
        <f>SUMIF('JKP-8.4c - G380 123110 (Final)'!$G$2:$G$1273,'JKP-8.4c - Total Costs'!A14,'JKP-8.4c - G380 123110 (Final)'!$P$2:$P$1273)</f>
        <v>47711571.797137834</v>
      </c>
      <c r="C14" s="295">
        <f>SUMIF('JKP-8.4c - G380 123110 (Final)'!$G$2:$G$1273,'JKP-8.4c - Total Costs'!A14,'JKP-8.4c - G380 123110 (Final)'!$J$2:$J$1273)</f>
        <v>51436</v>
      </c>
      <c r="D14" s="222">
        <f t="shared" si="0"/>
        <v>927.59102179675392</v>
      </c>
      <c r="E14" s="296"/>
      <c r="F14" s="296"/>
    </row>
    <row r="15" spans="1:6" x14ac:dyDescent="0.2">
      <c r="A15" t="s">
        <v>691</v>
      </c>
      <c r="B15" s="222">
        <f>SUMIF('JKP-8.4c - G380 123110 (Final)'!$G$2:$G$1273,'JKP-8.4c - Total Costs'!A15,'JKP-8.4c - G380 123110 (Final)'!$P$2:$P$1273)</f>
        <v>18519297.1352541</v>
      </c>
      <c r="C15" s="295">
        <f>SUMIF('JKP-8.4c - G380 123110 (Final)'!$G$2:$G$1273,'JKP-8.4c - Total Costs'!A15,'JKP-8.4c - G380 123110 (Final)'!$J$2:$J$1273)</f>
        <v>56868</v>
      </c>
      <c r="D15" s="222">
        <f t="shared" si="0"/>
        <v>325.65409606903881</v>
      </c>
      <c r="E15" s="296"/>
      <c r="F15" s="296"/>
    </row>
    <row r="16" spans="1:6" x14ac:dyDescent="0.2">
      <c r="A16" t="s">
        <v>692</v>
      </c>
      <c r="B16" s="222">
        <f>SUMIF('JKP-8.4c - G380 123110 (Final)'!$G$2:$G$1273,'JKP-8.4c - Total Costs'!A16,'JKP-8.4c - G380 123110 (Final)'!$P$2:$P$1273)</f>
        <v>52488054.611740775</v>
      </c>
      <c r="C16" s="295">
        <f>SUMIF('JKP-8.4c - G380 123110 (Final)'!$G$2:$G$1273,'JKP-8.4c - Total Costs'!A16,'JKP-8.4c - G380 123110 (Final)'!$J$2:$J$1273)</f>
        <v>47113</v>
      </c>
      <c r="D16" s="222">
        <f t="shared" si="0"/>
        <v>1114.0885660378403</v>
      </c>
      <c r="E16" s="296"/>
      <c r="F16" s="296"/>
    </row>
    <row r="17" spans="1:6" x14ac:dyDescent="0.2">
      <c r="A17" t="s">
        <v>693</v>
      </c>
      <c r="B17" s="222">
        <f>SUMIF('JKP-8.4c - G380 123110 (Final)'!$G$2:$G$1273,'JKP-8.4c - Total Costs'!A17,'JKP-8.4c - G380 123110 (Final)'!$P$2:$P$1273)</f>
        <v>19421473.460411604</v>
      </c>
      <c r="C17" s="295">
        <f>SUMIF('JKP-8.4c - G380 123110 (Final)'!$G$2:$G$1273,'JKP-8.4c - Total Costs'!A17,'JKP-8.4c - G380 123110 (Final)'!$J$2:$J$1273)</f>
        <v>47150</v>
      </c>
      <c r="D17" s="222">
        <f t="shared" si="0"/>
        <v>411.90823882103086</v>
      </c>
      <c r="E17" s="296"/>
      <c r="F17" s="296"/>
    </row>
    <row r="18" spans="1:6" x14ac:dyDescent="0.2">
      <c r="A18" t="s">
        <v>694</v>
      </c>
      <c r="B18" s="222">
        <f>SUMIF('JKP-8.4c - G380 123110 (Final)'!$G$2:$G$1273,'JKP-8.4c - Total Costs'!A18,'JKP-8.4c - G380 123110 (Final)'!$P$2:$P$1273)</f>
        <v>313568.88895639539</v>
      </c>
      <c r="C18" s="295">
        <f>SUMIF('JKP-8.4c - G380 123110 (Final)'!$G$2:$G$1273,'JKP-8.4c - Total Costs'!A18,'JKP-8.4c - G380 123110 (Final)'!$J$2:$J$1273)</f>
        <v>94</v>
      </c>
      <c r="D18" s="222">
        <f t="shared" si="0"/>
        <v>3335.839244216972</v>
      </c>
      <c r="E18" s="296"/>
      <c r="F18" s="296"/>
    </row>
    <row r="19" spans="1:6" x14ac:dyDescent="0.2">
      <c r="A19" t="s">
        <v>695</v>
      </c>
      <c r="B19" s="222">
        <f>SUMIF('JKP-8.4c - G380 123110 (Final)'!$G$2:$G$1273,'JKP-8.4c - Total Costs'!A19,'JKP-8.4c - G380 123110 (Final)'!$P$2:$P$1273)</f>
        <v>70430941.352053985</v>
      </c>
      <c r="C19" s="295">
        <f>SUMIF('JKP-8.4c - G380 123110 (Final)'!$G$2:$G$1273,'JKP-8.4c - Total Costs'!A19,'JKP-8.4c - G380 123110 (Final)'!$J$2:$J$1273)</f>
        <v>41301</v>
      </c>
      <c r="D19" s="222">
        <f t="shared" si="0"/>
        <v>1705.3083787814819</v>
      </c>
      <c r="E19" s="296"/>
      <c r="F19" s="296"/>
    </row>
    <row r="20" spans="1:6" x14ac:dyDescent="0.2">
      <c r="A20" t="s">
        <v>696</v>
      </c>
      <c r="B20" s="222">
        <f>SUMIF('JKP-8.4c - G380 123110 (Final)'!$G$2:$G$1273,'JKP-8.4c - Total Costs'!A20,'JKP-8.4c - G380 123110 (Final)'!$P$2:$P$1273)</f>
        <v>38145031.923844114</v>
      </c>
      <c r="C20" s="295">
        <f>SUMIF('JKP-8.4c - G380 123110 (Final)'!$G$2:$G$1273,'JKP-8.4c - Total Costs'!A20,'JKP-8.4c - G380 123110 (Final)'!$J$2:$J$1273)</f>
        <v>45291</v>
      </c>
      <c r="D20" s="222">
        <f t="shared" si="0"/>
        <v>842.22101353125595</v>
      </c>
      <c r="E20" s="296"/>
      <c r="F20" s="296"/>
    </row>
    <row r="21" spans="1:6" x14ac:dyDescent="0.2">
      <c r="A21" t="s">
        <v>697</v>
      </c>
      <c r="B21" s="222">
        <f>SUMIF('JKP-8.4c - G380 123110 (Final)'!$G$2:$G$1273,'JKP-8.4c - Total Costs'!A21,'JKP-8.4c - G380 123110 (Final)'!$P$2:$P$1273)</f>
        <v>2806510.7352279639</v>
      </c>
      <c r="C21" s="295">
        <f>SUMIF('JKP-8.4c - G380 123110 (Final)'!$G$2:$G$1273,'JKP-8.4c - Total Costs'!A21,'JKP-8.4c - G380 123110 (Final)'!$J$2:$J$1273)</f>
        <v>1458</v>
      </c>
      <c r="D21" s="222">
        <f t="shared" si="0"/>
        <v>1924.9044823237064</v>
      </c>
      <c r="E21" s="296"/>
      <c r="F21" s="296"/>
    </row>
    <row r="22" spans="1:6" x14ac:dyDescent="0.2">
      <c r="A22" s="1" t="s">
        <v>698</v>
      </c>
      <c r="B22" s="222">
        <f>SUMIF('JKP-8.4c - G380 123110 (Final)'!$G$2:$G$1273,'JKP-8.4c - Total Costs'!A22,'JKP-8.4c - G380 123110 (Final)'!$P$2:$P$1273)</f>
        <v>408844.09631037374</v>
      </c>
      <c r="C22" s="295">
        <f>SUMIF('JKP-8.4c - G380 123110 (Final)'!$G$2:$G$1273,'JKP-8.4c - Total Costs'!A22,'JKP-8.4c - G380 123110 (Final)'!$J$2:$J$1273)</f>
        <v>51</v>
      </c>
      <c r="D22" s="222">
        <f t="shared" si="0"/>
        <v>8016.5509080465445</v>
      </c>
      <c r="E22" s="296"/>
      <c r="F22" s="296"/>
    </row>
    <row r="23" spans="1:6" x14ac:dyDescent="0.2">
      <c r="A23" t="s">
        <v>699</v>
      </c>
      <c r="B23" s="222">
        <f>SUMIF('JKP-8.4c - G380 123110 (Final)'!$G$2:$G$1273,'JKP-8.4c - Total Costs'!A23,'JKP-8.4c - G380 123110 (Final)'!$P$2:$P$1273)</f>
        <v>56821530.971273907</v>
      </c>
      <c r="C23" s="295">
        <f>SUMIF('JKP-8.4c - G380 123110 (Final)'!$G$2:$G$1273,'JKP-8.4c - Total Costs'!A23,'JKP-8.4c - G380 123110 (Final)'!$J$2:$J$1273)</f>
        <v>19801</v>
      </c>
      <c r="D23" s="222">
        <f t="shared" si="0"/>
        <v>2869.6293607026869</v>
      </c>
      <c r="E23" s="296"/>
      <c r="F23" s="296"/>
    </row>
    <row r="24" spans="1:6" x14ac:dyDescent="0.2">
      <c r="A24" t="s">
        <v>700</v>
      </c>
      <c r="B24" s="222">
        <f>SUMIF('JKP-8.4c - G380 123110 (Final)'!$G$2:$G$1273,'JKP-8.4c - Total Costs'!A24,'JKP-8.4c - G380 123110 (Final)'!$P$2:$P$1273)</f>
        <v>31215308.144191489</v>
      </c>
      <c r="C24" s="295">
        <f>SUMIF('JKP-8.4c - G380 123110 (Final)'!$G$2:$G$1273,'JKP-8.4c - Total Costs'!A24,'JKP-8.4c - G380 123110 (Final)'!$J$2:$J$1273)</f>
        <v>20446</v>
      </c>
      <c r="D24" s="222">
        <f t="shared" si="0"/>
        <v>1526.7195609992903</v>
      </c>
      <c r="E24" s="296"/>
      <c r="F24" s="296"/>
    </row>
    <row r="25" spans="1:6" x14ac:dyDescent="0.2">
      <c r="A25" t="s">
        <v>701</v>
      </c>
      <c r="B25" s="222">
        <f>SUMIF('JKP-8.4c - G380 123110 (Final)'!$G$2:$G$1273,'JKP-8.4c - Total Costs'!A25,'JKP-8.4c - G380 123110 (Final)'!$P$2:$P$1273)</f>
        <v>281380.42854569625</v>
      </c>
      <c r="C25" s="295">
        <f>SUMIF('JKP-8.4c - G380 123110 (Final)'!$G$2:$G$1273,'JKP-8.4c - Total Costs'!A25,'JKP-8.4c - G380 123110 (Final)'!$J$2:$J$1273)</f>
        <v>176</v>
      </c>
      <c r="D25" s="222">
        <f t="shared" si="0"/>
        <v>1598.7524349187288</v>
      </c>
      <c r="E25" s="296"/>
      <c r="F25" s="296"/>
    </row>
    <row r="26" spans="1:6" x14ac:dyDescent="0.2">
      <c r="A26" t="s">
        <v>702</v>
      </c>
      <c r="B26" s="222">
        <f>SUMIF('JKP-8.4c - G380 123110 (Final)'!$G$2:$G$1273,'JKP-8.4c - Total Costs'!A26,'JKP-8.4c - G380 123110 (Final)'!$P$2:$P$1273)</f>
        <v>4823430.5698382519</v>
      </c>
      <c r="C26" s="295">
        <f>SUMIF('JKP-8.4c - G380 123110 (Final)'!$G$2:$G$1273,'JKP-8.4c - Total Costs'!A26,'JKP-8.4c - G380 123110 (Final)'!$J$2:$J$1273)</f>
        <v>1827</v>
      </c>
      <c r="D26" s="222">
        <f t="shared" si="0"/>
        <v>2640.0824137045715</v>
      </c>
      <c r="E26" s="296"/>
      <c r="F26" s="296"/>
    </row>
    <row r="27" spans="1:6" x14ac:dyDescent="0.2">
      <c r="A27" t="s">
        <v>703</v>
      </c>
      <c r="B27" s="222">
        <f>SUMIF('JKP-8.4c - G380 123110 (Final)'!$G$2:$G$1273,'JKP-8.4c - Total Costs'!A27,'JKP-8.4c - G380 123110 (Final)'!$P$2:$P$1273)</f>
        <v>2885126.7658320316</v>
      </c>
      <c r="C27" s="295">
        <f>SUMIF('JKP-8.4c - G380 123110 (Final)'!$G$2:$G$1273,'JKP-8.4c - Total Costs'!A27,'JKP-8.4c - G380 123110 (Final)'!$J$2:$J$1273)</f>
        <v>2946</v>
      </c>
      <c r="D27" s="222">
        <f t="shared" si="0"/>
        <v>979.336987723025</v>
      </c>
      <c r="E27" s="296"/>
      <c r="F27" s="296"/>
    </row>
    <row r="28" spans="1:6" x14ac:dyDescent="0.2">
      <c r="A28" t="s">
        <v>704</v>
      </c>
      <c r="B28" s="222">
        <f>SUMIF('JKP-8.4c - G380 123110 (Final)'!$G$2:$G$1273,'JKP-8.4c - Total Costs'!A28,'JKP-8.4c - G380 123110 (Final)'!$P$2:$P$1273)</f>
        <v>26455646.290411994</v>
      </c>
      <c r="C28" s="295">
        <f>SUMIF('JKP-8.4c - G380 123110 (Final)'!$G$2:$G$1273,'JKP-8.4c - Total Costs'!A28,'JKP-8.4c - G380 123110 (Final)'!$J$2:$J$1273)</f>
        <v>37925</v>
      </c>
      <c r="D28" s="222">
        <f t="shared" si="0"/>
        <v>697.57801688627535</v>
      </c>
      <c r="E28" s="296"/>
      <c r="F28" s="296"/>
    </row>
    <row r="29" spans="1:6" x14ac:dyDescent="0.2">
      <c r="A29" t="s">
        <v>705</v>
      </c>
      <c r="B29" s="222">
        <f>SUMIF('JKP-8.4c - G380 123110 (Final)'!$G$2:$G$1273,'JKP-8.4c - Total Costs'!A29,'JKP-8.4c - G380 123110 (Final)'!$P$2:$P$1273)</f>
        <v>11826486.243283581</v>
      </c>
      <c r="C29" s="295">
        <f>SUMIF('JKP-8.4c - G380 123110 (Final)'!$G$2:$G$1273,'JKP-8.4c - Total Costs'!A29,'JKP-8.4c - G380 123110 (Final)'!$J$2:$J$1273)</f>
        <v>46320</v>
      </c>
      <c r="D29" s="222">
        <f t="shared" si="0"/>
        <v>255.32137830923102</v>
      </c>
      <c r="E29" s="296"/>
      <c r="F29" s="296"/>
    </row>
    <row r="30" spans="1:6" x14ac:dyDescent="0.2">
      <c r="A30" t="s">
        <v>706</v>
      </c>
      <c r="B30" s="222">
        <f>SUMIF('JKP-8.4c - G380 123110 (Final)'!$G$2:$G$1273,'JKP-8.4c - Total Costs'!A30,'JKP-8.4c - G380 123110 (Final)'!$P$2:$P$1273)</f>
        <v>108768.30493142258</v>
      </c>
      <c r="C30" s="295">
        <f>SUMIF('JKP-8.4c - G380 123110 (Final)'!$G$2:$G$1273,'JKP-8.4c - Total Costs'!A30,'JKP-8.4c - G380 123110 (Final)'!$J$2:$J$1273)</f>
        <v>4</v>
      </c>
      <c r="D30" s="222">
        <f t="shared" si="0"/>
        <v>27192.076232855645</v>
      </c>
      <c r="E30" s="296"/>
      <c r="F30" s="296"/>
    </row>
    <row r="31" spans="1:6" x14ac:dyDescent="0.2">
      <c r="A31" t="s">
        <v>707</v>
      </c>
      <c r="B31" s="222">
        <f>SUMIF('JKP-8.4c - G380 123110 (Final)'!$G$2:$G$1273,'JKP-8.4c - Total Costs'!A31,'JKP-8.4c - G380 123110 (Final)'!$P$2:$P$1273)</f>
        <v>40229.417385354143</v>
      </c>
      <c r="C31" s="295">
        <f>SUMIF('JKP-8.4c - G380 123110 (Final)'!$G$2:$G$1273,'JKP-8.4c - Total Costs'!A31,'JKP-8.4c - G380 123110 (Final)'!$J$2:$J$1273)</f>
        <v>4</v>
      </c>
      <c r="D31" s="222">
        <f t="shared" si="0"/>
        <v>10057.354346338536</v>
      </c>
      <c r="E31" s="296"/>
      <c r="F31" s="296"/>
    </row>
    <row r="32" spans="1:6" x14ac:dyDescent="0.2">
      <c r="A32" t="s">
        <v>708</v>
      </c>
      <c r="B32" s="222">
        <f>SUMIF('JKP-8.4c - G380 123110 (Final)'!$G$2:$G$1273,'JKP-8.4c - Total Costs'!A32,'JKP-8.4c - G380 123110 (Final)'!$P$2:$P$1273)</f>
        <v>521477.72449481633</v>
      </c>
      <c r="C32" s="295">
        <f>SUMIF('JKP-8.4c - G380 123110 (Final)'!$G$2:$G$1273,'JKP-8.4c - Total Costs'!A32,'JKP-8.4c - G380 123110 (Final)'!$J$2:$J$1273)</f>
        <v>69</v>
      </c>
      <c r="D32" s="222">
        <f t="shared" si="0"/>
        <v>7557.6481810842943</v>
      </c>
      <c r="E32" s="296"/>
      <c r="F32" s="296"/>
    </row>
    <row r="33" spans="1:6" x14ac:dyDescent="0.2">
      <c r="A33" t="s">
        <v>709</v>
      </c>
      <c r="B33" s="222">
        <f>SUMIF('JKP-8.4c - G380 123110 (Final)'!$G$2:$G$1273,'JKP-8.4c - Total Costs'!A33,'JKP-8.4c - G380 123110 (Final)'!$P$2:$P$1273)</f>
        <v>33190810.452635225</v>
      </c>
      <c r="C33" s="295">
        <f>SUMIF('JKP-8.4c - G380 123110 (Final)'!$G$2:$G$1273,'JKP-8.4c - Total Costs'!A33,'JKP-8.4c - G380 123110 (Final)'!$J$2:$J$1273)</f>
        <v>10316</v>
      </c>
      <c r="D33" s="222">
        <f t="shared" si="0"/>
        <v>3217.4108620235775</v>
      </c>
      <c r="E33" s="296"/>
      <c r="F33" s="296"/>
    </row>
    <row r="34" spans="1:6" x14ac:dyDescent="0.2">
      <c r="A34" t="s">
        <v>710</v>
      </c>
      <c r="B34" s="222">
        <f>SUMIF('JKP-8.4c - G380 123110 (Final)'!$G$2:$G$1273,'JKP-8.4c - Total Costs'!A34,'JKP-8.4c - G380 123110 (Final)'!$P$2:$P$1273)</f>
        <v>14509099.654255284</v>
      </c>
      <c r="C34" s="295">
        <f>SUMIF('JKP-8.4c - G380 123110 (Final)'!$G$2:$G$1273,'JKP-8.4c - Total Costs'!A34,'JKP-8.4c - G380 123110 (Final)'!$J$2:$J$1273)</f>
        <v>9867</v>
      </c>
      <c r="D34" s="222">
        <f t="shared" si="0"/>
        <v>1470.4671789049644</v>
      </c>
      <c r="E34" s="296"/>
      <c r="F34" s="296"/>
    </row>
    <row r="35" spans="1:6" x14ac:dyDescent="0.2">
      <c r="A35" t="s">
        <v>711</v>
      </c>
      <c r="B35" s="222">
        <f>SUMIF('JKP-8.4c - G380 123110 (Final)'!$G$2:$G$1273,'JKP-8.4c - Total Costs'!A35,'JKP-8.4c - G380 123110 (Final)'!$P$2:$P$1273)</f>
        <v>10882.749140913744</v>
      </c>
      <c r="C35" s="295">
        <f>SUMIF('JKP-8.4c - G380 123110 (Final)'!$G$2:$G$1273,'JKP-8.4c - Total Costs'!A35,'JKP-8.4c - G380 123110 (Final)'!$J$2:$J$1273)</f>
        <v>3</v>
      </c>
      <c r="D35" s="222">
        <f t="shared" si="0"/>
        <v>3627.5830469712478</v>
      </c>
      <c r="E35" s="296"/>
      <c r="F35" s="296"/>
    </row>
    <row r="36" spans="1:6" x14ac:dyDescent="0.2">
      <c r="A36" t="s">
        <v>712</v>
      </c>
      <c r="B36" s="222">
        <f>SUMIF('JKP-8.4c - G380 123110 (Final)'!$G$2:$G$1273,'JKP-8.4c - Total Costs'!A36,'JKP-8.4c - G380 123110 (Final)'!$P$2:$P$1273)</f>
        <v>17171237.887232177</v>
      </c>
      <c r="C36" s="295">
        <f>SUMIF('JKP-8.4c - G380 123110 (Final)'!$G$2:$G$1273,'JKP-8.4c - Total Costs'!A36,'JKP-8.4c - G380 123110 (Final)'!$J$2:$J$1273)</f>
        <v>6483</v>
      </c>
      <c r="D36" s="222">
        <f t="shared" si="0"/>
        <v>2648.6561603011223</v>
      </c>
      <c r="E36" s="296"/>
      <c r="F36" s="296"/>
    </row>
    <row r="37" spans="1:6" x14ac:dyDescent="0.2">
      <c r="A37" t="s">
        <v>713</v>
      </c>
      <c r="B37" s="222">
        <f>SUMIF('JKP-8.4c - G380 123110 (Final)'!$G$2:$G$1273,'JKP-8.4c - Total Costs'!A37,'JKP-8.4c - G380 123110 (Final)'!$P$2:$P$1273)</f>
        <v>6254935.4230670547</v>
      </c>
      <c r="C37" s="295">
        <f>SUMIF('JKP-8.4c - G380 123110 (Final)'!$G$2:$G$1273,'JKP-8.4c - Total Costs'!A37,'JKP-8.4c - G380 123110 (Final)'!$J$2:$J$1273)</f>
        <v>6490</v>
      </c>
      <c r="D37" s="222">
        <f t="shared" si="0"/>
        <v>963.78049662050148</v>
      </c>
      <c r="E37" s="296"/>
      <c r="F37" s="296"/>
    </row>
    <row r="38" spans="1:6" x14ac:dyDescent="0.2">
      <c r="A38" t="s">
        <v>714</v>
      </c>
      <c r="B38" s="222">
        <f>SUMIF('JKP-8.4c - G380 123110 (Final)'!$G$2:$G$1273,'JKP-8.4c - Total Costs'!A38,'JKP-8.4c - G380 123110 (Final)'!$P$2:$P$1273)</f>
        <v>2756226.0391298132</v>
      </c>
      <c r="C38" s="295">
        <f>SUMIF('JKP-8.4c - G380 123110 (Final)'!$G$2:$G$1273,'JKP-8.4c - Total Costs'!A38,'JKP-8.4c - G380 123110 (Final)'!$J$2:$J$1273)</f>
        <v>678</v>
      </c>
      <c r="D38" s="222">
        <f t="shared" si="0"/>
        <v>4065.2301462091641</v>
      </c>
      <c r="E38" s="296"/>
      <c r="F38" s="296"/>
    </row>
    <row r="39" spans="1:6" x14ac:dyDescent="0.2">
      <c r="A39" t="s">
        <v>715</v>
      </c>
      <c r="B39" s="222">
        <f>SUMIF('JKP-8.4c - G380 123110 (Final)'!$G$2:$G$1273,'JKP-8.4c - Total Costs'!A39,'JKP-8.4c - G380 123110 (Final)'!$P$2:$P$1273)</f>
        <v>1145463.7974776572</v>
      </c>
      <c r="C39" s="295">
        <f>SUMIF('JKP-8.4c - G380 123110 (Final)'!$G$2:$G$1273,'JKP-8.4c - Total Costs'!A39,'JKP-8.4c - G380 123110 (Final)'!$J$2:$J$1273)</f>
        <v>776</v>
      </c>
      <c r="D39" s="222">
        <f t="shared" si="0"/>
        <v>1476.1131410794551</v>
      </c>
      <c r="E39" s="296"/>
      <c r="F39" s="296"/>
    </row>
    <row r="40" spans="1:6" x14ac:dyDescent="0.2">
      <c r="A40" t="s">
        <v>716</v>
      </c>
      <c r="B40" s="222">
        <f>SUMIF('JKP-8.4c - G380 123110 (Final)'!$G$2:$G$1273,'JKP-8.4c - Total Costs'!A40,'JKP-8.4c - G380 123110 (Final)'!$P$2:$P$1273)</f>
        <v>191825.07061583959</v>
      </c>
      <c r="C40" s="295">
        <f>SUMIF('JKP-8.4c - G380 123110 (Final)'!$G$2:$G$1273,'JKP-8.4c - Total Costs'!A40,'JKP-8.4c - G380 123110 (Final)'!$J$2:$J$1273)</f>
        <v>17</v>
      </c>
      <c r="D40" s="222">
        <f t="shared" si="0"/>
        <v>11283.827683284682</v>
      </c>
      <c r="E40" s="296"/>
      <c r="F40" s="296"/>
    </row>
    <row r="41" spans="1:6" x14ac:dyDescent="0.2">
      <c r="A41" t="s">
        <v>717</v>
      </c>
      <c r="B41" s="222">
        <f>SUMIF('JKP-8.4c - G380 123110 (Final)'!$G$2:$G$1273,'JKP-8.4c - Total Costs'!A41,'JKP-8.4c - G380 123110 (Final)'!$P$2:$P$1273)</f>
        <v>4480891.8221256342</v>
      </c>
      <c r="C41" s="295">
        <f>SUMIF('JKP-8.4c - G380 123110 (Final)'!$G$2:$G$1273,'JKP-8.4c - Total Costs'!A41,'JKP-8.4c - G380 123110 (Final)'!$J$2:$J$1273)</f>
        <v>1714</v>
      </c>
      <c r="D41" s="222">
        <f t="shared" si="0"/>
        <v>2614.2892777862512</v>
      </c>
      <c r="E41" s="296"/>
      <c r="F41" s="296"/>
    </row>
    <row r="42" spans="1:6" x14ac:dyDescent="0.2">
      <c r="A42" t="s">
        <v>718</v>
      </c>
      <c r="B42" s="222">
        <f>SUMIF('JKP-8.4c - G380 123110 (Final)'!$G$2:$G$1273,'JKP-8.4c - Total Costs'!A42,'JKP-8.4c - G380 123110 (Final)'!$P$2:$P$1273)</f>
        <v>1792980.6898200337</v>
      </c>
      <c r="C42" s="295">
        <f>SUMIF('JKP-8.4c - G380 123110 (Final)'!$G$2:$G$1273,'JKP-8.4c - Total Costs'!A42,'JKP-8.4c - G380 123110 (Final)'!$J$2:$J$1273)</f>
        <v>1832</v>
      </c>
      <c r="D42" s="222">
        <f t="shared" si="0"/>
        <v>978.7012499017651</v>
      </c>
      <c r="E42" s="296"/>
      <c r="F42" s="296"/>
    </row>
    <row r="43" spans="1:6" x14ac:dyDescent="0.2">
      <c r="A43" t="s">
        <v>719</v>
      </c>
      <c r="B43" s="222">
        <f>SUMIF('JKP-8.4c - G380 123110 (Final)'!$G$2:$G$1273,'JKP-8.4c - Total Costs'!A43,'JKP-8.4c - G380 123110 (Final)'!$P$2:$P$1273)</f>
        <v>1465195.1887876198</v>
      </c>
      <c r="C43" s="295">
        <f>SUMIF('JKP-8.4c - G380 123110 (Final)'!$G$2:$G$1273,'JKP-8.4c - Total Costs'!A43,'JKP-8.4c - G380 123110 (Final)'!$J$2:$J$1273)</f>
        <v>33</v>
      </c>
      <c r="D43" s="222">
        <f t="shared" si="0"/>
        <v>44399.854205685449</v>
      </c>
      <c r="E43" s="296"/>
      <c r="F43" s="296"/>
    </row>
    <row r="44" spans="1:6" x14ac:dyDescent="0.2">
      <c r="A44" t="s">
        <v>720</v>
      </c>
      <c r="B44" s="222">
        <f>SUMIF('JKP-8.4c - G380 123110 (Final)'!$G$2:$G$1273,'JKP-8.4c - Total Costs'!A44,'JKP-8.4c - G380 123110 (Final)'!$P$2:$P$1273)</f>
        <v>619181.24604957027</v>
      </c>
      <c r="C44" s="295">
        <f>SUMIF('JKP-8.4c - G380 123110 (Final)'!$G$2:$G$1273,'JKP-8.4c - Total Costs'!A44,'JKP-8.4c - G380 123110 (Final)'!$J$2:$J$1273)</f>
        <v>39</v>
      </c>
      <c r="D44" s="222">
        <f t="shared" si="0"/>
        <v>15876.442206399237</v>
      </c>
      <c r="E44" s="296"/>
      <c r="F44" s="296"/>
    </row>
    <row r="45" spans="1:6" x14ac:dyDescent="0.2">
      <c r="A45" s="9" t="s">
        <v>721</v>
      </c>
      <c r="B45" s="222">
        <f>SUMIF('JKP-8.4c - G380 123110 (Final)'!$G$2:$G$1273,'JKP-8.4c - Total Costs'!A45,'JKP-8.4c - G380 123110 (Final)'!$P$2:$P$1273)</f>
        <v>18.158179871520343</v>
      </c>
      <c r="C45" s="295">
        <f>SUMIF('JKP-8.4c - G380 123110 (Final)'!$G$2:$G$1273,'JKP-8.4c - Total Costs'!A45,'JKP-8.4c - G380 123110 (Final)'!$J$2:$J$1273)</f>
        <v>0</v>
      </c>
      <c r="D45" s="222">
        <f t="shared" si="0"/>
        <v>0</v>
      </c>
      <c r="E45" s="296"/>
      <c r="F45" s="296"/>
    </row>
    <row r="46" spans="1:6" x14ac:dyDescent="0.2">
      <c r="A46" t="s">
        <v>722</v>
      </c>
      <c r="B46" s="222">
        <f>SUMIF('JKP-8.4c - G380 123110 (Final)'!$G$2:$G$1273,'JKP-8.4c - Total Costs'!A46,'JKP-8.4c - G380 123110 (Final)'!$P$2:$P$1273)</f>
        <v>631864.01561388164</v>
      </c>
      <c r="C46" s="295">
        <f>SUMIF('JKP-8.4c - G380 123110 (Final)'!$G$2:$G$1273,'JKP-8.4c - Total Costs'!A46,'JKP-8.4c - G380 123110 (Final)'!$J$2:$J$1273)</f>
        <v>23</v>
      </c>
      <c r="D46" s="222">
        <f t="shared" si="0"/>
        <v>27472.348504951377</v>
      </c>
      <c r="E46" s="296"/>
      <c r="F46" s="296"/>
    </row>
    <row r="47" spans="1:6" x14ac:dyDescent="0.2">
      <c r="A47" t="s">
        <v>723</v>
      </c>
      <c r="B47" s="222">
        <f>SUMIF('JKP-8.4c - G380 123110 (Final)'!$G$2:$G$1273,'JKP-8.4c - Total Costs'!A47,'JKP-8.4c - G380 123110 (Final)'!$P$2:$P$1273)</f>
        <v>424945.94727543253</v>
      </c>
      <c r="C47" s="295">
        <f>SUMIF('JKP-8.4c - G380 123110 (Final)'!$G$2:$G$1273,'JKP-8.4c - Total Costs'!A47,'JKP-8.4c - G380 123110 (Final)'!$J$2:$J$1273)</f>
        <v>28</v>
      </c>
      <c r="D47" s="222">
        <f t="shared" si="0"/>
        <v>15176.640974122591</v>
      </c>
      <c r="E47" s="296"/>
      <c r="F47" s="296"/>
    </row>
    <row r="48" spans="1:6" x14ac:dyDescent="0.2">
      <c r="A48" t="s">
        <v>724</v>
      </c>
      <c r="B48" s="222">
        <f>SUMIF('JKP-8.4c - G380 123110 (Final)'!$G$2:$G$1273,'JKP-8.4c - Total Costs'!A48,'JKP-8.4c - G380 123110 (Final)'!$P$2:$P$1273)</f>
        <v>46535.408087484037</v>
      </c>
      <c r="C48" s="295">
        <f>SUMIF('JKP-8.4c - G380 123110 (Final)'!$G$2:$G$1273,'JKP-8.4c - Total Costs'!A48,'JKP-8.4c - G380 123110 (Final)'!$J$2:$J$1273)</f>
        <v>2</v>
      </c>
      <c r="D48" s="222">
        <f t="shared" si="0"/>
        <v>23267.704043742018</v>
      </c>
      <c r="E48" s="296"/>
      <c r="F48" s="296"/>
    </row>
    <row r="49" spans="1:6" x14ac:dyDescent="0.2">
      <c r="A49" t="s">
        <v>725</v>
      </c>
      <c r="B49" s="222">
        <f>SUMIF('JKP-8.4c - G380 123110 (Final)'!$G$2:$G$1273,'JKP-8.4c - Total Costs'!A49,'JKP-8.4c - G380 123110 (Final)'!$P$2:$P$1273)</f>
        <v>1105289.4651024428</v>
      </c>
      <c r="C49" s="295">
        <f>SUMIF('JKP-8.4c - G380 123110 (Final)'!$G$2:$G$1273,'JKP-8.4c - Total Costs'!A49,'JKP-8.4c - G380 123110 (Final)'!$J$2:$J$1273)</f>
        <v>34</v>
      </c>
      <c r="D49" s="222">
        <f t="shared" si="0"/>
        <v>32508.513679483611</v>
      </c>
      <c r="E49" s="296"/>
      <c r="F49" s="296"/>
    </row>
    <row r="50" spans="1:6" x14ac:dyDescent="0.2">
      <c r="A50" t="s">
        <v>726</v>
      </c>
      <c r="B50" s="222">
        <f>SUMIF('JKP-8.4c - G380 123110 (Final)'!$G$2:$G$1273,'JKP-8.4c - Total Costs'!A50,'JKP-8.4c - G380 123110 (Final)'!$P$2:$P$1273)</f>
        <v>371932.87744132942</v>
      </c>
      <c r="C50" s="295">
        <f>SUMIF('JKP-8.4c - G380 123110 (Final)'!$G$2:$G$1273,'JKP-8.4c - Total Costs'!A50,'JKP-8.4c - G380 123110 (Final)'!$J$2:$J$1273)</f>
        <v>37</v>
      </c>
      <c r="D50" s="222">
        <f t="shared" si="0"/>
        <v>10052.239930846741</v>
      </c>
      <c r="E50" s="296"/>
      <c r="F50" s="296"/>
    </row>
    <row r="51" spans="1:6" x14ac:dyDescent="0.2">
      <c r="A51" t="s">
        <v>727</v>
      </c>
      <c r="B51" s="222">
        <f>SUMIF('JKP-8.4c - G380 123110 (Final)'!$G$2:$G$1273,'JKP-8.4c - Total Costs'!A51,'JKP-8.4c - G380 123110 (Final)'!$P$2:$P$1273)</f>
        <v>226727.9541364274</v>
      </c>
      <c r="C51" s="295">
        <f>SUMIF('JKP-8.4c - G380 123110 (Final)'!$G$2:$G$1273,'JKP-8.4c - Total Costs'!A51,'JKP-8.4c - G380 123110 (Final)'!$J$2:$J$1273)</f>
        <v>14</v>
      </c>
      <c r="D51" s="222">
        <f t="shared" si="0"/>
        <v>16194.853866887672</v>
      </c>
      <c r="E51" s="296"/>
      <c r="F51" s="296"/>
    </row>
    <row r="52" spans="1:6" x14ac:dyDescent="0.2">
      <c r="A52" t="s">
        <v>728</v>
      </c>
      <c r="B52" s="222">
        <f>SUMIF('JKP-8.4c - G380 123110 (Final)'!$G$2:$G$1273,'JKP-8.4c - Total Costs'!A52,'JKP-8.4c - G380 123110 (Final)'!$P$2:$P$1273)</f>
        <v>82875.629329468196</v>
      </c>
      <c r="C52" s="295">
        <f>SUMIF('JKP-8.4c - G380 123110 (Final)'!$G$2:$G$1273,'JKP-8.4c - Total Costs'!A52,'JKP-8.4c - G380 123110 (Final)'!$J$2:$J$1273)</f>
        <v>13</v>
      </c>
      <c r="D52" s="222">
        <f t="shared" si="0"/>
        <v>6375.0484099590922</v>
      </c>
      <c r="E52" s="296"/>
      <c r="F52" s="296"/>
    </row>
    <row r="53" spans="1:6" x14ac:dyDescent="0.2">
      <c r="A53" t="s">
        <v>23</v>
      </c>
      <c r="B53" s="222">
        <f>SUM(B6:B52)</f>
        <v>1256474485.5417304</v>
      </c>
      <c r="C53" s="295">
        <f>SUM(C6:C52)</f>
        <v>1593173</v>
      </c>
    </row>
    <row r="54" spans="1:6" x14ac:dyDescent="0.2">
      <c r="A54" t="s">
        <v>131</v>
      </c>
      <c r="B54" s="297">
        <f>B53-'JKP-8.4c - G380 123110 (Final)'!P1275</f>
        <v>0</v>
      </c>
      <c r="C54" s="297">
        <f>+C53-'JKP-8.4c - G380 123110 (Final)'!J1275</f>
        <v>0</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80"/>
  <sheetViews>
    <sheetView workbookViewId="0">
      <selection activeCell="C35" sqref="C35"/>
    </sheetView>
  </sheetViews>
  <sheetFormatPr defaultRowHeight="12.75" x14ac:dyDescent="0.2"/>
  <cols>
    <col min="1" max="1" width="9.140625" style="9"/>
    <col min="2" max="2" width="13" style="8" customWidth="1"/>
    <col min="3" max="5" width="9.140625" style="38"/>
    <col min="6" max="6" width="6.85546875" style="38" customWidth="1"/>
    <col min="7" max="7" width="10.42578125" style="38" customWidth="1"/>
    <col min="8" max="8" width="14.28515625" style="9" customWidth="1"/>
    <col min="9" max="9" width="15.5703125" style="9" customWidth="1"/>
    <col min="10" max="10" width="12.85546875" style="9" customWidth="1"/>
    <col min="11" max="11" width="13.140625" style="9" customWidth="1"/>
    <col min="12" max="12" width="15" style="9" customWidth="1"/>
    <col min="13" max="257" width="9.140625" style="9"/>
    <col min="258" max="258" width="13" style="9" customWidth="1"/>
    <col min="259" max="261" width="9.140625" style="9"/>
    <col min="262" max="262" width="6.85546875" style="9" customWidth="1"/>
    <col min="263" max="263" width="10.42578125" style="9" customWidth="1"/>
    <col min="264" max="264" width="14.28515625" style="9" customWidth="1"/>
    <col min="265" max="265" width="15.5703125" style="9" customWidth="1"/>
    <col min="266" max="266" width="12.85546875" style="9" customWidth="1"/>
    <col min="267" max="267" width="13.140625" style="9" customWidth="1"/>
    <col min="268" max="268" width="15" style="9" customWidth="1"/>
    <col min="269" max="513" width="9.140625" style="9"/>
    <col min="514" max="514" width="13" style="9" customWidth="1"/>
    <col min="515" max="517" width="9.140625" style="9"/>
    <col min="518" max="518" width="6.85546875" style="9" customWidth="1"/>
    <col min="519" max="519" width="10.42578125" style="9" customWidth="1"/>
    <col min="520" max="520" width="14.28515625" style="9" customWidth="1"/>
    <col min="521" max="521" width="15.5703125" style="9" customWidth="1"/>
    <col min="522" max="522" width="12.85546875" style="9" customWidth="1"/>
    <col min="523" max="523" width="13.140625" style="9" customWidth="1"/>
    <col min="524" max="524" width="15" style="9" customWidth="1"/>
    <col min="525" max="769" width="9.140625" style="9"/>
    <col min="770" max="770" width="13" style="9" customWidth="1"/>
    <col min="771" max="773" width="9.140625" style="9"/>
    <col min="774" max="774" width="6.85546875" style="9" customWidth="1"/>
    <col min="775" max="775" width="10.42578125" style="9" customWidth="1"/>
    <col min="776" max="776" width="14.28515625" style="9" customWidth="1"/>
    <col min="777" max="777" width="15.5703125" style="9" customWidth="1"/>
    <col min="778" max="778" width="12.85546875" style="9" customWidth="1"/>
    <col min="779" max="779" width="13.140625" style="9" customWidth="1"/>
    <col min="780" max="780" width="15" style="9" customWidth="1"/>
    <col min="781" max="1025" width="9.140625" style="9"/>
    <col min="1026" max="1026" width="13" style="9" customWidth="1"/>
    <col min="1027" max="1029" width="9.140625" style="9"/>
    <col min="1030" max="1030" width="6.85546875" style="9" customWidth="1"/>
    <col min="1031" max="1031" width="10.42578125" style="9" customWidth="1"/>
    <col min="1032" max="1032" width="14.28515625" style="9" customWidth="1"/>
    <col min="1033" max="1033" width="15.5703125" style="9" customWidth="1"/>
    <col min="1034" max="1034" width="12.85546875" style="9" customWidth="1"/>
    <col min="1035" max="1035" width="13.140625" style="9" customWidth="1"/>
    <col min="1036" max="1036" width="15" style="9" customWidth="1"/>
    <col min="1037" max="1281" width="9.140625" style="9"/>
    <col min="1282" max="1282" width="13" style="9" customWidth="1"/>
    <col min="1283" max="1285" width="9.140625" style="9"/>
    <col min="1286" max="1286" width="6.85546875" style="9" customWidth="1"/>
    <col min="1287" max="1287" width="10.42578125" style="9" customWidth="1"/>
    <col min="1288" max="1288" width="14.28515625" style="9" customWidth="1"/>
    <col min="1289" max="1289" width="15.5703125" style="9" customWidth="1"/>
    <col min="1290" max="1290" width="12.85546875" style="9" customWidth="1"/>
    <col min="1291" max="1291" width="13.140625" style="9" customWidth="1"/>
    <col min="1292" max="1292" width="15" style="9" customWidth="1"/>
    <col min="1293" max="1537" width="9.140625" style="9"/>
    <col min="1538" max="1538" width="13" style="9" customWidth="1"/>
    <col min="1539" max="1541" width="9.140625" style="9"/>
    <col min="1542" max="1542" width="6.85546875" style="9" customWidth="1"/>
    <col min="1543" max="1543" width="10.42578125" style="9" customWidth="1"/>
    <col min="1544" max="1544" width="14.28515625" style="9" customWidth="1"/>
    <col min="1545" max="1545" width="15.5703125" style="9" customWidth="1"/>
    <col min="1546" max="1546" width="12.85546875" style="9" customWidth="1"/>
    <col min="1547" max="1547" width="13.140625" style="9" customWidth="1"/>
    <col min="1548" max="1548" width="15" style="9" customWidth="1"/>
    <col min="1549" max="1793" width="9.140625" style="9"/>
    <col min="1794" max="1794" width="13" style="9" customWidth="1"/>
    <col min="1795" max="1797" width="9.140625" style="9"/>
    <col min="1798" max="1798" width="6.85546875" style="9" customWidth="1"/>
    <col min="1799" max="1799" width="10.42578125" style="9" customWidth="1"/>
    <col min="1800" max="1800" width="14.28515625" style="9" customWidth="1"/>
    <col min="1801" max="1801" width="15.5703125" style="9" customWidth="1"/>
    <col min="1802" max="1802" width="12.85546875" style="9" customWidth="1"/>
    <col min="1803" max="1803" width="13.140625" style="9" customWidth="1"/>
    <col min="1804" max="1804" width="15" style="9" customWidth="1"/>
    <col min="1805" max="2049" width="9.140625" style="9"/>
    <col min="2050" max="2050" width="13" style="9" customWidth="1"/>
    <col min="2051" max="2053" width="9.140625" style="9"/>
    <col min="2054" max="2054" width="6.85546875" style="9" customWidth="1"/>
    <col min="2055" max="2055" width="10.42578125" style="9" customWidth="1"/>
    <col min="2056" max="2056" width="14.28515625" style="9" customWidth="1"/>
    <col min="2057" max="2057" width="15.5703125" style="9" customWidth="1"/>
    <col min="2058" max="2058" width="12.85546875" style="9" customWidth="1"/>
    <col min="2059" max="2059" width="13.140625" style="9" customWidth="1"/>
    <col min="2060" max="2060" width="15" style="9" customWidth="1"/>
    <col min="2061" max="2305" width="9.140625" style="9"/>
    <col min="2306" max="2306" width="13" style="9" customWidth="1"/>
    <col min="2307" max="2309" width="9.140625" style="9"/>
    <col min="2310" max="2310" width="6.85546875" style="9" customWidth="1"/>
    <col min="2311" max="2311" width="10.42578125" style="9" customWidth="1"/>
    <col min="2312" max="2312" width="14.28515625" style="9" customWidth="1"/>
    <col min="2313" max="2313" width="15.5703125" style="9" customWidth="1"/>
    <col min="2314" max="2314" width="12.85546875" style="9" customWidth="1"/>
    <col min="2315" max="2315" width="13.140625" style="9" customWidth="1"/>
    <col min="2316" max="2316" width="15" style="9" customWidth="1"/>
    <col min="2317" max="2561" width="9.140625" style="9"/>
    <col min="2562" max="2562" width="13" style="9" customWidth="1"/>
    <col min="2563" max="2565" width="9.140625" style="9"/>
    <col min="2566" max="2566" width="6.85546875" style="9" customWidth="1"/>
    <col min="2567" max="2567" width="10.42578125" style="9" customWidth="1"/>
    <col min="2568" max="2568" width="14.28515625" style="9" customWidth="1"/>
    <col min="2569" max="2569" width="15.5703125" style="9" customWidth="1"/>
    <col min="2570" max="2570" width="12.85546875" style="9" customWidth="1"/>
    <col min="2571" max="2571" width="13.140625" style="9" customWidth="1"/>
    <col min="2572" max="2572" width="15" style="9" customWidth="1"/>
    <col min="2573" max="2817" width="9.140625" style="9"/>
    <col min="2818" max="2818" width="13" style="9" customWidth="1"/>
    <col min="2819" max="2821" width="9.140625" style="9"/>
    <col min="2822" max="2822" width="6.85546875" style="9" customWidth="1"/>
    <col min="2823" max="2823" width="10.42578125" style="9" customWidth="1"/>
    <col min="2824" max="2824" width="14.28515625" style="9" customWidth="1"/>
    <col min="2825" max="2825" width="15.5703125" style="9" customWidth="1"/>
    <col min="2826" max="2826" width="12.85546875" style="9" customWidth="1"/>
    <col min="2827" max="2827" width="13.140625" style="9" customWidth="1"/>
    <col min="2828" max="2828" width="15" style="9" customWidth="1"/>
    <col min="2829" max="3073" width="9.140625" style="9"/>
    <col min="3074" max="3074" width="13" style="9" customWidth="1"/>
    <col min="3075" max="3077" width="9.140625" style="9"/>
    <col min="3078" max="3078" width="6.85546875" style="9" customWidth="1"/>
    <col min="3079" max="3079" width="10.42578125" style="9" customWidth="1"/>
    <col min="3080" max="3080" width="14.28515625" style="9" customWidth="1"/>
    <col min="3081" max="3081" width="15.5703125" style="9" customWidth="1"/>
    <col min="3082" max="3082" width="12.85546875" style="9" customWidth="1"/>
    <col min="3083" max="3083" width="13.140625" style="9" customWidth="1"/>
    <col min="3084" max="3084" width="15" style="9" customWidth="1"/>
    <col min="3085" max="3329" width="9.140625" style="9"/>
    <col min="3330" max="3330" width="13" style="9" customWidth="1"/>
    <col min="3331" max="3333" width="9.140625" style="9"/>
    <col min="3334" max="3334" width="6.85546875" style="9" customWidth="1"/>
    <col min="3335" max="3335" width="10.42578125" style="9" customWidth="1"/>
    <col min="3336" max="3336" width="14.28515625" style="9" customWidth="1"/>
    <col min="3337" max="3337" width="15.5703125" style="9" customWidth="1"/>
    <col min="3338" max="3338" width="12.85546875" style="9" customWidth="1"/>
    <col min="3339" max="3339" width="13.140625" style="9" customWidth="1"/>
    <col min="3340" max="3340" width="15" style="9" customWidth="1"/>
    <col min="3341" max="3585" width="9.140625" style="9"/>
    <col min="3586" max="3586" width="13" style="9" customWidth="1"/>
    <col min="3587" max="3589" width="9.140625" style="9"/>
    <col min="3590" max="3590" width="6.85546875" style="9" customWidth="1"/>
    <col min="3591" max="3591" width="10.42578125" style="9" customWidth="1"/>
    <col min="3592" max="3592" width="14.28515625" style="9" customWidth="1"/>
    <col min="3593" max="3593" width="15.5703125" style="9" customWidth="1"/>
    <col min="3594" max="3594" width="12.85546875" style="9" customWidth="1"/>
    <col min="3595" max="3595" width="13.140625" style="9" customWidth="1"/>
    <col min="3596" max="3596" width="15" style="9" customWidth="1"/>
    <col min="3597" max="3841" width="9.140625" style="9"/>
    <col min="3842" max="3842" width="13" style="9" customWidth="1"/>
    <col min="3843" max="3845" width="9.140625" style="9"/>
    <col min="3846" max="3846" width="6.85546875" style="9" customWidth="1"/>
    <col min="3847" max="3847" width="10.42578125" style="9" customWidth="1"/>
    <col min="3848" max="3848" width="14.28515625" style="9" customWidth="1"/>
    <col min="3849" max="3849" width="15.5703125" style="9" customWidth="1"/>
    <col min="3850" max="3850" width="12.85546875" style="9" customWidth="1"/>
    <col min="3851" max="3851" width="13.140625" style="9" customWidth="1"/>
    <col min="3852" max="3852" width="15" style="9" customWidth="1"/>
    <col min="3853" max="4097" width="9.140625" style="9"/>
    <col min="4098" max="4098" width="13" style="9" customWidth="1"/>
    <col min="4099" max="4101" width="9.140625" style="9"/>
    <col min="4102" max="4102" width="6.85546875" style="9" customWidth="1"/>
    <col min="4103" max="4103" width="10.42578125" style="9" customWidth="1"/>
    <col min="4104" max="4104" width="14.28515625" style="9" customWidth="1"/>
    <col min="4105" max="4105" width="15.5703125" style="9" customWidth="1"/>
    <col min="4106" max="4106" width="12.85546875" style="9" customWidth="1"/>
    <col min="4107" max="4107" width="13.140625" style="9" customWidth="1"/>
    <col min="4108" max="4108" width="15" style="9" customWidth="1"/>
    <col min="4109" max="4353" width="9.140625" style="9"/>
    <col min="4354" max="4354" width="13" style="9" customWidth="1"/>
    <col min="4355" max="4357" width="9.140625" style="9"/>
    <col min="4358" max="4358" width="6.85546875" style="9" customWidth="1"/>
    <col min="4359" max="4359" width="10.42578125" style="9" customWidth="1"/>
    <col min="4360" max="4360" width="14.28515625" style="9" customWidth="1"/>
    <col min="4361" max="4361" width="15.5703125" style="9" customWidth="1"/>
    <col min="4362" max="4362" width="12.85546875" style="9" customWidth="1"/>
    <col min="4363" max="4363" width="13.140625" style="9" customWidth="1"/>
    <col min="4364" max="4364" width="15" style="9" customWidth="1"/>
    <col min="4365" max="4609" width="9.140625" style="9"/>
    <col min="4610" max="4610" width="13" style="9" customWidth="1"/>
    <col min="4611" max="4613" width="9.140625" style="9"/>
    <col min="4614" max="4614" width="6.85546875" style="9" customWidth="1"/>
    <col min="4615" max="4615" width="10.42578125" style="9" customWidth="1"/>
    <col min="4616" max="4616" width="14.28515625" style="9" customWidth="1"/>
    <col min="4617" max="4617" width="15.5703125" style="9" customWidth="1"/>
    <col min="4618" max="4618" width="12.85546875" style="9" customWidth="1"/>
    <col min="4619" max="4619" width="13.140625" style="9" customWidth="1"/>
    <col min="4620" max="4620" width="15" style="9" customWidth="1"/>
    <col min="4621" max="4865" width="9.140625" style="9"/>
    <col min="4866" max="4866" width="13" style="9" customWidth="1"/>
    <col min="4867" max="4869" width="9.140625" style="9"/>
    <col min="4870" max="4870" width="6.85546875" style="9" customWidth="1"/>
    <col min="4871" max="4871" width="10.42578125" style="9" customWidth="1"/>
    <col min="4872" max="4872" width="14.28515625" style="9" customWidth="1"/>
    <col min="4873" max="4873" width="15.5703125" style="9" customWidth="1"/>
    <col min="4874" max="4874" width="12.85546875" style="9" customWidth="1"/>
    <col min="4875" max="4875" width="13.140625" style="9" customWidth="1"/>
    <col min="4876" max="4876" width="15" style="9" customWidth="1"/>
    <col min="4877" max="5121" width="9.140625" style="9"/>
    <col min="5122" max="5122" width="13" style="9" customWidth="1"/>
    <col min="5123" max="5125" width="9.140625" style="9"/>
    <col min="5126" max="5126" width="6.85546875" style="9" customWidth="1"/>
    <col min="5127" max="5127" width="10.42578125" style="9" customWidth="1"/>
    <col min="5128" max="5128" width="14.28515625" style="9" customWidth="1"/>
    <col min="5129" max="5129" width="15.5703125" style="9" customWidth="1"/>
    <col min="5130" max="5130" width="12.85546875" style="9" customWidth="1"/>
    <col min="5131" max="5131" width="13.140625" style="9" customWidth="1"/>
    <col min="5132" max="5132" width="15" style="9" customWidth="1"/>
    <col min="5133" max="5377" width="9.140625" style="9"/>
    <col min="5378" max="5378" width="13" style="9" customWidth="1"/>
    <col min="5379" max="5381" width="9.140625" style="9"/>
    <col min="5382" max="5382" width="6.85546875" style="9" customWidth="1"/>
    <col min="5383" max="5383" width="10.42578125" style="9" customWidth="1"/>
    <col min="5384" max="5384" width="14.28515625" style="9" customWidth="1"/>
    <col min="5385" max="5385" width="15.5703125" style="9" customWidth="1"/>
    <col min="5386" max="5386" width="12.85546875" style="9" customWidth="1"/>
    <col min="5387" max="5387" width="13.140625" style="9" customWidth="1"/>
    <col min="5388" max="5388" width="15" style="9" customWidth="1"/>
    <col min="5389" max="5633" width="9.140625" style="9"/>
    <col min="5634" max="5634" width="13" style="9" customWidth="1"/>
    <col min="5635" max="5637" width="9.140625" style="9"/>
    <col min="5638" max="5638" width="6.85546875" style="9" customWidth="1"/>
    <col min="5639" max="5639" width="10.42578125" style="9" customWidth="1"/>
    <col min="5640" max="5640" width="14.28515625" style="9" customWidth="1"/>
    <col min="5641" max="5641" width="15.5703125" style="9" customWidth="1"/>
    <col min="5642" max="5642" width="12.85546875" style="9" customWidth="1"/>
    <col min="5643" max="5643" width="13.140625" style="9" customWidth="1"/>
    <col min="5644" max="5644" width="15" style="9" customWidth="1"/>
    <col min="5645" max="5889" width="9.140625" style="9"/>
    <col min="5890" max="5890" width="13" style="9" customWidth="1"/>
    <col min="5891" max="5893" width="9.140625" style="9"/>
    <col min="5894" max="5894" width="6.85546875" style="9" customWidth="1"/>
    <col min="5895" max="5895" width="10.42578125" style="9" customWidth="1"/>
    <col min="5896" max="5896" width="14.28515625" style="9" customWidth="1"/>
    <col min="5897" max="5897" width="15.5703125" style="9" customWidth="1"/>
    <col min="5898" max="5898" width="12.85546875" style="9" customWidth="1"/>
    <col min="5899" max="5899" width="13.140625" style="9" customWidth="1"/>
    <col min="5900" max="5900" width="15" style="9" customWidth="1"/>
    <col min="5901" max="6145" width="9.140625" style="9"/>
    <col min="6146" max="6146" width="13" style="9" customWidth="1"/>
    <col min="6147" max="6149" width="9.140625" style="9"/>
    <col min="6150" max="6150" width="6.85546875" style="9" customWidth="1"/>
    <col min="6151" max="6151" width="10.42578125" style="9" customWidth="1"/>
    <col min="6152" max="6152" width="14.28515625" style="9" customWidth="1"/>
    <col min="6153" max="6153" width="15.5703125" style="9" customWidth="1"/>
    <col min="6154" max="6154" width="12.85546875" style="9" customWidth="1"/>
    <col min="6155" max="6155" width="13.140625" style="9" customWidth="1"/>
    <col min="6156" max="6156" width="15" style="9" customWidth="1"/>
    <col min="6157" max="6401" width="9.140625" style="9"/>
    <col min="6402" max="6402" width="13" style="9" customWidth="1"/>
    <col min="6403" max="6405" width="9.140625" style="9"/>
    <col min="6406" max="6406" width="6.85546875" style="9" customWidth="1"/>
    <col min="6407" max="6407" width="10.42578125" style="9" customWidth="1"/>
    <col min="6408" max="6408" width="14.28515625" style="9" customWidth="1"/>
    <col min="6409" max="6409" width="15.5703125" style="9" customWidth="1"/>
    <col min="6410" max="6410" width="12.85546875" style="9" customWidth="1"/>
    <col min="6411" max="6411" width="13.140625" style="9" customWidth="1"/>
    <col min="6412" max="6412" width="15" style="9" customWidth="1"/>
    <col min="6413" max="6657" width="9.140625" style="9"/>
    <col min="6658" max="6658" width="13" style="9" customWidth="1"/>
    <col min="6659" max="6661" width="9.140625" style="9"/>
    <col min="6662" max="6662" width="6.85546875" style="9" customWidth="1"/>
    <col min="6663" max="6663" width="10.42578125" style="9" customWidth="1"/>
    <col min="6664" max="6664" width="14.28515625" style="9" customWidth="1"/>
    <col min="6665" max="6665" width="15.5703125" style="9" customWidth="1"/>
    <col min="6666" max="6666" width="12.85546875" style="9" customWidth="1"/>
    <col min="6667" max="6667" width="13.140625" style="9" customWidth="1"/>
    <col min="6668" max="6668" width="15" style="9" customWidth="1"/>
    <col min="6669" max="6913" width="9.140625" style="9"/>
    <col min="6914" max="6914" width="13" style="9" customWidth="1"/>
    <col min="6915" max="6917" width="9.140625" style="9"/>
    <col min="6918" max="6918" width="6.85546875" style="9" customWidth="1"/>
    <col min="6919" max="6919" width="10.42578125" style="9" customWidth="1"/>
    <col min="6920" max="6920" width="14.28515625" style="9" customWidth="1"/>
    <col min="6921" max="6921" width="15.5703125" style="9" customWidth="1"/>
    <col min="6922" max="6922" width="12.85546875" style="9" customWidth="1"/>
    <col min="6923" max="6923" width="13.140625" style="9" customWidth="1"/>
    <col min="6924" max="6924" width="15" style="9" customWidth="1"/>
    <col min="6925" max="7169" width="9.140625" style="9"/>
    <col min="7170" max="7170" width="13" style="9" customWidth="1"/>
    <col min="7171" max="7173" width="9.140625" style="9"/>
    <col min="7174" max="7174" width="6.85546875" style="9" customWidth="1"/>
    <col min="7175" max="7175" width="10.42578125" style="9" customWidth="1"/>
    <col min="7176" max="7176" width="14.28515625" style="9" customWidth="1"/>
    <col min="7177" max="7177" width="15.5703125" style="9" customWidth="1"/>
    <col min="7178" max="7178" width="12.85546875" style="9" customWidth="1"/>
    <col min="7179" max="7179" width="13.140625" style="9" customWidth="1"/>
    <col min="7180" max="7180" width="15" style="9" customWidth="1"/>
    <col min="7181" max="7425" width="9.140625" style="9"/>
    <col min="7426" max="7426" width="13" style="9" customWidth="1"/>
    <col min="7427" max="7429" width="9.140625" style="9"/>
    <col min="7430" max="7430" width="6.85546875" style="9" customWidth="1"/>
    <col min="7431" max="7431" width="10.42578125" style="9" customWidth="1"/>
    <col min="7432" max="7432" width="14.28515625" style="9" customWidth="1"/>
    <col min="7433" max="7433" width="15.5703125" style="9" customWidth="1"/>
    <col min="7434" max="7434" width="12.85546875" style="9" customWidth="1"/>
    <col min="7435" max="7435" width="13.140625" style="9" customWidth="1"/>
    <col min="7436" max="7436" width="15" style="9" customWidth="1"/>
    <col min="7437" max="7681" width="9.140625" style="9"/>
    <col min="7682" max="7682" width="13" style="9" customWidth="1"/>
    <col min="7683" max="7685" width="9.140625" style="9"/>
    <col min="7686" max="7686" width="6.85546875" style="9" customWidth="1"/>
    <col min="7687" max="7687" width="10.42578125" style="9" customWidth="1"/>
    <col min="7688" max="7688" width="14.28515625" style="9" customWidth="1"/>
    <col min="7689" max="7689" width="15.5703125" style="9" customWidth="1"/>
    <col min="7690" max="7690" width="12.85546875" style="9" customWidth="1"/>
    <col min="7691" max="7691" width="13.140625" style="9" customWidth="1"/>
    <col min="7692" max="7692" width="15" style="9" customWidth="1"/>
    <col min="7693" max="7937" width="9.140625" style="9"/>
    <col min="7938" max="7938" width="13" style="9" customWidth="1"/>
    <col min="7939" max="7941" width="9.140625" style="9"/>
    <col min="7942" max="7942" width="6.85546875" style="9" customWidth="1"/>
    <col min="7943" max="7943" width="10.42578125" style="9" customWidth="1"/>
    <col min="7944" max="7944" width="14.28515625" style="9" customWidth="1"/>
    <col min="7945" max="7945" width="15.5703125" style="9" customWidth="1"/>
    <col min="7946" max="7946" width="12.85546875" style="9" customWidth="1"/>
    <col min="7947" max="7947" width="13.140625" style="9" customWidth="1"/>
    <col min="7948" max="7948" width="15" style="9" customWidth="1"/>
    <col min="7949" max="8193" width="9.140625" style="9"/>
    <col min="8194" max="8194" width="13" style="9" customWidth="1"/>
    <col min="8195" max="8197" width="9.140625" style="9"/>
    <col min="8198" max="8198" width="6.85546875" style="9" customWidth="1"/>
    <col min="8199" max="8199" width="10.42578125" style="9" customWidth="1"/>
    <col min="8200" max="8200" width="14.28515625" style="9" customWidth="1"/>
    <col min="8201" max="8201" width="15.5703125" style="9" customWidth="1"/>
    <col min="8202" max="8202" width="12.85546875" style="9" customWidth="1"/>
    <col min="8203" max="8203" width="13.140625" style="9" customWidth="1"/>
    <col min="8204" max="8204" width="15" style="9" customWidth="1"/>
    <col min="8205" max="8449" width="9.140625" style="9"/>
    <col min="8450" max="8450" width="13" style="9" customWidth="1"/>
    <col min="8451" max="8453" width="9.140625" style="9"/>
    <col min="8454" max="8454" width="6.85546875" style="9" customWidth="1"/>
    <col min="8455" max="8455" width="10.42578125" style="9" customWidth="1"/>
    <col min="8456" max="8456" width="14.28515625" style="9" customWidth="1"/>
    <col min="8457" max="8457" width="15.5703125" style="9" customWidth="1"/>
    <col min="8458" max="8458" width="12.85546875" style="9" customWidth="1"/>
    <col min="8459" max="8459" width="13.140625" style="9" customWidth="1"/>
    <col min="8460" max="8460" width="15" style="9" customWidth="1"/>
    <col min="8461" max="8705" width="9.140625" style="9"/>
    <col min="8706" max="8706" width="13" style="9" customWidth="1"/>
    <col min="8707" max="8709" width="9.140625" style="9"/>
    <col min="8710" max="8710" width="6.85546875" style="9" customWidth="1"/>
    <col min="8711" max="8711" width="10.42578125" style="9" customWidth="1"/>
    <col min="8712" max="8712" width="14.28515625" style="9" customWidth="1"/>
    <col min="8713" max="8713" width="15.5703125" style="9" customWidth="1"/>
    <col min="8714" max="8714" width="12.85546875" style="9" customWidth="1"/>
    <col min="8715" max="8715" width="13.140625" style="9" customWidth="1"/>
    <col min="8716" max="8716" width="15" style="9" customWidth="1"/>
    <col min="8717" max="8961" width="9.140625" style="9"/>
    <col min="8962" max="8962" width="13" style="9" customWidth="1"/>
    <col min="8963" max="8965" width="9.140625" style="9"/>
    <col min="8966" max="8966" width="6.85546875" style="9" customWidth="1"/>
    <col min="8967" max="8967" width="10.42578125" style="9" customWidth="1"/>
    <col min="8968" max="8968" width="14.28515625" style="9" customWidth="1"/>
    <col min="8969" max="8969" width="15.5703125" style="9" customWidth="1"/>
    <col min="8970" max="8970" width="12.85546875" style="9" customWidth="1"/>
    <col min="8971" max="8971" width="13.140625" style="9" customWidth="1"/>
    <col min="8972" max="8972" width="15" style="9" customWidth="1"/>
    <col min="8973" max="9217" width="9.140625" style="9"/>
    <col min="9218" max="9218" width="13" style="9" customWidth="1"/>
    <col min="9219" max="9221" width="9.140625" style="9"/>
    <col min="9222" max="9222" width="6.85546875" style="9" customWidth="1"/>
    <col min="9223" max="9223" width="10.42578125" style="9" customWidth="1"/>
    <col min="9224" max="9224" width="14.28515625" style="9" customWidth="1"/>
    <col min="9225" max="9225" width="15.5703125" style="9" customWidth="1"/>
    <col min="9226" max="9226" width="12.85546875" style="9" customWidth="1"/>
    <col min="9227" max="9227" width="13.140625" style="9" customWidth="1"/>
    <col min="9228" max="9228" width="15" style="9" customWidth="1"/>
    <col min="9229" max="9473" width="9.140625" style="9"/>
    <col min="9474" max="9474" width="13" style="9" customWidth="1"/>
    <col min="9475" max="9477" width="9.140625" style="9"/>
    <col min="9478" max="9478" width="6.85546875" style="9" customWidth="1"/>
    <col min="9479" max="9479" width="10.42578125" style="9" customWidth="1"/>
    <col min="9480" max="9480" width="14.28515625" style="9" customWidth="1"/>
    <col min="9481" max="9481" width="15.5703125" style="9" customWidth="1"/>
    <col min="9482" max="9482" width="12.85546875" style="9" customWidth="1"/>
    <col min="9483" max="9483" width="13.140625" style="9" customWidth="1"/>
    <col min="9484" max="9484" width="15" style="9" customWidth="1"/>
    <col min="9485" max="9729" width="9.140625" style="9"/>
    <col min="9730" max="9730" width="13" style="9" customWidth="1"/>
    <col min="9731" max="9733" width="9.140625" style="9"/>
    <col min="9734" max="9734" width="6.85546875" style="9" customWidth="1"/>
    <col min="9735" max="9735" width="10.42578125" style="9" customWidth="1"/>
    <col min="9736" max="9736" width="14.28515625" style="9" customWidth="1"/>
    <col min="9737" max="9737" width="15.5703125" style="9" customWidth="1"/>
    <col min="9738" max="9738" width="12.85546875" style="9" customWidth="1"/>
    <col min="9739" max="9739" width="13.140625" style="9" customWidth="1"/>
    <col min="9740" max="9740" width="15" style="9" customWidth="1"/>
    <col min="9741" max="9985" width="9.140625" style="9"/>
    <col min="9986" max="9986" width="13" style="9" customWidth="1"/>
    <col min="9987" max="9989" width="9.140625" style="9"/>
    <col min="9990" max="9990" width="6.85546875" style="9" customWidth="1"/>
    <col min="9991" max="9991" width="10.42578125" style="9" customWidth="1"/>
    <col min="9992" max="9992" width="14.28515625" style="9" customWidth="1"/>
    <col min="9993" max="9993" width="15.5703125" style="9" customWidth="1"/>
    <col min="9994" max="9994" width="12.85546875" style="9" customWidth="1"/>
    <col min="9995" max="9995" width="13.140625" style="9" customWidth="1"/>
    <col min="9996" max="9996" width="15" style="9" customWidth="1"/>
    <col min="9997" max="10241" width="9.140625" style="9"/>
    <col min="10242" max="10242" width="13" style="9" customWidth="1"/>
    <col min="10243" max="10245" width="9.140625" style="9"/>
    <col min="10246" max="10246" width="6.85546875" style="9" customWidth="1"/>
    <col min="10247" max="10247" width="10.42578125" style="9" customWidth="1"/>
    <col min="10248" max="10248" width="14.28515625" style="9" customWidth="1"/>
    <col min="10249" max="10249" width="15.5703125" style="9" customWidth="1"/>
    <col min="10250" max="10250" width="12.85546875" style="9" customWidth="1"/>
    <col min="10251" max="10251" width="13.140625" style="9" customWidth="1"/>
    <col min="10252" max="10252" width="15" style="9" customWidth="1"/>
    <col min="10253" max="10497" width="9.140625" style="9"/>
    <col min="10498" max="10498" width="13" style="9" customWidth="1"/>
    <col min="10499" max="10501" width="9.140625" style="9"/>
    <col min="10502" max="10502" width="6.85546875" style="9" customWidth="1"/>
    <col min="10503" max="10503" width="10.42578125" style="9" customWidth="1"/>
    <col min="10504" max="10504" width="14.28515625" style="9" customWidth="1"/>
    <col min="10505" max="10505" width="15.5703125" style="9" customWidth="1"/>
    <col min="10506" max="10506" width="12.85546875" style="9" customWidth="1"/>
    <col min="10507" max="10507" width="13.140625" style="9" customWidth="1"/>
    <col min="10508" max="10508" width="15" style="9" customWidth="1"/>
    <col min="10509" max="10753" width="9.140625" style="9"/>
    <col min="10754" max="10754" width="13" style="9" customWidth="1"/>
    <col min="10755" max="10757" width="9.140625" style="9"/>
    <col min="10758" max="10758" width="6.85546875" style="9" customWidth="1"/>
    <col min="10759" max="10759" width="10.42578125" style="9" customWidth="1"/>
    <col min="10760" max="10760" width="14.28515625" style="9" customWidth="1"/>
    <col min="10761" max="10761" width="15.5703125" style="9" customWidth="1"/>
    <col min="10762" max="10762" width="12.85546875" style="9" customWidth="1"/>
    <col min="10763" max="10763" width="13.140625" style="9" customWidth="1"/>
    <col min="10764" max="10764" width="15" style="9" customWidth="1"/>
    <col min="10765" max="11009" width="9.140625" style="9"/>
    <col min="11010" max="11010" width="13" style="9" customWidth="1"/>
    <col min="11011" max="11013" width="9.140625" style="9"/>
    <col min="11014" max="11014" width="6.85546875" style="9" customWidth="1"/>
    <col min="11015" max="11015" width="10.42578125" style="9" customWidth="1"/>
    <col min="11016" max="11016" width="14.28515625" style="9" customWidth="1"/>
    <col min="11017" max="11017" width="15.5703125" style="9" customWidth="1"/>
    <col min="11018" max="11018" width="12.85546875" style="9" customWidth="1"/>
    <col min="11019" max="11019" width="13.140625" style="9" customWidth="1"/>
    <col min="11020" max="11020" width="15" style="9" customWidth="1"/>
    <col min="11021" max="11265" width="9.140625" style="9"/>
    <col min="11266" max="11266" width="13" style="9" customWidth="1"/>
    <col min="11267" max="11269" width="9.140625" style="9"/>
    <col min="11270" max="11270" width="6.85546875" style="9" customWidth="1"/>
    <col min="11271" max="11271" width="10.42578125" style="9" customWidth="1"/>
    <col min="11272" max="11272" width="14.28515625" style="9" customWidth="1"/>
    <col min="11273" max="11273" width="15.5703125" style="9" customWidth="1"/>
    <col min="11274" max="11274" width="12.85546875" style="9" customWidth="1"/>
    <col min="11275" max="11275" width="13.140625" style="9" customWidth="1"/>
    <col min="11276" max="11276" width="15" style="9" customWidth="1"/>
    <col min="11277" max="11521" width="9.140625" style="9"/>
    <col min="11522" max="11522" width="13" style="9" customWidth="1"/>
    <col min="11523" max="11525" width="9.140625" style="9"/>
    <col min="11526" max="11526" width="6.85546875" style="9" customWidth="1"/>
    <col min="11527" max="11527" width="10.42578125" style="9" customWidth="1"/>
    <col min="11528" max="11528" width="14.28515625" style="9" customWidth="1"/>
    <col min="11529" max="11529" width="15.5703125" style="9" customWidth="1"/>
    <col min="11530" max="11530" width="12.85546875" style="9" customWidth="1"/>
    <col min="11531" max="11531" width="13.140625" style="9" customWidth="1"/>
    <col min="11532" max="11532" width="15" style="9" customWidth="1"/>
    <col min="11533" max="11777" width="9.140625" style="9"/>
    <col min="11778" max="11778" width="13" style="9" customWidth="1"/>
    <col min="11779" max="11781" width="9.140625" style="9"/>
    <col min="11782" max="11782" width="6.85546875" style="9" customWidth="1"/>
    <col min="11783" max="11783" width="10.42578125" style="9" customWidth="1"/>
    <col min="11784" max="11784" width="14.28515625" style="9" customWidth="1"/>
    <col min="11785" max="11785" width="15.5703125" style="9" customWidth="1"/>
    <col min="11786" max="11786" width="12.85546875" style="9" customWidth="1"/>
    <col min="11787" max="11787" width="13.140625" style="9" customWidth="1"/>
    <col min="11788" max="11788" width="15" style="9" customWidth="1"/>
    <col min="11789" max="12033" width="9.140625" style="9"/>
    <col min="12034" max="12034" width="13" style="9" customWidth="1"/>
    <col min="12035" max="12037" width="9.140625" style="9"/>
    <col min="12038" max="12038" width="6.85546875" style="9" customWidth="1"/>
    <col min="12039" max="12039" width="10.42578125" style="9" customWidth="1"/>
    <col min="12040" max="12040" width="14.28515625" style="9" customWidth="1"/>
    <col min="12041" max="12041" width="15.5703125" style="9" customWidth="1"/>
    <col min="12042" max="12042" width="12.85546875" style="9" customWidth="1"/>
    <col min="12043" max="12043" width="13.140625" style="9" customWidth="1"/>
    <col min="12044" max="12044" width="15" style="9" customWidth="1"/>
    <col min="12045" max="12289" width="9.140625" style="9"/>
    <col min="12290" max="12290" width="13" style="9" customWidth="1"/>
    <col min="12291" max="12293" width="9.140625" style="9"/>
    <col min="12294" max="12294" width="6.85546875" style="9" customWidth="1"/>
    <col min="12295" max="12295" width="10.42578125" style="9" customWidth="1"/>
    <col min="12296" max="12296" width="14.28515625" style="9" customWidth="1"/>
    <col min="12297" max="12297" width="15.5703125" style="9" customWidth="1"/>
    <col min="12298" max="12298" width="12.85546875" style="9" customWidth="1"/>
    <col min="12299" max="12299" width="13.140625" style="9" customWidth="1"/>
    <col min="12300" max="12300" width="15" style="9" customWidth="1"/>
    <col min="12301" max="12545" width="9.140625" style="9"/>
    <col min="12546" max="12546" width="13" style="9" customWidth="1"/>
    <col min="12547" max="12549" width="9.140625" style="9"/>
    <col min="12550" max="12550" width="6.85546875" style="9" customWidth="1"/>
    <col min="12551" max="12551" width="10.42578125" style="9" customWidth="1"/>
    <col min="12552" max="12552" width="14.28515625" style="9" customWidth="1"/>
    <col min="12553" max="12553" width="15.5703125" style="9" customWidth="1"/>
    <col min="12554" max="12554" width="12.85546875" style="9" customWidth="1"/>
    <col min="12555" max="12555" width="13.140625" style="9" customWidth="1"/>
    <col min="12556" max="12556" width="15" style="9" customWidth="1"/>
    <col min="12557" max="12801" width="9.140625" style="9"/>
    <col min="12802" max="12802" width="13" style="9" customWidth="1"/>
    <col min="12803" max="12805" width="9.140625" style="9"/>
    <col min="12806" max="12806" width="6.85546875" style="9" customWidth="1"/>
    <col min="12807" max="12807" width="10.42578125" style="9" customWidth="1"/>
    <col min="12808" max="12808" width="14.28515625" style="9" customWidth="1"/>
    <col min="12809" max="12809" width="15.5703125" style="9" customWidth="1"/>
    <col min="12810" max="12810" width="12.85546875" style="9" customWidth="1"/>
    <col min="12811" max="12811" width="13.140625" style="9" customWidth="1"/>
    <col min="12812" max="12812" width="15" style="9" customWidth="1"/>
    <col min="12813" max="13057" width="9.140625" style="9"/>
    <col min="13058" max="13058" width="13" style="9" customWidth="1"/>
    <col min="13059" max="13061" width="9.140625" style="9"/>
    <col min="13062" max="13062" width="6.85546875" style="9" customWidth="1"/>
    <col min="13063" max="13063" width="10.42578125" style="9" customWidth="1"/>
    <col min="13064" max="13064" width="14.28515625" style="9" customWidth="1"/>
    <col min="13065" max="13065" width="15.5703125" style="9" customWidth="1"/>
    <col min="13066" max="13066" width="12.85546875" style="9" customWidth="1"/>
    <col min="13067" max="13067" width="13.140625" style="9" customWidth="1"/>
    <col min="13068" max="13068" width="15" style="9" customWidth="1"/>
    <col min="13069" max="13313" width="9.140625" style="9"/>
    <col min="13314" max="13314" width="13" style="9" customWidth="1"/>
    <col min="13315" max="13317" width="9.140625" style="9"/>
    <col min="13318" max="13318" width="6.85546875" style="9" customWidth="1"/>
    <col min="13319" max="13319" width="10.42578125" style="9" customWidth="1"/>
    <col min="13320" max="13320" width="14.28515625" style="9" customWidth="1"/>
    <col min="13321" max="13321" width="15.5703125" style="9" customWidth="1"/>
    <col min="13322" max="13322" width="12.85546875" style="9" customWidth="1"/>
    <col min="13323" max="13323" width="13.140625" style="9" customWidth="1"/>
    <col min="13324" max="13324" width="15" style="9" customWidth="1"/>
    <col min="13325" max="13569" width="9.140625" style="9"/>
    <col min="13570" max="13570" width="13" style="9" customWidth="1"/>
    <col min="13571" max="13573" width="9.140625" style="9"/>
    <col min="13574" max="13574" width="6.85546875" style="9" customWidth="1"/>
    <col min="13575" max="13575" width="10.42578125" style="9" customWidth="1"/>
    <col min="13576" max="13576" width="14.28515625" style="9" customWidth="1"/>
    <col min="13577" max="13577" width="15.5703125" style="9" customWidth="1"/>
    <col min="13578" max="13578" width="12.85546875" style="9" customWidth="1"/>
    <col min="13579" max="13579" width="13.140625" style="9" customWidth="1"/>
    <col min="13580" max="13580" width="15" style="9" customWidth="1"/>
    <col min="13581" max="13825" width="9.140625" style="9"/>
    <col min="13826" max="13826" width="13" style="9" customWidth="1"/>
    <col min="13827" max="13829" width="9.140625" style="9"/>
    <col min="13830" max="13830" width="6.85546875" style="9" customWidth="1"/>
    <col min="13831" max="13831" width="10.42578125" style="9" customWidth="1"/>
    <col min="13832" max="13832" width="14.28515625" style="9" customWidth="1"/>
    <col min="13833" max="13833" width="15.5703125" style="9" customWidth="1"/>
    <col min="13834" max="13834" width="12.85546875" style="9" customWidth="1"/>
    <col min="13835" max="13835" width="13.140625" style="9" customWidth="1"/>
    <col min="13836" max="13836" width="15" style="9" customWidth="1"/>
    <col min="13837" max="14081" width="9.140625" style="9"/>
    <col min="14082" max="14082" width="13" style="9" customWidth="1"/>
    <col min="14083" max="14085" width="9.140625" style="9"/>
    <col min="14086" max="14086" width="6.85546875" style="9" customWidth="1"/>
    <col min="14087" max="14087" width="10.42578125" style="9" customWidth="1"/>
    <col min="14088" max="14088" width="14.28515625" style="9" customWidth="1"/>
    <col min="14089" max="14089" width="15.5703125" style="9" customWidth="1"/>
    <col min="14090" max="14090" width="12.85546875" style="9" customWidth="1"/>
    <col min="14091" max="14091" width="13.140625" style="9" customWidth="1"/>
    <col min="14092" max="14092" width="15" style="9" customWidth="1"/>
    <col min="14093" max="14337" width="9.140625" style="9"/>
    <col min="14338" max="14338" width="13" style="9" customWidth="1"/>
    <col min="14339" max="14341" width="9.140625" style="9"/>
    <col min="14342" max="14342" width="6.85546875" style="9" customWidth="1"/>
    <col min="14343" max="14343" width="10.42578125" style="9" customWidth="1"/>
    <col min="14344" max="14344" width="14.28515625" style="9" customWidth="1"/>
    <col min="14345" max="14345" width="15.5703125" style="9" customWidth="1"/>
    <col min="14346" max="14346" width="12.85546875" style="9" customWidth="1"/>
    <col min="14347" max="14347" width="13.140625" style="9" customWidth="1"/>
    <col min="14348" max="14348" width="15" style="9" customWidth="1"/>
    <col min="14349" max="14593" width="9.140625" style="9"/>
    <col min="14594" max="14594" width="13" style="9" customWidth="1"/>
    <col min="14595" max="14597" width="9.140625" style="9"/>
    <col min="14598" max="14598" width="6.85546875" style="9" customWidth="1"/>
    <col min="14599" max="14599" width="10.42578125" style="9" customWidth="1"/>
    <col min="14600" max="14600" width="14.28515625" style="9" customWidth="1"/>
    <col min="14601" max="14601" width="15.5703125" style="9" customWidth="1"/>
    <col min="14602" max="14602" width="12.85546875" style="9" customWidth="1"/>
    <col min="14603" max="14603" width="13.140625" style="9" customWidth="1"/>
    <col min="14604" max="14604" width="15" style="9" customWidth="1"/>
    <col min="14605" max="14849" width="9.140625" style="9"/>
    <col min="14850" max="14850" width="13" style="9" customWidth="1"/>
    <col min="14851" max="14853" width="9.140625" style="9"/>
    <col min="14854" max="14854" width="6.85546875" style="9" customWidth="1"/>
    <col min="14855" max="14855" width="10.42578125" style="9" customWidth="1"/>
    <col min="14856" max="14856" width="14.28515625" style="9" customWidth="1"/>
    <col min="14857" max="14857" width="15.5703125" style="9" customWidth="1"/>
    <col min="14858" max="14858" width="12.85546875" style="9" customWidth="1"/>
    <col min="14859" max="14859" width="13.140625" style="9" customWidth="1"/>
    <col min="14860" max="14860" width="15" style="9" customWidth="1"/>
    <col min="14861" max="15105" width="9.140625" style="9"/>
    <col min="15106" max="15106" width="13" style="9" customWidth="1"/>
    <col min="15107" max="15109" width="9.140625" style="9"/>
    <col min="15110" max="15110" width="6.85546875" style="9" customWidth="1"/>
    <col min="15111" max="15111" width="10.42578125" style="9" customWidth="1"/>
    <col min="15112" max="15112" width="14.28515625" style="9" customWidth="1"/>
    <col min="15113" max="15113" width="15.5703125" style="9" customWidth="1"/>
    <col min="15114" max="15114" width="12.85546875" style="9" customWidth="1"/>
    <col min="15115" max="15115" width="13.140625" style="9" customWidth="1"/>
    <col min="15116" max="15116" width="15" style="9" customWidth="1"/>
    <col min="15117" max="15361" width="9.140625" style="9"/>
    <col min="15362" max="15362" width="13" style="9" customWidth="1"/>
    <col min="15363" max="15365" width="9.140625" style="9"/>
    <col min="15366" max="15366" width="6.85546875" style="9" customWidth="1"/>
    <col min="15367" max="15367" width="10.42578125" style="9" customWidth="1"/>
    <col min="15368" max="15368" width="14.28515625" style="9" customWidth="1"/>
    <col min="15369" max="15369" width="15.5703125" style="9" customWidth="1"/>
    <col min="15370" max="15370" width="12.85546875" style="9" customWidth="1"/>
    <col min="15371" max="15371" width="13.140625" style="9" customWidth="1"/>
    <col min="15372" max="15372" width="15" style="9" customWidth="1"/>
    <col min="15373" max="15617" width="9.140625" style="9"/>
    <col min="15618" max="15618" width="13" style="9" customWidth="1"/>
    <col min="15619" max="15621" width="9.140625" style="9"/>
    <col min="15622" max="15622" width="6.85546875" style="9" customWidth="1"/>
    <col min="15623" max="15623" width="10.42578125" style="9" customWidth="1"/>
    <col min="15624" max="15624" width="14.28515625" style="9" customWidth="1"/>
    <col min="15625" max="15625" width="15.5703125" style="9" customWidth="1"/>
    <col min="15626" max="15626" width="12.85546875" style="9" customWidth="1"/>
    <col min="15627" max="15627" width="13.140625" style="9" customWidth="1"/>
    <col min="15628" max="15628" width="15" style="9" customWidth="1"/>
    <col min="15629" max="15873" width="9.140625" style="9"/>
    <col min="15874" max="15874" width="13" style="9" customWidth="1"/>
    <col min="15875" max="15877" width="9.140625" style="9"/>
    <col min="15878" max="15878" width="6.85546875" style="9" customWidth="1"/>
    <col min="15879" max="15879" width="10.42578125" style="9" customWidth="1"/>
    <col min="15880" max="15880" width="14.28515625" style="9" customWidth="1"/>
    <col min="15881" max="15881" width="15.5703125" style="9" customWidth="1"/>
    <col min="15882" max="15882" width="12.85546875" style="9" customWidth="1"/>
    <col min="15883" max="15883" width="13.140625" style="9" customWidth="1"/>
    <col min="15884" max="15884" width="15" style="9" customWidth="1"/>
    <col min="15885" max="16129" width="9.140625" style="9"/>
    <col min="16130" max="16130" width="13" style="9" customWidth="1"/>
    <col min="16131" max="16133" width="9.140625" style="9"/>
    <col min="16134" max="16134" width="6.85546875" style="9" customWidth="1"/>
    <col min="16135" max="16135" width="10.42578125" style="9" customWidth="1"/>
    <col min="16136" max="16136" width="14.28515625" style="9" customWidth="1"/>
    <col min="16137" max="16137" width="15.5703125" style="9" customWidth="1"/>
    <col min="16138" max="16138" width="12.85546875" style="9" customWidth="1"/>
    <col min="16139" max="16139" width="13.140625" style="9" customWidth="1"/>
    <col min="16140" max="16140" width="15" style="9" customWidth="1"/>
    <col min="16141" max="16384" width="9.140625" style="9"/>
  </cols>
  <sheetData>
    <row r="1" spans="1:12" x14ac:dyDescent="0.2">
      <c r="A1" s="16" t="s">
        <v>729</v>
      </c>
    </row>
    <row r="3" spans="1:12" ht="13.5" customHeight="1" x14ac:dyDescent="0.2">
      <c r="B3" s="38"/>
      <c r="C3" s="39" t="s">
        <v>730</v>
      </c>
      <c r="D3" s="39" t="s">
        <v>731</v>
      </c>
      <c r="E3" s="39" t="s">
        <v>732</v>
      </c>
      <c r="F3" s="39" t="s">
        <v>733</v>
      </c>
      <c r="G3" s="298" t="s">
        <v>734</v>
      </c>
      <c r="H3" s="39" t="s">
        <v>581</v>
      </c>
      <c r="I3" s="39" t="s">
        <v>584</v>
      </c>
      <c r="J3" s="39" t="s">
        <v>735</v>
      </c>
      <c r="K3" s="39" t="s">
        <v>736</v>
      </c>
      <c r="L3" s="8"/>
    </row>
    <row r="4" spans="1:12" ht="12.75" customHeight="1" x14ac:dyDescent="0.2">
      <c r="A4" s="40" t="s">
        <v>737</v>
      </c>
      <c r="B4" s="40" t="s">
        <v>25</v>
      </c>
      <c r="C4" s="299"/>
      <c r="D4" s="299"/>
      <c r="E4" s="299" t="s">
        <v>738</v>
      </c>
      <c r="F4" s="299" t="s">
        <v>739</v>
      </c>
      <c r="G4" s="300" t="s">
        <v>445</v>
      </c>
      <c r="H4" s="300" t="s">
        <v>445</v>
      </c>
      <c r="I4" s="300" t="s">
        <v>445</v>
      </c>
      <c r="J4" s="299" t="s">
        <v>740</v>
      </c>
      <c r="K4" s="299" t="s">
        <v>740</v>
      </c>
      <c r="L4" s="300" t="s">
        <v>414</v>
      </c>
    </row>
    <row r="5" spans="1:12" x14ac:dyDescent="0.2">
      <c r="A5" s="10">
        <v>1</v>
      </c>
      <c r="B5" s="301" t="s">
        <v>741</v>
      </c>
      <c r="C5" s="302" t="s">
        <v>624</v>
      </c>
      <c r="D5" s="302" t="s">
        <v>556</v>
      </c>
      <c r="E5" s="302">
        <v>270</v>
      </c>
      <c r="F5" s="302">
        <v>2002</v>
      </c>
      <c r="G5" s="302" t="str">
        <f>LEFT(D5,2)</f>
        <v>PE</v>
      </c>
      <c r="H5" s="9" t="str">
        <f>C5&amp;" "&amp;G5&amp;" "&amp;H$3</f>
        <v>6" PE EXTN</v>
      </c>
      <c r="I5" s="9" t="str">
        <f>C5&amp;" "&amp;G5&amp;" "&amp;I$3</f>
        <v>6" PE STUB</v>
      </c>
      <c r="J5" s="303">
        <f>VLOOKUP(H5,'JKP-8.4c - Total Costs'!$A$6:$D$52,4,FALSE)</f>
        <v>27472.348504951377</v>
      </c>
      <c r="K5" s="303">
        <f>VLOOKUP(I5,'JKP-8.4c - Total Costs'!$A$6:$D$52,4,FALSE)</f>
        <v>15176.640974122591</v>
      </c>
      <c r="L5" s="304">
        <f>K5+J5</f>
        <v>42648.989479073964</v>
      </c>
    </row>
    <row r="6" spans="1:12" x14ac:dyDescent="0.2">
      <c r="A6" s="10">
        <v>2</v>
      </c>
      <c r="B6" s="301" t="s">
        <v>742</v>
      </c>
      <c r="C6" s="302" t="s">
        <v>617</v>
      </c>
      <c r="D6" s="302" t="s">
        <v>743</v>
      </c>
      <c r="E6" s="302">
        <v>328</v>
      </c>
      <c r="F6" s="302">
        <v>1993</v>
      </c>
      <c r="G6" s="302" t="str">
        <f t="shared" ref="G6:G69" si="0">LEFT(D6,2)</f>
        <v>ST</v>
      </c>
      <c r="H6" s="9" t="str">
        <f t="shared" ref="H6:H69" si="1">C6&amp;" "&amp;G6&amp;" "&amp;H$3</f>
        <v>4" ST EXTN</v>
      </c>
      <c r="I6" s="9" t="str">
        <f t="shared" ref="I6:I69" si="2">C6&amp;" "&amp;G6&amp;" "&amp;I$3</f>
        <v>4" ST STUB</v>
      </c>
      <c r="J6" s="303">
        <f>VLOOKUP(H6,'JKP-8.4c - Total Costs'!$A$6:$D$52,4,FALSE)</f>
        <v>44399.854205685449</v>
      </c>
      <c r="K6" s="303">
        <f>VLOOKUP(I6,'JKP-8.4c - Total Costs'!$A$6:$D$52,4,FALSE)</f>
        <v>15876.442206399237</v>
      </c>
      <c r="L6" s="304">
        <f t="shared" ref="L6:L69" si="3">K6+J6</f>
        <v>60276.296412084688</v>
      </c>
    </row>
    <row r="7" spans="1:12" x14ac:dyDescent="0.2">
      <c r="A7" s="10">
        <v>3</v>
      </c>
      <c r="B7" s="301" t="s">
        <v>742</v>
      </c>
      <c r="C7" s="305" t="s">
        <v>599</v>
      </c>
      <c r="D7" s="302" t="s">
        <v>743</v>
      </c>
      <c r="E7" s="302">
        <v>392</v>
      </c>
      <c r="F7" s="302">
        <v>1964</v>
      </c>
      <c r="G7" s="302" t="str">
        <f t="shared" si="0"/>
        <v>ST</v>
      </c>
      <c r="H7" s="9" t="str">
        <f t="shared" si="1"/>
        <v>1.25" ST EXTN</v>
      </c>
      <c r="I7" s="9" t="str">
        <f t="shared" si="2"/>
        <v>1.25" ST STUB</v>
      </c>
      <c r="J7" s="303">
        <f>VLOOKUP(H7,'JKP-8.4c - Total Costs'!$A$6:$D$52,4,FALSE)</f>
        <v>2640.0824137045715</v>
      </c>
      <c r="K7" s="303">
        <f>VLOOKUP(I7,'JKP-8.4c - Total Costs'!$A$6:$D$52,4,FALSE)</f>
        <v>979.336987723025</v>
      </c>
      <c r="L7" s="304">
        <f t="shared" si="3"/>
        <v>3619.4194014275963</v>
      </c>
    </row>
    <row r="8" spans="1:12" x14ac:dyDescent="0.2">
      <c r="A8" s="10">
        <v>4</v>
      </c>
      <c r="B8" s="301" t="s">
        <v>742</v>
      </c>
      <c r="C8" s="305" t="s">
        <v>599</v>
      </c>
      <c r="D8" s="302" t="s">
        <v>556</v>
      </c>
      <c r="E8" s="302">
        <v>140</v>
      </c>
      <c r="F8" s="302">
        <v>1989</v>
      </c>
      <c r="G8" s="302" t="str">
        <f t="shared" si="0"/>
        <v>PE</v>
      </c>
      <c r="H8" s="9" t="str">
        <f t="shared" si="1"/>
        <v>1.25" PE EXTN</v>
      </c>
      <c r="I8" s="9" t="str">
        <f t="shared" si="2"/>
        <v>1.25" PE STUB</v>
      </c>
      <c r="J8" s="303">
        <f>VLOOKUP(H8,'JKP-8.4c - Total Costs'!$A$6:$D$52,4,FALSE)</f>
        <v>2869.6293607026869</v>
      </c>
      <c r="K8" s="303">
        <f>VLOOKUP(I8,'JKP-8.4c - Total Costs'!$A$6:$D$52,4,FALSE)</f>
        <v>1526.7195609992903</v>
      </c>
      <c r="L8" s="304">
        <f t="shared" si="3"/>
        <v>4396.3489217019769</v>
      </c>
    </row>
    <row r="9" spans="1:12" x14ac:dyDescent="0.2">
      <c r="A9" s="10">
        <v>5</v>
      </c>
      <c r="B9" s="301" t="s">
        <v>742</v>
      </c>
      <c r="C9" s="302" t="s">
        <v>608</v>
      </c>
      <c r="D9" s="302" t="s">
        <v>743</v>
      </c>
      <c r="E9" s="302">
        <v>809</v>
      </c>
      <c r="F9" s="302">
        <v>1956</v>
      </c>
      <c r="G9" s="302" t="str">
        <f t="shared" si="0"/>
        <v>ST</v>
      </c>
      <c r="H9" s="9" t="str">
        <f t="shared" si="1"/>
        <v>2" ST EXTN</v>
      </c>
      <c r="I9" s="9" t="str">
        <f t="shared" si="2"/>
        <v>2" ST STUB</v>
      </c>
      <c r="J9" s="303">
        <f>VLOOKUP(H9,'JKP-8.4c - Total Costs'!$A$6:$D$52,4,FALSE)</f>
        <v>2648.6561603011223</v>
      </c>
      <c r="K9" s="303">
        <f>VLOOKUP(I9,'JKP-8.4c - Total Costs'!$A$6:$D$52,4,FALSE)</f>
        <v>963.78049662050148</v>
      </c>
      <c r="L9" s="304">
        <f t="shared" si="3"/>
        <v>3612.4366569216236</v>
      </c>
    </row>
    <row r="10" spans="1:12" x14ac:dyDescent="0.2">
      <c r="A10" s="10">
        <v>6</v>
      </c>
      <c r="B10" s="301" t="s">
        <v>741</v>
      </c>
      <c r="C10" s="302" t="s">
        <v>617</v>
      </c>
      <c r="D10" s="302" t="s">
        <v>556</v>
      </c>
      <c r="E10" s="302">
        <v>135</v>
      </c>
      <c r="F10" s="302">
        <v>2002</v>
      </c>
      <c r="G10" s="302" t="str">
        <f t="shared" si="0"/>
        <v>PE</v>
      </c>
      <c r="H10" s="9" t="str">
        <f t="shared" si="1"/>
        <v>4" PE EXTN</v>
      </c>
      <c r="I10" s="9" t="str">
        <f t="shared" si="2"/>
        <v>4" PE STUB</v>
      </c>
      <c r="J10" s="303">
        <f>VLOOKUP(H10,'JKP-8.4c - Total Costs'!$A$6:$D$52,4,FALSE)</f>
        <v>2614.2892777862512</v>
      </c>
      <c r="K10" s="303">
        <f>VLOOKUP(I10,'JKP-8.4c - Total Costs'!$A$6:$D$52,4,FALSE)</f>
        <v>978.7012499017651</v>
      </c>
      <c r="L10" s="304">
        <f t="shared" si="3"/>
        <v>3592.9905276880163</v>
      </c>
    </row>
    <row r="11" spans="1:12" x14ac:dyDescent="0.2">
      <c r="A11" s="10">
        <v>7</v>
      </c>
      <c r="B11" s="301" t="s">
        <v>744</v>
      </c>
      <c r="C11" s="302" t="s">
        <v>617</v>
      </c>
      <c r="D11" s="302" t="s">
        <v>743</v>
      </c>
      <c r="E11" s="302">
        <v>33</v>
      </c>
      <c r="F11" s="302">
        <v>1960</v>
      </c>
      <c r="G11" s="302" t="str">
        <f t="shared" si="0"/>
        <v>ST</v>
      </c>
      <c r="H11" s="9" t="str">
        <f t="shared" si="1"/>
        <v>4" ST EXTN</v>
      </c>
      <c r="I11" s="9" t="str">
        <f t="shared" si="2"/>
        <v>4" ST STUB</v>
      </c>
      <c r="J11" s="303">
        <f>VLOOKUP(H11,'JKP-8.4c - Total Costs'!$A$6:$D$52,4,FALSE)</f>
        <v>44399.854205685449</v>
      </c>
      <c r="K11" s="303">
        <f>VLOOKUP(I11,'JKP-8.4c - Total Costs'!$A$6:$D$52,4,FALSE)</f>
        <v>15876.442206399237</v>
      </c>
      <c r="L11" s="304">
        <f t="shared" si="3"/>
        <v>60276.296412084688</v>
      </c>
    </row>
    <row r="12" spans="1:12" x14ac:dyDescent="0.2">
      <c r="A12" s="10">
        <v>8</v>
      </c>
      <c r="B12" s="301" t="s">
        <v>742</v>
      </c>
      <c r="C12" s="302" t="s">
        <v>608</v>
      </c>
      <c r="D12" s="302" t="s">
        <v>743</v>
      </c>
      <c r="E12" s="302">
        <v>78</v>
      </c>
      <c r="F12" s="302">
        <v>1995</v>
      </c>
      <c r="G12" s="302" t="str">
        <f t="shared" si="0"/>
        <v>ST</v>
      </c>
      <c r="H12" s="9" t="str">
        <f t="shared" si="1"/>
        <v>2" ST EXTN</v>
      </c>
      <c r="I12" s="9" t="str">
        <f t="shared" si="2"/>
        <v>2" ST STUB</v>
      </c>
      <c r="J12" s="303">
        <f>VLOOKUP(H12,'JKP-8.4c - Total Costs'!$A$6:$D$52,4,FALSE)</f>
        <v>2648.6561603011223</v>
      </c>
      <c r="K12" s="303">
        <f>VLOOKUP(I12,'JKP-8.4c - Total Costs'!$A$6:$D$52,4,FALSE)</f>
        <v>963.78049662050148</v>
      </c>
      <c r="L12" s="304">
        <f t="shared" si="3"/>
        <v>3612.4366569216236</v>
      </c>
    </row>
    <row r="13" spans="1:12" x14ac:dyDescent="0.2">
      <c r="A13" s="10">
        <v>9</v>
      </c>
      <c r="B13" s="301" t="s">
        <v>742</v>
      </c>
      <c r="C13" s="302" t="s">
        <v>590</v>
      </c>
      <c r="D13" s="302" t="s">
        <v>556</v>
      </c>
      <c r="E13" s="302">
        <v>6</v>
      </c>
      <c r="F13" s="302">
        <v>1997</v>
      </c>
      <c r="G13" s="302" t="str">
        <f t="shared" si="0"/>
        <v>PE</v>
      </c>
      <c r="H13" s="9" t="str">
        <f t="shared" si="1"/>
        <v>1.125" PE EXTN</v>
      </c>
      <c r="I13" s="9" t="str">
        <f t="shared" si="2"/>
        <v>1.125" PE STUB</v>
      </c>
      <c r="J13" s="303">
        <f>VLOOKUP(H13,'JKP-8.4c - Total Costs'!$A$6:$D$52,4,FALSE)</f>
        <v>1705.3083787814819</v>
      </c>
      <c r="K13" s="303">
        <f>VLOOKUP(I13,'JKP-8.4c - Total Costs'!$A$6:$D$52,4,FALSE)</f>
        <v>842.22101353125595</v>
      </c>
      <c r="L13" s="304">
        <f t="shared" si="3"/>
        <v>2547.5293923127379</v>
      </c>
    </row>
    <row r="14" spans="1:12" x14ac:dyDescent="0.2">
      <c r="A14" s="10">
        <v>10</v>
      </c>
      <c r="B14" s="10" t="s">
        <v>745</v>
      </c>
      <c r="C14" s="302" t="s">
        <v>617</v>
      </c>
      <c r="D14" s="302" t="s">
        <v>556</v>
      </c>
      <c r="E14" s="302">
        <v>198</v>
      </c>
      <c r="F14" s="302">
        <v>1993</v>
      </c>
      <c r="G14" s="302" t="str">
        <f t="shared" si="0"/>
        <v>PE</v>
      </c>
      <c r="H14" s="9" t="str">
        <f t="shared" si="1"/>
        <v>4" PE EXTN</v>
      </c>
      <c r="I14" s="9" t="str">
        <f t="shared" si="2"/>
        <v>4" PE STUB</v>
      </c>
      <c r="J14" s="303">
        <f>VLOOKUP(H14,'JKP-8.4c - Total Costs'!$A$6:$D$52,4,FALSE)</f>
        <v>2614.2892777862512</v>
      </c>
      <c r="K14" s="303">
        <f>VLOOKUP(I14,'JKP-8.4c - Total Costs'!$A$6:$D$52,4,FALSE)</f>
        <v>978.7012499017651</v>
      </c>
      <c r="L14" s="304">
        <f t="shared" si="3"/>
        <v>3592.9905276880163</v>
      </c>
    </row>
    <row r="15" spans="1:12" x14ac:dyDescent="0.2">
      <c r="A15" s="10">
        <v>11</v>
      </c>
      <c r="B15" s="10" t="s">
        <v>745</v>
      </c>
      <c r="C15" s="305" t="s">
        <v>617</v>
      </c>
      <c r="D15" s="302" t="s">
        <v>743</v>
      </c>
      <c r="E15" s="302">
        <v>120</v>
      </c>
      <c r="F15" s="302">
        <v>1996</v>
      </c>
      <c r="G15" s="302" t="str">
        <f t="shared" si="0"/>
        <v>ST</v>
      </c>
      <c r="H15" s="9" t="str">
        <f t="shared" si="1"/>
        <v>4" ST EXTN</v>
      </c>
      <c r="I15" s="9" t="str">
        <f t="shared" si="2"/>
        <v>4" ST STUB</v>
      </c>
      <c r="J15" s="303">
        <f>VLOOKUP(H15,'JKP-8.4c - Total Costs'!$A$6:$D$52,4,FALSE)</f>
        <v>44399.854205685449</v>
      </c>
      <c r="K15" s="303">
        <f>VLOOKUP(I15,'JKP-8.4c - Total Costs'!$A$6:$D$52,4,FALSE)</f>
        <v>15876.442206399237</v>
      </c>
      <c r="L15" s="304">
        <f t="shared" si="3"/>
        <v>60276.296412084688</v>
      </c>
    </row>
    <row r="16" spans="1:12" x14ac:dyDescent="0.2">
      <c r="A16" s="10">
        <v>12</v>
      </c>
      <c r="B16" s="10" t="s">
        <v>745</v>
      </c>
      <c r="C16" s="302" t="s">
        <v>624</v>
      </c>
      <c r="D16" s="302" t="s">
        <v>746</v>
      </c>
      <c r="E16" s="302">
        <v>43</v>
      </c>
      <c r="F16" s="302">
        <v>1966</v>
      </c>
      <c r="G16" s="302" t="str">
        <f t="shared" si="0"/>
        <v>ST</v>
      </c>
      <c r="H16" s="9" t="str">
        <f t="shared" si="1"/>
        <v>6" ST EXTN</v>
      </c>
      <c r="I16" s="9" t="str">
        <f t="shared" si="2"/>
        <v>6" ST STUB</v>
      </c>
      <c r="J16" s="303">
        <f>VLOOKUP(H16,'JKP-8.4c - Total Costs'!$A$6:$D$52,4,FALSE)</f>
        <v>32508.513679483611</v>
      </c>
      <c r="K16" s="303">
        <f>VLOOKUP(I16,'JKP-8.4c - Total Costs'!$A$6:$D$52,4,FALSE)</f>
        <v>10052.239930846741</v>
      </c>
      <c r="L16" s="304">
        <f t="shared" si="3"/>
        <v>42560.75361033035</v>
      </c>
    </row>
    <row r="17" spans="1:12" x14ac:dyDescent="0.2">
      <c r="A17" s="10">
        <v>13</v>
      </c>
      <c r="B17" s="10" t="s">
        <v>745</v>
      </c>
      <c r="C17" s="302" t="s">
        <v>617</v>
      </c>
      <c r="D17" s="302" t="s">
        <v>556</v>
      </c>
      <c r="E17" s="302">
        <v>59</v>
      </c>
      <c r="F17" s="302">
        <v>1992</v>
      </c>
      <c r="G17" s="302" t="str">
        <f t="shared" si="0"/>
        <v>PE</v>
      </c>
      <c r="H17" s="9" t="str">
        <f t="shared" si="1"/>
        <v>4" PE EXTN</v>
      </c>
      <c r="I17" s="9" t="str">
        <f t="shared" si="2"/>
        <v>4" PE STUB</v>
      </c>
      <c r="J17" s="303">
        <f>VLOOKUP(H17,'JKP-8.4c - Total Costs'!$A$6:$D$52,4,FALSE)</f>
        <v>2614.2892777862512</v>
      </c>
      <c r="K17" s="303">
        <f>VLOOKUP(I17,'JKP-8.4c - Total Costs'!$A$6:$D$52,4,FALSE)</f>
        <v>978.7012499017651</v>
      </c>
      <c r="L17" s="304">
        <f t="shared" si="3"/>
        <v>3592.9905276880163</v>
      </c>
    </row>
    <row r="18" spans="1:12" x14ac:dyDescent="0.2">
      <c r="A18" s="10">
        <v>14</v>
      </c>
      <c r="B18" s="10" t="s">
        <v>745</v>
      </c>
      <c r="C18" s="302" t="s">
        <v>617</v>
      </c>
      <c r="D18" s="302" t="s">
        <v>556</v>
      </c>
      <c r="E18" s="302">
        <v>800</v>
      </c>
      <c r="F18" s="302">
        <v>1991</v>
      </c>
      <c r="G18" s="302" t="str">
        <f t="shared" si="0"/>
        <v>PE</v>
      </c>
      <c r="H18" s="9" t="str">
        <f t="shared" si="1"/>
        <v>4" PE EXTN</v>
      </c>
      <c r="I18" s="9" t="str">
        <f t="shared" si="2"/>
        <v>4" PE STUB</v>
      </c>
      <c r="J18" s="303">
        <f>VLOOKUP(H18,'JKP-8.4c - Total Costs'!$A$6:$D$52,4,FALSE)</f>
        <v>2614.2892777862512</v>
      </c>
      <c r="K18" s="303">
        <f>VLOOKUP(I18,'JKP-8.4c - Total Costs'!$A$6:$D$52,4,FALSE)</f>
        <v>978.7012499017651</v>
      </c>
      <c r="L18" s="304">
        <f t="shared" si="3"/>
        <v>3592.9905276880163</v>
      </c>
    </row>
    <row r="19" spans="1:12" x14ac:dyDescent="0.2">
      <c r="A19" s="10">
        <v>15</v>
      </c>
      <c r="B19" s="10" t="s">
        <v>745</v>
      </c>
      <c r="C19" s="302" t="s">
        <v>671</v>
      </c>
      <c r="D19" s="302" t="s">
        <v>743</v>
      </c>
      <c r="E19" s="302">
        <v>2331</v>
      </c>
      <c r="F19" s="302">
        <v>1967</v>
      </c>
      <c r="G19" s="302" t="str">
        <f t="shared" si="0"/>
        <v>ST</v>
      </c>
      <c r="H19" s="9" t="str">
        <f t="shared" si="1"/>
        <v>8" ST EXTN</v>
      </c>
      <c r="I19" s="9" t="str">
        <f t="shared" si="2"/>
        <v>8" ST STUB</v>
      </c>
      <c r="J19" s="303">
        <f>VLOOKUP(H19,'JKP-8.4c - Total Costs'!$A$6:$D$52,4,FALSE)</f>
        <v>16194.853866887672</v>
      </c>
      <c r="K19" s="303">
        <f>VLOOKUP(I19,'JKP-8.4c - Total Costs'!$A$6:$D$52,4,FALSE)</f>
        <v>6375.0484099590922</v>
      </c>
      <c r="L19" s="304">
        <f t="shared" si="3"/>
        <v>22569.902276846762</v>
      </c>
    </row>
    <row r="20" spans="1:12" x14ac:dyDescent="0.2">
      <c r="A20" s="10">
        <v>16</v>
      </c>
      <c r="B20" s="10" t="s">
        <v>745</v>
      </c>
      <c r="C20" s="302" t="s">
        <v>617</v>
      </c>
      <c r="D20" s="302" t="s">
        <v>743</v>
      </c>
      <c r="E20" s="302" t="s">
        <v>747</v>
      </c>
      <c r="F20" s="302">
        <v>1963</v>
      </c>
      <c r="G20" s="302" t="str">
        <f t="shared" si="0"/>
        <v>ST</v>
      </c>
      <c r="H20" s="9" t="str">
        <f t="shared" si="1"/>
        <v>4" ST EXTN</v>
      </c>
      <c r="I20" s="9" t="str">
        <f t="shared" si="2"/>
        <v>4" ST STUB</v>
      </c>
      <c r="J20" s="303">
        <f>VLOOKUP(H20,'JKP-8.4c - Total Costs'!$A$6:$D$52,4,FALSE)</f>
        <v>44399.854205685449</v>
      </c>
      <c r="K20" s="303">
        <f>VLOOKUP(I20,'JKP-8.4c - Total Costs'!$A$6:$D$52,4,FALSE)</f>
        <v>15876.442206399237</v>
      </c>
      <c r="L20" s="304">
        <f t="shared" si="3"/>
        <v>60276.296412084688</v>
      </c>
    </row>
    <row r="21" spans="1:12" x14ac:dyDescent="0.2">
      <c r="A21" s="10">
        <v>17</v>
      </c>
      <c r="B21" s="10" t="s">
        <v>745</v>
      </c>
      <c r="C21" s="302" t="s">
        <v>624</v>
      </c>
      <c r="D21" s="302" t="s">
        <v>746</v>
      </c>
      <c r="E21" s="302">
        <v>43</v>
      </c>
      <c r="F21" s="302">
        <v>1966</v>
      </c>
      <c r="G21" s="302" t="str">
        <f t="shared" si="0"/>
        <v>ST</v>
      </c>
      <c r="H21" s="9" t="str">
        <f t="shared" si="1"/>
        <v>6" ST EXTN</v>
      </c>
      <c r="I21" s="9" t="str">
        <f t="shared" si="2"/>
        <v>6" ST STUB</v>
      </c>
      <c r="J21" s="303">
        <f>VLOOKUP(H21,'JKP-8.4c - Total Costs'!$A$6:$D$52,4,FALSE)</f>
        <v>32508.513679483611</v>
      </c>
      <c r="K21" s="303">
        <f>VLOOKUP(I21,'JKP-8.4c - Total Costs'!$A$6:$D$52,4,FALSE)</f>
        <v>10052.239930846741</v>
      </c>
      <c r="L21" s="304">
        <f t="shared" si="3"/>
        <v>42560.75361033035</v>
      </c>
    </row>
    <row r="22" spans="1:12" x14ac:dyDescent="0.2">
      <c r="A22" s="10">
        <v>18</v>
      </c>
      <c r="B22" s="10" t="s">
        <v>745</v>
      </c>
      <c r="C22" s="302" t="s">
        <v>617</v>
      </c>
      <c r="D22" s="302" t="s">
        <v>743</v>
      </c>
      <c r="E22" s="302">
        <v>1393</v>
      </c>
      <c r="F22" s="302">
        <v>1971</v>
      </c>
      <c r="G22" s="302" t="str">
        <f t="shared" si="0"/>
        <v>ST</v>
      </c>
      <c r="H22" s="9" t="str">
        <f t="shared" si="1"/>
        <v>4" ST EXTN</v>
      </c>
      <c r="I22" s="9" t="str">
        <f t="shared" si="2"/>
        <v>4" ST STUB</v>
      </c>
      <c r="J22" s="303">
        <f>VLOOKUP(H22,'JKP-8.4c - Total Costs'!$A$6:$D$52,4,FALSE)</f>
        <v>44399.854205685449</v>
      </c>
      <c r="K22" s="303">
        <f>VLOOKUP(I22,'JKP-8.4c - Total Costs'!$A$6:$D$52,4,FALSE)</f>
        <v>15876.442206399237</v>
      </c>
      <c r="L22" s="304">
        <f t="shared" si="3"/>
        <v>60276.296412084688</v>
      </c>
    </row>
    <row r="23" spans="1:12" x14ac:dyDescent="0.2">
      <c r="A23" s="10">
        <v>19</v>
      </c>
      <c r="B23" s="10" t="s">
        <v>745</v>
      </c>
      <c r="C23" s="305" t="s">
        <v>637</v>
      </c>
      <c r="D23" s="302" t="s">
        <v>743</v>
      </c>
      <c r="E23" s="302">
        <v>20</v>
      </c>
      <c r="F23" s="302">
        <v>1941</v>
      </c>
      <c r="G23" s="302" t="str">
        <f t="shared" si="0"/>
        <v>ST</v>
      </c>
      <c r="H23" s="9" t="str">
        <f t="shared" si="1"/>
        <v>.75" ST EXTN</v>
      </c>
      <c r="I23" s="9" t="str">
        <f t="shared" si="2"/>
        <v>.75" ST STUB</v>
      </c>
      <c r="J23" s="303">
        <f>VLOOKUP(H23,'JKP-8.4c - Total Costs'!$A$6:$D$52,4,FALSE)</f>
        <v>1110.2045190353235</v>
      </c>
      <c r="K23" s="303">
        <f>VLOOKUP(I23,'JKP-8.4c - Total Costs'!$A$6:$D$52,4,FALSE)</f>
        <v>410.17052624013758</v>
      </c>
      <c r="L23" s="304">
        <f t="shared" si="3"/>
        <v>1520.3750452754612</v>
      </c>
    </row>
    <row r="24" spans="1:12" x14ac:dyDescent="0.2">
      <c r="A24" s="10">
        <v>20</v>
      </c>
      <c r="B24" s="10" t="s">
        <v>745</v>
      </c>
      <c r="C24" s="302" t="s">
        <v>599</v>
      </c>
      <c r="D24" s="302" t="s">
        <v>556</v>
      </c>
      <c r="E24" s="302">
        <v>62</v>
      </c>
      <c r="F24" s="302">
        <v>1992</v>
      </c>
      <c r="G24" s="302" t="str">
        <f t="shared" si="0"/>
        <v>PE</v>
      </c>
      <c r="H24" s="9" t="str">
        <f t="shared" si="1"/>
        <v>1.25" PE EXTN</v>
      </c>
      <c r="I24" s="9" t="str">
        <f t="shared" si="2"/>
        <v>1.25" PE STUB</v>
      </c>
      <c r="J24" s="303">
        <f>VLOOKUP(H24,'JKP-8.4c - Total Costs'!$A$6:$D$52,4,FALSE)</f>
        <v>2869.6293607026869</v>
      </c>
      <c r="K24" s="303">
        <f>VLOOKUP(I24,'JKP-8.4c - Total Costs'!$A$6:$D$52,4,FALSE)</f>
        <v>1526.7195609992903</v>
      </c>
      <c r="L24" s="304">
        <f t="shared" si="3"/>
        <v>4396.3489217019769</v>
      </c>
    </row>
    <row r="25" spans="1:12" ht="13.5" customHeight="1" x14ac:dyDescent="0.2">
      <c r="A25" s="10">
        <v>21</v>
      </c>
      <c r="B25" s="10" t="s">
        <v>745</v>
      </c>
      <c r="C25" s="302" t="s">
        <v>624</v>
      </c>
      <c r="D25" s="302" t="s">
        <v>743</v>
      </c>
      <c r="E25" s="302">
        <v>58</v>
      </c>
      <c r="F25" s="302">
        <v>1982</v>
      </c>
      <c r="G25" s="302" t="str">
        <f t="shared" si="0"/>
        <v>ST</v>
      </c>
      <c r="H25" s="9" t="str">
        <f t="shared" si="1"/>
        <v>6" ST EXTN</v>
      </c>
      <c r="I25" s="9" t="str">
        <f t="shared" si="2"/>
        <v>6" ST STUB</v>
      </c>
      <c r="J25" s="303">
        <f>VLOOKUP(H25,'JKP-8.4c - Total Costs'!$A$6:$D$52,4,FALSE)</f>
        <v>32508.513679483611</v>
      </c>
      <c r="K25" s="303">
        <f>VLOOKUP(I25,'JKP-8.4c - Total Costs'!$A$6:$D$52,4,FALSE)</f>
        <v>10052.239930846741</v>
      </c>
      <c r="L25" s="304">
        <f t="shared" si="3"/>
        <v>42560.75361033035</v>
      </c>
    </row>
    <row r="26" spans="1:12" x14ac:dyDescent="0.2">
      <c r="A26" s="10">
        <v>22</v>
      </c>
      <c r="B26" s="10" t="s">
        <v>745</v>
      </c>
      <c r="C26" s="302" t="s">
        <v>608</v>
      </c>
      <c r="D26" s="302" t="s">
        <v>556</v>
      </c>
      <c r="E26" s="302">
        <v>319</v>
      </c>
      <c r="F26" s="302">
        <v>1990</v>
      </c>
      <c r="G26" s="302" t="str">
        <f t="shared" si="0"/>
        <v>PE</v>
      </c>
      <c r="H26" s="9" t="str">
        <f t="shared" si="1"/>
        <v>2" PE EXTN</v>
      </c>
      <c r="I26" s="9" t="str">
        <f t="shared" si="2"/>
        <v>2" PE STUB</v>
      </c>
      <c r="J26" s="303">
        <f>VLOOKUP(H26,'JKP-8.4c - Total Costs'!$A$6:$D$52,4,FALSE)</f>
        <v>3217.4108620235775</v>
      </c>
      <c r="K26" s="303">
        <f>VLOOKUP(I26,'JKP-8.4c - Total Costs'!$A$6:$D$52,4,FALSE)</f>
        <v>1470.4671789049644</v>
      </c>
      <c r="L26" s="304">
        <f t="shared" si="3"/>
        <v>4687.8780409285419</v>
      </c>
    </row>
    <row r="27" spans="1:12" x14ac:dyDescent="0.2">
      <c r="A27" s="10">
        <v>23</v>
      </c>
      <c r="B27" s="10" t="s">
        <v>745</v>
      </c>
      <c r="C27" s="302" t="s">
        <v>624</v>
      </c>
      <c r="D27" s="302" t="s">
        <v>746</v>
      </c>
      <c r="E27" s="302" t="s">
        <v>747</v>
      </c>
      <c r="F27" s="302" t="s">
        <v>747</v>
      </c>
      <c r="G27" s="302" t="str">
        <f t="shared" si="0"/>
        <v>ST</v>
      </c>
      <c r="H27" s="9" t="str">
        <f t="shared" si="1"/>
        <v>6" ST EXTN</v>
      </c>
      <c r="I27" s="9" t="str">
        <f t="shared" si="2"/>
        <v>6" ST STUB</v>
      </c>
      <c r="J27" s="303">
        <f>VLOOKUP(H27,'JKP-8.4c - Total Costs'!$A$6:$D$52,4,FALSE)</f>
        <v>32508.513679483611</v>
      </c>
      <c r="K27" s="303">
        <f>VLOOKUP(I27,'JKP-8.4c - Total Costs'!$A$6:$D$52,4,FALSE)</f>
        <v>10052.239930846741</v>
      </c>
      <c r="L27" s="304">
        <f t="shared" si="3"/>
        <v>42560.75361033035</v>
      </c>
    </row>
    <row r="28" spans="1:12" x14ac:dyDescent="0.2">
      <c r="A28" s="10">
        <v>24</v>
      </c>
      <c r="B28" s="10" t="s">
        <v>745</v>
      </c>
      <c r="C28" s="302" t="s">
        <v>624</v>
      </c>
      <c r="D28" s="302" t="s">
        <v>743</v>
      </c>
      <c r="E28" s="302">
        <v>907</v>
      </c>
      <c r="F28" s="302">
        <v>1996</v>
      </c>
      <c r="G28" s="302" t="str">
        <f t="shared" si="0"/>
        <v>ST</v>
      </c>
      <c r="H28" s="9" t="str">
        <f t="shared" si="1"/>
        <v>6" ST EXTN</v>
      </c>
      <c r="I28" s="9" t="str">
        <f t="shared" si="2"/>
        <v>6" ST STUB</v>
      </c>
      <c r="J28" s="303">
        <f>VLOOKUP(H28,'JKP-8.4c - Total Costs'!$A$6:$D$52,4,FALSE)</f>
        <v>32508.513679483611</v>
      </c>
      <c r="K28" s="303">
        <f>VLOOKUP(I28,'JKP-8.4c - Total Costs'!$A$6:$D$52,4,FALSE)</f>
        <v>10052.239930846741</v>
      </c>
      <c r="L28" s="304">
        <f t="shared" si="3"/>
        <v>42560.75361033035</v>
      </c>
    </row>
    <row r="29" spans="1:12" x14ac:dyDescent="0.2">
      <c r="A29" s="10">
        <v>25</v>
      </c>
      <c r="B29" s="10" t="s">
        <v>745</v>
      </c>
      <c r="C29" s="302" t="s">
        <v>608</v>
      </c>
      <c r="D29" s="302" t="s">
        <v>556</v>
      </c>
      <c r="E29" s="302">
        <v>125</v>
      </c>
      <c r="F29" s="302">
        <v>2010</v>
      </c>
      <c r="G29" s="302" t="str">
        <f t="shared" si="0"/>
        <v>PE</v>
      </c>
      <c r="H29" s="9" t="str">
        <f t="shared" si="1"/>
        <v>2" PE EXTN</v>
      </c>
      <c r="I29" s="9" t="str">
        <f t="shared" si="2"/>
        <v>2" PE STUB</v>
      </c>
      <c r="J29" s="303">
        <f>VLOOKUP(H29,'JKP-8.4c - Total Costs'!$A$6:$D$52,4,FALSE)</f>
        <v>3217.4108620235775</v>
      </c>
      <c r="K29" s="303">
        <f>VLOOKUP(I29,'JKP-8.4c - Total Costs'!$A$6:$D$52,4,FALSE)</f>
        <v>1470.4671789049644</v>
      </c>
      <c r="L29" s="304">
        <f t="shared" si="3"/>
        <v>4687.8780409285419</v>
      </c>
    </row>
    <row r="30" spans="1:12" x14ac:dyDescent="0.2">
      <c r="A30" s="10">
        <v>26</v>
      </c>
      <c r="B30" s="10" t="s">
        <v>745</v>
      </c>
      <c r="C30" s="305" t="s">
        <v>608</v>
      </c>
      <c r="D30" s="302" t="s">
        <v>556</v>
      </c>
      <c r="E30" s="302">
        <v>125</v>
      </c>
      <c r="F30" s="302">
        <v>2010</v>
      </c>
      <c r="G30" s="302" t="str">
        <f t="shared" si="0"/>
        <v>PE</v>
      </c>
      <c r="H30" s="9" t="str">
        <f t="shared" si="1"/>
        <v>2" PE EXTN</v>
      </c>
      <c r="I30" s="9" t="str">
        <f t="shared" si="2"/>
        <v>2" PE STUB</v>
      </c>
      <c r="J30" s="303">
        <f>VLOOKUP(H30,'JKP-8.4c - Total Costs'!$A$6:$D$52,4,FALSE)</f>
        <v>3217.4108620235775</v>
      </c>
      <c r="K30" s="303">
        <f>VLOOKUP(I30,'JKP-8.4c - Total Costs'!$A$6:$D$52,4,FALSE)</f>
        <v>1470.4671789049644</v>
      </c>
      <c r="L30" s="304">
        <f t="shared" si="3"/>
        <v>4687.8780409285419</v>
      </c>
    </row>
    <row r="31" spans="1:12" x14ac:dyDescent="0.2">
      <c r="A31" s="10">
        <v>27</v>
      </c>
      <c r="B31" s="10" t="s">
        <v>745</v>
      </c>
      <c r="C31" s="302" t="s">
        <v>608</v>
      </c>
      <c r="D31" s="302" t="s">
        <v>556</v>
      </c>
      <c r="E31" s="302">
        <v>125</v>
      </c>
      <c r="F31" s="302">
        <v>2010</v>
      </c>
      <c r="G31" s="302" t="str">
        <f t="shared" si="0"/>
        <v>PE</v>
      </c>
      <c r="H31" s="9" t="str">
        <f t="shared" si="1"/>
        <v>2" PE EXTN</v>
      </c>
      <c r="I31" s="9" t="str">
        <f t="shared" si="2"/>
        <v>2" PE STUB</v>
      </c>
      <c r="J31" s="303">
        <f>VLOOKUP(H31,'JKP-8.4c - Total Costs'!$A$6:$D$52,4,FALSE)</f>
        <v>3217.4108620235775</v>
      </c>
      <c r="K31" s="303">
        <f>VLOOKUP(I31,'JKP-8.4c - Total Costs'!$A$6:$D$52,4,FALSE)</f>
        <v>1470.4671789049644</v>
      </c>
      <c r="L31" s="304">
        <f t="shared" si="3"/>
        <v>4687.8780409285419</v>
      </c>
    </row>
    <row r="32" spans="1:12" x14ac:dyDescent="0.2">
      <c r="A32" s="10">
        <v>28</v>
      </c>
      <c r="B32" s="301" t="s">
        <v>748</v>
      </c>
      <c r="C32" s="302" t="s">
        <v>608</v>
      </c>
      <c r="D32" s="302" t="s">
        <v>743</v>
      </c>
      <c r="E32" s="302">
        <v>477</v>
      </c>
      <c r="F32" s="302">
        <v>1971</v>
      </c>
      <c r="G32" s="302" t="str">
        <f t="shared" si="0"/>
        <v>ST</v>
      </c>
      <c r="H32" s="9" t="str">
        <f t="shared" si="1"/>
        <v>2" ST EXTN</v>
      </c>
      <c r="I32" s="9" t="str">
        <f t="shared" si="2"/>
        <v>2" ST STUB</v>
      </c>
      <c r="J32" s="303">
        <f>VLOOKUP(H32,'JKP-8.4c - Total Costs'!$A$6:$D$52,4,FALSE)</f>
        <v>2648.6561603011223</v>
      </c>
      <c r="K32" s="303">
        <f>VLOOKUP(I32,'JKP-8.4c - Total Costs'!$A$6:$D$52,4,FALSE)</f>
        <v>963.78049662050148</v>
      </c>
      <c r="L32" s="304">
        <f t="shared" si="3"/>
        <v>3612.4366569216236</v>
      </c>
    </row>
    <row r="33" spans="1:12" x14ac:dyDescent="0.2">
      <c r="A33" s="10">
        <v>29</v>
      </c>
      <c r="B33" s="301" t="s">
        <v>744</v>
      </c>
      <c r="C33" s="302" t="s">
        <v>617</v>
      </c>
      <c r="D33" s="302" t="s">
        <v>743</v>
      </c>
      <c r="E33" s="302"/>
      <c r="F33" s="302">
        <v>1995</v>
      </c>
      <c r="G33" s="302" t="str">
        <f t="shared" si="0"/>
        <v>ST</v>
      </c>
      <c r="H33" s="9" t="str">
        <f t="shared" si="1"/>
        <v>4" ST EXTN</v>
      </c>
      <c r="I33" s="9" t="str">
        <f t="shared" si="2"/>
        <v>4" ST STUB</v>
      </c>
      <c r="J33" s="303">
        <f>VLOOKUP(H33,'JKP-8.4c - Total Costs'!$A$6:$D$52,4,FALSE)</f>
        <v>44399.854205685449</v>
      </c>
      <c r="K33" s="303">
        <f>VLOOKUP(I33,'JKP-8.4c - Total Costs'!$A$6:$D$52,4,FALSE)</f>
        <v>15876.442206399237</v>
      </c>
      <c r="L33" s="304">
        <f t="shared" si="3"/>
        <v>60276.296412084688</v>
      </c>
    </row>
    <row r="34" spans="1:12" x14ac:dyDescent="0.2">
      <c r="A34" s="10">
        <v>30</v>
      </c>
      <c r="B34" s="301" t="s">
        <v>741</v>
      </c>
      <c r="C34" s="39" t="s">
        <v>608</v>
      </c>
      <c r="D34" s="302" t="s">
        <v>556</v>
      </c>
      <c r="E34" s="302">
        <v>292</v>
      </c>
      <c r="F34" s="302">
        <v>1984</v>
      </c>
      <c r="G34" s="302" t="str">
        <f t="shared" si="0"/>
        <v>PE</v>
      </c>
      <c r="H34" s="9" t="str">
        <f t="shared" si="1"/>
        <v>2" PE EXTN</v>
      </c>
      <c r="I34" s="9" t="str">
        <f t="shared" si="2"/>
        <v>2" PE STUB</v>
      </c>
      <c r="J34" s="303">
        <f>VLOOKUP(H34,'JKP-8.4c - Total Costs'!$A$6:$D$52,4,FALSE)</f>
        <v>3217.4108620235775</v>
      </c>
      <c r="K34" s="303">
        <f>VLOOKUP(I34,'JKP-8.4c - Total Costs'!$A$6:$D$52,4,FALSE)</f>
        <v>1470.4671789049644</v>
      </c>
      <c r="L34" s="304">
        <f t="shared" si="3"/>
        <v>4687.8780409285419</v>
      </c>
    </row>
    <row r="35" spans="1:12" x14ac:dyDescent="0.2">
      <c r="A35" s="10">
        <v>31</v>
      </c>
      <c r="B35" s="301" t="s">
        <v>749</v>
      </c>
      <c r="C35" s="302" t="s">
        <v>617</v>
      </c>
      <c r="D35" s="302" t="s">
        <v>556</v>
      </c>
      <c r="E35" s="302">
        <v>32</v>
      </c>
      <c r="F35" s="302">
        <v>1994</v>
      </c>
      <c r="G35" s="302" t="str">
        <f t="shared" si="0"/>
        <v>PE</v>
      </c>
      <c r="H35" s="9" t="str">
        <f t="shared" si="1"/>
        <v>4" PE EXTN</v>
      </c>
      <c r="I35" s="9" t="str">
        <f t="shared" si="2"/>
        <v>4" PE STUB</v>
      </c>
      <c r="J35" s="303">
        <f>VLOOKUP(H35,'JKP-8.4c - Total Costs'!$A$6:$D$52,4,FALSE)</f>
        <v>2614.2892777862512</v>
      </c>
      <c r="K35" s="303">
        <f>VLOOKUP(I35,'JKP-8.4c - Total Costs'!$A$6:$D$52,4,FALSE)</f>
        <v>978.7012499017651</v>
      </c>
      <c r="L35" s="304">
        <f t="shared" si="3"/>
        <v>3592.9905276880163</v>
      </c>
    </row>
    <row r="36" spans="1:12" x14ac:dyDescent="0.2">
      <c r="A36" s="10">
        <v>32</v>
      </c>
      <c r="B36" s="301" t="s">
        <v>744</v>
      </c>
      <c r="C36" s="302" t="s">
        <v>617</v>
      </c>
      <c r="D36" s="302" t="s">
        <v>556</v>
      </c>
      <c r="E36" s="302">
        <v>119</v>
      </c>
      <c r="F36" s="302">
        <v>2008</v>
      </c>
      <c r="G36" s="302" t="str">
        <f t="shared" si="0"/>
        <v>PE</v>
      </c>
      <c r="H36" s="9" t="str">
        <f t="shared" si="1"/>
        <v>4" PE EXTN</v>
      </c>
      <c r="I36" s="9" t="str">
        <f t="shared" si="2"/>
        <v>4" PE STUB</v>
      </c>
      <c r="J36" s="303">
        <f>VLOOKUP(H36,'JKP-8.4c - Total Costs'!$A$6:$D$52,4,FALSE)</f>
        <v>2614.2892777862512</v>
      </c>
      <c r="K36" s="303">
        <f>VLOOKUP(I36,'JKP-8.4c - Total Costs'!$A$6:$D$52,4,FALSE)</f>
        <v>978.7012499017651</v>
      </c>
      <c r="L36" s="304">
        <f t="shared" si="3"/>
        <v>3592.9905276880163</v>
      </c>
    </row>
    <row r="37" spans="1:12" x14ac:dyDescent="0.2">
      <c r="A37" s="10">
        <v>33</v>
      </c>
      <c r="B37" s="301" t="s">
        <v>744</v>
      </c>
      <c r="C37" s="305" t="s">
        <v>599</v>
      </c>
      <c r="D37" s="302" t="s">
        <v>556</v>
      </c>
      <c r="E37" s="302">
        <v>118</v>
      </c>
      <c r="F37" s="302">
        <v>1992</v>
      </c>
      <c r="G37" s="302" t="str">
        <f t="shared" si="0"/>
        <v>PE</v>
      </c>
      <c r="H37" s="9" t="str">
        <f t="shared" si="1"/>
        <v>1.25" PE EXTN</v>
      </c>
      <c r="I37" s="9" t="str">
        <f t="shared" si="2"/>
        <v>1.25" PE STUB</v>
      </c>
      <c r="J37" s="303">
        <f>VLOOKUP(H37,'JKP-8.4c - Total Costs'!$A$6:$D$52,4,FALSE)</f>
        <v>2869.6293607026869</v>
      </c>
      <c r="K37" s="303">
        <f>VLOOKUP(I37,'JKP-8.4c - Total Costs'!$A$6:$D$52,4,FALSE)</f>
        <v>1526.7195609992903</v>
      </c>
      <c r="L37" s="304">
        <f t="shared" si="3"/>
        <v>4396.3489217019769</v>
      </c>
    </row>
    <row r="38" spans="1:12" x14ac:dyDescent="0.2">
      <c r="A38" s="10">
        <v>34</v>
      </c>
      <c r="B38" s="301" t="s">
        <v>742</v>
      </c>
      <c r="C38" s="302" t="s">
        <v>617</v>
      </c>
      <c r="D38" s="302" t="s">
        <v>556</v>
      </c>
      <c r="E38" s="302">
        <v>76</v>
      </c>
      <c r="F38" s="302">
        <v>2004</v>
      </c>
      <c r="G38" s="302" t="str">
        <f t="shared" si="0"/>
        <v>PE</v>
      </c>
      <c r="H38" s="9" t="str">
        <f t="shared" si="1"/>
        <v>4" PE EXTN</v>
      </c>
      <c r="I38" s="9" t="str">
        <f t="shared" si="2"/>
        <v>4" PE STUB</v>
      </c>
      <c r="J38" s="303">
        <f>VLOOKUP(H38,'JKP-8.4c - Total Costs'!$A$6:$D$52,4,FALSE)</f>
        <v>2614.2892777862512</v>
      </c>
      <c r="K38" s="303">
        <f>VLOOKUP(I38,'JKP-8.4c - Total Costs'!$A$6:$D$52,4,FALSE)</f>
        <v>978.7012499017651</v>
      </c>
      <c r="L38" s="304">
        <f t="shared" si="3"/>
        <v>3592.9905276880163</v>
      </c>
    </row>
    <row r="39" spans="1:12" x14ac:dyDescent="0.2">
      <c r="A39" s="10">
        <v>35</v>
      </c>
      <c r="B39" s="301" t="s">
        <v>742</v>
      </c>
      <c r="C39" s="302" t="s">
        <v>608</v>
      </c>
      <c r="D39" s="302" t="s">
        <v>743</v>
      </c>
      <c r="E39" s="302">
        <v>75</v>
      </c>
      <c r="F39" s="302">
        <v>1965</v>
      </c>
      <c r="G39" s="302" t="str">
        <f t="shared" si="0"/>
        <v>ST</v>
      </c>
      <c r="H39" s="9" t="str">
        <f t="shared" si="1"/>
        <v>2" ST EXTN</v>
      </c>
      <c r="I39" s="9" t="str">
        <f t="shared" si="2"/>
        <v>2" ST STUB</v>
      </c>
      <c r="J39" s="303">
        <f>VLOOKUP(H39,'JKP-8.4c - Total Costs'!$A$6:$D$52,4,FALSE)</f>
        <v>2648.6561603011223</v>
      </c>
      <c r="K39" s="303">
        <f>VLOOKUP(I39,'JKP-8.4c - Total Costs'!$A$6:$D$52,4,FALSE)</f>
        <v>963.78049662050148</v>
      </c>
      <c r="L39" s="304">
        <f t="shared" si="3"/>
        <v>3612.4366569216236</v>
      </c>
    </row>
    <row r="40" spans="1:12" x14ac:dyDescent="0.2">
      <c r="A40" s="10">
        <v>36</v>
      </c>
      <c r="B40" s="301" t="s">
        <v>748</v>
      </c>
      <c r="C40" s="302" t="s">
        <v>608</v>
      </c>
      <c r="D40" s="302" t="s">
        <v>743</v>
      </c>
      <c r="E40" s="302">
        <v>726</v>
      </c>
      <c r="F40" s="302">
        <v>1974</v>
      </c>
      <c r="G40" s="302" t="str">
        <f t="shared" si="0"/>
        <v>ST</v>
      </c>
      <c r="H40" s="9" t="str">
        <f t="shared" si="1"/>
        <v>2" ST EXTN</v>
      </c>
      <c r="I40" s="9" t="str">
        <f t="shared" si="2"/>
        <v>2" ST STUB</v>
      </c>
      <c r="J40" s="303">
        <f>VLOOKUP(H40,'JKP-8.4c - Total Costs'!$A$6:$D$52,4,FALSE)</f>
        <v>2648.6561603011223</v>
      </c>
      <c r="K40" s="303">
        <f>VLOOKUP(I40,'JKP-8.4c - Total Costs'!$A$6:$D$52,4,FALSE)</f>
        <v>963.78049662050148</v>
      </c>
      <c r="L40" s="304">
        <f t="shared" si="3"/>
        <v>3612.4366569216236</v>
      </c>
    </row>
    <row r="41" spans="1:12" x14ac:dyDescent="0.2">
      <c r="A41" s="10">
        <v>37</v>
      </c>
      <c r="B41" s="301" t="s">
        <v>742</v>
      </c>
      <c r="C41" s="302" t="s">
        <v>617</v>
      </c>
      <c r="D41" s="302" t="s">
        <v>743</v>
      </c>
      <c r="E41" s="302">
        <v>48</v>
      </c>
      <c r="F41" s="302">
        <v>1973</v>
      </c>
      <c r="G41" s="302" t="str">
        <f t="shared" si="0"/>
        <v>ST</v>
      </c>
      <c r="H41" s="9" t="str">
        <f t="shared" si="1"/>
        <v>4" ST EXTN</v>
      </c>
      <c r="I41" s="9" t="str">
        <f t="shared" si="2"/>
        <v>4" ST STUB</v>
      </c>
      <c r="J41" s="303">
        <f>VLOOKUP(H41,'JKP-8.4c - Total Costs'!$A$6:$D$52,4,FALSE)</f>
        <v>44399.854205685449</v>
      </c>
      <c r="K41" s="303">
        <f>VLOOKUP(I41,'JKP-8.4c - Total Costs'!$A$6:$D$52,4,FALSE)</f>
        <v>15876.442206399237</v>
      </c>
      <c r="L41" s="304">
        <f t="shared" si="3"/>
        <v>60276.296412084688</v>
      </c>
    </row>
    <row r="42" spans="1:12" x14ac:dyDescent="0.2">
      <c r="A42" s="10">
        <v>38</v>
      </c>
      <c r="B42" s="301" t="s">
        <v>742</v>
      </c>
      <c r="C42" s="305" t="s">
        <v>617</v>
      </c>
      <c r="D42" s="302" t="s">
        <v>743</v>
      </c>
      <c r="E42" s="302">
        <v>35</v>
      </c>
      <c r="F42" s="302">
        <v>1961</v>
      </c>
      <c r="G42" s="302" t="str">
        <f t="shared" si="0"/>
        <v>ST</v>
      </c>
      <c r="H42" s="9" t="str">
        <f t="shared" si="1"/>
        <v>4" ST EXTN</v>
      </c>
      <c r="I42" s="9" t="str">
        <f t="shared" si="2"/>
        <v>4" ST STUB</v>
      </c>
      <c r="J42" s="303">
        <f>VLOOKUP(H42,'JKP-8.4c - Total Costs'!$A$6:$D$52,4,FALSE)</f>
        <v>44399.854205685449</v>
      </c>
      <c r="K42" s="303">
        <f>VLOOKUP(I42,'JKP-8.4c - Total Costs'!$A$6:$D$52,4,FALSE)</f>
        <v>15876.442206399237</v>
      </c>
      <c r="L42" s="304">
        <f t="shared" si="3"/>
        <v>60276.296412084688</v>
      </c>
    </row>
    <row r="43" spans="1:12" x14ac:dyDescent="0.2">
      <c r="A43" s="10">
        <v>39</v>
      </c>
      <c r="B43" s="301" t="s">
        <v>742</v>
      </c>
      <c r="C43" s="302" t="s">
        <v>617</v>
      </c>
      <c r="D43" s="302" t="s">
        <v>743</v>
      </c>
      <c r="E43" s="302">
        <v>133</v>
      </c>
      <c r="F43" s="302">
        <v>1994</v>
      </c>
      <c r="G43" s="302" t="str">
        <f t="shared" si="0"/>
        <v>ST</v>
      </c>
      <c r="H43" s="9" t="str">
        <f t="shared" si="1"/>
        <v>4" ST EXTN</v>
      </c>
      <c r="I43" s="9" t="str">
        <f t="shared" si="2"/>
        <v>4" ST STUB</v>
      </c>
      <c r="J43" s="303">
        <f>VLOOKUP(H43,'JKP-8.4c - Total Costs'!$A$6:$D$52,4,FALSE)</f>
        <v>44399.854205685449</v>
      </c>
      <c r="K43" s="303">
        <f>VLOOKUP(I43,'JKP-8.4c - Total Costs'!$A$6:$D$52,4,FALSE)</f>
        <v>15876.442206399237</v>
      </c>
      <c r="L43" s="304">
        <f t="shared" si="3"/>
        <v>60276.296412084688</v>
      </c>
    </row>
    <row r="44" spans="1:12" x14ac:dyDescent="0.2">
      <c r="A44" s="10">
        <v>40</v>
      </c>
      <c r="B44" s="301" t="s">
        <v>742</v>
      </c>
      <c r="C44" s="302" t="s">
        <v>608</v>
      </c>
      <c r="D44" s="302" t="s">
        <v>743</v>
      </c>
      <c r="E44" s="302">
        <v>106</v>
      </c>
      <c r="F44" s="302">
        <v>2000</v>
      </c>
      <c r="G44" s="302" t="str">
        <f t="shared" si="0"/>
        <v>ST</v>
      </c>
      <c r="H44" s="9" t="str">
        <f t="shared" si="1"/>
        <v>2" ST EXTN</v>
      </c>
      <c r="I44" s="9" t="str">
        <f t="shared" si="2"/>
        <v>2" ST STUB</v>
      </c>
      <c r="J44" s="303">
        <f>VLOOKUP(H44,'JKP-8.4c - Total Costs'!$A$6:$D$52,4,FALSE)</f>
        <v>2648.6561603011223</v>
      </c>
      <c r="K44" s="303">
        <f>VLOOKUP(I44,'JKP-8.4c - Total Costs'!$A$6:$D$52,4,FALSE)</f>
        <v>963.78049662050148</v>
      </c>
      <c r="L44" s="304">
        <f t="shared" si="3"/>
        <v>3612.4366569216236</v>
      </c>
    </row>
    <row r="45" spans="1:12" x14ac:dyDescent="0.2">
      <c r="A45" s="10">
        <v>41</v>
      </c>
      <c r="B45" s="301" t="s">
        <v>749</v>
      </c>
      <c r="C45" s="302" t="s">
        <v>671</v>
      </c>
      <c r="D45" s="302" t="s">
        <v>556</v>
      </c>
      <c r="E45" s="302">
        <v>162</v>
      </c>
      <c r="F45" s="302">
        <v>1997</v>
      </c>
      <c r="G45" s="302" t="str">
        <f t="shared" si="0"/>
        <v>PE</v>
      </c>
      <c r="H45" s="306" t="s">
        <v>722</v>
      </c>
      <c r="I45" s="306" t="s">
        <v>723</v>
      </c>
      <c r="J45" s="303">
        <f>VLOOKUP(H45,'JKP-8.4c - Total Costs'!$A$6:$D$52,4,FALSE)</f>
        <v>27472.348504951377</v>
      </c>
      <c r="K45" s="303">
        <f>VLOOKUP(I45,'JKP-8.4c - Total Costs'!$A$6:$D$52,4,FALSE)</f>
        <v>15176.640974122591</v>
      </c>
      <c r="L45" s="304">
        <f t="shared" si="3"/>
        <v>42648.989479073964</v>
      </c>
    </row>
    <row r="46" spans="1:12" x14ac:dyDescent="0.2">
      <c r="A46" s="10">
        <v>42</v>
      </c>
      <c r="B46" s="301" t="s">
        <v>741</v>
      </c>
      <c r="C46" s="302" t="s">
        <v>617</v>
      </c>
      <c r="D46" s="302" t="s">
        <v>743</v>
      </c>
      <c r="E46" s="302">
        <v>821</v>
      </c>
      <c r="F46" s="302">
        <v>1959</v>
      </c>
      <c r="G46" s="302" t="str">
        <f t="shared" si="0"/>
        <v>ST</v>
      </c>
      <c r="H46" s="9" t="str">
        <f t="shared" si="1"/>
        <v>4" ST EXTN</v>
      </c>
      <c r="I46" s="9" t="str">
        <f t="shared" si="2"/>
        <v>4" ST STUB</v>
      </c>
      <c r="J46" s="303">
        <f>VLOOKUP(H46,'JKP-8.4c - Total Costs'!$A$6:$D$52,4,FALSE)</f>
        <v>44399.854205685449</v>
      </c>
      <c r="K46" s="303">
        <f>VLOOKUP(I46,'JKP-8.4c - Total Costs'!$A$6:$D$52,4,FALSE)</f>
        <v>15876.442206399237</v>
      </c>
      <c r="L46" s="304">
        <f t="shared" si="3"/>
        <v>60276.296412084688</v>
      </c>
    </row>
    <row r="47" spans="1:12" x14ac:dyDescent="0.2">
      <c r="A47" s="10">
        <v>43</v>
      </c>
      <c r="B47" s="301" t="s">
        <v>741</v>
      </c>
      <c r="C47" s="302" t="s">
        <v>608</v>
      </c>
      <c r="D47" s="302" t="s">
        <v>556</v>
      </c>
      <c r="E47" s="302">
        <v>195</v>
      </c>
      <c r="F47" s="302">
        <v>1994</v>
      </c>
      <c r="G47" s="302" t="str">
        <f t="shared" si="0"/>
        <v>PE</v>
      </c>
      <c r="H47" s="9" t="str">
        <f t="shared" si="1"/>
        <v>2" PE EXTN</v>
      </c>
      <c r="I47" s="9" t="str">
        <f t="shared" si="2"/>
        <v>2" PE STUB</v>
      </c>
      <c r="J47" s="303">
        <f>VLOOKUP(H47,'JKP-8.4c - Total Costs'!$A$6:$D$52,4,FALSE)</f>
        <v>3217.4108620235775</v>
      </c>
      <c r="K47" s="303">
        <f>VLOOKUP(I47,'JKP-8.4c - Total Costs'!$A$6:$D$52,4,FALSE)</f>
        <v>1470.4671789049644</v>
      </c>
      <c r="L47" s="304">
        <f t="shared" si="3"/>
        <v>4687.8780409285419</v>
      </c>
    </row>
    <row r="48" spans="1:12" x14ac:dyDescent="0.2">
      <c r="A48" s="10">
        <v>44</v>
      </c>
      <c r="B48" s="301" t="s">
        <v>741</v>
      </c>
      <c r="C48" s="302" t="s">
        <v>617</v>
      </c>
      <c r="D48" s="302" t="s">
        <v>746</v>
      </c>
      <c r="E48" s="302">
        <v>523</v>
      </c>
      <c r="F48" s="302">
        <v>2002</v>
      </c>
      <c r="G48" s="302" t="str">
        <f t="shared" si="0"/>
        <v>ST</v>
      </c>
      <c r="H48" s="9" t="str">
        <f t="shared" si="1"/>
        <v>4" ST EXTN</v>
      </c>
      <c r="I48" s="9" t="str">
        <f t="shared" si="2"/>
        <v>4" ST STUB</v>
      </c>
      <c r="J48" s="303">
        <f>VLOOKUP(H48,'JKP-8.4c - Total Costs'!$A$6:$D$52,4,FALSE)</f>
        <v>44399.854205685449</v>
      </c>
      <c r="K48" s="303">
        <f>VLOOKUP(I48,'JKP-8.4c - Total Costs'!$A$6:$D$52,4,FALSE)</f>
        <v>15876.442206399237</v>
      </c>
      <c r="L48" s="304">
        <f t="shared" si="3"/>
        <v>60276.296412084688</v>
      </c>
    </row>
    <row r="49" spans="1:12" x14ac:dyDescent="0.2">
      <c r="A49" s="10">
        <v>45</v>
      </c>
      <c r="B49" s="301" t="s">
        <v>741</v>
      </c>
      <c r="C49" s="302" t="s">
        <v>608</v>
      </c>
      <c r="D49" s="302" t="s">
        <v>746</v>
      </c>
      <c r="E49" s="302">
        <v>49</v>
      </c>
      <c r="F49" s="302">
        <v>2008</v>
      </c>
      <c r="G49" s="302" t="str">
        <f t="shared" si="0"/>
        <v>ST</v>
      </c>
      <c r="H49" s="9" t="str">
        <f t="shared" si="1"/>
        <v>2" ST EXTN</v>
      </c>
      <c r="I49" s="9" t="str">
        <f t="shared" si="2"/>
        <v>2" ST STUB</v>
      </c>
      <c r="J49" s="303">
        <f>VLOOKUP(H49,'JKP-8.4c - Total Costs'!$A$6:$D$52,4,FALSE)</f>
        <v>2648.6561603011223</v>
      </c>
      <c r="K49" s="303">
        <f>VLOOKUP(I49,'JKP-8.4c - Total Costs'!$A$6:$D$52,4,FALSE)</f>
        <v>963.78049662050148</v>
      </c>
      <c r="L49" s="304">
        <f t="shared" si="3"/>
        <v>3612.4366569216236</v>
      </c>
    </row>
    <row r="50" spans="1:12" x14ac:dyDescent="0.2">
      <c r="A50" s="10">
        <v>46</v>
      </c>
      <c r="B50" s="301" t="s">
        <v>741</v>
      </c>
      <c r="C50" s="302" t="s">
        <v>624</v>
      </c>
      <c r="D50" s="302" t="s">
        <v>556</v>
      </c>
      <c r="E50" s="302">
        <v>24</v>
      </c>
      <c r="F50" s="302">
        <v>2009</v>
      </c>
      <c r="G50" s="302" t="str">
        <f t="shared" si="0"/>
        <v>PE</v>
      </c>
      <c r="H50" s="9" t="str">
        <f t="shared" si="1"/>
        <v>6" PE EXTN</v>
      </c>
      <c r="I50" s="9" t="str">
        <f t="shared" si="2"/>
        <v>6" PE STUB</v>
      </c>
      <c r="J50" s="303">
        <f>VLOOKUP(H50,'JKP-8.4c - Total Costs'!$A$6:$D$52,4,FALSE)</f>
        <v>27472.348504951377</v>
      </c>
      <c r="K50" s="303">
        <f>VLOOKUP(I50,'JKP-8.4c - Total Costs'!$A$6:$D$52,4,FALSE)</f>
        <v>15176.640974122591</v>
      </c>
      <c r="L50" s="304">
        <f t="shared" si="3"/>
        <v>42648.989479073964</v>
      </c>
    </row>
    <row r="51" spans="1:12" x14ac:dyDescent="0.2">
      <c r="A51" s="10">
        <v>47</v>
      </c>
      <c r="B51" s="301" t="s">
        <v>742</v>
      </c>
      <c r="C51" s="305" t="s">
        <v>608</v>
      </c>
      <c r="D51" s="302" t="s">
        <v>556</v>
      </c>
      <c r="E51" s="302">
        <v>69</v>
      </c>
      <c r="F51" s="302">
        <v>1999</v>
      </c>
      <c r="G51" s="302" t="str">
        <f t="shared" si="0"/>
        <v>PE</v>
      </c>
      <c r="H51" s="9" t="str">
        <f t="shared" si="1"/>
        <v>2" PE EXTN</v>
      </c>
      <c r="I51" s="9" t="str">
        <f t="shared" si="2"/>
        <v>2" PE STUB</v>
      </c>
      <c r="J51" s="303">
        <f>VLOOKUP(H51,'JKP-8.4c - Total Costs'!$A$6:$D$52,4,FALSE)</f>
        <v>3217.4108620235775</v>
      </c>
      <c r="K51" s="303">
        <f>VLOOKUP(I51,'JKP-8.4c - Total Costs'!$A$6:$D$52,4,FALSE)</f>
        <v>1470.4671789049644</v>
      </c>
      <c r="L51" s="304">
        <f t="shared" si="3"/>
        <v>4687.8780409285419</v>
      </c>
    </row>
    <row r="52" spans="1:12" x14ac:dyDescent="0.2">
      <c r="A52" s="10">
        <v>48</v>
      </c>
      <c r="B52" s="301" t="s">
        <v>744</v>
      </c>
      <c r="C52" s="302" t="s">
        <v>617</v>
      </c>
      <c r="D52" s="302" t="s">
        <v>750</v>
      </c>
      <c r="E52" s="302">
        <v>851</v>
      </c>
      <c r="F52" s="302">
        <v>1958</v>
      </c>
      <c r="G52" s="302" t="str">
        <f t="shared" si="0"/>
        <v>ST</v>
      </c>
      <c r="H52" s="9" t="str">
        <f t="shared" si="1"/>
        <v>4" ST EXTN</v>
      </c>
      <c r="I52" s="9" t="str">
        <f t="shared" si="2"/>
        <v>4" ST STUB</v>
      </c>
      <c r="J52" s="303">
        <f>VLOOKUP(H52,'JKP-8.4c - Total Costs'!$A$6:$D$52,4,FALSE)</f>
        <v>44399.854205685449</v>
      </c>
      <c r="K52" s="303">
        <f>VLOOKUP(I52,'JKP-8.4c - Total Costs'!$A$6:$D$52,4,FALSE)</f>
        <v>15876.442206399237</v>
      </c>
      <c r="L52" s="304">
        <f t="shared" si="3"/>
        <v>60276.296412084688</v>
      </c>
    </row>
    <row r="53" spans="1:12" x14ac:dyDescent="0.2">
      <c r="A53" s="10">
        <v>49</v>
      </c>
      <c r="B53" s="301" t="s">
        <v>742</v>
      </c>
      <c r="C53" s="302" t="s">
        <v>617</v>
      </c>
      <c r="D53" s="302" t="s">
        <v>556</v>
      </c>
      <c r="E53" s="302">
        <v>78</v>
      </c>
      <c r="F53" s="302">
        <v>2009</v>
      </c>
      <c r="G53" s="302" t="str">
        <f t="shared" si="0"/>
        <v>PE</v>
      </c>
      <c r="H53" s="9" t="str">
        <f t="shared" si="1"/>
        <v>4" PE EXTN</v>
      </c>
      <c r="I53" s="9" t="str">
        <f t="shared" si="2"/>
        <v>4" PE STUB</v>
      </c>
      <c r="J53" s="303">
        <f>VLOOKUP(H53,'JKP-8.4c - Total Costs'!$A$6:$D$52,4,FALSE)</f>
        <v>2614.2892777862512</v>
      </c>
      <c r="K53" s="303">
        <f>VLOOKUP(I53,'JKP-8.4c - Total Costs'!$A$6:$D$52,4,FALSE)</f>
        <v>978.7012499017651</v>
      </c>
      <c r="L53" s="304">
        <f t="shared" si="3"/>
        <v>3592.9905276880163</v>
      </c>
    </row>
    <row r="54" spans="1:12" x14ac:dyDescent="0.2">
      <c r="A54" s="10">
        <v>50</v>
      </c>
      <c r="B54" s="301" t="s">
        <v>742</v>
      </c>
      <c r="C54" s="302" t="s">
        <v>617</v>
      </c>
      <c r="D54" s="302" t="s">
        <v>556</v>
      </c>
      <c r="E54" s="302">
        <v>134</v>
      </c>
      <c r="F54" s="302">
        <v>2007</v>
      </c>
      <c r="G54" s="302" t="str">
        <f t="shared" si="0"/>
        <v>PE</v>
      </c>
      <c r="H54" s="9" t="str">
        <f t="shared" si="1"/>
        <v>4" PE EXTN</v>
      </c>
      <c r="I54" s="9" t="str">
        <f t="shared" si="2"/>
        <v>4" PE STUB</v>
      </c>
      <c r="J54" s="303">
        <f>VLOOKUP(H54,'JKP-8.4c - Total Costs'!$A$6:$D$52,4,FALSE)</f>
        <v>2614.2892777862512</v>
      </c>
      <c r="K54" s="303">
        <f>VLOOKUP(I54,'JKP-8.4c - Total Costs'!$A$6:$D$52,4,FALSE)</f>
        <v>978.7012499017651</v>
      </c>
      <c r="L54" s="304">
        <f t="shared" si="3"/>
        <v>3592.9905276880163</v>
      </c>
    </row>
    <row r="55" spans="1:12" x14ac:dyDescent="0.2">
      <c r="A55" s="10">
        <v>51</v>
      </c>
      <c r="B55" s="301" t="s">
        <v>742</v>
      </c>
      <c r="C55" s="302" t="s">
        <v>617</v>
      </c>
      <c r="D55" s="302" t="s">
        <v>743</v>
      </c>
      <c r="E55" s="302">
        <v>65</v>
      </c>
      <c r="F55" s="302">
        <v>1956</v>
      </c>
      <c r="G55" s="302" t="str">
        <f t="shared" si="0"/>
        <v>ST</v>
      </c>
      <c r="H55" s="9" t="str">
        <f t="shared" si="1"/>
        <v>4" ST EXTN</v>
      </c>
      <c r="I55" s="9" t="str">
        <f t="shared" si="2"/>
        <v>4" ST STUB</v>
      </c>
      <c r="J55" s="303">
        <f>VLOOKUP(H55,'JKP-8.4c - Total Costs'!$A$6:$D$52,4,FALSE)</f>
        <v>44399.854205685449</v>
      </c>
      <c r="K55" s="303">
        <f>VLOOKUP(I55,'JKP-8.4c - Total Costs'!$A$6:$D$52,4,FALSE)</f>
        <v>15876.442206399237</v>
      </c>
      <c r="L55" s="304">
        <f t="shared" si="3"/>
        <v>60276.296412084688</v>
      </c>
    </row>
    <row r="56" spans="1:12" x14ac:dyDescent="0.2">
      <c r="A56" s="10">
        <v>52</v>
      </c>
      <c r="B56" s="301" t="s">
        <v>742</v>
      </c>
      <c r="C56" s="302" t="s">
        <v>632</v>
      </c>
      <c r="D56" s="302" t="s">
        <v>743</v>
      </c>
      <c r="E56" s="302">
        <v>168</v>
      </c>
      <c r="F56" s="302">
        <v>1973</v>
      </c>
      <c r="G56" s="302" t="str">
        <f t="shared" si="0"/>
        <v>ST</v>
      </c>
      <c r="H56" s="9" t="str">
        <f t="shared" si="1"/>
        <v>.5-2" ST EXTN</v>
      </c>
      <c r="I56" s="9" t="str">
        <f t="shared" si="2"/>
        <v>.5-2" ST STUB</v>
      </c>
      <c r="J56" s="303">
        <f>VLOOKUP(H56,'JKP-8.4c - Total Costs'!$A$6:$D$52,4,FALSE)</f>
        <v>2412.226565934066</v>
      </c>
      <c r="K56" s="303">
        <f>VLOOKUP(I56,'JKP-8.4c - Total Costs'!$A$6:$D$52,4,FALSE)</f>
        <v>892.18646886446879</v>
      </c>
      <c r="L56" s="304">
        <f t="shared" si="3"/>
        <v>3304.4130347985347</v>
      </c>
    </row>
    <row r="57" spans="1:12" x14ac:dyDescent="0.2">
      <c r="A57" s="10">
        <v>53</v>
      </c>
      <c r="B57" s="301" t="s">
        <v>748</v>
      </c>
      <c r="C57" s="302" t="s">
        <v>617</v>
      </c>
      <c r="D57" s="302" t="s">
        <v>556</v>
      </c>
      <c r="E57" s="302">
        <v>180</v>
      </c>
      <c r="F57" s="302">
        <v>1984</v>
      </c>
      <c r="G57" s="302" t="str">
        <f t="shared" si="0"/>
        <v>PE</v>
      </c>
      <c r="H57" s="9" t="str">
        <f t="shared" si="1"/>
        <v>4" PE EXTN</v>
      </c>
      <c r="I57" s="9" t="str">
        <f t="shared" si="2"/>
        <v>4" PE STUB</v>
      </c>
      <c r="J57" s="303">
        <f>VLOOKUP(H57,'JKP-8.4c - Total Costs'!$A$6:$D$52,4,FALSE)</f>
        <v>2614.2892777862512</v>
      </c>
      <c r="K57" s="303">
        <f>VLOOKUP(I57,'JKP-8.4c - Total Costs'!$A$6:$D$52,4,FALSE)</f>
        <v>978.7012499017651</v>
      </c>
      <c r="L57" s="304">
        <f t="shared" si="3"/>
        <v>3592.9905276880163</v>
      </c>
    </row>
    <row r="58" spans="1:12" x14ac:dyDescent="0.2">
      <c r="A58" s="10">
        <v>54</v>
      </c>
      <c r="B58" s="301" t="s">
        <v>742</v>
      </c>
      <c r="C58" s="305" t="s">
        <v>608</v>
      </c>
      <c r="D58" s="302" t="s">
        <v>556</v>
      </c>
      <c r="E58" s="302">
        <v>70</v>
      </c>
      <c r="F58" s="302">
        <v>1997</v>
      </c>
      <c r="G58" s="302" t="str">
        <f t="shared" si="0"/>
        <v>PE</v>
      </c>
      <c r="H58" s="9" t="str">
        <f t="shared" si="1"/>
        <v>2" PE EXTN</v>
      </c>
      <c r="I58" s="9" t="str">
        <f t="shared" si="2"/>
        <v>2" PE STUB</v>
      </c>
      <c r="J58" s="303">
        <f>VLOOKUP(H58,'JKP-8.4c - Total Costs'!$A$6:$D$52,4,FALSE)</f>
        <v>3217.4108620235775</v>
      </c>
      <c r="K58" s="303">
        <f>VLOOKUP(I58,'JKP-8.4c - Total Costs'!$A$6:$D$52,4,FALSE)</f>
        <v>1470.4671789049644</v>
      </c>
      <c r="L58" s="304">
        <f t="shared" si="3"/>
        <v>4687.8780409285419</v>
      </c>
    </row>
    <row r="59" spans="1:12" x14ac:dyDescent="0.2">
      <c r="A59" s="10">
        <v>55</v>
      </c>
      <c r="B59" s="301" t="s">
        <v>741</v>
      </c>
      <c r="C59" s="307" t="s">
        <v>617</v>
      </c>
      <c r="D59" s="302" t="s">
        <v>556</v>
      </c>
      <c r="E59" s="302">
        <v>581</v>
      </c>
      <c r="F59" s="302">
        <v>1977</v>
      </c>
      <c r="G59" s="302" t="str">
        <f t="shared" si="0"/>
        <v>PE</v>
      </c>
      <c r="H59" s="9" t="str">
        <f t="shared" si="1"/>
        <v>4" PE EXTN</v>
      </c>
      <c r="I59" s="9" t="str">
        <f t="shared" si="2"/>
        <v>4" PE STUB</v>
      </c>
      <c r="J59" s="303">
        <f>VLOOKUP(H59,'JKP-8.4c - Total Costs'!$A$6:$D$52,4,FALSE)</f>
        <v>2614.2892777862512</v>
      </c>
      <c r="K59" s="303">
        <f>VLOOKUP(I59,'JKP-8.4c - Total Costs'!$A$6:$D$52,4,FALSE)</f>
        <v>978.7012499017651</v>
      </c>
      <c r="L59" s="304">
        <f t="shared" si="3"/>
        <v>3592.9905276880163</v>
      </c>
    </row>
    <row r="60" spans="1:12" x14ac:dyDescent="0.2">
      <c r="A60" s="10">
        <v>56</v>
      </c>
      <c r="B60" s="301" t="s">
        <v>744</v>
      </c>
      <c r="C60" s="302" t="s">
        <v>608</v>
      </c>
      <c r="D60" s="302" t="s">
        <v>556</v>
      </c>
      <c r="E60" s="302">
        <v>320</v>
      </c>
      <c r="F60" s="302">
        <v>1990</v>
      </c>
      <c r="G60" s="302" t="str">
        <f t="shared" si="0"/>
        <v>PE</v>
      </c>
      <c r="H60" s="9" t="str">
        <f t="shared" si="1"/>
        <v>2" PE EXTN</v>
      </c>
      <c r="I60" s="9" t="str">
        <f t="shared" si="2"/>
        <v>2" PE STUB</v>
      </c>
      <c r="J60" s="303">
        <f>VLOOKUP(H60,'JKP-8.4c - Total Costs'!$A$6:$D$52,4,FALSE)</f>
        <v>3217.4108620235775</v>
      </c>
      <c r="K60" s="303">
        <f>VLOOKUP(I60,'JKP-8.4c - Total Costs'!$A$6:$D$52,4,FALSE)</f>
        <v>1470.4671789049644</v>
      </c>
      <c r="L60" s="304">
        <f t="shared" si="3"/>
        <v>4687.8780409285419</v>
      </c>
    </row>
    <row r="61" spans="1:12" x14ac:dyDescent="0.2">
      <c r="A61" s="10">
        <v>57</v>
      </c>
      <c r="B61" s="301" t="s">
        <v>751</v>
      </c>
      <c r="C61" s="302" t="s">
        <v>617</v>
      </c>
      <c r="D61" s="302" t="s">
        <v>556</v>
      </c>
      <c r="E61" s="302">
        <v>94</v>
      </c>
      <c r="F61" s="302">
        <v>2006</v>
      </c>
      <c r="G61" s="302" t="str">
        <f t="shared" si="0"/>
        <v>PE</v>
      </c>
      <c r="H61" s="9" t="str">
        <f t="shared" si="1"/>
        <v>4" PE EXTN</v>
      </c>
      <c r="I61" s="9" t="str">
        <f t="shared" si="2"/>
        <v>4" PE STUB</v>
      </c>
      <c r="J61" s="303">
        <f>VLOOKUP(H61,'JKP-8.4c - Total Costs'!$A$6:$D$52,4,FALSE)</f>
        <v>2614.2892777862512</v>
      </c>
      <c r="K61" s="303">
        <f>VLOOKUP(I61,'JKP-8.4c - Total Costs'!$A$6:$D$52,4,FALSE)</f>
        <v>978.7012499017651</v>
      </c>
      <c r="L61" s="304">
        <f t="shared" si="3"/>
        <v>3592.9905276880163</v>
      </c>
    </row>
    <row r="62" spans="1:12" x14ac:dyDescent="0.2">
      <c r="A62" s="10">
        <v>58</v>
      </c>
      <c r="B62" s="301" t="s">
        <v>741</v>
      </c>
      <c r="C62" s="302" t="s">
        <v>599</v>
      </c>
      <c r="D62" s="302" t="s">
        <v>743</v>
      </c>
      <c r="E62" s="302">
        <v>456</v>
      </c>
      <c r="F62" s="302">
        <v>1984</v>
      </c>
      <c r="G62" s="302" t="str">
        <f t="shared" si="0"/>
        <v>ST</v>
      </c>
      <c r="H62" s="9" t="str">
        <f t="shared" si="1"/>
        <v>1.25" ST EXTN</v>
      </c>
      <c r="I62" s="9" t="str">
        <f t="shared" si="2"/>
        <v>1.25" ST STUB</v>
      </c>
      <c r="J62" s="303">
        <f>VLOOKUP(H62,'JKP-8.4c - Total Costs'!$A$6:$D$52,4,FALSE)</f>
        <v>2640.0824137045715</v>
      </c>
      <c r="K62" s="303">
        <f>VLOOKUP(I62,'JKP-8.4c - Total Costs'!$A$6:$D$52,4,FALSE)</f>
        <v>979.336987723025</v>
      </c>
      <c r="L62" s="304">
        <f t="shared" si="3"/>
        <v>3619.4194014275963</v>
      </c>
    </row>
    <row r="63" spans="1:12" x14ac:dyDescent="0.2">
      <c r="A63" s="10">
        <v>59</v>
      </c>
      <c r="B63" s="301" t="s">
        <v>744</v>
      </c>
      <c r="C63" s="302" t="s">
        <v>624</v>
      </c>
      <c r="D63" s="302" t="s">
        <v>556</v>
      </c>
      <c r="E63" s="302">
        <v>330</v>
      </c>
      <c r="F63" s="302">
        <v>2008</v>
      </c>
      <c r="G63" s="302" t="str">
        <f t="shared" si="0"/>
        <v>PE</v>
      </c>
      <c r="H63" s="9" t="str">
        <f t="shared" si="1"/>
        <v>6" PE EXTN</v>
      </c>
      <c r="I63" s="9" t="str">
        <f t="shared" si="2"/>
        <v>6" PE STUB</v>
      </c>
      <c r="J63" s="303">
        <f>VLOOKUP(H63,'JKP-8.4c - Total Costs'!$A$6:$D$52,4,FALSE)</f>
        <v>27472.348504951377</v>
      </c>
      <c r="K63" s="303">
        <f>VLOOKUP(I63,'JKP-8.4c - Total Costs'!$A$6:$D$52,4,FALSE)</f>
        <v>15176.640974122591</v>
      </c>
      <c r="L63" s="304">
        <f t="shared" si="3"/>
        <v>42648.989479073964</v>
      </c>
    </row>
    <row r="64" spans="1:12" x14ac:dyDescent="0.2">
      <c r="A64" s="10">
        <v>60</v>
      </c>
      <c r="B64" s="301" t="s">
        <v>742</v>
      </c>
      <c r="C64" s="302" t="s">
        <v>617</v>
      </c>
      <c r="D64" s="302" t="s">
        <v>743</v>
      </c>
      <c r="E64" s="302" t="s">
        <v>747</v>
      </c>
      <c r="F64" s="302">
        <v>1956</v>
      </c>
      <c r="G64" s="302" t="str">
        <f t="shared" si="0"/>
        <v>ST</v>
      </c>
      <c r="H64" s="9" t="str">
        <f t="shared" si="1"/>
        <v>4" ST EXTN</v>
      </c>
      <c r="I64" s="9" t="str">
        <f t="shared" si="2"/>
        <v>4" ST STUB</v>
      </c>
      <c r="J64" s="303">
        <f>VLOOKUP(H64,'JKP-8.4c - Total Costs'!$A$6:$D$52,4,FALSE)</f>
        <v>44399.854205685449</v>
      </c>
      <c r="K64" s="303">
        <f>VLOOKUP(I64,'JKP-8.4c - Total Costs'!$A$6:$D$52,4,FALSE)</f>
        <v>15876.442206399237</v>
      </c>
      <c r="L64" s="304">
        <f t="shared" si="3"/>
        <v>60276.296412084688</v>
      </c>
    </row>
    <row r="65" spans="1:12" x14ac:dyDescent="0.2">
      <c r="A65" s="10">
        <v>61</v>
      </c>
      <c r="B65" s="301" t="s">
        <v>742</v>
      </c>
      <c r="C65" s="302" t="s">
        <v>608</v>
      </c>
      <c r="D65" s="302" t="s">
        <v>752</v>
      </c>
      <c r="E65" s="302">
        <v>53</v>
      </c>
      <c r="F65" s="302">
        <v>1992</v>
      </c>
      <c r="G65" s="302" t="str">
        <f t="shared" si="0"/>
        <v>ST</v>
      </c>
      <c r="H65" s="9" t="str">
        <f t="shared" si="1"/>
        <v>2" ST EXTN</v>
      </c>
      <c r="I65" s="9" t="str">
        <f t="shared" si="2"/>
        <v>2" ST STUB</v>
      </c>
      <c r="J65" s="303">
        <f>VLOOKUP(H65,'JKP-8.4c - Total Costs'!$A$6:$D$52,4,FALSE)</f>
        <v>2648.6561603011223</v>
      </c>
      <c r="K65" s="303">
        <f>VLOOKUP(I65,'JKP-8.4c - Total Costs'!$A$6:$D$52,4,FALSE)</f>
        <v>963.78049662050148</v>
      </c>
      <c r="L65" s="304">
        <f t="shared" si="3"/>
        <v>3612.4366569216236</v>
      </c>
    </row>
    <row r="66" spans="1:12" x14ac:dyDescent="0.2">
      <c r="A66" s="10">
        <v>62</v>
      </c>
      <c r="B66" s="301" t="s">
        <v>751</v>
      </c>
      <c r="C66" s="302" t="s">
        <v>617</v>
      </c>
      <c r="D66" s="302" t="s">
        <v>556</v>
      </c>
      <c r="E66" s="302">
        <v>30</v>
      </c>
      <c r="F66" s="302">
        <v>1992</v>
      </c>
      <c r="G66" s="302" t="str">
        <f t="shared" si="0"/>
        <v>PE</v>
      </c>
      <c r="H66" s="9" t="str">
        <f t="shared" si="1"/>
        <v>4" PE EXTN</v>
      </c>
      <c r="I66" s="9" t="str">
        <f t="shared" si="2"/>
        <v>4" PE STUB</v>
      </c>
      <c r="J66" s="303">
        <f>VLOOKUP(H66,'JKP-8.4c - Total Costs'!$A$6:$D$52,4,FALSE)</f>
        <v>2614.2892777862512</v>
      </c>
      <c r="K66" s="303">
        <f>VLOOKUP(I66,'JKP-8.4c - Total Costs'!$A$6:$D$52,4,FALSE)</f>
        <v>978.7012499017651</v>
      </c>
      <c r="L66" s="304">
        <f t="shared" si="3"/>
        <v>3592.9905276880163</v>
      </c>
    </row>
    <row r="67" spans="1:12" x14ac:dyDescent="0.2">
      <c r="A67" s="10">
        <v>63</v>
      </c>
      <c r="B67" s="301" t="s">
        <v>742</v>
      </c>
      <c r="C67" s="305" t="s">
        <v>608</v>
      </c>
      <c r="D67" s="302" t="s">
        <v>743</v>
      </c>
      <c r="E67" s="302">
        <v>237</v>
      </c>
      <c r="F67" s="302">
        <v>1984</v>
      </c>
      <c r="G67" s="302" t="str">
        <f t="shared" si="0"/>
        <v>ST</v>
      </c>
      <c r="H67" s="9" t="str">
        <f t="shared" si="1"/>
        <v>2" ST EXTN</v>
      </c>
      <c r="I67" s="9" t="str">
        <f t="shared" si="2"/>
        <v>2" ST STUB</v>
      </c>
      <c r="J67" s="303">
        <f>VLOOKUP(H67,'JKP-8.4c - Total Costs'!$A$6:$D$52,4,FALSE)</f>
        <v>2648.6561603011223</v>
      </c>
      <c r="K67" s="303">
        <f>VLOOKUP(I67,'JKP-8.4c - Total Costs'!$A$6:$D$52,4,FALSE)</f>
        <v>963.78049662050148</v>
      </c>
      <c r="L67" s="304">
        <f t="shared" si="3"/>
        <v>3612.4366569216236</v>
      </c>
    </row>
    <row r="68" spans="1:12" x14ac:dyDescent="0.2">
      <c r="A68" s="10">
        <v>64</v>
      </c>
      <c r="B68" s="301" t="s">
        <v>742</v>
      </c>
      <c r="C68" s="302" t="s">
        <v>617</v>
      </c>
      <c r="D68" s="302" t="s">
        <v>743</v>
      </c>
      <c r="E68" s="302">
        <v>100</v>
      </c>
      <c r="F68" s="302">
        <v>1989</v>
      </c>
      <c r="G68" s="302" t="str">
        <f t="shared" si="0"/>
        <v>ST</v>
      </c>
      <c r="H68" s="9" t="str">
        <f t="shared" si="1"/>
        <v>4" ST EXTN</v>
      </c>
      <c r="I68" s="9" t="str">
        <f t="shared" si="2"/>
        <v>4" ST STUB</v>
      </c>
      <c r="J68" s="303">
        <f>VLOOKUP(H68,'JKP-8.4c - Total Costs'!$A$6:$D$52,4,FALSE)</f>
        <v>44399.854205685449</v>
      </c>
      <c r="K68" s="303">
        <f>VLOOKUP(I68,'JKP-8.4c - Total Costs'!$A$6:$D$52,4,FALSE)</f>
        <v>15876.442206399237</v>
      </c>
      <c r="L68" s="304">
        <f t="shared" si="3"/>
        <v>60276.296412084688</v>
      </c>
    </row>
    <row r="69" spans="1:12" x14ac:dyDescent="0.2">
      <c r="A69" s="10">
        <v>65</v>
      </c>
      <c r="B69" s="301" t="s">
        <v>749</v>
      </c>
      <c r="C69" s="302" t="s">
        <v>617</v>
      </c>
      <c r="D69" s="302" t="s">
        <v>743</v>
      </c>
      <c r="E69" s="302">
        <v>273</v>
      </c>
      <c r="F69" s="302">
        <v>1964</v>
      </c>
      <c r="G69" s="302" t="str">
        <f t="shared" si="0"/>
        <v>ST</v>
      </c>
      <c r="H69" s="9" t="str">
        <f t="shared" si="1"/>
        <v>4" ST EXTN</v>
      </c>
      <c r="I69" s="9" t="str">
        <f t="shared" si="2"/>
        <v>4" ST STUB</v>
      </c>
      <c r="J69" s="303">
        <f>VLOOKUP(H69,'JKP-8.4c - Total Costs'!$A$6:$D$52,4,FALSE)</f>
        <v>44399.854205685449</v>
      </c>
      <c r="K69" s="303">
        <f>VLOOKUP(I69,'JKP-8.4c - Total Costs'!$A$6:$D$52,4,FALSE)</f>
        <v>15876.442206399237</v>
      </c>
      <c r="L69" s="304">
        <f t="shared" si="3"/>
        <v>60276.296412084688</v>
      </c>
    </row>
    <row r="70" spans="1:12" x14ac:dyDescent="0.2">
      <c r="A70" s="10">
        <v>66</v>
      </c>
      <c r="B70" s="301" t="s">
        <v>741</v>
      </c>
      <c r="C70" s="302" t="s">
        <v>617</v>
      </c>
      <c r="D70" s="302" t="s">
        <v>556</v>
      </c>
      <c r="E70" s="302">
        <v>18</v>
      </c>
      <c r="F70" s="302">
        <v>2001</v>
      </c>
      <c r="G70" s="302" t="str">
        <f t="shared" ref="G70:G133" si="4">LEFT(D70,2)</f>
        <v>PE</v>
      </c>
      <c r="H70" s="9" t="str">
        <f t="shared" ref="H70:H133" si="5">C70&amp;" "&amp;G70&amp;" "&amp;H$3</f>
        <v>4" PE EXTN</v>
      </c>
      <c r="I70" s="9" t="str">
        <f t="shared" ref="I70:I133" si="6">C70&amp;" "&amp;G70&amp;" "&amp;I$3</f>
        <v>4" PE STUB</v>
      </c>
      <c r="J70" s="303">
        <f>VLOOKUP(H70,'JKP-8.4c - Total Costs'!$A$6:$D$52,4,FALSE)</f>
        <v>2614.2892777862512</v>
      </c>
      <c r="K70" s="303">
        <f>VLOOKUP(I70,'JKP-8.4c - Total Costs'!$A$6:$D$52,4,FALSE)</f>
        <v>978.7012499017651</v>
      </c>
      <c r="L70" s="304">
        <f t="shared" ref="L70:L133" si="7">K70+J70</f>
        <v>3592.9905276880163</v>
      </c>
    </row>
    <row r="71" spans="1:12" x14ac:dyDescent="0.2">
      <c r="A71" s="10">
        <v>67</v>
      </c>
      <c r="B71" s="301" t="s">
        <v>741</v>
      </c>
      <c r="C71" s="302" t="s">
        <v>617</v>
      </c>
      <c r="D71" s="302" t="s">
        <v>746</v>
      </c>
      <c r="E71" s="302">
        <v>356</v>
      </c>
      <c r="F71" s="302">
        <v>2003</v>
      </c>
      <c r="G71" s="302" t="str">
        <f t="shared" si="4"/>
        <v>ST</v>
      </c>
      <c r="H71" s="9" t="str">
        <f t="shared" si="5"/>
        <v>4" ST EXTN</v>
      </c>
      <c r="I71" s="9" t="str">
        <f t="shared" si="6"/>
        <v>4" ST STUB</v>
      </c>
      <c r="J71" s="303">
        <f>VLOOKUP(H71,'JKP-8.4c - Total Costs'!$A$6:$D$52,4,FALSE)</f>
        <v>44399.854205685449</v>
      </c>
      <c r="K71" s="303">
        <f>VLOOKUP(I71,'JKP-8.4c - Total Costs'!$A$6:$D$52,4,FALSE)</f>
        <v>15876.442206399237</v>
      </c>
      <c r="L71" s="304">
        <f t="shared" si="7"/>
        <v>60276.296412084688</v>
      </c>
    </row>
    <row r="72" spans="1:12" x14ac:dyDescent="0.2">
      <c r="A72" s="10">
        <v>68</v>
      </c>
      <c r="B72" s="301" t="s">
        <v>741</v>
      </c>
      <c r="C72" s="39" t="s">
        <v>608</v>
      </c>
      <c r="D72" s="302" t="s">
        <v>746</v>
      </c>
      <c r="E72" s="302">
        <v>12</v>
      </c>
      <c r="F72" s="302">
        <v>2000</v>
      </c>
      <c r="G72" s="302" t="str">
        <f t="shared" si="4"/>
        <v>ST</v>
      </c>
      <c r="H72" s="9" t="str">
        <f t="shared" si="5"/>
        <v>2" ST EXTN</v>
      </c>
      <c r="I72" s="9" t="str">
        <f t="shared" si="6"/>
        <v>2" ST STUB</v>
      </c>
      <c r="J72" s="303">
        <f>VLOOKUP(H72,'JKP-8.4c - Total Costs'!$A$6:$D$52,4,FALSE)</f>
        <v>2648.6561603011223</v>
      </c>
      <c r="K72" s="303">
        <f>VLOOKUP(I72,'JKP-8.4c - Total Costs'!$A$6:$D$52,4,FALSE)</f>
        <v>963.78049662050148</v>
      </c>
      <c r="L72" s="304">
        <f t="shared" si="7"/>
        <v>3612.4366569216236</v>
      </c>
    </row>
    <row r="73" spans="1:12" x14ac:dyDescent="0.2">
      <c r="A73" s="10">
        <v>69</v>
      </c>
      <c r="B73" s="301" t="s">
        <v>742</v>
      </c>
      <c r="C73" s="302" t="s">
        <v>624</v>
      </c>
      <c r="D73" s="302" t="s">
        <v>743</v>
      </c>
      <c r="E73" s="302">
        <v>324</v>
      </c>
      <c r="F73" s="302">
        <v>1968</v>
      </c>
      <c r="G73" s="302" t="str">
        <f t="shared" si="4"/>
        <v>ST</v>
      </c>
      <c r="H73" s="9" t="str">
        <f t="shared" si="5"/>
        <v>6" ST EXTN</v>
      </c>
      <c r="I73" s="9" t="str">
        <f t="shared" si="6"/>
        <v>6" ST STUB</v>
      </c>
      <c r="J73" s="303">
        <f>VLOOKUP(H73,'JKP-8.4c - Total Costs'!$A$6:$D$52,4,FALSE)</f>
        <v>32508.513679483611</v>
      </c>
      <c r="K73" s="303">
        <f>VLOOKUP(I73,'JKP-8.4c - Total Costs'!$A$6:$D$52,4,FALSE)</f>
        <v>10052.239930846741</v>
      </c>
      <c r="L73" s="304">
        <f t="shared" si="7"/>
        <v>42560.75361033035</v>
      </c>
    </row>
    <row r="74" spans="1:12" x14ac:dyDescent="0.2">
      <c r="A74" s="10">
        <v>70</v>
      </c>
      <c r="B74" s="301" t="s">
        <v>744</v>
      </c>
      <c r="C74" s="302" t="s">
        <v>617</v>
      </c>
      <c r="D74" s="302" t="s">
        <v>743</v>
      </c>
      <c r="E74" s="302">
        <v>902</v>
      </c>
      <c r="F74" s="302">
        <v>1964</v>
      </c>
      <c r="G74" s="302" t="str">
        <f t="shared" si="4"/>
        <v>ST</v>
      </c>
      <c r="H74" s="9" t="str">
        <f t="shared" si="5"/>
        <v>4" ST EXTN</v>
      </c>
      <c r="I74" s="9" t="str">
        <f t="shared" si="6"/>
        <v>4" ST STUB</v>
      </c>
      <c r="J74" s="303">
        <f>VLOOKUP(H74,'JKP-8.4c - Total Costs'!$A$6:$D$52,4,FALSE)</f>
        <v>44399.854205685449</v>
      </c>
      <c r="K74" s="303">
        <f>VLOOKUP(I74,'JKP-8.4c - Total Costs'!$A$6:$D$52,4,FALSE)</f>
        <v>15876.442206399237</v>
      </c>
      <c r="L74" s="304">
        <f t="shared" si="7"/>
        <v>60276.296412084688</v>
      </c>
    </row>
    <row r="75" spans="1:12" x14ac:dyDescent="0.2">
      <c r="A75" s="10">
        <v>71</v>
      </c>
      <c r="B75" s="301" t="s">
        <v>744</v>
      </c>
      <c r="C75" s="302" t="s">
        <v>608</v>
      </c>
      <c r="D75" s="302" t="s">
        <v>556</v>
      </c>
      <c r="E75" s="302">
        <v>73</v>
      </c>
      <c r="F75" s="302">
        <v>1980</v>
      </c>
      <c r="G75" s="302" t="str">
        <f t="shared" si="4"/>
        <v>PE</v>
      </c>
      <c r="H75" s="9" t="str">
        <f t="shared" si="5"/>
        <v>2" PE EXTN</v>
      </c>
      <c r="I75" s="9" t="str">
        <f t="shared" si="6"/>
        <v>2" PE STUB</v>
      </c>
      <c r="J75" s="303">
        <f>VLOOKUP(H75,'JKP-8.4c - Total Costs'!$A$6:$D$52,4,FALSE)</f>
        <v>3217.4108620235775</v>
      </c>
      <c r="K75" s="303">
        <f>VLOOKUP(I75,'JKP-8.4c - Total Costs'!$A$6:$D$52,4,FALSE)</f>
        <v>1470.4671789049644</v>
      </c>
      <c r="L75" s="304">
        <f t="shared" si="7"/>
        <v>4687.8780409285419</v>
      </c>
    </row>
    <row r="76" spans="1:12" x14ac:dyDescent="0.2">
      <c r="A76" s="10">
        <v>72</v>
      </c>
      <c r="B76" s="301" t="s">
        <v>741</v>
      </c>
      <c r="C76" s="302" t="s">
        <v>617</v>
      </c>
      <c r="D76" s="302" t="s">
        <v>743</v>
      </c>
      <c r="E76" s="302">
        <v>283</v>
      </c>
      <c r="F76" s="302">
        <v>1968</v>
      </c>
      <c r="G76" s="302" t="str">
        <f t="shared" si="4"/>
        <v>ST</v>
      </c>
      <c r="H76" s="9" t="str">
        <f t="shared" si="5"/>
        <v>4" ST EXTN</v>
      </c>
      <c r="I76" s="9" t="str">
        <f t="shared" si="6"/>
        <v>4" ST STUB</v>
      </c>
      <c r="J76" s="303">
        <f>VLOOKUP(H76,'JKP-8.4c - Total Costs'!$A$6:$D$52,4,FALSE)</f>
        <v>44399.854205685449</v>
      </c>
      <c r="K76" s="303">
        <f>VLOOKUP(I76,'JKP-8.4c - Total Costs'!$A$6:$D$52,4,FALSE)</f>
        <v>15876.442206399237</v>
      </c>
      <c r="L76" s="304">
        <f t="shared" si="7"/>
        <v>60276.296412084688</v>
      </c>
    </row>
    <row r="77" spans="1:12" x14ac:dyDescent="0.2">
      <c r="A77" s="10">
        <v>73</v>
      </c>
      <c r="B77" s="301" t="s">
        <v>742</v>
      </c>
      <c r="C77" s="302" t="s">
        <v>608</v>
      </c>
      <c r="D77" s="302" t="s">
        <v>556</v>
      </c>
      <c r="E77" s="302">
        <v>449</v>
      </c>
      <c r="F77" s="302">
        <v>1988</v>
      </c>
      <c r="G77" s="302" t="str">
        <f t="shared" si="4"/>
        <v>PE</v>
      </c>
      <c r="H77" s="9" t="str">
        <f t="shared" si="5"/>
        <v>2" PE EXTN</v>
      </c>
      <c r="I77" s="9" t="str">
        <f t="shared" si="6"/>
        <v>2" PE STUB</v>
      </c>
      <c r="J77" s="303">
        <f>VLOOKUP(H77,'JKP-8.4c - Total Costs'!$A$6:$D$52,4,FALSE)</f>
        <v>3217.4108620235775</v>
      </c>
      <c r="K77" s="303">
        <f>VLOOKUP(I77,'JKP-8.4c - Total Costs'!$A$6:$D$52,4,FALSE)</f>
        <v>1470.4671789049644</v>
      </c>
      <c r="L77" s="304">
        <f t="shared" si="7"/>
        <v>4687.8780409285419</v>
      </c>
    </row>
    <row r="78" spans="1:12" x14ac:dyDescent="0.2">
      <c r="A78" s="10">
        <v>74</v>
      </c>
      <c r="B78" s="301" t="s">
        <v>748</v>
      </c>
      <c r="C78" s="302" t="s">
        <v>617</v>
      </c>
      <c r="D78" s="302" t="s">
        <v>743</v>
      </c>
      <c r="E78" s="302">
        <v>70</v>
      </c>
      <c r="F78" s="302">
        <v>1967</v>
      </c>
      <c r="G78" s="302" t="str">
        <f t="shared" si="4"/>
        <v>ST</v>
      </c>
      <c r="H78" s="9" t="str">
        <f t="shared" si="5"/>
        <v>4" ST EXTN</v>
      </c>
      <c r="I78" s="9" t="str">
        <f t="shared" si="6"/>
        <v>4" ST STUB</v>
      </c>
      <c r="J78" s="303">
        <f>VLOOKUP(H78,'JKP-8.4c - Total Costs'!$A$6:$D$52,4,FALSE)</f>
        <v>44399.854205685449</v>
      </c>
      <c r="K78" s="303">
        <f>VLOOKUP(I78,'JKP-8.4c - Total Costs'!$A$6:$D$52,4,FALSE)</f>
        <v>15876.442206399237</v>
      </c>
      <c r="L78" s="304">
        <f t="shared" si="7"/>
        <v>60276.296412084688</v>
      </c>
    </row>
    <row r="79" spans="1:12" x14ac:dyDescent="0.2">
      <c r="A79" s="10">
        <v>75</v>
      </c>
      <c r="B79" s="301" t="s">
        <v>742</v>
      </c>
      <c r="C79" s="302" t="s">
        <v>617</v>
      </c>
      <c r="D79" s="302" t="s">
        <v>743</v>
      </c>
      <c r="E79" s="302">
        <v>32</v>
      </c>
      <c r="F79" s="302">
        <v>1973</v>
      </c>
      <c r="G79" s="302" t="str">
        <f t="shared" si="4"/>
        <v>ST</v>
      </c>
      <c r="H79" s="9" t="str">
        <f t="shared" si="5"/>
        <v>4" ST EXTN</v>
      </c>
      <c r="I79" s="9" t="str">
        <f t="shared" si="6"/>
        <v>4" ST STUB</v>
      </c>
      <c r="J79" s="303">
        <f>VLOOKUP(H79,'JKP-8.4c - Total Costs'!$A$6:$D$52,4,FALSE)</f>
        <v>44399.854205685449</v>
      </c>
      <c r="K79" s="303">
        <f>VLOOKUP(I79,'JKP-8.4c - Total Costs'!$A$6:$D$52,4,FALSE)</f>
        <v>15876.442206399237</v>
      </c>
      <c r="L79" s="304">
        <f t="shared" si="7"/>
        <v>60276.296412084688</v>
      </c>
    </row>
    <row r="80" spans="1:12" x14ac:dyDescent="0.2">
      <c r="A80" s="10">
        <v>76</v>
      </c>
      <c r="B80" s="301" t="s">
        <v>742</v>
      </c>
      <c r="C80" s="302" t="s">
        <v>617</v>
      </c>
      <c r="D80" s="302" t="s">
        <v>556</v>
      </c>
      <c r="E80" s="302">
        <v>208</v>
      </c>
      <c r="F80" s="302">
        <v>1997</v>
      </c>
      <c r="G80" s="302" t="str">
        <f t="shared" si="4"/>
        <v>PE</v>
      </c>
      <c r="H80" s="9" t="str">
        <f t="shared" si="5"/>
        <v>4" PE EXTN</v>
      </c>
      <c r="I80" s="9" t="str">
        <f t="shared" si="6"/>
        <v>4" PE STUB</v>
      </c>
      <c r="J80" s="303">
        <f>VLOOKUP(H80,'JKP-8.4c - Total Costs'!$A$6:$D$52,4,FALSE)</f>
        <v>2614.2892777862512</v>
      </c>
      <c r="K80" s="303">
        <f>VLOOKUP(I80,'JKP-8.4c - Total Costs'!$A$6:$D$52,4,FALSE)</f>
        <v>978.7012499017651</v>
      </c>
      <c r="L80" s="304">
        <f t="shared" si="7"/>
        <v>3592.9905276880163</v>
      </c>
    </row>
    <row r="81" spans="1:12" x14ac:dyDescent="0.2">
      <c r="A81" s="10">
        <v>77</v>
      </c>
      <c r="B81" s="301" t="s">
        <v>742</v>
      </c>
      <c r="C81" s="302" t="s">
        <v>617</v>
      </c>
      <c r="D81" s="302" t="s">
        <v>556</v>
      </c>
      <c r="E81" s="302">
        <v>340</v>
      </c>
      <c r="F81" s="302">
        <v>1994</v>
      </c>
      <c r="G81" s="302" t="str">
        <f t="shared" si="4"/>
        <v>PE</v>
      </c>
      <c r="H81" s="9" t="str">
        <f t="shared" si="5"/>
        <v>4" PE EXTN</v>
      </c>
      <c r="I81" s="9" t="str">
        <f t="shared" si="6"/>
        <v>4" PE STUB</v>
      </c>
      <c r="J81" s="303">
        <f>VLOOKUP(H81,'JKP-8.4c - Total Costs'!$A$6:$D$52,4,FALSE)</f>
        <v>2614.2892777862512</v>
      </c>
      <c r="K81" s="303">
        <f>VLOOKUP(I81,'JKP-8.4c - Total Costs'!$A$6:$D$52,4,FALSE)</f>
        <v>978.7012499017651</v>
      </c>
      <c r="L81" s="304">
        <f t="shared" si="7"/>
        <v>3592.9905276880163</v>
      </c>
    </row>
    <row r="82" spans="1:12" x14ac:dyDescent="0.2">
      <c r="A82" s="10">
        <v>78</v>
      </c>
      <c r="B82" s="301" t="s">
        <v>742</v>
      </c>
      <c r="C82" s="302" t="s">
        <v>617</v>
      </c>
      <c r="D82" s="302" t="s">
        <v>743</v>
      </c>
      <c r="E82" s="302">
        <v>195</v>
      </c>
      <c r="F82" s="302">
        <v>1961</v>
      </c>
      <c r="G82" s="302" t="str">
        <f t="shared" si="4"/>
        <v>ST</v>
      </c>
      <c r="H82" s="9" t="str">
        <f t="shared" si="5"/>
        <v>4" ST EXTN</v>
      </c>
      <c r="I82" s="9" t="str">
        <f t="shared" si="6"/>
        <v>4" ST STUB</v>
      </c>
      <c r="J82" s="303">
        <f>VLOOKUP(H82,'JKP-8.4c - Total Costs'!$A$6:$D$52,4,FALSE)</f>
        <v>44399.854205685449</v>
      </c>
      <c r="K82" s="303">
        <f>VLOOKUP(I82,'JKP-8.4c - Total Costs'!$A$6:$D$52,4,FALSE)</f>
        <v>15876.442206399237</v>
      </c>
      <c r="L82" s="304">
        <f t="shared" si="7"/>
        <v>60276.296412084688</v>
      </c>
    </row>
    <row r="83" spans="1:12" x14ac:dyDescent="0.2">
      <c r="A83" s="10">
        <v>79</v>
      </c>
      <c r="B83" s="301" t="s">
        <v>742</v>
      </c>
      <c r="C83" s="302" t="s">
        <v>617</v>
      </c>
      <c r="D83" s="302" t="s">
        <v>743</v>
      </c>
      <c r="E83" s="302">
        <v>307</v>
      </c>
      <c r="F83" s="302">
        <v>1967</v>
      </c>
      <c r="G83" s="302" t="str">
        <f t="shared" si="4"/>
        <v>ST</v>
      </c>
      <c r="H83" s="9" t="str">
        <f t="shared" si="5"/>
        <v>4" ST EXTN</v>
      </c>
      <c r="I83" s="9" t="str">
        <f t="shared" si="6"/>
        <v>4" ST STUB</v>
      </c>
      <c r="J83" s="303">
        <f>VLOOKUP(H83,'JKP-8.4c - Total Costs'!$A$6:$D$52,4,FALSE)</f>
        <v>44399.854205685449</v>
      </c>
      <c r="K83" s="303">
        <f>VLOOKUP(I83,'JKP-8.4c - Total Costs'!$A$6:$D$52,4,FALSE)</f>
        <v>15876.442206399237</v>
      </c>
      <c r="L83" s="304">
        <f t="shared" si="7"/>
        <v>60276.296412084688</v>
      </c>
    </row>
    <row r="84" spans="1:12" x14ac:dyDescent="0.2">
      <c r="A84" s="10">
        <v>80</v>
      </c>
      <c r="B84" s="301" t="s">
        <v>742</v>
      </c>
      <c r="C84" s="302" t="s">
        <v>608</v>
      </c>
      <c r="D84" s="302" t="s">
        <v>743</v>
      </c>
      <c r="E84" s="302">
        <v>425</v>
      </c>
      <c r="F84" s="302">
        <v>1967</v>
      </c>
      <c r="G84" s="302" t="str">
        <f t="shared" si="4"/>
        <v>ST</v>
      </c>
      <c r="H84" s="9" t="str">
        <f t="shared" si="5"/>
        <v>2" ST EXTN</v>
      </c>
      <c r="I84" s="9" t="str">
        <f t="shared" si="6"/>
        <v>2" ST STUB</v>
      </c>
      <c r="J84" s="303">
        <f>VLOOKUP(H84,'JKP-8.4c - Total Costs'!$A$6:$D$52,4,FALSE)</f>
        <v>2648.6561603011223</v>
      </c>
      <c r="K84" s="303">
        <f>VLOOKUP(I84,'JKP-8.4c - Total Costs'!$A$6:$D$52,4,FALSE)</f>
        <v>963.78049662050148</v>
      </c>
      <c r="L84" s="304">
        <f t="shared" si="7"/>
        <v>3612.4366569216236</v>
      </c>
    </row>
    <row r="85" spans="1:12" x14ac:dyDescent="0.2">
      <c r="A85" s="10">
        <v>81</v>
      </c>
      <c r="B85" s="301" t="s">
        <v>742</v>
      </c>
      <c r="C85" s="302" t="s">
        <v>617</v>
      </c>
      <c r="D85" s="302" t="s">
        <v>556</v>
      </c>
      <c r="E85" s="302">
        <v>131</v>
      </c>
      <c r="F85" s="302">
        <v>1998</v>
      </c>
      <c r="G85" s="302" t="str">
        <f t="shared" si="4"/>
        <v>PE</v>
      </c>
      <c r="H85" s="9" t="str">
        <f t="shared" si="5"/>
        <v>4" PE EXTN</v>
      </c>
      <c r="I85" s="9" t="str">
        <f t="shared" si="6"/>
        <v>4" PE STUB</v>
      </c>
      <c r="J85" s="303">
        <f>VLOOKUP(H85,'JKP-8.4c - Total Costs'!$A$6:$D$52,4,FALSE)</f>
        <v>2614.2892777862512</v>
      </c>
      <c r="K85" s="303">
        <f>VLOOKUP(I85,'JKP-8.4c - Total Costs'!$A$6:$D$52,4,FALSE)</f>
        <v>978.7012499017651</v>
      </c>
      <c r="L85" s="304">
        <f t="shared" si="7"/>
        <v>3592.9905276880163</v>
      </c>
    </row>
    <row r="86" spans="1:12" x14ac:dyDescent="0.2">
      <c r="A86" s="10">
        <v>82</v>
      </c>
      <c r="B86" s="301" t="s">
        <v>749</v>
      </c>
      <c r="C86" s="302" t="s">
        <v>671</v>
      </c>
      <c r="D86" s="302" t="s">
        <v>743</v>
      </c>
      <c r="E86" s="302">
        <v>246</v>
      </c>
      <c r="F86" s="302">
        <v>1962</v>
      </c>
      <c r="G86" s="302" t="str">
        <f t="shared" si="4"/>
        <v>ST</v>
      </c>
      <c r="H86" s="9" t="str">
        <f t="shared" si="5"/>
        <v>8" ST EXTN</v>
      </c>
      <c r="I86" s="9" t="str">
        <f t="shared" si="6"/>
        <v>8" ST STUB</v>
      </c>
      <c r="J86" s="303">
        <f>VLOOKUP(H86,'JKP-8.4c - Total Costs'!$A$6:$D$52,4,FALSE)</f>
        <v>16194.853866887672</v>
      </c>
      <c r="K86" s="303">
        <f>VLOOKUP(I86,'JKP-8.4c - Total Costs'!$A$6:$D$52,4,FALSE)</f>
        <v>6375.0484099590922</v>
      </c>
      <c r="L86" s="304">
        <f t="shared" si="7"/>
        <v>22569.902276846762</v>
      </c>
    </row>
    <row r="87" spans="1:12" x14ac:dyDescent="0.2">
      <c r="A87" s="10">
        <v>83</v>
      </c>
      <c r="B87" s="301" t="s">
        <v>749</v>
      </c>
      <c r="C87" s="302" t="s">
        <v>617</v>
      </c>
      <c r="D87" s="302" t="s">
        <v>746</v>
      </c>
      <c r="E87" s="302">
        <v>15</v>
      </c>
      <c r="F87" s="302">
        <v>1995</v>
      </c>
      <c r="G87" s="302" t="str">
        <f t="shared" si="4"/>
        <v>ST</v>
      </c>
      <c r="H87" s="9" t="str">
        <f t="shared" si="5"/>
        <v>4" ST EXTN</v>
      </c>
      <c r="I87" s="9" t="str">
        <f t="shared" si="6"/>
        <v>4" ST STUB</v>
      </c>
      <c r="J87" s="303">
        <f>VLOOKUP(H87,'JKP-8.4c - Total Costs'!$A$6:$D$52,4,FALSE)</f>
        <v>44399.854205685449</v>
      </c>
      <c r="K87" s="303">
        <f>VLOOKUP(I87,'JKP-8.4c - Total Costs'!$A$6:$D$52,4,FALSE)</f>
        <v>15876.442206399237</v>
      </c>
      <c r="L87" s="304">
        <f t="shared" si="7"/>
        <v>60276.296412084688</v>
      </c>
    </row>
    <row r="88" spans="1:12" x14ac:dyDescent="0.2">
      <c r="A88" s="10">
        <v>84</v>
      </c>
      <c r="B88" s="301" t="s">
        <v>742</v>
      </c>
      <c r="C88" s="302" t="s">
        <v>599</v>
      </c>
      <c r="D88" s="302" t="s">
        <v>556</v>
      </c>
      <c r="E88" s="302">
        <v>188</v>
      </c>
      <c r="F88" s="302">
        <v>1985</v>
      </c>
      <c r="G88" s="302" t="str">
        <f t="shared" si="4"/>
        <v>PE</v>
      </c>
      <c r="H88" s="9" t="str">
        <f t="shared" si="5"/>
        <v>1.25" PE EXTN</v>
      </c>
      <c r="I88" s="9" t="str">
        <f t="shared" si="6"/>
        <v>1.25" PE STUB</v>
      </c>
      <c r="J88" s="303">
        <f>VLOOKUP(H88,'JKP-8.4c - Total Costs'!$A$6:$D$52,4,FALSE)</f>
        <v>2869.6293607026869</v>
      </c>
      <c r="K88" s="303">
        <f>VLOOKUP(I88,'JKP-8.4c - Total Costs'!$A$6:$D$52,4,FALSE)</f>
        <v>1526.7195609992903</v>
      </c>
      <c r="L88" s="304">
        <f t="shared" si="7"/>
        <v>4396.3489217019769</v>
      </c>
    </row>
    <row r="89" spans="1:12" x14ac:dyDescent="0.2">
      <c r="A89" s="10">
        <v>85</v>
      </c>
      <c r="B89" s="301" t="s">
        <v>744</v>
      </c>
      <c r="C89" s="302" t="s">
        <v>608</v>
      </c>
      <c r="D89" s="302" t="s">
        <v>743</v>
      </c>
      <c r="E89" s="302">
        <v>61</v>
      </c>
      <c r="F89" s="302">
        <v>1976</v>
      </c>
      <c r="G89" s="302" t="str">
        <f t="shared" si="4"/>
        <v>ST</v>
      </c>
      <c r="H89" s="9" t="str">
        <f t="shared" si="5"/>
        <v>2" ST EXTN</v>
      </c>
      <c r="I89" s="9" t="str">
        <f t="shared" si="6"/>
        <v>2" ST STUB</v>
      </c>
      <c r="J89" s="303">
        <f>VLOOKUP(H89,'JKP-8.4c - Total Costs'!$A$6:$D$52,4,FALSE)</f>
        <v>2648.6561603011223</v>
      </c>
      <c r="K89" s="303">
        <f>VLOOKUP(I89,'JKP-8.4c - Total Costs'!$A$6:$D$52,4,FALSE)</f>
        <v>963.78049662050148</v>
      </c>
      <c r="L89" s="304">
        <f t="shared" si="7"/>
        <v>3612.4366569216236</v>
      </c>
    </row>
    <row r="90" spans="1:12" x14ac:dyDescent="0.2">
      <c r="A90" s="10">
        <v>86</v>
      </c>
      <c r="B90" s="301" t="s">
        <v>744</v>
      </c>
      <c r="C90" s="302" t="s">
        <v>617</v>
      </c>
      <c r="D90" s="302" t="s">
        <v>556</v>
      </c>
      <c r="E90" s="302">
        <v>83</v>
      </c>
      <c r="F90" s="302">
        <v>2010</v>
      </c>
      <c r="G90" s="302" t="str">
        <f t="shared" si="4"/>
        <v>PE</v>
      </c>
      <c r="H90" s="9" t="str">
        <f t="shared" si="5"/>
        <v>4" PE EXTN</v>
      </c>
      <c r="I90" s="9" t="str">
        <f t="shared" si="6"/>
        <v>4" PE STUB</v>
      </c>
      <c r="J90" s="303">
        <f>VLOOKUP(H90,'JKP-8.4c - Total Costs'!$A$6:$D$52,4,FALSE)</f>
        <v>2614.2892777862512</v>
      </c>
      <c r="K90" s="303">
        <f>VLOOKUP(I90,'JKP-8.4c - Total Costs'!$A$6:$D$52,4,FALSE)</f>
        <v>978.7012499017651</v>
      </c>
      <c r="L90" s="304">
        <f t="shared" si="7"/>
        <v>3592.9905276880163</v>
      </c>
    </row>
    <row r="91" spans="1:12" x14ac:dyDescent="0.2">
      <c r="A91" s="10">
        <v>87</v>
      </c>
      <c r="B91" s="301" t="s">
        <v>744</v>
      </c>
      <c r="C91" s="302" t="s">
        <v>608</v>
      </c>
      <c r="D91" s="302" t="s">
        <v>556</v>
      </c>
      <c r="E91" s="302">
        <v>5</v>
      </c>
      <c r="F91" s="302">
        <v>2009</v>
      </c>
      <c r="G91" s="302" t="str">
        <f t="shared" si="4"/>
        <v>PE</v>
      </c>
      <c r="H91" s="9" t="str">
        <f t="shared" si="5"/>
        <v>2" PE EXTN</v>
      </c>
      <c r="I91" s="9" t="str">
        <f t="shared" si="6"/>
        <v>2" PE STUB</v>
      </c>
      <c r="J91" s="303">
        <f>VLOOKUP(H91,'JKP-8.4c - Total Costs'!$A$6:$D$52,4,FALSE)</f>
        <v>3217.4108620235775</v>
      </c>
      <c r="K91" s="303">
        <f>VLOOKUP(I91,'JKP-8.4c - Total Costs'!$A$6:$D$52,4,FALSE)</f>
        <v>1470.4671789049644</v>
      </c>
      <c r="L91" s="304">
        <f t="shared" si="7"/>
        <v>4687.8780409285419</v>
      </c>
    </row>
    <row r="92" spans="1:12" x14ac:dyDescent="0.2">
      <c r="A92" s="10">
        <v>88</v>
      </c>
      <c r="B92" s="301" t="s">
        <v>744</v>
      </c>
      <c r="C92" s="302" t="s">
        <v>617</v>
      </c>
      <c r="D92" s="302" t="s">
        <v>556</v>
      </c>
      <c r="E92" s="302">
        <v>700</v>
      </c>
      <c r="F92" s="302">
        <v>1996</v>
      </c>
      <c r="G92" s="302" t="str">
        <f t="shared" si="4"/>
        <v>PE</v>
      </c>
      <c r="H92" s="9" t="str">
        <f t="shared" si="5"/>
        <v>4" PE EXTN</v>
      </c>
      <c r="I92" s="9" t="str">
        <f t="shared" si="6"/>
        <v>4" PE STUB</v>
      </c>
      <c r="J92" s="303">
        <f>VLOOKUP(H92,'JKP-8.4c - Total Costs'!$A$6:$D$52,4,FALSE)</f>
        <v>2614.2892777862512</v>
      </c>
      <c r="K92" s="303">
        <f>VLOOKUP(I92,'JKP-8.4c - Total Costs'!$A$6:$D$52,4,FALSE)</f>
        <v>978.7012499017651</v>
      </c>
      <c r="L92" s="304">
        <f t="shared" si="7"/>
        <v>3592.9905276880163</v>
      </c>
    </row>
    <row r="93" spans="1:12" x14ac:dyDescent="0.2">
      <c r="A93" s="10">
        <v>89</v>
      </c>
      <c r="B93" s="301" t="s">
        <v>744</v>
      </c>
      <c r="C93" s="302" t="s">
        <v>590</v>
      </c>
      <c r="D93" s="302" t="s">
        <v>556</v>
      </c>
      <c r="E93" s="302">
        <v>286</v>
      </c>
      <c r="F93" s="302">
        <v>1986</v>
      </c>
      <c r="G93" s="302" t="str">
        <f t="shared" si="4"/>
        <v>PE</v>
      </c>
      <c r="H93" s="9" t="str">
        <f t="shared" si="5"/>
        <v>1.125" PE EXTN</v>
      </c>
      <c r="I93" s="9" t="str">
        <f t="shared" si="6"/>
        <v>1.125" PE STUB</v>
      </c>
      <c r="J93" s="303">
        <f>VLOOKUP(H93,'JKP-8.4c - Total Costs'!$A$6:$D$52,4,FALSE)</f>
        <v>1705.3083787814819</v>
      </c>
      <c r="K93" s="303">
        <f>VLOOKUP(I93,'JKP-8.4c - Total Costs'!$A$6:$D$52,4,FALSE)</f>
        <v>842.22101353125595</v>
      </c>
      <c r="L93" s="304">
        <f t="shared" si="7"/>
        <v>2547.5293923127379</v>
      </c>
    </row>
    <row r="94" spans="1:12" x14ac:dyDescent="0.2">
      <c r="A94" s="10">
        <v>90</v>
      </c>
      <c r="B94" s="301" t="s">
        <v>742</v>
      </c>
      <c r="C94" s="302" t="s">
        <v>617</v>
      </c>
      <c r="D94" s="302" t="s">
        <v>556</v>
      </c>
      <c r="E94" s="302">
        <v>257</v>
      </c>
      <c r="F94" s="302">
        <v>1987</v>
      </c>
      <c r="G94" s="302" t="str">
        <f t="shared" si="4"/>
        <v>PE</v>
      </c>
      <c r="H94" s="9" t="str">
        <f t="shared" si="5"/>
        <v>4" PE EXTN</v>
      </c>
      <c r="I94" s="9" t="str">
        <f t="shared" si="6"/>
        <v>4" PE STUB</v>
      </c>
      <c r="J94" s="303">
        <f>VLOOKUP(H94,'JKP-8.4c - Total Costs'!$A$6:$D$52,4,FALSE)</f>
        <v>2614.2892777862512</v>
      </c>
      <c r="K94" s="303">
        <f>VLOOKUP(I94,'JKP-8.4c - Total Costs'!$A$6:$D$52,4,FALSE)</f>
        <v>978.7012499017651</v>
      </c>
      <c r="L94" s="304">
        <f t="shared" si="7"/>
        <v>3592.9905276880163</v>
      </c>
    </row>
    <row r="95" spans="1:12" x14ac:dyDescent="0.2">
      <c r="A95" s="10">
        <v>91</v>
      </c>
      <c r="B95" s="301" t="s">
        <v>742</v>
      </c>
      <c r="C95" s="302" t="s">
        <v>624</v>
      </c>
      <c r="D95" s="302" t="s">
        <v>743</v>
      </c>
      <c r="E95" s="302">
        <v>103</v>
      </c>
      <c r="F95" s="302">
        <v>1966</v>
      </c>
      <c r="G95" s="302" t="str">
        <f t="shared" si="4"/>
        <v>ST</v>
      </c>
      <c r="H95" s="9" t="str">
        <f t="shared" si="5"/>
        <v>6" ST EXTN</v>
      </c>
      <c r="I95" s="9" t="str">
        <f t="shared" si="6"/>
        <v>6" ST STUB</v>
      </c>
      <c r="J95" s="303">
        <f>VLOOKUP(H95,'JKP-8.4c - Total Costs'!$A$6:$D$52,4,FALSE)</f>
        <v>32508.513679483611</v>
      </c>
      <c r="K95" s="303">
        <f>VLOOKUP(I95,'JKP-8.4c - Total Costs'!$A$6:$D$52,4,FALSE)</f>
        <v>10052.239930846741</v>
      </c>
      <c r="L95" s="304">
        <f t="shared" si="7"/>
        <v>42560.75361033035</v>
      </c>
    </row>
    <row r="96" spans="1:12" x14ac:dyDescent="0.2">
      <c r="A96" s="10">
        <v>92</v>
      </c>
      <c r="B96" s="301" t="s">
        <v>742</v>
      </c>
      <c r="C96" s="305" t="s">
        <v>617</v>
      </c>
      <c r="D96" s="302" t="s">
        <v>743</v>
      </c>
      <c r="E96" s="302">
        <v>307</v>
      </c>
      <c r="F96" s="302">
        <v>1997</v>
      </c>
      <c r="G96" s="302" t="str">
        <f t="shared" si="4"/>
        <v>ST</v>
      </c>
      <c r="H96" s="9" t="str">
        <f t="shared" si="5"/>
        <v>4" ST EXTN</v>
      </c>
      <c r="I96" s="9" t="str">
        <f t="shared" si="6"/>
        <v>4" ST STUB</v>
      </c>
      <c r="J96" s="303">
        <f>VLOOKUP(H96,'JKP-8.4c - Total Costs'!$A$6:$D$52,4,FALSE)</f>
        <v>44399.854205685449</v>
      </c>
      <c r="K96" s="303">
        <f>VLOOKUP(I96,'JKP-8.4c - Total Costs'!$A$6:$D$52,4,FALSE)</f>
        <v>15876.442206399237</v>
      </c>
      <c r="L96" s="304">
        <f t="shared" si="7"/>
        <v>60276.296412084688</v>
      </c>
    </row>
    <row r="97" spans="1:12" x14ac:dyDescent="0.2">
      <c r="A97" s="10">
        <v>93</v>
      </c>
      <c r="B97" s="301" t="s">
        <v>742</v>
      </c>
      <c r="C97" s="302" t="s">
        <v>646</v>
      </c>
      <c r="D97" s="302" t="s">
        <v>743</v>
      </c>
      <c r="E97" s="302">
        <v>111</v>
      </c>
      <c r="F97" s="302">
        <v>2008</v>
      </c>
      <c r="G97" s="302" t="str">
        <f t="shared" si="4"/>
        <v>ST</v>
      </c>
      <c r="H97" s="9" t="str">
        <f t="shared" si="5"/>
        <v>1" ST EXTN</v>
      </c>
      <c r="I97" s="9" t="str">
        <f t="shared" si="6"/>
        <v>1" ST STUB</v>
      </c>
      <c r="J97" s="303">
        <f>VLOOKUP(H97,'JKP-8.4c - Total Costs'!$A$6:$D$52,4,FALSE)</f>
        <v>1114.0885660378403</v>
      </c>
      <c r="K97" s="303">
        <f>VLOOKUP(I97,'JKP-8.4c - Total Costs'!$A$6:$D$52,4,FALSE)</f>
        <v>411.90823882103086</v>
      </c>
      <c r="L97" s="304">
        <f t="shared" si="7"/>
        <v>1525.9968048588712</v>
      </c>
    </row>
    <row r="98" spans="1:12" x14ac:dyDescent="0.2">
      <c r="A98" s="10">
        <v>94</v>
      </c>
      <c r="B98" s="301" t="s">
        <v>742</v>
      </c>
      <c r="C98" s="302" t="s">
        <v>624</v>
      </c>
      <c r="D98" s="302" t="s">
        <v>556</v>
      </c>
      <c r="E98" s="302">
        <v>391</v>
      </c>
      <c r="F98" s="302">
        <v>2008</v>
      </c>
      <c r="G98" s="302" t="str">
        <f t="shared" si="4"/>
        <v>PE</v>
      </c>
      <c r="H98" s="9" t="str">
        <f t="shared" si="5"/>
        <v>6" PE EXTN</v>
      </c>
      <c r="I98" s="9" t="str">
        <f t="shared" si="6"/>
        <v>6" PE STUB</v>
      </c>
      <c r="J98" s="303">
        <f>VLOOKUP(H98,'JKP-8.4c - Total Costs'!$A$6:$D$52,4,FALSE)</f>
        <v>27472.348504951377</v>
      </c>
      <c r="K98" s="303">
        <f>VLOOKUP(I98,'JKP-8.4c - Total Costs'!$A$6:$D$52,4,FALSE)</f>
        <v>15176.640974122591</v>
      </c>
      <c r="L98" s="304">
        <f t="shared" si="7"/>
        <v>42648.989479073964</v>
      </c>
    </row>
    <row r="99" spans="1:12" x14ac:dyDescent="0.2">
      <c r="A99" s="10">
        <v>95</v>
      </c>
      <c r="B99" s="301" t="s">
        <v>742</v>
      </c>
      <c r="C99" s="302" t="s">
        <v>617</v>
      </c>
      <c r="D99" s="302" t="s">
        <v>743</v>
      </c>
      <c r="E99" s="302">
        <v>170</v>
      </c>
      <c r="F99" s="302">
        <v>1961</v>
      </c>
      <c r="G99" s="302" t="str">
        <f t="shared" si="4"/>
        <v>ST</v>
      </c>
      <c r="H99" s="9" t="str">
        <f t="shared" si="5"/>
        <v>4" ST EXTN</v>
      </c>
      <c r="I99" s="9" t="str">
        <f t="shared" si="6"/>
        <v>4" ST STUB</v>
      </c>
      <c r="J99" s="303">
        <f>VLOOKUP(H99,'JKP-8.4c - Total Costs'!$A$6:$D$52,4,FALSE)</f>
        <v>44399.854205685449</v>
      </c>
      <c r="K99" s="303">
        <f>VLOOKUP(I99,'JKP-8.4c - Total Costs'!$A$6:$D$52,4,FALSE)</f>
        <v>15876.442206399237</v>
      </c>
      <c r="L99" s="304">
        <f t="shared" si="7"/>
        <v>60276.296412084688</v>
      </c>
    </row>
    <row r="100" spans="1:12" x14ac:dyDescent="0.2">
      <c r="A100" s="10">
        <v>96</v>
      </c>
      <c r="B100" s="301" t="s">
        <v>742</v>
      </c>
      <c r="C100" s="302" t="s">
        <v>617</v>
      </c>
      <c r="D100" s="302" t="s">
        <v>556</v>
      </c>
      <c r="E100" s="302">
        <v>391</v>
      </c>
      <c r="F100" s="302">
        <v>1985</v>
      </c>
      <c r="G100" s="302" t="str">
        <f t="shared" si="4"/>
        <v>PE</v>
      </c>
      <c r="H100" s="9" t="str">
        <f t="shared" si="5"/>
        <v>4" PE EXTN</v>
      </c>
      <c r="I100" s="9" t="str">
        <f t="shared" si="6"/>
        <v>4" PE STUB</v>
      </c>
      <c r="J100" s="303">
        <f>VLOOKUP(H100,'JKP-8.4c - Total Costs'!$A$6:$D$52,4,FALSE)</f>
        <v>2614.2892777862512</v>
      </c>
      <c r="K100" s="303">
        <f>VLOOKUP(I100,'JKP-8.4c - Total Costs'!$A$6:$D$52,4,FALSE)</f>
        <v>978.7012499017651</v>
      </c>
      <c r="L100" s="304">
        <f t="shared" si="7"/>
        <v>3592.9905276880163</v>
      </c>
    </row>
    <row r="101" spans="1:12" x14ac:dyDescent="0.2">
      <c r="A101" s="10">
        <v>97</v>
      </c>
      <c r="B101" s="301" t="s">
        <v>742</v>
      </c>
      <c r="C101" s="302" t="s">
        <v>624</v>
      </c>
      <c r="D101" s="302" t="s">
        <v>556</v>
      </c>
      <c r="E101" s="302">
        <v>132</v>
      </c>
      <c r="F101" s="302">
        <v>1997</v>
      </c>
      <c r="G101" s="302" t="str">
        <f t="shared" si="4"/>
        <v>PE</v>
      </c>
      <c r="H101" s="9" t="str">
        <f t="shared" si="5"/>
        <v>6" PE EXTN</v>
      </c>
      <c r="I101" s="9" t="str">
        <f t="shared" si="6"/>
        <v>6" PE STUB</v>
      </c>
      <c r="J101" s="303">
        <f>VLOOKUP(H101,'JKP-8.4c - Total Costs'!$A$6:$D$52,4,FALSE)</f>
        <v>27472.348504951377</v>
      </c>
      <c r="K101" s="303">
        <f>VLOOKUP(I101,'JKP-8.4c - Total Costs'!$A$6:$D$52,4,FALSE)</f>
        <v>15176.640974122591</v>
      </c>
      <c r="L101" s="304">
        <f t="shared" si="7"/>
        <v>42648.989479073964</v>
      </c>
    </row>
    <row r="102" spans="1:12" x14ac:dyDescent="0.2">
      <c r="A102" s="10">
        <v>98</v>
      </c>
      <c r="B102" s="301" t="s">
        <v>742</v>
      </c>
      <c r="C102" s="302" t="s">
        <v>671</v>
      </c>
      <c r="D102" s="302" t="s">
        <v>556</v>
      </c>
      <c r="E102" s="302">
        <v>578</v>
      </c>
      <c r="F102" s="302">
        <v>2009</v>
      </c>
      <c r="G102" s="302" t="str">
        <f t="shared" si="4"/>
        <v>PE</v>
      </c>
      <c r="H102" s="306" t="s">
        <v>722</v>
      </c>
      <c r="I102" s="306" t="s">
        <v>723</v>
      </c>
      <c r="J102" s="303">
        <f>VLOOKUP(H102,'JKP-8.4c - Total Costs'!$A$6:$D$52,4,FALSE)</f>
        <v>27472.348504951377</v>
      </c>
      <c r="K102" s="303">
        <f>VLOOKUP(I102,'JKP-8.4c - Total Costs'!$A$6:$D$52,4,FALSE)</f>
        <v>15176.640974122591</v>
      </c>
      <c r="L102" s="304">
        <f t="shared" si="7"/>
        <v>42648.989479073964</v>
      </c>
    </row>
    <row r="103" spans="1:12" x14ac:dyDescent="0.2">
      <c r="A103" s="10">
        <v>99</v>
      </c>
      <c r="B103" s="301" t="s">
        <v>742</v>
      </c>
      <c r="C103" s="302" t="s">
        <v>608</v>
      </c>
      <c r="D103" s="302" t="s">
        <v>743</v>
      </c>
      <c r="E103" s="302">
        <v>239</v>
      </c>
      <c r="F103" s="302">
        <v>1966</v>
      </c>
      <c r="G103" s="302" t="str">
        <f t="shared" si="4"/>
        <v>ST</v>
      </c>
      <c r="H103" s="9" t="str">
        <f t="shared" si="5"/>
        <v>2" ST EXTN</v>
      </c>
      <c r="I103" s="9" t="str">
        <f t="shared" si="6"/>
        <v>2" ST STUB</v>
      </c>
      <c r="J103" s="303">
        <f>VLOOKUP(H103,'JKP-8.4c - Total Costs'!$A$6:$D$52,4,FALSE)</f>
        <v>2648.6561603011223</v>
      </c>
      <c r="K103" s="303">
        <f>VLOOKUP(I103,'JKP-8.4c - Total Costs'!$A$6:$D$52,4,FALSE)</f>
        <v>963.78049662050148</v>
      </c>
      <c r="L103" s="304">
        <f t="shared" si="7"/>
        <v>3612.4366569216236</v>
      </c>
    </row>
    <row r="104" spans="1:12" x14ac:dyDescent="0.2">
      <c r="A104" s="10">
        <v>100</v>
      </c>
      <c r="B104" s="301" t="s">
        <v>742</v>
      </c>
      <c r="C104" s="302" t="s">
        <v>608</v>
      </c>
      <c r="D104" s="302" t="s">
        <v>743</v>
      </c>
      <c r="E104" s="302">
        <v>8</v>
      </c>
      <c r="F104" s="302">
        <v>1956</v>
      </c>
      <c r="G104" s="302" t="str">
        <f t="shared" si="4"/>
        <v>ST</v>
      </c>
      <c r="H104" s="9" t="str">
        <f t="shared" si="5"/>
        <v>2" ST EXTN</v>
      </c>
      <c r="I104" s="9" t="str">
        <f t="shared" si="6"/>
        <v>2" ST STUB</v>
      </c>
      <c r="J104" s="303">
        <f>VLOOKUP(H104,'JKP-8.4c - Total Costs'!$A$6:$D$52,4,FALSE)</f>
        <v>2648.6561603011223</v>
      </c>
      <c r="K104" s="303">
        <f>VLOOKUP(I104,'JKP-8.4c - Total Costs'!$A$6:$D$52,4,FALSE)</f>
        <v>963.78049662050148</v>
      </c>
      <c r="L104" s="304">
        <f t="shared" si="7"/>
        <v>3612.4366569216236</v>
      </c>
    </row>
    <row r="105" spans="1:12" x14ac:dyDescent="0.2">
      <c r="A105" s="10">
        <v>101</v>
      </c>
      <c r="B105" s="301" t="s">
        <v>748</v>
      </c>
      <c r="C105" s="302" t="s">
        <v>624</v>
      </c>
      <c r="D105" s="302" t="s">
        <v>556</v>
      </c>
      <c r="E105" s="302">
        <v>260</v>
      </c>
      <c r="F105" s="302">
        <v>1997</v>
      </c>
      <c r="G105" s="302" t="str">
        <f t="shared" si="4"/>
        <v>PE</v>
      </c>
      <c r="H105" s="9" t="str">
        <f t="shared" si="5"/>
        <v>6" PE EXTN</v>
      </c>
      <c r="I105" s="9" t="str">
        <f t="shared" si="6"/>
        <v>6" PE STUB</v>
      </c>
      <c r="J105" s="303">
        <f>VLOOKUP(H105,'JKP-8.4c - Total Costs'!$A$6:$D$52,4,FALSE)</f>
        <v>27472.348504951377</v>
      </c>
      <c r="K105" s="303">
        <f>VLOOKUP(I105,'JKP-8.4c - Total Costs'!$A$6:$D$52,4,FALSE)</f>
        <v>15176.640974122591</v>
      </c>
      <c r="L105" s="304">
        <f t="shared" si="7"/>
        <v>42648.989479073964</v>
      </c>
    </row>
    <row r="106" spans="1:12" x14ac:dyDescent="0.2">
      <c r="A106" s="10">
        <v>102</v>
      </c>
      <c r="B106" s="301" t="s">
        <v>742</v>
      </c>
      <c r="C106" s="302" t="s">
        <v>617</v>
      </c>
      <c r="D106" s="302" t="s">
        <v>556</v>
      </c>
      <c r="E106" s="302">
        <v>1437</v>
      </c>
      <c r="F106" s="302">
        <v>1975</v>
      </c>
      <c r="G106" s="302" t="str">
        <f t="shared" si="4"/>
        <v>PE</v>
      </c>
      <c r="H106" s="9" t="str">
        <f t="shared" si="5"/>
        <v>4" PE EXTN</v>
      </c>
      <c r="I106" s="9" t="str">
        <f t="shared" si="6"/>
        <v>4" PE STUB</v>
      </c>
      <c r="J106" s="303">
        <f>VLOOKUP(H106,'JKP-8.4c - Total Costs'!$A$6:$D$52,4,FALSE)</f>
        <v>2614.2892777862512</v>
      </c>
      <c r="K106" s="303">
        <f>VLOOKUP(I106,'JKP-8.4c - Total Costs'!$A$6:$D$52,4,FALSE)</f>
        <v>978.7012499017651</v>
      </c>
      <c r="L106" s="304">
        <f t="shared" si="7"/>
        <v>3592.9905276880163</v>
      </c>
    </row>
    <row r="107" spans="1:12" x14ac:dyDescent="0.2">
      <c r="A107" s="10">
        <v>103</v>
      </c>
      <c r="B107" s="301" t="s">
        <v>742</v>
      </c>
      <c r="C107" s="302" t="s">
        <v>608</v>
      </c>
      <c r="D107" s="302" t="s">
        <v>743</v>
      </c>
      <c r="E107" s="302">
        <v>175</v>
      </c>
      <c r="F107" s="302">
        <v>1988</v>
      </c>
      <c r="G107" s="302" t="str">
        <f t="shared" si="4"/>
        <v>ST</v>
      </c>
      <c r="H107" s="9" t="str">
        <f t="shared" si="5"/>
        <v>2" ST EXTN</v>
      </c>
      <c r="I107" s="9" t="str">
        <f t="shared" si="6"/>
        <v>2" ST STUB</v>
      </c>
      <c r="J107" s="303">
        <f>VLOOKUP(H107,'JKP-8.4c - Total Costs'!$A$6:$D$52,4,FALSE)</f>
        <v>2648.6561603011223</v>
      </c>
      <c r="K107" s="303">
        <f>VLOOKUP(I107,'JKP-8.4c - Total Costs'!$A$6:$D$52,4,FALSE)</f>
        <v>963.78049662050148</v>
      </c>
      <c r="L107" s="304">
        <f t="shared" si="7"/>
        <v>3612.4366569216236</v>
      </c>
    </row>
    <row r="108" spans="1:12" x14ac:dyDescent="0.2">
      <c r="A108" s="10">
        <v>104</v>
      </c>
      <c r="B108" s="301" t="s">
        <v>751</v>
      </c>
      <c r="C108" s="302" t="s">
        <v>617</v>
      </c>
      <c r="D108" s="302" t="s">
        <v>746</v>
      </c>
      <c r="E108" s="302" t="s">
        <v>747</v>
      </c>
      <c r="F108" s="302">
        <v>1972</v>
      </c>
      <c r="G108" s="302" t="str">
        <f t="shared" si="4"/>
        <v>ST</v>
      </c>
      <c r="H108" s="9" t="str">
        <f t="shared" si="5"/>
        <v>4" ST EXTN</v>
      </c>
      <c r="I108" s="9" t="str">
        <f t="shared" si="6"/>
        <v>4" ST STUB</v>
      </c>
      <c r="J108" s="303">
        <f>VLOOKUP(H108,'JKP-8.4c - Total Costs'!$A$6:$D$52,4,FALSE)</f>
        <v>44399.854205685449</v>
      </c>
      <c r="K108" s="303">
        <f>VLOOKUP(I108,'JKP-8.4c - Total Costs'!$A$6:$D$52,4,FALSE)</f>
        <v>15876.442206399237</v>
      </c>
      <c r="L108" s="304">
        <f t="shared" si="7"/>
        <v>60276.296412084688</v>
      </c>
    </row>
    <row r="109" spans="1:12" x14ac:dyDescent="0.2">
      <c r="A109" s="10">
        <v>105</v>
      </c>
      <c r="B109" s="301" t="s">
        <v>741</v>
      </c>
      <c r="C109" s="302" t="s">
        <v>608</v>
      </c>
      <c r="D109" s="302" t="s">
        <v>743</v>
      </c>
      <c r="E109" s="302">
        <v>182</v>
      </c>
      <c r="F109" s="302">
        <v>1975</v>
      </c>
      <c r="G109" s="302" t="str">
        <f t="shared" si="4"/>
        <v>ST</v>
      </c>
      <c r="H109" s="9" t="str">
        <f t="shared" si="5"/>
        <v>2" ST EXTN</v>
      </c>
      <c r="I109" s="9" t="str">
        <f t="shared" si="6"/>
        <v>2" ST STUB</v>
      </c>
      <c r="J109" s="303">
        <f>VLOOKUP(H109,'JKP-8.4c - Total Costs'!$A$6:$D$52,4,FALSE)</f>
        <v>2648.6561603011223</v>
      </c>
      <c r="K109" s="303">
        <f>VLOOKUP(I109,'JKP-8.4c - Total Costs'!$A$6:$D$52,4,FALSE)</f>
        <v>963.78049662050148</v>
      </c>
      <c r="L109" s="304">
        <f t="shared" si="7"/>
        <v>3612.4366569216236</v>
      </c>
    </row>
    <row r="110" spans="1:12" x14ac:dyDescent="0.2">
      <c r="A110" s="10">
        <v>106</v>
      </c>
      <c r="B110" s="301" t="s">
        <v>741</v>
      </c>
      <c r="C110" s="302" t="s">
        <v>578</v>
      </c>
      <c r="D110" s="302" t="s">
        <v>753</v>
      </c>
      <c r="E110" s="302">
        <v>52</v>
      </c>
      <c r="F110" s="302">
        <v>2003</v>
      </c>
      <c r="G110" s="302" t="str">
        <f t="shared" si="4"/>
        <v>PE</v>
      </c>
      <c r="H110" s="9" t="str">
        <f t="shared" si="5"/>
        <v>.625" PE EXTN</v>
      </c>
      <c r="I110" s="9" t="str">
        <f t="shared" si="6"/>
        <v>.625" PE STUB</v>
      </c>
      <c r="J110" s="303">
        <f>VLOOKUP(H110,'JKP-8.4c - Total Costs'!$A$6:$D$52,4,FALSE)</f>
        <v>914.11623574584928</v>
      </c>
      <c r="K110" s="303">
        <f>VLOOKUP(I110,'JKP-8.4c - Total Costs'!$A$6:$D$52,4,FALSE)</f>
        <v>449.05635196446576</v>
      </c>
      <c r="L110" s="304">
        <f t="shared" si="7"/>
        <v>1363.1725877103149</v>
      </c>
    </row>
    <row r="111" spans="1:12" x14ac:dyDescent="0.2">
      <c r="A111" s="10">
        <v>107</v>
      </c>
      <c r="B111" s="301" t="s">
        <v>741</v>
      </c>
      <c r="C111" s="302" t="s">
        <v>617</v>
      </c>
      <c r="D111" s="302" t="s">
        <v>743</v>
      </c>
      <c r="E111" s="302">
        <v>73</v>
      </c>
      <c r="F111" s="302">
        <v>2008</v>
      </c>
      <c r="G111" s="302" t="str">
        <f t="shared" si="4"/>
        <v>ST</v>
      </c>
      <c r="H111" s="9" t="str">
        <f t="shared" si="5"/>
        <v>4" ST EXTN</v>
      </c>
      <c r="I111" s="9" t="str">
        <f t="shared" si="6"/>
        <v>4" ST STUB</v>
      </c>
      <c r="J111" s="303">
        <f>VLOOKUP(H111,'JKP-8.4c - Total Costs'!$A$6:$D$52,4,FALSE)</f>
        <v>44399.854205685449</v>
      </c>
      <c r="K111" s="303">
        <f>VLOOKUP(I111,'JKP-8.4c - Total Costs'!$A$6:$D$52,4,FALSE)</f>
        <v>15876.442206399237</v>
      </c>
      <c r="L111" s="304">
        <f t="shared" si="7"/>
        <v>60276.296412084688</v>
      </c>
    </row>
    <row r="112" spans="1:12" x14ac:dyDescent="0.2">
      <c r="A112" s="10">
        <v>108</v>
      </c>
      <c r="B112" s="301" t="s">
        <v>742</v>
      </c>
      <c r="C112" s="302" t="s">
        <v>608</v>
      </c>
      <c r="D112" s="302" t="s">
        <v>556</v>
      </c>
      <c r="E112" s="302">
        <v>158</v>
      </c>
      <c r="F112" s="302">
        <v>2000</v>
      </c>
      <c r="G112" s="302" t="str">
        <f t="shared" si="4"/>
        <v>PE</v>
      </c>
      <c r="H112" s="9" t="str">
        <f t="shared" si="5"/>
        <v>2" PE EXTN</v>
      </c>
      <c r="I112" s="9" t="str">
        <f t="shared" si="6"/>
        <v>2" PE STUB</v>
      </c>
      <c r="J112" s="303">
        <f>VLOOKUP(H112,'JKP-8.4c - Total Costs'!$A$6:$D$52,4,FALSE)</f>
        <v>3217.4108620235775</v>
      </c>
      <c r="K112" s="303">
        <f>VLOOKUP(I112,'JKP-8.4c - Total Costs'!$A$6:$D$52,4,FALSE)</f>
        <v>1470.4671789049644</v>
      </c>
      <c r="L112" s="304">
        <f t="shared" si="7"/>
        <v>4687.8780409285419</v>
      </c>
    </row>
    <row r="113" spans="1:12" x14ac:dyDescent="0.2">
      <c r="A113" s="10">
        <v>109</v>
      </c>
      <c r="B113" s="301" t="s">
        <v>749</v>
      </c>
      <c r="C113" s="302" t="s">
        <v>617</v>
      </c>
      <c r="D113" s="302" t="s">
        <v>743</v>
      </c>
      <c r="E113" s="302">
        <v>17</v>
      </c>
      <c r="F113" s="302">
        <v>1996</v>
      </c>
      <c r="G113" s="302" t="str">
        <f t="shared" si="4"/>
        <v>ST</v>
      </c>
      <c r="H113" s="9" t="str">
        <f t="shared" si="5"/>
        <v>4" ST EXTN</v>
      </c>
      <c r="I113" s="9" t="str">
        <f t="shared" si="6"/>
        <v>4" ST STUB</v>
      </c>
      <c r="J113" s="303">
        <f>VLOOKUP(H113,'JKP-8.4c - Total Costs'!$A$6:$D$52,4,FALSE)</f>
        <v>44399.854205685449</v>
      </c>
      <c r="K113" s="303">
        <f>VLOOKUP(I113,'JKP-8.4c - Total Costs'!$A$6:$D$52,4,FALSE)</f>
        <v>15876.442206399237</v>
      </c>
      <c r="L113" s="304">
        <f t="shared" si="7"/>
        <v>60276.296412084688</v>
      </c>
    </row>
    <row r="114" spans="1:12" x14ac:dyDescent="0.2">
      <c r="A114" s="10">
        <v>110</v>
      </c>
      <c r="B114" s="301" t="s">
        <v>741</v>
      </c>
      <c r="C114" s="302" t="s">
        <v>617</v>
      </c>
      <c r="D114" s="302" t="s">
        <v>743</v>
      </c>
      <c r="E114" s="302">
        <v>42</v>
      </c>
      <c r="F114" s="302">
        <v>1992</v>
      </c>
      <c r="G114" s="302" t="str">
        <f t="shared" si="4"/>
        <v>ST</v>
      </c>
      <c r="H114" s="9" t="str">
        <f t="shared" si="5"/>
        <v>4" ST EXTN</v>
      </c>
      <c r="I114" s="9" t="str">
        <f t="shared" si="6"/>
        <v>4" ST STUB</v>
      </c>
      <c r="J114" s="303">
        <f>VLOOKUP(H114,'JKP-8.4c - Total Costs'!$A$6:$D$52,4,FALSE)</f>
        <v>44399.854205685449</v>
      </c>
      <c r="K114" s="303">
        <f>VLOOKUP(I114,'JKP-8.4c - Total Costs'!$A$6:$D$52,4,FALSE)</f>
        <v>15876.442206399237</v>
      </c>
      <c r="L114" s="304">
        <f t="shared" si="7"/>
        <v>60276.296412084688</v>
      </c>
    </row>
    <row r="115" spans="1:12" x14ac:dyDescent="0.2">
      <c r="A115" s="10">
        <v>111</v>
      </c>
      <c r="B115" s="301" t="s">
        <v>741</v>
      </c>
      <c r="C115" s="302" t="s">
        <v>617</v>
      </c>
      <c r="D115" s="302" t="s">
        <v>556</v>
      </c>
      <c r="E115" s="302">
        <v>433</v>
      </c>
      <c r="F115" s="302">
        <v>1980</v>
      </c>
      <c r="G115" s="302" t="str">
        <f t="shared" si="4"/>
        <v>PE</v>
      </c>
      <c r="H115" s="9" t="str">
        <f t="shared" si="5"/>
        <v>4" PE EXTN</v>
      </c>
      <c r="I115" s="9" t="str">
        <f t="shared" si="6"/>
        <v>4" PE STUB</v>
      </c>
      <c r="J115" s="303">
        <f>VLOOKUP(H115,'JKP-8.4c - Total Costs'!$A$6:$D$52,4,FALSE)</f>
        <v>2614.2892777862512</v>
      </c>
      <c r="K115" s="303">
        <f>VLOOKUP(I115,'JKP-8.4c - Total Costs'!$A$6:$D$52,4,FALSE)</f>
        <v>978.7012499017651</v>
      </c>
      <c r="L115" s="304">
        <f t="shared" si="7"/>
        <v>3592.9905276880163</v>
      </c>
    </row>
    <row r="116" spans="1:12" x14ac:dyDescent="0.2">
      <c r="A116" s="10">
        <v>112</v>
      </c>
      <c r="B116" s="301" t="s">
        <v>749</v>
      </c>
      <c r="C116" s="302" t="s">
        <v>671</v>
      </c>
      <c r="D116" s="302" t="s">
        <v>746</v>
      </c>
      <c r="E116" s="302" t="s">
        <v>747</v>
      </c>
      <c r="F116" s="302">
        <v>1956</v>
      </c>
      <c r="G116" s="302" t="str">
        <f t="shared" si="4"/>
        <v>ST</v>
      </c>
      <c r="H116" s="9" t="str">
        <f t="shared" si="5"/>
        <v>8" ST EXTN</v>
      </c>
      <c r="I116" s="9" t="str">
        <f t="shared" si="6"/>
        <v>8" ST STUB</v>
      </c>
      <c r="J116" s="303">
        <f>VLOOKUP(H116,'JKP-8.4c - Total Costs'!$A$6:$D$52,4,FALSE)</f>
        <v>16194.853866887672</v>
      </c>
      <c r="K116" s="303">
        <f>VLOOKUP(I116,'JKP-8.4c - Total Costs'!$A$6:$D$52,4,FALSE)</f>
        <v>6375.0484099590922</v>
      </c>
      <c r="L116" s="304">
        <f t="shared" si="7"/>
        <v>22569.902276846762</v>
      </c>
    </row>
    <row r="117" spans="1:12" x14ac:dyDescent="0.2">
      <c r="A117" s="10">
        <v>113</v>
      </c>
      <c r="B117" s="301" t="s">
        <v>741</v>
      </c>
      <c r="C117" s="302" t="s">
        <v>617</v>
      </c>
      <c r="D117" s="302" t="s">
        <v>556</v>
      </c>
      <c r="E117" s="302">
        <v>42</v>
      </c>
      <c r="F117" s="302">
        <v>1961</v>
      </c>
      <c r="G117" s="302" t="str">
        <f t="shared" si="4"/>
        <v>PE</v>
      </c>
      <c r="H117" s="9" t="str">
        <f t="shared" si="5"/>
        <v>4" PE EXTN</v>
      </c>
      <c r="I117" s="9" t="str">
        <f t="shared" si="6"/>
        <v>4" PE STUB</v>
      </c>
      <c r="J117" s="303">
        <f>VLOOKUP(H117,'JKP-8.4c - Total Costs'!$A$6:$D$52,4,FALSE)</f>
        <v>2614.2892777862512</v>
      </c>
      <c r="K117" s="303">
        <f>VLOOKUP(I117,'JKP-8.4c - Total Costs'!$A$6:$D$52,4,FALSE)</f>
        <v>978.7012499017651</v>
      </c>
      <c r="L117" s="304">
        <f t="shared" si="7"/>
        <v>3592.9905276880163</v>
      </c>
    </row>
    <row r="118" spans="1:12" x14ac:dyDescent="0.2">
      <c r="A118" s="10">
        <v>114</v>
      </c>
      <c r="B118" s="301" t="s">
        <v>741</v>
      </c>
      <c r="C118" s="302" t="s">
        <v>608</v>
      </c>
      <c r="D118" s="302" t="s">
        <v>556</v>
      </c>
      <c r="E118" s="302">
        <v>229</v>
      </c>
      <c r="F118" s="302">
        <v>1987</v>
      </c>
      <c r="G118" s="302" t="str">
        <f t="shared" si="4"/>
        <v>PE</v>
      </c>
      <c r="H118" s="9" t="str">
        <f t="shared" si="5"/>
        <v>2" PE EXTN</v>
      </c>
      <c r="I118" s="9" t="str">
        <f t="shared" si="6"/>
        <v>2" PE STUB</v>
      </c>
      <c r="J118" s="303">
        <f>VLOOKUP(H118,'JKP-8.4c - Total Costs'!$A$6:$D$52,4,FALSE)</f>
        <v>3217.4108620235775</v>
      </c>
      <c r="K118" s="303">
        <f>VLOOKUP(I118,'JKP-8.4c - Total Costs'!$A$6:$D$52,4,FALSE)</f>
        <v>1470.4671789049644</v>
      </c>
      <c r="L118" s="304">
        <f t="shared" si="7"/>
        <v>4687.8780409285419</v>
      </c>
    </row>
    <row r="119" spans="1:12" x14ac:dyDescent="0.2">
      <c r="A119" s="10">
        <v>115</v>
      </c>
      <c r="B119" s="301" t="s">
        <v>742</v>
      </c>
      <c r="C119" s="302" t="s">
        <v>624</v>
      </c>
      <c r="D119" s="302" t="s">
        <v>743</v>
      </c>
      <c r="E119" s="302">
        <v>530</v>
      </c>
      <c r="F119" s="302">
        <v>1973</v>
      </c>
      <c r="G119" s="302" t="str">
        <f t="shared" si="4"/>
        <v>ST</v>
      </c>
      <c r="H119" s="9" t="str">
        <f t="shared" si="5"/>
        <v>6" ST EXTN</v>
      </c>
      <c r="I119" s="9" t="str">
        <f t="shared" si="6"/>
        <v>6" ST STUB</v>
      </c>
      <c r="J119" s="303">
        <f>VLOOKUP(H119,'JKP-8.4c - Total Costs'!$A$6:$D$52,4,FALSE)</f>
        <v>32508.513679483611</v>
      </c>
      <c r="K119" s="303">
        <f>VLOOKUP(I119,'JKP-8.4c - Total Costs'!$A$6:$D$52,4,FALSE)</f>
        <v>10052.239930846741</v>
      </c>
      <c r="L119" s="304">
        <f t="shared" si="7"/>
        <v>42560.75361033035</v>
      </c>
    </row>
    <row r="120" spans="1:12" x14ac:dyDescent="0.2">
      <c r="A120" s="10">
        <v>116</v>
      </c>
      <c r="B120" s="301" t="s">
        <v>742</v>
      </c>
      <c r="C120" s="302" t="s">
        <v>617</v>
      </c>
      <c r="D120" s="302" t="s">
        <v>743</v>
      </c>
      <c r="E120" s="302" t="s">
        <v>747</v>
      </c>
      <c r="F120" s="302">
        <v>1992</v>
      </c>
      <c r="G120" s="302" t="str">
        <f t="shared" si="4"/>
        <v>ST</v>
      </c>
      <c r="H120" s="9" t="str">
        <f t="shared" si="5"/>
        <v>4" ST EXTN</v>
      </c>
      <c r="I120" s="9" t="str">
        <f t="shared" si="6"/>
        <v>4" ST STUB</v>
      </c>
      <c r="J120" s="303">
        <f>VLOOKUP(H120,'JKP-8.4c - Total Costs'!$A$6:$D$52,4,FALSE)</f>
        <v>44399.854205685449</v>
      </c>
      <c r="K120" s="303">
        <f>VLOOKUP(I120,'JKP-8.4c - Total Costs'!$A$6:$D$52,4,FALSE)</f>
        <v>15876.442206399237</v>
      </c>
      <c r="L120" s="304">
        <f t="shared" si="7"/>
        <v>60276.296412084688</v>
      </c>
    </row>
    <row r="121" spans="1:12" x14ac:dyDescent="0.2">
      <c r="A121" s="10">
        <v>117</v>
      </c>
      <c r="B121" s="301" t="s">
        <v>744</v>
      </c>
      <c r="C121" s="302" t="s">
        <v>608</v>
      </c>
      <c r="D121" s="302" t="s">
        <v>556</v>
      </c>
      <c r="E121" s="302">
        <v>5</v>
      </c>
      <c r="F121" s="302">
        <v>1989</v>
      </c>
      <c r="G121" s="302" t="str">
        <f t="shared" si="4"/>
        <v>PE</v>
      </c>
      <c r="H121" s="9" t="str">
        <f t="shared" si="5"/>
        <v>2" PE EXTN</v>
      </c>
      <c r="I121" s="9" t="str">
        <f t="shared" si="6"/>
        <v>2" PE STUB</v>
      </c>
      <c r="J121" s="303">
        <f>VLOOKUP(H121,'JKP-8.4c - Total Costs'!$A$6:$D$52,4,FALSE)</f>
        <v>3217.4108620235775</v>
      </c>
      <c r="K121" s="303">
        <f>VLOOKUP(I121,'JKP-8.4c - Total Costs'!$A$6:$D$52,4,FALSE)</f>
        <v>1470.4671789049644</v>
      </c>
      <c r="L121" s="304">
        <f t="shared" si="7"/>
        <v>4687.8780409285419</v>
      </c>
    </row>
    <row r="122" spans="1:12" x14ac:dyDescent="0.2">
      <c r="A122" s="10">
        <v>118</v>
      </c>
      <c r="B122" s="301" t="s">
        <v>742</v>
      </c>
      <c r="C122" s="302" t="s">
        <v>624</v>
      </c>
      <c r="D122" s="302" t="s">
        <v>556</v>
      </c>
      <c r="E122" s="302">
        <v>1791</v>
      </c>
      <c r="F122" s="302">
        <v>1992</v>
      </c>
      <c r="G122" s="302" t="str">
        <f t="shared" si="4"/>
        <v>PE</v>
      </c>
      <c r="H122" s="9" t="str">
        <f t="shared" si="5"/>
        <v>6" PE EXTN</v>
      </c>
      <c r="I122" s="9" t="str">
        <f t="shared" si="6"/>
        <v>6" PE STUB</v>
      </c>
      <c r="J122" s="303">
        <f>VLOOKUP(H122,'JKP-8.4c - Total Costs'!$A$6:$D$52,4,FALSE)</f>
        <v>27472.348504951377</v>
      </c>
      <c r="K122" s="303">
        <f>VLOOKUP(I122,'JKP-8.4c - Total Costs'!$A$6:$D$52,4,FALSE)</f>
        <v>15176.640974122591</v>
      </c>
      <c r="L122" s="304">
        <f t="shared" si="7"/>
        <v>42648.989479073964</v>
      </c>
    </row>
    <row r="123" spans="1:12" x14ac:dyDescent="0.2">
      <c r="A123" s="10">
        <v>119</v>
      </c>
      <c r="B123" s="301" t="s">
        <v>744</v>
      </c>
      <c r="C123" s="302" t="s">
        <v>617</v>
      </c>
      <c r="D123" s="302" t="s">
        <v>556</v>
      </c>
      <c r="E123" s="302">
        <v>609</v>
      </c>
      <c r="F123" s="302">
        <v>1981</v>
      </c>
      <c r="G123" s="302" t="str">
        <f t="shared" si="4"/>
        <v>PE</v>
      </c>
      <c r="H123" s="9" t="str">
        <f t="shared" si="5"/>
        <v>4" PE EXTN</v>
      </c>
      <c r="I123" s="9" t="str">
        <f t="shared" si="6"/>
        <v>4" PE STUB</v>
      </c>
      <c r="J123" s="303">
        <f>VLOOKUP(H123,'JKP-8.4c - Total Costs'!$A$6:$D$52,4,FALSE)</f>
        <v>2614.2892777862512</v>
      </c>
      <c r="K123" s="303">
        <f>VLOOKUP(I123,'JKP-8.4c - Total Costs'!$A$6:$D$52,4,FALSE)</f>
        <v>978.7012499017651</v>
      </c>
      <c r="L123" s="304">
        <f t="shared" si="7"/>
        <v>3592.9905276880163</v>
      </c>
    </row>
    <row r="124" spans="1:12" x14ac:dyDescent="0.2">
      <c r="A124" s="10">
        <v>120</v>
      </c>
      <c r="B124" s="301" t="s">
        <v>742</v>
      </c>
      <c r="C124" s="302" t="s">
        <v>617</v>
      </c>
      <c r="D124" s="302" t="s">
        <v>556</v>
      </c>
      <c r="E124" s="302">
        <v>405</v>
      </c>
      <c r="F124" s="302">
        <v>1993</v>
      </c>
      <c r="G124" s="302" t="str">
        <f t="shared" si="4"/>
        <v>PE</v>
      </c>
      <c r="H124" s="9" t="str">
        <f t="shared" si="5"/>
        <v>4" PE EXTN</v>
      </c>
      <c r="I124" s="9" t="str">
        <f t="shared" si="6"/>
        <v>4" PE STUB</v>
      </c>
      <c r="J124" s="303">
        <f>VLOOKUP(H124,'JKP-8.4c - Total Costs'!$A$6:$D$52,4,FALSE)</f>
        <v>2614.2892777862512</v>
      </c>
      <c r="K124" s="303">
        <f>VLOOKUP(I124,'JKP-8.4c - Total Costs'!$A$6:$D$52,4,FALSE)</f>
        <v>978.7012499017651</v>
      </c>
      <c r="L124" s="304">
        <f t="shared" si="7"/>
        <v>3592.9905276880163</v>
      </c>
    </row>
    <row r="125" spans="1:12" x14ac:dyDescent="0.2">
      <c r="A125" s="10">
        <v>121</v>
      </c>
      <c r="B125" s="301" t="s">
        <v>754</v>
      </c>
      <c r="C125" s="302" t="s">
        <v>617</v>
      </c>
      <c r="D125" s="302" t="s">
        <v>743</v>
      </c>
      <c r="E125" s="302">
        <v>32</v>
      </c>
      <c r="F125" s="302">
        <v>1990</v>
      </c>
      <c r="G125" s="302" t="str">
        <f t="shared" si="4"/>
        <v>ST</v>
      </c>
      <c r="H125" s="9" t="str">
        <f t="shared" si="5"/>
        <v>4" ST EXTN</v>
      </c>
      <c r="I125" s="9" t="str">
        <f t="shared" si="6"/>
        <v>4" ST STUB</v>
      </c>
      <c r="J125" s="303">
        <f>VLOOKUP(H125,'JKP-8.4c - Total Costs'!$A$6:$D$52,4,FALSE)</f>
        <v>44399.854205685449</v>
      </c>
      <c r="K125" s="303">
        <f>VLOOKUP(I125,'JKP-8.4c - Total Costs'!$A$6:$D$52,4,FALSE)</f>
        <v>15876.442206399237</v>
      </c>
      <c r="L125" s="304">
        <f t="shared" si="7"/>
        <v>60276.296412084688</v>
      </c>
    </row>
    <row r="126" spans="1:12" x14ac:dyDescent="0.2">
      <c r="A126" s="10">
        <v>122</v>
      </c>
      <c r="B126" s="301" t="s">
        <v>751</v>
      </c>
      <c r="C126" s="302" t="s">
        <v>599</v>
      </c>
      <c r="D126" s="302" t="s">
        <v>743</v>
      </c>
      <c r="E126" s="302">
        <v>640</v>
      </c>
      <c r="F126" s="302">
        <v>1978</v>
      </c>
      <c r="G126" s="302" t="str">
        <f t="shared" si="4"/>
        <v>ST</v>
      </c>
      <c r="H126" s="9" t="str">
        <f t="shared" si="5"/>
        <v>1.25" ST EXTN</v>
      </c>
      <c r="I126" s="9" t="str">
        <f t="shared" si="6"/>
        <v>1.25" ST STUB</v>
      </c>
      <c r="J126" s="303">
        <f>VLOOKUP(H126,'JKP-8.4c - Total Costs'!$A$6:$D$52,4,FALSE)</f>
        <v>2640.0824137045715</v>
      </c>
      <c r="K126" s="303">
        <f>VLOOKUP(I126,'JKP-8.4c - Total Costs'!$A$6:$D$52,4,FALSE)</f>
        <v>979.336987723025</v>
      </c>
      <c r="L126" s="304">
        <f t="shared" si="7"/>
        <v>3619.4194014275963</v>
      </c>
    </row>
    <row r="127" spans="1:12" x14ac:dyDescent="0.2">
      <c r="A127" s="10">
        <v>123</v>
      </c>
      <c r="B127" s="301" t="s">
        <v>744</v>
      </c>
      <c r="C127" s="302" t="s">
        <v>617</v>
      </c>
      <c r="D127" s="302" t="s">
        <v>746</v>
      </c>
      <c r="E127" s="302">
        <v>457</v>
      </c>
      <c r="F127" s="302">
        <v>1997</v>
      </c>
      <c r="G127" s="302" t="str">
        <f t="shared" si="4"/>
        <v>ST</v>
      </c>
      <c r="H127" s="9" t="str">
        <f t="shared" si="5"/>
        <v>4" ST EXTN</v>
      </c>
      <c r="I127" s="9" t="str">
        <f t="shared" si="6"/>
        <v>4" ST STUB</v>
      </c>
      <c r="J127" s="303">
        <f>VLOOKUP(H127,'JKP-8.4c - Total Costs'!$A$6:$D$52,4,FALSE)</f>
        <v>44399.854205685449</v>
      </c>
      <c r="K127" s="303">
        <f>VLOOKUP(I127,'JKP-8.4c - Total Costs'!$A$6:$D$52,4,FALSE)</f>
        <v>15876.442206399237</v>
      </c>
      <c r="L127" s="304">
        <f t="shared" si="7"/>
        <v>60276.296412084688</v>
      </c>
    </row>
    <row r="128" spans="1:12" x14ac:dyDescent="0.2">
      <c r="A128" s="10">
        <v>124</v>
      </c>
      <c r="B128" s="301" t="s">
        <v>744</v>
      </c>
      <c r="C128" s="305" t="s">
        <v>617</v>
      </c>
      <c r="D128" s="302" t="s">
        <v>743</v>
      </c>
      <c r="E128" s="302">
        <v>55</v>
      </c>
      <c r="F128" s="302">
        <v>1965</v>
      </c>
      <c r="G128" s="302" t="str">
        <f t="shared" si="4"/>
        <v>ST</v>
      </c>
      <c r="H128" s="9" t="str">
        <f t="shared" si="5"/>
        <v>4" ST EXTN</v>
      </c>
      <c r="I128" s="9" t="str">
        <f t="shared" si="6"/>
        <v>4" ST STUB</v>
      </c>
      <c r="J128" s="303">
        <f>VLOOKUP(H128,'JKP-8.4c - Total Costs'!$A$6:$D$52,4,FALSE)</f>
        <v>44399.854205685449</v>
      </c>
      <c r="K128" s="303">
        <f>VLOOKUP(I128,'JKP-8.4c - Total Costs'!$A$6:$D$52,4,FALSE)</f>
        <v>15876.442206399237</v>
      </c>
      <c r="L128" s="304">
        <f t="shared" si="7"/>
        <v>60276.296412084688</v>
      </c>
    </row>
    <row r="129" spans="1:12" x14ac:dyDescent="0.2">
      <c r="A129" s="10">
        <v>125</v>
      </c>
      <c r="B129" s="301" t="s">
        <v>751</v>
      </c>
      <c r="C129" s="302" t="s">
        <v>617</v>
      </c>
      <c r="D129" s="302" t="s">
        <v>556</v>
      </c>
      <c r="E129" s="302">
        <v>170</v>
      </c>
      <c r="F129" s="302">
        <v>2001</v>
      </c>
      <c r="G129" s="302" t="str">
        <f t="shared" si="4"/>
        <v>PE</v>
      </c>
      <c r="H129" s="9" t="str">
        <f t="shared" si="5"/>
        <v>4" PE EXTN</v>
      </c>
      <c r="I129" s="9" t="str">
        <f t="shared" si="6"/>
        <v>4" PE STUB</v>
      </c>
      <c r="J129" s="303">
        <f>VLOOKUP(H129,'JKP-8.4c - Total Costs'!$A$6:$D$52,4,FALSE)</f>
        <v>2614.2892777862512</v>
      </c>
      <c r="K129" s="303">
        <f>VLOOKUP(I129,'JKP-8.4c - Total Costs'!$A$6:$D$52,4,FALSE)</f>
        <v>978.7012499017651</v>
      </c>
      <c r="L129" s="304">
        <f t="shared" si="7"/>
        <v>3592.9905276880163</v>
      </c>
    </row>
    <row r="130" spans="1:12" x14ac:dyDescent="0.2">
      <c r="A130" s="10">
        <v>126</v>
      </c>
      <c r="B130" s="301" t="s">
        <v>744</v>
      </c>
      <c r="C130" s="302" t="s">
        <v>617</v>
      </c>
      <c r="D130" s="302" t="s">
        <v>743</v>
      </c>
      <c r="E130" s="302">
        <v>44</v>
      </c>
      <c r="F130" s="302">
        <v>1980</v>
      </c>
      <c r="G130" s="302" t="str">
        <f t="shared" si="4"/>
        <v>ST</v>
      </c>
      <c r="H130" s="9" t="str">
        <f t="shared" si="5"/>
        <v>4" ST EXTN</v>
      </c>
      <c r="I130" s="9" t="str">
        <f t="shared" si="6"/>
        <v>4" ST STUB</v>
      </c>
      <c r="J130" s="303">
        <f>VLOOKUP(H130,'JKP-8.4c - Total Costs'!$A$6:$D$52,4,FALSE)</f>
        <v>44399.854205685449</v>
      </c>
      <c r="K130" s="303">
        <f>VLOOKUP(I130,'JKP-8.4c - Total Costs'!$A$6:$D$52,4,FALSE)</f>
        <v>15876.442206399237</v>
      </c>
      <c r="L130" s="304">
        <f t="shared" si="7"/>
        <v>60276.296412084688</v>
      </c>
    </row>
    <row r="131" spans="1:12" x14ac:dyDescent="0.2">
      <c r="A131" s="10">
        <v>127</v>
      </c>
      <c r="B131" s="301" t="s">
        <v>751</v>
      </c>
      <c r="C131" s="302" t="s">
        <v>617</v>
      </c>
      <c r="D131" s="302" t="s">
        <v>556</v>
      </c>
      <c r="E131" s="302">
        <v>111</v>
      </c>
      <c r="F131" s="302">
        <v>1983</v>
      </c>
      <c r="G131" s="302" t="str">
        <f t="shared" si="4"/>
        <v>PE</v>
      </c>
      <c r="H131" s="9" t="str">
        <f t="shared" si="5"/>
        <v>4" PE EXTN</v>
      </c>
      <c r="I131" s="9" t="str">
        <f t="shared" si="6"/>
        <v>4" PE STUB</v>
      </c>
      <c r="J131" s="303">
        <f>VLOOKUP(H131,'JKP-8.4c - Total Costs'!$A$6:$D$52,4,FALSE)</f>
        <v>2614.2892777862512</v>
      </c>
      <c r="K131" s="303">
        <f>VLOOKUP(I131,'JKP-8.4c - Total Costs'!$A$6:$D$52,4,FALSE)</f>
        <v>978.7012499017651</v>
      </c>
      <c r="L131" s="304">
        <f t="shared" si="7"/>
        <v>3592.9905276880163</v>
      </c>
    </row>
    <row r="132" spans="1:12" x14ac:dyDescent="0.2">
      <c r="A132" s="10">
        <v>128</v>
      </c>
      <c r="B132" s="301" t="s">
        <v>751</v>
      </c>
      <c r="C132" s="302" t="s">
        <v>617</v>
      </c>
      <c r="D132" s="302" t="s">
        <v>556</v>
      </c>
      <c r="E132" s="302">
        <v>111</v>
      </c>
      <c r="F132" s="302">
        <v>1983</v>
      </c>
      <c r="G132" s="302" t="str">
        <f t="shared" si="4"/>
        <v>PE</v>
      </c>
      <c r="H132" s="9" t="str">
        <f t="shared" si="5"/>
        <v>4" PE EXTN</v>
      </c>
      <c r="I132" s="9" t="str">
        <f t="shared" si="6"/>
        <v>4" PE STUB</v>
      </c>
      <c r="J132" s="303">
        <f>VLOOKUP(H132,'JKP-8.4c - Total Costs'!$A$6:$D$52,4,FALSE)</f>
        <v>2614.2892777862512</v>
      </c>
      <c r="K132" s="303">
        <f>VLOOKUP(I132,'JKP-8.4c - Total Costs'!$A$6:$D$52,4,FALSE)</f>
        <v>978.7012499017651</v>
      </c>
      <c r="L132" s="304">
        <f t="shared" si="7"/>
        <v>3592.9905276880163</v>
      </c>
    </row>
    <row r="133" spans="1:12" x14ac:dyDescent="0.2">
      <c r="A133" s="10">
        <v>129</v>
      </c>
      <c r="B133" s="301" t="s">
        <v>751</v>
      </c>
      <c r="C133" s="302" t="s">
        <v>608</v>
      </c>
      <c r="D133" s="302" t="s">
        <v>743</v>
      </c>
      <c r="E133" s="302">
        <v>25</v>
      </c>
      <c r="F133" s="302">
        <v>2004</v>
      </c>
      <c r="G133" s="302" t="str">
        <f t="shared" si="4"/>
        <v>ST</v>
      </c>
      <c r="H133" s="9" t="str">
        <f t="shared" si="5"/>
        <v>2" ST EXTN</v>
      </c>
      <c r="I133" s="9" t="str">
        <f t="shared" si="6"/>
        <v>2" ST STUB</v>
      </c>
      <c r="J133" s="303">
        <f>VLOOKUP(H133,'JKP-8.4c - Total Costs'!$A$6:$D$52,4,FALSE)</f>
        <v>2648.6561603011223</v>
      </c>
      <c r="K133" s="303">
        <f>VLOOKUP(I133,'JKP-8.4c - Total Costs'!$A$6:$D$52,4,FALSE)</f>
        <v>963.78049662050148</v>
      </c>
      <c r="L133" s="304">
        <f t="shared" si="7"/>
        <v>3612.4366569216236</v>
      </c>
    </row>
    <row r="134" spans="1:12" x14ac:dyDescent="0.2">
      <c r="A134" s="10">
        <v>130</v>
      </c>
      <c r="B134" s="301" t="s">
        <v>742</v>
      </c>
      <c r="C134" s="302" t="s">
        <v>608</v>
      </c>
      <c r="D134" s="302" t="s">
        <v>556</v>
      </c>
      <c r="E134" s="302">
        <v>99</v>
      </c>
      <c r="F134" s="302">
        <v>1991</v>
      </c>
      <c r="G134" s="302" t="str">
        <f t="shared" ref="G134:G177" si="8">LEFT(D134,2)</f>
        <v>PE</v>
      </c>
      <c r="H134" s="9" t="str">
        <f t="shared" ref="H134:H177" si="9">C134&amp;" "&amp;G134&amp;" "&amp;H$3</f>
        <v>2" PE EXTN</v>
      </c>
      <c r="I134" s="9" t="str">
        <f t="shared" ref="I134:I177" si="10">C134&amp;" "&amp;G134&amp;" "&amp;I$3</f>
        <v>2" PE STUB</v>
      </c>
      <c r="J134" s="303">
        <f>VLOOKUP(H134,'JKP-8.4c - Total Costs'!$A$6:$D$52,4,FALSE)</f>
        <v>3217.4108620235775</v>
      </c>
      <c r="K134" s="303">
        <f>VLOOKUP(I134,'JKP-8.4c - Total Costs'!$A$6:$D$52,4,FALSE)</f>
        <v>1470.4671789049644</v>
      </c>
      <c r="L134" s="304">
        <f t="shared" ref="L134:L177" si="11">K134+J134</f>
        <v>4687.8780409285419</v>
      </c>
    </row>
    <row r="135" spans="1:12" x14ac:dyDescent="0.2">
      <c r="A135" s="10">
        <v>131</v>
      </c>
      <c r="B135" s="301" t="s">
        <v>742</v>
      </c>
      <c r="C135" s="302" t="s">
        <v>608</v>
      </c>
      <c r="D135" s="302" t="s">
        <v>743</v>
      </c>
      <c r="E135" s="302">
        <v>123</v>
      </c>
      <c r="F135" s="302">
        <v>1977</v>
      </c>
      <c r="G135" s="302" t="str">
        <f t="shared" si="8"/>
        <v>ST</v>
      </c>
      <c r="H135" s="9" t="str">
        <f t="shared" si="9"/>
        <v>2" ST EXTN</v>
      </c>
      <c r="I135" s="9" t="str">
        <f t="shared" si="10"/>
        <v>2" ST STUB</v>
      </c>
      <c r="J135" s="303">
        <f>VLOOKUP(H135,'JKP-8.4c - Total Costs'!$A$6:$D$52,4,FALSE)</f>
        <v>2648.6561603011223</v>
      </c>
      <c r="K135" s="303">
        <f>VLOOKUP(I135,'JKP-8.4c - Total Costs'!$A$6:$D$52,4,FALSE)</f>
        <v>963.78049662050148</v>
      </c>
      <c r="L135" s="304">
        <f t="shared" si="11"/>
        <v>3612.4366569216236</v>
      </c>
    </row>
    <row r="136" spans="1:12" x14ac:dyDescent="0.2">
      <c r="A136" s="10">
        <v>132</v>
      </c>
      <c r="B136" s="301" t="s">
        <v>741</v>
      </c>
      <c r="C136" s="302" t="s">
        <v>608</v>
      </c>
      <c r="D136" s="302" t="s">
        <v>556</v>
      </c>
      <c r="E136" s="302">
        <v>105</v>
      </c>
      <c r="F136" s="302">
        <v>2008</v>
      </c>
      <c r="G136" s="302" t="str">
        <f t="shared" si="8"/>
        <v>PE</v>
      </c>
      <c r="H136" s="9" t="str">
        <f t="shared" si="9"/>
        <v>2" PE EXTN</v>
      </c>
      <c r="I136" s="9" t="str">
        <f t="shared" si="10"/>
        <v>2" PE STUB</v>
      </c>
      <c r="J136" s="303">
        <f>VLOOKUP(H136,'JKP-8.4c - Total Costs'!$A$6:$D$52,4,FALSE)</f>
        <v>3217.4108620235775</v>
      </c>
      <c r="K136" s="303">
        <f>VLOOKUP(I136,'JKP-8.4c - Total Costs'!$A$6:$D$52,4,FALSE)</f>
        <v>1470.4671789049644</v>
      </c>
      <c r="L136" s="304">
        <f t="shared" si="11"/>
        <v>4687.8780409285419</v>
      </c>
    </row>
    <row r="137" spans="1:12" x14ac:dyDescent="0.2">
      <c r="A137" s="10">
        <v>133</v>
      </c>
      <c r="B137" s="301" t="s">
        <v>744</v>
      </c>
      <c r="C137" s="302" t="s">
        <v>608</v>
      </c>
      <c r="D137" s="302" t="s">
        <v>743</v>
      </c>
      <c r="E137" s="302">
        <v>137</v>
      </c>
      <c r="F137" s="302">
        <v>1995</v>
      </c>
      <c r="G137" s="302" t="str">
        <f t="shared" si="8"/>
        <v>ST</v>
      </c>
      <c r="H137" s="9" t="str">
        <f t="shared" si="9"/>
        <v>2" ST EXTN</v>
      </c>
      <c r="I137" s="9" t="str">
        <f t="shared" si="10"/>
        <v>2" ST STUB</v>
      </c>
      <c r="J137" s="303">
        <f>VLOOKUP(H137,'JKP-8.4c - Total Costs'!$A$6:$D$52,4,FALSE)</f>
        <v>2648.6561603011223</v>
      </c>
      <c r="K137" s="303">
        <f>VLOOKUP(I137,'JKP-8.4c - Total Costs'!$A$6:$D$52,4,FALSE)</f>
        <v>963.78049662050148</v>
      </c>
      <c r="L137" s="304">
        <f t="shared" si="11"/>
        <v>3612.4366569216236</v>
      </c>
    </row>
    <row r="138" spans="1:12" x14ac:dyDescent="0.2">
      <c r="A138" s="10">
        <v>134</v>
      </c>
      <c r="B138" s="301" t="s">
        <v>744</v>
      </c>
      <c r="C138" s="302" t="s">
        <v>599</v>
      </c>
      <c r="D138" s="302" t="s">
        <v>556</v>
      </c>
      <c r="E138" s="302">
        <v>30</v>
      </c>
      <c r="F138" s="302">
        <v>1998</v>
      </c>
      <c r="G138" s="302" t="str">
        <f t="shared" si="8"/>
        <v>PE</v>
      </c>
      <c r="H138" s="9" t="str">
        <f t="shared" si="9"/>
        <v>1.25" PE EXTN</v>
      </c>
      <c r="I138" s="9" t="str">
        <f t="shared" si="10"/>
        <v>1.25" PE STUB</v>
      </c>
      <c r="J138" s="303">
        <f>VLOOKUP(H138,'JKP-8.4c - Total Costs'!$A$6:$D$52,4,FALSE)</f>
        <v>2869.6293607026869</v>
      </c>
      <c r="K138" s="303">
        <f>VLOOKUP(I138,'JKP-8.4c - Total Costs'!$A$6:$D$52,4,FALSE)</f>
        <v>1526.7195609992903</v>
      </c>
      <c r="L138" s="304">
        <f t="shared" si="11"/>
        <v>4396.3489217019769</v>
      </c>
    </row>
    <row r="139" spans="1:12" x14ac:dyDescent="0.2">
      <c r="A139" s="10">
        <v>135</v>
      </c>
      <c r="B139" s="301" t="s">
        <v>744</v>
      </c>
      <c r="C139" s="305" t="s">
        <v>599</v>
      </c>
      <c r="D139" s="302" t="s">
        <v>556</v>
      </c>
      <c r="E139" s="302">
        <v>101</v>
      </c>
      <c r="F139" s="302">
        <v>1997</v>
      </c>
      <c r="G139" s="302" t="str">
        <f t="shared" si="8"/>
        <v>PE</v>
      </c>
      <c r="H139" s="9" t="str">
        <f t="shared" si="9"/>
        <v>1.25" PE EXTN</v>
      </c>
      <c r="I139" s="9" t="str">
        <f t="shared" si="10"/>
        <v>1.25" PE STUB</v>
      </c>
      <c r="J139" s="303">
        <f>VLOOKUP(H139,'JKP-8.4c - Total Costs'!$A$6:$D$52,4,FALSE)</f>
        <v>2869.6293607026869</v>
      </c>
      <c r="K139" s="303">
        <f>VLOOKUP(I139,'JKP-8.4c - Total Costs'!$A$6:$D$52,4,FALSE)</f>
        <v>1526.7195609992903</v>
      </c>
      <c r="L139" s="304">
        <f t="shared" si="11"/>
        <v>4396.3489217019769</v>
      </c>
    </row>
    <row r="140" spans="1:12" x14ac:dyDescent="0.2">
      <c r="A140" s="10">
        <v>136</v>
      </c>
      <c r="B140" s="301" t="s">
        <v>742</v>
      </c>
      <c r="C140" s="305" t="s">
        <v>617</v>
      </c>
      <c r="D140" s="302" t="s">
        <v>556</v>
      </c>
      <c r="E140" s="302">
        <v>378</v>
      </c>
      <c r="F140" s="302">
        <v>1993</v>
      </c>
      <c r="G140" s="302" t="str">
        <f t="shared" si="8"/>
        <v>PE</v>
      </c>
      <c r="H140" s="9" t="str">
        <f t="shared" si="9"/>
        <v>4" PE EXTN</v>
      </c>
      <c r="I140" s="9" t="str">
        <f t="shared" si="10"/>
        <v>4" PE STUB</v>
      </c>
      <c r="J140" s="303">
        <f>VLOOKUP(H140,'JKP-8.4c - Total Costs'!$A$6:$D$52,4,FALSE)</f>
        <v>2614.2892777862512</v>
      </c>
      <c r="K140" s="303">
        <f>VLOOKUP(I140,'JKP-8.4c - Total Costs'!$A$6:$D$52,4,FALSE)</f>
        <v>978.7012499017651</v>
      </c>
      <c r="L140" s="304">
        <f t="shared" si="11"/>
        <v>3592.9905276880163</v>
      </c>
    </row>
    <row r="141" spans="1:12" x14ac:dyDescent="0.2">
      <c r="A141" s="10">
        <v>137</v>
      </c>
      <c r="B141" s="301" t="s">
        <v>741</v>
      </c>
      <c r="C141" s="302" t="s">
        <v>617</v>
      </c>
      <c r="D141" s="302" t="s">
        <v>556</v>
      </c>
      <c r="E141" s="302">
        <v>20</v>
      </c>
      <c r="F141" s="302">
        <v>2002</v>
      </c>
      <c r="G141" s="302" t="str">
        <f t="shared" si="8"/>
        <v>PE</v>
      </c>
      <c r="H141" s="9" t="str">
        <f t="shared" si="9"/>
        <v>4" PE EXTN</v>
      </c>
      <c r="I141" s="9" t="str">
        <f t="shared" si="10"/>
        <v>4" PE STUB</v>
      </c>
      <c r="J141" s="303">
        <f>VLOOKUP(H141,'JKP-8.4c - Total Costs'!$A$6:$D$52,4,FALSE)</f>
        <v>2614.2892777862512</v>
      </c>
      <c r="K141" s="303">
        <f>VLOOKUP(I141,'JKP-8.4c - Total Costs'!$A$6:$D$52,4,FALSE)</f>
        <v>978.7012499017651</v>
      </c>
      <c r="L141" s="304">
        <f t="shared" si="11"/>
        <v>3592.9905276880163</v>
      </c>
    </row>
    <row r="142" spans="1:12" x14ac:dyDescent="0.2">
      <c r="A142" s="10">
        <v>138</v>
      </c>
      <c r="B142" s="301" t="s">
        <v>749</v>
      </c>
      <c r="C142" s="302" t="s">
        <v>617</v>
      </c>
      <c r="D142" s="302" t="s">
        <v>743</v>
      </c>
      <c r="E142" s="302">
        <v>101</v>
      </c>
      <c r="F142" s="302">
        <v>1987</v>
      </c>
      <c r="G142" s="302" t="str">
        <f t="shared" si="8"/>
        <v>ST</v>
      </c>
      <c r="H142" s="9" t="str">
        <f t="shared" si="9"/>
        <v>4" ST EXTN</v>
      </c>
      <c r="I142" s="9" t="str">
        <f t="shared" si="10"/>
        <v>4" ST STUB</v>
      </c>
      <c r="J142" s="303">
        <f>VLOOKUP(H142,'JKP-8.4c - Total Costs'!$A$6:$D$52,4,FALSE)</f>
        <v>44399.854205685449</v>
      </c>
      <c r="K142" s="303">
        <f>VLOOKUP(I142,'JKP-8.4c - Total Costs'!$A$6:$D$52,4,FALSE)</f>
        <v>15876.442206399237</v>
      </c>
      <c r="L142" s="304">
        <f t="shared" si="11"/>
        <v>60276.296412084688</v>
      </c>
    </row>
    <row r="143" spans="1:12" x14ac:dyDescent="0.2">
      <c r="A143" s="10">
        <v>139</v>
      </c>
      <c r="B143" s="301" t="s">
        <v>755</v>
      </c>
      <c r="C143" s="302" t="s">
        <v>624</v>
      </c>
      <c r="D143" s="302" t="s">
        <v>746</v>
      </c>
      <c r="E143" s="302" t="s">
        <v>756</v>
      </c>
      <c r="F143" s="302">
        <v>2000</v>
      </c>
      <c r="G143" s="302" t="str">
        <f t="shared" si="8"/>
        <v>ST</v>
      </c>
      <c r="H143" s="9" t="str">
        <f t="shared" si="9"/>
        <v>6" ST EXTN</v>
      </c>
      <c r="I143" s="9" t="str">
        <f t="shared" si="10"/>
        <v>6" ST STUB</v>
      </c>
      <c r="J143" s="303">
        <f>VLOOKUP(H143,'JKP-8.4c - Total Costs'!$A$6:$D$52,4,FALSE)</f>
        <v>32508.513679483611</v>
      </c>
      <c r="K143" s="303">
        <f>VLOOKUP(I143,'JKP-8.4c - Total Costs'!$A$6:$D$52,4,FALSE)</f>
        <v>10052.239930846741</v>
      </c>
      <c r="L143" s="304">
        <f t="shared" si="11"/>
        <v>42560.75361033035</v>
      </c>
    </row>
    <row r="144" spans="1:12" x14ac:dyDescent="0.2">
      <c r="A144" s="10">
        <v>140</v>
      </c>
      <c r="B144" s="301" t="s">
        <v>742</v>
      </c>
      <c r="C144" s="302" t="s">
        <v>617</v>
      </c>
      <c r="D144" s="302" t="s">
        <v>746</v>
      </c>
      <c r="E144" s="302"/>
      <c r="F144" s="302">
        <v>2010</v>
      </c>
      <c r="G144" s="302" t="str">
        <f t="shared" si="8"/>
        <v>ST</v>
      </c>
      <c r="H144" s="9" t="str">
        <f t="shared" si="9"/>
        <v>4" ST EXTN</v>
      </c>
      <c r="I144" s="9" t="str">
        <f t="shared" si="10"/>
        <v>4" ST STUB</v>
      </c>
      <c r="J144" s="303">
        <f>VLOOKUP(H144,'JKP-8.4c - Total Costs'!$A$6:$D$52,4,FALSE)</f>
        <v>44399.854205685449</v>
      </c>
      <c r="K144" s="303">
        <f>VLOOKUP(I144,'JKP-8.4c - Total Costs'!$A$6:$D$52,4,FALSE)</f>
        <v>15876.442206399237</v>
      </c>
      <c r="L144" s="304">
        <f t="shared" si="11"/>
        <v>60276.296412084688</v>
      </c>
    </row>
    <row r="145" spans="1:12" x14ac:dyDescent="0.2">
      <c r="A145" s="10">
        <v>141</v>
      </c>
      <c r="B145" s="301" t="s">
        <v>742</v>
      </c>
      <c r="C145" s="302" t="s">
        <v>617</v>
      </c>
      <c r="D145" s="302" t="s">
        <v>743</v>
      </c>
      <c r="E145" s="302">
        <v>430</v>
      </c>
      <c r="F145" s="302">
        <v>1967</v>
      </c>
      <c r="G145" s="302" t="str">
        <f t="shared" si="8"/>
        <v>ST</v>
      </c>
      <c r="H145" s="9" t="str">
        <f t="shared" si="9"/>
        <v>4" ST EXTN</v>
      </c>
      <c r="I145" s="9" t="str">
        <f t="shared" si="10"/>
        <v>4" ST STUB</v>
      </c>
      <c r="J145" s="303">
        <f>VLOOKUP(H145,'JKP-8.4c - Total Costs'!$A$6:$D$52,4,FALSE)</f>
        <v>44399.854205685449</v>
      </c>
      <c r="K145" s="303">
        <f>VLOOKUP(I145,'JKP-8.4c - Total Costs'!$A$6:$D$52,4,FALSE)</f>
        <v>15876.442206399237</v>
      </c>
      <c r="L145" s="304">
        <f t="shared" si="11"/>
        <v>60276.296412084688</v>
      </c>
    </row>
    <row r="146" spans="1:12" x14ac:dyDescent="0.2">
      <c r="A146" s="10">
        <v>142</v>
      </c>
      <c r="B146" s="301" t="s">
        <v>742</v>
      </c>
      <c r="C146" s="302" t="s">
        <v>608</v>
      </c>
      <c r="D146" s="302" t="s">
        <v>556</v>
      </c>
      <c r="E146" s="302">
        <v>360</v>
      </c>
      <c r="F146" s="302">
        <v>1979</v>
      </c>
      <c r="G146" s="302" t="str">
        <f t="shared" si="8"/>
        <v>PE</v>
      </c>
      <c r="H146" s="9" t="str">
        <f t="shared" si="9"/>
        <v>2" PE EXTN</v>
      </c>
      <c r="I146" s="9" t="str">
        <f t="shared" si="10"/>
        <v>2" PE STUB</v>
      </c>
      <c r="J146" s="303">
        <f>VLOOKUP(H146,'JKP-8.4c - Total Costs'!$A$6:$D$52,4,FALSE)</f>
        <v>3217.4108620235775</v>
      </c>
      <c r="K146" s="303">
        <f>VLOOKUP(I146,'JKP-8.4c - Total Costs'!$A$6:$D$52,4,FALSE)</f>
        <v>1470.4671789049644</v>
      </c>
      <c r="L146" s="304">
        <f t="shared" si="11"/>
        <v>4687.8780409285419</v>
      </c>
    </row>
    <row r="147" spans="1:12" x14ac:dyDescent="0.2">
      <c r="A147" s="10">
        <v>143</v>
      </c>
      <c r="B147" s="301" t="s">
        <v>741</v>
      </c>
      <c r="C147" s="302" t="s">
        <v>608</v>
      </c>
      <c r="D147" s="302" t="s">
        <v>556</v>
      </c>
      <c r="E147" s="302">
        <v>167</v>
      </c>
      <c r="F147" s="302">
        <v>2004</v>
      </c>
      <c r="G147" s="302" t="str">
        <f t="shared" si="8"/>
        <v>PE</v>
      </c>
      <c r="H147" s="9" t="str">
        <f t="shared" si="9"/>
        <v>2" PE EXTN</v>
      </c>
      <c r="I147" s="9" t="str">
        <f t="shared" si="10"/>
        <v>2" PE STUB</v>
      </c>
      <c r="J147" s="303">
        <f>VLOOKUP(H147,'JKP-8.4c - Total Costs'!$A$6:$D$52,4,FALSE)</f>
        <v>3217.4108620235775</v>
      </c>
      <c r="K147" s="303">
        <f>VLOOKUP(I147,'JKP-8.4c - Total Costs'!$A$6:$D$52,4,FALSE)</f>
        <v>1470.4671789049644</v>
      </c>
      <c r="L147" s="304">
        <f t="shared" si="11"/>
        <v>4687.8780409285419</v>
      </c>
    </row>
    <row r="148" spans="1:12" x14ac:dyDescent="0.2">
      <c r="A148" s="10">
        <v>144</v>
      </c>
      <c r="B148" s="301" t="s">
        <v>741</v>
      </c>
      <c r="C148" s="302" t="s">
        <v>608</v>
      </c>
      <c r="D148" s="302" t="s">
        <v>556</v>
      </c>
      <c r="E148" s="302">
        <v>101</v>
      </c>
      <c r="F148" s="302">
        <v>2007</v>
      </c>
      <c r="G148" s="302" t="str">
        <f t="shared" si="8"/>
        <v>PE</v>
      </c>
      <c r="H148" s="9" t="str">
        <f t="shared" si="9"/>
        <v>2" PE EXTN</v>
      </c>
      <c r="I148" s="9" t="str">
        <f t="shared" si="10"/>
        <v>2" PE STUB</v>
      </c>
      <c r="J148" s="303">
        <f>VLOOKUP(H148,'JKP-8.4c - Total Costs'!$A$6:$D$52,4,FALSE)</f>
        <v>3217.4108620235775</v>
      </c>
      <c r="K148" s="303">
        <f>VLOOKUP(I148,'JKP-8.4c - Total Costs'!$A$6:$D$52,4,FALSE)</f>
        <v>1470.4671789049644</v>
      </c>
      <c r="L148" s="304">
        <f t="shared" si="11"/>
        <v>4687.8780409285419</v>
      </c>
    </row>
    <row r="149" spans="1:12" x14ac:dyDescent="0.2">
      <c r="A149" s="10">
        <v>145</v>
      </c>
      <c r="B149" s="301" t="s">
        <v>742</v>
      </c>
      <c r="C149" s="302" t="s">
        <v>617</v>
      </c>
      <c r="D149" s="302" t="s">
        <v>556</v>
      </c>
      <c r="E149" s="302"/>
      <c r="F149" s="302">
        <v>1993</v>
      </c>
      <c r="G149" s="302" t="str">
        <f t="shared" si="8"/>
        <v>PE</v>
      </c>
      <c r="H149" s="9" t="str">
        <f t="shared" si="9"/>
        <v>4" PE EXTN</v>
      </c>
      <c r="I149" s="9" t="str">
        <f t="shared" si="10"/>
        <v>4" PE STUB</v>
      </c>
      <c r="J149" s="303">
        <f>VLOOKUP(H149,'JKP-8.4c - Total Costs'!$A$6:$D$52,4,FALSE)</f>
        <v>2614.2892777862512</v>
      </c>
      <c r="K149" s="303">
        <f>VLOOKUP(I149,'JKP-8.4c - Total Costs'!$A$6:$D$52,4,FALSE)</f>
        <v>978.7012499017651</v>
      </c>
      <c r="L149" s="304">
        <f t="shared" si="11"/>
        <v>3592.9905276880163</v>
      </c>
    </row>
    <row r="150" spans="1:12" x14ac:dyDescent="0.2">
      <c r="A150" s="10">
        <v>146</v>
      </c>
      <c r="B150" s="301" t="s">
        <v>744</v>
      </c>
      <c r="C150" s="302" t="s">
        <v>617</v>
      </c>
      <c r="D150" s="302" t="s">
        <v>556</v>
      </c>
      <c r="E150" s="302">
        <v>182</v>
      </c>
      <c r="F150" s="302">
        <v>1998</v>
      </c>
      <c r="G150" s="302" t="str">
        <f t="shared" si="8"/>
        <v>PE</v>
      </c>
      <c r="H150" s="9" t="str">
        <f t="shared" si="9"/>
        <v>4" PE EXTN</v>
      </c>
      <c r="I150" s="9" t="str">
        <f t="shared" si="10"/>
        <v>4" PE STUB</v>
      </c>
      <c r="J150" s="303">
        <f>VLOOKUP(H150,'JKP-8.4c - Total Costs'!$A$6:$D$52,4,FALSE)</f>
        <v>2614.2892777862512</v>
      </c>
      <c r="K150" s="303">
        <f>VLOOKUP(I150,'JKP-8.4c - Total Costs'!$A$6:$D$52,4,FALSE)</f>
        <v>978.7012499017651</v>
      </c>
      <c r="L150" s="304">
        <f t="shared" si="11"/>
        <v>3592.9905276880163</v>
      </c>
    </row>
    <row r="151" spans="1:12" x14ac:dyDescent="0.2">
      <c r="A151" s="10">
        <v>147</v>
      </c>
      <c r="B151" s="301" t="s">
        <v>744</v>
      </c>
      <c r="C151" s="302" t="s">
        <v>608</v>
      </c>
      <c r="D151" s="302" t="s">
        <v>556</v>
      </c>
      <c r="E151" s="302">
        <v>235</v>
      </c>
      <c r="F151" s="302">
        <v>2003</v>
      </c>
      <c r="G151" s="302" t="str">
        <f t="shared" si="8"/>
        <v>PE</v>
      </c>
      <c r="H151" s="9" t="str">
        <f t="shared" si="9"/>
        <v>2" PE EXTN</v>
      </c>
      <c r="I151" s="9" t="str">
        <f t="shared" si="10"/>
        <v>2" PE STUB</v>
      </c>
      <c r="J151" s="303">
        <f>VLOOKUP(H151,'JKP-8.4c - Total Costs'!$A$6:$D$52,4,FALSE)</f>
        <v>3217.4108620235775</v>
      </c>
      <c r="K151" s="303">
        <f>VLOOKUP(I151,'JKP-8.4c - Total Costs'!$A$6:$D$52,4,FALSE)</f>
        <v>1470.4671789049644</v>
      </c>
      <c r="L151" s="304">
        <f t="shared" si="11"/>
        <v>4687.8780409285419</v>
      </c>
    </row>
    <row r="152" spans="1:12" x14ac:dyDescent="0.2">
      <c r="A152" s="10">
        <v>148</v>
      </c>
      <c r="B152" s="301" t="s">
        <v>744</v>
      </c>
      <c r="C152" s="302" t="s">
        <v>608</v>
      </c>
      <c r="D152" s="302" t="s">
        <v>556</v>
      </c>
      <c r="E152" s="302">
        <v>222</v>
      </c>
      <c r="F152" s="302">
        <v>2003</v>
      </c>
      <c r="G152" s="302" t="str">
        <f t="shared" si="8"/>
        <v>PE</v>
      </c>
      <c r="H152" s="9" t="str">
        <f t="shared" si="9"/>
        <v>2" PE EXTN</v>
      </c>
      <c r="I152" s="9" t="str">
        <f t="shared" si="10"/>
        <v>2" PE STUB</v>
      </c>
      <c r="J152" s="303">
        <f>VLOOKUP(H152,'JKP-8.4c - Total Costs'!$A$6:$D$52,4,FALSE)</f>
        <v>3217.4108620235775</v>
      </c>
      <c r="K152" s="303">
        <f>VLOOKUP(I152,'JKP-8.4c - Total Costs'!$A$6:$D$52,4,FALSE)</f>
        <v>1470.4671789049644</v>
      </c>
      <c r="L152" s="304">
        <f t="shared" si="11"/>
        <v>4687.8780409285419</v>
      </c>
    </row>
    <row r="153" spans="1:12" x14ac:dyDescent="0.2">
      <c r="A153" s="10">
        <v>149</v>
      </c>
      <c r="B153" s="301" t="s">
        <v>741</v>
      </c>
      <c r="C153" s="302" t="s">
        <v>608</v>
      </c>
      <c r="D153" s="302" t="s">
        <v>743</v>
      </c>
      <c r="E153" s="302">
        <v>31</v>
      </c>
      <c r="F153" s="302">
        <v>1957</v>
      </c>
      <c r="G153" s="302" t="str">
        <f t="shared" si="8"/>
        <v>ST</v>
      </c>
      <c r="H153" s="9" t="str">
        <f t="shared" si="9"/>
        <v>2" ST EXTN</v>
      </c>
      <c r="I153" s="9" t="str">
        <f t="shared" si="10"/>
        <v>2" ST STUB</v>
      </c>
      <c r="J153" s="303">
        <f>VLOOKUP(H153,'JKP-8.4c - Total Costs'!$A$6:$D$52,4,FALSE)</f>
        <v>2648.6561603011223</v>
      </c>
      <c r="K153" s="303">
        <f>VLOOKUP(I153,'JKP-8.4c - Total Costs'!$A$6:$D$52,4,FALSE)</f>
        <v>963.78049662050148</v>
      </c>
      <c r="L153" s="304">
        <f t="shared" si="11"/>
        <v>3612.4366569216236</v>
      </c>
    </row>
    <row r="154" spans="1:12" x14ac:dyDescent="0.2">
      <c r="A154" s="10">
        <v>150</v>
      </c>
      <c r="B154" s="301" t="s">
        <v>741</v>
      </c>
      <c r="C154" s="302" t="s">
        <v>617</v>
      </c>
      <c r="D154" s="302" t="s">
        <v>556</v>
      </c>
      <c r="E154" s="302">
        <v>499</v>
      </c>
      <c r="F154" s="302">
        <v>1995</v>
      </c>
      <c r="G154" s="302" t="str">
        <f t="shared" si="8"/>
        <v>PE</v>
      </c>
      <c r="H154" s="9" t="str">
        <f t="shared" si="9"/>
        <v>4" PE EXTN</v>
      </c>
      <c r="I154" s="9" t="str">
        <f t="shared" si="10"/>
        <v>4" PE STUB</v>
      </c>
      <c r="J154" s="303">
        <f>VLOOKUP(H154,'JKP-8.4c - Total Costs'!$A$6:$D$52,4,FALSE)</f>
        <v>2614.2892777862512</v>
      </c>
      <c r="K154" s="303">
        <f>VLOOKUP(I154,'JKP-8.4c - Total Costs'!$A$6:$D$52,4,FALSE)</f>
        <v>978.7012499017651</v>
      </c>
      <c r="L154" s="304">
        <f t="shared" si="11"/>
        <v>3592.9905276880163</v>
      </c>
    </row>
    <row r="155" spans="1:12" x14ac:dyDescent="0.2">
      <c r="A155" s="10">
        <v>151</v>
      </c>
      <c r="B155" s="301" t="s">
        <v>741</v>
      </c>
      <c r="C155" s="302" t="s">
        <v>624</v>
      </c>
      <c r="D155" s="302" t="s">
        <v>556</v>
      </c>
      <c r="E155" s="302">
        <v>26</v>
      </c>
      <c r="F155" s="302">
        <v>2006</v>
      </c>
      <c r="G155" s="302" t="str">
        <f t="shared" si="8"/>
        <v>PE</v>
      </c>
      <c r="H155" s="9" t="str">
        <f t="shared" si="9"/>
        <v>6" PE EXTN</v>
      </c>
      <c r="I155" s="9" t="str">
        <f t="shared" si="10"/>
        <v>6" PE STUB</v>
      </c>
      <c r="J155" s="303">
        <f>VLOOKUP(H155,'JKP-8.4c - Total Costs'!$A$6:$D$52,4,FALSE)</f>
        <v>27472.348504951377</v>
      </c>
      <c r="K155" s="303">
        <f>VLOOKUP(I155,'JKP-8.4c - Total Costs'!$A$6:$D$52,4,FALSE)</f>
        <v>15176.640974122591</v>
      </c>
      <c r="L155" s="304">
        <f t="shared" si="11"/>
        <v>42648.989479073964</v>
      </c>
    </row>
    <row r="156" spans="1:12" x14ac:dyDescent="0.2">
      <c r="A156" s="10">
        <v>152</v>
      </c>
      <c r="B156" s="301" t="s">
        <v>741</v>
      </c>
      <c r="C156" s="302" t="s">
        <v>608</v>
      </c>
      <c r="D156" s="302" t="s">
        <v>556</v>
      </c>
      <c r="E156" s="302">
        <v>159</v>
      </c>
      <c r="F156" s="302">
        <v>2009</v>
      </c>
      <c r="G156" s="302" t="str">
        <f t="shared" si="8"/>
        <v>PE</v>
      </c>
      <c r="H156" s="9" t="str">
        <f t="shared" si="9"/>
        <v>2" PE EXTN</v>
      </c>
      <c r="I156" s="9" t="str">
        <f t="shared" si="10"/>
        <v>2" PE STUB</v>
      </c>
      <c r="J156" s="303">
        <f>VLOOKUP(H156,'JKP-8.4c - Total Costs'!$A$6:$D$52,4,FALSE)</f>
        <v>3217.4108620235775</v>
      </c>
      <c r="K156" s="303">
        <f>VLOOKUP(I156,'JKP-8.4c - Total Costs'!$A$6:$D$52,4,FALSE)</f>
        <v>1470.4671789049644</v>
      </c>
      <c r="L156" s="304">
        <f t="shared" si="11"/>
        <v>4687.8780409285419</v>
      </c>
    </row>
    <row r="157" spans="1:12" x14ac:dyDescent="0.2">
      <c r="A157" s="10">
        <v>153</v>
      </c>
      <c r="B157" s="301" t="s">
        <v>741</v>
      </c>
      <c r="C157" s="302" t="s">
        <v>608</v>
      </c>
      <c r="D157" s="302" t="s">
        <v>743</v>
      </c>
      <c r="E157" s="302">
        <v>75</v>
      </c>
      <c r="F157" s="302">
        <v>1973</v>
      </c>
      <c r="G157" s="302" t="str">
        <f t="shared" si="8"/>
        <v>ST</v>
      </c>
      <c r="H157" s="9" t="str">
        <f t="shared" si="9"/>
        <v>2" ST EXTN</v>
      </c>
      <c r="I157" s="9" t="str">
        <f t="shared" si="10"/>
        <v>2" ST STUB</v>
      </c>
      <c r="J157" s="303">
        <f>VLOOKUP(H157,'JKP-8.4c - Total Costs'!$A$6:$D$52,4,FALSE)</f>
        <v>2648.6561603011223</v>
      </c>
      <c r="K157" s="303">
        <f>VLOOKUP(I157,'JKP-8.4c - Total Costs'!$A$6:$D$52,4,FALSE)</f>
        <v>963.78049662050148</v>
      </c>
      <c r="L157" s="304">
        <f t="shared" si="11"/>
        <v>3612.4366569216236</v>
      </c>
    </row>
    <row r="158" spans="1:12" x14ac:dyDescent="0.2">
      <c r="A158" s="10">
        <v>154</v>
      </c>
      <c r="B158" s="301" t="s">
        <v>741</v>
      </c>
      <c r="C158" s="302" t="s">
        <v>617</v>
      </c>
      <c r="D158" s="302" t="s">
        <v>743</v>
      </c>
      <c r="E158" s="302">
        <v>78</v>
      </c>
      <c r="F158" s="302">
        <v>1957</v>
      </c>
      <c r="G158" s="302" t="str">
        <f t="shared" si="8"/>
        <v>ST</v>
      </c>
      <c r="H158" s="9" t="str">
        <f t="shared" si="9"/>
        <v>4" ST EXTN</v>
      </c>
      <c r="I158" s="9" t="str">
        <f t="shared" si="10"/>
        <v>4" ST STUB</v>
      </c>
      <c r="J158" s="303">
        <f>VLOOKUP(H158,'JKP-8.4c - Total Costs'!$A$6:$D$52,4,FALSE)</f>
        <v>44399.854205685449</v>
      </c>
      <c r="K158" s="303">
        <f>VLOOKUP(I158,'JKP-8.4c - Total Costs'!$A$6:$D$52,4,FALSE)</f>
        <v>15876.442206399237</v>
      </c>
      <c r="L158" s="304">
        <f t="shared" si="11"/>
        <v>60276.296412084688</v>
      </c>
    </row>
    <row r="159" spans="1:12" x14ac:dyDescent="0.2">
      <c r="A159" s="10">
        <v>155</v>
      </c>
      <c r="B159" s="301" t="s">
        <v>748</v>
      </c>
      <c r="C159" s="302" t="s">
        <v>617</v>
      </c>
      <c r="D159" s="302" t="s">
        <v>556</v>
      </c>
      <c r="E159" s="302">
        <v>730</v>
      </c>
      <c r="F159" s="302">
        <v>1991</v>
      </c>
      <c r="G159" s="302" t="str">
        <f t="shared" si="8"/>
        <v>PE</v>
      </c>
      <c r="H159" s="9" t="str">
        <f t="shared" si="9"/>
        <v>4" PE EXTN</v>
      </c>
      <c r="I159" s="9" t="str">
        <f t="shared" si="10"/>
        <v>4" PE STUB</v>
      </c>
      <c r="J159" s="303">
        <f>VLOOKUP(H159,'JKP-8.4c - Total Costs'!$A$6:$D$52,4,FALSE)</f>
        <v>2614.2892777862512</v>
      </c>
      <c r="K159" s="303">
        <f>VLOOKUP(I159,'JKP-8.4c - Total Costs'!$A$6:$D$52,4,FALSE)</f>
        <v>978.7012499017651</v>
      </c>
      <c r="L159" s="304">
        <f t="shared" si="11"/>
        <v>3592.9905276880163</v>
      </c>
    </row>
    <row r="160" spans="1:12" x14ac:dyDescent="0.2">
      <c r="A160" s="10">
        <v>156</v>
      </c>
      <c r="B160" s="301" t="s">
        <v>742</v>
      </c>
      <c r="C160" s="302" t="s">
        <v>617</v>
      </c>
      <c r="D160" s="302" t="s">
        <v>743</v>
      </c>
      <c r="E160" s="302">
        <v>87</v>
      </c>
      <c r="F160" s="302">
        <v>1966</v>
      </c>
      <c r="G160" s="302" t="str">
        <f t="shared" si="8"/>
        <v>ST</v>
      </c>
      <c r="H160" s="9" t="str">
        <f t="shared" si="9"/>
        <v>4" ST EXTN</v>
      </c>
      <c r="I160" s="9" t="str">
        <f t="shared" si="10"/>
        <v>4" ST STUB</v>
      </c>
      <c r="J160" s="303">
        <f>VLOOKUP(H160,'JKP-8.4c - Total Costs'!$A$6:$D$52,4,FALSE)</f>
        <v>44399.854205685449</v>
      </c>
      <c r="K160" s="303">
        <f>VLOOKUP(I160,'JKP-8.4c - Total Costs'!$A$6:$D$52,4,FALSE)</f>
        <v>15876.442206399237</v>
      </c>
      <c r="L160" s="304">
        <f t="shared" si="11"/>
        <v>60276.296412084688</v>
      </c>
    </row>
    <row r="161" spans="1:12" x14ac:dyDescent="0.2">
      <c r="A161" s="10">
        <v>157</v>
      </c>
      <c r="B161" s="301" t="s">
        <v>742</v>
      </c>
      <c r="C161" s="302" t="s">
        <v>624</v>
      </c>
      <c r="D161" s="302" t="s">
        <v>556</v>
      </c>
      <c r="E161" s="302">
        <v>582</v>
      </c>
      <c r="F161" s="302">
        <v>1997</v>
      </c>
      <c r="G161" s="302" t="str">
        <f t="shared" si="8"/>
        <v>PE</v>
      </c>
      <c r="H161" s="9" t="str">
        <f t="shared" si="9"/>
        <v>6" PE EXTN</v>
      </c>
      <c r="I161" s="9" t="str">
        <f t="shared" si="10"/>
        <v>6" PE STUB</v>
      </c>
      <c r="J161" s="303">
        <f>VLOOKUP(H161,'JKP-8.4c - Total Costs'!$A$6:$D$52,4,FALSE)</f>
        <v>27472.348504951377</v>
      </c>
      <c r="K161" s="303">
        <f>VLOOKUP(I161,'JKP-8.4c - Total Costs'!$A$6:$D$52,4,FALSE)</f>
        <v>15176.640974122591</v>
      </c>
      <c r="L161" s="304">
        <f t="shared" si="11"/>
        <v>42648.989479073964</v>
      </c>
    </row>
    <row r="162" spans="1:12" x14ac:dyDescent="0.2">
      <c r="A162" s="10">
        <v>158</v>
      </c>
      <c r="B162" s="301" t="s">
        <v>742</v>
      </c>
      <c r="C162" s="302" t="s">
        <v>617</v>
      </c>
      <c r="D162" s="302" t="s">
        <v>743</v>
      </c>
      <c r="E162" s="302">
        <v>62</v>
      </c>
      <c r="F162" s="302">
        <v>1997</v>
      </c>
      <c r="G162" s="302" t="str">
        <f t="shared" si="8"/>
        <v>ST</v>
      </c>
      <c r="H162" s="9" t="str">
        <f t="shared" si="9"/>
        <v>4" ST EXTN</v>
      </c>
      <c r="I162" s="9" t="str">
        <f t="shared" si="10"/>
        <v>4" ST STUB</v>
      </c>
      <c r="J162" s="303">
        <f>VLOOKUP(H162,'JKP-8.4c - Total Costs'!$A$6:$D$52,4,FALSE)</f>
        <v>44399.854205685449</v>
      </c>
      <c r="K162" s="303">
        <f>VLOOKUP(I162,'JKP-8.4c - Total Costs'!$A$6:$D$52,4,FALSE)</f>
        <v>15876.442206399237</v>
      </c>
      <c r="L162" s="304">
        <f t="shared" si="11"/>
        <v>60276.296412084688</v>
      </c>
    </row>
    <row r="163" spans="1:12" x14ac:dyDescent="0.2">
      <c r="A163" s="10">
        <v>159</v>
      </c>
      <c r="B163" s="301" t="s">
        <v>744</v>
      </c>
      <c r="C163" s="302" t="s">
        <v>608</v>
      </c>
      <c r="D163" s="302" t="s">
        <v>743</v>
      </c>
      <c r="E163" s="302">
        <v>15</v>
      </c>
      <c r="F163" s="302">
        <v>1984</v>
      </c>
      <c r="G163" s="302" t="str">
        <f t="shared" si="8"/>
        <v>ST</v>
      </c>
      <c r="H163" s="9" t="str">
        <f t="shared" si="9"/>
        <v>2" ST EXTN</v>
      </c>
      <c r="I163" s="9" t="str">
        <f t="shared" si="10"/>
        <v>2" ST STUB</v>
      </c>
      <c r="J163" s="303">
        <f>VLOOKUP(H163,'JKP-8.4c - Total Costs'!$A$6:$D$52,4,FALSE)</f>
        <v>2648.6561603011223</v>
      </c>
      <c r="K163" s="303">
        <f>VLOOKUP(I163,'JKP-8.4c - Total Costs'!$A$6:$D$52,4,FALSE)</f>
        <v>963.78049662050148</v>
      </c>
      <c r="L163" s="304">
        <f t="shared" si="11"/>
        <v>3612.4366569216236</v>
      </c>
    </row>
    <row r="164" spans="1:12" x14ac:dyDescent="0.2">
      <c r="A164" s="10">
        <v>160</v>
      </c>
      <c r="B164" s="301" t="s">
        <v>751</v>
      </c>
      <c r="C164" s="302" t="s">
        <v>608</v>
      </c>
      <c r="D164" s="302" t="s">
        <v>556</v>
      </c>
      <c r="E164" s="302">
        <v>14</v>
      </c>
      <c r="F164" s="302">
        <v>1996</v>
      </c>
      <c r="G164" s="302" t="str">
        <f t="shared" si="8"/>
        <v>PE</v>
      </c>
      <c r="H164" s="9" t="str">
        <f t="shared" si="9"/>
        <v>2" PE EXTN</v>
      </c>
      <c r="I164" s="9" t="str">
        <f t="shared" si="10"/>
        <v>2" PE STUB</v>
      </c>
      <c r="J164" s="303">
        <f>VLOOKUP(H164,'JKP-8.4c - Total Costs'!$A$6:$D$52,4,FALSE)</f>
        <v>3217.4108620235775</v>
      </c>
      <c r="K164" s="303">
        <f>VLOOKUP(I164,'JKP-8.4c - Total Costs'!$A$6:$D$52,4,FALSE)</f>
        <v>1470.4671789049644</v>
      </c>
      <c r="L164" s="304">
        <f t="shared" si="11"/>
        <v>4687.8780409285419</v>
      </c>
    </row>
    <row r="165" spans="1:12" x14ac:dyDescent="0.2">
      <c r="A165" s="10">
        <v>161</v>
      </c>
      <c r="B165" s="301" t="s">
        <v>744</v>
      </c>
      <c r="C165" s="305" t="s">
        <v>599</v>
      </c>
      <c r="D165" s="302" t="s">
        <v>556</v>
      </c>
      <c r="E165" s="302">
        <v>331</v>
      </c>
      <c r="F165" s="302">
        <v>1989</v>
      </c>
      <c r="G165" s="302" t="str">
        <f t="shared" si="8"/>
        <v>PE</v>
      </c>
      <c r="H165" s="9" t="str">
        <f t="shared" si="9"/>
        <v>1.25" PE EXTN</v>
      </c>
      <c r="I165" s="9" t="str">
        <f t="shared" si="10"/>
        <v>1.25" PE STUB</v>
      </c>
      <c r="J165" s="303">
        <f>VLOOKUP(H165,'JKP-8.4c - Total Costs'!$A$6:$D$52,4,FALSE)</f>
        <v>2869.6293607026869</v>
      </c>
      <c r="K165" s="303">
        <f>VLOOKUP(I165,'JKP-8.4c - Total Costs'!$A$6:$D$52,4,FALSE)</f>
        <v>1526.7195609992903</v>
      </c>
      <c r="L165" s="304">
        <f t="shared" si="11"/>
        <v>4396.3489217019769</v>
      </c>
    </row>
    <row r="166" spans="1:12" x14ac:dyDescent="0.2">
      <c r="A166" s="10">
        <v>162</v>
      </c>
      <c r="B166" s="301" t="s">
        <v>749</v>
      </c>
      <c r="C166" s="302" t="s">
        <v>624</v>
      </c>
      <c r="D166" s="302" t="s">
        <v>746</v>
      </c>
      <c r="E166" s="302">
        <v>250</v>
      </c>
      <c r="F166" s="302">
        <v>1995</v>
      </c>
      <c r="G166" s="302" t="str">
        <f t="shared" si="8"/>
        <v>ST</v>
      </c>
      <c r="H166" s="9" t="str">
        <f t="shared" si="9"/>
        <v>6" ST EXTN</v>
      </c>
      <c r="I166" s="9" t="str">
        <f t="shared" si="10"/>
        <v>6" ST STUB</v>
      </c>
      <c r="J166" s="303">
        <f>VLOOKUP(H166,'JKP-8.4c - Total Costs'!$A$6:$D$52,4,FALSE)</f>
        <v>32508.513679483611</v>
      </c>
      <c r="K166" s="303">
        <f>VLOOKUP(I166,'JKP-8.4c - Total Costs'!$A$6:$D$52,4,FALSE)</f>
        <v>10052.239930846741</v>
      </c>
      <c r="L166" s="304">
        <f t="shared" si="11"/>
        <v>42560.75361033035</v>
      </c>
    </row>
    <row r="167" spans="1:12" x14ac:dyDescent="0.2">
      <c r="A167" s="10">
        <v>163</v>
      </c>
      <c r="B167" s="301" t="s">
        <v>741</v>
      </c>
      <c r="C167" s="302" t="s">
        <v>617</v>
      </c>
      <c r="D167" s="302" t="s">
        <v>556</v>
      </c>
      <c r="E167" s="302">
        <v>958</v>
      </c>
      <c r="F167" s="302">
        <v>1982</v>
      </c>
      <c r="G167" s="302" t="str">
        <f t="shared" si="8"/>
        <v>PE</v>
      </c>
      <c r="H167" s="9" t="str">
        <f t="shared" si="9"/>
        <v>4" PE EXTN</v>
      </c>
      <c r="I167" s="9" t="str">
        <f t="shared" si="10"/>
        <v>4" PE STUB</v>
      </c>
      <c r="J167" s="303">
        <f>VLOOKUP(H167,'JKP-8.4c - Total Costs'!$A$6:$D$52,4,FALSE)</f>
        <v>2614.2892777862512</v>
      </c>
      <c r="K167" s="303">
        <f>VLOOKUP(I167,'JKP-8.4c - Total Costs'!$A$6:$D$52,4,FALSE)</f>
        <v>978.7012499017651</v>
      </c>
      <c r="L167" s="304">
        <f t="shared" si="11"/>
        <v>3592.9905276880163</v>
      </c>
    </row>
    <row r="168" spans="1:12" ht="13.5" customHeight="1" x14ac:dyDescent="0.2">
      <c r="A168" s="10">
        <v>164</v>
      </c>
      <c r="B168" s="301" t="s">
        <v>741</v>
      </c>
      <c r="C168" s="305" t="s">
        <v>617</v>
      </c>
      <c r="D168" s="302" t="s">
        <v>556</v>
      </c>
      <c r="E168" s="302">
        <v>675</v>
      </c>
      <c r="F168" s="302">
        <v>2007</v>
      </c>
      <c r="G168" s="302" t="str">
        <f t="shared" si="8"/>
        <v>PE</v>
      </c>
      <c r="H168" s="9" t="str">
        <f t="shared" si="9"/>
        <v>4" PE EXTN</v>
      </c>
      <c r="I168" s="9" t="str">
        <f t="shared" si="10"/>
        <v>4" PE STUB</v>
      </c>
      <c r="J168" s="303">
        <f>VLOOKUP(H168,'JKP-8.4c - Total Costs'!$A$6:$D$52,4,FALSE)</f>
        <v>2614.2892777862512</v>
      </c>
      <c r="K168" s="303">
        <f>VLOOKUP(I168,'JKP-8.4c - Total Costs'!$A$6:$D$52,4,FALSE)</f>
        <v>978.7012499017651</v>
      </c>
      <c r="L168" s="304">
        <f t="shared" si="11"/>
        <v>3592.9905276880163</v>
      </c>
    </row>
    <row r="169" spans="1:12" x14ac:dyDescent="0.2">
      <c r="A169" s="10">
        <v>165</v>
      </c>
      <c r="B169" s="11" t="s">
        <v>744</v>
      </c>
      <c r="C169" s="302" t="s">
        <v>617</v>
      </c>
      <c r="D169" s="302" t="s">
        <v>556</v>
      </c>
      <c r="E169" s="302">
        <v>157</v>
      </c>
      <c r="F169" s="302">
        <v>2009</v>
      </c>
      <c r="G169" s="302" t="str">
        <f t="shared" si="8"/>
        <v>PE</v>
      </c>
      <c r="H169" s="9" t="str">
        <f t="shared" si="9"/>
        <v>4" PE EXTN</v>
      </c>
      <c r="I169" s="9" t="str">
        <f t="shared" si="10"/>
        <v>4" PE STUB</v>
      </c>
      <c r="J169" s="303">
        <f>VLOOKUP(H169,'JKP-8.4c - Total Costs'!$A$6:$D$52,4,FALSE)</f>
        <v>2614.2892777862512</v>
      </c>
      <c r="K169" s="303">
        <f>VLOOKUP(I169,'JKP-8.4c - Total Costs'!$A$6:$D$52,4,FALSE)</f>
        <v>978.7012499017651</v>
      </c>
      <c r="L169" s="304">
        <f t="shared" si="11"/>
        <v>3592.9905276880163</v>
      </c>
    </row>
    <row r="170" spans="1:12" x14ac:dyDescent="0.2">
      <c r="A170" s="10">
        <v>166</v>
      </c>
      <c r="B170" s="301" t="s">
        <v>751</v>
      </c>
      <c r="C170" s="308" t="s">
        <v>617</v>
      </c>
      <c r="D170" s="302" t="s">
        <v>556</v>
      </c>
      <c r="E170" s="302" t="s">
        <v>757</v>
      </c>
      <c r="F170" s="302">
        <v>1987</v>
      </c>
      <c r="G170" s="302" t="str">
        <f t="shared" si="8"/>
        <v>PE</v>
      </c>
      <c r="H170" s="9" t="str">
        <f t="shared" si="9"/>
        <v>4" PE EXTN</v>
      </c>
      <c r="I170" s="9" t="str">
        <f t="shared" si="10"/>
        <v>4" PE STUB</v>
      </c>
      <c r="J170" s="303">
        <f>VLOOKUP(H170,'JKP-8.4c - Total Costs'!$A$6:$D$52,4,FALSE)</f>
        <v>2614.2892777862512</v>
      </c>
      <c r="K170" s="303">
        <f>VLOOKUP(I170,'JKP-8.4c - Total Costs'!$A$6:$D$52,4,FALSE)</f>
        <v>978.7012499017651</v>
      </c>
      <c r="L170" s="304">
        <f t="shared" si="11"/>
        <v>3592.9905276880163</v>
      </c>
    </row>
    <row r="171" spans="1:12" x14ac:dyDescent="0.2">
      <c r="A171" s="10">
        <v>167</v>
      </c>
      <c r="B171" s="301" t="s">
        <v>741</v>
      </c>
      <c r="C171" s="302" t="s">
        <v>624</v>
      </c>
      <c r="D171" s="302" t="s">
        <v>556</v>
      </c>
      <c r="E171" s="302">
        <v>366</v>
      </c>
      <c r="F171" s="302">
        <v>2009</v>
      </c>
      <c r="G171" s="302" t="str">
        <f t="shared" si="8"/>
        <v>PE</v>
      </c>
      <c r="H171" s="9" t="str">
        <f t="shared" si="9"/>
        <v>6" PE EXTN</v>
      </c>
      <c r="I171" s="9" t="str">
        <f t="shared" si="10"/>
        <v>6" PE STUB</v>
      </c>
      <c r="J171" s="303">
        <f>VLOOKUP(H171,'JKP-8.4c - Total Costs'!$A$6:$D$52,4,FALSE)</f>
        <v>27472.348504951377</v>
      </c>
      <c r="K171" s="303">
        <f>VLOOKUP(I171,'JKP-8.4c - Total Costs'!$A$6:$D$52,4,FALSE)</f>
        <v>15176.640974122591</v>
      </c>
      <c r="L171" s="304">
        <f t="shared" si="11"/>
        <v>42648.989479073964</v>
      </c>
    </row>
    <row r="172" spans="1:12" x14ac:dyDescent="0.2">
      <c r="A172" s="10">
        <v>168</v>
      </c>
      <c r="B172" s="301" t="s">
        <v>742</v>
      </c>
      <c r="C172" s="302" t="s">
        <v>617</v>
      </c>
      <c r="D172" s="302" t="s">
        <v>743</v>
      </c>
      <c r="E172" s="302">
        <v>130</v>
      </c>
      <c r="F172" s="302">
        <v>1977</v>
      </c>
      <c r="G172" s="302" t="str">
        <f t="shared" si="8"/>
        <v>ST</v>
      </c>
      <c r="H172" s="9" t="str">
        <f t="shared" si="9"/>
        <v>4" ST EXTN</v>
      </c>
      <c r="I172" s="9" t="str">
        <f t="shared" si="10"/>
        <v>4" ST STUB</v>
      </c>
      <c r="J172" s="303">
        <f>VLOOKUP(H172,'JKP-8.4c - Total Costs'!$A$6:$D$52,4,FALSE)</f>
        <v>44399.854205685449</v>
      </c>
      <c r="K172" s="303">
        <f>VLOOKUP(I172,'JKP-8.4c - Total Costs'!$A$6:$D$52,4,FALSE)</f>
        <v>15876.442206399237</v>
      </c>
      <c r="L172" s="304">
        <f t="shared" si="11"/>
        <v>60276.296412084688</v>
      </c>
    </row>
    <row r="173" spans="1:12" x14ac:dyDescent="0.2">
      <c r="A173" s="10">
        <v>169</v>
      </c>
      <c r="B173" s="301" t="s">
        <v>744</v>
      </c>
      <c r="C173" s="302" t="s">
        <v>617</v>
      </c>
      <c r="D173" s="302" t="s">
        <v>743</v>
      </c>
      <c r="E173" s="302">
        <v>14</v>
      </c>
      <c r="F173" s="302">
        <v>1995</v>
      </c>
      <c r="G173" s="302" t="str">
        <f t="shared" si="8"/>
        <v>ST</v>
      </c>
      <c r="H173" s="9" t="str">
        <f t="shared" si="9"/>
        <v>4" ST EXTN</v>
      </c>
      <c r="I173" s="9" t="str">
        <f t="shared" si="10"/>
        <v>4" ST STUB</v>
      </c>
      <c r="J173" s="303">
        <f>VLOOKUP(H173,'JKP-8.4c - Total Costs'!$A$6:$D$52,4,FALSE)</f>
        <v>44399.854205685449</v>
      </c>
      <c r="K173" s="303">
        <f>VLOOKUP(I173,'JKP-8.4c - Total Costs'!$A$6:$D$52,4,FALSE)</f>
        <v>15876.442206399237</v>
      </c>
      <c r="L173" s="304">
        <f t="shared" si="11"/>
        <v>60276.296412084688</v>
      </c>
    </row>
    <row r="174" spans="1:12" x14ac:dyDescent="0.2">
      <c r="A174" s="10">
        <v>170</v>
      </c>
      <c r="B174" s="301" t="s">
        <v>742</v>
      </c>
      <c r="C174" s="302" t="s">
        <v>617</v>
      </c>
      <c r="D174" s="302" t="s">
        <v>746</v>
      </c>
      <c r="E174" s="302">
        <v>944</v>
      </c>
      <c r="F174" s="302">
        <v>1977</v>
      </c>
      <c r="G174" s="302" t="str">
        <f t="shared" si="8"/>
        <v>ST</v>
      </c>
      <c r="H174" s="9" t="str">
        <f t="shared" si="9"/>
        <v>4" ST EXTN</v>
      </c>
      <c r="I174" s="9" t="str">
        <f t="shared" si="10"/>
        <v>4" ST STUB</v>
      </c>
      <c r="J174" s="303">
        <f>VLOOKUP(H174,'JKP-8.4c - Total Costs'!$A$6:$D$52,4,FALSE)</f>
        <v>44399.854205685449</v>
      </c>
      <c r="K174" s="303">
        <f>VLOOKUP(I174,'JKP-8.4c - Total Costs'!$A$6:$D$52,4,FALSE)</f>
        <v>15876.442206399237</v>
      </c>
      <c r="L174" s="304">
        <f t="shared" si="11"/>
        <v>60276.296412084688</v>
      </c>
    </row>
    <row r="175" spans="1:12" x14ac:dyDescent="0.2">
      <c r="A175" s="10">
        <v>171</v>
      </c>
      <c r="B175" s="301" t="s">
        <v>742</v>
      </c>
      <c r="C175" s="302" t="s">
        <v>617</v>
      </c>
      <c r="D175" s="302" t="s">
        <v>743</v>
      </c>
      <c r="E175" s="302">
        <v>260</v>
      </c>
      <c r="F175" s="302">
        <v>1971</v>
      </c>
      <c r="G175" s="302" t="str">
        <f t="shared" si="8"/>
        <v>ST</v>
      </c>
      <c r="H175" s="9" t="str">
        <f t="shared" si="9"/>
        <v>4" ST EXTN</v>
      </c>
      <c r="I175" s="9" t="str">
        <f t="shared" si="10"/>
        <v>4" ST STUB</v>
      </c>
      <c r="J175" s="303">
        <f>VLOOKUP(H175,'JKP-8.4c - Total Costs'!$A$6:$D$52,4,FALSE)</f>
        <v>44399.854205685449</v>
      </c>
      <c r="K175" s="303">
        <f>VLOOKUP(I175,'JKP-8.4c - Total Costs'!$A$6:$D$52,4,FALSE)</f>
        <v>15876.442206399237</v>
      </c>
      <c r="L175" s="304">
        <f t="shared" si="11"/>
        <v>60276.296412084688</v>
      </c>
    </row>
    <row r="176" spans="1:12" x14ac:dyDescent="0.2">
      <c r="A176" s="10">
        <v>172</v>
      </c>
      <c r="B176" s="301" t="s">
        <v>742</v>
      </c>
      <c r="C176" s="302" t="s">
        <v>617</v>
      </c>
      <c r="D176" s="302" t="s">
        <v>746</v>
      </c>
      <c r="E176" s="302" t="s">
        <v>758</v>
      </c>
      <c r="F176" s="302">
        <v>2001</v>
      </c>
      <c r="G176" s="302" t="str">
        <f t="shared" si="8"/>
        <v>ST</v>
      </c>
      <c r="H176" s="9" t="str">
        <f t="shared" si="9"/>
        <v>4" ST EXTN</v>
      </c>
      <c r="I176" s="9" t="str">
        <f t="shared" si="10"/>
        <v>4" ST STUB</v>
      </c>
      <c r="J176" s="303">
        <f>VLOOKUP(H176,'JKP-8.4c - Total Costs'!$A$6:$D$52,4,FALSE)</f>
        <v>44399.854205685449</v>
      </c>
      <c r="K176" s="303">
        <f>VLOOKUP(I176,'JKP-8.4c - Total Costs'!$A$6:$D$52,4,FALSE)</f>
        <v>15876.442206399237</v>
      </c>
      <c r="L176" s="304">
        <f t="shared" si="11"/>
        <v>60276.296412084688</v>
      </c>
    </row>
    <row r="177" spans="1:12" x14ac:dyDescent="0.2">
      <c r="A177" s="10">
        <v>173</v>
      </c>
      <c r="B177" s="11" t="s">
        <v>742</v>
      </c>
      <c r="C177" s="302" t="s">
        <v>617</v>
      </c>
      <c r="D177" s="302" t="s">
        <v>743</v>
      </c>
      <c r="E177" s="302" t="s">
        <v>759</v>
      </c>
      <c r="F177" s="302">
        <v>1986</v>
      </c>
      <c r="G177" s="302" t="str">
        <f t="shared" si="8"/>
        <v>ST</v>
      </c>
      <c r="H177" s="9" t="str">
        <f t="shared" si="9"/>
        <v>4" ST EXTN</v>
      </c>
      <c r="I177" s="9" t="str">
        <f t="shared" si="10"/>
        <v>4" ST STUB</v>
      </c>
      <c r="J177" s="303">
        <f>VLOOKUP(H177,'JKP-8.4c - Total Costs'!$A$6:$D$52,4,FALSE)</f>
        <v>44399.854205685449</v>
      </c>
      <c r="K177" s="303">
        <f>VLOOKUP(I177,'JKP-8.4c - Total Costs'!$A$6:$D$52,4,FALSE)</f>
        <v>15876.442206399237</v>
      </c>
      <c r="L177" s="304">
        <f t="shared" si="11"/>
        <v>60276.296412084688</v>
      </c>
    </row>
    <row r="178" spans="1:12" x14ac:dyDescent="0.2">
      <c r="B178" s="10" t="s">
        <v>23</v>
      </c>
      <c r="L178" s="304">
        <f>SUM(L5:L177)</f>
        <v>4224642.0749785686</v>
      </c>
    </row>
    <row r="180" spans="1:12" x14ac:dyDescent="0.2">
      <c r="L180" s="303"/>
    </row>
  </sheetData>
  <pageMargins left="0.7" right="0.7" top="0.75" bottom="0.75" header="0.3" footer="0.3"/>
  <pageSetup fitToHeight="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44"/>
  <sheetViews>
    <sheetView topLeftCell="A108" workbookViewId="0">
      <selection activeCell="C35" sqref="C35"/>
    </sheetView>
  </sheetViews>
  <sheetFormatPr defaultRowHeight="12.75" customHeight="1" x14ac:dyDescent="0.2"/>
  <cols>
    <col min="1" max="1" width="10.85546875" style="8" customWidth="1"/>
    <col min="2" max="2" width="9.140625" style="8"/>
    <col min="3" max="3" width="10" style="8" customWidth="1"/>
    <col min="4" max="4" width="9.140625" style="8"/>
    <col min="5" max="5" width="11.28515625" bestFit="1" customWidth="1"/>
    <col min="6" max="6" width="10.5703125" bestFit="1" customWidth="1"/>
    <col min="7" max="7" width="14.7109375" bestFit="1" customWidth="1"/>
    <col min="8" max="8" width="15" bestFit="1" customWidth="1"/>
    <col min="9" max="9" width="12.28515625" customWidth="1"/>
    <col min="10" max="10" width="14.5703125" customWidth="1"/>
    <col min="11" max="11" width="13.140625" customWidth="1"/>
    <col min="257" max="257" width="10.85546875" customWidth="1"/>
    <col min="259" max="259" width="10" customWidth="1"/>
    <col min="261" max="261" width="11.28515625" bestFit="1" customWidth="1"/>
    <col min="262" max="262" width="10.5703125" bestFit="1" customWidth="1"/>
    <col min="263" max="263" width="14.7109375" bestFit="1" customWidth="1"/>
    <col min="264" max="264" width="15" bestFit="1" customWidth="1"/>
    <col min="265" max="265" width="12.28515625" customWidth="1"/>
    <col min="266" max="266" width="14.5703125" customWidth="1"/>
    <col min="267" max="267" width="13.140625" customWidth="1"/>
    <col min="513" max="513" width="10.85546875" customWidth="1"/>
    <col min="515" max="515" width="10" customWidth="1"/>
    <col min="517" max="517" width="11.28515625" bestFit="1" customWidth="1"/>
    <col min="518" max="518" width="10.5703125" bestFit="1" customWidth="1"/>
    <col min="519" max="519" width="14.7109375" bestFit="1" customWidth="1"/>
    <col min="520" max="520" width="15" bestFit="1" customWidth="1"/>
    <col min="521" max="521" width="12.28515625" customWidth="1"/>
    <col min="522" max="522" width="14.5703125" customWidth="1"/>
    <col min="523" max="523" width="13.140625" customWidth="1"/>
    <col min="769" max="769" width="10.85546875" customWidth="1"/>
    <col min="771" max="771" width="10" customWidth="1"/>
    <col min="773" max="773" width="11.28515625" bestFit="1" customWidth="1"/>
    <col min="774" max="774" width="10.5703125" bestFit="1" customWidth="1"/>
    <col min="775" max="775" width="14.7109375" bestFit="1" customWidth="1"/>
    <col min="776" max="776" width="15" bestFit="1" customWidth="1"/>
    <col min="777" max="777" width="12.28515625" customWidth="1"/>
    <col min="778" max="778" width="14.5703125" customWidth="1"/>
    <col min="779" max="779" width="13.140625" customWidth="1"/>
    <col min="1025" max="1025" width="10.85546875" customWidth="1"/>
    <col min="1027" max="1027" width="10" customWidth="1"/>
    <col min="1029" max="1029" width="11.28515625" bestFit="1" customWidth="1"/>
    <col min="1030" max="1030" width="10.5703125" bestFit="1" customWidth="1"/>
    <col min="1031" max="1031" width="14.7109375" bestFit="1" customWidth="1"/>
    <col min="1032" max="1032" width="15" bestFit="1" customWidth="1"/>
    <col min="1033" max="1033" width="12.28515625" customWidth="1"/>
    <col min="1034" max="1034" width="14.5703125" customWidth="1"/>
    <col min="1035" max="1035" width="13.140625" customWidth="1"/>
    <col min="1281" max="1281" width="10.85546875" customWidth="1"/>
    <col min="1283" max="1283" width="10" customWidth="1"/>
    <col min="1285" max="1285" width="11.28515625" bestFit="1" customWidth="1"/>
    <col min="1286" max="1286" width="10.5703125" bestFit="1" customWidth="1"/>
    <col min="1287" max="1287" width="14.7109375" bestFit="1" customWidth="1"/>
    <col min="1288" max="1288" width="15" bestFit="1" customWidth="1"/>
    <col min="1289" max="1289" width="12.28515625" customWidth="1"/>
    <col min="1290" max="1290" width="14.5703125" customWidth="1"/>
    <col min="1291" max="1291" width="13.140625" customWidth="1"/>
    <col min="1537" max="1537" width="10.85546875" customWidth="1"/>
    <col min="1539" max="1539" width="10" customWidth="1"/>
    <col min="1541" max="1541" width="11.28515625" bestFit="1" customWidth="1"/>
    <col min="1542" max="1542" width="10.5703125" bestFit="1" customWidth="1"/>
    <col min="1543" max="1543" width="14.7109375" bestFit="1" customWidth="1"/>
    <col min="1544" max="1544" width="15" bestFit="1" customWidth="1"/>
    <col min="1545" max="1545" width="12.28515625" customWidth="1"/>
    <col min="1546" max="1546" width="14.5703125" customWidth="1"/>
    <col min="1547" max="1547" width="13.140625" customWidth="1"/>
    <col min="1793" max="1793" width="10.85546875" customWidth="1"/>
    <col min="1795" max="1795" width="10" customWidth="1"/>
    <col min="1797" max="1797" width="11.28515625" bestFit="1" customWidth="1"/>
    <col min="1798" max="1798" width="10.5703125" bestFit="1" customWidth="1"/>
    <col min="1799" max="1799" width="14.7109375" bestFit="1" customWidth="1"/>
    <col min="1800" max="1800" width="15" bestFit="1" customWidth="1"/>
    <col min="1801" max="1801" width="12.28515625" customWidth="1"/>
    <col min="1802" max="1802" width="14.5703125" customWidth="1"/>
    <col min="1803" max="1803" width="13.140625" customWidth="1"/>
    <col min="2049" max="2049" width="10.85546875" customWidth="1"/>
    <col min="2051" max="2051" width="10" customWidth="1"/>
    <col min="2053" max="2053" width="11.28515625" bestFit="1" customWidth="1"/>
    <col min="2054" max="2054" width="10.5703125" bestFit="1" customWidth="1"/>
    <col min="2055" max="2055" width="14.7109375" bestFit="1" customWidth="1"/>
    <col min="2056" max="2056" width="15" bestFit="1" customWidth="1"/>
    <col min="2057" max="2057" width="12.28515625" customWidth="1"/>
    <col min="2058" max="2058" width="14.5703125" customWidth="1"/>
    <col min="2059" max="2059" width="13.140625" customWidth="1"/>
    <col min="2305" max="2305" width="10.85546875" customWidth="1"/>
    <col min="2307" max="2307" width="10" customWidth="1"/>
    <col min="2309" max="2309" width="11.28515625" bestFit="1" customWidth="1"/>
    <col min="2310" max="2310" width="10.5703125" bestFit="1" customWidth="1"/>
    <col min="2311" max="2311" width="14.7109375" bestFit="1" customWidth="1"/>
    <col min="2312" max="2312" width="15" bestFit="1" customWidth="1"/>
    <col min="2313" max="2313" width="12.28515625" customWidth="1"/>
    <col min="2314" max="2314" width="14.5703125" customWidth="1"/>
    <col min="2315" max="2315" width="13.140625" customWidth="1"/>
    <col min="2561" max="2561" width="10.85546875" customWidth="1"/>
    <col min="2563" max="2563" width="10" customWidth="1"/>
    <col min="2565" max="2565" width="11.28515625" bestFit="1" customWidth="1"/>
    <col min="2566" max="2566" width="10.5703125" bestFit="1" customWidth="1"/>
    <col min="2567" max="2567" width="14.7109375" bestFit="1" customWidth="1"/>
    <col min="2568" max="2568" width="15" bestFit="1" customWidth="1"/>
    <col min="2569" max="2569" width="12.28515625" customWidth="1"/>
    <col min="2570" max="2570" width="14.5703125" customWidth="1"/>
    <col min="2571" max="2571" width="13.140625" customWidth="1"/>
    <col min="2817" max="2817" width="10.85546875" customWidth="1"/>
    <col min="2819" max="2819" width="10" customWidth="1"/>
    <col min="2821" max="2821" width="11.28515625" bestFit="1" customWidth="1"/>
    <col min="2822" max="2822" width="10.5703125" bestFit="1" customWidth="1"/>
    <col min="2823" max="2823" width="14.7109375" bestFit="1" customWidth="1"/>
    <col min="2824" max="2824" width="15" bestFit="1" customWidth="1"/>
    <col min="2825" max="2825" width="12.28515625" customWidth="1"/>
    <col min="2826" max="2826" width="14.5703125" customWidth="1"/>
    <col min="2827" max="2827" width="13.140625" customWidth="1"/>
    <col min="3073" max="3073" width="10.85546875" customWidth="1"/>
    <col min="3075" max="3075" width="10" customWidth="1"/>
    <col min="3077" max="3077" width="11.28515625" bestFit="1" customWidth="1"/>
    <col min="3078" max="3078" width="10.5703125" bestFit="1" customWidth="1"/>
    <col min="3079" max="3079" width="14.7109375" bestFit="1" customWidth="1"/>
    <col min="3080" max="3080" width="15" bestFit="1" customWidth="1"/>
    <col min="3081" max="3081" width="12.28515625" customWidth="1"/>
    <col min="3082" max="3082" width="14.5703125" customWidth="1"/>
    <col min="3083" max="3083" width="13.140625" customWidth="1"/>
    <col min="3329" max="3329" width="10.85546875" customWidth="1"/>
    <col min="3331" max="3331" width="10" customWidth="1"/>
    <col min="3333" max="3333" width="11.28515625" bestFit="1" customWidth="1"/>
    <col min="3334" max="3334" width="10.5703125" bestFit="1" customWidth="1"/>
    <col min="3335" max="3335" width="14.7109375" bestFit="1" customWidth="1"/>
    <col min="3336" max="3336" width="15" bestFit="1" customWidth="1"/>
    <col min="3337" max="3337" width="12.28515625" customWidth="1"/>
    <col min="3338" max="3338" width="14.5703125" customWidth="1"/>
    <col min="3339" max="3339" width="13.140625" customWidth="1"/>
    <col min="3585" max="3585" width="10.85546875" customWidth="1"/>
    <col min="3587" max="3587" width="10" customWidth="1"/>
    <col min="3589" max="3589" width="11.28515625" bestFit="1" customWidth="1"/>
    <col min="3590" max="3590" width="10.5703125" bestFit="1" customWidth="1"/>
    <col min="3591" max="3591" width="14.7109375" bestFit="1" customWidth="1"/>
    <col min="3592" max="3592" width="15" bestFit="1" customWidth="1"/>
    <col min="3593" max="3593" width="12.28515625" customWidth="1"/>
    <col min="3594" max="3594" width="14.5703125" customWidth="1"/>
    <col min="3595" max="3595" width="13.140625" customWidth="1"/>
    <col min="3841" max="3841" width="10.85546875" customWidth="1"/>
    <col min="3843" max="3843" width="10" customWidth="1"/>
    <col min="3845" max="3845" width="11.28515625" bestFit="1" customWidth="1"/>
    <col min="3846" max="3846" width="10.5703125" bestFit="1" customWidth="1"/>
    <col min="3847" max="3847" width="14.7109375" bestFit="1" customWidth="1"/>
    <col min="3848" max="3848" width="15" bestFit="1" customWidth="1"/>
    <col min="3849" max="3849" width="12.28515625" customWidth="1"/>
    <col min="3850" max="3850" width="14.5703125" customWidth="1"/>
    <col min="3851" max="3851" width="13.140625" customWidth="1"/>
    <col min="4097" max="4097" width="10.85546875" customWidth="1"/>
    <col min="4099" max="4099" width="10" customWidth="1"/>
    <col min="4101" max="4101" width="11.28515625" bestFit="1" customWidth="1"/>
    <col min="4102" max="4102" width="10.5703125" bestFit="1" customWidth="1"/>
    <col min="4103" max="4103" width="14.7109375" bestFit="1" customWidth="1"/>
    <col min="4104" max="4104" width="15" bestFit="1" customWidth="1"/>
    <col min="4105" max="4105" width="12.28515625" customWidth="1"/>
    <col min="4106" max="4106" width="14.5703125" customWidth="1"/>
    <col min="4107" max="4107" width="13.140625" customWidth="1"/>
    <col min="4353" max="4353" width="10.85546875" customWidth="1"/>
    <col min="4355" max="4355" width="10" customWidth="1"/>
    <col min="4357" max="4357" width="11.28515625" bestFit="1" customWidth="1"/>
    <col min="4358" max="4358" width="10.5703125" bestFit="1" customWidth="1"/>
    <col min="4359" max="4359" width="14.7109375" bestFit="1" customWidth="1"/>
    <col min="4360" max="4360" width="15" bestFit="1" customWidth="1"/>
    <col min="4361" max="4361" width="12.28515625" customWidth="1"/>
    <col min="4362" max="4362" width="14.5703125" customWidth="1"/>
    <col min="4363" max="4363" width="13.140625" customWidth="1"/>
    <col min="4609" max="4609" width="10.85546875" customWidth="1"/>
    <col min="4611" max="4611" width="10" customWidth="1"/>
    <col min="4613" max="4613" width="11.28515625" bestFit="1" customWidth="1"/>
    <col min="4614" max="4614" width="10.5703125" bestFit="1" customWidth="1"/>
    <col min="4615" max="4615" width="14.7109375" bestFit="1" customWidth="1"/>
    <col min="4616" max="4616" width="15" bestFit="1" customWidth="1"/>
    <col min="4617" max="4617" width="12.28515625" customWidth="1"/>
    <col min="4618" max="4618" width="14.5703125" customWidth="1"/>
    <col min="4619" max="4619" width="13.140625" customWidth="1"/>
    <col min="4865" max="4865" width="10.85546875" customWidth="1"/>
    <col min="4867" max="4867" width="10" customWidth="1"/>
    <col min="4869" max="4869" width="11.28515625" bestFit="1" customWidth="1"/>
    <col min="4870" max="4870" width="10.5703125" bestFit="1" customWidth="1"/>
    <col min="4871" max="4871" width="14.7109375" bestFit="1" customWidth="1"/>
    <col min="4872" max="4872" width="15" bestFit="1" customWidth="1"/>
    <col min="4873" max="4873" width="12.28515625" customWidth="1"/>
    <col min="4874" max="4874" width="14.5703125" customWidth="1"/>
    <col min="4875" max="4875" width="13.140625" customWidth="1"/>
    <col min="5121" max="5121" width="10.85546875" customWidth="1"/>
    <col min="5123" max="5123" width="10" customWidth="1"/>
    <col min="5125" max="5125" width="11.28515625" bestFit="1" customWidth="1"/>
    <col min="5126" max="5126" width="10.5703125" bestFit="1" customWidth="1"/>
    <col min="5127" max="5127" width="14.7109375" bestFit="1" customWidth="1"/>
    <col min="5128" max="5128" width="15" bestFit="1" customWidth="1"/>
    <col min="5129" max="5129" width="12.28515625" customWidth="1"/>
    <col min="5130" max="5130" width="14.5703125" customWidth="1"/>
    <col min="5131" max="5131" width="13.140625" customWidth="1"/>
    <col min="5377" max="5377" width="10.85546875" customWidth="1"/>
    <col min="5379" max="5379" width="10" customWidth="1"/>
    <col min="5381" max="5381" width="11.28515625" bestFit="1" customWidth="1"/>
    <col min="5382" max="5382" width="10.5703125" bestFit="1" customWidth="1"/>
    <col min="5383" max="5383" width="14.7109375" bestFit="1" customWidth="1"/>
    <col min="5384" max="5384" width="15" bestFit="1" customWidth="1"/>
    <col min="5385" max="5385" width="12.28515625" customWidth="1"/>
    <col min="5386" max="5386" width="14.5703125" customWidth="1"/>
    <col min="5387" max="5387" width="13.140625" customWidth="1"/>
    <col min="5633" max="5633" width="10.85546875" customWidth="1"/>
    <col min="5635" max="5635" width="10" customWidth="1"/>
    <col min="5637" max="5637" width="11.28515625" bestFit="1" customWidth="1"/>
    <col min="5638" max="5638" width="10.5703125" bestFit="1" customWidth="1"/>
    <col min="5639" max="5639" width="14.7109375" bestFit="1" customWidth="1"/>
    <col min="5640" max="5640" width="15" bestFit="1" customWidth="1"/>
    <col min="5641" max="5641" width="12.28515625" customWidth="1"/>
    <col min="5642" max="5642" width="14.5703125" customWidth="1"/>
    <col min="5643" max="5643" width="13.140625" customWidth="1"/>
    <col min="5889" max="5889" width="10.85546875" customWidth="1"/>
    <col min="5891" max="5891" width="10" customWidth="1"/>
    <col min="5893" max="5893" width="11.28515625" bestFit="1" customWidth="1"/>
    <col min="5894" max="5894" width="10.5703125" bestFit="1" customWidth="1"/>
    <col min="5895" max="5895" width="14.7109375" bestFit="1" customWidth="1"/>
    <col min="5896" max="5896" width="15" bestFit="1" customWidth="1"/>
    <col min="5897" max="5897" width="12.28515625" customWidth="1"/>
    <col min="5898" max="5898" width="14.5703125" customWidth="1"/>
    <col min="5899" max="5899" width="13.140625" customWidth="1"/>
    <col min="6145" max="6145" width="10.85546875" customWidth="1"/>
    <col min="6147" max="6147" width="10" customWidth="1"/>
    <col min="6149" max="6149" width="11.28515625" bestFit="1" customWidth="1"/>
    <col min="6150" max="6150" width="10.5703125" bestFit="1" customWidth="1"/>
    <col min="6151" max="6151" width="14.7109375" bestFit="1" customWidth="1"/>
    <col min="6152" max="6152" width="15" bestFit="1" customWidth="1"/>
    <col min="6153" max="6153" width="12.28515625" customWidth="1"/>
    <col min="6154" max="6154" width="14.5703125" customWidth="1"/>
    <col min="6155" max="6155" width="13.140625" customWidth="1"/>
    <col min="6401" max="6401" width="10.85546875" customWidth="1"/>
    <col min="6403" max="6403" width="10" customWidth="1"/>
    <col min="6405" max="6405" width="11.28515625" bestFit="1" customWidth="1"/>
    <col min="6406" max="6406" width="10.5703125" bestFit="1" customWidth="1"/>
    <col min="6407" max="6407" width="14.7109375" bestFit="1" customWidth="1"/>
    <col min="6408" max="6408" width="15" bestFit="1" customWidth="1"/>
    <col min="6409" max="6409" width="12.28515625" customWidth="1"/>
    <col min="6410" max="6410" width="14.5703125" customWidth="1"/>
    <col min="6411" max="6411" width="13.140625" customWidth="1"/>
    <col min="6657" max="6657" width="10.85546875" customWidth="1"/>
    <col min="6659" max="6659" width="10" customWidth="1"/>
    <col min="6661" max="6661" width="11.28515625" bestFit="1" customWidth="1"/>
    <col min="6662" max="6662" width="10.5703125" bestFit="1" customWidth="1"/>
    <col min="6663" max="6663" width="14.7109375" bestFit="1" customWidth="1"/>
    <col min="6664" max="6664" width="15" bestFit="1" customWidth="1"/>
    <col min="6665" max="6665" width="12.28515625" customWidth="1"/>
    <col min="6666" max="6666" width="14.5703125" customWidth="1"/>
    <col min="6667" max="6667" width="13.140625" customWidth="1"/>
    <col min="6913" max="6913" width="10.85546875" customWidth="1"/>
    <col min="6915" max="6915" width="10" customWidth="1"/>
    <col min="6917" max="6917" width="11.28515625" bestFit="1" customWidth="1"/>
    <col min="6918" max="6918" width="10.5703125" bestFit="1" customWidth="1"/>
    <col min="6919" max="6919" width="14.7109375" bestFit="1" customWidth="1"/>
    <col min="6920" max="6920" width="15" bestFit="1" customWidth="1"/>
    <col min="6921" max="6921" width="12.28515625" customWidth="1"/>
    <col min="6922" max="6922" width="14.5703125" customWidth="1"/>
    <col min="6923" max="6923" width="13.140625" customWidth="1"/>
    <col min="7169" max="7169" width="10.85546875" customWidth="1"/>
    <col min="7171" max="7171" width="10" customWidth="1"/>
    <col min="7173" max="7173" width="11.28515625" bestFit="1" customWidth="1"/>
    <col min="7174" max="7174" width="10.5703125" bestFit="1" customWidth="1"/>
    <col min="7175" max="7175" width="14.7109375" bestFit="1" customWidth="1"/>
    <col min="7176" max="7176" width="15" bestFit="1" customWidth="1"/>
    <col min="7177" max="7177" width="12.28515625" customWidth="1"/>
    <col min="7178" max="7178" width="14.5703125" customWidth="1"/>
    <col min="7179" max="7179" width="13.140625" customWidth="1"/>
    <col min="7425" max="7425" width="10.85546875" customWidth="1"/>
    <col min="7427" max="7427" width="10" customWidth="1"/>
    <col min="7429" max="7429" width="11.28515625" bestFit="1" customWidth="1"/>
    <col min="7430" max="7430" width="10.5703125" bestFit="1" customWidth="1"/>
    <col min="7431" max="7431" width="14.7109375" bestFit="1" customWidth="1"/>
    <col min="7432" max="7432" width="15" bestFit="1" customWidth="1"/>
    <col min="7433" max="7433" width="12.28515625" customWidth="1"/>
    <col min="7434" max="7434" width="14.5703125" customWidth="1"/>
    <col min="7435" max="7435" width="13.140625" customWidth="1"/>
    <col min="7681" max="7681" width="10.85546875" customWidth="1"/>
    <col min="7683" max="7683" width="10" customWidth="1"/>
    <col min="7685" max="7685" width="11.28515625" bestFit="1" customWidth="1"/>
    <col min="7686" max="7686" width="10.5703125" bestFit="1" customWidth="1"/>
    <col min="7687" max="7687" width="14.7109375" bestFit="1" customWidth="1"/>
    <col min="7688" max="7688" width="15" bestFit="1" customWidth="1"/>
    <col min="7689" max="7689" width="12.28515625" customWidth="1"/>
    <col min="7690" max="7690" width="14.5703125" customWidth="1"/>
    <col min="7691" max="7691" width="13.140625" customWidth="1"/>
    <col min="7937" max="7937" width="10.85546875" customWidth="1"/>
    <col min="7939" max="7939" width="10" customWidth="1"/>
    <col min="7941" max="7941" width="11.28515625" bestFit="1" customWidth="1"/>
    <col min="7942" max="7942" width="10.5703125" bestFit="1" customWidth="1"/>
    <col min="7943" max="7943" width="14.7109375" bestFit="1" customWidth="1"/>
    <col min="7944" max="7944" width="15" bestFit="1" customWidth="1"/>
    <col min="7945" max="7945" width="12.28515625" customWidth="1"/>
    <col min="7946" max="7946" width="14.5703125" customWidth="1"/>
    <col min="7947" max="7947" width="13.140625" customWidth="1"/>
    <col min="8193" max="8193" width="10.85546875" customWidth="1"/>
    <col min="8195" max="8195" width="10" customWidth="1"/>
    <col min="8197" max="8197" width="11.28515625" bestFit="1" customWidth="1"/>
    <col min="8198" max="8198" width="10.5703125" bestFit="1" customWidth="1"/>
    <col min="8199" max="8199" width="14.7109375" bestFit="1" customWidth="1"/>
    <col min="8200" max="8200" width="15" bestFit="1" customWidth="1"/>
    <col min="8201" max="8201" width="12.28515625" customWidth="1"/>
    <col min="8202" max="8202" width="14.5703125" customWidth="1"/>
    <col min="8203" max="8203" width="13.140625" customWidth="1"/>
    <col min="8449" max="8449" width="10.85546875" customWidth="1"/>
    <col min="8451" max="8451" width="10" customWidth="1"/>
    <col min="8453" max="8453" width="11.28515625" bestFit="1" customWidth="1"/>
    <col min="8454" max="8454" width="10.5703125" bestFit="1" customWidth="1"/>
    <col min="8455" max="8455" width="14.7109375" bestFit="1" customWidth="1"/>
    <col min="8456" max="8456" width="15" bestFit="1" customWidth="1"/>
    <col min="8457" max="8457" width="12.28515625" customWidth="1"/>
    <col min="8458" max="8458" width="14.5703125" customWidth="1"/>
    <col min="8459" max="8459" width="13.140625" customWidth="1"/>
    <col min="8705" max="8705" width="10.85546875" customWidth="1"/>
    <col min="8707" max="8707" width="10" customWidth="1"/>
    <col min="8709" max="8709" width="11.28515625" bestFit="1" customWidth="1"/>
    <col min="8710" max="8710" width="10.5703125" bestFit="1" customWidth="1"/>
    <col min="8711" max="8711" width="14.7109375" bestFit="1" customWidth="1"/>
    <col min="8712" max="8712" width="15" bestFit="1" customWidth="1"/>
    <col min="8713" max="8713" width="12.28515625" customWidth="1"/>
    <col min="8714" max="8714" width="14.5703125" customWidth="1"/>
    <col min="8715" max="8715" width="13.140625" customWidth="1"/>
    <col min="8961" max="8961" width="10.85546875" customWidth="1"/>
    <col min="8963" max="8963" width="10" customWidth="1"/>
    <col min="8965" max="8965" width="11.28515625" bestFit="1" customWidth="1"/>
    <col min="8966" max="8966" width="10.5703125" bestFit="1" customWidth="1"/>
    <col min="8967" max="8967" width="14.7109375" bestFit="1" customWidth="1"/>
    <col min="8968" max="8968" width="15" bestFit="1" customWidth="1"/>
    <col min="8969" max="8969" width="12.28515625" customWidth="1"/>
    <col min="8970" max="8970" width="14.5703125" customWidth="1"/>
    <col min="8971" max="8971" width="13.140625" customWidth="1"/>
    <col min="9217" max="9217" width="10.85546875" customWidth="1"/>
    <col min="9219" max="9219" width="10" customWidth="1"/>
    <col min="9221" max="9221" width="11.28515625" bestFit="1" customWidth="1"/>
    <col min="9222" max="9222" width="10.5703125" bestFit="1" customWidth="1"/>
    <col min="9223" max="9223" width="14.7109375" bestFit="1" customWidth="1"/>
    <col min="9224" max="9224" width="15" bestFit="1" customWidth="1"/>
    <col min="9225" max="9225" width="12.28515625" customWidth="1"/>
    <col min="9226" max="9226" width="14.5703125" customWidth="1"/>
    <col min="9227" max="9227" width="13.140625" customWidth="1"/>
    <col min="9473" max="9473" width="10.85546875" customWidth="1"/>
    <col min="9475" max="9475" width="10" customWidth="1"/>
    <col min="9477" max="9477" width="11.28515625" bestFit="1" customWidth="1"/>
    <col min="9478" max="9478" width="10.5703125" bestFit="1" customWidth="1"/>
    <col min="9479" max="9479" width="14.7109375" bestFit="1" customWidth="1"/>
    <col min="9480" max="9480" width="15" bestFit="1" customWidth="1"/>
    <col min="9481" max="9481" width="12.28515625" customWidth="1"/>
    <col min="9482" max="9482" width="14.5703125" customWidth="1"/>
    <col min="9483" max="9483" width="13.140625" customWidth="1"/>
    <col min="9729" max="9729" width="10.85546875" customWidth="1"/>
    <col min="9731" max="9731" width="10" customWidth="1"/>
    <col min="9733" max="9733" width="11.28515625" bestFit="1" customWidth="1"/>
    <col min="9734" max="9734" width="10.5703125" bestFit="1" customWidth="1"/>
    <col min="9735" max="9735" width="14.7109375" bestFit="1" customWidth="1"/>
    <col min="9736" max="9736" width="15" bestFit="1" customWidth="1"/>
    <col min="9737" max="9737" width="12.28515625" customWidth="1"/>
    <col min="9738" max="9738" width="14.5703125" customWidth="1"/>
    <col min="9739" max="9739" width="13.140625" customWidth="1"/>
    <col min="9985" max="9985" width="10.85546875" customWidth="1"/>
    <col min="9987" max="9987" width="10" customWidth="1"/>
    <col min="9989" max="9989" width="11.28515625" bestFit="1" customWidth="1"/>
    <col min="9990" max="9990" width="10.5703125" bestFit="1" customWidth="1"/>
    <col min="9991" max="9991" width="14.7109375" bestFit="1" customWidth="1"/>
    <col min="9992" max="9992" width="15" bestFit="1" customWidth="1"/>
    <col min="9993" max="9993" width="12.28515625" customWidth="1"/>
    <col min="9994" max="9994" width="14.5703125" customWidth="1"/>
    <col min="9995" max="9995" width="13.140625" customWidth="1"/>
    <col min="10241" max="10241" width="10.85546875" customWidth="1"/>
    <col min="10243" max="10243" width="10" customWidth="1"/>
    <col min="10245" max="10245" width="11.28515625" bestFit="1" customWidth="1"/>
    <col min="10246" max="10246" width="10.5703125" bestFit="1" customWidth="1"/>
    <col min="10247" max="10247" width="14.7109375" bestFit="1" customWidth="1"/>
    <col min="10248" max="10248" width="15" bestFit="1" customWidth="1"/>
    <col min="10249" max="10249" width="12.28515625" customWidth="1"/>
    <col min="10250" max="10250" width="14.5703125" customWidth="1"/>
    <col min="10251" max="10251" width="13.140625" customWidth="1"/>
    <col min="10497" max="10497" width="10.85546875" customWidth="1"/>
    <col min="10499" max="10499" width="10" customWidth="1"/>
    <col min="10501" max="10501" width="11.28515625" bestFit="1" customWidth="1"/>
    <col min="10502" max="10502" width="10.5703125" bestFit="1" customWidth="1"/>
    <col min="10503" max="10503" width="14.7109375" bestFit="1" customWidth="1"/>
    <col min="10504" max="10504" width="15" bestFit="1" customWidth="1"/>
    <col min="10505" max="10505" width="12.28515625" customWidth="1"/>
    <col min="10506" max="10506" width="14.5703125" customWidth="1"/>
    <col min="10507" max="10507" width="13.140625" customWidth="1"/>
    <col min="10753" max="10753" width="10.85546875" customWidth="1"/>
    <col min="10755" max="10755" width="10" customWidth="1"/>
    <col min="10757" max="10757" width="11.28515625" bestFit="1" customWidth="1"/>
    <col min="10758" max="10758" width="10.5703125" bestFit="1" customWidth="1"/>
    <col min="10759" max="10759" width="14.7109375" bestFit="1" customWidth="1"/>
    <col min="10760" max="10760" width="15" bestFit="1" customWidth="1"/>
    <col min="10761" max="10761" width="12.28515625" customWidth="1"/>
    <col min="10762" max="10762" width="14.5703125" customWidth="1"/>
    <col min="10763" max="10763" width="13.140625" customWidth="1"/>
    <col min="11009" max="11009" width="10.85546875" customWidth="1"/>
    <col min="11011" max="11011" width="10" customWidth="1"/>
    <col min="11013" max="11013" width="11.28515625" bestFit="1" customWidth="1"/>
    <col min="11014" max="11014" width="10.5703125" bestFit="1" customWidth="1"/>
    <col min="11015" max="11015" width="14.7109375" bestFit="1" customWidth="1"/>
    <col min="11016" max="11016" width="15" bestFit="1" customWidth="1"/>
    <col min="11017" max="11017" width="12.28515625" customWidth="1"/>
    <col min="11018" max="11018" width="14.5703125" customWidth="1"/>
    <col min="11019" max="11019" width="13.140625" customWidth="1"/>
    <col min="11265" max="11265" width="10.85546875" customWidth="1"/>
    <col min="11267" max="11267" width="10" customWidth="1"/>
    <col min="11269" max="11269" width="11.28515625" bestFit="1" customWidth="1"/>
    <col min="11270" max="11270" width="10.5703125" bestFit="1" customWidth="1"/>
    <col min="11271" max="11271" width="14.7109375" bestFit="1" customWidth="1"/>
    <col min="11272" max="11272" width="15" bestFit="1" customWidth="1"/>
    <col min="11273" max="11273" width="12.28515625" customWidth="1"/>
    <col min="11274" max="11274" width="14.5703125" customWidth="1"/>
    <col min="11275" max="11275" width="13.140625" customWidth="1"/>
    <col min="11521" max="11521" width="10.85546875" customWidth="1"/>
    <col min="11523" max="11523" width="10" customWidth="1"/>
    <col min="11525" max="11525" width="11.28515625" bestFit="1" customWidth="1"/>
    <col min="11526" max="11526" width="10.5703125" bestFit="1" customWidth="1"/>
    <col min="11527" max="11527" width="14.7109375" bestFit="1" customWidth="1"/>
    <col min="11528" max="11528" width="15" bestFit="1" customWidth="1"/>
    <col min="11529" max="11529" width="12.28515625" customWidth="1"/>
    <col min="11530" max="11530" width="14.5703125" customWidth="1"/>
    <col min="11531" max="11531" width="13.140625" customWidth="1"/>
    <col min="11777" max="11777" width="10.85546875" customWidth="1"/>
    <col min="11779" max="11779" width="10" customWidth="1"/>
    <col min="11781" max="11781" width="11.28515625" bestFit="1" customWidth="1"/>
    <col min="11782" max="11782" width="10.5703125" bestFit="1" customWidth="1"/>
    <col min="11783" max="11783" width="14.7109375" bestFit="1" customWidth="1"/>
    <col min="11784" max="11784" width="15" bestFit="1" customWidth="1"/>
    <col min="11785" max="11785" width="12.28515625" customWidth="1"/>
    <col min="11786" max="11786" width="14.5703125" customWidth="1"/>
    <col min="11787" max="11787" width="13.140625" customWidth="1"/>
    <col min="12033" max="12033" width="10.85546875" customWidth="1"/>
    <col min="12035" max="12035" width="10" customWidth="1"/>
    <col min="12037" max="12037" width="11.28515625" bestFit="1" customWidth="1"/>
    <col min="12038" max="12038" width="10.5703125" bestFit="1" customWidth="1"/>
    <col min="12039" max="12039" width="14.7109375" bestFit="1" customWidth="1"/>
    <col min="12040" max="12040" width="15" bestFit="1" customWidth="1"/>
    <col min="12041" max="12041" width="12.28515625" customWidth="1"/>
    <col min="12042" max="12042" width="14.5703125" customWidth="1"/>
    <col min="12043" max="12043" width="13.140625" customWidth="1"/>
    <col min="12289" max="12289" width="10.85546875" customWidth="1"/>
    <col min="12291" max="12291" width="10" customWidth="1"/>
    <col min="12293" max="12293" width="11.28515625" bestFit="1" customWidth="1"/>
    <col min="12294" max="12294" width="10.5703125" bestFit="1" customWidth="1"/>
    <col min="12295" max="12295" width="14.7109375" bestFit="1" customWidth="1"/>
    <col min="12296" max="12296" width="15" bestFit="1" customWidth="1"/>
    <col min="12297" max="12297" width="12.28515625" customWidth="1"/>
    <col min="12298" max="12298" width="14.5703125" customWidth="1"/>
    <col min="12299" max="12299" width="13.140625" customWidth="1"/>
    <col min="12545" max="12545" width="10.85546875" customWidth="1"/>
    <col min="12547" max="12547" width="10" customWidth="1"/>
    <col min="12549" max="12549" width="11.28515625" bestFit="1" customWidth="1"/>
    <col min="12550" max="12550" width="10.5703125" bestFit="1" customWidth="1"/>
    <col min="12551" max="12551" width="14.7109375" bestFit="1" customWidth="1"/>
    <col min="12552" max="12552" width="15" bestFit="1" customWidth="1"/>
    <col min="12553" max="12553" width="12.28515625" customWidth="1"/>
    <col min="12554" max="12554" width="14.5703125" customWidth="1"/>
    <col min="12555" max="12555" width="13.140625" customWidth="1"/>
    <col min="12801" max="12801" width="10.85546875" customWidth="1"/>
    <col min="12803" max="12803" width="10" customWidth="1"/>
    <col min="12805" max="12805" width="11.28515625" bestFit="1" customWidth="1"/>
    <col min="12806" max="12806" width="10.5703125" bestFit="1" customWidth="1"/>
    <col min="12807" max="12807" width="14.7109375" bestFit="1" customWidth="1"/>
    <col min="12808" max="12808" width="15" bestFit="1" customWidth="1"/>
    <col min="12809" max="12809" width="12.28515625" customWidth="1"/>
    <col min="12810" max="12810" width="14.5703125" customWidth="1"/>
    <col min="12811" max="12811" width="13.140625" customWidth="1"/>
    <col min="13057" max="13057" width="10.85546875" customWidth="1"/>
    <col min="13059" max="13059" width="10" customWidth="1"/>
    <col min="13061" max="13061" width="11.28515625" bestFit="1" customWidth="1"/>
    <col min="13062" max="13062" width="10.5703125" bestFit="1" customWidth="1"/>
    <col min="13063" max="13063" width="14.7109375" bestFit="1" customWidth="1"/>
    <col min="13064" max="13064" width="15" bestFit="1" customWidth="1"/>
    <col min="13065" max="13065" width="12.28515625" customWidth="1"/>
    <col min="13066" max="13066" width="14.5703125" customWidth="1"/>
    <col min="13067" max="13067" width="13.140625" customWidth="1"/>
    <col min="13313" max="13313" width="10.85546875" customWidth="1"/>
    <col min="13315" max="13315" width="10" customWidth="1"/>
    <col min="13317" max="13317" width="11.28515625" bestFit="1" customWidth="1"/>
    <col min="13318" max="13318" width="10.5703125" bestFit="1" customWidth="1"/>
    <col min="13319" max="13319" width="14.7109375" bestFit="1" customWidth="1"/>
    <col min="13320" max="13320" width="15" bestFit="1" customWidth="1"/>
    <col min="13321" max="13321" width="12.28515625" customWidth="1"/>
    <col min="13322" max="13322" width="14.5703125" customWidth="1"/>
    <col min="13323" max="13323" width="13.140625" customWidth="1"/>
    <col min="13569" max="13569" width="10.85546875" customWidth="1"/>
    <col min="13571" max="13571" width="10" customWidth="1"/>
    <col min="13573" max="13573" width="11.28515625" bestFit="1" customWidth="1"/>
    <col min="13574" max="13574" width="10.5703125" bestFit="1" customWidth="1"/>
    <col min="13575" max="13575" width="14.7109375" bestFit="1" customWidth="1"/>
    <col min="13576" max="13576" width="15" bestFit="1" customWidth="1"/>
    <col min="13577" max="13577" width="12.28515625" customWidth="1"/>
    <col min="13578" max="13578" width="14.5703125" customWidth="1"/>
    <col min="13579" max="13579" width="13.140625" customWidth="1"/>
    <col min="13825" max="13825" width="10.85546875" customWidth="1"/>
    <col min="13827" max="13827" width="10" customWidth="1"/>
    <col min="13829" max="13829" width="11.28515625" bestFit="1" customWidth="1"/>
    <col min="13830" max="13830" width="10.5703125" bestFit="1" customWidth="1"/>
    <col min="13831" max="13831" width="14.7109375" bestFit="1" customWidth="1"/>
    <col min="13832" max="13832" width="15" bestFit="1" customWidth="1"/>
    <col min="13833" max="13833" width="12.28515625" customWidth="1"/>
    <col min="13834" max="13834" width="14.5703125" customWidth="1"/>
    <col min="13835" max="13835" width="13.140625" customWidth="1"/>
    <col min="14081" max="14081" width="10.85546875" customWidth="1"/>
    <col min="14083" max="14083" width="10" customWidth="1"/>
    <col min="14085" max="14085" width="11.28515625" bestFit="1" customWidth="1"/>
    <col min="14086" max="14086" width="10.5703125" bestFit="1" customWidth="1"/>
    <col min="14087" max="14087" width="14.7109375" bestFit="1" customWidth="1"/>
    <col min="14088" max="14088" width="15" bestFit="1" customWidth="1"/>
    <col min="14089" max="14089" width="12.28515625" customWidth="1"/>
    <col min="14090" max="14090" width="14.5703125" customWidth="1"/>
    <col min="14091" max="14091" width="13.140625" customWidth="1"/>
    <col min="14337" max="14337" width="10.85546875" customWidth="1"/>
    <col min="14339" max="14339" width="10" customWidth="1"/>
    <col min="14341" max="14341" width="11.28515625" bestFit="1" customWidth="1"/>
    <col min="14342" max="14342" width="10.5703125" bestFit="1" customWidth="1"/>
    <col min="14343" max="14343" width="14.7109375" bestFit="1" customWidth="1"/>
    <col min="14344" max="14344" width="15" bestFit="1" customWidth="1"/>
    <col min="14345" max="14345" width="12.28515625" customWidth="1"/>
    <col min="14346" max="14346" width="14.5703125" customWidth="1"/>
    <col min="14347" max="14347" width="13.140625" customWidth="1"/>
    <col min="14593" max="14593" width="10.85546875" customWidth="1"/>
    <col min="14595" max="14595" width="10" customWidth="1"/>
    <col min="14597" max="14597" width="11.28515625" bestFit="1" customWidth="1"/>
    <col min="14598" max="14598" width="10.5703125" bestFit="1" customWidth="1"/>
    <col min="14599" max="14599" width="14.7109375" bestFit="1" customWidth="1"/>
    <col min="14600" max="14600" width="15" bestFit="1" customWidth="1"/>
    <col min="14601" max="14601" width="12.28515625" customWidth="1"/>
    <col min="14602" max="14602" width="14.5703125" customWidth="1"/>
    <col min="14603" max="14603" width="13.140625" customWidth="1"/>
    <col min="14849" max="14849" width="10.85546875" customWidth="1"/>
    <col min="14851" max="14851" width="10" customWidth="1"/>
    <col min="14853" max="14853" width="11.28515625" bestFit="1" customWidth="1"/>
    <col min="14854" max="14854" width="10.5703125" bestFit="1" customWidth="1"/>
    <col min="14855" max="14855" width="14.7109375" bestFit="1" customWidth="1"/>
    <col min="14856" max="14856" width="15" bestFit="1" customWidth="1"/>
    <col min="14857" max="14857" width="12.28515625" customWidth="1"/>
    <col min="14858" max="14858" width="14.5703125" customWidth="1"/>
    <col min="14859" max="14859" width="13.140625" customWidth="1"/>
    <col min="15105" max="15105" width="10.85546875" customWidth="1"/>
    <col min="15107" max="15107" width="10" customWidth="1"/>
    <col min="15109" max="15109" width="11.28515625" bestFit="1" customWidth="1"/>
    <col min="15110" max="15110" width="10.5703125" bestFit="1" customWidth="1"/>
    <col min="15111" max="15111" width="14.7109375" bestFit="1" customWidth="1"/>
    <col min="15112" max="15112" width="15" bestFit="1" customWidth="1"/>
    <col min="15113" max="15113" width="12.28515625" customWidth="1"/>
    <col min="15114" max="15114" width="14.5703125" customWidth="1"/>
    <col min="15115" max="15115" width="13.140625" customWidth="1"/>
    <col min="15361" max="15361" width="10.85546875" customWidth="1"/>
    <col min="15363" max="15363" width="10" customWidth="1"/>
    <col min="15365" max="15365" width="11.28515625" bestFit="1" customWidth="1"/>
    <col min="15366" max="15366" width="10.5703125" bestFit="1" customWidth="1"/>
    <col min="15367" max="15367" width="14.7109375" bestFit="1" customWidth="1"/>
    <col min="15368" max="15368" width="15" bestFit="1" customWidth="1"/>
    <col min="15369" max="15369" width="12.28515625" customWidth="1"/>
    <col min="15370" max="15370" width="14.5703125" customWidth="1"/>
    <col min="15371" max="15371" width="13.140625" customWidth="1"/>
    <col min="15617" max="15617" width="10.85546875" customWidth="1"/>
    <col min="15619" max="15619" width="10" customWidth="1"/>
    <col min="15621" max="15621" width="11.28515625" bestFit="1" customWidth="1"/>
    <col min="15622" max="15622" width="10.5703125" bestFit="1" customWidth="1"/>
    <col min="15623" max="15623" width="14.7109375" bestFit="1" customWidth="1"/>
    <col min="15624" max="15624" width="15" bestFit="1" customWidth="1"/>
    <col min="15625" max="15625" width="12.28515625" customWidth="1"/>
    <col min="15626" max="15626" width="14.5703125" customWidth="1"/>
    <col min="15627" max="15627" width="13.140625" customWidth="1"/>
    <col min="15873" max="15873" width="10.85546875" customWidth="1"/>
    <col min="15875" max="15875" width="10" customWidth="1"/>
    <col min="15877" max="15877" width="11.28515625" bestFit="1" customWidth="1"/>
    <col min="15878" max="15878" width="10.5703125" bestFit="1" customWidth="1"/>
    <col min="15879" max="15879" width="14.7109375" bestFit="1" customWidth="1"/>
    <col min="15880" max="15880" width="15" bestFit="1" customWidth="1"/>
    <col min="15881" max="15881" width="12.28515625" customWidth="1"/>
    <col min="15882" max="15882" width="14.5703125" customWidth="1"/>
    <col min="15883" max="15883" width="13.140625" customWidth="1"/>
    <col min="16129" max="16129" width="10.85546875" customWidth="1"/>
    <col min="16131" max="16131" width="10" customWidth="1"/>
    <col min="16133" max="16133" width="11.28515625" bestFit="1" customWidth="1"/>
    <col min="16134" max="16134" width="10.5703125" bestFit="1" customWidth="1"/>
    <col min="16135" max="16135" width="14.7109375" bestFit="1" customWidth="1"/>
    <col min="16136" max="16136" width="15" bestFit="1" customWidth="1"/>
    <col min="16137" max="16137" width="12.28515625" customWidth="1"/>
    <col min="16138" max="16138" width="14.5703125" customWidth="1"/>
    <col min="16139" max="16139" width="13.140625" customWidth="1"/>
  </cols>
  <sheetData>
    <row r="1" spans="1:11" ht="12.75" customHeight="1" x14ac:dyDescent="0.2">
      <c r="A1" s="8" t="s">
        <v>760</v>
      </c>
    </row>
    <row r="3" spans="1:11" ht="12.75" customHeight="1" x14ac:dyDescent="0.2">
      <c r="A3" s="1883" t="s">
        <v>761</v>
      </c>
      <c r="B3" s="1883"/>
      <c r="C3" s="1883"/>
      <c r="D3" s="1883"/>
      <c r="E3" s="39"/>
      <c r="G3" s="17" t="s">
        <v>581</v>
      </c>
      <c r="H3" s="17" t="s">
        <v>584</v>
      </c>
      <c r="I3" s="309" t="s">
        <v>735</v>
      </c>
      <c r="J3" s="309" t="s">
        <v>736</v>
      </c>
      <c r="K3" s="39"/>
    </row>
    <row r="4" spans="1:11" ht="12.75" customHeight="1" x14ac:dyDescent="0.2">
      <c r="A4" s="310" t="s">
        <v>730</v>
      </c>
      <c r="B4" s="310" t="s">
        <v>734</v>
      </c>
      <c r="C4" s="311" t="s">
        <v>762</v>
      </c>
      <c r="D4" s="310" t="s">
        <v>763</v>
      </c>
      <c r="E4" s="310" t="s">
        <v>764</v>
      </c>
      <c r="F4" s="312" t="s">
        <v>765</v>
      </c>
      <c r="G4" s="300" t="s">
        <v>445</v>
      </c>
      <c r="H4" s="300" t="s">
        <v>445</v>
      </c>
      <c r="I4" s="313" t="s">
        <v>740</v>
      </c>
      <c r="J4" s="313" t="s">
        <v>740</v>
      </c>
      <c r="K4" s="299" t="s">
        <v>414</v>
      </c>
    </row>
    <row r="5" spans="1:11" ht="12.75" customHeight="1" x14ac:dyDescent="0.2">
      <c r="A5" s="314">
        <v>114</v>
      </c>
      <c r="B5" s="38" t="s">
        <v>556</v>
      </c>
      <c r="C5" s="38">
        <v>121</v>
      </c>
      <c r="D5" s="38">
        <v>1988</v>
      </c>
      <c r="E5" s="17" t="str">
        <f>IF(A5=58,".625",IF(A5=118,"1.125",IF(A5=114,"1.25",A5)))&amp;""""</f>
        <v>1.25"</v>
      </c>
      <c r="F5" t="str">
        <f>IF(B5="STW","ST","PE")</f>
        <v>PE</v>
      </c>
      <c r="G5" t="str">
        <f>$E5&amp;" "&amp;$F5&amp;" "&amp;G$3</f>
        <v>1.25" PE EXTN</v>
      </c>
      <c r="H5" t="str">
        <f t="shared" ref="H5:H24" si="0">$E5&amp;" "&amp;$F5&amp;" "&amp;H$3</f>
        <v>1.25" PE STUB</v>
      </c>
      <c r="I5" s="315">
        <f>VLOOKUP(G5,'JKP-8.4c - Total Costs'!$A$6:$D$52,4,FALSE)</f>
        <v>2869.6293607026869</v>
      </c>
      <c r="J5" s="315">
        <f>VLOOKUP(H5,'JKP-8.4c - Total Costs'!$A$6:$D$52,4,FALSE)</f>
        <v>1526.7195609992903</v>
      </c>
      <c r="K5" s="232">
        <f>J5+I5</f>
        <v>4396.3489217019769</v>
      </c>
    </row>
    <row r="6" spans="1:11" ht="12.75" customHeight="1" x14ac:dyDescent="0.2">
      <c r="A6" s="314">
        <v>118</v>
      </c>
      <c r="B6" s="38" t="s">
        <v>556</v>
      </c>
      <c r="C6" s="38">
        <v>154</v>
      </c>
      <c r="D6" s="38">
        <v>1986</v>
      </c>
      <c r="E6" s="17" t="str">
        <f t="shared" ref="E6:E69" si="1">IF(A6=58,".625",IF(A6=118,"1.125",IF(A6=114,"1.25",A6)))&amp;""""</f>
        <v>1.125"</v>
      </c>
      <c r="F6" t="str">
        <f t="shared" ref="F6:F69" si="2">IF(B6="STW","ST","PE")</f>
        <v>PE</v>
      </c>
      <c r="G6" t="str">
        <f t="shared" ref="G6:H37" si="3">$E6&amp;" "&amp;$F6&amp;" "&amp;G$3</f>
        <v>1.125" PE EXTN</v>
      </c>
      <c r="H6" t="str">
        <f t="shared" si="0"/>
        <v>1.125" PE STUB</v>
      </c>
      <c r="I6" s="315">
        <f>VLOOKUP(G6,'JKP-8.4c - Total Costs'!$A$6:$D$52,4,FALSE)</f>
        <v>1705.3083787814819</v>
      </c>
      <c r="J6" s="315">
        <f>VLOOKUP(H6,'JKP-8.4c - Total Costs'!$A$6:$D$52,4,FALSE)</f>
        <v>842.22101353125595</v>
      </c>
      <c r="K6" s="232">
        <f t="shared" ref="K6:K69" si="4">J6+I6</f>
        <v>2547.5293923127379</v>
      </c>
    </row>
    <row r="7" spans="1:11" ht="12.75" customHeight="1" x14ac:dyDescent="0.2">
      <c r="A7" s="314">
        <v>2</v>
      </c>
      <c r="B7" s="38" t="s">
        <v>556</v>
      </c>
      <c r="C7" s="38">
        <v>51</v>
      </c>
      <c r="D7" s="38">
        <v>1993</v>
      </c>
      <c r="E7" s="17" t="str">
        <f t="shared" si="1"/>
        <v>2"</v>
      </c>
      <c r="F7" t="str">
        <f t="shared" si="2"/>
        <v>PE</v>
      </c>
      <c r="G7" t="str">
        <f t="shared" si="3"/>
        <v>2" PE EXTN</v>
      </c>
      <c r="H7" t="str">
        <f t="shared" si="0"/>
        <v>2" PE STUB</v>
      </c>
      <c r="I7" s="315">
        <f>VLOOKUP(G7,'JKP-8.4c - Total Costs'!$A$6:$D$52,4,FALSE)</f>
        <v>3217.4108620235775</v>
      </c>
      <c r="J7" s="315">
        <f>VLOOKUP(H7,'JKP-8.4c - Total Costs'!$A$6:$D$52,4,FALSE)</f>
        <v>1470.4671789049644</v>
      </c>
      <c r="K7" s="232">
        <f t="shared" si="4"/>
        <v>4687.8780409285419</v>
      </c>
    </row>
    <row r="8" spans="1:11" ht="12.75" customHeight="1" x14ac:dyDescent="0.2">
      <c r="A8" s="314">
        <v>2</v>
      </c>
      <c r="B8" s="38" t="s">
        <v>556</v>
      </c>
      <c r="C8" s="38">
        <v>238</v>
      </c>
      <c r="D8" s="38">
        <v>1994</v>
      </c>
      <c r="E8" s="17" t="str">
        <f t="shared" si="1"/>
        <v>2"</v>
      </c>
      <c r="F8" t="str">
        <f t="shared" si="2"/>
        <v>PE</v>
      </c>
      <c r="G8" t="str">
        <f t="shared" si="3"/>
        <v>2" PE EXTN</v>
      </c>
      <c r="H8" t="str">
        <f t="shared" si="0"/>
        <v>2" PE STUB</v>
      </c>
      <c r="I8" s="315">
        <f>VLOOKUP(G8,'JKP-8.4c - Total Costs'!$A$6:$D$52,4,FALSE)</f>
        <v>3217.4108620235775</v>
      </c>
      <c r="J8" s="315">
        <f>VLOOKUP(H8,'JKP-8.4c - Total Costs'!$A$6:$D$52,4,FALSE)</f>
        <v>1470.4671789049644</v>
      </c>
      <c r="K8" s="232">
        <f t="shared" si="4"/>
        <v>4687.8780409285419</v>
      </c>
    </row>
    <row r="9" spans="1:11" ht="12.75" customHeight="1" x14ac:dyDescent="0.2">
      <c r="A9" s="314">
        <v>2</v>
      </c>
      <c r="B9" s="38" t="s">
        <v>556</v>
      </c>
      <c r="C9" s="38">
        <v>198</v>
      </c>
      <c r="D9" s="38">
        <v>1994</v>
      </c>
      <c r="E9" s="17" t="str">
        <f t="shared" si="1"/>
        <v>2"</v>
      </c>
      <c r="F9" t="str">
        <f t="shared" si="2"/>
        <v>PE</v>
      </c>
      <c r="G9" t="str">
        <f t="shared" si="3"/>
        <v>2" PE EXTN</v>
      </c>
      <c r="H9" t="str">
        <f t="shared" si="0"/>
        <v>2" PE STUB</v>
      </c>
      <c r="I9" s="315">
        <f>VLOOKUP(G9,'JKP-8.4c - Total Costs'!$A$6:$D$52,4,FALSE)</f>
        <v>3217.4108620235775</v>
      </c>
      <c r="J9" s="315">
        <f>VLOOKUP(H9,'JKP-8.4c - Total Costs'!$A$6:$D$52,4,FALSE)</f>
        <v>1470.4671789049644</v>
      </c>
      <c r="K9" s="232">
        <f t="shared" si="4"/>
        <v>4687.8780409285419</v>
      </c>
    </row>
    <row r="10" spans="1:11" ht="12.75" customHeight="1" x14ac:dyDescent="0.2">
      <c r="A10" s="314">
        <v>114</v>
      </c>
      <c r="B10" s="38" t="s">
        <v>766</v>
      </c>
      <c r="C10" s="38">
        <v>334</v>
      </c>
      <c r="D10" s="38">
        <v>1993</v>
      </c>
      <c r="E10" s="17" t="str">
        <f t="shared" si="1"/>
        <v>1.25"</v>
      </c>
      <c r="F10" t="str">
        <f t="shared" si="2"/>
        <v>PE</v>
      </c>
      <c r="G10" t="str">
        <f t="shared" si="3"/>
        <v>1.25" PE EXTN</v>
      </c>
      <c r="H10" t="str">
        <f t="shared" si="0"/>
        <v>1.25" PE STUB</v>
      </c>
      <c r="I10" s="315">
        <f>VLOOKUP(G10,'JKP-8.4c - Total Costs'!$A$6:$D$52,4,FALSE)</f>
        <v>2869.6293607026869</v>
      </c>
      <c r="J10" s="315">
        <f>VLOOKUP(H10,'JKP-8.4c - Total Costs'!$A$6:$D$52,4,FALSE)</f>
        <v>1526.7195609992903</v>
      </c>
      <c r="K10" s="232">
        <f t="shared" si="4"/>
        <v>4396.3489217019769</v>
      </c>
    </row>
    <row r="11" spans="1:11" ht="12.75" customHeight="1" x14ac:dyDescent="0.2">
      <c r="A11" s="314">
        <v>114</v>
      </c>
      <c r="B11" s="38" t="s">
        <v>766</v>
      </c>
      <c r="C11" s="38">
        <v>228</v>
      </c>
      <c r="D11" s="38">
        <v>2001</v>
      </c>
      <c r="E11" s="17" t="str">
        <f t="shared" si="1"/>
        <v>1.25"</v>
      </c>
      <c r="F11" t="str">
        <f t="shared" si="2"/>
        <v>PE</v>
      </c>
      <c r="G11" t="str">
        <f t="shared" si="3"/>
        <v>1.25" PE EXTN</v>
      </c>
      <c r="H11" t="str">
        <f t="shared" si="0"/>
        <v>1.25" PE STUB</v>
      </c>
      <c r="I11" s="315">
        <f>VLOOKUP(G11,'JKP-8.4c - Total Costs'!$A$6:$D$52,4,FALSE)</f>
        <v>2869.6293607026869</v>
      </c>
      <c r="J11" s="315">
        <f>VLOOKUP(H11,'JKP-8.4c - Total Costs'!$A$6:$D$52,4,FALSE)</f>
        <v>1526.7195609992903</v>
      </c>
      <c r="K11" s="232">
        <f t="shared" si="4"/>
        <v>4396.3489217019769</v>
      </c>
    </row>
    <row r="12" spans="1:11" ht="12.75" customHeight="1" x14ac:dyDescent="0.2">
      <c r="A12" s="314">
        <v>114</v>
      </c>
      <c r="B12" s="38" t="s">
        <v>766</v>
      </c>
      <c r="C12" s="38">
        <v>140</v>
      </c>
      <c r="D12" s="38">
        <v>2001</v>
      </c>
      <c r="E12" s="17" t="str">
        <f t="shared" si="1"/>
        <v>1.25"</v>
      </c>
      <c r="F12" t="str">
        <f t="shared" si="2"/>
        <v>PE</v>
      </c>
      <c r="G12" t="str">
        <f t="shared" si="3"/>
        <v>1.25" PE EXTN</v>
      </c>
      <c r="H12" t="str">
        <f t="shared" si="0"/>
        <v>1.25" PE STUB</v>
      </c>
      <c r="I12" s="315">
        <f>VLOOKUP(G12,'JKP-8.4c - Total Costs'!$A$6:$D$52,4,FALSE)</f>
        <v>2869.6293607026869</v>
      </c>
      <c r="J12" s="315">
        <f>VLOOKUP(H12,'JKP-8.4c - Total Costs'!$A$6:$D$52,4,FALSE)</f>
        <v>1526.7195609992903</v>
      </c>
      <c r="K12" s="232">
        <f t="shared" si="4"/>
        <v>4396.3489217019769</v>
      </c>
    </row>
    <row r="13" spans="1:11" ht="12.75" customHeight="1" x14ac:dyDescent="0.2">
      <c r="A13" s="314">
        <v>118</v>
      </c>
      <c r="B13" s="38" t="s">
        <v>767</v>
      </c>
      <c r="C13" s="38">
        <v>98</v>
      </c>
      <c r="D13" s="38">
        <v>2003</v>
      </c>
      <c r="E13" s="17" t="str">
        <f t="shared" si="1"/>
        <v>1.125"</v>
      </c>
      <c r="F13" t="str">
        <f t="shared" si="2"/>
        <v>PE</v>
      </c>
      <c r="G13" t="str">
        <f t="shared" si="3"/>
        <v>1.125" PE EXTN</v>
      </c>
      <c r="H13" t="str">
        <f t="shared" si="0"/>
        <v>1.125" PE STUB</v>
      </c>
      <c r="I13" s="315">
        <f>VLOOKUP(G13,'JKP-8.4c - Total Costs'!$A$6:$D$52,4,FALSE)</f>
        <v>1705.3083787814819</v>
      </c>
      <c r="J13" s="315">
        <f>VLOOKUP(H13,'JKP-8.4c - Total Costs'!$A$6:$D$52,4,FALSE)</f>
        <v>842.22101353125595</v>
      </c>
      <c r="K13" s="232">
        <f t="shared" si="4"/>
        <v>2547.5293923127379</v>
      </c>
    </row>
    <row r="14" spans="1:11" ht="12.75" customHeight="1" x14ac:dyDescent="0.2">
      <c r="A14" s="314">
        <v>114</v>
      </c>
      <c r="B14" s="38" t="s">
        <v>767</v>
      </c>
      <c r="C14" s="38">
        <v>258</v>
      </c>
      <c r="D14" s="38">
        <v>2000</v>
      </c>
      <c r="E14" s="17" t="str">
        <f t="shared" si="1"/>
        <v>1.25"</v>
      </c>
      <c r="F14" t="str">
        <f t="shared" si="2"/>
        <v>PE</v>
      </c>
      <c r="G14" t="str">
        <f t="shared" si="3"/>
        <v>1.25" PE EXTN</v>
      </c>
      <c r="H14" t="str">
        <f t="shared" si="0"/>
        <v>1.25" PE STUB</v>
      </c>
      <c r="I14" s="315">
        <f>VLOOKUP(G14,'JKP-8.4c - Total Costs'!$A$6:$D$52,4,FALSE)</f>
        <v>2869.6293607026869</v>
      </c>
      <c r="J14" s="315">
        <f>VLOOKUP(H14,'JKP-8.4c - Total Costs'!$A$6:$D$52,4,FALSE)</f>
        <v>1526.7195609992903</v>
      </c>
      <c r="K14" s="232">
        <f t="shared" si="4"/>
        <v>4396.3489217019769</v>
      </c>
    </row>
    <row r="15" spans="1:11" ht="12.75" customHeight="1" x14ac:dyDescent="0.2">
      <c r="A15" s="314">
        <v>2</v>
      </c>
      <c r="B15" s="38" t="s">
        <v>556</v>
      </c>
      <c r="C15" s="38">
        <v>103</v>
      </c>
      <c r="D15" s="38">
        <v>1988</v>
      </c>
      <c r="E15" s="17" t="str">
        <f t="shared" si="1"/>
        <v>2"</v>
      </c>
      <c r="F15" t="str">
        <f t="shared" si="2"/>
        <v>PE</v>
      </c>
      <c r="G15" t="str">
        <f t="shared" si="3"/>
        <v>2" PE EXTN</v>
      </c>
      <c r="H15" t="str">
        <f t="shared" si="0"/>
        <v>2" PE STUB</v>
      </c>
      <c r="I15" s="315">
        <f>VLOOKUP(G15,'JKP-8.4c - Total Costs'!$A$6:$D$52,4,FALSE)</f>
        <v>3217.4108620235775</v>
      </c>
      <c r="J15" s="315">
        <f>VLOOKUP(H15,'JKP-8.4c - Total Costs'!$A$6:$D$52,4,FALSE)</f>
        <v>1470.4671789049644</v>
      </c>
      <c r="K15" s="232">
        <f t="shared" si="4"/>
        <v>4687.8780409285419</v>
      </c>
    </row>
    <row r="16" spans="1:11" ht="12.75" customHeight="1" x14ac:dyDescent="0.2">
      <c r="A16" s="314">
        <v>114</v>
      </c>
      <c r="B16" s="38" t="s">
        <v>767</v>
      </c>
      <c r="C16" s="38">
        <v>215</v>
      </c>
      <c r="D16" s="38">
        <v>1998</v>
      </c>
      <c r="E16" s="17" t="str">
        <f t="shared" si="1"/>
        <v>1.25"</v>
      </c>
      <c r="F16" t="str">
        <f t="shared" si="2"/>
        <v>PE</v>
      </c>
      <c r="G16" t="str">
        <f t="shared" si="3"/>
        <v>1.25" PE EXTN</v>
      </c>
      <c r="H16" t="str">
        <f t="shared" si="0"/>
        <v>1.25" PE STUB</v>
      </c>
      <c r="I16" s="315">
        <f>VLOOKUP(G16,'JKP-8.4c - Total Costs'!$A$6:$D$52,4,FALSE)</f>
        <v>2869.6293607026869</v>
      </c>
      <c r="J16" s="315">
        <f>VLOOKUP(H16,'JKP-8.4c - Total Costs'!$A$6:$D$52,4,FALSE)</f>
        <v>1526.7195609992903</v>
      </c>
      <c r="K16" s="232">
        <f t="shared" si="4"/>
        <v>4396.3489217019769</v>
      </c>
    </row>
    <row r="17" spans="1:11" ht="12.75" customHeight="1" x14ac:dyDescent="0.2">
      <c r="A17" s="314">
        <v>114</v>
      </c>
      <c r="B17" s="38" t="s">
        <v>767</v>
      </c>
      <c r="C17" s="38">
        <v>617</v>
      </c>
      <c r="D17" s="38">
        <v>1998</v>
      </c>
      <c r="E17" s="17" t="str">
        <f t="shared" si="1"/>
        <v>1.25"</v>
      </c>
      <c r="F17" t="str">
        <f t="shared" si="2"/>
        <v>PE</v>
      </c>
      <c r="G17" t="str">
        <f t="shared" si="3"/>
        <v>1.25" PE EXTN</v>
      </c>
      <c r="H17" t="str">
        <f t="shared" si="0"/>
        <v>1.25" PE STUB</v>
      </c>
      <c r="I17" s="315">
        <f>VLOOKUP(G17,'JKP-8.4c - Total Costs'!$A$6:$D$52,4,FALSE)</f>
        <v>2869.6293607026869</v>
      </c>
      <c r="J17" s="315">
        <f>VLOOKUP(H17,'JKP-8.4c - Total Costs'!$A$6:$D$52,4,FALSE)</f>
        <v>1526.7195609992903</v>
      </c>
      <c r="K17" s="232">
        <f t="shared" si="4"/>
        <v>4396.3489217019769</v>
      </c>
    </row>
    <row r="18" spans="1:11" ht="12.75" customHeight="1" x14ac:dyDescent="0.2">
      <c r="A18" s="314">
        <v>114</v>
      </c>
      <c r="B18" s="38" t="s">
        <v>767</v>
      </c>
      <c r="C18" s="38">
        <v>204</v>
      </c>
      <c r="D18" s="38"/>
      <c r="E18" s="17" t="str">
        <f t="shared" si="1"/>
        <v>1.25"</v>
      </c>
      <c r="F18" t="str">
        <f t="shared" si="2"/>
        <v>PE</v>
      </c>
      <c r="G18" t="str">
        <f t="shared" si="3"/>
        <v>1.25" PE EXTN</v>
      </c>
      <c r="H18" t="str">
        <f t="shared" si="0"/>
        <v>1.25" PE STUB</v>
      </c>
      <c r="I18" s="315">
        <f>VLOOKUP(G18,'JKP-8.4c - Total Costs'!$A$6:$D$52,4,FALSE)</f>
        <v>2869.6293607026869</v>
      </c>
      <c r="J18" s="315">
        <f>VLOOKUP(H18,'JKP-8.4c - Total Costs'!$A$6:$D$52,4,FALSE)</f>
        <v>1526.7195609992903</v>
      </c>
      <c r="K18" s="232">
        <f t="shared" si="4"/>
        <v>4396.3489217019769</v>
      </c>
    </row>
    <row r="19" spans="1:11" ht="12.75" customHeight="1" x14ac:dyDescent="0.2">
      <c r="A19" s="314">
        <v>114</v>
      </c>
      <c r="B19" s="38" t="s">
        <v>767</v>
      </c>
      <c r="C19" s="38">
        <v>194</v>
      </c>
      <c r="D19" s="38">
        <v>1998</v>
      </c>
      <c r="E19" s="17" t="str">
        <f t="shared" si="1"/>
        <v>1.25"</v>
      </c>
      <c r="F19" t="str">
        <f t="shared" si="2"/>
        <v>PE</v>
      </c>
      <c r="G19" t="str">
        <f t="shared" si="3"/>
        <v>1.25" PE EXTN</v>
      </c>
      <c r="H19" t="str">
        <f t="shared" si="0"/>
        <v>1.25" PE STUB</v>
      </c>
      <c r="I19" s="315">
        <f>VLOOKUP(G19,'JKP-8.4c - Total Costs'!$A$6:$D$52,4,FALSE)</f>
        <v>2869.6293607026869</v>
      </c>
      <c r="J19" s="315">
        <f>VLOOKUP(H19,'JKP-8.4c - Total Costs'!$A$6:$D$52,4,FALSE)</f>
        <v>1526.7195609992903</v>
      </c>
      <c r="K19" s="232">
        <f t="shared" si="4"/>
        <v>4396.3489217019769</v>
      </c>
    </row>
    <row r="20" spans="1:11" ht="12.75" customHeight="1" x14ac:dyDescent="0.2">
      <c r="A20" s="314">
        <v>2</v>
      </c>
      <c r="B20" s="38" t="s">
        <v>556</v>
      </c>
      <c r="C20" s="38">
        <v>335</v>
      </c>
      <c r="D20" s="38">
        <v>1995</v>
      </c>
      <c r="E20" s="17" t="str">
        <f t="shared" si="1"/>
        <v>2"</v>
      </c>
      <c r="F20" t="str">
        <f t="shared" si="2"/>
        <v>PE</v>
      </c>
      <c r="G20" t="str">
        <f t="shared" si="3"/>
        <v>2" PE EXTN</v>
      </c>
      <c r="H20" t="str">
        <f t="shared" si="0"/>
        <v>2" PE STUB</v>
      </c>
      <c r="I20" s="315">
        <f>VLOOKUP(G20,'JKP-8.4c - Total Costs'!$A$6:$D$52,4,FALSE)</f>
        <v>3217.4108620235775</v>
      </c>
      <c r="J20" s="315">
        <f>VLOOKUP(H20,'JKP-8.4c - Total Costs'!$A$6:$D$52,4,FALSE)</f>
        <v>1470.4671789049644</v>
      </c>
      <c r="K20" s="232">
        <f t="shared" si="4"/>
        <v>4687.8780409285419</v>
      </c>
    </row>
    <row r="21" spans="1:11" ht="12.75" customHeight="1" x14ac:dyDescent="0.2">
      <c r="A21" s="314">
        <v>2</v>
      </c>
      <c r="B21" s="38" t="s">
        <v>556</v>
      </c>
      <c r="C21" s="38">
        <v>315</v>
      </c>
      <c r="D21" s="38">
        <v>1995</v>
      </c>
      <c r="E21" s="17" t="str">
        <f t="shared" si="1"/>
        <v>2"</v>
      </c>
      <c r="F21" t="str">
        <f t="shared" si="2"/>
        <v>PE</v>
      </c>
      <c r="G21" t="str">
        <f t="shared" si="3"/>
        <v>2" PE EXTN</v>
      </c>
      <c r="H21" t="str">
        <f t="shared" si="0"/>
        <v>2" PE STUB</v>
      </c>
      <c r="I21" s="315">
        <f>VLOOKUP(G21,'JKP-8.4c - Total Costs'!$A$6:$D$52,4,FALSE)</f>
        <v>3217.4108620235775</v>
      </c>
      <c r="J21" s="315">
        <f>VLOOKUP(H21,'JKP-8.4c - Total Costs'!$A$6:$D$52,4,FALSE)</f>
        <v>1470.4671789049644</v>
      </c>
      <c r="K21" s="232">
        <f t="shared" si="4"/>
        <v>4687.8780409285419</v>
      </c>
    </row>
    <row r="22" spans="1:11" ht="12.75" customHeight="1" x14ac:dyDescent="0.2">
      <c r="A22" s="314">
        <v>114</v>
      </c>
      <c r="B22" s="38" t="s">
        <v>767</v>
      </c>
      <c r="C22" s="38">
        <v>196</v>
      </c>
      <c r="D22" s="38">
        <v>1998</v>
      </c>
      <c r="E22" s="17" t="str">
        <f t="shared" si="1"/>
        <v>1.25"</v>
      </c>
      <c r="F22" t="str">
        <f t="shared" si="2"/>
        <v>PE</v>
      </c>
      <c r="G22" t="str">
        <f t="shared" si="3"/>
        <v>1.25" PE EXTN</v>
      </c>
      <c r="H22" t="str">
        <f t="shared" si="0"/>
        <v>1.25" PE STUB</v>
      </c>
      <c r="I22" s="315">
        <f>VLOOKUP(G22,'JKP-8.4c - Total Costs'!$A$6:$D$52,4,FALSE)</f>
        <v>2869.6293607026869</v>
      </c>
      <c r="J22" s="315">
        <f>VLOOKUP(H22,'JKP-8.4c - Total Costs'!$A$6:$D$52,4,FALSE)</f>
        <v>1526.7195609992903</v>
      </c>
      <c r="K22" s="232">
        <f t="shared" si="4"/>
        <v>4396.3489217019769</v>
      </c>
    </row>
    <row r="23" spans="1:11" ht="12.75" customHeight="1" x14ac:dyDescent="0.2">
      <c r="A23" s="314">
        <v>2</v>
      </c>
      <c r="B23" s="38" t="s">
        <v>556</v>
      </c>
      <c r="C23" s="38">
        <v>352</v>
      </c>
      <c r="D23" s="38">
        <v>1995</v>
      </c>
      <c r="E23" s="17" t="str">
        <f t="shared" si="1"/>
        <v>2"</v>
      </c>
      <c r="F23" t="str">
        <f t="shared" si="2"/>
        <v>PE</v>
      </c>
      <c r="G23" t="str">
        <f t="shared" si="3"/>
        <v>2" PE EXTN</v>
      </c>
      <c r="H23" t="str">
        <f t="shared" si="0"/>
        <v>2" PE STUB</v>
      </c>
      <c r="I23" s="315">
        <f>VLOOKUP(G23,'JKP-8.4c - Total Costs'!$A$6:$D$52,4,FALSE)</f>
        <v>3217.4108620235775</v>
      </c>
      <c r="J23" s="315">
        <f>VLOOKUP(H23,'JKP-8.4c - Total Costs'!$A$6:$D$52,4,FALSE)</f>
        <v>1470.4671789049644</v>
      </c>
      <c r="K23" s="232">
        <f t="shared" si="4"/>
        <v>4687.8780409285419</v>
      </c>
    </row>
    <row r="24" spans="1:11" ht="12.75" customHeight="1" x14ac:dyDescent="0.2">
      <c r="A24" s="314">
        <v>2</v>
      </c>
      <c r="B24" s="38" t="s">
        <v>556</v>
      </c>
      <c r="C24" s="38">
        <v>315</v>
      </c>
      <c r="D24" s="38">
        <v>1995</v>
      </c>
      <c r="E24" s="17" t="str">
        <f t="shared" si="1"/>
        <v>2"</v>
      </c>
      <c r="F24" t="str">
        <f t="shared" si="2"/>
        <v>PE</v>
      </c>
      <c r="G24" t="str">
        <f t="shared" si="3"/>
        <v>2" PE EXTN</v>
      </c>
      <c r="H24" t="str">
        <f t="shared" si="0"/>
        <v>2" PE STUB</v>
      </c>
      <c r="I24" s="315">
        <f>VLOOKUP(G24,'JKP-8.4c - Total Costs'!$A$6:$D$52,4,FALSE)</f>
        <v>3217.4108620235775</v>
      </c>
      <c r="J24" s="315">
        <f>VLOOKUP(H24,'JKP-8.4c - Total Costs'!$A$6:$D$52,4,FALSE)</f>
        <v>1470.4671789049644</v>
      </c>
      <c r="K24" s="232">
        <f t="shared" si="4"/>
        <v>4687.8780409285419</v>
      </c>
    </row>
    <row r="25" spans="1:11" ht="12.75" customHeight="1" x14ac:dyDescent="0.2">
      <c r="A25" s="314">
        <v>2</v>
      </c>
      <c r="B25" s="38" t="s">
        <v>556</v>
      </c>
      <c r="C25" s="38">
        <v>177</v>
      </c>
      <c r="D25" s="38">
        <v>1996</v>
      </c>
      <c r="E25" s="17" t="str">
        <f t="shared" si="1"/>
        <v>2"</v>
      </c>
      <c r="F25" t="str">
        <f t="shared" si="2"/>
        <v>PE</v>
      </c>
      <c r="G25" t="str">
        <f t="shared" si="3"/>
        <v>2" PE EXTN</v>
      </c>
      <c r="H25" t="str">
        <f t="shared" si="3"/>
        <v>2" PE STUB</v>
      </c>
      <c r="I25" s="315">
        <f>VLOOKUP(G25,'JKP-8.4c - Total Costs'!$A$6:$D$52,4,FALSE)</f>
        <v>3217.4108620235775</v>
      </c>
      <c r="J25" s="315">
        <f>VLOOKUP(H25,'JKP-8.4c - Total Costs'!$A$6:$D$52,4,FALSE)</f>
        <v>1470.4671789049644</v>
      </c>
      <c r="K25" s="232">
        <f t="shared" si="4"/>
        <v>4687.8780409285419</v>
      </c>
    </row>
    <row r="26" spans="1:11" ht="12.75" customHeight="1" x14ac:dyDescent="0.2">
      <c r="A26" s="314">
        <v>2</v>
      </c>
      <c r="B26" s="38" t="s">
        <v>556</v>
      </c>
      <c r="C26" s="38">
        <v>50</v>
      </c>
      <c r="D26" s="38">
        <v>1995</v>
      </c>
      <c r="E26" s="17" t="str">
        <f t="shared" si="1"/>
        <v>2"</v>
      </c>
      <c r="F26" t="str">
        <f t="shared" si="2"/>
        <v>PE</v>
      </c>
      <c r="G26" t="str">
        <f t="shared" si="3"/>
        <v>2" PE EXTN</v>
      </c>
      <c r="H26" t="str">
        <f t="shared" si="3"/>
        <v>2" PE STUB</v>
      </c>
      <c r="I26" s="315">
        <f>VLOOKUP(G26,'JKP-8.4c - Total Costs'!$A$6:$D$52,4,FALSE)</f>
        <v>3217.4108620235775</v>
      </c>
      <c r="J26" s="315">
        <f>VLOOKUP(H26,'JKP-8.4c - Total Costs'!$A$6:$D$52,4,FALSE)</f>
        <v>1470.4671789049644</v>
      </c>
      <c r="K26" s="232">
        <f t="shared" si="4"/>
        <v>4687.8780409285419</v>
      </c>
    </row>
    <row r="27" spans="1:11" ht="12.75" customHeight="1" x14ac:dyDescent="0.2">
      <c r="A27" s="314">
        <v>2</v>
      </c>
      <c r="B27" s="38" t="s">
        <v>767</v>
      </c>
      <c r="C27" s="38">
        <v>159</v>
      </c>
      <c r="D27" s="38">
        <v>1998</v>
      </c>
      <c r="E27" s="17" t="str">
        <f t="shared" si="1"/>
        <v>2"</v>
      </c>
      <c r="F27" t="str">
        <f t="shared" si="2"/>
        <v>PE</v>
      </c>
      <c r="G27" t="str">
        <f t="shared" si="3"/>
        <v>2" PE EXTN</v>
      </c>
      <c r="H27" t="str">
        <f t="shared" si="3"/>
        <v>2" PE STUB</v>
      </c>
      <c r="I27" s="315">
        <f>VLOOKUP(G27,'JKP-8.4c - Total Costs'!$A$6:$D$52,4,FALSE)</f>
        <v>3217.4108620235775</v>
      </c>
      <c r="J27" s="315">
        <f>VLOOKUP(H27,'JKP-8.4c - Total Costs'!$A$6:$D$52,4,FALSE)</f>
        <v>1470.4671789049644</v>
      </c>
      <c r="K27" s="232">
        <f t="shared" si="4"/>
        <v>4687.8780409285419</v>
      </c>
    </row>
    <row r="28" spans="1:11" ht="12.75" customHeight="1" x14ac:dyDescent="0.2">
      <c r="A28" s="314">
        <v>2</v>
      </c>
      <c r="B28" s="38" t="s">
        <v>556</v>
      </c>
      <c r="C28" s="38">
        <v>130</v>
      </c>
      <c r="D28" s="38">
        <v>1996</v>
      </c>
      <c r="E28" s="17" t="str">
        <f t="shared" si="1"/>
        <v>2"</v>
      </c>
      <c r="F28" t="str">
        <f t="shared" si="2"/>
        <v>PE</v>
      </c>
      <c r="G28" t="str">
        <f t="shared" si="3"/>
        <v>2" PE EXTN</v>
      </c>
      <c r="H28" t="str">
        <f t="shared" si="3"/>
        <v>2" PE STUB</v>
      </c>
      <c r="I28" s="315">
        <f>VLOOKUP(G28,'JKP-8.4c - Total Costs'!$A$6:$D$52,4,FALSE)</f>
        <v>3217.4108620235775</v>
      </c>
      <c r="J28" s="315">
        <f>VLOOKUP(H28,'JKP-8.4c - Total Costs'!$A$6:$D$52,4,FALSE)</f>
        <v>1470.4671789049644</v>
      </c>
      <c r="K28" s="232">
        <f t="shared" si="4"/>
        <v>4687.8780409285419</v>
      </c>
    </row>
    <row r="29" spans="1:11" ht="12.75" customHeight="1" x14ac:dyDescent="0.2">
      <c r="A29" s="314">
        <v>2</v>
      </c>
      <c r="B29" s="38" t="s">
        <v>556</v>
      </c>
      <c r="C29" s="38">
        <v>101</v>
      </c>
      <c r="D29" s="38">
        <v>1996</v>
      </c>
      <c r="E29" s="17" t="str">
        <f t="shared" si="1"/>
        <v>2"</v>
      </c>
      <c r="F29" t="str">
        <f t="shared" si="2"/>
        <v>PE</v>
      </c>
      <c r="G29" t="str">
        <f t="shared" si="3"/>
        <v>2" PE EXTN</v>
      </c>
      <c r="H29" t="str">
        <f t="shared" si="3"/>
        <v>2" PE STUB</v>
      </c>
      <c r="I29" s="315">
        <f>VLOOKUP(G29,'JKP-8.4c - Total Costs'!$A$6:$D$52,4,FALSE)</f>
        <v>3217.4108620235775</v>
      </c>
      <c r="J29" s="315">
        <f>VLOOKUP(H29,'JKP-8.4c - Total Costs'!$A$6:$D$52,4,FALSE)</f>
        <v>1470.4671789049644</v>
      </c>
      <c r="K29" s="232">
        <f t="shared" si="4"/>
        <v>4687.8780409285419</v>
      </c>
    </row>
    <row r="30" spans="1:11" ht="12.75" customHeight="1" x14ac:dyDescent="0.2">
      <c r="A30" s="314">
        <v>2</v>
      </c>
      <c r="B30" s="38" t="s">
        <v>767</v>
      </c>
      <c r="C30" s="38">
        <v>26</v>
      </c>
      <c r="D30" s="38">
        <v>1999</v>
      </c>
      <c r="E30" s="17" t="str">
        <f t="shared" si="1"/>
        <v>2"</v>
      </c>
      <c r="F30" t="str">
        <f t="shared" si="2"/>
        <v>PE</v>
      </c>
      <c r="G30" t="str">
        <f t="shared" si="3"/>
        <v>2" PE EXTN</v>
      </c>
      <c r="H30" t="str">
        <f t="shared" si="3"/>
        <v>2" PE STUB</v>
      </c>
      <c r="I30" s="315">
        <f>VLOOKUP(G30,'JKP-8.4c - Total Costs'!$A$6:$D$52,4,FALSE)</f>
        <v>3217.4108620235775</v>
      </c>
      <c r="J30" s="315">
        <f>VLOOKUP(H30,'JKP-8.4c - Total Costs'!$A$6:$D$52,4,FALSE)</f>
        <v>1470.4671789049644</v>
      </c>
      <c r="K30" s="232">
        <f t="shared" si="4"/>
        <v>4687.8780409285419</v>
      </c>
    </row>
    <row r="31" spans="1:11" ht="12.75" customHeight="1" x14ac:dyDescent="0.2">
      <c r="A31" s="314">
        <v>2</v>
      </c>
      <c r="B31" s="38" t="s">
        <v>767</v>
      </c>
      <c r="C31" s="38">
        <v>231</v>
      </c>
      <c r="D31" s="38">
        <v>1998</v>
      </c>
      <c r="E31" s="17" t="str">
        <f t="shared" si="1"/>
        <v>2"</v>
      </c>
      <c r="F31" t="str">
        <f t="shared" si="2"/>
        <v>PE</v>
      </c>
      <c r="G31" t="str">
        <f t="shared" si="3"/>
        <v>2" PE EXTN</v>
      </c>
      <c r="H31" t="str">
        <f t="shared" si="3"/>
        <v>2" PE STUB</v>
      </c>
      <c r="I31" s="315">
        <f>VLOOKUP(G31,'JKP-8.4c - Total Costs'!$A$6:$D$52,4,FALSE)</f>
        <v>3217.4108620235775</v>
      </c>
      <c r="J31" s="315">
        <f>VLOOKUP(H31,'JKP-8.4c - Total Costs'!$A$6:$D$52,4,FALSE)</f>
        <v>1470.4671789049644</v>
      </c>
      <c r="K31" s="232">
        <f t="shared" si="4"/>
        <v>4687.8780409285419</v>
      </c>
    </row>
    <row r="32" spans="1:11" ht="12.75" customHeight="1" x14ac:dyDescent="0.2">
      <c r="A32" s="314">
        <v>2</v>
      </c>
      <c r="B32" s="38" t="s">
        <v>556</v>
      </c>
      <c r="C32" s="38">
        <v>75</v>
      </c>
      <c r="D32" s="38">
        <v>1996</v>
      </c>
      <c r="E32" s="17" t="str">
        <f t="shared" si="1"/>
        <v>2"</v>
      </c>
      <c r="F32" t="str">
        <f t="shared" si="2"/>
        <v>PE</v>
      </c>
      <c r="G32" t="str">
        <f t="shared" si="3"/>
        <v>2" PE EXTN</v>
      </c>
      <c r="H32" t="str">
        <f t="shared" si="3"/>
        <v>2" PE STUB</v>
      </c>
      <c r="I32" s="315">
        <f>VLOOKUP(G32,'JKP-8.4c - Total Costs'!$A$6:$D$52,4,FALSE)</f>
        <v>3217.4108620235775</v>
      </c>
      <c r="J32" s="315">
        <f>VLOOKUP(H32,'JKP-8.4c - Total Costs'!$A$6:$D$52,4,FALSE)</f>
        <v>1470.4671789049644</v>
      </c>
      <c r="K32" s="232">
        <f t="shared" si="4"/>
        <v>4687.8780409285419</v>
      </c>
    </row>
    <row r="33" spans="1:11" ht="12.75" customHeight="1" x14ac:dyDescent="0.2">
      <c r="A33" s="314">
        <v>2</v>
      </c>
      <c r="B33" s="38" t="s">
        <v>556</v>
      </c>
      <c r="C33" s="38">
        <v>215</v>
      </c>
      <c r="D33" s="38">
        <v>1995</v>
      </c>
      <c r="E33" s="17" t="str">
        <f t="shared" si="1"/>
        <v>2"</v>
      </c>
      <c r="F33" t="str">
        <f t="shared" si="2"/>
        <v>PE</v>
      </c>
      <c r="G33" t="str">
        <f t="shared" si="3"/>
        <v>2" PE EXTN</v>
      </c>
      <c r="H33" t="str">
        <f t="shared" si="3"/>
        <v>2" PE STUB</v>
      </c>
      <c r="I33" s="315">
        <f>VLOOKUP(G33,'JKP-8.4c - Total Costs'!$A$6:$D$52,4,FALSE)</f>
        <v>3217.4108620235775</v>
      </c>
      <c r="J33" s="315">
        <f>VLOOKUP(H33,'JKP-8.4c - Total Costs'!$A$6:$D$52,4,FALSE)</f>
        <v>1470.4671789049644</v>
      </c>
      <c r="K33" s="232">
        <f t="shared" si="4"/>
        <v>4687.8780409285419</v>
      </c>
    </row>
    <row r="34" spans="1:11" ht="12.75" customHeight="1" x14ac:dyDescent="0.2">
      <c r="A34" s="314">
        <v>2</v>
      </c>
      <c r="B34" s="38" t="s">
        <v>556</v>
      </c>
      <c r="C34" s="38">
        <v>215</v>
      </c>
      <c r="D34" s="38">
        <v>1995</v>
      </c>
      <c r="E34" s="17" t="str">
        <f t="shared" si="1"/>
        <v>2"</v>
      </c>
      <c r="F34" t="str">
        <f t="shared" si="2"/>
        <v>PE</v>
      </c>
      <c r="G34" t="str">
        <f t="shared" si="3"/>
        <v>2" PE EXTN</v>
      </c>
      <c r="H34" t="str">
        <f t="shared" si="3"/>
        <v>2" PE STUB</v>
      </c>
      <c r="I34" s="315">
        <f>VLOOKUP(G34,'JKP-8.4c - Total Costs'!$A$6:$D$52,4,FALSE)</f>
        <v>3217.4108620235775</v>
      </c>
      <c r="J34" s="315">
        <f>VLOOKUP(H34,'JKP-8.4c - Total Costs'!$A$6:$D$52,4,FALSE)</f>
        <v>1470.4671789049644</v>
      </c>
      <c r="K34" s="232">
        <f t="shared" si="4"/>
        <v>4687.8780409285419</v>
      </c>
    </row>
    <row r="35" spans="1:11" ht="12.75" customHeight="1" x14ac:dyDescent="0.2">
      <c r="A35" s="314">
        <v>2</v>
      </c>
      <c r="B35" s="38" t="s">
        <v>556</v>
      </c>
      <c r="C35" s="38">
        <v>214</v>
      </c>
      <c r="D35" s="38">
        <v>1995</v>
      </c>
      <c r="E35" s="17" t="str">
        <f t="shared" si="1"/>
        <v>2"</v>
      </c>
      <c r="F35" t="str">
        <f t="shared" si="2"/>
        <v>PE</v>
      </c>
      <c r="G35" t="str">
        <f t="shared" si="3"/>
        <v>2" PE EXTN</v>
      </c>
      <c r="H35" t="str">
        <f t="shared" si="3"/>
        <v>2" PE STUB</v>
      </c>
      <c r="I35" s="315">
        <f>VLOOKUP(G35,'JKP-8.4c - Total Costs'!$A$6:$D$52,4,FALSE)</f>
        <v>3217.4108620235775</v>
      </c>
      <c r="J35" s="315">
        <f>VLOOKUP(H35,'JKP-8.4c - Total Costs'!$A$6:$D$52,4,FALSE)</f>
        <v>1470.4671789049644</v>
      </c>
      <c r="K35" s="232">
        <f t="shared" si="4"/>
        <v>4687.8780409285419</v>
      </c>
    </row>
    <row r="36" spans="1:11" ht="12.75" customHeight="1" x14ac:dyDescent="0.2">
      <c r="A36" s="314">
        <v>2</v>
      </c>
      <c r="B36" s="38" t="s">
        <v>767</v>
      </c>
      <c r="C36" s="38">
        <v>214</v>
      </c>
      <c r="D36" s="38">
        <v>1998</v>
      </c>
      <c r="E36" s="17" t="str">
        <f t="shared" si="1"/>
        <v>2"</v>
      </c>
      <c r="F36" t="str">
        <f t="shared" si="2"/>
        <v>PE</v>
      </c>
      <c r="G36" t="str">
        <f t="shared" si="3"/>
        <v>2" PE EXTN</v>
      </c>
      <c r="H36" t="str">
        <f t="shared" si="3"/>
        <v>2" PE STUB</v>
      </c>
      <c r="I36" s="315">
        <f>VLOOKUP(G36,'JKP-8.4c - Total Costs'!$A$6:$D$52,4,FALSE)</f>
        <v>3217.4108620235775</v>
      </c>
      <c r="J36" s="315">
        <f>VLOOKUP(H36,'JKP-8.4c - Total Costs'!$A$6:$D$52,4,FALSE)</f>
        <v>1470.4671789049644</v>
      </c>
      <c r="K36" s="232">
        <f t="shared" si="4"/>
        <v>4687.8780409285419</v>
      </c>
    </row>
    <row r="37" spans="1:11" ht="12.75" customHeight="1" x14ac:dyDescent="0.2">
      <c r="A37" s="314">
        <v>114</v>
      </c>
      <c r="B37" s="38" t="s">
        <v>767</v>
      </c>
      <c r="C37" s="38">
        <v>216</v>
      </c>
      <c r="D37" s="38">
        <v>1999</v>
      </c>
      <c r="E37" s="17" t="str">
        <f t="shared" si="1"/>
        <v>1.25"</v>
      </c>
      <c r="F37" t="str">
        <f t="shared" si="2"/>
        <v>PE</v>
      </c>
      <c r="G37" t="str">
        <f t="shared" si="3"/>
        <v>1.25" PE EXTN</v>
      </c>
      <c r="H37" t="str">
        <f t="shared" si="3"/>
        <v>1.25" PE STUB</v>
      </c>
      <c r="I37" s="315">
        <f>VLOOKUP(G37,'JKP-8.4c - Total Costs'!$A$6:$D$52,4,FALSE)</f>
        <v>2869.6293607026869</v>
      </c>
      <c r="J37" s="315">
        <f>VLOOKUP(H37,'JKP-8.4c - Total Costs'!$A$6:$D$52,4,FALSE)</f>
        <v>1526.7195609992903</v>
      </c>
      <c r="K37" s="232">
        <f t="shared" si="4"/>
        <v>4396.3489217019769</v>
      </c>
    </row>
    <row r="38" spans="1:11" ht="12.75" customHeight="1" x14ac:dyDescent="0.2">
      <c r="A38" s="314">
        <v>114</v>
      </c>
      <c r="B38" s="38" t="s">
        <v>767</v>
      </c>
      <c r="C38" s="38">
        <v>216</v>
      </c>
      <c r="D38" s="38">
        <v>1999</v>
      </c>
      <c r="E38" s="17" t="str">
        <f t="shared" si="1"/>
        <v>1.25"</v>
      </c>
      <c r="F38" t="str">
        <f t="shared" si="2"/>
        <v>PE</v>
      </c>
      <c r="G38" t="str">
        <f t="shared" ref="G38:H69" si="5">$E38&amp;" "&amp;$F38&amp;" "&amp;G$3</f>
        <v>1.25" PE EXTN</v>
      </c>
      <c r="H38" t="str">
        <f t="shared" si="5"/>
        <v>1.25" PE STUB</v>
      </c>
      <c r="I38" s="315">
        <f>VLOOKUP(G38,'JKP-8.4c - Total Costs'!$A$6:$D$52,4,FALSE)</f>
        <v>2869.6293607026869</v>
      </c>
      <c r="J38" s="315">
        <f>VLOOKUP(H38,'JKP-8.4c - Total Costs'!$A$6:$D$52,4,FALSE)</f>
        <v>1526.7195609992903</v>
      </c>
      <c r="K38" s="232">
        <f t="shared" si="4"/>
        <v>4396.3489217019769</v>
      </c>
    </row>
    <row r="39" spans="1:11" ht="12.75" customHeight="1" x14ac:dyDescent="0.2">
      <c r="A39" s="314">
        <v>114</v>
      </c>
      <c r="B39" s="38" t="s">
        <v>556</v>
      </c>
      <c r="C39" s="38">
        <v>213</v>
      </c>
      <c r="D39" s="38">
        <v>1995</v>
      </c>
      <c r="E39" s="17" t="str">
        <f t="shared" si="1"/>
        <v>1.25"</v>
      </c>
      <c r="F39" t="str">
        <f t="shared" si="2"/>
        <v>PE</v>
      </c>
      <c r="G39" t="str">
        <f t="shared" si="5"/>
        <v>1.25" PE EXTN</v>
      </c>
      <c r="H39" t="str">
        <f t="shared" si="5"/>
        <v>1.25" PE STUB</v>
      </c>
      <c r="I39" s="315">
        <f>VLOOKUP(G39,'JKP-8.4c - Total Costs'!$A$6:$D$52,4,FALSE)</f>
        <v>2869.6293607026869</v>
      </c>
      <c r="J39" s="315">
        <f>VLOOKUP(H39,'JKP-8.4c - Total Costs'!$A$6:$D$52,4,FALSE)</f>
        <v>1526.7195609992903</v>
      </c>
      <c r="K39" s="232">
        <f t="shared" si="4"/>
        <v>4396.3489217019769</v>
      </c>
    </row>
    <row r="40" spans="1:11" ht="12.75" customHeight="1" x14ac:dyDescent="0.2">
      <c r="A40" s="314">
        <v>114</v>
      </c>
      <c r="B40" s="38" t="s">
        <v>767</v>
      </c>
      <c r="C40" s="38">
        <v>100</v>
      </c>
      <c r="D40" s="38">
        <v>1999</v>
      </c>
      <c r="E40" s="17" t="str">
        <f t="shared" si="1"/>
        <v>1.25"</v>
      </c>
      <c r="F40" t="str">
        <f t="shared" si="2"/>
        <v>PE</v>
      </c>
      <c r="G40" t="str">
        <f t="shared" si="5"/>
        <v>1.25" PE EXTN</v>
      </c>
      <c r="H40" t="str">
        <f t="shared" si="5"/>
        <v>1.25" PE STUB</v>
      </c>
      <c r="I40" s="315">
        <f>VLOOKUP(G40,'JKP-8.4c - Total Costs'!$A$6:$D$52,4,FALSE)</f>
        <v>2869.6293607026869</v>
      </c>
      <c r="J40" s="315">
        <f>VLOOKUP(H40,'JKP-8.4c - Total Costs'!$A$6:$D$52,4,FALSE)</f>
        <v>1526.7195609992903</v>
      </c>
      <c r="K40" s="232">
        <f t="shared" si="4"/>
        <v>4396.3489217019769</v>
      </c>
    </row>
    <row r="41" spans="1:11" ht="12.75" customHeight="1" x14ac:dyDescent="0.2">
      <c r="A41" s="314">
        <v>2</v>
      </c>
      <c r="B41" s="38" t="s">
        <v>767</v>
      </c>
      <c r="C41" s="38">
        <v>118</v>
      </c>
      <c r="D41" s="38">
        <v>1998</v>
      </c>
      <c r="E41" s="17" t="str">
        <f t="shared" si="1"/>
        <v>2"</v>
      </c>
      <c r="F41" t="str">
        <f t="shared" si="2"/>
        <v>PE</v>
      </c>
      <c r="G41" t="str">
        <f t="shared" si="5"/>
        <v>2" PE EXTN</v>
      </c>
      <c r="H41" t="str">
        <f t="shared" si="5"/>
        <v>2" PE STUB</v>
      </c>
      <c r="I41" s="315">
        <f>VLOOKUP(G41,'JKP-8.4c - Total Costs'!$A$6:$D$52,4,FALSE)</f>
        <v>3217.4108620235775</v>
      </c>
      <c r="J41" s="315">
        <f>VLOOKUP(H41,'JKP-8.4c - Total Costs'!$A$6:$D$52,4,FALSE)</f>
        <v>1470.4671789049644</v>
      </c>
      <c r="K41" s="232">
        <f t="shared" si="4"/>
        <v>4687.8780409285419</v>
      </c>
    </row>
    <row r="42" spans="1:11" ht="12.75" customHeight="1" x14ac:dyDescent="0.2">
      <c r="A42" s="314">
        <v>4</v>
      </c>
      <c r="B42" s="38" t="s">
        <v>743</v>
      </c>
      <c r="C42" s="38">
        <v>105</v>
      </c>
      <c r="D42" s="38">
        <v>1983</v>
      </c>
      <c r="E42" s="17" t="str">
        <f t="shared" si="1"/>
        <v>4"</v>
      </c>
      <c r="F42" t="str">
        <f t="shared" si="2"/>
        <v>ST</v>
      </c>
      <c r="G42" t="str">
        <f t="shared" si="5"/>
        <v>4" ST EXTN</v>
      </c>
      <c r="H42" t="str">
        <f t="shared" si="5"/>
        <v>4" ST STUB</v>
      </c>
      <c r="I42" s="315">
        <f>VLOOKUP(G42,'JKP-8.4c - Total Costs'!$A$6:$D$52,4,FALSE)</f>
        <v>44399.854205685449</v>
      </c>
      <c r="J42" s="315">
        <f>VLOOKUP(H42,'JKP-8.4c - Total Costs'!$A$6:$D$52,4,FALSE)</f>
        <v>15876.442206399237</v>
      </c>
      <c r="K42" s="232">
        <f t="shared" si="4"/>
        <v>60276.296412084688</v>
      </c>
    </row>
    <row r="43" spans="1:11" ht="12.75" customHeight="1" x14ac:dyDescent="0.2">
      <c r="A43" s="314">
        <v>2</v>
      </c>
      <c r="B43" s="38" t="s">
        <v>556</v>
      </c>
      <c r="C43" s="38">
        <v>220</v>
      </c>
      <c r="D43" s="38">
        <v>1986</v>
      </c>
      <c r="E43" s="17" t="str">
        <f t="shared" si="1"/>
        <v>2"</v>
      </c>
      <c r="F43" t="str">
        <f t="shared" si="2"/>
        <v>PE</v>
      </c>
      <c r="G43" t="str">
        <f t="shared" si="5"/>
        <v>2" PE EXTN</v>
      </c>
      <c r="H43" t="str">
        <f t="shared" si="5"/>
        <v>2" PE STUB</v>
      </c>
      <c r="I43" s="315">
        <f>VLOOKUP(G43,'JKP-8.4c - Total Costs'!$A$6:$D$52,4,FALSE)</f>
        <v>3217.4108620235775</v>
      </c>
      <c r="J43" s="315">
        <f>VLOOKUP(H43,'JKP-8.4c - Total Costs'!$A$6:$D$52,4,FALSE)</f>
        <v>1470.4671789049644</v>
      </c>
      <c r="K43" s="232">
        <f t="shared" si="4"/>
        <v>4687.8780409285419</v>
      </c>
    </row>
    <row r="44" spans="1:11" ht="12.75" customHeight="1" x14ac:dyDescent="0.2">
      <c r="A44" s="314">
        <v>4</v>
      </c>
      <c r="B44" s="38" t="s">
        <v>556</v>
      </c>
      <c r="C44" s="38">
        <v>200</v>
      </c>
      <c r="D44" s="38">
        <v>1986</v>
      </c>
      <c r="E44" s="17" t="str">
        <f t="shared" si="1"/>
        <v>4"</v>
      </c>
      <c r="F44" t="str">
        <f t="shared" si="2"/>
        <v>PE</v>
      </c>
      <c r="G44" t="str">
        <f t="shared" si="5"/>
        <v>4" PE EXTN</v>
      </c>
      <c r="H44" t="str">
        <f t="shared" si="5"/>
        <v>4" PE STUB</v>
      </c>
      <c r="I44" s="315">
        <f>VLOOKUP(G44,'JKP-8.4c - Total Costs'!$A$6:$D$52,4,FALSE)</f>
        <v>2614.2892777862512</v>
      </c>
      <c r="J44" s="315">
        <f>VLOOKUP(H44,'JKP-8.4c - Total Costs'!$A$6:$D$52,4,FALSE)</f>
        <v>978.7012499017651</v>
      </c>
      <c r="K44" s="232">
        <f t="shared" si="4"/>
        <v>3592.9905276880163</v>
      </c>
    </row>
    <row r="45" spans="1:11" ht="12.75" customHeight="1" x14ac:dyDescent="0.2">
      <c r="A45" s="314">
        <v>114</v>
      </c>
      <c r="B45" s="38" t="s">
        <v>556</v>
      </c>
      <c r="C45" s="38">
        <v>23</v>
      </c>
      <c r="D45" s="38">
        <v>1988</v>
      </c>
      <c r="E45" s="17" t="str">
        <f t="shared" si="1"/>
        <v>1.25"</v>
      </c>
      <c r="F45" t="str">
        <f t="shared" si="2"/>
        <v>PE</v>
      </c>
      <c r="G45" t="str">
        <f t="shared" si="5"/>
        <v>1.25" PE EXTN</v>
      </c>
      <c r="H45" t="str">
        <f t="shared" si="5"/>
        <v>1.25" PE STUB</v>
      </c>
      <c r="I45" s="315">
        <f>VLOOKUP(G45,'JKP-8.4c - Total Costs'!$A$6:$D$52,4,FALSE)</f>
        <v>2869.6293607026869</v>
      </c>
      <c r="J45" s="315">
        <f>VLOOKUP(H45,'JKP-8.4c - Total Costs'!$A$6:$D$52,4,FALSE)</f>
        <v>1526.7195609992903</v>
      </c>
      <c r="K45" s="232">
        <f t="shared" si="4"/>
        <v>4396.3489217019769</v>
      </c>
    </row>
    <row r="46" spans="1:11" ht="12.75" customHeight="1" x14ac:dyDescent="0.2">
      <c r="A46" s="314">
        <v>114</v>
      </c>
      <c r="B46" s="38" t="s">
        <v>556</v>
      </c>
      <c r="C46" s="38">
        <v>290</v>
      </c>
      <c r="D46" s="38">
        <v>1998</v>
      </c>
      <c r="E46" s="17" t="str">
        <f t="shared" si="1"/>
        <v>1.25"</v>
      </c>
      <c r="F46" t="str">
        <f t="shared" si="2"/>
        <v>PE</v>
      </c>
      <c r="G46" t="str">
        <f t="shared" si="5"/>
        <v>1.25" PE EXTN</v>
      </c>
      <c r="H46" t="str">
        <f t="shared" si="5"/>
        <v>1.25" PE STUB</v>
      </c>
      <c r="I46" s="315">
        <f>VLOOKUP(G46,'JKP-8.4c - Total Costs'!$A$6:$D$52,4,FALSE)</f>
        <v>2869.6293607026869</v>
      </c>
      <c r="J46" s="315">
        <f>VLOOKUP(H46,'JKP-8.4c - Total Costs'!$A$6:$D$52,4,FALSE)</f>
        <v>1526.7195609992903</v>
      </c>
      <c r="K46" s="232">
        <f t="shared" si="4"/>
        <v>4396.3489217019769</v>
      </c>
    </row>
    <row r="47" spans="1:11" ht="12.75" customHeight="1" x14ac:dyDescent="0.2">
      <c r="A47" s="314">
        <v>114</v>
      </c>
      <c r="B47" s="38" t="s">
        <v>556</v>
      </c>
      <c r="C47" s="38">
        <v>279</v>
      </c>
      <c r="D47" s="38">
        <v>1998</v>
      </c>
      <c r="E47" s="17" t="str">
        <f t="shared" si="1"/>
        <v>1.25"</v>
      </c>
      <c r="F47" t="str">
        <f t="shared" si="2"/>
        <v>PE</v>
      </c>
      <c r="G47" t="str">
        <f t="shared" si="5"/>
        <v>1.25" PE EXTN</v>
      </c>
      <c r="H47" t="str">
        <f t="shared" si="5"/>
        <v>1.25" PE STUB</v>
      </c>
      <c r="I47" s="315">
        <f>VLOOKUP(G47,'JKP-8.4c - Total Costs'!$A$6:$D$52,4,FALSE)</f>
        <v>2869.6293607026869</v>
      </c>
      <c r="J47" s="315">
        <f>VLOOKUP(H47,'JKP-8.4c - Total Costs'!$A$6:$D$52,4,FALSE)</f>
        <v>1526.7195609992903</v>
      </c>
      <c r="K47" s="232">
        <f t="shared" si="4"/>
        <v>4396.3489217019769</v>
      </c>
    </row>
    <row r="48" spans="1:11" ht="12.75" customHeight="1" x14ac:dyDescent="0.2">
      <c r="A48" s="314">
        <v>118</v>
      </c>
      <c r="B48" s="38" t="s">
        <v>556</v>
      </c>
      <c r="C48" s="38">
        <v>36</v>
      </c>
      <c r="D48" s="38">
        <v>1986</v>
      </c>
      <c r="E48" s="17" t="str">
        <f t="shared" si="1"/>
        <v>1.125"</v>
      </c>
      <c r="F48" t="str">
        <f t="shared" si="2"/>
        <v>PE</v>
      </c>
      <c r="G48" t="str">
        <f t="shared" si="5"/>
        <v>1.125" PE EXTN</v>
      </c>
      <c r="H48" t="str">
        <f t="shared" si="5"/>
        <v>1.125" PE STUB</v>
      </c>
      <c r="I48" s="315">
        <f>VLOOKUP(G48,'JKP-8.4c - Total Costs'!$A$6:$D$52,4,FALSE)</f>
        <v>1705.3083787814819</v>
      </c>
      <c r="J48" s="315">
        <f>VLOOKUP(H48,'JKP-8.4c - Total Costs'!$A$6:$D$52,4,FALSE)</f>
        <v>842.22101353125595</v>
      </c>
      <c r="K48" s="232">
        <f t="shared" si="4"/>
        <v>2547.5293923127379</v>
      </c>
    </row>
    <row r="49" spans="1:11" ht="12.75" customHeight="1" x14ac:dyDescent="0.2">
      <c r="A49" s="314">
        <v>118</v>
      </c>
      <c r="B49" s="38" t="s">
        <v>556</v>
      </c>
      <c r="C49" s="38">
        <v>25</v>
      </c>
      <c r="D49" s="38">
        <v>1990</v>
      </c>
      <c r="E49" s="17" t="str">
        <f t="shared" si="1"/>
        <v>1.125"</v>
      </c>
      <c r="F49" t="str">
        <f t="shared" si="2"/>
        <v>PE</v>
      </c>
      <c r="G49" t="str">
        <f t="shared" si="5"/>
        <v>1.125" PE EXTN</v>
      </c>
      <c r="H49" t="str">
        <f t="shared" si="5"/>
        <v>1.125" PE STUB</v>
      </c>
      <c r="I49" s="315">
        <f>VLOOKUP(G49,'JKP-8.4c - Total Costs'!$A$6:$D$52,4,FALSE)</f>
        <v>1705.3083787814819</v>
      </c>
      <c r="J49" s="315">
        <f>VLOOKUP(H49,'JKP-8.4c - Total Costs'!$A$6:$D$52,4,FALSE)</f>
        <v>842.22101353125595</v>
      </c>
      <c r="K49" s="232">
        <f t="shared" si="4"/>
        <v>2547.5293923127379</v>
      </c>
    </row>
    <row r="50" spans="1:11" ht="12.75" customHeight="1" x14ac:dyDescent="0.2">
      <c r="A50" s="314">
        <v>118</v>
      </c>
      <c r="B50" s="38" t="s">
        <v>556</v>
      </c>
      <c r="C50" s="38">
        <v>35</v>
      </c>
      <c r="D50" s="38">
        <v>1986</v>
      </c>
      <c r="E50" s="17" t="str">
        <f t="shared" si="1"/>
        <v>1.125"</v>
      </c>
      <c r="F50" t="str">
        <f t="shared" si="2"/>
        <v>PE</v>
      </c>
      <c r="G50" t="str">
        <f t="shared" si="5"/>
        <v>1.125" PE EXTN</v>
      </c>
      <c r="H50" t="str">
        <f t="shared" si="5"/>
        <v>1.125" PE STUB</v>
      </c>
      <c r="I50" s="315">
        <f>VLOOKUP(G50,'JKP-8.4c - Total Costs'!$A$6:$D$52,4,FALSE)</f>
        <v>1705.3083787814819</v>
      </c>
      <c r="J50" s="315">
        <f>VLOOKUP(H50,'JKP-8.4c - Total Costs'!$A$6:$D$52,4,FALSE)</f>
        <v>842.22101353125595</v>
      </c>
      <c r="K50" s="232">
        <f t="shared" si="4"/>
        <v>2547.5293923127379</v>
      </c>
    </row>
    <row r="51" spans="1:11" ht="12.75" customHeight="1" x14ac:dyDescent="0.2">
      <c r="A51" s="314">
        <v>118</v>
      </c>
      <c r="B51" s="38" t="s">
        <v>556</v>
      </c>
      <c r="C51" s="38">
        <v>40</v>
      </c>
      <c r="D51" s="38">
        <v>1986</v>
      </c>
      <c r="E51" s="17" t="str">
        <f t="shared" si="1"/>
        <v>1.125"</v>
      </c>
      <c r="F51" t="str">
        <f t="shared" si="2"/>
        <v>PE</v>
      </c>
      <c r="G51" t="str">
        <f t="shared" si="5"/>
        <v>1.125" PE EXTN</v>
      </c>
      <c r="H51" t="str">
        <f t="shared" si="5"/>
        <v>1.125" PE STUB</v>
      </c>
      <c r="I51" s="315">
        <f>VLOOKUP(G51,'JKP-8.4c - Total Costs'!$A$6:$D$52,4,FALSE)</f>
        <v>1705.3083787814819</v>
      </c>
      <c r="J51" s="315">
        <f>VLOOKUP(H51,'JKP-8.4c - Total Costs'!$A$6:$D$52,4,FALSE)</f>
        <v>842.22101353125595</v>
      </c>
      <c r="K51" s="232">
        <f t="shared" si="4"/>
        <v>2547.5293923127379</v>
      </c>
    </row>
    <row r="52" spans="1:11" ht="12.75" customHeight="1" x14ac:dyDescent="0.2">
      <c r="A52" s="314">
        <v>114</v>
      </c>
      <c r="B52" s="38" t="s">
        <v>556</v>
      </c>
      <c r="C52" s="38">
        <v>43</v>
      </c>
      <c r="D52" s="38">
        <v>1987</v>
      </c>
      <c r="E52" s="17" t="str">
        <f t="shared" si="1"/>
        <v>1.25"</v>
      </c>
      <c r="F52" t="str">
        <f t="shared" si="2"/>
        <v>PE</v>
      </c>
      <c r="G52" t="str">
        <f t="shared" si="5"/>
        <v>1.25" PE EXTN</v>
      </c>
      <c r="H52" t="str">
        <f t="shared" si="5"/>
        <v>1.25" PE STUB</v>
      </c>
      <c r="I52" s="315">
        <f>VLOOKUP(G52,'JKP-8.4c - Total Costs'!$A$6:$D$52,4,FALSE)</f>
        <v>2869.6293607026869</v>
      </c>
      <c r="J52" s="315">
        <f>VLOOKUP(H52,'JKP-8.4c - Total Costs'!$A$6:$D$52,4,FALSE)</f>
        <v>1526.7195609992903</v>
      </c>
      <c r="K52" s="232">
        <f t="shared" si="4"/>
        <v>4396.3489217019769</v>
      </c>
    </row>
    <row r="53" spans="1:11" ht="12.75" customHeight="1" x14ac:dyDescent="0.2">
      <c r="A53" s="314">
        <v>114</v>
      </c>
      <c r="B53" s="38" t="s">
        <v>556</v>
      </c>
      <c r="C53" s="38">
        <v>43</v>
      </c>
      <c r="D53" s="38">
        <v>1991</v>
      </c>
      <c r="E53" s="17" t="str">
        <f t="shared" si="1"/>
        <v>1.25"</v>
      </c>
      <c r="F53" t="str">
        <f t="shared" si="2"/>
        <v>PE</v>
      </c>
      <c r="G53" t="str">
        <f t="shared" si="5"/>
        <v>1.25" PE EXTN</v>
      </c>
      <c r="H53" t="str">
        <f t="shared" si="5"/>
        <v>1.25" PE STUB</v>
      </c>
      <c r="I53" s="315">
        <f>VLOOKUP(G53,'JKP-8.4c - Total Costs'!$A$6:$D$52,4,FALSE)</f>
        <v>2869.6293607026869</v>
      </c>
      <c r="J53" s="315">
        <f>VLOOKUP(H53,'JKP-8.4c - Total Costs'!$A$6:$D$52,4,FALSE)</f>
        <v>1526.7195609992903</v>
      </c>
      <c r="K53" s="232">
        <f t="shared" si="4"/>
        <v>4396.3489217019769</v>
      </c>
    </row>
    <row r="54" spans="1:11" ht="12.75" customHeight="1" x14ac:dyDescent="0.2">
      <c r="A54" s="314">
        <v>114</v>
      </c>
      <c r="B54" s="38" t="s">
        <v>556</v>
      </c>
      <c r="C54" s="38">
        <v>43</v>
      </c>
      <c r="D54" s="38">
        <v>1991</v>
      </c>
      <c r="E54" s="17" t="str">
        <f t="shared" si="1"/>
        <v>1.25"</v>
      </c>
      <c r="F54" t="str">
        <f t="shared" si="2"/>
        <v>PE</v>
      </c>
      <c r="G54" t="str">
        <f t="shared" si="5"/>
        <v>1.25" PE EXTN</v>
      </c>
      <c r="H54" t="str">
        <f t="shared" si="5"/>
        <v>1.25" PE STUB</v>
      </c>
      <c r="I54" s="315">
        <f>VLOOKUP(G54,'JKP-8.4c - Total Costs'!$A$6:$D$52,4,FALSE)</f>
        <v>2869.6293607026869</v>
      </c>
      <c r="J54" s="315">
        <f>VLOOKUP(H54,'JKP-8.4c - Total Costs'!$A$6:$D$52,4,FALSE)</f>
        <v>1526.7195609992903</v>
      </c>
      <c r="K54" s="232">
        <f t="shared" si="4"/>
        <v>4396.3489217019769</v>
      </c>
    </row>
    <row r="55" spans="1:11" ht="12.75" customHeight="1" x14ac:dyDescent="0.2">
      <c r="A55" s="314">
        <v>118</v>
      </c>
      <c r="B55" s="38" t="s">
        <v>556</v>
      </c>
      <c r="C55" s="38">
        <v>44</v>
      </c>
      <c r="D55" s="38">
        <v>1986</v>
      </c>
      <c r="E55" s="17" t="str">
        <f t="shared" si="1"/>
        <v>1.125"</v>
      </c>
      <c r="F55" t="str">
        <f t="shared" si="2"/>
        <v>PE</v>
      </c>
      <c r="G55" t="str">
        <f t="shared" si="5"/>
        <v>1.125" PE EXTN</v>
      </c>
      <c r="H55" t="str">
        <f t="shared" si="5"/>
        <v>1.125" PE STUB</v>
      </c>
      <c r="I55" s="315">
        <f>VLOOKUP(G55,'JKP-8.4c - Total Costs'!$A$6:$D$52,4,FALSE)</f>
        <v>1705.3083787814819</v>
      </c>
      <c r="J55" s="315">
        <f>VLOOKUP(H55,'JKP-8.4c - Total Costs'!$A$6:$D$52,4,FALSE)</f>
        <v>842.22101353125595</v>
      </c>
      <c r="K55" s="232">
        <f t="shared" si="4"/>
        <v>2547.5293923127379</v>
      </c>
    </row>
    <row r="56" spans="1:11" ht="12.75" customHeight="1" x14ac:dyDescent="0.2">
      <c r="A56" s="314">
        <v>118</v>
      </c>
      <c r="B56" s="38" t="s">
        <v>556</v>
      </c>
      <c r="C56" s="38">
        <v>67</v>
      </c>
      <c r="D56" s="38">
        <v>1986</v>
      </c>
      <c r="E56" s="17" t="str">
        <f t="shared" si="1"/>
        <v>1.125"</v>
      </c>
      <c r="F56" t="str">
        <f t="shared" si="2"/>
        <v>PE</v>
      </c>
      <c r="G56" t="str">
        <f t="shared" si="5"/>
        <v>1.125" PE EXTN</v>
      </c>
      <c r="H56" t="str">
        <f t="shared" si="5"/>
        <v>1.125" PE STUB</v>
      </c>
      <c r="I56" s="315">
        <f>VLOOKUP(G56,'JKP-8.4c - Total Costs'!$A$6:$D$52,4,FALSE)</f>
        <v>1705.3083787814819</v>
      </c>
      <c r="J56" s="315">
        <f>VLOOKUP(H56,'JKP-8.4c - Total Costs'!$A$6:$D$52,4,FALSE)</f>
        <v>842.22101353125595</v>
      </c>
      <c r="K56" s="232">
        <f t="shared" si="4"/>
        <v>2547.5293923127379</v>
      </c>
    </row>
    <row r="57" spans="1:11" ht="12.75" customHeight="1" x14ac:dyDescent="0.2">
      <c r="A57" s="314">
        <v>118</v>
      </c>
      <c r="B57" s="38" t="s">
        <v>556</v>
      </c>
      <c r="C57" s="38">
        <v>38</v>
      </c>
      <c r="D57" s="38">
        <v>1986</v>
      </c>
      <c r="E57" s="17" t="str">
        <f t="shared" si="1"/>
        <v>1.125"</v>
      </c>
      <c r="F57" t="str">
        <f t="shared" si="2"/>
        <v>PE</v>
      </c>
      <c r="G57" t="str">
        <f t="shared" si="5"/>
        <v>1.125" PE EXTN</v>
      </c>
      <c r="H57" t="str">
        <f t="shared" si="5"/>
        <v>1.125" PE STUB</v>
      </c>
      <c r="I57" s="315">
        <f>VLOOKUP(G57,'JKP-8.4c - Total Costs'!$A$6:$D$52,4,FALSE)</f>
        <v>1705.3083787814819</v>
      </c>
      <c r="J57" s="315">
        <f>VLOOKUP(H57,'JKP-8.4c - Total Costs'!$A$6:$D$52,4,FALSE)</f>
        <v>842.22101353125595</v>
      </c>
      <c r="K57" s="232">
        <f t="shared" si="4"/>
        <v>2547.5293923127379</v>
      </c>
    </row>
    <row r="58" spans="1:11" ht="12.75" customHeight="1" x14ac:dyDescent="0.2">
      <c r="A58" s="314">
        <v>118</v>
      </c>
      <c r="B58" s="38" t="s">
        <v>556</v>
      </c>
      <c r="C58" s="38" t="s">
        <v>747</v>
      </c>
      <c r="D58" s="38">
        <v>1986</v>
      </c>
      <c r="E58" s="17" t="str">
        <f t="shared" si="1"/>
        <v>1.125"</v>
      </c>
      <c r="F58" t="str">
        <f t="shared" si="2"/>
        <v>PE</v>
      </c>
      <c r="G58" t="str">
        <f t="shared" si="5"/>
        <v>1.125" PE EXTN</v>
      </c>
      <c r="H58" t="str">
        <f t="shared" si="5"/>
        <v>1.125" PE STUB</v>
      </c>
      <c r="I58" s="315">
        <f>VLOOKUP(G58,'JKP-8.4c - Total Costs'!$A$6:$D$52,4,FALSE)</f>
        <v>1705.3083787814819</v>
      </c>
      <c r="J58" s="315">
        <f>VLOOKUP(H58,'JKP-8.4c - Total Costs'!$A$6:$D$52,4,FALSE)</f>
        <v>842.22101353125595</v>
      </c>
      <c r="K58" s="232">
        <f t="shared" si="4"/>
        <v>2547.5293923127379</v>
      </c>
    </row>
    <row r="59" spans="1:11" ht="12.75" customHeight="1" x14ac:dyDescent="0.2">
      <c r="A59" s="314">
        <v>118</v>
      </c>
      <c r="B59" s="38" t="s">
        <v>556</v>
      </c>
      <c r="C59" s="38">
        <v>59</v>
      </c>
      <c r="D59" s="38">
        <v>2002</v>
      </c>
      <c r="E59" s="17" t="str">
        <f t="shared" si="1"/>
        <v>1.125"</v>
      </c>
      <c r="F59" t="str">
        <f t="shared" si="2"/>
        <v>PE</v>
      </c>
      <c r="G59" t="str">
        <f t="shared" si="5"/>
        <v>1.125" PE EXTN</v>
      </c>
      <c r="H59" t="str">
        <f t="shared" si="5"/>
        <v>1.125" PE STUB</v>
      </c>
      <c r="I59" s="315">
        <f>VLOOKUP(G59,'JKP-8.4c - Total Costs'!$A$6:$D$52,4,FALSE)</f>
        <v>1705.3083787814819</v>
      </c>
      <c r="J59" s="315">
        <f>VLOOKUP(H59,'JKP-8.4c - Total Costs'!$A$6:$D$52,4,FALSE)</f>
        <v>842.22101353125595</v>
      </c>
      <c r="K59" s="232">
        <f t="shared" si="4"/>
        <v>2547.5293923127379</v>
      </c>
    </row>
    <row r="60" spans="1:11" ht="12.75" customHeight="1" x14ac:dyDescent="0.2">
      <c r="A60" s="314">
        <v>118</v>
      </c>
      <c r="B60" s="38" t="s">
        <v>556</v>
      </c>
      <c r="C60" s="38">
        <v>57</v>
      </c>
      <c r="D60" s="38">
        <v>2002</v>
      </c>
      <c r="E60" s="17" t="str">
        <f t="shared" si="1"/>
        <v>1.125"</v>
      </c>
      <c r="F60" t="str">
        <f t="shared" si="2"/>
        <v>PE</v>
      </c>
      <c r="G60" t="str">
        <f t="shared" si="5"/>
        <v>1.125" PE EXTN</v>
      </c>
      <c r="H60" t="str">
        <f t="shared" si="5"/>
        <v>1.125" PE STUB</v>
      </c>
      <c r="I60" s="315">
        <f>VLOOKUP(G60,'JKP-8.4c - Total Costs'!$A$6:$D$52,4,FALSE)</f>
        <v>1705.3083787814819</v>
      </c>
      <c r="J60" s="315">
        <f>VLOOKUP(H60,'JKP-8.4c - Total Costs'!$A$6:$D$52,4,FALSE)</f>
        <v>842.22101353125595</v>
      </c>
      <c r="K60" s="232">
        <f t="shared" si="4"/>
        <v>2547.5293923127379</v>
      </c>
    </row>
    <row r="61" spans="1:11" ht="12.75" customHeight="1" x14ac:dyDescent="0.2">
      <c r="A61" s="314">
        <v>114</v>
      </c>
      <c r="B61" s="38" t="s">
        <v>556</v>
      </c>
      <c r="C61" s="38">
        <v>38</v>
      </c>
      <c r="D61" s="38">
        <v>1991</v>
      </c>
      <c r="E61" s="17" t="str">
        <f t="shared" si="1"/>
        <v>1.25"</v>
      </c>
      <c r="F61" t="str">
        <f t="shared" si="2"/>
        <v>PE</v>
      </c>
      <c r="G61" t="str">
        <f t="shared" si="5"/>
        <v>1.25" PE EXTN</v>
      </c>
      <c r="H61" t="str">
        <f t="shared" si="5"/>
        <v>1.25" PE STUB</v>
      </c>
      <c r="I61" s="315">
        <f>VLOOKUP(G61,'JKP-8.4c - Total Costs'!$A$6:$D$52,4,FALSE)</f>
        <v>2869.6293607026869</v>
      </c>
      <c r="J61" s="315">
        <f>VLOOKUP(H61,'JKP-8.4c - Total Costs'!$A$6:$D$52,4,FALSE)</f>
        <v>1526.7195609992903</v>
      </c>
      <c r="K61" s="232">
        <f t="shared" si="4"/>
        <v>4396.3489217019769</v>
      </c>
    </row>
    <row r="62" spans="1:11" ht="12.75" customHeight="1" x14ac:dyDescent="0.2">
      <c r="A62" s="314">
        <v>114</v>
      </c>
      <c r="B62" s="38" t="s">
        <v>556</v>
      </c>
      <c r="C62" s="38" t="s">
        <v>747</v>
      </c>
      <c r="D62" s="38">
        <v>1991</v>
      </c>
      <c r="E62" s="17" t="str">
        <f t="shared" si="1"/>
        <v>1.25"</v>
      </c>
      <c r="F62" t="str">
        <f t="shared" si="2"/>
        <v>PE</v>
      </c>
      <c r="G62" t="str">
        <f t="shared" si="5"/>
        <v>1.25" PE EXTN</v>
      </c>
      <c r="H62" t="str">
        <f t="shared" si="5"/>
        <v>1.25" PE STUB</v>
      </c>
      <c r="I62" s="315">
        <f>VLOOKUP(G62,'JKP-8.4c - Total Costs'!$A$6:$D$52,4,FALSE)</f>
        <v>2869.6293607026869</v>
      </c>
      <c r="J62" s="315">
        <f>VLOOKUP(H62,'JKP-8.4c - Total Costs'!$A$6:$D$52,4,FALSE)</f>
        <v>1526.7195609992903</v>
      </c>
      <c r="K62" s="232">
        <f t="shared" si="4"/>
        <v>4396.3489217019769</v>
      </c>
    </row>
    <row r="63" spans="1:11" ht="12.75" customHeight="1" x14ac:dyDescent="0.2">
      <c r="A63" s="314">
        <v>114</v>
      </c>
      <c r="B63" s="38" t="s">
        <v>556</v>
      </c>
      <c r="C63" s="38">
        <v>35</v>
      </c>
      <c r="D63" s="38">
        <v>1991</v>
      </c>
      <c r="E63" s="17" t="str">
        <f t="shared" si="1"/>
        <v>1.25"</v>
      </c>
      <c r="F63" t="str">
        <f t="shared" si="2"/>
        <v>PE</v>
      </c>
      <c r="G63" t="str">
        <f t="shared" si="5"/>
        <v>1.25" PE EXTN</v>
      </c>
      <c r="H63" t="str">
        <f t="shared" si="5"/>
        <v>1.25" PE STUB</v>
      </c>
      <c r="I63" s="315">
        <f>VLOOKUP(G63,'JKP-8.4c - Total Costs'!$A$6:$D$52,4,FALSE)</f>
        <v>2869.6293607026869</v>
      </c>
      <c r="J63" s="315">
        <f>VLOOKUP(H63,'JKP-8.4c - Total Costs'!$A$6:$D$52,4,FALSE)</f>
        <v>1526.7195609992903</v>
      </c>
      <c r="K63" s="232">
        <f t="shared" si="4"/>
        <v>4396.3489217019769</v>
      </c>
    </row>
    <row r="64" spans="1:11" ht="12.75" customHeight="1" x14ac:dyDescent="0.2">
      <c r="A64" s="314">
        <v>114</v>
      </c>
      <c r="B64" s="38" t="s">
        <v>556</v>
      </c>
      <c r="C64" s="38">
        <v>37</v>
      </c>
      <c r="D64" s="38">
        <v>1991</v>
      </c>
      <c r="E64" s="17" t="str">
        <f t="shared" si="1"/>
        <v>1.25"</v>
      </c>
      <c r="F64" t="str">
        <f t="shared" si="2"/>
        <v>PE</v>
      </c>
      <c r="G64" t="str">
        <f t="shared" si="5"/>
        <v>1.25" PE EXTN</v>
      </c>
      <c r="H64" t="str">
        <f t="shared" si="5"/>
        <v>1.25" PE STUB</v>
      </c>
      <c r="I64" s="315">
        <f>VLOOKUP(G64,'JKP-8.4c - Total Costs'!$A$6:$D$52,4,FALSE)</f>
        <v>2869.6293607026869</v>
      </c>
      <c r="J64" s="315">
        <f>VLOOKUP(H64,'JKP-8.4c - Total Costs'!$A$6:$D$52,4,FALSE)</f>
        <v>1526.7195609992903</v>
      </c>
      <c r="K64" s="232">
        <f t="shared" si="4"/>
        <v>4396.3489217019769</v>
      </c>
    </row>
    <row r="65" spans="1:11" ht="12.75" customHeight="1" x14ac:dyDescent="0.2">
      <c r="A65" s="314">
        <v>114</v>
      </c>
      <c r="B65" s="38" t="s">
        <v>556</v>
      </c>
      <c r="C65" s="38">
        <v>35</v>
      </c>
      <c r="D65" s="38">
        <v>1991</v>
      </c>
      <c r="E65" s="17" t="str">
        <f t="shared" si="1"/>
        <v>1.25"</v>
      </c>
      <c r="F65" t="str">
        <f t="shared" si="2"/>
        <v>PE</v>
      </c>
      <c r="G65" t="str">
        <f t="shared" si="5"/>
        <v>1.25" PE EXTN</v>
      </c>
      <c r="H65" t="str">
        <f t="shared" si="5"/>
        <v>1.25" PE STUB</v>
      </c>
      <c r="I65" s="315">
        <f>VLOOKUP(G65,'JKP-8.4c - Total Costs'!$A$6:$D$52,4,FALSE)</f>
        <v>2869.6293607026869</v>
      </c>
      <c r="J65" s="315">
        <f>VLOOKUP(H65,'JKP-8.4c - Total Costs'!$A$6:$D$52,4,FALSE)</f>
        <v>1526.7195609992903</v>
      </c>
      <c r="K65" s="232">
        <f t="shared" si="4"/>
        <v>4396.3489217019769</v>
      </c>
    </row>
    <row r="66" spans="1:11" ht="12.75" customHeight="1" x14ac:dyDescent="0.2">
      <c r="A66" s="314">
        <v>114</v>
      </c>
      <c r="B66" s="38" t="s">
        <v>556</v>
      </c>
      <c r="C66" s="38">
        <v>66</v>
      </c>
      <c r="D66" s="38">
        <v>1991</v>
      </c>
      <c r="E66" s="17" t="str">
        <f t="shared" si="1"/>
        <v>1.25"</v>
      </c>
      <c r="F66" t="str">
        <f t="shared" si="2"/>
        <v>PE</v>
      </c>
      <c r="G66" t="str">
        <f t="shared" si="5"/>
        <v>1.25" PE EXTN</v>
      </c>
      <c r="H66" t="str">
        <f t="shared" si="5"/>
        <v>1.25" PE STUB</v>
      </c>
      <c r="I66" s="315">
        <f>VLOOKUP(G66,'JKP-8.4c - Total Costs'!$A$6:$D$52,4,FALSE)</f>
        <v>2869.6293607026869</v>
      </c>
      <c r="J66" s="315">
        <f>VLOOKUP(H66,'JKP-8.4c - Total Costs'!$A$6:$D$52,4,FALSE)</f>
        <v>1526.7195609992903</v>
      </c>
      <c r="K66" s="232">
        <f t="shared" si="4"/>
        <v>4396.3489217019769</v>
      </c>
    </row>
    <row r="67" spans="1:11" ht="12.75" customHeight="1" x14ac:dyDescent="0.2">
      <c r="A67" s="314">
        <v>114</v>
      </c>
      <c r="B67" s="38" t="s">
        <v>556</v>
      </c>
      <c r="C67" s="38">
        <v>35</v>
      </c>
      <c r="D67" s="38">
        <v>1991</v>
      </c>
      <c r="E67" s="17" t="str">
        <f t="shared" si="1"/>
        <v>1.25"</v>
      </c>
      <c r="F67" t="str">
        <f t="shared" si="2"/>
        <v>PE</v>
      </c>
      <c r="G67" t="str">
        <f t="shared" si="5"/>
        <v>1.25" PE EXTN</v>
      </c>
      <c r="H67" t="str">
        <f t="shared" si="5"/>
        <v>1.25" PE STUB</v>
      </c>
      <c r="I67" s="315">
        <f>VLOOKUP(G67,'JKP-8.4c - Total Costs'!$A$6:$D$52,4,FALSE)</f>
        <v>2869.6293607026869</v>
      </c>
      <c r="J67" s="315">
        <f>VLOOKUP(H67,'JKP-8.4c - Total Costs'!$A$6:$D$52,4,FALSE)</f>
        <v>1526.7195609992903</v>
      </c>
      <c r="K67" s="232">
        <f t="shared" si="4"/>
        <v>4396.3489217019769</v>
      </c>
    </row>
    <row r="68" spans="1:11" ht="12.75" customHeight="1" x14ac:dyDescent="0.2">
      <c r="A68" s="314">
        <v>114</v>
      </c>
      <c r="B68" s="38" t="s">
        <v>556</v>
      </c>
      <c r="C68" s="38">
        <v>37</v>
      </c>
      <c r="D68" s="38">
        <v>1991</v>
      </c>
      <c r="E68" s="17" t="str">
        <f t="shared" si="1"/>
        <v>1.25"</v>
      </c>
      <c r="F68" t="str">
        <f t="shared" si="2"/>
        <v>PE</v>
      </c>
      <c r="G68" t="str">
        <f t="shared" si="5"/>
        <v>1.25" PE EXTN</v>
      </c>
      <c r="H68" t="str">
        <f t="shared" si="5"/>
        <v>1.25" PE STUB</v>
      </c>
      <c r="I68" s="315">
        <f>VLOOKUP(G68,'JKP-8.4c - Total Costs'!$A$6:$D$52,4,FALSE)</f>
        <v>2869.6293607026869</v>
      </c>
      <c r="J68" s="315">
        <f>VLOOKUP(H68,'JKP-8.4c - Total Costs'!$A$6:$D$52,4,FALSE)</f>
        <v>1526.7195609992903</v>
      </c>
      <c r="K68" s="232">
        <f t="shared" si="4"/>
        <v>4396.3489217019769</v>
      </c>
    </row>
    <row r="69" spans="1:11" ht="12.75" customHeight="1" x14ac:dyDescent="0.2">
      <c r="A69" s="314">
        <v>2</v>
      </c>
      <c r="B69" s="38" t="s">
        <v>556</v>
      </c>
      <c r="C69" s="38">
        <v>75</v>
      </c>
      <c r="D69" s="38">
        <v>1992</v>
      </c>
      <c r="E69" s="17" t="str">
        <f t="shared" si="1"/>
        <v>2"</v>
      </c>
      <c r="F69" t="str">
        <f t="shared" si="2"/>
        <v>PE</v>
      </c>
      <c r="G69" t="str">
        <f t="shared" si="5"/>
        <v>2" PE EXTN</v>
      </c>
      <c r="H69" t="str">
        <f t="shared" si="5"/>
        <v>2" PE STUB</v>
      </c>
      <c r="I69" s="315">
        <f>VLOOKUP(G69,'JKP-8.4c - Total Costs'!$A$6:$D$52,4,FALSE)</f>
        <v>3217.4108620235775</v>
      </c>
      <c r="J69" s="315">
        <f>VLOOKUP(H69,'JKP-8.4c - Total Costs'!$A$6:$D$52,4,FALSE)</f>
        <v>1470.4671789049644</v>
      </c>
      <c r="K69" s="232">
        <f t="shared" si="4"/>
        <v>4687.8780409285419</v>
      </c>
    </row>
    <row r="70" spans="1:11" ht="12.75" customHeight="1" x14ac:dyDescent="0.2">
      <c r="A70" s="314">
        <v>2</v>
      </c>
      <c r="B70" s="38" t="s">
        <v>556</v>
      </c>
      <c r="C70" s="38">
        <v>67</v>
      </c>
      <c r="D70" s="38">
        <v>1986</v>
      </c>
      <c r="E70" s="17" t="str">
        <f t="shared" ref="E70:E133" si="6">IF(A70=58,".625",IF(A70=118,"1.125",IF(A70=114,"1.25",A70)))&amp;""""</f>
        <v>2"</v>
      </c>
      <c r="F70" t="str">
        <f t="shared" ref="F70:F133" si="7">IF(B70="STW","ST","PE")</f>
        <v>PE</v>
      </c>
      <c r="G70" t="str">
        <f t="shared" ref="G70:H101" si="8">$E70&amp;" "&amp;$F70&amp;" "&amp;G$3</f>
        <v>2" PE EXTN</v>
      </c>
      <c r="H70" t="str">
        <f t="shared" si="8"/>
        <v>2" PE STUB</v>
      </c>
      <c r="I70" s="315">
        <f>VLOOKUP(G70,'JKP-8.4c - Total Costs'!$A$6:$D$52,4,FALSE)</f>
        <v>3217.4108620235775</v>
      </c>
      <c r="J70" s="315">
        <f>VLOOKUP(H70,'JKP-8.4c - Total Costs'!$A$6:$D$52,4,FALSE)</f>
        <v>1470.4671789049644</v>
      </c>
      <c r="K70" s="232">
        <f t="shared" ref="K70:K133" si="9">J70+I70</f>
        <v>4687.8780409285419</v>
      </c>
    </row>
    <row r="71" spans="1:11" ht="12.75" customHeight="1" x14ac:dyDescent="0.2">
      <c r="A71" s="314">
        <v>2</v>
      </c>
      <c r="B71" s="38" t="s">
        <v>556</v>
      </c>
      <c r="C71" s="38">
        <v>66</v>
      </c>
      <c r="D71" s="38">
        <v>1986</v>
      </c>
      <c r="E71" s="17" t="str">
        <f t="shared" si="6"/>
        <v>2"</v>
      </c>
      <c r="F71" t="str">
        <f t="shared" si="7"/>
        <v>PE</v>
      </c>
      <c r="G71" t="str">
        <f t="shared" si="8"/>
        <v>2" PE EXTN</v>
      </c>
      <c r="H71" t="str">
        <f t="shared" si="8"/>
        <v>2" PE STUB</v>
      </c>
      <c r="I71" s="315">
        <f>VLOOKUP(G71,'JKP-8.4c - Total Costs'!$A$6:$D$52,4,FALSE)</f>
        <v>3217.4108620235775</v>
      </c>
      <c r="J71" s="315">
        <f>VLOOKUP(H71,'JKP-8.4c - Total Costs'!$A$6:$D$52,4,FALSE)</f>
        <v>1470.4671789049644</v>
      </c>
      <c r="K71" s="232">
        <f t="shared" si="9"/>
        <v>4687.8780409285419</v>
      </c>
    </row>
    <row r="72" spans="1:11" ht="12.75" customHeight="1" x14ac:dyDescent="0.2">
      <c r="A72" s="314">
        <v>2</v>
      </c>
      <c r="B72" s="38" t="s">
        <v>556</v>
      </c>
      <c r="C72" s="38">
        <v>88</v>
      </c>
      <c r="D72" s="38">
        <v>1986</v>
      </c>
      <c r="E72" s="17" t="str">
        <f t="shared" si="6"/>
        <v>2"</v>
      </c>
      <c r="F72" t="str">
        <f t="shared" si="7"/>
        <v>PE</v>
      </c>
      <c r="G72" t="str">
        <f t="shared" si="8"/>
        <v>2" PE EXTN</v>
      </c>
      <c r="H72" t="str">
        <f t="shared" si="8"/>
        <v>2" PE STUB</v>
      </c>
      <c r="I72" s="315">
        <f>VLOOKUP(G72,'JKP-8.4c - Total Costs'!$A$6:$D$52,4,FALSE)</f>
        <v>3217.4108620235775</v>
      </c>
      <c r="J72" s="315">
        <f>VLOOKUP(H72,'JKP-8.4c - Total Costs'!$A$6:$D$52,4,FALSE)</f>
        <v>1470.4671789049644</v>
      </c>
      <c r="K72" s="232">
        <f t="shared" si="9"/>
        <v>4687.8780409285419</v>
      </c>
    </row>
    <row r="73" spans="1:11" ht="12.75" customHeight="1" x14ac:dyDescent="0.2">
      <c r="A73" s="314">
        <v>118</v>
      </c>
      <c r="B73" s="38" t="s">
        <v>556</v>
      </c>
      <c r="C73" s="38">
        <v>69</v>
      </c>
      <c r="D73" s="38">
        <v>1986</v>
      </c>
      <c r="E73" s="17" t="str">
        <f t="shared" si="6"/>
        <v>1.125"</v>
      </c>
      <c r="F73" t="str">
        <f t="shared" si="7"/>
        <v>PE</v>
      </c>
      <c r="G73" t="str">
        <f t="shared" si="8"/>
        <v>1.125" PE EXTN</v>
      </c>
      <c r="H73" t="str">
        <f t="shared" si="8"/>
        <v>1.125" PE STUB</v>
      </c>
      <c r="I73" s="315">
        <f>VLOOKUP(G73,'JKP-8.4c - Total Costs'!$A$6:$D$52,4,FALSE)</f>
        <v>1705.3083787814819</v>
      </c>
      <c r="J73" s="315">
        <f>VLOOKUP(H73,'JKP-8.4c - Total Costs'!$A$6:$D$52,4,FALSE)</f>
        <v>842.22101353125595</v>
      </c>
      <c r="K73" s="232">
        <f t="shared" si="9"/>
        <v>2547.5293923127379</v>
      </c>
    </row>
    <row r="74" spans="1:11" ht="12.75" customHeight="1" x14ac:dyDescent="0.2">
      <c r="A74" s="314">
        <v>114</v>
      </c>
      <c r="B74" s="38" t="s">
        <v>556</v>
      </c>
      <c r="C74" s="38">
        <v>355</v>
      </c>
      <c r="D74" s="38">
        <v>1986</v>
      </c>
      <c r="E74" s="17" t="str">
        <f t="shared" si="6"/>
        <v>1.25"</v>
      </c>
      <c r="F74" t="str">
        <f t="shared" si="7"/>
        <v>PE</v>
      </c>
      <c r="G74" t="str">
        <f t="shared" si="8"/>
        <v>1.25" PE EXTN</v>
      </c>
      <c r="H74" t="str">
        <f t="shared" si="8"/>
        <v>1.25" PE STUB</v>
      </c>
      <c r="I74" s="315">
        <f>VLOOKUP(G74,'JKP-8.4c - Total Costs'!$A$6:$D$52,4,FALSE)</f>
        <v>2869.6293607026869</v>
      </c>
      <c r="J74" s="315">
        <f>VLOOKUP(H74,'JKP-8.4c - Total Costs'!$A$6:$D$52,4,FALSE)</f>
        <v>1526.7195609992903</v>
      </c>
      <c r="K74" s="232">
        <f t="shared" si="9"/>
        <v>4396.3489217019769</v>
      </c>
    </row>
    <row r="75" spans="1:11" ht="12.75" customHeight="1" x14ac:dyDescent="0.2">
      <c r="A75" s="314">
        <v>114</v>
      </c>
      <c r="B75" s="38" t="s">
        <v>556</v>
      </c>
      <c r="C75" s="38" t="s">
        <v>747</v>
      </c>
      <c r="D75" s="38">
        <v>1986</v>
      </c>
      <c r="E75" s="17" t="str">
        <f t="shared" si="6"/>
        <v>1.25"</v>
      </c>
      <c r="F75" t="str">
        <f t="shared" si="7"/>
        <v>PE</v>
      </c>
      <c r="G75" t="str">
        <f t="shared" si="8"/>
        <v>1.25" PE EXTN</v>
      </c>
      <c r="H75" t="str">
        <f t="shared" si="8"/>
        <v>1.25" PE STUB</v>
      </c>
      <c r="I75" s="315">
        <f>VLOOKUP(G75,'JKP-8.4c - Total Costs'!$A$6:$D$52,4,FALSE)</f>
        <v>2869.6293607026869</v>
      </c>
      <c r="J75" s="315">
        <f>VLOOKUP(H75,'JKP-8.4c - Total Costs'!$A$6:$D$52,4,FALSE)</f>
        <v>1526.7195609992903</v>
      </c>
      <c r="K75" s="232">
        <f t="shared" si="9"/>
        <v>4396.3489217019769</v>
      </c>
    </row>
    <row r="76" spans="1:11" ht="12.75" customHeight="1" x14ac:dyDescent="0.2">
      <c r="A76" s="314">
        <v>2</v>
      </c>
      <c r="B76" s="38" t="s">
        <v>556</v>
      </c>
      <c r="C76" s="38">
        <v>246</v>
      </c>
      <c r="D76" s="38">
        <v>1986</v>
      </c>
      <c r="E76" s="17" t="str">
        <f t="shared" si="6"/>
        <v>2"</v>
      </c>
      <c r="F76" t="str">
        <f t="shared" si="7"/>
        <v>PE</v>
      </c>
      <c r="G76" t="str">
        <f t="shared" si="8"/>
        <v>2" PE EXTN</v>
      </c>
      <c r="H76" t="str">
        <f t="shared" si="8"/>
        <v>2" PE STUB</v>
      </c>
      <c r="I76" s="315">
        <f>VLOOKUP(G76,'JKP-8.4c - Total Costs'!$A$6:$D$52,4,FALSE)</f>
        <v>3217.4108620235775</v>
      </c>
      <c r="J76" s="315">
        <f>VLOOKUP(H76,'JKP-8.4c - Total Costs'!$A$6:$D$52,4,FALSE)</f>
        <v>1470.4671789049644</v>
      </c>
      <c r="K76" s="232">
        <f t="shared" si="9"/>
        <v>4687.8780409285419</v>
      </c>
    </row>
    <row r="77" spans="1:11" ht="12.75" customHeight="1" x14ac:dyDescent="0.2">
      <c r="A77" s="314">
        <v>114</v>
      </c>
      <c r="B77" s="38" t="s">
        <v>753</v>
      </c>
      <c r="C77" s="38">
        <v>397</v>
      </c>
      <c r="D77" s="38">
        <v>1986</v>
      </c>
      <c r="E77" s="17" t="str">
        <f t="shared" si="6"/>
        <v>1.25"</v>
      </c>
      <c r="F77" t="str">
        <f t="shared" si="7"/>
        <v>PE</v>
      </c>
      <c r="G77" t="str">
        <f t="shared" si="8"/>
        <v>1.25" PE EXTN</v>
      </c>
      <c r="H77" t="str">
        <f t="shared" si="8"/>
        <v>1.25" PE STUB</v>
      </c>
      <c r="I77" s="315">
        <f>VLOOKUP(G77,'JKP-8.4c - Total Costs'!$A$6:$D$52,4,FALSE)</f>
        <v>2869.6293607026869</v>
      </c>
      <c r="J77" s="315">
        <f>VLOOKUP(H77,'JKP-8.4c - Total Costs'!$A$6:$D$52,4,FALSE)</f>
        <v>1526.7195609992903</v>
      </c>
      <c r="K77" s="232">
        <f t="shared" si="9"/>
        <v>4396.3489217019769</v>
      </c>
    </row>
    <row r="78" spans="1:11" ht="12.75" customHeight="1" x14ac:dyDescent="0.2">
      <c r="A78" s="314">
        <v>2</v>
      </c>
      <c r="B78" s="38" t="s">
        <v>753</v>
      </c>
      <c r="C78" s="38">
        <v>70</v>
      </c>
      <c r="D78" s="38">
        <v>1990</v>
      </c>
      <c r="E78" s="17" t="str">
        <f t="shared" si="6"/>
        <v>2"</v>
      </c>
      <c r="F78" t="str">
        <f t="shared" si="7"/>
        <v>PE</v>
      </c>
      <c r="G78" t="str">
        <f t="shared" si="8"/>
        <v>2" PE EXTN</v>
      </c>
      <c r="H78" t="str">
        <f t="shared" si="8"/>
        <v>2" PE STUB</v>
      </c>
      <c r="I78" s="315">
        <f>VLOOKUP(G78,'JKP-8.4c - Total Costs'!$A$6:$D$52,4,FALSE)</f>
        <v>3217.4108620235775</v>
      </c>
      <c r="J78" s="315">
        <f>VLOOKUP(H78,'JKP-8.4c - Total Costs'!$A$6:$D$52,4,FALSE)</f>
        <v>1470.4671789049644</v>
      </c>
      <c r="K78" s="232">
        <f t="shared" si="9"/>
        <v>4687.8780409285419</v>
      </c>
    </row>
    <row r="79" spans="1:11" ht="12.75" customHeight="1" x14ac:dyDescent="0.2">
      <c r="A79" s="314">
        <v>58</v>
      </c>
      <c r="B79" s="38" t="s">
        <v>556</v>
      </c>
      <c r="C79" s="38">
        <v>12</v>
      </c>
      <c r="D79" s="38">
        <v>1990</v>
      </c>
      <c r="E79" s="17" t="str">
        <f t="shared" si="6"/>
        <v>.625"</v>
      </c>
      <c r="F79" t="str">
        <f t="shared" si="7"/>
        <v>PE</v>
      </c>
      <c r="G79" t="str">
        <f t="shared" si="8"/>
        <v>.625" PE EXTN</v>
      </c>
      <c r="H79" t="str">
        <f t="shared" si="8"/>
        <v>.625" PE STUB</v>
      </c>
      <c r="I79" s="315">
        <f>VLOOKUP(G79,'JKP-8.4c - Total Costs'!$A$6:$D$52,4,FALSE)</f>
        <v>914.11623574584928</v>
      </c>
      <c r="J79" s="315">
        <f>VLOOKUP(H79,'JKP-8.4c - Total Costs'!$A$6:$D$52,4,FALSE)</f>
        <v>449.05635196446576</v>
      </c>
      <c r="K79" s="232">
        <f t="shared" si="9"/>
        <v>1363.1725877103149</v>
      </c>
    </row>
    <row r="80" spans="1:11" ht="12.75" customHeight="1" x14ac:dyDescent="0.2">
      <c r="A80" s="314">
        <v>2</v>
      </c>
      <c r="B80" s="38" t="s">
        <v>753</v>
      </c>
      <c r="C80" s="38">
        <v>70</v>
      </c>
      <c r="D80" s="38">
        <v>1990</v>
      </c>
      <c r="E80" s="17" t="str">
        <f t="shared" si="6"/>
        <v>2"</v>
      </c>
      <c r="F80" t="str">
        <f t="shared" si="7"/>
        <v>PE</v>
      </c>
      <c r="G80" t="str">
        <f t="shared" si="8"/>
        <v>2" PE EXTN</v>
      </c>
      <c r="H80" t="str">
        <f t="shared" si="8"/>
        <v>2" PE STUB</v>
      </c>
      <c r="I80" s="315">
        <f>VLOOKUP(G80,'JKP-8.4c - Total Costs'!$A$6:$D$52,4,FALSE)</f>
        <v>3217.4108620235775</v>
      </c>
      <c r="J80" s="315">
        <f>VLOOKUP(H80,'JKP-8.4c - Total Costs'!$A$6:$D$52,4,FALSE)</f>
        <v>1470.4671789049644</v>
      </c>
      <c r="K80" s="232">
        <f t="shared" si="9"/>
        <v>4687.8780409285419</v>
      </c>
    </row>
    <row r="81" spans="1:11" ht="12.75" customHeight="1" x14ac:dyDescent="0.2">
      <c r="A81" s="314">
        <v>118</v>
      </c>
      <c r="B81" s="38" t="s">
        <v>556</v>
      </c>
      <c r="C81" s="38">
        <v>235</v>
      </c>
      <c r="D81" s="38">
        <v>1986</v>
      </c>
      <c r="E81" s="17" t="str">
        <f t="shared" si="6"/>
        <v>1.125"</v>
      </c>
      <c r="F81" t="str">
        <f t="shared" si="7"/>
        <v>PE</v>
      </c>
      <c r="G81" t="str">
        <f t="shared" si="8"/>
        <v>1.125" PE EXTN</v>
      </c>
      <c r="H81" t="str">
        <f t="shared" si="8"/>
        <v>1.125" PE STUB</v>
      </c>
      <c r="I81" s="315">
        <f>VLOOKUP(G81,'JKP-8.4c - Total Costs'!$A$6:$D$52,4,FALSE)</f>
        <v>1705.3083787814819</v>
      </c>
      <c r="J81" s="315">
        <f>VLOOKUP(H81,'JKP-8.4c - Total Costs'!$A$6:$D$52,4,FALSE)</f>
        <v>842.22101353125595</v>
      </c>
      <c r="K81" s="232">
        <f t="shared" si="9"/>
        <v>2547.5293923127379</v>
      </c>
    </row>
    <row r="82" spans="1:11" ht="12.75" customHeight="1" x14ac:dyDescent="0.2">
      <c r="A82" s="314">
        <v>114</v>
      </c>
      <c r="B82" s="38" t="s">
        <v>556</v>
      </c>
      <c r="C82" s="38">
        <v>390</v>
      </c>
      <c r="D82" s="38">
        <v>1988</v>
      </c>
      <c r="E82" s="17" t="str">
        <f t="shared" si="6"/>
        <v>1.25"</v>
      </c>
      <c r="F82" t="str">
        <f t="shared" si="7"/>
        <v>PE</v>
      </c>
      <c r="G82" t="str">
        <f t="shared" si="8"/>
        <v>1.25" PE EXTN</v>
      </c>
      <c r="H82" t="str">
        <f t="shared" si="8"/>
        <v>1.25" PE STUB</v>
      </c>
      <c r="I82" s="315">
        <f>VLOOKUP(G82,'JKP-8.4c - Total Costs'!$A$6:$D$52,4,FALSE)</f>
        <v>2869.6293607026869</v>
      </c>
      <c r="J82" s="315">
        <f>VLOOKUP(H82,'JKP-8.4c - Total Costs'!$A$6:$D$52,4,FALSE)</f>
        <v>1526.7195609992903</v>
      </c>
      <c r="K82" s="232">
        <f t="shared" si="9"/>
        <v>4396.3489217019769</v>
      </c>
    </row>
    <row r="83" spans="1:11" ht="12.75" customHeight="1" x14ac:dyDescent="0.2">
      <c r="A83" s="314">
        <v>2</v>
      </c>
      <c r="B83" s="38" t="s">
        <v>556</v>
      </c>
      <c r="C83" s="38">
        <v>136</v>
      </c>
      <c r="D83" s="38">
        <v>1992</v>
      </c>
      <c r="E83" s="17" t="str">
        <f t="shared" si="6"/>
        <v>2"</v>
      </c>
      <c r="F83" t="str">
        <f t="shared" si="7"/>
        <v>PE</v>
      </c>
      <c r="G83" t="str">
        <f t="shared" si="8"/>
        <v>2" PE EXTN</v>
      </c>
      <c r="H83" t="str">
        <f t="shared" si="8"/>
        <v>2" PE STUB</v>
      </c>
      <c r="I83" s="315">
        <f>VLOOKUP(G83,'JKP-8.4c - Total Costs'!$A$6:$D$52,4,FALSE)</f>
        <v>3217.4108620235775</v>
      </c>
      <c r="J83" s="315">
        <f>VLOOKUP(H83,'JKP-8.4c - Total Costs'!$A$6:$D$52,4,FALSE)</f>
        <v>1470.4671789049644</v>
      </c>
      <c r="K83" s="232">
        <f t="shared" si="9"/>
        <v>4687.8780409285419</v>
      </c>
    </row>
    <row r="84" spans="1:11" ht="12.75" customHeight="1" x14ac:dyDescent="0.2">
      <c r="A84" s="314">
        <v>2</v>
      </c>
      <c r="B84" s="38" t="s">
        <v>743</v>
      </c>
      <c r="C84" s="38">
        <v>277</v>
      </c>
      <c r="D84" s="38">
        <v>1989</v>
      </c>
      <c r="E84" s="17" t="str">
        <f t="shared" si="6"/>
        <v>2"</v>
      </c>
      <c r="F84" t="str">
        <f t="shared" si="7"/>
        <v>ST</v>
      </c>
      <c r="G84" t="str">
        <f t="shared" si="8"/>
        <v>2" ST EXTN</v>
      </c>
      <c r="H84" t="str">
        <f t="shared" si="8"/>
        <v>2" ST STUB</v>
      </c>
      <c r="I84" s="315">
        <f>VLOOKUP(G84,'JKP-8.4c - Total Costs'!$A$6:$D$52,4,FALSE)</f>
        <v>2648.6561603011223</v>
      </c>
      <c r="J84" s="315">
        <f>VLOOKUP(H84,'JKP-8.4c - Total Costs'!$A$6:$D$52,4,FALSE)</f>
        <v>963.78049662050148</v>
      </c>
      <c r="K84" s="232">
        <f t="shared" si="9"/>
        <v>3612.4366569216236</v>
      </c>
    </row>
    <row r="85" spans="1:11" ht="12.75" customHeight="1" x14ac:dyDescent="0.2">
      <c r="A85" s="314">
        <v>2</v>
      </c>
      <c r="B85" s="38" t="s">
        <v>743</v>
      </c>
      <c r="C85" s="38">
        <v>136</v>
      </c>
      <c r="D85" s="38">
        <v>1985</v>
      </c>
      <c r="E85" s="17" t="str">
        <f t="shared" si="6"/>
        <v>2"</v>
      </c>
      <c r="F85" t="str">
        <f t="shared" si="7"/>
        <v>ST</v>
      </c>
      <c r="G85" t="str">
        <f t="shared" si="8"/>
        <v>2" ST EXTN</v>
      </c>
      <c r="H85" t="str">
        <f t="shared" si="8"/>
        <v>2" ST STUB</v>
      </c>
      <c r="I85" s="315">
        <f>VLOOKUP(G85,'JKP-8.4c - Total Costs'!$A$6:$D$52,4,FALSE)</f>
        <v>2648.6561603011223</v>
      </c>
      <c r="J85" s="315">
        <f>VLOOKUP(H85,'JKP-8.4c - Total Costs'!$A$6:$D$52,4,FALSE)</f>
        <v>963.78049662050148</v>
      </c>
      <c r="K85" s="232">
        <f t="shared" si="9"/>
        <v>3612.4366569216236</v>
      </c>
    </row>
    <row r="86" spans="1:11" ht="12.75" customHeight="1" x14ac:dyDescent="0.2">
      <c r="A86" s="314">
        <v>2</v>
      </c>
      <c r="B86" s="38" t="s">
        <v>556</v>
      </c>
      <c r="C86" s="38">
        <v>274</v>
      </c>
      <c r="D86" s="38">
        <v>1990</v>
      </c>
      <c r="E86" s="17" t="str">
        <f t="shared" si="6"/>
        <v>2"</v>
      </c>
      <c r="F86" t="str">
        <f t="shared" si="7"/>
        <v>PE</v>
      </c>
      <c r="G86" t="str">
        <f t="shared" si="8"/>
        <v>2" PE EXTN</v>
      </c>
      <c r="H86" t="str">
        <f t="shared" si="8"/>
        <v>2" PE STUB</v>
      </c>
      <c r="I86" s="315">
        <f>VLOOKUP(G86,'JKP-8.4c - Total Costs'!$A$6:$D$52,4,FALSE)</f>
        <v>3217.4108620235775</v>
      </c>
      <c r="J86" s="315">
        <f>VLOOKUP(H86,'JKP-8.4c - Total Costs'!$A$6:$D$52,4,FALSE)</f>
        <v>1470.4671789049644</v>
      </c>
      <c r="K86" s="232">
        <f t="shared" si="9"/>
        <v>4687.8780409285419</v>
      </c>
    </row>
    <row r="87" spans="1:11" ht="12.75" customHeight="1" x14ac:dyDescent="0.2">
      <c r="A87" s="314">
        <v>2</v>
      </c>
      <c r="B87" s="38" t="s">
        <v>556</v>
      </c>
      <c r="C87" s="38">
        <v>268</v>
      </c>
      <c r="D87" s="38">
        <v>1990</v>
      </c>
      <c r="E87" s="17" t="str">
        <f t="shared" si="6"/>
        <v>2"</v>
      </c>
      <c r="F87" t="str">
        <f t="shared" si="7"/>
        <v>PE</v>
      </c>
      <c r="G87" t="str">
        <f t="shared" si="8"/>
        <v>2" PE EXTN</v>
      </c>
      <c r="H87" t="str">
        <f t="shared" si="8"/>
        <v>2" PE STUB</v>
      </c>
      <c r="I87" s="315">
        <f>VLOOKUP(G87,'JKP-8.4c - Total Costs'!$A$6:$D$52,4,FALSE)</f>
        <v>3217.4108620235775</v>
      </c>
      <c r="J87" s="315">
        <f>VLOOKUP(H87,'JKP-8.4c - Total Costs'!$A$6:$D$52,4,FALSE)</f>
        <v>1470.4671789049644</v>
      </c>
      <c r="K87" s="232">
        <f t="shared" si="9"/>
        <v>4687.8780409285419</v>
      </c>
    </row>
    <row r="88" spans="1:11" ht="12.75" customHeight="1" x14ac:dyDescent="0.2">
      <c r="A88" s="314">
        <v>2</v>
      </c>
      <c r="B88" s="38" t="s">
        <v>556</v>
      </c>
      <c r="C88" s="38">
        <v>910</v>
      </c>
      <c r="D88" s="38">
        <v>1986</v>
      </c>
      <c r="E88" s="17" t="str">
        <f t="shared" si="6"/>
        <v>2"</v>
      </c>
      <c r="F88" t="str">
        <f t="shared" si="7"/>
        <v>PE</v>
      </c>
      <c r="G88" t="str">
        <f t="shared" si="8"/>
        <v>2" PE EXTN</v>
      </c>
      <c r="H88" t="str">
        <f t="shared" si="8"/>
        <v>2" PE STUB</v>
      </c>
      <c r="I88" s="315">
        <f>VLOOKUP(G88,'JKP-8.4c - Total Costs'!$A$6:$D$52,4,FALSE)</f>
        <v>3217.4108620235775</v>
      </c>
      <c r="J88" s="315">
        <f>VLOOKUP(H88,'JKP-8.4c - Total Costs'!$A$6:$D$52,4,FALSE)</f>
        <v>1470.4671789049644</v>
      </c>
      <c r="K88" s="232">
        <f t="shared" si="9"/>
        <v>4687.8780409285419</v>
      </c>
    </row>
    <row r="89" spans="1:11" ht="12.75" customHeight="1" x14ac:dyDescent="0.2">
      <c r="A89" s="314">
        <v>2</v>
      </c>
      <c r="B89" s="38" t="s">
        <v>767</v>
      </c>
      <c r="C89" s="38">
        <v>95</v>
      </c>
      <c r="D89" s="38">
        <v>1999</v>
      </c>
      <c r="E89" s="17" t="str">
        <f t="shared" si="6"/>
        <v>2"</v>
      </c>
      <c r="F89" t="str">
        <f t="shared" si="7"/>
        <v>PE</v>
      </c>
      <c r="G89" t="str">
        <f t="shared" si="8"/>
        <v>2" PE EXTN</v>
      </c>
      <c r="H89" t="str">
        <f t="shared" si="8"/>
        <v>2" PE STUB</v>
      </c>
      <c r="I89" s="315">
        <f>VLOOKUP(G89,'JKP-8.4c - Total Costs'!$A$6:$D$52,4,FALSE)</f>
        <v>3217.4108620235775</v>
      </c>
      <c r="J89" s="315">
        <f>VLOOKUP(H89,'JKP-8.4c - Total Costs'!$A$6:$D$52,4,FALSE)</f>
        <v>1470.4671789049644</v>
      </c>
      <c r="K89" s="232">
        <f t="shared" si="9"/>
        <v>4687.8780409285419</v>
      </c>
    </row>
    <row r="90" spans="1:11" ht="12.75" customHeight="1" x14ac:dyDescent="0.2">
      <c r="A90" s="314">
        <v>2</v>
      </c>
      <c r="B90" s="38" t="s">
        <v>767</v>
      </c>
      <c r="C90" s="38">
        <v>95</v>
      </c>
      <c r="D90" s="38">
        <v>1999</v>
      </c>
      <c r="E90" s="17" t="str">
        <f t="shared" si="6"/>
        <v>2"</v>
      </c>
      <c r="F90" t="str">
        <f t="shared" si="7"/>
        <v>PE</v>
      </c>
      <c r="G90" t="str">
        <f t="shared" si="8"/>
        <v>2" PE EXTN</v>
      </c>
      <c r="H90" t="str">
        <f t="shared" si="8"/>
        <v>2" PE STUB</v>
      </c>
      <c r="I90" s="315">
        <f>VLOOKUP(G90,'JKP-8.4c - Total Costs'!$A$6:$D$52,4,FALSE)</f>
        <v>3217.4108620235775</v>
      </c>
      <c r="J90" s="315">
        <f>VLOOKUP(H90,'JKP-8.4c - Total Costs'!$A$6:$D$52,4,FALSE)</f>
        <v>1470.4671789049644</v>
      </c>
      <c r="K90" s="232">
        <f t="shared" si="9"/>
        <v>4687.8780409285419</v>
      </c>
    </row>
    <row r="91" spans="1:11" ht="12.75" customHeight="1" x14ac:dyDescent="0.2">
      <c r="A91" s="314">
        <v>2</v>
      </c>
      <c r="B91" s="38" t="s">
        <v>767</v>
      </c>
      <c r="C91" s="38">
        <v>88</v>
      </c>
      <c r="D91" s="38">
        <v>1999</v>
      </c>
      <c r="E91" s="17" t="str">
        <f t="shared" si="6"/>
        <v>2"</v>
      </c>
      <c r="F91" t="str">
        <f t="shared" si="7"/>
        <v>PE</v>
      </c>
      <c r="G91" t="str">
        <f t="shared" si="8"/>
        <v>2" PE EXTN</v>
      </c>
      <c r="H91" t="str">
        <f t="shared" si="8"/>
        <v>2" PE STUB</v>
      </c>
      <c r="I91" s="315">
        <f>VLOOKUP(G91,'JKP-8.4c - Total Costs'!$A$6:$D$52,4,FALSE)</f>
        <v>3217.4108620235775</v>
      </c>
      <c r="J91" s="315">
        <f>VLOOKUP(H91,'JKP-8.4c - Total Costs'!$A$6:$D$52,4,FALSE)</f>
        <v>1470.4671789049644</v>
      </c>
      <c r="K91" s="232">
        <f t="shared" si="9"/>
        <v>4687.8780409285419</v>
      </c>
    </row>
    <row r="92" spans="1:11" ht="12.75" customHeight="1" x14ac:dyDescent="0.2">
      <c r="A92" s="314">
        <v>114</v>
      </c>
      <c r="B92" s="38" t="s">
        <v>753</v>
      </c>
      <c r="C92" s="38">
        <v>104</v>
      </c>
      <c r="D92" s="38">
        <v>1991</v>
      </c>
      <c r="E92" s="17" t="str">
        <f t="shared" si="6"/>
        <v>1.25"</v>
      </c>
      <c r="F92" t="str">
        <f t="shared" si="7"/>
        <v>PE</v>
      </c>
      <c r="G92" t="str">
        <f t="shared" si="8"/>
        <v>1.25" PE EXTN</v>
      </c>
      <c r="H92" t="str">
        <f t="shared" si="8"/>
        <v>1.25" PE STUB</v>
      </c>
      <c r="I92" s="315">
        <f>VLOOKUP(G92,'JKP-8.4c - Total Costs'!$A$6:$D$52,4,FALSE)</f>
        <v>2869.6293607026869</v>
      </c>
      <c r="J92" s="315">
        <f>VLOOKUP(H92,'JKP-8.4c - Total Costs'!$A$6:$D$52,4,FALSE)</f>
        <v>1526.7195609992903</v>
      </c>
      <c r="K92" s="232">
        <f t="shared" si="9"/>
        <v>4396.3489217019769</v>
      </c>
    </row>
    <row r="93" spans="1:11" ht="12.75" customHeight="1" x14ac:dyDescent="0.2">
      <c r="A93" s="314">
        <v>2</v>
      </c>
      <c r="B93" s="38" t="s">
        <v>767</v>
      </c>
      <c r="C93" s="38">
        <v>65</v>
      </c>
      <c r="D93" s="38">
        <v>1999</v>
      </c>
      <c r="E93" s="17" t="str">
        <f t="shared" si="6"/>
        <v>2"</v>
      </c>
      <c r="F93" t="str">
        <f t="shared" si="7"/>
        <v>PE</v>
      </c>
      <c r="G93" t="str">
        <f t="shared" si="8"/>
        <v>2" PE EXTN</v>
      </c>
      <c r="H93" t="str">
        <f t="shared" si="8"/>
        <v>2" PE STUB</v>
      </c>
      <c r="I93" s="315">
        <f>VLOOKUP(G93,'JKP-8.4c - Total Costs'!$A$6:$D$52,4,FALSE)</f>
        <v>3217.4108620235775</v>
      </c>
      <c r="J93" s="315">
        <f>VLOOKUP(H93,'JKP-8.4c - Total Costs'!$A$6:$D$52,4,FALSE)</f>
        <v>1470.4671789049644</v>
      </c>
      <c r="K93" s="232">
        <f t="shared" si="9"/>
        <v>4687.8780409285419</v>
      </c>
    </row>
    <row r="94" spans="1:11" ht="12.75" customHeight="1" x14ac:dyDescent="0.2">
      <c r="A94" s="314">
        <v>114</v>
      </c>
      <c r="B94" s="38" t="s">
        <v>767</v>
      </c>
      <c r="C94" s="38">
        <v>56</v>
      </c>
      <c r="D94" s="38">
        <v>1999</v>
      </c>
      <c r="E94" s="17" t="str">
        <f t="shared" si="6"/>
        <v>1.25"</v>
      </c>
      <c r="F94" t="str">
        <f t="shared" si="7"/>
        <v>PE</v>
      </c>
      <c r="G94" t="str">
        <f t="shared" si="8"/>
        <v>1.25" PE EXTN</v>
      </c>
      <c r="H94" t="str">
        <f t="shared" si="8"/>
        <v>1.25" PE STUB</v>
      </c>
      <c r="I94" s="315">
        <f>VLOOKUP(G94,'JKP-8.4c - Total Costs'!$A$6:$D$52,4,FALSE)</f>
        <v>2869.6293607026869</v>
      </c>
      <c r="J94" s="315">
        <f>VLOOKUP(H94,'JKP-8.4c - Total Costs'!$A$6:$D$52,4,FALSE)</f>
        <v>1526.7195609992903</v>
      </c>
      <c r="K94" s="232">
        <f t="shared" si="9"/>
        <v>4396.3489217019769</v>
      </c>
    </row>
    <row r="95" spans="1:11" ht="12.75" customHeight="1" x14ac:dyDescent="0.2">
      <c r="A95" s="314">
        <v>114</v>
      </c>
      <c r="B95" s="38" t="s">
        <v>767</v>
      </c>
      <c r="C95" s="38">
        <v>45</v>
      </c>
      <c r="D95" s="38">
        <v>1999</v>
      </c>
      <c r="E95" s="17" t="str">
        <f t="shared" si="6"/>
        <v>1.25"</v>
      </c>
      <c r="F95" t="str">
        <f t="shared" si="7"/>
        <v>PE</v>
      </c>
      <c r="G95" t="str">
        <f t="shared" si="8"/>
        <v>1.25" PE EXTN</v>
      </c>
      <c r="H95" t="str">
        <f t="shared" si="8"/>
        <v>1.25" PE STUB</v>
      </c>
      <c r="I95" s="315">
        <f>VLOOKUP(G95,'JKP-8.4c - Total Costs'!$A$6:$D$52,4,FALSE)</f>
        <v>2869.6293607026869</v>
      </c>
      <c r="J95" s="315">
        <f>VLOOKUP(H95,'JKP-8.4c - Total Costs'!$A$6:$D$52,4,FALSE)</f>
        <v>1526.7195609992903</v>
      </c>
      <c r="K95" s="232">
        <f t="shared" si="9"/>
        <v>4396.3489217019769</v>
      </c>
    </row>
    <row r="96" spans="1:11" ht="12.75" customHeight="1" x14ac:dyDescent="0.2">
      <c r="A96" s="314">
        <v>114</v>
      </c>
      <c r="B96" s="38" t="s">
        <v>767</v>
      </c>
      <c r="C96" s="38" t="s">
        <v>747</v>
      </c>
      <c r="D96" s="38">
        <v>1999</v>
      </c>
      <c r="E96" s="17" t="str">
        <f t="shared" si="6"/>
        <v>1.25"</v>
      </c>
      <c r="F96" t="str">
        <f t="shared" si="7"/>
        <v>PE</v>
      </c>
      <c r="G96" t="str">
        <f t="shared" si="8"/>
        <v>1.25" PE EXTN</v>
      </c>
      <c r="H96" t="str">
        <f t="shared" si="8"/>
        <v>1.25" PE STUB</v>
      </c>
      <c r="I96" s="315">
        <f>VLOOKUP(G96,'JKP-8.4c - Total Costs'!$A$6:$D$52,4,FALSE)</f>
        <v>2869.6293607026869</v>
      </c>
      <c r="J96" s="315">
        <f>VLOOKUP(H96,'JKP-8.4c - Total Costs'!$A$6:$D$52,4,FALSE)</f>
        <v>1526.7195609992903</v>
      </c>
      <c r="K96" s="232">
        <f t="shared" si="9"/>
        <v>4396.3489217019769</v>
      </c>
    </row>
    <row r="97" spans="1:11" ht="12.75" customHeight="1" x14ac:dyDescent="0.2">
      <c r="A97" s="314">
        <v>114</v>
      </c>
      <c r="B97" s="38" t="s">
        <v>767</v>
      </c>
      <c r="C97" s="38">
        <v>26</v>
      </c>
      <c r="D97" s="38">
        <v>1999</v>
      </c>
      <c r="E97" s="17" t="str">
        <f t="shared" si="6"/>
        <v>1.25"</v>
      </c>
      <c r="F97" t="str">
        <f t="shared" si="7"/>
        <v>PE</v>
      </c>
      <c r="G97" t="str">
        <f t="shared" si="8"/>
        <v>1.25" PE EXTN</v>
      </c>
      <c r="H97" t="str">
        <f t="shared" si="8"/>
        <v>1.25" PE STUB</v>
      </c>
      <c r="I97" s="315">
        <f>VLOOKUP(G97,'JKP-8.4c - Total Costs'!$A$6:$D$52,4,FALSE)</f>
        <v>2869.6293607026869</v>
      </c>
      <c r="J97" s="315">
        <f>VLOOKUP(H97,'JKP-8.4c - Total Costs'!$A$6:$D$52,4,FALSE)</f>
        <v>1526.7195609992903</v>
      </c>
      <c r="K97" s="232">
        <f t="shared" si="9"/>
        <v>4396.3489217019769</v>
      </c>
    </row>
    <row r="98" spans="1:11" ht="12.75" customHeight="1" x14ac:dyDescent="0.2">
      <c r="A98" s="314">
        <v>114</v>
      </c>
      <c r="B98" s="38" t="s">
        <v>767</v>
      </c>
      <c r="C98" s="38">
        <v>225</v>
      </c>
      <c r="D98" s="38">
        <v>1999</v>
      </c>
      <c r="E98" s="17" t="str">
        <f t="shared" si="6"/>
        <v>1.25"</v>
      </c>
      <c r="F98" t="str">
        <f t="shared" si="7"/>
        <v>PE</v>
      </c>
      <c r="G98" t="str">
        <f t="shared" si="8"/>
        <v>1.25" PE EXTN</v>
      </c>
      <c r="H98" t="str">
        <f t="shared" si="8"/>
        <v>1.25" PE STUB</v>
      </c>
      <c r="I98" s="315">
        <f>VLOOKUP(G98,'JKP-8.4c - Total Costs'!$A$6:$D$52,4,FALSE)</f>
        <v>2869.6293607026869</v>
      </c>
      <c r="J98" s="315">
        <f>VLOOKUP(H98,'JKP-8.4c - Total Costs'!$A$6:$D$52,4,FALSE)</f>
        <v>1526.7195609992903</v>
      </c>
      <c r="K98" s="232">
        <f t="shared" si="9"/>
        <v>4396.3489217019769</v>
      </c>
    </row>
    <row r="99" spans="1:11" ht="12.75" customHeight="1" x14ac:dyDescent="0.2">
      <c r="A99" s="314">
        <v>114</v>
      </c>
      <c r="B99" s="38" t="s">
        <v>767</v>
      </c>
      <c r="C99" s="38">
        <v>212</v>
      </c>
      <c r="D99" s="38">
        <v>1999</v>
      </c>
      <c r="E99" s="17" t="str">
        <f t="shared" si="6"/>
        <v>1.25"</v>
      </c>
      <c r="F99" t="str">
        <f t="shared" si="7"/>
        <v>PE</v>
      </c>
      <c r="G99" t="str">
        <f t="shared" si="8"/>
        <v>1.25" PE EXTN</v>
      </c>
      <c r="H99" t="str">
        <f t="shared" si="8"/>
        <v>1.25" PE STUB</v>
      </c>
      <c r="I99" s="315">
        <f>VLOOKUP(G99,'JKP-8.4c - Total Costs'!$A$6:$D$52,4,FALSE)</f>
        <v>2869.6293607026869</v>
      </c>
      <c r="J99" s="315">
        <f>VLOOKUP(H99,'JKP-8.4c - Total Costs'!$A$6:$D$52,4,FALSE)</f>
        <v>1526.7195609992903</v>
      </c>
      <c r="K99" s="232">
        <f t="shared" si="9"/>
        <v>4396.3489217019769</v>
      </c>
    </row>
    <row r="100" spans="1:11" ht="12.75" customHeight="1" x14ac:dyDescent="0.2">
      <c r="A100" s="314">
        <v>114</v>
      </c>
      <c r="B100" s="38" t="s">
        <v>767</v>
      </c>
      <c r="C100" s="38">
        <v>313</v>
      </c>
      <c r="D100" s="38">
        <v>1999</v>
      </c>
      <c r="E100" s="17" t="str">
        <f t="shared" si="6"/>
        <v>1.25"</v>
      </c>
      <c r="F100" t="str">
        <f t="shared" si="7"/>
        <v>PE</v>
      </c>
      <c r="G100" t="str">
        <f t="shared" si="8"/>
        <v>1.25" PE EXTN</v>
      </c>
      <c r="H100" t="str">
        <f t="shared" si="8"/>
        <v>1.25" PE STUB</v>
      </c>
      <c r="I100" s="315">
        <f>VLOOKUP(G100,'JKP-8.4c - Total Costs'!$A$6:$D$52,4,FALSE)</f>
        <v>2869.6293607026869</v>
      </c>
      <c r="J100" s="315">
        <f>VLOOKUP(H100,'JKP-8.4c - Total Costs'!$A$6:$D$52,4,FALSE)</f>
        <v>1526.7195609992903</v>
      </c>
      <c r="K100" s="232">
        <f t="shared" si="9"/>
        <v>4396.3489217019769</v>
      </c>
    </row>
    <row r="101" spans="1:11" ht="12.75" customHeight="1" x14ac:dyDescent="0.2">
      <c r="A101" s="314">
        <v>114</v>
      </c>
      <c r="B101" s="38" t="s">
        <v>743</v>
      </c>
      <c r="C101" s="38">
        <v>50</v>
      </c>
      <c r="D101" s="38">
        <v>2006</v>
      </c>
      <c r="E101" s="17" t="str">
        <f t="shared" si="6"/>
        <v>1.25"</v>
      </c>
      <c r="F101" t="str">
        <f t="shared" si="7"/>
        <v>ST</v>
      </c>
      <c r="G101" t="str">
        <f t="shared" si="8"/>
        <v>1.25" ST EXTN</v>
      </c>
      <c r="H101" t="str">
        <f t="shared" si="8"/>
        <v>1.25" ST STUB</v>
      </c>
      <c r="I101" s="315">
        <f>VLOOKUP(G101,'JKP-8.4c - Total Costs'!$A$6:$D$52,4,FALSE)</f>
        <v>2640.0824137045715</v>
      </c>
      <c r="J101" s="315">
        <f>VLOOKUP(H101,'JKP-8.4c - Total Costs'!$A$6:$D$52,4,FALSE)</f>
        <v>979.336987723025</v>
      </c>
      <c r="K101" s="232">
        <f t="shared" si="9"/>
        <v>3619.4194014275963</v>
      </c>
    </row>
    <row r="102" spans="1:11" ht="12.75" customHeight="1" x14ac:dyDescent="0.2">
      <c r="A102" s="314">
        <v>2</v>
      </c>
      <c r="B102" s="38" t="s">
        <v>556</v>
      </c>
      <c r="C102" s="38">
        <v>302</v>
      </c>
      <c r="D102" s="38">
        <v>1986</v>
      </c>
      <c r="E102" s="17" t="str">
        <f t="shared" si="6"/>
        <v>2"</v>
      </c>
      <c r="F102" t="str">
        <f t="shared" si="7"/>
        <v>PE</v>
      </c>
      <c r="G102" t="str">
        <f t="shared" ref="G102:H140" si="10">$E102&amp;" "&amp;$F102&amp;" "&amp;G$3</f>
        <v>2" PE EXTN</v>
      </c>
      <c r="H102" t="str">
        <f t="shared" si="10"/>
        <v>2" PE STUB</v>
      </c>
      <c r="I102" s="315">
        <f>VLOOKUP(G102,'JKP-8.4c - Total Costs'!$A$6:$D$52,4,FALSE)</f>
        <v>3217.4108620235775</v>
      </c>
      <c r="J102" s="315">
        <f>VLOOKUP(H102,'JKP-8.4c - Total Costs'!$A$6:$D$52,4,FALSE)</f>
        <v>1470.4671789049644</v>
      </c>
      <c r="K102" s="232">
        <f t="shared" si="9"/>
        <v>4687.8780409285419</v>
      </c>
    </row>
    <row r="103" spans="1:11" ht="12.75" customHeight="1" x14ac:dyDescent="0.2">
      <c r="A103" s="314">
        <v>2</v>
      </c>
      <c r="B103" s="38" t="s">
        <v>556</v>
      </c>
      <c r="C103" s="38">
        <v>420</v>
      </c>
      <c r="D103" s="38">
        <v>1986</v>
      </c>
      <c r="E103" s="17" t="str">
        <f t="shared" si="6"/>
        <v>2"</v>
      </c>
      <c r="F103" t="str">
        <f t="shared" si="7"/>
        <v>PE</v>
      </c>
      <c r="G103" t="str">
        <f t="shared" si="10"/>
        <v>2" PE EXTN</v>
      </c>
      <c r="H103" t="str">
        <f t="shared" si="10"/>
        <v>2" PE STUB</v>
      </c>
      <c r="I103" s="315">
        <f>VLOOKUP(G103,'JKP-8.4c - Total Costs'!$A$6:$D$52,4,FALSE)</f>
        <v>3217.4108620235775</v>
      </c>
      <c r="J103" s="315">
        <f>VLOOKUP(H103,'JKP-8.4c - Total Costs'!$A$6:$D$52,4,FALSE)</f>
        <v>1470.4671789049644</v>
      </c>
      <c r="K103" s="232">
        <f t="shared" si="9"/>
        <v>4687.8780409285419</v>
      </c>
    </row>
    <row r="104" spans="1:11" ht="12.75" customHeight="1" x14ac:dyDescent="0.2">
      <c r="A104" s="314">
        <v>2</v>
      </c>
      <c r="B104" s="38" t="s">
        <v>556</v>
      </c>
      <c r="C104" s="38">
        <v>648</v>
      </c>
      <c r="D104" s="38">
        <v>1986</v>
      </c>
      <c r="E104" s="17" t="str">
        <f t="shared" si="6"/>
        <v>2"</v>
      </c>
      <c r="F104" t="str">
        <f t="shared" si="7"/>
        <v>PE</v>
      </c>
      <c r="G104" t="str">
        <f t="shared" si="10"/>
        <v>2" PE EXTN</v>
      </c>
      <c r="H104" t="str">
        <f t="shared" si="10"/>
        <v>2" PE STUB</v>
      </c>
      <c r="I104" s="315">
        <f>VLOOKUP(G104,'JKP-8.4c - Total Costs'!$A$6:$D$52,4,FALSE)</f>
        <v>3217.4108620235775</v>
      </c>
      <c r="J104" s="315">
        <f>VLOOKUP(H104,'JKP-8.4c - Total Costs'!$A$6:$D$52,4,FALSE)</f>
        <v>1470.4671789049644</v>
      </c>
      <c r="K104" s="232">
        <f t="shared" si="9"/>
        <v>4687.8780409285419</v>
      </c>
    </row>
    <row r="105" spans="1:11" ht="12.75" customHeight="1" x14ac:dyDescent="0.2">
      <c r="A105" s="314">
        <v>114</v>
      </c>
      <c r="B105" s="38" t="s">
        <v>556</v>
      </c>
      <c r="C105" s="38">
        <v>515</v>
      </c>
      <c r="D105" s="38">
        <v>1987</v>
      </c>
      <c r="E105" s="17" t="str">
        <f t="shared" si="6"/>
        <v>1.25"</v>
      </c>
      <c r="F105" t="str">
        <f t="shared" si="7"/>
        <v>PE</v>
      </c>
      <c r="G105" t="str">
        <f t="shared" si="10"/>
        <v>1.25" PE EXTN</v>
      </c>
      <c r="H105" t="str">
        <f t="shared" si="10"/>
        <v>1.25" PE STUB</v>
      </c>
      <c r="I105" s="315">
        <f>VLOOKUP(G105,'JKP-8.4c - Total Costs'!$A$6:$D$52,4,FALSE)</f>
        <v>2869.6293607026869</v>
      </c>
      <c r="J105" s="315">
        <f>VLOOKUP(H105,'JKP-8.4c - Total Costs'!$A$6:$D$52,4,FALSE)</f>
        <v>1526.7195609992903</v>
      </c>
      <c r="K105" s="232">
        <f t="shared" si="9"/>
        <v>4396.3489217019769</v>
      </c>
    </row>
    <row r="106" spans="1:11" ht="12.75" customHeight="1" x14ac:dyDescent="0.2">
      <c r="A106" s="314">
        <v>2</v>
      </c>
      <c r="B106" s="38" t="s">
        <v>767</v>
      </c>
      <c r="C106" s="38">
        <v>784</v>
      </c>
      <c r="D106" s="38">
        <v>1996</v>
      </c>
      <c r="E106" s="17" t="str">
        <f t="shared" si="6"/>
        <v>2"</v>
      </c>
      <c r="F106" t="str">
        <f t="shared" si="7"/>
        <v>PE</v>
      </c>
      <c r="G106" t="str">
        <f t="shared" si="10"/>
        <v>2" PE EXTN</v>
      </c>
      <c r="H106" t="str">
        <f t="shared" si="10"/>
        <v>2" PE STUB</v>
      </c>
      <c r="I106" s="315">
        <f>VLOOKUP(G106,'JKP-8.4c - Total Costs'!$A$6:$D$52,4,FALSE)</f>
        <v>3217.4108620235775</v>
      </c>
      <c r="J106" s="315">
        <f>VLOOKUP(H106,'JKP-8.4c - Total Costs'!$A$6:$D$52,4,FALSE)</f>
        <v>1470.4671789049644</v>
      </c>
      <c r="K106" s="232">
        <f t="shared" si="9"/>
        <v>4687.8780409285419</v>
      </c>
    </row>
    <row r="107" spans="1:11" ht="12.75" customHeight="1" x14ac:dyDescent="0.2">
      <c r="A107" s="314">
        <v>114</v>
      </c>
      <c r="B107" s="38" t="s">
        <v>556</v>
      </c>
      <c r="C107" s="38">
        <v>111</v>
      </c>
      <c r="D107" s="38">
        <v>1987</v>
      </c>
      <c r="E107" s="17" t="str">
        <f t="shared" si="6"/>
        <v>1.25"</v>
      </c>
      <c r="F107" t="str">
        <f t="shared" si="7"/>
        <v>PE</v>
      </c>
      <c r="G107" t="str">
        <f t="shared" si="10"/>
        <v>1.25" PE EXTN</v>
      </c>
      <c r="H107" t="str">
        <f t="shared" si="10"/>
        <v>1.25" PE STUB</v>
      </c>
      <c r="I107" s="315">
        <f>VLOOKUP(G107,'JKP-8.4c - Total Costs'!$A$6:$D$52,4,FALSE)</f>
        <v>2869.6293607026869</v>
      </c>
      <c r="J107" s="315">
        <f>VLOOKUP(H107,'JKP-8.4c - Total Costs'!$A$6:$D$52,4,FALSE)</f>
        <v>1526.7195609992903</v>
      </c>
      <c r="K107" s="232">
        <f t="shared" si="9"/>
        <v>4396.3489217019769</v>
      </c>
    </row>
    <row r="108" spans="1:11" ht="12.75" customHeight="1" x14ac:dyDescent="0.2">
      <c r="A108" s="314">
        <v>114</v>
      </c>
      <c r="B108" s="38" t="s">
        <v>556</v>
      </c>
      <c r="C108" s="38">
        <v>78</v>
      </c>
      <c r="D108" s="38">
        <v>1988</v>
      </c>
      <c r="E108" s="17" t="str">
        <f t="shared" si="6"/>
        <v>1.25"</v>
      </c>
      <c r="F108" t="str">
        <f t="shared" si="7"/>
        <v>PE</v>
      </c>
      <c r="G108" t="str">
        <f t="shared" si="10"/>
        <v>1.25" PE EXTN</v>
      </c>
      <c r="H108" t="str">
        <f t="shared" si="10"/>
        <v>1.25" PE STUB</v>
      </c>
      <c r="I108" s="315">
        <f>VLOOKUP(G108,'JKP-8.4c - Total Costs'!$A$6:$D$52,4,FALSE)</f>
        <v>2869.6293607026869</v>
      </c>
      <c r="J108" s="315">
        <f>VLOOKUP(H108,'JKP-8.4c - Total Costs'!$A$6:$D$52,4,FALSE)</f>
        <v>1526.7195609992903</v>
      </c>
      <c r="K108" s="232">
        <f t="shared" si="9"/>
        <v>4396.3489217019769</v>
      </c>
    </row>
    <row r="109" spans="1:11" ht="12.75" customHeight="1" x14ac:dyDescent="0.2">
      <c r="A109" s="314">
        <v>58</v>
      </c>
      <c r="B109" s="38" t="s">
        <v>753</v>
      </c>
      <c r="C109" s="38">
        <v>59</v>
      </c>
      <c r="D109" s="38">
        <v>1987</v>
      </c>
      <c r="E109" s="17" t="str">
        <f t="shared" si="6"/>
        <v>.625"</v>
      </c>
      <c r="F109" t="str">
        <f t="shared" si="7"/>
        <v>PE</v>
      </c>
      <c r="G109" t="str">
        <f t="shared" si="10"/>
        <v>.625" PE EXTN</v>
      </c>
      <c r="H109" t="str">
        <f t="shared" si="10"/>
        <v>.625" PE STUB</v>
      </c>
      <c r="I109" s="315">
        <f>VLOOKUP(G109,'JKP-8.4c - Total Costs'!$A$6:$D$52,4,FALSE)</f>
        <v>914.11623574584928</v>
      </c>
      <c r="J109" s="315">
        <f>VLOOKUP(H109,'JKP-8.4c - Total Costs'!$A$6:$D$52,4,FALSE)</f>
        <v>449.05635196446576</v>
      </c>
      <c r="K109" s="232">
        <f t="shared" si="9"/>
        <v>1363.1725877103149</v>
      </c>
    </row>
    <row r="110" spans="1:11" ht="12.75" customHeight="1" x14ac:dyDescent="0.2">
      <c r="A110" s="314">
        <v>2</v>
      </c>
      <c r="B110" s="38" t="s">
        <v>556</v>
      </c>
      <c r="C110" s="38">
        <v>151</v>
      </c>
      <c r="D110" s="38">
        <v>1996</v>
      </c>
      <c r="E110" s="17" t="str">
        <f t="shared" si="6"/>
        <v>2"</v>
      </c>
      <c r="F110" t="str">
        <f t="shared" si="7"/>
        <v>PE</v>
      </c>
      <c r="G110" t="str">
        <f t="shared" si="10"/>
        <v>2" PE EXTN</v>
      </c>
      <c r="H110" t="str">
        <f t="shared" si="10"/>
        <v>2" PE STUB</v>
      </c>
      <c r="I110" s="315">
        <f>VLOOKUP(G110,'JKP-8.4c - Total Costs'!$A$6:$D$52,4,FALSE)</f>
        <v>3217.4108620235775</v>
      </c>
      <c r="J110" s="315">
        <f>VLOOKUP(H110,'JKP-8.4c - Total Costs'!$A$6:$D$52,4,FALSE)</f>
        <v>1470.4671789049644</v>
      </c>
      <c r="K110" s="232">
        <f t="shared" si="9"/>
        <v>4687.8780409285419</v>
      </c>
    </row>
    <row r="111" spans="1:11" ht="12.75" customHeight="1" x14ac:dyDescent="0.2">
      <c r="A111" s="314">
        <v>114</v>
      </c>
      <c r="B111" s="38" t="s">
        <v>556</v>
      </c>
      <c r="C111" s="38">
        <v>98</v>
      </c>
      <c r="D111" s="38">
        <v>1987</v>
      </c>
      <c r="E111" s="17" t="str">
        <f t="shared" si="6"/>
        <v>1.25"</v>
      </c>
      <c r="F111" t="str">
        <f t="shared" si="7"/>
        <v>PE</v>
      </c>
      <c r="G111" t="str">
        <f t="shared" si="10"/>
        <v>1.25" PE EXTN</v>
      </c>
      <c r="H111" t="str">
        <f t="shared" si="10"/>
        <v>1.25" PE STUB</v>
      </c>
      <c r="I111" s="315">
        <f>VLOOKUP(G111,'JKP-8.4c - Total Costs'!$A$6:$D$52,4,FALSE)</f>
        <v>2869.6293607026869</v>
      </c>
      <c r="J111" s="315">
        <f>VLOOKUP(H111,'JKP-8.4c - Total Costs'!$A$6:$D$52,4,FALSE)</f>
        <v>1526.7195609992903</v>
      </c>
      <c r="K111" s="232">
        <f t="shared" si="9"/>
        <v>4396.3489217019769</v>
      </c>
    </row>
    <row r="112" spans="1:11" ht="12.75" customHeight="1" x14ac:dyDescent="0.2">
      <c r="A112" s="314">
        <v>114</v>
      </c>
      <c r="B112" s="38" t="s">
        <v>556</v>
      </c>
      <c r="C112" s="38">
        <v>151</v>
      </c>
      <c r="D112" s="38">
        <v>1992</v>
      </c>
      <c r="E112" s="17" t="str">
        <f t="shared" si="6"/>
        <v>1.25"</v>
      </c>
      <c r="F112" t="str">
        <f t="shared" si="7"/>
        <v>PE</v>
      </c>
      <c r="G112" t="str">
        <f t="shared" si="10"/>
        <v>1.25" PE EXTN</v>
      </c>
      <c r="H112" t="str">
        <f t="shared" si="10"/>
        <v>1.25" PE STUB</v>
      </c>
      <c r="I112" s="315">
        <f>VLOOKUP(G112,'JKP-8.4c - Total Costs'!$A$6:$D$52,4,FALSE)</f>
        <v>2869.6293607026869</v>
      </c>
      <c r="J112" s="315">
        <f>VLOOKUP(H112,'JKP-8.4c - Total Costs'!$A$6:$D$52,4,FALSE)</f>
        <v>1526.7195609992903</v>
      </c>
      <c r="K112" s="232">
        <f t="shared" si="9"/>
        <v>4396.3489217019769</v>
      </c>
    </row>
    <row r="113" spans="1:11" ht="12.75" customHeight="1" x14ac:dyDescent="0.2">
      <c r="A113" s="314">
        <v>114</v>
      </c>
      <c r="B113" s="38" t="s">
        <v>743</v>
      </c>
      <c r="C113" s="38">
        <v>446</v>
      </c>
      <c r="D113" s="38">
        <v>1983</v>
      </c>
      <c r="E113" s="17" t="str">
        <f t="shared" si="6"/>
        <v>1.25"</v>
      </c>
      <c r="F113" t="str">
        <f t="shared" si="7"/>
        <v>ST</v>
      </c>
      <c r="G113" t="str">
        <f t="shared" si="10"/>
        <v>1.25" ST EXTN</v>
      </c>
      <c r="H113" t="str">
        <f t="shared" si="10"/>
        <v>1.25" ST STUB</v>
      </c>
      <c r="I113" s="315">
        <f>VLOOKUP(G113,'JKP-8.4c - Total Costs'!$A$6:$D$52,4,FALSE)</f>
        <v>2640.0824137045715</v>
      </c>
      <c r="J113" s="315">
        <f>VLOOKUP(H113,'JKP-8.4c - Total Costs'!$A$6:$D$52,4,FALSE)</f>
        <v>979.336987723025</v>
      </c>
      <c r="K113" s="232">
        <f t="shared" si="9"/>
        <v>3619.4194014275963</v>
      </c>
    </row>
    <row r="114" spans="1:11" ht="12.75" customHeight="1" x14ac:dyDescent="0.2">
      <c r="A114" s="314">
        <v>114</v>
      </c>
      <c r="B114" s="38" t="s">
        <v>556</v>
      </c>
      <c r="C114" s="38">
        <v>134</v>
      </c>
      <c r="D114" s="38">
        <v>1991</v>
      </c>
      <c r="E114" s="17" t="str">
        <f t="shared" si="6"/>
        <v>1.25"</v>
      </c>
      <c r="F114" t="str">
        <f t="shared" si="7"/>
        <v>PE</v>
      </c>
      <c r="G114" t="str">
        <f t="shared" si="10"/>
        <v>1.25" PE EXTN</v>
      </c>
      <c r="H114" t="str">
        <f t="shared" si="10"/>
        <v>1.25" PE STUB</v>
      </c>
      <c r="I114" s="315">
        <f>VLOOKUP(G114,'JKP-8.4c - Total Costs'!$A$6:$D$52,4,FALSE)</f>
        <v>2869.6293607026869</v>
      </c>
      <c r="J114" s="315">
        <f>VLOOKUP(H114,'JKP-8.4c - Total Costs'!$A$6:$D$52,4,FALSE)</f>
        <v>1526.7195609992903</v>
      </c>
      <c r="K114" s="232">
        <f t="shared" si="9"/>
        <v>4396.3489217019769</v>
      </c>
    </row>
    <row r="115" spans="1:11" ht="12.75" customHeight="1" x14ac:dyDescent="0.2">
      <c r="A115" s="314">
        <v>114</v>
      </c>
      <c r="B115" s="38" t="s">
        <v>556</v>
      </c>
      <c r="C115" s="38">
        <v>124</v>
      </c>
      <c r="D115" s="38">
        <v>1993</v>
      </c>
      <c r="E115" s="17" t="str">
        <f t="shared" si="6"/>
        <v>1.25"</v>
      </c>
      <c r="F115" t="str">
        <f t="shared" si="7"/>
        <v>PE</v>
      </c>
      <c r="G115" t="str">
        <f t="shared" si="10"/>
        <v>1.25" PE EXTN</v>
      </c>
      <c r="H115" t="str">
        <f t="shared" si="10"/>
        <v>1.25" PE STUB</v>
      </c>
      <c r="I115" s="315">
        <f>VLOOKUP(G115,'JKP-8.4c - Total Costs'!$A$6:$D$52,4,FALSE)</f>
        <v>2869.6293607026869</v>
      </c>
      <c r="J115" s="315">
        <f>VLOOKUP(H115,'JKP-8.4c - Total Costs'!$A$6:$D$52,4,FALSE)</f>
        <v>1526.7195609992903</v>
      </c>
      <c r="K115" s="232">
        <f t="shared" si="9"/>
        <v>4396.3489217019769</v>
      </c>
    </row>
    <row r="116" spans="1:11" ht="12.75" customHeight="1" x14ac:dyDescent="0.2">
      <c r="A116" s="314">
        <v>2</v>
      </c>
      <c r="B116" s="38" t="s">
        <v>556</v>
      </c>
      <c r="C116" s="38">
        <v>239</v>
      </c>
      <c r="D116" s="38">
        <v>1986</v>
      </c>
      <c r="E116" s="17" t="str">
        <f t="shared" si="6"/>
        <v>2"</v>
      </c>
      <c r="F116" t="str">
        <f t="shared" si="7"/>
        <v>PE</v>
      </c>
      <c r="G116" t="str">
        <f t="shared" si="10"/>
        <v>2" PE EXTN</v>
      </c>
      <c r="H116" t="str">
        <f t="shared" si="10"/>
        <v>2" PE STUB</v>
      </c>
      <c r="I116" s="315">
        <f>VLOOKUP(G116,'JKP-8.4c - Total Costs'!$A$6:$D$52,4,FALSE)</f>
        <v>3217.4108620235775</v>
      </c>
      <c r="J116" s="315">
        <f>VLOOKUP(H116,'JKP-8.4c - Total Costs'!$A$6:$D$52,4,FALSE)</f>
        <v>1470.4671789049644</v>
      </c>
      <c r="K116" s="232">
        <f t="shared" si="9"/>
        <v>4687.8780409285419</v>
      </c>
    </row>
    <row r="117" spans="1:11" ht="12.75" customHeight="1" x14ac:dyDescent="0.2">
      <c r="A117" s="314">
        <v>118</v>
      </c>
      <c r="B117" s="38" t="s">
        <v>556</v>
      </c>
      <c r="C117" s="38">
        <v>351</v>
      </c>
      <c r="D117" s="38">
        <v>1986</v>
      </c>
      <c r="E117" s="17" t="str">
        <f t="shared" si="6"/>
        <v>1.125"</v>
      </c>
      <c r="F117" t="str">
        <f t="shared" si="7"/>
        <v>PE</v>
      </c>
      <c r="G117" t="str">
        <f t="shared" si="10"/>
        <v>1.125" PE EXTN</v>
      </c>
      <c r="H117" t="str">
        <f t="shared" si="10"/>
        <v>1.125" PE STUB</v>
      </c>
      <c r="I117" s="315">
        <f>VLOOKUP(G117,'JKP-8.4c - Total Costs'!$A$6:$D$52,4,FALSE)</f>
        <v>1705.3083787814819</v>
      </c>
      <c r="J117" s="315">
        <f>VLOOKUP(H117,'JKP-8.4c - Total Costs'!$A$6:$D$52,4,FALSE)</f>
        <v>842.22101353125595</v>
      </c>
      <c r="K117" s="232">
        <f t="shared" si="9"/>
        <v>2547.5293923127379</v>
      </c>
    </row>
    <row r="118" spans="1:11" ht="12.75" customHeight="1" x14ac:dyDescent="0.2">
      <c r="A118" s="314">
        <v>118</v>
      </c>
      <c r="B118" s="38" t="s">
        <v>556</v>
      </c>
      <c r="C118" s="38">
        <v>362</v>
      </c>
      <c r="D118" s="38">
        <v>1986</v>
      </c>
      <c r="E118" s="17" t="str">
        <f t="shared" si="6"/>
        <v>1.125"</v>
      </c>
      <c r="F118" t="str">
        <f t="shared" si="7"/>
        <v>PE</v>
      </c>
      <c r="G118" t="str">
        <f t="shared" si="10"/>
        <v>1.125" PE EXTN</v>
      </c>
      <c r="H118" t="str">
        <f t="shared" si="10"/>
        <v>1.125" PE STUB</v>
      </c>
      <c r="I118" s="315">
        <f>VLOOKUP(G118,'JKP-8.4c - Total Costs'!$A$6:$D$52,4,FALSE)</f>
        <v>1705.3083787814819</v>
      </c>
      <c r="J118" s="315">
        <f>VLOOKUP(H118,'JKP-8.4c - Total Costs'!$A$6:$D$52,4,FALSE)</f>
        <v>842.22101353125595</v>
      </c>
      <c r="K118" s="232">
        <f t="shared" si="9"/>
        <v>2547.5293923127379</v>
      </c>
    </row>
    <row r="119" spans="1:11" ht="12.75" customHeight="1" x14ac:dyDescent="0.2">
      <c r="A119" s="314">
        <v>114</v>
      </c>
      <c r="B119" s="38" t="s">
        <v>556</v>
      </c>
      <c r="C119" s="38">
        <v>330</v>
      </c>
      <c r="D119" s="38">
        <v>1992</v>
      </c>
      <c r="E119" s="17" t="str">
        <f t="shared" si="6"/>
        <v>1.25"</v>
      </c>
      <c r="F119" t="str">
        <f t="shared" si="7"/>
        <v>PE</v>
      </c>
      <c r="G119" t="str">
        <f t="shared" si="10"/>
        <v>1.25" PE EXTN</v>
      </c>
      <c r="H119" t="str">
        <f t="shared" si="10"/>
        <v>1.25" PE STUB</v>
      </c>
      <c r="I119" s="315">
        <f>VLOOKUP(G119,'JKP-8.4c - Total Costs'!$A$6:$D$52,4,FALSE)</f>
        <v>2869.6293607026869</v>
      </c>
      <c r="J119" s="315">
        <f>VLOOKUP(H119,'JKP-8.4c - Total Costs'!$A$6:$D$52,4,FALSE)</f>
        <v>1526.7195609992903</v>
      </c>
      <c r="K119" s="232">
        <f t="shared" si="9"/>
        <v>4396.3489217019769</v>
      </c>
    </row>
    <row r="120" spans="1:11" ht="12.75" customHeight="1" x14ac:dyDescent="0.2">
      <c r="A120" s="314">
        <v>114</v>
      </c>
      <c r="B120" s="38" t="s">
        <v>556</v>
      </c>
      <c r="C120" s="38">
        <v>253</v>
      </c>
      <c r="D120" s="38">
        <v>1986</v>
      </c>
      <c r="E120" s="17" t="str">
        <f t="shared" si="6"/>
        <v>1.25"</v>
      </c>
      <c r="F120" t="str">
        <f t="shared" si="7"/>
        <v>PE</v>
      </c>
      <c r="G120" t="str">
        <f t="shared" si="10"/>
        <v>1.25" PE EXTN</v>
      </c>
      <c r="H120" t="str">
        <f t="shared" si="10"/>
        <v>1.25" PE STUB</v>
      </c>
      <c r="I120" s="315">
        <f>VLOOKUP(G120,'JKP-8.4c - Total Costs'!$A$6:$D$52,4,FALSE)</f>
        <v>2869.6293607026869</v>
      </c>
      <c r="J120" s="315">
        <f>VLOOKUP(H120,'JKP-8.4c - Total Costs'!$A$6:$D$52,4,FALSE)</f>
        <v>1526.7195609992903</v>
      </c>
      <c r="K120" s="232">
        <f t="shared" si="9"/>
        <v>4396.3489217019769</v>
      </c>
    </row>
    <row r="121" spans="1:11" ht="12.75" customHeight="1" x14ac:dyDescent="0.2">
      <c r="A121" s="314">
        <v>114</v>
      </c>
      <c r="B121" s="38" t="s">
        <v>556</v>
      </c>
      <c r="C121" s="38">
        <v>360</v>
      </c>
      <c r="D121" s="38">
        <v>1986</v>
      </c>
      <c r="E121" s="17" t="str">
        <f t="shared" si="6"/>
        <v>1.25"</v>
      </c>
      <c r="F121" t="str">
        <f t="shared" si="7"/>
        <v>PE</v>
      </c>
      <c r="G121" t="str">
        <f t="shared" si="10"/>
        <v>1.25" PE EXTN</v>
      </c>
      <c r="H121" t="str">
        <f t="shared" si="10"/>
        <v>1.25" PE STUB</v>
      </c>
      <c r="I121" s="315">
        <f>VLOOKUP(G121,'JKP-8.4c - Total Costs'!$A$6:$D$52,4,FALSE)</f>
        <v>2869.6293607026869</v>
      </c>
      <c r="J121" s="315">
        <f>VLOOKUP(H121,'JKP-8.4c - Total Costs'!$A$6:$D$52,4,FALSE)</f>
        <v>1526.7195609992903</v>
      </c>
      <c r="K121" s="232">
        <f t="shared" si="9"/>
        <v>4396.3489217019769</v>
      </c>
    </row>
    <row r="122" spans="1:11" ht="12.75" customHeight="1" x14ac:dyDescent="0.2">
      <c r="A122" s="314">
        <v>114</v>
      </c>
      <c r="B122" s="38" t="s">
        <v>556</v>
      </c>
      <c r="C122" s="38">
        <v>86</v>
      </c>
      <c r="D122" s="38">
        <v>1987</v>
      </c>
      <c r="E122" s="17" t="str">
        <f t="shared" si="6"/>
        <v>1.25"</v>
      </c>
      <c r="F122" t="str">
        <f t="shared" si="7"/>
        <v>PE</v>
      </c>
      <c r="G122" t="str">
        <f t="shared" si="10"/>
        <v>1.25" PE EXTN</v>
      </c>
      <c r="H122" t="str">
        <f t="shared" si="10"/>
        <v>1.25" PE STUB</v>
      </c>
      <c r="I122" s="315">
        <f>VLOOKUP(G122,'JKP-8.4c - Total Costs'!$A$6:$D$52,4,FALSE)</f>
        <v>2869.6293607026869</v>
      </c>
      <c r="J122" s="315">
        <f>VLOOKUP(H122,'JKP-8.4c - Total Costs'!$A$6:$D$52,4,FALSE)</f>
        <v>1526.7195609992903</v>
      </c>
      <c r="K122" s="232">
        <f t="shared" si="9"/>
        <v>4396.3489217019769</v>
      </c>
    </row>
    <row r="123" spans="1:11" ht="12.75" customHeight="1" x14ac:dyDescent="0.2">
      <c r="A123" s="314">
        <v>2</v>
      </c>
      <c r="B123" s="38" t="s">
        <v>556</v>
      </c>
      <c r="C123" s="38">
        <v>312</v>
      </c>
      <c r="D123" s="38">
        <v>1986</v>
      </c>
      <c r="E123" s="17" t="str">
        <f t="shared" si="6"/>
        <v>2"</v>
      </c>
      <c r="F123" t="str">
        <f t="shared" si="7"/>
        <v>PE</v>
      </c>
      <c r="G123" t="str">
        <f t="shared" si="10"/>
        <v>2" PE EXTN</v>
      </c>
      <c r="H123" t="str">
        <f t="shared" si="10"/>
        <v>2" PE STUB</v>
      </c>
      <c r="I123" s="315">
        <f>VLOOKUP(G123,'JKP-8.4c - Total Costs'!$A$6:$D$52,4,FALSE)</f>
        <v>3217.4108620235775</v>
      </c>
      <c r="J123" s="315">
        <f>VLOOKUP(H123,'JKP-8.4c - Total Costs'!$A$6:$D$52,4,FALSE)</f>
        <v>1470.4671789049644</v>
      </c>
      <c r="K123" s="232">
        <f t="shared" si="9"/>
        <v>4687.8780409285419</v>
      </c>
    </row>
    <row r="124" spans="1:11" ht="12.75" customHeight="1" x14ac:dyDescent="0.2">
      <c r="A124" s="314">
        <v>2</v>
      </c>
      <c r="B124" s="38" t="s">
        <v>556</v>
      </c>
      <c r="C124" s="38">
        <v>253</v>
      </c>
      <c r="D124" s="38">
        <v>1986</v>
      </c>
      <c r="E124" s="17" t="str">
        <f t="shared" si="6"/>
        <v>2"</v>
      </c>
      <c r="F124" t="str">
        <f t="shared" si="7"/>
        <v>PE</v>
      </c>
      <c r="G124" t="str">
        <f t="shared" si="10"/>
        <v>2" PE EXTN</v>
      </c>
      <c r="H124" t="str">
        <f t="shared" si="10"/>
        <v>2" PE STUB</v>
      </c>
      <c r="I124" s="315">
        <f>VLOOKUP(G124,'JKP-8.4c - Total Costs'!$A$6:$D$52,4,FALSE)</f>
        <v>3217.4108620235775</v>
      </c>
      <c r="J124" s="315">
        <f>VLOOKUP(H124,'JKP-8.4c - Total Costs'!$A$6:$D$52,4,FALSE)</f>
        <v>1470.4671789049644</v>
      </c>
      <c r="K124" s="232">
        <f t="shared" si="9"/>
        <v>4687.8780409285419</v>
      </c>
    </row>
    <row r="125" spans="1:11" ht="12.75" customHeight="1" x14ac:dyDescent="0.2">
      <c r="A125" s="314">
        <v>114</v>
      </c>
      <c r="B125" s="38" t="s">
        <v>556</v>
      </c>
      <c r="C125" s="38">
        <v>214</v>
      </c>
      <c r="D125" s="38">
        <v>1986</v>
      </c>
      <c r="E125" s="17" t="str">
        <f t="shared" si="6"/>
        <v>1.25"</v>
      </c>
      <c r="F125" t="str">
        <f t="shared" si="7"/>
        <v>PE</v>
      </c>
      <c r="G125" t="str">
        <f t="shared" si="10"/>
        <v>1.25" PE EXTN</v>
      </c>
      <c r="H125" t="str">
        <f t="shared" si="10"/>
        <v>1.25" PE STUB</v>
      </c>
      <c r="I125" s="315">
        <f>VLOOKUP(G125,'JKP-8.4c - Total Costs'!$A$6:$D$52,4,FALSE)</f>
        <v>2869.6293607026869</v>
      </c>
      <c r="J125" s="315">
        <f>VLOOKUP(H125,'JKP-8.4c - Total Costs'!$A$6:$D$52,4,FALSE)</f>
        <v>1526.7195609992903</v>
      </c>
      <c r="K125" s="232">
        <f t="shared" si="9"/>
        <v>4396.3489217019769</v>
      </c>
    </row>
    <row r="126" spans="1:11" ht="12.75" customHeight="1" x14ac:dyDescent="0.2">
      <c r="A126" s="314">
        <v>114</v>
      </c>
      <c r="B126" s="38" t="s">
        <v>556</v>
      </c>
      <c r="C126" s="38">
        <v>252</v>
      </c>
      <c r="D126" s="38">
        <v>1986</v>
      </c>
      <c r="E126" s="17" t="str">
        <f t="shared" si="6"/>
        <v>1.25"</v>
      </c>
      <c r="F126" t="str">
        <f t="shared" si="7"/>
        <v>PE</v>
      </c>
      <c r="G126" t="str">
        <f t="shared" si="10"/>
        <v>1.25" PE EXTN</v>
      </c>
      <c r="H126" t="str">
        <f t="shared" si="10"/>
        <v>1.25" PE STUB</v>
      </c>
      <c r="I126" s="315">
        <f>VLOOKUP(G126,'JKP-8.4c - Total Costs'!$A$6:$D$52,4,FALSE)</f>
        <v>2869.6293607026869</v>
      </c>
      <c r="J126" s="315">
        <f>VLOOKUP(H126,'JKP-8.4c - Total Costs'!$A$6:$D$52,4,FALSE)</f>
        <v>1526.7195609992903</v>
      </c>
      <c r="K126" s="232">
        <f t="shared" si="9"/>
        <v>4396.3489217019769</v>
      </c>
    </row>
    <row r="127" spans="1:11" ht="12.75" customHeight="1" x14ac:dyDescent="0.2">
      <c r="A127" s="314">
        <v>114</v>
      </c>
      <c r="B127" s="38" t="s">
        <v>767</v>
      </c>
      <c r="C127" s="38">
        <v>44</v>
      </c>
      <c r="D127" s="38">
        <v>2002</v>
      </c>
      <c r="E127" s="17" t="str">
        <f t="shared" si="6"/>
        <v>1.25"</v>
      </c>
      <c r="F127" t="str">
        <f t="shared" si="7"/>
        <v>PE</v>
      </c>
      <c r="G127" t="str">
        <f t="shared" si="10"/>
        <v>1.25" PE EXTN</v>
      </c>
      <c r="H127" t="str">
        <f t="shared" si="10"/>
        <v>1.25" PE STUB</v>
      </c>
      <c r="I127" s="315">
        <f>VLOOKUP(G127,'JKP-8.4c - Total Costs'!$A$6:$D$52,4,FALSE)</f>
        <v>2869.6293607026869</v>
      </c>
      <c r="J127" s="315">
        <f>VLOOKUP(H127,'JKP-8.4c - Total Costs'!$A$6:$D$52,4,FALSE)</f>
        <v>1526.7195609992903</v>
      </c>
      <c r="K127" s="232">
        <f t="shared" si="9"/>
        <v>4396.3489217019769</v>
      </c>
    </row>
    <row r="128" spans="1:11" ht="12.75" customHeight="1" x14ac:dyDescent="0.2">
      <c r="A128" s="314">
        <v>114</v>
      </c>
      <c r="B128" s="38" t="s">
        <v>556</v>
      </c>
      <c r="C128" s="38">
        <v>140</v>
      </c>
      <c r="D128" s="38">
        <v>1986</v>
      </c>
      <c r="E128" s="17" t="str">
        <f t="shared" si="6"/>
        <v>1.25"</v>
      </c>
      <c r="F128" t="str">
        <f t="shared" si="7"/>
        <v>PE</v>
      </c>
      <c r="G128" t="str">
        <f t="shared" si="10"/>
        <v>1.25" PE EXTN</v>
      </c>
      <c r="H128" t="str">
        <f t="shared" si="10"/>
        <v>1.25" PE STUB</v>
      </c>
      <c r="I128" s="315">
        <f>VLOOKUP(G128,'JKP-8.4c - Total Costs'!$A$6:$D$52,4,FALSE)</f>
        <v>2869.6293607026869</v>
      </c>
      <c r="J128" s="315">
        <f>VLOOKUP(H128,'JKP-8.4c - Total Costs'!$A$6:$D$52,4,FALSE)</f>
        <v>1526.7195609992903</v>
      </c>
      <c r="K128" s="232">
        <f t="shared" si="9"/>
        <v>4396.3489217019769</v>
      </c>
    </row>
    <row r="129" spans="1:11" ht="12.75" customHeight="1" x14ac:dyDescent="0.2">
      <c r="A129" s="314">
        <v>114</v>
      </c>
      <c r="B129" s="38" t="s">
        <v>556</v>
      </c>
      <c r="C129" s="38">
        <v>205</v>
      </c>
      <c r="D129" s="38">
        <v>1986</v>
      </c>
      <c r="E129" s="17" t="str">
        <f t="shared" si="6"/>
        <v>1.25"</v>
      </c>
      <c r="F129" t="str">
        <f t="shared" si="7"/>
        <v>PE</v>
      </c>
      <c r="G129" t="str">
        <f t="shared" si="10"/>
        <v>1.25" PE EXTN</v>
      </c>
      <c r="H129" t="str">
        <f t="shared" si="10"/>
        <v>1.25" PE STUB</v>
      </c>
      <c r="I129" s="315">
        <f>VLOOKUP(G129,'JKP-8.4c - Total Costs'!$A$6:$D$52,4,FALSE)</f>
        <v>2869.6293607026869</v>
      </c>
      <c r="J129" s="315">
        <f>VLOOKUP(H129,'JKP-8.4c - Total Costs'!$A$6:$D$52,4,FALSE)</f>
        <v>1526.7195609992903</v>
      </c>
      <c r="K129" s="232">
        <f t="shared" si="9"/>
        <v>4396.3489217019769</v>
      </c>
    </row>
    <row r="130" spans="1:11" ht="12.75" customHeight="1" x14ac:dyDescent="0.2">
      <c r="A130" s="314">
        <v>2</v>
      </c>
      <c r="B130" s="38" t="s">
        <v>556</v>
      </c>
      <c r="C130" s="38">
        <v>63</v>
      </c>
      <c r="D130" s="38">
        <v>1991</v>
      </c>
      <c r="E130" s="17" t="str">
        <f t="shared" si="6"/>
        <v>2"</v>
      </c>
      <c r="F130" t="str">
        <f t="shared" si="7"/>
        <v>PE</v>
      </c>
      <c r="G130" t="str">
        <f t="shared" si="10"/>
        <v>2" PE EXTN</v>
      </c>
      <c r="H130" t="str">
        <f t="shared" si="10"/>
        <v>2" PE STUB</v>
      </c>
      <c r="I130" s="315">
        <f>VLOOKUP(G130,'JKP-8.4c - Total Costs'!$A$6:$D$52,4,FALSE)</f>
        <v>3217.4108620235775</v>
      </c>
      <c r="J130" s="315">
        <f>VLOOKUP(H130,'JKP-8.4c - Total Costs'!$A$6:$D$52,4,FALSE)</f>
        <v>1470.4671789049644</v>
      </c>
      <c r="K130" s="232">
        <f t="shared" si="9"/>
        <v>4687.8780409285419</v>
      </c>
    </row>
    <row r="131" spans="1:11" ht="12.75" customHeight="1" x14ac:dyDescent="0.2">
      <c r="A131" s="314">
        <v>114</v>
      </c>
      <c r="B131" s="38" t="s">
        <v>767</v>
      </c>
      <c r="C131" s="38">
        <v>340</v>
      </c>
      <c r="D131" s="38">
        <v>2007</v>
      </c>
      <c r="E131" s="17" t="str">
        <f t="shared" si="6"/>
        <v>1.25"</v>
      </c>
      <c r="F131" t="str">
        <f t="shared" si="7"/>
        <v>PE</v>
      </c>
      <c r="G131" t="str">
        <f t="shared" si="10"/>
        <v>1.25" PE EXTN</v>
      </c>
      <c r="H131" t="str">
        <f t="shared" si="10"/>
        <v>1.25" PE STUB</v>
      </c>
      <c r="I131" s="315">
        <f>VLOOKUP(G131,'JKP-8.4c - Total Costs'!$A$6:$D$52,4,FALSE)</f>
        <v>2869.6293607026869</v>
      </c>
      <c r="J131" s="315">
        <f>VLOOKUP(H131,'JKP-8.4c - Total Costs'!$A$6:$D$52,4,FALSE)</f>
        <v>1526.7195609992903</v>
      </c>
      <c r="K131" s="232">
        <f t="shared" si="9"/>
        <v>4396.3489217019769</v>
      </c>
    </row>
    <row r="132" spans="1:11" ht="12.75" customHeight="1" x14ac:dyDescent="0.2">
      <c r="A132" s="314">
        <v>4</v>
      </c>
      <c r="B132" s="38" t="s">
        <v>743</v>
      </c>
      <c r="C132" s="38">
        <v>307</v>
      </c>
      <c r="D132" s="38">
        <v>1987</v>
      </c>
      <c r="E132" s="17" t="str">
        <f t="shared" si="6"/>
        <v>4"</v>
      </c>
      <c r="F132" t="str">
        <f t="shared" si="7"/>
        <v>ST</v>
      </c>
      <c r="G132" t="str">
        <f t="shared" si="10"/>
        <v>4" ST EXTN</v>
      </c>
      <c r="H132" t="str">
        <f t="shared" si="10"/>
        <v>4" ST STUB</v>
      </c>
      <c r="I132" s="315">
        <f>VLOOKUP(G132,'JKP-8.4c - Total Costs'!$A$6:$D$52,4,FALSE)</f>
        <v>44399.854205685449</v>
      </c>
      <c r="J132" s="315">
        <f>VLOOKUP(H132,'JKP-8.4c - Total Costs'!$A$6:$D$52,4,FALSE)</f>
        <v>15876.442206399237</v>
      </c>
      <c r="K132" s="232">
        <f t="shared" si="9"/>
        <v>60276.296412084688</v>
      </c>
    </row>
    <row r="133" spans="1:11" ht="12.75" customHeight="1" x14ac:dyDescent="0.2">
      <c r="A133" s="314">
        <v>114</v>
      </c>
      <c r="B133" s="38" t="s">
        <v>556</v>
      </c>
      <c r="C133" s="38">
        <v>277</v>
      </c>
      <c r="D133" s="38">
        <v>1992</v>
      </c>
      <c r="E133" s="17" t="str">
        <f t="shared" si="6"/>
        <v>1.25"</v>
      </c>
      <c r="F133" t="str">
        <f t="shared" si="7"/>
        <v>PE</v>
      </c>
      <c r="G133" t="str">
        <f t="shared" si="10"/>
        <v>1.25" PE EXTN</v>
      </c>
      <c r="H133" t="str">
        <f t="shared" si="10"/>
        <v>1.25" PE STUB</v>
      </c>
      <c r="I133" s="315">
        <f>VLOOKUP(G133,'JKP-8.4c - Total Costs'!$A$6:$D$52,4,FALSE)</f>
        <v>2869.6293607026869</v>
      </c>
      <c r="J133" s="315">
        <f>VLOOKUP(H133,'JKP-8.4c - Total Costs'!$A$6:$D$52,4,FALSE)</f>
        <v>1526.7195609992903</v>
      </c>
      <c r="K133" s="232">
        <f t="shared" si="9"/>
        <v>4396.3489217019769</v>
      </c>
    </row>
    <row r="134" spans="1:11" ht="12.75" customHeight="1" x14ac:dyDescent="0.2">
      <c r="A134" s="314">
        <v>2</v>
      </c>
      <c r="B134" s="38" t="s">
        <v>753</v>
      </c>
      <c r="C134" s="38">
        <v>88</v>
      </c>
      <c r="D134" s="38">
        <v>1992</v>
      </c>
      <c r="E134" s="17" t="str">
        <f t="shared" ref="E134:E140" si="11">IF(A134=58,".625",IF(A134=118,"1.125",IF(A134=114,"1.25",A134)))&amp;""""</f>
        <v>2"</v>
      </c>
      <c r="F134" t="str">
        <f t="shared" ref="F134:F140" si="12">IF(B134="STW","ST","PE")</f>
        <v>PE</v>
      </c>
      <c r="G134" t="str">
        <f t="shared" si="10"/>
        <v>2" PE EXTN</v>
      </c>
      <c r="H134" t="str">
        <f t="shared" si="10"/>
        <v>2" PE STUB</v>
      </c>
      <c r="I134" s="315">
        <f>VLOOKUP(G134,'JKP-8.4c - Total Costs'!$A$6:$D$52,4,FALSE)</f>
        <v>3217.4108620235775</v>
      </c>
      <c r="J134" s="315">
        <f>VLOOKUP(H134,'JKP-8.4c - Total Costs'!$A$6:$D$52,4,FALSE)</f>
        <v>1470.4671789049644</v>
      </c>
      <c r="K134" s="232">
        <f t="shared" ref="K134:K140" si="13">J134+I134</f>
        <v>4687.8780409285419</v>
      </c>
    </row>
    <row r="135" spans="1:11" ht="12.75" customHeight="1" x14ac:dyDescent="0.2">
      <c r="A135" s="314">
        <v>2</v>
      </c>
      <c r="B135" s="38" t="s">
        <v>556</v>
      </c>
      <c r="C135" s="38">
        <v>198</v>
      </c>
      <c r="D135" s="38">
        <v>1984</v>
      </c>
      <c r="E135" s="17" t="str">
        <f t="shared" si="11"/>
        <v>2"</v>
      </c>
      <c r="F135" t="str">
        <f t="shared" si="12"/>
        <v>PE</v>
      </c>
      <c r="G135" t="str">
        <f t="shared" si="10"/>
        <v>2" PE EXTN</v>
      </c>
      <c r="H135" t="str">
        <f t="shared" si="10"/>
        <v>2" PE STUB</v>
      </c>
      <c r="I135" s="315">
        <f>VLOOKUP(G135,'JKP-8.4c - Total Costs'!$A$6:$D$52,4,FALSE)</f>
        <v>3217.4108620235775</v>
      </c>
      <c r="J135" s="315">
        <f>VLOOKUP(H135,'JKP-8.4c - Total Costs'!$A$6:$D$52,4,FALSE)</f>
        <v>1470.4671789049644</v>
      </c>
      <c r="K135" s="232">
        <f t="shared" si="13"/>
        <v>4687.8780409285419</v>
      </c>
    </row>
    <row r="136" spans="1:11" ht="12.75" customHeight="1" x14ac:dyDescent="0.2">
      <c r="A136" s="314">
        <v>114</v>
      </c>
      <c r="B136" s="38" t="s">
        <v>556</v>
      </c>
      <c r="C136" s="38">
        <v>75</v>
      </c>
      <c r="D136" s="38">
        <v>1990</v>
      </c>
      <c r="E136" s="17" t="str">
        <f t="shared" si="11"/>
        <v>1.25"</v>
      </c>
      <c r="F136" t="str">
        <f t="shared" si="12"/>
        <v>PE</v>
      </c>
      <c r="G136" t="str">
        <f t="shared" si="10"/>
        <v>1.25" PE EXTN</v>
      </c>
      <c r="H136" t="str">
        <f t="shared" si="10"/>
        <v>1.25" PE STUB</v>
      </c>
      <c r="I136" s="315">
        <f>VLOOKUP(G136,'JKP-8.4c - Total Costs'!$A$6:$D$52,4,FALSE)</f>
        <v>2869.6293607026869</v>
      </c>
      <c r="J136" s="315">
        <f>VLOOKUP(H136,'JKP-8.4c - Total Costs'!$A$6:$D$52,4,FALSE)</f>
        <v>1526.7195609992903</v>
      </c>
      <c r="K136" s="232">
        <f t="shared" si="13"/>
        <v>4396.3489217019769</v>
      </c>
    </row>
    <row r="137" spans="1:11" ht="12.75" customHeight="1" x14ac:dyDescent="0.2">
      <c r="A137" s="314">
        <v>2</v>
      </c>
      <c r="B137" s="38" t="s">
        <v>556</v>
      </c>
      <c r="C137" s="38">
        <v>10</v>
      </c>
      <c r="D137" s="38">
        <v>1984</v>
      </c>
      <c r="E137" s="17" t="str">
        <f t="shared" si="11"/>
        <v>2"</v>
      </c>
      <c r="F137" t="str">
        <f t="shared" si="12"/>
        <v>PE</v>
      </c>
      <c r="G137" t="str">
        <f t="shared" si="10"/>
        <v>2" PE EXTN</v>
      </c>
      <c r="H137" t="str">
        <f t="shared" si="10"/>
        <v>2" PE STUB</v>
      </c>
      <c r="I137" s="315">
        <f>VLOOKUP(G137,'JKP-8.4c - Total Costs'!$A$6:$D$52,4,FALSE)</f>
        <v>3217.4108620235775</v>
      </c>
      <c r="J137" s="315">
        <f>VLOOKUP(H137,'JKP-8.4c - Total Costs'!$A$6:$D$52,4,FALSE)</f>
        <v>1470.4671789049644</v>
      </c>
      <c r="K137" s="232">
        <f t="shared" si="13"/>
        <v>4687.8780409285419</v>
      </c>
    </row>
    <row r="138" spans="1:11" ht="12.75" customHeight="1" x14ac:dyDescent="0.2">
      <c r="A138" s="314">
        <v>2</v>
      </c>
      <c r="B138" s="38" t="s">
        <v>556</v>
      </c>
      <c r="C138" s="38">
        <v>419</v>
      </c>
      <c r="D138" s="38">
        <v>1994</v>
      </c>
      <c r="E138" s="17" t="str">
        <f t="shared" si="11"/>
        <v>2"</v>
      </c>
      <c r="F138" t="str">
        <f t="shared" si="12"/>
        <v>PE</v>
      </c>
      <c r="G138" t="str">
        <f t="shared" si="10"/>
        <v>2" PE EXTN</v>
      </c>
      <c r="H138" t="str">
        <f t="shared" si="10"/>
        <v>2" PE STUB</v>
      </c>
      <c r="I138" s="315">
        <f>VLOOKUP(G138,'JKP-8.4c - Total Costs'!$A$6:$D$52,4,FALSE)</f>
        <v>3217.4108620235775</v>
      </c>
      <c r="J138" s="315">
        <f>VLOOKUP(H138,'JKP-8.4c - Total Costs'!$A$6:$D$52,4,FALSE)</f>
        <v>1470.4671789049644</v>
      </c>
      <c r="K138" s="232">
        <f t="shared" si="13"/>
        <v>4687.8780409285419</v>
      </c>
    </row>
    <row r="139" spans="1:11" ht="12.75" customHeight="1" x14ac:dyDescent="0.2">
      <c r="A139" s="314">
        <v>114</v>
      </c>
      <c r="B139" s="38" t="s">
        <v>556</v>
      </c>
      <c r="C139" s="38">
        <v>194</v>
      </c>
      <c r="D139" s="38">
        <v>1992</v>
      </c>
      <c r="E139" s="17" t="str">
        <f t="shared" si="11"/>
        <v>1.25"</v>
      </c>
      <c r="F139" t="str">
        <f t="shared" si="12"/>
        <v>PE</v>
      </c>
      <c r="G139" t="str">
        <f t="shared" si="10"/>
        <v>1.25" PE EXTN</v>
      </c>
      <c r="H139" t="str">
        <f t="shared" si="10"/>
        <v>1.25" PE STUB</v>
      </c>
      <c r="I139" s="315">
        <f>VLOOKUP(G139,'JKP-8.4c - Total Costs'!$A$6:$D$52,4,FALSE)</f>
        <v>2869.6293607026869</v>
      </c>
      <c r="J139" s="315">
        <f>VLOOKUP(H139,'JKP-8.4c - Total Costs'!$A$6:$D$52,4,FALSE)</f>
        <v>1526.7195609992903</v>
      </c>
      <c r="K139" s="232">
        <f t="shared" si="13"/>
        <v>4396.3489217019769</v>
      </c>
    </row>
    <row r="140" spans="1:11" ht="12.75" customHeight="1" x14ac:dyDescent="0.2">
      <c r="A140" s="314">
        <v>114</v>
      </c>
      <c r="B140" s="38" t="s">
        <v>556</v>
      </c>
      <c r="C140" s="38">
        <v>190</v>
      </c>
      <c r="D140" s="38">
        <v>1992</v>
      </c>
      <c r="E140" s="17" t="str">
        <f t="shared" si="11"/>
        <v>1.25"</v>
      </c>
      <c r="F140" t="str">
        <f t="shared" si="12"/>
        <v>PE</v>
      </c>
      <c r="G140" t="str">
        <f t="shared" si="10"/>
        <v>1.25" PE EXTN</v>
      </c>
      <c r="H140" t="str">
        <f t="shared" si="10"/>
        <v>1.25" PE STUB</v>
      </c>
      <c r="I140" s="315">
        <f>VLOOKUP(G140,'JKP-8.4c - Total Costs'!$A$6:$D$52,4,FALSE)</f>
        <v>2869.6293607026869</v>
      </c>
      <c r="J140" s="315">
        <f>VLOOKUP(H140,'JKP-8.4c - Total Costs'!$A$6:$D$52,4,FALSE)</f>
        <v>1526.7195609992903</v>
      </c>
      <c r="K140" s="232">
        <f t="shared" si="13"/>
        <v>4396.3489217019769</v>
      </c>
    </row>
    <row r="141" spans="1:11" ht="12.75" customHeight="1" x14ac:dyDescent="0.2">
      <c r="I141" t="s">
        <v>23</v>
      </c>
      <c r="K141" s="232">
        <f>SUM(K5:K140)</f>
        <v>684667.29719122825</v>
      </c>
    </row>
    <row r="144" spans="1:11" ht="12.75" customHeight="1" x14ac:dyDescent="0.2">
      <c r="K144" s="316"/>
    </row>
  </sheetData>
  <mergeCells count="1">
    <mergeCell ref="A3:D3"/>
  </mergeCells>
  <pageMargins left="0.7" right="0.7" top="0.75" bottom="0.75" header="0.3" footer="0.3"/>
  <pageSetup fitToHeight="1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18"/>
  <sheetViews>
    <sheetView workbookViewId="0">
      <selection activeCell="C35" sqref="C35"/>
    </sheetView>
  </sheetViews>
  <sheetFormatPr defaultRowHeight="12.75" x14ac:dyDescent="0.2"/>
  <cols>
    <col min="2" max="2" width="46.42578125" bestFit="1" customWidth="1"/>
    <col min="3" max="3" width="16.7109375" customWidth="1"/>
    <col min="4" max="4" width="10.42578125" bestFit="1" customWidth="1"/>
    <col min="5" max="5" width="11.28515625" bestFit="1" customWidth="1"/>
    <col min="6" max="6" width="12.42578125" bestFit="1" customWidth="1"/>
    <col min="258" max="258" width="46.42578125" bestFit="1" customWidth="1"/>
    <col min="259" max="259" width="16.7109375" customWidth="1"/>
    <col min="260" max="260" width="10.42578125" bestFit="1" customWidth="1"/>
    <col min="261" max="261" width="11.28515625" bestFit="1" customWidth="1"/>
    <col min="262" max="262" width="12.42578125" bestFit="1" customWidth="1"/>
    <col min="514" max="514" width="46.42578125" bestFit="1" customWidth="1"/>
    <col min="515" max="515" width="16.7109375" customWidth="1"/>
    <col min="516" max="516" width="10.42578125" bestFit="1" customWidth="1"/>
    <col min="517" max="517" width="11.28515625" bestFit="1" customWidth="1"/>
    <col min="518" max="518" width="12.42578125" bestFit="1" customWidth="1"/>
    <col min="770" max="770" width="46.42578125" bestFit="1" customWidth="1"/>
    <col min="771" max="771" width="16.7109375" customWidth="1"/>
    <col min="772" max="772" width="10.42578125" bestFit="1" customWidth="1"/>
    <col min="773" max="773" width="11.28515625" bestFit="1" customWidth="1"/>
    <col min="774" max="774" width="12.42578125" bestFit="1" customWidth="1"/>
    <col min="1026" max="1026" width="46.42578125" bestFit="1" customWidth="1"/>
    <col min="1027" max="1027" width="16.7109375" customWidth="1"/>
    <col min="1028" max="1028" width="10.42578125" bestFit="1" customWidth="1"/>
    <col min="1029" max="1029" width="11.28515625" bestFit="1" customWidth="1"/>
    <col min="1030" max="1030" width="12.42578125" bestFit="1" customWidth="1"/>
    <col min="1282" max="1282" width="46.42578125" bestFit="1" customWidth="1"/>
    <col min="1283" max="1283" width="16.7109375" customWidth="1"/>
    <col min="1284" max="1284" width="10.42578125" bestFit="1" customWidth="1"/>
    <col min="1285" max="1285" width="11.28515625" bestFit="1" customWidth="1"/>
    <col min="1286" max="1286" width="12.42578125" bestFit="1" customWidth="1"/>
    <col min="1538" max="1538" width="46.42578125" bestFit="1" customWidth="1"/>
    <col min="1539" max="1539" width="16.7109375" customWidth="1"/>
    <col min="1540" max="1540" width="10.42578125" bestFit="1" customWidth="1"/>
    <col min="1541" max="1541" width="11.28515625" bestFit="1" customWidth="1"/>
    <col min="1542" max="1542" width="12.42578125" bestFit="1" customWidth="1"/>
    <col min="1794" max="1794" width="46.42578125" bestFit="1" customWidth="1"/>
    <col min="1795" max="1795" width="16.7109375" customWidth="1"/>
    <col min="1796" max="1796" width="10.42578125" bestFit="1" customWidth="1"/>
    <col min="1797" max="1797" width="11.28515625" bestFit="1" customWidth="1"/>
    <col min="1798" max="1798" width="12.42578125" bestFit="1" customWidth="1"/>
    <col min="2050" max="2050" width="46.42578125" bestFit="1" customWidth="1"/>
    <col min="2051" max="2051" width="16.7109375" customWidth="1"/>
    <col min="2052" max="2052" width="10.42578125" bestFit="1" customWidth="1"/>
    <col min="2053" max="2053" width="11.28515625" bestFit="1" customWidth="1"/>
    <col min="2054" max="2054" width="12.42578125" bestFit="1" customWidth="1"/>
    <col min="2306" max="2306" width="46.42578125" bestFit="1" customWidth="1"/>
    <col min="2307" max="2307" width="16.7109375" customWidth="1"/>
    <col min="2308" max="2308" width="10.42578125" bestFit="1" customWidth="1"/>
    <col min="2309" max="2309" width="11.28515625" bestFit="1" customWidth="1"/>
    <col min="2310" max="2310" width="12.42578125" bestFit="1" customWidth="1"/>
    <col min="2562" max="2562" width="46.42578125" bestFit="1" customWidth="1"/>
    <col min="2563" max="2563" width="16.7109375" customWidth="1"/>
    <col min="2564" max="2564" width="10.42578125" bestFit="1" customWidth="1"/>
    <col min="2565" max="2565" width="11.28515625" bestFit="1" customWidth="1"/>
    <col min="2566" max="2566" width="12.42578125" bestFit="1" customWidth="1"/>
    <col min="2818" max="2818" width="46.42578125" bestFit="1" customWidth="1"/>
    <col min="2819" max="2819" width="16.7109375" customWidth="1"/>
    <col min="2820" max="2820" width="10.42578125" bestFit="1" customWidth="1"/>
    <col min="2821" max="2821" width="11.28515625" bestFit="1" customWidth="1"/>
    <col min="2822" max="2822" width="12.42578125" bestFit="1" customWidth="1"/>
    <col min="3074" max="3074" width="46.42578125" bestFit="1" customWidth="1"/>
    <col min="3075" max="3075" width="16.7109375" customWidth="1"/>
    <col min="3076" max="3076" width="10.42578125" bestFit="1" customWidth="1"/>
    <col min="3077" max="3077" width="11.28515625" bestFit="1" customWidth="1"/>
    <col min="3078" max="3078" width="12.42578125" bestFit="1" customWidth="1"/>
    <col min="3330" max="3330" width="46.42578125" bestFit="1" customWidth="1"/>
    <col min="3331" max="3331" width="16.7109375" customWidth="1"/>
    <col min="3332" max="3332" width="10.42578125" bestFit="1" customWidth="1"/>
    <col min="3333" max="3333" width="11.28515625" bestFit="1" customWidth="1"/>
    <col min="3334" max="3334" width="12.42578125" bestFit="1" customWidth="1"/>
    <col min="3586" max="3586" width="46.42578125" bestFit="1" customWidth="1"/>
    <col min="3587" max="3587" width="16.7109375" customWidth="1"/>
    <col min="3588" max="3588" width="10.42578125" bestFit="1" customWidth="1"/>
    <col min="3589" max="3589" width="11.28515625" bestFit="1" customWidth="1"/>
    <col min="3590" max="3590" width="12.42578125" bestFit="1" customWidth="1"/>
    <col min="3842" max="3842" width="46.42578125" bestFit="1" customWidth="1"/>
    <col min="3843" max="3843" width="16.7109375" customWidth="1"/>
    <col min="3844" max="3844" width="10.42578125" bestFit="1" customWidth="1"/>
    <col min="3845" max="3845" width="11.28515625" bestFit="1" customWidth="1"/>
    <col min="3846" max="3846" width="12.42578125" bestFit="1" customWidth="1"/>
    <col min="4098" max="4098" width="46.42578125" bestFit="1" customWidth="1"/>
    <col min="4099" max="4099" width="16.7109375" customWidth="1"/>
    <col min="4100" max="4100" width="10.42578125" bestFit="1" customWidth="1"/>
    <col min="4101" max="4101" width="11.28515625" bestFit="1" customWidth="1"/>
    <col min="4102" max="4102" width="12.42578125" bestFit="1" customWidth="1"/>
    <col min="4354" max="4354" width="46.42578125" bestFit="1" customWidth="1"/>
    <col min="4355" max="4355" width="16.7109375" customWidth="1"/>
    <col min="4356" max="4356" width="10.42578125" bestFit="1" customWidth="1"/>
    <col min="4357" max="4357" width="11.28515625" bestFit="1" customWidth="1"/>
    <col min="4358" max="4358" width="12.42578125" bestFit="1" customWidth="1"/>
    <col min="4610" max="4610" width="46.42578125" bestFit="1" customWidth="1"/>
    <col min="4611" max="4611" width="16.7109375" customWidth="1"/>
    <col min="4612" max="4612" width="10.42578125" bestFit="1" customWidth="1"/>
    <col min="4613" max="4613" width="11.28515625" bestFit="1" customWidth="1"/>
    <col min="4614" max="4614" width="12.42578125" bestFit="1" customWidth="1"/>
    <col min="4866" max="4866" width="46.42578125" bestFit="1" customWidth="1"/>
    <col min="4867" max="4867" width="16.7109375" customWidth="1"/>
    <col min="4868" max="4868" width="10.42578125" bestFit="1" customWidth="1"/>
    <col min="4869" max="4869" width="11.28515625" bestFit="1" customWidth="1"/>
    <col min="4870" max="4870" width="12.42578125" bestFit="1" customWidth="1"/>
    <col min="5122" max="5122" width="46.42578125" bestFit="1" customWidth="1"/>
    <col min="5123" max="5123" width="16.7109375" customWidth="1"/>
    <col min="5124" max="5124" width="10.42578125" bestFit="1" customWidth="1"/>
    <col min="5125" max="5125" width="11.28515625" bestFit="1" customWidth="1"/>
    <col min="5126" max="5126" width="12.42578125" bestFit="1" customWidth="1"/>
    <col min="5378" max="5378" width="46.42578125" bestFit="1" customWidth="1"/>
    <col min="5379" max="5379" width="16.7109375" customWidth="1"/>
    <col min="5380" max="5380" width="10.42578125" bestFit="1" customWidth="1"/>
    <col min="5381" max="5381" width="11.28515625" bestFit="1" customWidth="1"/>
    <col min="5382" max="5382" width="12.42578125" bestFit="1" customWidth="1"/>
    <col min="5634" max="5634" width="46.42578125" bestFit="1" customWidth="1"/>
    <col min="5635" max="5635" width="16.7109375" customWidth="1"/>
    <col min="5636" max="5636" width="10.42578125" bestFit="1" customWidth="1"/>
    <col min="5637" max="5637" width="11.28515625" bestFit="1" customWidth="1"/>
    <col min="5638" max="5638" width="12.42578125" bestFit="1" customWidth="1"/>
    <col min="5890" max="5890" width="46.42578125" bestFit="1" customWidth="1"/>
    <col min="5891" max="5891" width="16.7109375" customWidth="1"/>
    <col min="5892" max="5892" width="10.42578125" bestFit="1" customWidth="1"/>
    <col min="5893" max="5893" width="11.28515625" bestFit="1" customWidth="1"/>
    <col min="5894" max="5894" width="12.42578125" bestFit="1" customWidth="1"/>
    <col min="6146" max="6146" width="46.42578125" bestFit="1" customWidth="1"/>
    <col min="6147" max="6147" width="16.7109375" customWidth="1"/>
    <col min="6148" max="6148" width="10.42578125" bestFit="1" customWidth="1"/>
    <col min="6149" max="6149" width="11.28515625" bestFit="1" customWidth="1"/>
    <col min="6150" max="6150" width="12.42578125" bestFit="1" customWidth="1"/>
    <col min="6402" max="6402" width="46.42578125" bestFit="1" customWidth="1"/>
    <col min="6403" max="6403" width="16.7109375" customWidth="1"/>
    <col min="6404" max="6404" width="10.42578125" bestFit="1" customWidth="1"/>
    <col min="6405" max="6405" width="11.28515625" bestFit="1" customWidth="1"/>
    <col min="6406" max="6406" width="12.42578125" bestFit="1" customWidth="1"/>
    <col min="6658" max="6658" width="46.42578125" bestFit="1" customWidth="1"/>
    <col min="6659" max="6659" width="16.7109375" customWidth="1"/>
    <col min="6660" max="6660" width="10.42578125" bestFit="1" customWidth="1"/>
    <col min="6661" max="6661" width="11.28515625" bestFit="1" customWidth="1"/>
    <col min="6662" max="6662" width="12.42578125" bestFit="1" customWidth="1"/>
    <col min="6914" max="6914" width="46.42578125" bestFit="1" customWidth="1"/>
    <col min="6915" max="6915" width="16.7109375" customWidth="1"/>
    <col min="6916" max="6916" width="10.42578125" bestFit="1" customWidth="1"/>
    <col min="6917" max="6917" width="11.28515625" bestFit="1" customWidth="1"/>
    <col min="6918" max="6918" width="12.42578125" bestFit="1" customWidth="1"/>
    <col min="7170" max="7170" width="46.42578125" bestFit="1" customWidth="1"/>
    <col min="7171" max="7171" width="16.7109375" customWidth="1"/>
    <col min="7172" max="7172" width="10.42578125" bestFit="1" customWidth="1"/>
    <col min="7173" max="7173" width="11.28515625" bestFit="1" customWidth="1"/>
    <col min="7174" max="7174" width="12.42578125" bestFit="1" customWidth="1"/>
    <col min="7426" max="7426" width="46.42578125" bestFit="1" customWidth="1"/>
    <col min="7427" max="7427" width="16.7109375" customWidth="1"/>
    <col min="7428" max="7428" width="10.42578125" bestFit="1" customWidth="1"/>
    <col min="7429" max="7429" width="11.28515625" bestFit="1" customWidth="1"/>
    <col min="7430" max="7430" width="12.42578125" bestFit="1" customWidth="1"/>
    <col min="7682" max="7682" width="46.42578125" bestFit="1" customWidth="1"/>
    <col min="7683" max="7683" width="16.7109375" customWidth="1"/>
    <col min="7684" max="7684" width="10.42578125" bestFit="1" customWidth="1"/>
    <col min="7685" max="7685" width="11.28515625" bestFit="1" customWidth="1"/>
    <col min="7686" max="7686" width="12.42578125" bestFit="1" customWidth="1"/>
    <col min="7938" max="7938" width="46.42578125" bestFit="1" customWidth="1"/>
    <col min="7939" max="7939" width="16.7109375" customWidth="1"/>
    <col min="7940" max="7940" width="10.42578125" bestFit="1" customWidth="1"/>
    <col min="7941" max="7941" width="11.28515625" bestFit="1" customWidth="1"/>
    <col min="7942" max="7942" width="12.42578125" bestFit="1" customWidth="1"/>
    <col min="8194" max="8194" width="46.42578125" bestFit="1" customWidth="1"/>
    <col min="8195" max="8195" width="16.7109375" customWidth="1"/>
    <col min="8196" max="8196" width="10.42578125" bestFit="1" customWidth="1"/>
    <col min="8197" max="8197" width="11.28515625" bestFit="1" customWidth="1"/>
    <col min="8198" max="8198" width="12.42578125" bestFit="1" customWidth="1"/>
    <col min="8450" max="8450" width="46.42578125" bestFit="1" customWidth="1"/>
    <col min="8451" max="8451" width="16.7109375" customWidth="1"/>
    <col min="8452" max="8452" width="10.42578125" bestFit="1" customWidth="1"/>
    <col min="8453" max="8453" width="11.28515625" bestFit="1" customWidth="1"/>
    <col min="8454" max="8454" width="12.42578125" bestFit="1" customWidth="1"/>
    <col min="8706" max="8706" width="46.42578125" bestFit="1" customWidth="1"/>
    <col min="8707" max="8707" width="16.7109375" customWidth="1"/>
    <col min="8708" max="8708" width="10.42578125" bestFit="1" customWidth="1"/>
    <col min="8709" max="8709" width="11.28515625" bestFit="1" customWidth="1"/>
    <col min="8710" max="8710" width="12.42578125" bestFit="1" customWidth="1"/>
    <col min="8962" max="8962" width="46.42578125" bestFit="1" customWidth="1"/>
    <col min="8963" max="8963" width="16.7109375" customWidth="1"/>
    <col min="8964" max="8964" width="10.42578125" bestFit="1" customWidth="1"/>
    <col min="8965" max="8965" width="11.28515625" bestFit="1" customWidth="1"/>
    <col min="8966" max="8966" width="12.42578125" bestFit="1" customWidth="1"/>
    <col min="9218" max="9218" width="46.42578125" bestFit="1" customWidth="1"/>
    <col min="9219" max="9219" width="16.7109375" customWidth="1"/>
    <col min="9220" max="9220" width="10.42578125" bestFit="1" customWidth="1"/>
    <col min="9221" max="9221" width="11.28515625" bestFit="1" customWidth="1"/>
    <col min="9222" max="9222" width="12.42578125" bestFit="1" customWidth="1"/>
    <col min="9474" max="9474" width="46.42578125" bestFit="1" customWidth="1"/>
    <col min="9475" max="9475" width="16.7109375" customWidth="1"/>
    <col min="9476" max="9476" width="10.42578125" bestFit="1" customWidth="1"/>
    <col min="9477" max="9477" width="11.28515625" bestFit="1" customWidth="1"/>
    <col min="9478" max="9478" width="12.42578125" bestFit="1" customWidth="1"/>
    <col min="9730" max="9730" width="46.42578125" bestFit="1" customWidth="1"/>
    <col min="9731" max="9731" width="16.7109375" customWidth="1"/>
    <col min="9732" max="9732" width="10.42578125" bestFit="1" customWidth="1"/>
    <col min="9733" max="9733" width="11.28515625" bestFit="1" customWidth="1"/>
    <col min="9734" max="9734" width="12.42578125" bestFit="1" customWidth="1"/>
    <col min="9986" max="9986" width="46.42578125" bestFit="1" customWidth="1"/>
    <col min="9987" max="9987" width="16.7109375" customWidth="1"/>
    <col min="9988" max="9988" width="10.42578125" bestFit="1" customWidth="1"/>
    <col min="9989" max="9989" width="11.28515625" bestFit="1" customWidth="1"/>
    <col min="9990" max="9990" width="12.42578125" bestFit="1" customWidth="1"/>
    <col min="10242" max="10242" width="46.42578125" bestFit="1" customWidth="1"/>
    <col min="10243" max="10243" width="16.7109375" customWidth="1"/>
    <col min="10244" max="10244" width="10.42578125" bestFit="1" customWidth="1"/>
    <col min="10245" max="10245" width="11.28515625" bestFit="1" customWidth="1"/>
    <col min="10246" max="10246" width="12.42578125" bestFit="1" customWidth="1"/>
    <col min="10498" max="10498" width="46.42578125" bestFit="1" customWidth="1"/>
    <col min="10499" max="10499" width="16.7109375" customWidth="1"/>
    <col min="10500" max="10500" width="10.42578125" bestFit="1" customWidth="1"/>
    <col min="10501" max="10501" width="11.28515625" bestFit="1" customWidth="1"/>
    <col min="10502" max="10502" width="12.42578125" bestFit="1" customWidth="1"/>
    <col min="10754" max="10754" width="46.42578125" bestFit="1" customWidth="1"/>
    <col min="10755" max="10755" width="16.7109375" customWidth="1"/>
    <col min="10756" max="10756" width="10.42578125" bestFit="1" customWidth="1"/>
    <col min="10757" max="10757" width="11.28515625" bestFit="1" customWidth="1"/>
    <col min="10758" max="10758" width="12.42578125" bestFit="1" customWidth="1"/>
    <col min="11010" max="11010" width="46.42578125" bestFit="1" customWidth="1"/>
    <col min="11011" max="11011" width="16.7109375" customWidth="1"/>
    <col min="11012" max="11012" width="10.42578125" bestFit="1" customWidth="1"/>
    <col min="11013" max="11013" width="11.28515625" bestFit="1" customWidth="1"/>
    <col min="11014" max="11014" width="12.42578125" bestFit="1" customWidth="1"/>
    <col min="11266" max="11266" width="46.42578125" bestFit="1" customWidth="1"/>
    <col min="11267" max="11267" width="16.7109375" customWidth="1"/>
    <col min="11268" max="11268" width="10.42578125" bestFit="1" customWidth="1"/>
    <col min="11269" max="11269" width="11.28515625" bestFit="1" customWidth="1"/>
    <col min="11270" max="11270" width="12.42578125" bestFit="1" customWidth="1"/>
    <col min="11522" max="11522" width="46.42578125" bestFit="1" customWidth="1"/>
    <col min="11523" max="11523" width="16.7109375" customWidth="1"/>
    <col min="11524" max="11524" width="10.42578125" bestFit="1" customWidth="1"/>
    <col min="11525" max="11525" width="11.28515625" bestFit="1" customWidth="1"/>
    <col min="11526" max="11526" width="12.42578125" bestFit="1" customWidth="1"/>
    <col min="11778" max="11778" width="46.42578125" bestFit="1" customWidth="1"/>
    <col min="11779" max="11779" width="16.7109375" customWidth="1"/>
    <col min="11780" max="11780" width="10.42578125" bestFit="1" customWidth="1"/>
    <col min="11781" max="11781" width="11.28515625" bestFit="1" customWidth="1"/>
    <col min="11782" max="11782" width="12.42578125" bestFit="1" customWidth="1"/>
    <col min="12034" max="12034" width="46.42578125" bestFit="1" customWidth="1"/>
    <col min="12035" max="12035" width="16.7109375" customWidth="1"/>
    <col min="12036" max="12036" width="10.42578125" bestFit="1" customWidth="1"/>
    <col min="12037" max="12037" width="11.28515625" bestFit="1" customWidth="1"/>
    <col min="12038" max="12038" width="12.42578125" bestFit="1" customWidth="1"/>
    <col min="12290" max="12290" width="46.42578125" bestFit="1" customWidth="1"/>
    <col min="12291" max="12291" width="16.7109375" customWidth="1"/>
    <col min="12292" max="12292" width="10.42578125" bestFit="1" customWidth="1"/>
    <col min="12293" max="12293" width="11.28515625" bestFit="1" customWidth="1"/>
    <col min="12294" max="12294" width="12.42578125" bestFit="1" customWidth="1"/>
    <col min="12546" max="12546" width="46.42578125" bestFit="1" customWidth="1"/>
    <col min="12547" max="12547" width="16.7109375" customWidth="1"/>
    <col min="12548" max="12548" width="10.42578125" bestFit="1" customWidth="1"/>
    <col min="12549" max="12549" width="11.28515625" bestFit="1" customWidth="1"/>
    <col min="12550" max="12550" width="12.42578125" bestFit="1" customWidth="1"/>
    <col min="12802" max="12802" width="46.42578125" bestFit="1" customWidth="1"/>
    <col min="12803" max="12803" width="16.7109375" customWidth="1"/>
    <col min="12804" max="12804" width="10.42578125" bestFit="1" customWidth="1"/>
    <col min="12805" max="12805" width="11.28515625" bestFit="1" customWidth="1"/>
    <col min="12806" max="12806" width="12.42578125" bestFit="1" customWidth="1"/>
    <col min="13058" max="13058" width="46.42578125" bestFit="1" customWidth="1"/>
    <col min="13059" max="13059" width="16.7109375" customWidth="1"/>
    <col min="13060" max="13060" width="10.42578125" bestFit="1" customWidth="1"/>
    <col min="13061" max="13061" width="11.28515625" bestFit="1" customWidth="1"/>
    <col min="13062" max="13062" width="12.42578125" bestFit="1" customWidth="1"/>
    <col min="13314" max="13314" width="46.42578125" bestFit="1" customWidth="1"/>
    <col min="13315" max="13315" width="16.7109375" customWidth="1"/>
    <col min="13316" max="13316" width="10.42578125" bestFit="1" customWidth="1"/>
    <col min="13317" max="13317" width="11.28515625" bestFit="1" customWidth="1"/>
    <col min="13318" max="13318" width="12.42578125" bestFit="1" customWidth="1"/>
    <col min="13570" max="13570" width="46.42578125" bestFit="1" customWidth="1"/>
    <col min="13571" max="13571" width="16.7109375" customWidth="1"/>
    <col min="13572" max="13572" width="10.42578125" bestFit="1" customWidth="1"/>
    <col min="13573" max="13573" width="11.28515625" bestFit="1" customWidth="1"/>
    <col min="13574" max="13574" width="12.42578125" bestFit="1" customWidth="1"/>
    <col min="13826" max="13826" width="46.42578125" bestFit="1" customWidth="1"/>
    <col min="13827" max="13827" width="16.7109375" customWidth="1"/>
    <col min="13828" max="13828" width="10.42578125" bestFit="1" customWidth="1"/>
    <col min="13829" max="13829" width="11.28515625" bestFit="1" customWidth="1"/>
    <col min="13830" max="13830" width="12.42578125" bestFit="1" customWidth="1"/>
    <col min="14082" max="14082" width="46.42578125" bestFit="1" customWidth="1"/>
    <col min="14083" max="14083" width="16.7109375" customWidth="1"/>
    <col min="14084" max="14084" width="10.42578125" bestFit="1" customWidth="1"/>
    <col min="14085" max="14085" width="11.28515625" bestFit="1" customWidth="1"/>
    <col min="14086" max="14086" width="12.42578125" bestFit="1" customWidth="1"/>
    <col min="14338" max="14338" width="46.42578125" bestFit="1" customWidth="1"/>
    <col min="14339" max="14339" width="16.7109375" customWidth="1"/>
    <col min="14340" max="14340" width="10.42578125" bestFit="1" customWidth="1"/>
    <col min="14341" max="14341" width="11.28515625" bestFit="1" customWidth="1"/>
    <col min="14342" max="14342" width="12.42578125" bestFit="1" customWidth="1"/>
    <col min="14594" max="14594" width="46.42578125" bestFit="1" customWidth="1"/>
    <col min="14595" max="14595" width="16.7109375" customWidth="1"/>
    <col min="14596" max="14596" width="10.42578125" bestFit="1" customWidth="1"/>
    <col min="14597" max="14597" width="11.28515625" bestFit="1" customWidth="1"/>
    <col min="14598" max="14598" width="12.42578125" bestFit="1" customWidth="1"/>
    <col min="14850" max="14850" width="46.42578125" bestFit="1" customWidth="1"/>
    <col min="14851" max="14851" width="16.7109375" customWidth="1"/>
    <col min="14852" max="14852" width="10.42578125" bestFit="1" customWidth="1"/>
    <col min="14853" max="14853" width="11.28515625" bestFit="1" customWidth="1"/>
    <col min="14854" max="14854" width="12.42578125" bestFit="1" customWidth="1"/>
    <col min="15106" max="15106" width="46.42578125" bestFit="1" customWidth="1"/>
    <col min="15107" max="15107" width="16.7109375" customWidth="1"/>
    <col min="15108" max="15108" width="10.42578125" bestFit="1" customWidth="1"/>
    <col min="15109" max="15109" width="11.28515625" bestFit="1" customWidth="1"/>
    <col min="15110" max="15110" width="12.42578125" bestFit="1" customWidth="1"/>
    <col min="15362" max="15362" width="46.42578125" bestFit="1" customWidth="1"/>
    <col min="15363" max="15363" width="16.7109375" customWidth="1"/>
    <col min="15364" max="15364" width="10.42578125" bestFit="1" customWidth="1"/>
    <col min="15365" max="15365" width="11.28515625" bestFit="1" customWidth="1"/>
    <col min="15366" max="15366" width="12.42578125" bestFit="1" customWidth="1"/>
    <col min="15618" max="15618" width="46.42578125" bestFit="1" customWidth="1"/>
    <col min="15619" max="15619" width="16.7109375" customWidth="1"/>
    <col min="15620" max="15620" width="10.42578125" bestFit="1" customWidth="1"/>
    <col min="15621" max="15621" width="11.28515625" bestFit="1" customWidth="1"/>
    <col min="15622" max="15622" width="12.42578125" bestFit="1" customWidth="1"/>
    <col min="15874" max="15874" width="46.42578125" bestFit="1" customWidth="1"/>
    <col min="15875" max="15875" width="16.7109375" customWidth="1"/>
    <col min="15876" max="15876" width="10.42578125" bestFit="1" customWidth="1"/>
    <col min="15877" max="15877" width="11.28515625" bestFit="1" customWidth="1"/>
    <col min="15878" max="15878" width="12.42578125" bestFit="1" customWidth="1"/>
    <col min="16130" max="16130" width="46.42578125" bestFit="1" customWidth="1"/>
    <col min="16131" max="16131" width="16.7109375" customWidth="1"/>
    <col min="16132" max="16132" width="10.42578125" bestFit="1" customWidth="1"/>
    <col min="16133" max="16133" width="11.28515625" bestFit="1" customWidth="1"/>
    <col min="16134" max="16134" width="12.42578125" bestFit="1" customWidth="1"/>
  </cols>
  <sheetData>
    <row r="1" spans="1:8" x14ac:dyDescent="0.2">
      <c r="A1" s="1884" t="s">
        <v>70</v>
      </c>
      <c r="B1" s="1884"/>
      <c r="C1" s="1884"/>
      <c r="D1" s="1884"/>
      <c r="E1" s="1884"/>
      <c r="F1" s="1884"/>
    </row>
    <row r="2" spans="1:8" x14ac:dyDescent="0.2">
      <c r="A2" s="1884" t="s">
        <v>187</v>
      </c>
      <c r="B2" s="1884"/>
      <c r="C2" s="1884"/>
      <c r="D2" s="1884"/>
      <c r="E2" s="1884"/>
      <c r="F2" s="1884"/>
    </row>
    <row r="3" spans="1:8" x14ac:dyDescent="0.2">
      <c r="A3" s="1884" t="s">
        <v>768</v>
      </c>
      <c r="B3" s="1885"/>
      <c r="C3" s="1885"/>
      <c r="D3" s="1885"/>
      <c r="E3" s="1885"/>
      <c r="F3" s="1885"/>
    </row>
    <row r="5" spans="1:8" x14ac:dyDescent="0.2">
      <c r="A5" s="17" t="s">
        <v>95</v>
      </c>
      <c r="E5" s="41" t="s">
        <v>769</v>
      </c>
      <c r="F5" s="41"/>
    </row>
    <row r="6" spans="1:8" x14ac:dyDescent="0.2">
      <c r="A6" s="40" t="s">
        <v>770</v>
      </c>
      <c r="B6" s="40" t="s">
        <v>69</v>
      </c>
      <c r="C6" s="40" t="s">
        <v>315</v>
      </c>
      <c r="D6" s="40" t="s">
        <v>771</v>
      </c>
      <c r="E6" s="299" t="s">
        <v>772</v>
      </c>
      <c r="F6" s="299" t="s">
        <v>773</v>
      </c>
    </row>
    <row r="7" spans="1:8" x14ac:dyDescent="0.2">
      <c r="B7" s="38" t="s">
        <v>774</v>
      </c>
      <c r="C7" s="38" t="s">
        <v>775</v>
      </c>
      <c r="D7" s="38" t="s">
        <v>776</v>
      </c>
      <c r="E7" s="22" t="s">
        <v>777</v>
      </c>
      <c r="F7" s="22" t="s">
        <v>778</v>
      </c>
    </row>
    <row r="9" spans="1:8" x14ac:dyDescent="0.2">
      <c r="A9" s="17">
        <v>1</v>
      </c>
      <c r="B9" s="6" t="s">
        <v>744</v>
      </c>
      <c r="C9" s="317">
        <f>SUMIF('JKP-8.4c - Customer List'!$B$5:$B$177,'JKP-8.4c - Direct 380'!B9,'JKP-8.4c - Customer List'!$L$5:$L$177)+'JKP-8.4c - Schedule 85'!K141</f>
        <v>1290182.1044285647</v>
      </c>
      <c r="D9" s="318">
        <f>C9/$C$18</f>
        <v>0.2628031779260907</v>
      </c>
      <c r="E9" s="222">
        <f>D9*$C$27</f>
        <v>731709.27674732101</v>
      </c>
      <c r="F9" s="222">
        <f>D9*$C$31</f>
        <v>-309642.82998962514</v>
      </c>
      <c r="H9" s="301"/>
    </row>
    <row r="10" spans="1:8" x14ac:dyDescent="0.2">
      <c r="A10" s="17">
        <f>A9+1</f>
        <v>2</v>
      </c>
      <c r="B10" s="6" t="s">
        <v>748</v>
      </c>
      <c r="C10" s="317">
        <f>SUMIF('JKP-8.4c - Customer List'!$B$5:$B$177,'JKP-8.4c - Direct 380'!B10,'JKP-8.4c - Customer List'!$L$5:$L$177)</f>
        <v>117336.14026037793</v>
      </c>
      <c r="D10" s="318">
        <f t="shared" ref="D10:D17" si="0">C10/$C$18</f>
        <v>2.3900742724738508E-2</v>
      </c>
      <c r="E10" s="222">
        <f t="shared" ref="E10:E16" si="1">D10*$C$27</f>
        <v>66545.600060287499</v>
      </c>
      <c r="F10" s="222">
        <f t="shared" ref="F10:F17" si="2">D10*$C$31</f>
        <v>-28160.594078597118</v>
      </c>
      <c r="H10" s="301"/>
    </row>
    <row r="11" spans="1:8" x14ac:dyDescent="0.2">
      <c r="A11" s="17">
        <f t="shared" ref="A11:A19" si="3">A10+1</f>
        <v>3</v>
      </c>
      <c r="B11" s="301" t="s">
        <v>741</v>
      </c>
      <c r="C11" s="317">
        <f>SUMIF('JKP-8.4c - Customer List'!$B$5:$B$177,'JKP-8.4c - Direct 380'!B11,'JKP-8.4c - Customer List'!$L$5:$L$177)</f>
        <v>680726.86911032675</v>
      </c>
      <c r="D11" s="318">
        <f t="shared" si="0"/>
        <v>0.13866041381895258</v>
      </c>
      <c r="E11" s="222">
        <f t="shared" si="1"/>
        <v>386065.00845847389</v>
      </c>
      <c r="F11" s="222">
        <f t="shared" si="2"/>
        <v>-163373.98687967105</v>
      </c>
      <c r="H11" s="301"/>
    </row>
    <row r="12" spans="1:8" x14ac:dyDescent="0.2">
      <c r="A12" s="17">
        <f t="shared" si="3"/>
        <v>4</v>
      </c>
      <c r="B12" s="9" t="s">
        <v>742</v>
      </c>
      <c r="C12" s="317">
        <f>SUMIF('JKP-8.4c - Customer List'!$B$5:$B$177,'JKP-8.4c - Direct 380'!B12,'JKP-8.4c - Customer List'!$L$5:$L$177)</f>
        <v>1797775.7435729925</v>
      </c>
      <c r="D12" s="318">
        <f t="shared" si="0"/>
        <v>0.36619728097893689</v>
      </c>
      <c r="E12" s="222">
        <f t="shared" si="1"/>
        <v>1019584.1227128926</v>
      </c>
      <c r="F12" s="222">
        <f t="shared" si="2"/>
        <v>-431464.95910606231</v>
      </c>
      <c r="H12" s="301"/>
    </row>
    <row r="13" spans="1:8" x14ac:dyDescent="0.2">
      <c r="A13" s="17">
        <f t="shared" si="3"/>
        <v>5</v>
      </c>
      <c r="B13" t="s">
        <v>751</v>
      </c>
      <c r="C13" s="317">
        <f>SUMIF('JKP-8.4c - Customer List'!$B$5:$B$177,'JKP-8.4c - Direct 380'!B13,'JKP-8.4c - Customer List'!$L$5:$L$177)</f>
        <v>93753.973677490547</v>
      </c>
      <c r="D13" s="318">
        <f t="shared" si="0"/>
        <v>1.9097181817257013E-2</v>
      </c>
      <c r="E13" s="222">
        <f t="shared" si="1"/>
        <v>53171.29421984034</v>
      </c>
      <c r="F13" s="222">
        <f t="shared" si="2"/>
        <v>-22500.890093440568</v>
      </c>
      <c r="H13" s="301"/>
    </row>
    <row r="14" spans="1:8" x14ac:dyDescent="0.2">
      <c r="A14" s="17">
        <f t="shared" si="3"/>
        <v>6</v>
      </c>
      <c r="B14" t="s">
        <v>755</v>
      </c>
      <c r="C14" s="317">
        <f>SUMIF('JKP-8.4c - Customer List'!$B$5:$B$177,'JKP-8.4c - Direct 380'!B14,'JKP-8.4c - Customer List'!$L$5:$L$177)</f>
        <v>42560.75361033035</v>
      </c>
      <c r="D14" s="318">
        <f t="shared" si="0"/>
        <v>8.6693973395935101E-3</v>
      </c>
      <c r="E14" s="222">
        <f t="shared" si="1"/>
        <v>24137.753992355149</v>
      </c>
      <c r="F14" s="222">
        <f t="shared" si="2"/>
        <v>-10214.551999410038</v>
      </c>
      <c r="H14" s="301"/>
    </row>
    <row r="15" spans="1:8" x14ac:dyDescent="0.2">
      <c r="A15" s="17">
        <f t="shared" si="3"/>
        <v>7</v>
      </c>
      <c r="B15" t="s">
        <v>754</v>
      </c>
      <c r="C15" s="317">
        <f>SUMIF('JKP-8.4c - Customer List'!$B$5:$B$177,'JKP-8.4c - Direct 380'!B15,'JKP-8.4c - Customer List'!$L$5:$L$177)</f>
        <v>60276.296412084688</v>
      </c>
      <c r="D15" s="318">
        <f t="shared" si="0"/>
        <v>1.2277958434190913E-2</v>
      </c>
      <c r="E15" s="222">
        <f t="shared" si="1"/>
        <v>34184.883747266111</v>
      </c>
      <c r="F15" s="222">
        <f t="shared" si="2"/>
        <v>-14466.270256165062</v>
      </c>
      <c r="H15" s="301"/>
    </row>
    <row r="16" spans="1:8" x14ac:dyDescent="0.2">
      <c r="A16" s="17">
        <f t="shared" si="3"/>
        <v>8</v>
      </c>
      <c r="B16" t="s">
        <v>749</v>
      </c>
      <c r="C16" s="317">
        <f>SUMIF('JKP-8.4c - Customer List'!$B$5:$B$177,'JKP-8.4c - Direct 380'!B16,'JKP-8.4c - Customer List'!$L$5:$L$177)</f>
        <v>375047.72381912457</v>
      </c>
      <c r="D16" s="318">
        <f t="shared" si="0"/>
        <v>7.639521068792661E-2</v>
      </c>
      <c r="E16" s="222">
        <f t="shared" si="1"/>
        <v>212703.22832680025</v>
      </c>
      <c r="F16" s="222">
        <f t="shared" si="2"/>
        <v>-90011.199338372971</v>
      </c>
      <c r="H16" s="301"/>
    </row>
    <row r="17" spans="1:8" x14ac:dyDescent="0.2">
      <c r="A17" s="17">
        <f t="shared" si="3"/>
        <v>9</v>
      </c>
      <c r="B17" s="42" t="s">
        <v>745</v>
      </c>
      <c r="C17" s="317">
        <f>SUMIF('JKP-8.4c - Customer List'!$B$5:$B$177,'JKP-8.4c - Direct 380'!B17,'JKP-8.4c - Customer List'!$L$5:$L$177)</f>
        <v>451649.76727850828</v>
      </c>
      <c r="D17" s="319">
        <f t="shared" si="0"/>
        <v>9.1998636272313319E-2</v>
      </c>
      <c r="E17" s="233">
        <f>D17*$C$27</f>
        <v>256147.03802206638</v>
      </c>
      <c r="F17" s="233">
        <f t="shared" si="2"/>
        <v>-108395.63781286053</v>
      </c>
      <c r="H17" s="301"/>
    </row>
    <row r="18" spans="1:8" x14ac:dyDescent="0.2">
      <c r="A18" s="17">
        <f t="shared" si="3"/>
        <v>10</v>
      </c>
      <c r="B18" s="10" t="s">
        <v>23</v>
      </c>
      <c r="C18" s="320">
        <f>SUM(C9:C17)</f>
        <v>4909309.3721698001</v>
      </c>
      <c r="D18" s="225">
        <f>SUM(D9:D17)</f>
        <v>1.0000000000000002</v>
      </c>
      <c r="E18" s="321">
        <f>SUM(E9:E17)</f>
        <v>2784248.206287303</v>
      </c>
      <c r="F18" s="321">
        <f>SUM(F9:F17)</f>
        <v>-1178230.9195542047</v>
      </c>
      <c r="H18" s="301"/>
    </row>
    <row r="19" spans="1:8" x14ac:dyDescent="0.2">
      <c r="A19" s="17">
        <f t="shared" si="3"/>
        <v>11</v>
      </c>
      <c r="B19" s="10" t="s">
        <v>131</v>
      </c>
      <c r="C19" s="321">
        <f>C18-'JKP-8.4c - Schedule 85'!K141-'JKP-8.4c - Customer List'!L178</f>
        <v>0</v>
      </c>
    </row>
    <row r="21" spans="1:8" x14ac:dyDescent="0.2">
      <c r="A21" s="17">
        <f>A19+1</f>
        <v>12</v>
      </c>
      <c r="B21" t="s">
        <v>414</v>
      </c>
      <c r="C21" s="322">
        <f>'JKP-8.4c - Total Costs'!B53</f>
        <v>1256474485.5417304</v>
      </c>
    </row>
    <row r="23" spans="1:8" x14ac:dyDescent="0.2">
      <c r="A23" s="17">
        <f>A21+1</f>
        <v>13</v>
      </c>
      <c r="B23" t="s">
        <v>779</v>
      </c>
      <c r="C23">
        <f>C18/C21</f>
        <v>3.9072097592599709E-3</v>
      </c>
    </row>
    <row r="25" spans="1:8" x14ac:dyDescent="0.2">
      <c r="A25" s="17">
        <f>A23+1</f>
        <v>14</v>
      </c>
      <c r="B25" t="s">
        <v>780</v>
      </c>
      <c r="C25" s="29">
        <v>712592458.00374997</v>
      </c>
    </row>
    <row r="26" spans="1:8" x14ac:dyDescent="0.2">
      <c r="C26" s="9"/>
    </row>
    <row r="27" spans="1:8" ht="13.5" thickBot="1" x14ac:dyDescent="0.25">
      <c r="A27" s="17">
        <f>A25+1</f>
        <v>15</v>
      </c>
      <c r="B27" t="s">
        <v>781</v>
      </c>
      <c r="C27" s="323">
        <f>C25*C23</f>
        <v>2784248.206287303</v>
      </c>
    </row>
    <row r="28" spans="1:8" ht="13.5" thickTop="1" x14ac:dyDescent="0.2">
      <c r="C28" s="9"/>
    </row>
    <row r="29" spans="1:8" x14ac:dyDescent="0.2">
      <c r="A29" s="17">
        <f>A27+1</f>
        <v>16</v>
      </c>
      <c r="B29" t="s">
        <v>782</v>
      </c>
      <c r="C29" s="324">
        <v>-301553024.319166</v>
      </c>
    </row>
    <row r="31" spans="1:8" ht="13.5" thickBot="1" x14ac:dyDescent="0.25">
      <c r="A31" s="17">
        <f>A29+1</f>
        <v>17</v>
      </c>
      <c r="B31" t="s">
        <v>783</v>
      </c>
      <c r="C31" s="325">
        <f>C29*C23</f>
        <v>-1178230.9195542047</v>
      </c>
    </row>
    <row r="32" spans="1:8" ht="13.5" thickTop="1" x14ac:dyDescent="0.2">
      <c r="H32" s="301"/>
    </row>
    <row r="33" spans="8:10" x14ac:dyDescent="0.2">
      <c r="H33" s="301"/>
    </row>
    <row r="34" spans="8:10" x14ac:dyDescent="0.2">
      <c r="H34" s="301"/>
    </row>
    <row r="35" spans="8:10" x14ac:dyDescent="0.2">
      <c r="H35" s="301"/>
      <c r="J35" s="301"/>
    </row>
    <row r="36" spans="8:10" x14ac:dyDescent="0.2">
      <c r="H36" s="301"/>
      <c r="J36" s="301"/>
    </row>
    <row r="37" spans="8:10" x14ac:dyDescent="0.2">
      <c r="H37" s="301"/>
      <c r="J37" s="301"/>
    </row>
    <row r="38" spans="8:10" x14ac:dyDescent="0.2">
      <c r="H38" s="301"/>
      <c r="J38" s="301"/>
    </row>
    <row r="39" spans="8:10" x14ac:dyDescent="0.2">
      <c r="H39" s="301"/>
      <c r="J39" s="301"/>
    </row>
    <row r="40" spans="8:10" x14ac:dyDescent="0.2">
      <c r="H40" s="301"/>
      <c r="J40" s="301"/>
    </row>
    <row r="41" spans="8:10" x14ac:dyDescent="0.2">
      <c r="H41" s="301"/>
      <c r="J41" s="301"/>
    </row>
    <row r="42" spans="8:10" x14ac:dyDescent="0.2">
      <c r="H42" s="301"/>
      <c r="J42" s="301"/>
    </row>
    <row r="43" spans="8:10" x14ac:dyDescent="0.2">
      <c r="H43" s="301"/>
      <c r="J43" s="301"/>
    </row>
    <row r="44" spans="8:10" x14ac:dyDescent="0.2">
      <c r="H44" s="301"/>
      <c r="J44" s="301"/>
    </row>
    <row r="45" spans="8:10" x14ac:dyDescent="0.2">
      <c r="H45" s="301"/>
      <c r="J45" s="301"/>
    </row>
    <row r="46" spans="8:10" x14ac:dyDescent="0.2">
      <c r="H46" s="301"/>
      <c r="J46" s="301"/>
    </row>
    <row r="47" spans="8:10" x14ac:dyDescent="0.2">
      <c r="H47" s="301"/>
      <c r="J47" s="301"/>
    </row>
    <row r="48" spans="8:10" x14ac:dyDescent="0.2">
      <c r="H48" s="301"/>
      <c r="J48" s="301"/>
    </row>
    <row r="49" spans="8:10" x14ac:dyDescent="0.2">
      <c r="H49" s="301"/>
      <c r="J49" s="301"/>
    </row>
    <row r="50" spans="8:10" x14ac:dyDescent="0.2">
      <c r="H50" s="301"/>
      <c r="J50" s="301"/>
    </row>
    <row r="51" spans="8:10" x14ac:dyDescent="0.2">
      <c r="H51" s="301"/>
      <c r="J51" s="301"/>
    </row>
    <row r="52" spans="8:10" x14ac:dyDescent="0.2">
      <c r="H52" s="301"/>
      <c r="J52" s="301"/>
    </row>
    <row r="53" spans="8:10" x14ac:dyDescent="0.2">
      <c r="H53" s="301"/>
      <c r="J53" s="301"/>
    </row>
    <row r="54" spans="8:10" x14ac:dyDescent="0.2">
      <c r="H54" s="301"/>
      <c r="J54" s="301"/>
    </row>
    <row r="55" spans="8:10" x14ac:dyDescent="0.2">
      <c r="H55" s="301"/>
      <c r="J55" s="301"/>
    </row>
    <row r="56" spans="8:10" x14ac:dyDescent="0.2">
      <c r="H56" s="301"/>
      <c r="J56" s="301"/>
    </row>
    <row r="57" spans="8:10" x14ac:dyDescent="0.2">
      <c r="H57" s="301"/>
      <c r="J57" s="301"/>
    </row>
    <row r="58" spans="8:10" x14ac:dyDescent="0.2">
      <c r="H58" s="301"/>
      <c r="J58" s="301"/>
    </row>
    <row r="59" spans="8:10" x14ac:dyDescent="0.2">
      <c r="H59" s="301"/>
      <c r="J59" s="301"/>
    </row>
    <row r="60" spans="8:10" x14ac:dyDescent="0.2">
      <c r="H60" s="301"/>
      <c r="J60" s="301"/>
    </row>
    <row r="61" spans="8:10" x14ac:dyDescent="0.2">
      <c r="H61" s="301"/>
      <c r="J61" s="301"/>
    </row>
    <row r="62" spans="8:10" x14ac:dyDescent="0.2">
      <c r="H62" s="301"/>
      <c r="J62" s="301"/>
    </row>
    <row r="63" spans="8:10" x14ac:dyDescent="0.2">
      <c r="H63" s="301"/>
      <c r="J63" s="301"/>
    </row>
    <row r="64" spans="8:10" x14ac:dyDescent="0.2">
      <c r="H64" s="301"/>
      <c r="J64" s="301"/>
    </row>
    <row r="65" spans="8:10" x14ac:dyDescent="0.2">
      <c r="H65" s="301"/>
      <c r="J65" s="301"/>
    </row>
    <row r="66" spans="8:10" x14ac:dyDescent="0.2">
      <c r="H66" s="301"/>
      <c r="J66" s="301"/>
    </row>
    <row r="67" spans="8:10" x14ac:dyDescent="0.2">
      <c r="H67" s="301"/>
      <c r="J67" s="301"/>
    </row>
    <row r="68" spans="8:10" x14ac:dyDescent="0.2">
      <c r="H68" s="301"/>
      <c r="J68" s="301"/>
    </row>
    <row r="69" spans="8:10" x14ac:dyDescent="0.2">
      <c r="H69" s="301"/>
      <c r="J69" s="301"/>
    </row>
    <row r="70" spans="8:10" x14ac:dyDescent="0.2">
      <c r="H70" s="301"/>
      <c r="J70" s="301"/>
    </row>
    <row r="71" spans="8:10" x14ac:dyDescent="0.2">
      <c r="H71" s="301"/>
      <c r="J71" s="301"/>
    </row>
    <row r="72" spans="8:10" x14ac:dyDescent="0.2">
      <c r="H72" s="301"/>
      <c r="J72" s="301"/>
    </row>
    <row r="73" spans="8:10" x14ac:dyDescent="0.2">
      <c r="H73" s="301"/>
      <c r="J73" s="301"/>
    </row>
    <row r="74" spans="8:10" x14ac:dyDescent="0.2">
      <c r="H74" s="301"/>
      <c r="J74" s="301"/>
    </row>
    <row r="75" spans="8:10" x14ac:dyDescent="0.2">
      <c r="H75" s="301"/>
      <c r="J75" s="301"/>
    </row>
    <row r="76" spans="8:10" x14ac:dyDescent="0.2">
      <c r="H76" s="301"/>
      <c r="J76" s="301"/>
    </row>
    <row r="77" spans="8:10" x14ac:dyDescent="0.2">
      <c r="H77" s="301"/>
      <c r="J77" s="301"/>
    </row>
    <row r="78" spans="8:10" x14ac:dyDescent="0.2">
      <c r="H78" s="301"/>
      <c r="J78" s="301"/>
    </row>
    <row r="79" spans="8:10" x14ac:dyDescent="0.2">
      <c r="H79" s="301"/>
      <c r="J79" s="301"/>
    </row>
    <row r="80" spans="8:10" x14ac:dyDescent="0.2">
      <c r="H80" s="301"/>
      <c r="J80" s="301"/>
    </row>
    <row r="81" spans="8:10" x14ac:dyDescent="0.2">
      <c r="H81" s="301"/>
      <c r="J81" s="301"/>
    </row>
    <row r="82" spans="8:10" x14ac:dyDescent="0.2">
      <c r="H82" s="301"/>
      <c r="J82" s="301"/>
    </row>
    <row r="83" spans="8:10" x14ac:dyDescent="0.2">
      <c r="H83" s="301"/>
      <c r="J83" s="301"/>
    </row>
    <row r="84" spans="8:10" x14ac:dyDescent="0.2">
      <c r="H84" s="301"/>
      <c r="J84" s="301"/>
    </row>
    <row r="85" spans="8:10" x14ac:dyDescent="0.2">
      <c r="H85" s="301"/>
      <c r="J85" s="301"/>
    </row>
    <row r="86" spans="8:10" x14ac:dyDescent="0.2">
      <c r="H86" s="301"/>
      <c r="J86" s="301"/>
    </row>
    <row r="87" spans="8:10" x14ac:dyDescent="0.2">
      <c r="H87" s="301"/>
      <c r="J87" s="301"/>
    </row>
    <row r="88" spans="8:10" x14ac:dyDescent="0.2">
      <c r="H88" s="301"/>
      <c r="J88" s="301"/>
    </row>
    <row r="89" spans="8:10" x14ac:dyDescent="0.2">
      <c r="H89" s="301"/>
      <c r="J89" s="301"/>
    </row>
    <row r="90" spans="8:10" x14ac:dyDescent="0.2">
      <c r="H90" s="301"/>
      <c r="J90" s="301"/>
    </row>
    <row r="91" spans="8:10" x14ac:dyDescent="0.2">
      <c r="H91" s="301"/>
      <c r="J91" s="301"/>
    </row>
    <row r="92" spans="8:10" x14ac:dyDescent="0.2">
      <c r="H92" s="301"/>
      <c r="J92" s="301"/>
    </row>
    <row r="93" spans="8:10" x14ac:dyDescent="0.2">
      <c r="H93" s="301"/>
      <c r="J93" s="301"/>
    </row>
    <row r="94" spans="8:10" x14ac:dyDescent="0.2">
      <c r="H94" s="301"/>
      <c r="J94" s="301"/>
    </row>
    <row r="95" spans="8:10" x14ac:dyDescent="0.2">
      <c r="H95" s="301"/>
      <c r="J95" s="301"/>
    </row>
    <row r="96" spans="8:10" x14ac:dyDescent="0.2">
      <c r="H96" s="301"/>
      <c r="J96" s="301"/>
    </row>
    <row r="97" spans="8:10" x14ac:dyDescent="0.2">
      <c r="H97" s="301"/>
      <c r="J97" s="301"/>
    </row>
    <row r="98" spans="8:10" x14ac:dyDescent="0.2">
      <c r="H98" s="301"/>
      <c r="J98" s="301"/>
    </row>
    <row r="99" spans="8:10" x14ac:dyDescent="0.2">
      <c r="H99" s="301"/>
      <c r="J99" s="301"/>
    </row>
    <row r="100" spans="8:10" x14ac:dyDescent="0.2">
      <c r="H100" s="301"/>
      <c r="J100" s="301"/>
    </row>
    <row r="101" spans="8:10" x14ac:dyDescent="0.2">
      <c r="H101" s="301"/>
      <c r="J101" s="301"/>
    </row>
    <row r="102" spans="8:10" x14ac:dyDescent="0.2">
      <c r="H102" s="301"/>
      <c r="J102" s="301"/>
    </row>
    <row r="103" spans="8:10" x14ac:dyDescent="0.2">
      <c r="H103" s="301"/>
      <c r="J103" s="301"/>
    </row>
    <row r="104" spans="8:10" x14ac:dyDescent="0.2">
      <c r="H104" s="301"/>
      <c r="J104" s="301"/>
    </row>
    <row r="105" spans="8:10" x14ac:dyDescent="0.2">
      <c r="H105" s="301"/>
      <c r="J105" s="301"/>
    </row>
    <row r="106" spans="8:10" x14ac:dyDescent="0.2">
      <c r="H106" s="301"/>
      <c r="J106" s="301"/>
    </row>
    <row r="107" spans="8:10" x14ac:dyDescent="0.2">
      <c r="H107" s="301"/>
      <c r="J107" s="301"/>
    </row>
    <row r="108" spans="8:10" x14ac:dyDescent="0.2">
      <c r="H108" s="301"/>
      <c r="J108" s="301"/>
    </row>
    <row r="109" spans="8:10" x14ac:dyDescent="0.2">
      <c r="H109" s="301"/>
      <c r="J109" s="301"/>
    </row>
    <row r="110" spans="8:10" x14ac:dyDescent="0.2">
      <c r="H110" s="301"/>
      <c r="J110" s="301"/>
    </row>
    <row r="111" spans="8:10" x14ac:dyDescent="0.2">
      <c r="H111" s="301"/>
      <c r="J111" s="301"/>
    </row>
    <row r="112" spans="8:10" x14ac:dyDescent="0.2">
      <c r="H112" s="301"/>
      <c r="J112" s="301"/>
    </row>
    <row r="113" spans="8:10" x14ac:dyDescent="0.2">
      <c r="H113" s="301"/>
      <c r="J113" s="301"/>
    </row>
    <row r="114" spans="8:10" x14ac:dyDescent="0.2">
      <c r="H114" s="301"/>
      <c r="J114" s="301"/>
    </row>
    <row r="115" spans="8:10" x14ac:dyDescent="0.2">
      <c r="H115" s="301"/>
      <c r="J115" s="301"/>
    </row>
    <row r="116" spans="8:10" x14ac:dyDescent="0.2">
      <c r="H116" s="301"/>
      <c r="J116" s="301"/>
    </row>
    <row r="117" spans="8:10" x14ac:dyDescent="0.2">
      <c r="H117" s="301"/>
      <c r="J117" s="301"/>
    </row>
    <row r="118" spans="8:10" x14ac:dyDescent="0.2">
      <c r="H118" s="301"/>
      <c r="J118" s="301"/>
    </row>
    <row r="119" spans="8:10" x14ac:dyDescent="0.2">
      <c r="H119" s="301"/>
      <c r="J119" s="301"/>
    </row>
    <row r="120" spans="8:10" x14ac:dyDescent="0.2">
      <c r="H120" s="301"/>
      <c r="J120" s="301"/>
    </row>
    <row r="121" spans="8:10" x14ac:dyDescent="0.2">
      <c r="H121" s="301"/>
      <c r="J121" s="301"/>
    </row>
    <row r="122" spans="8:10" x14ac:dyDescent="0.2">
      <c r="H122" s="301"/>
      <c r="J122" s="301"/>
    </row>
    <row r="123" spans="8:10" x14ac:dyDescent="0.2">
      <c r="H123" s="301"/>
      <c r="J123" s="301"/>
    </row>
    <row r="124" spans="8:10" x14ac:dyDescent="0.2">
      <c r="H124" s="301"/>
      <c r="J124" s="301"/>
    </row>
    <row r="125" spans="8:10" x14ac:dyDescent="0.2">
      <c r="H125" s="301"/>
      <c r="J125" s="301"/>
    </row>
    <row r="126" spans="8:10" x14ac:dyDescent="0.2">
      <c r="H126" s="301"/>
      <c r="J126" s="301"/>
    </row>
    <row r="127" spans="8:10" x14ac:dyDescent="0.2">
      <c r="H127" s="301"/>
      <c r="J127" s="301"/>
    </row>
    <row r="128" spans="8:10" x14ac:dyDescent="0.2">
      <c r="H128" s="301"/>
      <c r="J128" s="301"/>
    </row>
    <row r="129" spans="8:10" x14ac:dyDescent="0.2">
      <c r="H129" s="301"/>
      <c r="J129" s="301"/>
    </row>
    <row r="130" spans="8:10" x14ac:dyDescent="0.2">
      <c r="H130" s="301"/>
      <c r="J130" s="301"/>
    </row>
    <row r="131" spans="8:10" x14ac:dyDescent="0.2">
      <c r="H131" s="301"/>
      <c r="J131" s="301"/>
    </row>
    <row r="132" spans="8:10" x14ac:dyDescent="0.2">
      <c r="H132" s="301"/>
      <c r="J132" s="301"/>
    </row>
    <row r="133" spans="8:10" x14ac:dyDescent="0.2">
      <c r="H133" s="301"/>
      <c r="J133" s="301"/>
    </row>
    <row r="134" spans="8:10" x14ac:dyDescent="0.2">
      <c r="H134" s="301"/>
      <c r="J134" s="301"/>
    </row>
    <row r="135" spans="8:10" x14ac:dyDescent="0.2">
      <c r="H135" s="301"/>
      <c r="J135" s="301"/>
    </row>
    <row r="136" spans="8:10" x14ac:dyDescent="0.2">
      <c r="H136" s="301"/>
      <c r="J136" s="301"/>
    </row>
    <row r="137" spans="8:10" x14ac:dyDescent="0.2">
      <c r="H137" s="301"/>
      <c r="J137" s="301"/>
    </row>
    <row r="138" spans="8:10" x14ac:dyDescent="0.2">
      <c r="H138" s="301"/>
      <c r="J138" s="301"/>
    </row>
    <row r="139" spans="8:10" x14ac:dyDescent="0.2">
      <c r="H139" s="301"/>
      <c r="J139" s="301"/>
    </row>
    <row r="140" spans="8:10" x14ac:dyDescent="0.2">
      <c r="H140" s="301"/>
      <c r="J140" s="301"/>
    </row>
    <row r="141" spans="8:10" x14ac:dyDescent="0.2">
      <c r="H141" s="301"/>
      <c r="J141" s="301"/>
    </row>
    <row r="142" spans="8:10" x14ac:dyDescent="0.2">
      <c r="H142" s="301"/>
      <c r="J142" s="301"/>
    </row>
    <row r="143" spans="8:10" x14ac:dyDescent="0.2">
      <c r="H143" s="301"/>
      <c r="J143" s="301"/>
    </row>
    <row r="144" spans="8:10" x14ac:dyDescent="0.2">
      <c r="H144" s="301"/>
      <c r="J144" s="301"/>
    </row>
    <row r="145" spans="8:10" x14ac:dyDescent="0.2">
      <c r="H145" s="301"/>
      <c r="J145" s="301"/>
    </row>
    <row r="146" spans="8:10" x14ac:dyDescent="0.2">
      <c r="H146" s="301"/>
      <c r="J146" s="301"/>
    </row>
    <row r="147" spans="8:10" x14ac:dyDescent="0.2">
      <c r="H147" s="301"/>
      <c r="J147" s="301"/>
    </row>
    <row r="148" spans="8:10" x14ac:dyDescent="0.2">
      <c r="H148" s="301"/>
      <c r="J148" s="301"/>
    </row>
    <row r="149" spans="8:10" x14ac:dyDescent="0.2">
      <c r="H149" s="301"/>
      <c r="J149" s="301"/>
    </row>
    <row r="150" spans="8:10" x14ac:dyDescent="0.2">
      <c r="H150" s="301"/>
      <c r="J150" s="301"/>
    </row>
    <row r="151" spans="8:10" x14ac:dyDescent="0.2">
      <c r="H151" s="301"/>
      <c r="J151" s="301"/>
    </row>
    <row r="152" spans="8:10" x14ac:dyDescent="0.2">
      <c r="H152" s="301"/>
      <c r="J152" s="301"/>
    </row>
    <row r="153" spans="8:10" x14ac:dyDescent="0.2">
      <c r="H153" s="301"/>
      <c r="J153" s="301"/>
    </row>
    <row r="154" spans="8:10" x14ac:dyDescent="0.2">
      <c r="H154" s="301"/>
      <c r="J154" s="301"/>
    </row>
    <row r="155" spans="8:10" x14ac:dyDescent="0.2">
      <c r="H155" s="301"/>
      <c r="J155" s="301"/>
    </row>
    <row r="156" spans="8:10" x14ac:dyDescent="0.2">
      <c r="H156" s="301"/>
      <c r="J156" s="301"/>
    </row>
    <row r="157" spans="8:10" x14ac:dyDescent="0.2">
      <c r="H157" s="301"/>
      <c r="J157" s="301"/>
    </row>
    <row r="158" spans="8:10" x14ac:dyDescent="0.2">
      <c r="H158" s="301"/>
      <c r="J158" s="301"/>
    </row>
    <row r="159" spans="8:10" x14ac:dyDescent="0.2">
      <c r="H159" s="301"/>
      <c r="J159" s="301"/>
    </row>
    <row r="160" spans="8:10" x14ac:dyDescent="0.2">
      <c r="H160" s="301"/>
      <c r="J160" s="301"/>
    </row>
    <row r="161" spans="8:10" x14ac:dyDescent="0.2">
      <c r="H161" s="301"/>
      <c r="J161" s="301"/>
    </row>
    <row r="162" spans="8:10" x14ac:dyDescent="0.2">
      <c r="H162" s="301"/>
      <c r="J162" s="301"/>
    </row>
    <row r="163" spans="8:10" x14ac:dyDescent="0.2">
      <c r="H163" s="301"/>
      <c r="J163" s="301"/>
    </row>
    <row r="164" spans="8:10" x14ac:dyDescent="0.2">
      <c r="H164" s="301"/>
      <c r="J164" s="301"/>
    </row>
    <row r="165" spans="8:10" x14ac:dyDescent="0.2">
      <c r="H165" s="301"/>
      <c r="J165" s="301"/>
    </row>
    <row r="166" spans="8:10" x14ac:dyDescent="0.2">
      <c r="H166" s="301"/>
      <c r="J166" s="301"/>
    </row>
    <row r="167" spans="8:10" x14ac:dyDescent="0.2">
      <c r="H167" s="301"/>
      <c r="J167" s="301"/>
    </row>
    <row r="168" spans="8:10" x14ac:dyDescent="0.2">
      <c r="H168" s="301"/>
      <c r="J168" s="301"/>
    </row>
    <row r="169" spans="8:10" x14ac:dyDescent="0.2">
      <c r="H169" s="301"/>
      <c r="J169" s="301"/>
    </row>
    <row r="170" spans="8:10" x14ac:dyDescent="0.2">
      <c r="H170" s="301"/>
      <c r="J170" s="301"/>
    </row>
    <row r="171" spans="8:10" x14ac:dyDescent="0.2">
      <c r="H171" s="301"/>
      <c r="J171" s="301"/>
    </row>
    <row r="172" spans="8:10" x14ac:dyDescent="0.2">
      <c r="H172" s="301"/>
      <c r="J172" s="301"/>
    </row>
    <row r="173" spans="8:10" x14ac:dyDescent="0.2">
      <c r="H173" s="301"/>
      <c r="J173" s="301"/>
    </row>
    <row r="174" spans="8:10" x14ac:dyDescent="0.2">
      <c r="H174" s="301"/>
      <c r="J174" s="301"/>
    </row>
    <row r="175" spans="8:10" x14ac:dyDescent="0.2">
      <c r="H175" s="301"/>
      <c r="J175" s="301"/>
    </row>
    <row r="176" spans="8:10" x14ac:dyDescent="0.2">
      <c r="H176" s="301"/>
      <c r="J176" s="301"/>
    </row>
    <row r="177" spans="8:10" x14ac:dyDescent="0.2">
      <c r="H177" s="301"/>
      <c r="J177" s="301"/>
    </row>
    <row r="178" spans="8:10" x14ac:dyDescent="0.2">
      <c r="H178" s="301"/>
      <c r="J178" s="301"/>
    </row>
    <row r="179" spans="8:10" x14ac:dyDescent="0.2">
      <c r="H179" s="301"/>
      <c r="J179" s="301"/>
    </row>
    <row r="180" spans="8:10" x14ac:dyDescent="0.2">
      <c r="H180" s="301"/>
      <c r="J180" s="301"/>
    </row>
    <row r="181" spans="8:10" x14ac:dyDescent="0.2">
      <c r="H181" s="301"/>
      <c r="J181" s="301"/>
    </row>
    <row r="182" spans="8:10" x14ac:dyDescent="0.2">
      <c r="H182" s="301"/>
      <c r="J182" s="301"/>
    </row>
    <row r="183" spans="8:10" x14ac:dyDescent="0.2">
      <c r="H183" s="301"/>
      <c r="J183" s="301"/>
    </row>
    <row r="184" spans="8:10" x14ac:dyDescent="0.2">
      <c r="H184" s="301"/>
      <c r="J184" s="301"/>
    </row>
    <row r="185" spans="8:10" x14ac:dyDescent="0.2">
      <c r="H185" s="301"/>
      <c r="J185" s="301"/>
    </row>
    <row r="186" spans="8:10" x14ac:dyDescent="0.2">
      <c r="H186" s="301"/>
      <c r="J186" s="301"/>
    </row>
    <row r="187" spans="8:10" x14ac:dyDescent="0.2">
      <c r="H187" s="301"/>
      <c r="J187" s="301"/>
    </row>
    <row r="188" spans="8:10" x14ac:dyDescent="0.2">
      <c r="H188" s="301"/>
      <c r="J188" s="301"/>
    </row>
    <row r="189" spans="8:10" x14ac:dyDescent="0.2">
      <c r="H189" s="301"/>
      <c r="J189" s="301"/>
    </row>
    <row r="190" spans="8:10" x14ac:dyDescent="0.2">
      <c r="H190" s="301"/>
      <c r="J190" s="301"/>
    </row>
    <row r="191" spans="8:10" x14ac:dyDescent="0.2">
      <c r="H191" s="301"/>
      <c r="J191" s="301"/>
    </row>
    <row r="192" spans="8:10" x14ac:dyDescent="0.2">
      <c r="H192" s="301"/>
      <c r="J192" s="301"/>
    </row>
    <row r="193" spans="8:10" x14ac:dyDescent="0.2">
      <c r="H193" s="301"/>
      <c r="J193" s="301"/>
    </row>
    <row r="194" spans="8:10" x14ac:dyDescent="0.2">
      <c r="H194" s="301"/>
      <c r="J194" s="301"/>
    </row>
    <row r="195" spans="8:10" x14ac:dyDescent="0.2">
      <c r="H195" s="301"/>
      <c r="J195" s="301"/>
    </row>
    <row r="196" spans="8:10" x14ac:dyDescent="0.2">
      <c r="H196" s="301"/>
      <c r="J196" s="301"/>
    </row>
    <row r="197" spans="8:10" x14ac:dyDescent="0.2">
      <c r="H197" s="301"/>
      <c r="J197" s="301"/>
    </row>
    <row r="198" spans="8:10" x14ac:dyDescent="0.2">
      <c r="H198" s="301"/>
      <c r="J198" s="301"/>
    </row>
    <row r="199" spans="8:10" x14ac:dyDescent="0.2">
      <c r="H199" s="301"/>
      <c r="J199" s="301"/>
    </row>
    <row r="200" spans="8:10" x14ac:dyDescent="0.2">
      <c r="H200" s="301"/>
      <c r="J200" s="301"/>
    </row>
    <row r="201" spans="8:10" x14ac:dyDescent="0.2">
      <c r="H201" s="301"/>
      <c r="J201" s="301"/>
    </row>
    <row r="202" spans="8:10" x14ac:dyDescent="0.2">
      <c r="H202" s="301"/>
      <c r="J202" s="301"/>
    </row>
    <row r="203" spans="8:10" x14ac:dyDescent="0.2">
      <c r="H203" s="301"/>
      <c r="J203" s="301"/>
    </row>
    <row r="204" spans="8:10" x14ac:dyDescent="0.2">
      <c r="H204" s="301"/>
      <c r="J204" s="301"/>
    </row>
    <row r="205" spans="8:10" x14ac:dyDescent="0.2">
      <c r="H205" s="301"/>
      <c r="J205" s="301"/>
    </row>
    <row r="206" spans="8:10" x14ac:dyDescent="0.2">
      <c r="H206" s="301"/>
      <c r="J206" s="301"/>
    </row>
    <row r="207" spans="8:10" x14ac:dyDescent="0.2">
      <c r="H207" s="301"/>
      <c r="J207" s="301"/>
    </row>
    <row r="208" spans="8:10" x14ac:dyDescent="0.2">
      <c r="H208" s="301"/>
      <c r="J208" s="301"/>
    </row>
    <row r="209" spans="8:10" x14ac:dyDescent="0.2">
      <c r="H209" s="301"/>
      <c r="J209" s="301"/>
    </row>
    <row r="210" spans="8:10" x14ac:dyDescent="0.2">
      <c r="H210" s="301"/>
      <c r="J210" s="301"/>
    </row>
    <row r="211" spans="8:10" x14ac:dyDescent="0.2">
      <c r="H211" s="301"/>
      <c r="J211" s="301"/>
    </row>
    <row r="212" spans="8:10" x14ac:dyDescent="0.2">
      <c r="H212" s="301"/>
      <c r="J212" s="301"/>
    </row>
    <row r="213" spans="8:10" x14ac:dyDescent="0.2">
      <c r="H213" s="301"/>
      <c r="J213" s="301"/>
    </row>
    <row r="214" spans="8:10" x14ac:dyDescent="0.2">
      <c r="H214" s="301"/>
      <c r="J214" s="301"/>
    </row>
    <row r="215" spans="8:10" x14ac:dyDescent="0.2">
      <c r="H215" s="301"/>
      <c r="J215" s="301"/>
    </row>
    <row r="216" spans="8:10" x14ac:dyDescent="0.2">
      <c r="J216" s="301"/>
    </row>
    <row r="217" spans="8:10" x14ac:dyDescent="0.2">
      <c r="J217" s="301"/>
    </row>
    <row r="218" spans="8:10" x14ac:dyDescent="0.2">
      <c r="J218" s="301"/>
    </row>
  </sheetData>
  <mergeCells count="3">
    <mergeCell ref="A1:F1"/>
    <mergeCell ref="A2:F2"/>
    <mergeCell ref="A3:F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59999389629810485"/>
    <pageSetUpPr fitToPage="1"/>
  </sheetPr>
  <dimension ref="A1:Q219"/>
  <sheetViews>
    <sheetView topLeftCell="A2" workbookViewId="0">
      <selection activeCell="Q18" sqref="Q18"/>
    </sheetView>
  </sheetViews>
  <sheetFormatPr defaultRowHeight="12.75" x14ac:dyDescent="0.2"/>
  <cols>
    <col min="1" max="1" width="2.42578125" style="1502" customWidth="1"/>
    <col min="2" max="2" width="4.28515625" style="1502" bestFit="1" customWidth="1"/>
    <col min="3" max="3" width="29.42578125" style="1502" customWidth="1"/>
    <col min="4" max="4" width="7.28515625" style="1502" bestFit="1" customWidth="1"/>
    <col min="5" max="5" width="11.140625" style="1502" bestFit="1" customWidth="1"/>
    <col min="6" max="6" width="9.140625" style="1502" bestFit="1" customWidth="1"/>
    <col min="7" max="7" width="13.28515625" style="1635" bestFit="1" customWidth="1"/>
    <col min="8" max="8" width="6" style="1626" customWidth="1"/>
    <col min="9" max="9" width="9.140625" style="1472" bestFit="1" customWidth="1"/>
    <col min="10" max="10" width="13.28515625" style="1635" bestFit="1" customWidth="1"/>
    <col min="11" max="11" width="2.28515625" style="1635" customWidth="1"/>
    <col min="12" max="12" width="8.7109375" style="1635" customWidth="1"/>
    <col min="13" max="13" width="10.42578125" style="1679" customWidth="1"/>
    <col min="14" max="14" width="2" style="1664" customWidth="1"/>
    <col min="15" max="15" width="13.7109375" style="1502" bestFit="1" customWidth="1"/>
    <col min="16" max="16" width="2.28515625" style="1502" customWidth="1"/>
    <col min="17" max="17" width="9" style="1643" bestFit="1" customWidth="1"/>
    <col min="18" max="16384" width="9.140625" style="1502"/>
  </cols>
  <sheetData>
    <row r="1" spans="1:17" ht="12.75" hidden="1" customHeight="1" x14ac:dyDescent="0.2">
      <c r="M1" s="1836">
        <f>'Exhibit No._(CTM-4), Pg. 3'!M1+1</f>
        <v>4</v>
      </c>
    </row>
    <row r="2" spans="1:17" x14ac:dyDescent="0.2">
      <c r="A2" s="1830"/>
      <c r="B2" s="1834"/>
      <c r="C2" s="1830"/>
      <c r="D2" s="1830"/>
      <c r="E2" s="1830"/>
      <c r="F2" s="1830"/>
      <c r="G2" s="1830"/>
      <c r="H2" s="1830"/>
      <c r="I2" s="1830"/>
      <c r="J2" s="1830"/>
      <c r="K2" s="1830"/>
      <c r="M2" s="1826" t="str">
        <f>'Exhibit No._(CTM-4), Pg. 1'!$K$2</f>
        <v>Exhibit No.__ (CTM-4)</v>
      </c>
    </row>
    <row r="3" spans="1:17" ht="13.5" thickBot="1" x14ac:dyDescent="0.25">
      <c r="A3" s="1830"/>
      <c r="B3" s="1834"/>
      <c r="C3" s="1830"/>
      <c r="D3" s="1830"/>
      <c r="E3" s="1830"/>
      <c r="F3" s="1830"/>
      <c r="G3" s="1830"/>
      <c r="H3" s="1830"/>
      <c r="I3" s="1830"/>
      <c r="J3" s="1830"/>
      <c r="K3" s="1830"/>
      <c r="M3" s="1827" t="s">
        <v>2131</v>
      </c>
    </row>
    <row r="4" spans="1:17" ht="14.25" thickTop="1" thickBot="1" x14ac:dyDescent="0.25">
      <c r="A4" s="1830"/>
      <c r="B4" s="1834"/>
      <c r="C4" s="1830"/>
      <c r="D4" s="1830"/>
      <c r="E4" s="1830"/>
      <c r="F4" s="1830"/>
      <c r="G4" s="1830"/>
      <c r="H4" s="1830"/>
      <c r="I4" s="1830"/>
      <c r="J4" s="1830"/>
      <c r="K4" s="1830"/>
      <c r="M4" s="1828" t="str">
        <f>"Page "&amp;M1&amp;" of "&amp;'Exhibit No._(CTM-4), Pg. 6'!$K$1</f>
        <v>Page 4 of 6</v>
      </c>
    </row>
    <row r="5" spans="1:17" ht="13.5" thickTop="1" x14ac:dyDescent="0.2">
      <c r="C5" s="1863" t="s">
        <v>2132</v>
      </c>
      <c r="D5" s="1863"/>
      <c r="E5" s="1863"/>
      <c r="F5" s="1863"/>
      <c r="G5" s="1863"/>
      <c r="H5" s="1863"/>
      <c r="I5" s="1863"/>
      <c r="J5" s="1863"/>
      <c r="K5" s="1863"/>
      <c r="L5" s="1863"/>
      <c r="M5" s="1863"/>
    </row>
    <row r="6" spans="1:17" x14ac:dyDescent="0.2">
      <c r="C6" s="1863" t="s">
        <v>2137</v>
      </c>
      <c r="D6" s="1863"/>
      <c r="E6" s="1863"/>
      <c r="F6" s="1863"/>
      <c r="G6" s="1863"/>
      <c r="H6" s="1863"/>
      <c r="I6" s="1863"/>
      <c r="J6" s="1863"/>
      <c r="K6" s="1863"/>
      <c r="L6" s="1863"/>
      <c r="M6" s="1863"/>
      <c r="N6" s="1504"/>
      <c r="O6" s="1503"/>
      <c r="P6" s="1503"/>
      <c r="Q6" s="1638"/>
    </row>
    <row r="7" spans="1:17" x14ac:dyDescent="0.2">
      <c r="C7" s="1863" t="s">
        <v>2134</v>
      </c>
      <c r="D7" s="1863"/>
      <c r="E7" s="1863"/>
      <c r="F7" s="1863"/>
      <c r="G7" s="1863"/>
      <c r="H7" s="1863"/>
      <c r="I7" s="1863"/>
      <c r="J7" s="1863"/>
      <c r="K7" s="1863"/>
      <c r="L7" s="1863"/>
      <c r="M7" s="1863"/>
      <c r="N7" s="1504"/>
      <c r="O7" s="1503"/>
      <c r="P7" s="1503"/>
      <c r="Q7" s="1638"/>
    </row>
    <row r="8" spans="1:17" ht="13.5" customHeight="1" x14ac:dyDescent="0.2">
      <c r="C8" s="1639"/>
      <c r="D8" s="1639"/>
      <c r="E8" s="1639"/>
      <c r="F8" s="1639"/>
      <c r="G8" s="1640"/>
      <c r="H8" s="1641"/>
      <c r="I8" s="1479"/>
      <c r="J8" s="1640"/>
      <c r="K8" s="1640"/>
      <c r="L8" s="1640"/>
      <c r="M8" s="1642"/>
      <c r="N8" s="1624"/>
      <c r="O8" s="1507"/>
    </row>
    <row r="9" spans="1:17" ht="12" customHeight="1" x14ac:dyDescent="0.2">
      <c r="B9" s="1513" t="s">
        <v>95</v>
      </c>
      <c r="C9" s="1514"/>
      <c r="D9" s="1514"/>
      <c r="E9" s="1644" t="s">
        <v>0</v>
      </c>
      <c r="F9" s="1516" t="s">
        <v>22</v>
      </c>
      <c r="G9" s="1517"/>
      <c r="H9" s="1478"/>
      <c r="I9" s="1645" t="s">
        <v>1</v>
      </c>
      <c r="J9" s="1517"/>
      <c r="K9" s="1519"/>
      <c r="L9" s="1866" t="s">
        <v>2</v>
      </c>
      <c r="M9" s="1867"/>
      <c r="N9" s="1505"/>
      <c r="O9" s="1520" t="s">
        <v>117</v>
      </c>
      <c r="Q9" s="1521" t="s">
        <v>170</v>
      </c>
    </row>
    <row r="10" spans="1:17" x14ac:dyDescent="0.2">
      <c r="B10" s="1522" t="s">
        <v>770</v>
      </c>
      <c r="C10" s="1530" t="s">
        <v>3</v>
      </c>
      <c r="D10" s="1530" t="s">
        <v>75</v>
      </c>
      <c r="E10" s="1481" t="s">
        <v>4</v>
      </c>
      <c r="F10" s="1530" t="s">
        <v>5</v>
      </c>
      <c r="G10" s="1526" t="s">
        <v>27</v>
      </c>
      <c r="H10" s="1481"/>
      <c r="I10" s="1481" t="s">
        <v>5</v>
      </c>
      <c r="J10" s="1526" t="s">
        <v>27</v>
      </c>
      <c r="K10" s="1526"/>
      <c r="L10" s="1526" t="s">
        <v>6</v>
      </c>
      <c r="M10" s="1646" t="s">
        <v>7</v>
      </c>
      <c r="N10" s="1647"/>
      <c r="O10" s="1530" t="s">
        <v>65</v>
      </c>
      <c r="Q10" s="1531" t="s">
        <v>93</v>
      </c>
    </row>
    <row r="11" spans="1:17" x14ac:dyDescent="0.2">
      <c r="C11" s="1522" t="s">
        <v>102</v>
      </c>
      <c r="D11" s="1608" t="s">
        <v>103</v>
      </c>
      <c r="E11" s="1567" t="s">
        <v>104</v>
      </c>
      <c r="F11" s="1597" t="s">
        <v>105</v>
      </c>
      <c r="G11" s="1648" t="s">
        <v>106</v>
      </c>
      <c r="H11" s="1567"/>
      <c r="I11" s="1857" t="s">
        <v>107</v>
      </c>
      <c r="J11" s="1648" t="s">
        <v>108</v>
      </c>
      <c r="K11" s="1648"/>
      <c r="L11" s="1648" t="s">
        <v>109</v>
      </c>
      <c r="M11" s="1668" t="s">
        <v>116</v>
      </c>
      <c r="N11" s="1647"/>
      <c r="O11" s="1520"/>
      <c r="Q11" s="1521"/>
    </row>
    <row r="12" spans="1:17" x14ac:dyDescent="0.2">
      <c r="B12" s="1563">
        <v>1</v>
      </c>
      <c r="C12" s="1537" t="s">
        <v>151</v>
      </c>
      <c r="D12" s="1538"/>
      <c r="E12" s="1650"/>
      <c r="F12" s="1650"/>
      <c r="G12" s="1541"/>
      <c r="H12" s="1539"/>
      <c r="I12" s="1651"/>
      <c r="J12" s="1541"/>
      <c r="K12" s="1541"/>
      <c r="L12" s="1541"/>
      <c r="M12" s="1594"/>
      <c r="N12" s="1624"/>
      <c r="O12" s="1507"/>
      <c r="P12" s="1507"/>
      <c r="Q12" s="1649"/>
    </row>
    <row r="13" spans="1:17" x14ac:dyDescent="0.2">
      <c r="B13" s="1563">
        <v>2</v>
      </c>
      <c r="C13" s="1547"/>
      <c r="D13" s="1507"/>
      <c r="E13" s="1630"/>
      <c r="F13" s="1507"/>
      <c r="G13" s="1548"/>
      <c r="H13" s="1492"/>
      <c r="I13" s="1473"/>
      <c r="J13" s="1548"/>
      <c r="K13" s="1548"/>
      <c r="L13" s="1548"/>
      <c r="M13" s="1556"/>
      <c r="N13" s="1624"/>
      <c r="O13" s="1546" t="s">
        <v>194</v>
      </c>
      <c r="P13" s="1507"/>
      <c r="Q13" s="1649"/>
    </row>
    <row r="14" spans="1:17" x14ac:dyDescent="0.2">
      <c r="B14" s="1563">
        <v>3</v>
      </c>
      <c r="C14" s="1619" t="s">
        <v>142</v>
      </c>
      <c r="D14" s="1582" t="s">
        <v>67</v>
      </c>
      <c r="E14" s="1492">
        <v>663748.02</v>
      </c>
      <c r="F14" s="1510">
        <v>32.32</v>
      </c>
      <c r="G14" s="1548">
        <f>ROUND(E14*F14,2)</f>
        <v>21452336.010000002</v>
      </c>
      <c r="H14" s="1492"/>
      <c r="I14" s="1652">
        <f>ROUND(F14*(1+$O$18),2)</f>
        <v>32.44</v>
      </c>
      <c r="J14" s="1569">
        <f>ROUND(E14*I14,2)</f>
        <v>21531985.77</v>
      </c>
      <c r="K14" s="1548"/>
      <c r="L14" s="1548">
        <f>J14-G14</f>
        <v>79649.759999997914</v>
      </c>
      <c r="M14" s="1556"/>
      <c r="N14" s="1624"/>
      <c r="O14" s="1669">
        <f>+'Exhibit No._(CTM-4), Pg. 2'!J16</f>
        <v>311116.57086542441</v>
      </c>
      <c r="P14" s="1507"/>
      <c r="Q14" s="1552">
        <f>I14/F14-1</f>
        <v>3.7128712871286051E-3</v>
      </c>
    </row>
    <row r="15" spans="1:17" x14ac:dyDescent="0.2">
      <c r="B15" s="1563">
        <v>4</v>
      </c>
      <c r="C15" s="1547" t="s">
        <v>82</v>
      </c>
      <c r="D15" s="1507" t="s">
        <v>10</v>
      </c>
      <c r="E15" s="1492">
        <v>202387050</v>
      </c>
      <c r="F15" s="1554">
        <v>0.31526999999999999</v>
      </c>
      <c r="G15" s="1548">
        <f>ROUND(E15*F15,2)</f>
        <v>63806565.25</v>
      </c>
      <c r="H15" s="1492"/>
      <c r="I15" s="1554">
        <f>ROUND(F15*(1+$O$18),5)</f>
        <v>0.31641000000000002</v>
      </c>
      <c r="J15" s="1569">
        <f>ROUND(E15*I15,2)</f>
        <v>64037286.490000002</v>
      </c>
      <c r="K15" s="1548"/>
      <c r="L15" s="1548">
        <f>J15-G15</f>
        <v>230721.24000000209</v>
      </c>
      <c r="M15" s="1556"/>
      <c r="N15" s="1624"/>
      <c r="O15" s="1551" t="s">
        <v>118</v>
      </c>
      <c r="P15" s="1507"/>
      <c r="Q15" s="1552">
        <f>I15/F15-1</f>
        <v>3.6159482348463445E-3</v>
      </c>
    </row>
    <row r="16" spans="1:17" x14ac:dyDescent="0.2">
      <c r="B16" s="1563">
        <v>5</v>
      </c>
      <c r="C16" s="1557" t="s">
        <v>184</v>
      </c>
      <c r="D16" s="1533"/>
      <c r="E16" s="1492"/>
      <c r="F16" s="1473"/>
      <c r="G16" s="1541">
        <f>SUM(G14:G15)</f>
        <v>85258901.260000005</v>
      </c>
      <c r="H16" s="1492"/>
      <c r="I16" s="1492"/>
      <c r="J16" s="1617">
        <f>SUM(J14:J15)</f>
        <v>85569272.260000005</v>
      </c>
      <c r="K16" s="1548"/>
      <c r="L16" s="1541">
        <f>SUM(L14:L15)</f>
        <v>310371</v>
      </c>
      <c r="M16" s="1594">
        <f>ROUND(L16/G16,5)</f>
        <v>3.64E-3</v>
      </c>
      <c r="N16" s="1624"/>
      <c r="O16" s="1653">
        <f>L16+L27+L47-O14</f>
        <v>-745.57086542440811</v>
      </c>
      <c r="P16" s="1507"/>
      <c r="Q16" s="1649"/>
    </row>
    <row r="17" spans="1:17" x14ac:dyDescent="0.2">
      <c r="B17" s="1563">
        <v>6</v>
      </c>
      <c r="C17" s="1547"/>
      <c r="D17" s="1507"/>
      <c r="E17" s="1473"/>
      <c r="F17" s="1473"/>
      <c r="G17" s="1548"/>
      <c r="H17" s="1492"/>
      <c r="I17" s="1492"/>
      <c r="J17" s="1569"/>
      <c r="K17" s="1548"/>
      <c r="L17" s="1548"/>
      <c r="M17" s="1556"/>
      <c r="N17" s="1624"/>
      <c r="O17" s="1671"/>
      <c r="P17" s="1654"/>
      <c r="Q17" s="1655"/>
    </row>
    <row r="18" spans="1:17" x14ac:dyDescent="0.2">
      <c r="B18" s="1563">
        <v>7</v>
      </c>
      <c r="C18" s="1565" t="s">
        <v>145</v>
      </c>
      <c r="D18" s="1507" t="s">
        <v>10</v>
      </c>
      <c r="E18" s="1492">
        <f>E15</f>
        <v>202387050</v>
      </c>
      <c r="F18" s="1554">
        <v>0.71438999999999997</v>
      </c>
      <c r="G18" s="1548">
        <f>F18*E18</f>
        <v>144583284.64949998</v>
      </c>
      <c r="H18" s="1473"/>
      <c r="I18" s="1554">
        <f>F18</f>
        <v>0.71438999999999997</v>
      </c>
      <c r="J18" s="1569">
        <f>I18*E18</f>
        <v>144583284.64949998</v>
      </c>
      <c r="K18" s="1548"/>
      <c r="L18" s="1548">
        <f>J18-G18</f>
        <v>0</v>
      </c>
      <c r="M18" s="1556">
        <f>ROUND(L18/G18,5)</f>
        <v>0</v>
      </c>
      <c r="N18" s="1624"/>
      <c r="O18" s="1811">
        <f>'Exhibit No._(CTM-4), Pg. 2'!I16+Q18</f>
        <v>3.6231515586910303E-3</v>
      </c>
      <c r="P18" s="1507"/>
      <c r="Q18" s="1819">
        <v>-2.0999999999999999E-5</v>
      </c>
    </row>
    <row r="19" spans="1:17" x14ac:dyDescent="0.2">
      <c r="B19" s="1563">
        <v>8</v>
      </c>
      <c r="C19" s="1547"/>
      <c r="D19" s="1507"/>
      <c r="E19" s="1473"/>
      <c r="F19" s="1508"/>
      <c r="G19" s="1548"/>
      <c r="H19" s="1656"/>
      <c r="I19" s="1657"/>
      <c r="J19" s="1569"/>
      <c r="K19" s="1548"/>
      <c r="L19" s="1548"/>
      <c r="M19" s="1556"/>
      <c r="N19" s="1624"/>
      <c r="O19" s="1520"/>
      <c r="P19" s="1520"/>
      <c r="Q19" s="1520"/>
    </row>
    <row r="20" spans="1:17" x14ac:dyDescent="0.2">
      <c r="B20" s="1563">
        <v>9</v>
      </c>
      <c r="C20" s="1532" t="s">
        <v>26</v>
      </c>
      <c r="D20" s="1507"/>
      <c r="E20" s="1473"/>
      <c r="F20" s="1507"/>
      <c r="G20" s="1541">
        <f>G18+G16</f>
        <v>229842185.9095</v>
      </c>
      <c r="H20" s="1656"/>
      <c r="I20" s="1658"/>
      <c r="J20" s="1617">
        <f>J18+J16</f>
        <v>230152556.9095</v>
      </c>
      <c r="K20" s="1548"/>
      <c r="L20" s="1541">
        <f>L16+L18</f>
        <v>310371</v>
      </c>
      <c r="M20" s="1594">
        <f>ROUND(L20/G20,5)</f>
        <v>1.3500000000000001E-3</v>
      </c>
      <c r="N20" s="1624"/>
      <c r="O20" s="1659"/>
      <c r="P20" s="1520"/>
      <c r="Q20" s="1520"/>
    </row>
    <row r="21" spans="1:17" x14ac:dyDescent="0.2">
      <c r="B21" s="1563">
        <v>10</v>
      </c>
      <c r="C21" s="1570"/>
      <c r="D21" s="1660"/>
      <c r="E21" s="1661"/>
      <c r="F21" s="1527"/>
      <c r="G21" s="1662"/>
      <c r="H21" s="1661"/>
      <c r="I21" s="1663"/>
      <c r="J21" s="1587"/>
      <c r="K21" s="1574"/>
      <c r="L21" s="1574"/>
      <c r="M21" s="1577"/>
      <c r="N21" s="1624"/>
      <c r="O21" s="1520"/>
      <c r="P21" s="1520"/>
      <c r="Q21" s="1520"/>
    </row>
    <row r="22" spans="1:17" x14ac:dyDescent="0.2">
      <c r="A22" s="1507"/>
      <c r="B22" s="1563">
        <v>11</v>
      </c>
      <c r="C22" s="1585" t="s">
        <v>152</v>
      </c>
      <c r="D22" s="1538"/>
      <c r="E22" s="1650"/>
      <c r="F22" s="1650"/>
      <c r="G22" s="1541"/>
      <c r="H22" s="1539"/>
      <c r="I22" s="1651"/>
      <c r="J22" s="1541"/>
      <c r="K22" s="1541"/>
      <c r="L22" s="1541"/>
      <c r="M22" s="1594"/>
      <c r="N22" s="1624"/>
      <c r="O22" s="1507"/>
    </row>
    <row r="23" spans="1:17" x14ac:dyDescent="0.2">
      <c r="A23" s="1507"/>
      <c r="B23" s="1563">
        <v>12</v>
      </c>
      <c r="C23" s="1547"/>
      <c r="D23" s="1507"/>
      <c r="E23" s="1630"/>
      <c r="F23" s="1507"/>
      <c r="G23" s="1548"/>
      <c r="H23" s="1492"/>
      <c r="I23" s="1473"/>
      <c r="J23" s="1548"/>
      <c r="K23" s="1548"/>
      <c r="L23" s="1548"/>
      <c r="M23" s="1556"/>
      <c r="N23" s="1624"/>
      <c r="O23" s="1507"/>
    </row>
    <row r="24" spans="1:17" x14ac:dyDescent="0.2">
      <c r="A24" s="1507"/>
      <c r="B24" s="1563">
        <v>13</v>
      </c>
      <c r="C24" s="1619" t="s">
        <v>142</v>
      </c>
      <c r="D24" s="1582" t="s">
        <v>67</v>
      </c>
      <c r="E24" s="1492">
        <v>0</v>
      </c>
      <c r="F24" s="1510">
        <v>355.5</v>
      </c>
      <c r="G24" s="1548">
        <f>ROUND(E24*F24,2)</f>
        <v>0</v>
      </c>
      <c r="H24" s="1492"/>
      <c r="I24" s="1652">
        <f>ROUND(F24*(1+$O$18),2)</f>
        <v>356.79</v>
      </c>
      <c r="J24" s="1569">
        <f>ROUND(E24*I24,2)</f>
        <v>0</v>
      </c>
      <c r="K24" s="1548"/>
      <c r="L24" s="1548">
        <f>J24-G24</f>
        <v>0</v>
      </c>
      <c r="M24" s="1556"/>
      <c r="N24" s="1624"/>
      <c r="O24" s="1507"/>
      <c r="Q24" s="1552">
        <f>I24/F24-1</f>
        <v>3.628691983122323E-3</v>
      </c>
    </row>
    <row r="25" spans="1:17" x14ac:dyDescent="0.2">
      <c r="A25" s="1507"/>
      <c r="B25" s="1563">
        <v>14</v>
      </c>
      <c r="C25" s="1547" t="s">
        <v>82</v>
      </c>
      <c r="D25" s="1507" t="s">
        <v>10</v>
      </c>
      <c r="E25" s="1492">
        <v>0</v>
      </c>
      <c r="F25" s="1554">
        <v>0.31526999999999999</v>
      </c>
      <c r="G25" s="1548">
        <f>ROUND(E25*F25,2)</f>
        <v>0</v>
      </c>
      <c r="H25" s="1492"/>
      <c r="I25" s="1554">
        <f>I15</f>
        <v>0.31641000000000002</v>
      </c>
      <c r="J25" s="1569">
        <f>ROUND(E25*I25,2)</f>
        <v>0</v>
      </c>
      <c r="K25" s="1548"/>
      <c r="L25" s="1548">
        <f>J25-G25</f>
        <v>0</v>
      </c>
      <c r="M25" s="1556"/>
      <c r="N25" s="1624"/>
      <c r="O25" s="1507"/>
      <c r="Q25" s="1552">
        <f>I25/F25-1</f>
        <v>3.6159482348463445E-3</v>
      </c>
    </row>
    <row r="26" spans="1:17" x14ac:dyDescent="0.2">
      <c r="A26" s="1507"/>
      <c r="B26" s="1563">
        <v>15</v>
      </c>
      <c r="C26" s="1619" t="s">
        <v>66</v>
      </c>
      <c r="D26" s="1507"/>
      <c r="E26" s="1492"/>
      <c r="F26" s="1554">
        <v>-5.1999999999999998E-3</v>
      </c>
      <c r="G26" s="1548">
        <f>ROUND(E26*F26,2)</f>
        <v>0</v>
      </c>
      <c r="H26" s="1492"/>
      <c r="I26" s="1554">
        <f>-'Exhibit No._(CTM-4), Pg. 5'!I128</f>
        <v>-5.2300000000000003E-3</v>
      </c>
      <c r="J26" s="1569">
        <f>ROUND(E26*I26,2)</f>
        <v>0</v>
      </c>
      <c r="K26" s="1548"/>
      <c r="L26" s="1548">
        <f>J26-G26</f>
        <v>0</v>
      </c>
      <c r="M26" s="1556"/>
      <c r="N26" s="1624"/>
      <c r="O26" s="1507"/>
      <c r="Q26" s="1552">
        <f>I26/F26-1</f>
        <v>5.7692307692309708E-3</v>
      </c>
    </row>
    <row r="27" spans="1:17" x14ac:dyDescent="0.2">
      <c r="A27" s="1507"/>
      <c r="B27" s="1563">
        <v>16</v>
      </c>
      <c r="C27" s="1557" t="s">
        <v>184</v>
      </c>
      <c r="D27" s="1533"/>
      <c r="E27" s="1492"/>
      <c r="F27" s="1473"/>
      <c r="G27" s="1541">
        <f>SUM(G24:G25)</f>
        <v>0</v>
      </c>
      <c r="H27" s="1492"/>
      <c r="I27" s="1492"/>
      <c r="J27" s="1617">
        <f>SUM(J24:J26)</f>
        <v>0</v>
      </c>
      <c r="K27" s="1548"/>
      <c r="L27" s="1617">
        <f>SUM(L24:L26)</f>
        <v>0</v>
      </c>
      <c r="M27" s="1594"/>
      <c r="N27" s="1624"/>
      <c r="O27" s="1507"/>
    </row>
    <row r="28" spans="1:17" x14ac:dyDescent="0.2">
      <c r="A28" s="1507"/>
      <c r="B28" s="1563">
        <v>17</v>
      </c>
      <c r="C28" s="1547"/>
      <c r="D28" s="1507"/>
      <c r="E28" s="1473"/>
      <c r="F28" s="1473"/>
      <c r="G28" s="1548"/>
      <c r="H28" s="1492"/>
      <c r="I28" s="1492"/>
      <c r="J28" s="1569"/>
      <c r="K28" s="1548"/>
      <c r="L28" s="1548"/>
      <c r="M28" s="1556"/>
      <c r="N28" s="1624"/>
      <c r="O28" s="1507"/>
    </row>
    <row r="29" spans="1:17" x14ac:dyDescent="0.2">
      <c r="A29" s="1507"/>
      <c r="B29" s="1563">
        <v>18</v>
      </c>
      <c r="C29" s="1598" t="s">
        <v>120</v>
      </c>
      <c r="D29" s="1507" t="s">
        <v>10</v>
      </c>
      <c r="E29" s="1492">
        <v>0</v>
      </c>
      <c r="F29" s="1554">
        <v>6.9999999999999999E-4</v>
      </c>
      <c r="G29" s="1548">
        <f>F29*E29</f>
        <v>0</v>
      </c>
      <c r="H29" s="1473"/>
      <c r="I29" s="1554">
        <f>F29</f>
        <v>6.9999999999999999E-4</v>
      </c>
      <c r="J29" s="1569">
        <f>I29*E29</f>
        <v>0</v>
      </c>
      <c r="K29" s="1548"/>
      <c r="L29" s="1548">
        <f>J29-G29</f>
        <v>0</v>
      </c>
      <c r="M29" s="1556"/>
      <c r="N29" s="1624"/>
      <c r="O29" s="1507"/>
    </row>
    <row r="30" spans="1:17" x14ac:dyDescent="0.2">
      <c r="A30" s="1507"/>
      <c r="B30" s="1563">
        <v>19</v>
      </c>
      <c r="C30" s="1598"/>
      <c r="D30" s="1507"/>
      <c r="E30" s="1492"/>
      <c r="F30" s="1554"/>
      <c r="G30" s="1548"/>
      <c r="H30" s="1473"/>
      <c r="I30" s="1554"/>
      <c r="J30" s="1569"/>
      <c r="K30" s="1548"/>
      <c r="L30" s="1548"/>
      <c r="M30" s="1556"/>
      <c r="N30" s="1624"/>
      <c r="O30" s="1507"/>
    </row>
    <row r="31" spans="1:17" x14ac:dyDescent="0.2">
      <c r="A31" s="1507"/>
      <c r="B31" s="1563">
        <v>20</v>
      </c>
      <c r="C31" s="1532" t="s">
        <v>26</v>
      </c>
      <c r="D31" s="1507"/>
      <c r="E31" s="1473"/>
      <c r="F31" s="1507"/>
      <c r="G31" s="1541">
        <f>G29+G27</f>
        <v>0</v>
      </c>
      <c r="H31" s="1656"/>
      <c r="I31" s="1658"/>
      <c r="J31" s="1617">
        <f>J29+J27</f>
        <v>0</v>
      </c>
      <c r="K31" s="1548"/>
      <c r="L31" s="1541">
        <f>L27+L29</f>
        <v>0</v>
      </c>
      <c r="M31" s="1594"/>
      <c r="N31" s="1624"/>
      <c r="O31" s="1507"/>
    </row>
    <row r="32" spans="1:17" x14ac:dyDescent="0.2">
      <c r="A32" s="1507"/>
      <c r="B32" s="1563">
        <v>21</v>
      </c>
      <c r="C32" s="1570"/>
      <c r="D32" s="1660"/>
      <c r="E32" s="1661"/>
      <c r="F32" s="1527"/>
      <c r="G32" s="1662"/>
      <c r="H32" s="1661"/>
      <c r="I32" s="1663"/>
      <c r="J32" s="1587"/>
      <c r="K32" s="1574"/>
      <c r="L32" s="1574"/>
      <c r="M32" s="1577"/>
      <c r="N32" s="1624"/>
      <c r="O32" s="1507"/>
    </row>
    <row r="33" spans="1:17" x14ac:dyDescent="0.2">
      <c r="A33" s="1507"/>
      <c r="B33" s="1563">
        <v>22</v>
      </c>
      <c r="C33" s="1537" t="s">
        <v>153</v>
      </c>
      <c r="D33" s="1538"/>
      <c r="E33" s="1650"/>
      <c r="F33" s="1650"/>
      <c r="G33" s="1541"/>
      <c r="H33" s="1539"/>
      <c r="I33" s="1651"/>
      <c r="J33" s="1541"/>
      <c r="K33" s="1541"/>
      <c r="L33" s="1541"/>
      <c r="M33" s="1594"/>
      <c r="N33" s="1624"/>
      <c r="O33" s="1507"/>
    </row>
    <row r="34" spans="1:17" x14ac:dyDescent="0.2">
      <c r="A34" s="1507"/>
      <c r="B34" s="1563">
        <v>23</v>
      </c>
      <c r="C34" s="1547"/>
      <c r="D34" s="1507"/>
      <c r="E34" s="1630"/>
      <c r="F34" s="1507"/>
      <c r="G34" s="1548"/>
      <c r="H34" s="1492"/>
      <c r="I34" s="1473"/>
      <c r="J34" s="1548"/>
      <c r="K34" s="1548"/>
      <c r="L34" s="1548"/>
      <c r="M34" s="1556"/>
      <c r="N34" s="1624"/>
      <c r="O34" s="1507"/>
    </row>
    <row r="35" spans="1:17" x14ac:dyDescent="0.2">
      <c r="A35" s="1507"/>
      <c r="B35" s="1563">
        <v>24</v>
      </c>
      <c r="C35" s="1619" t="s">
        <v>142</v>
      </c>
      <c r="D35" s="1582" t="s">
        <v>67</v>
      </c>
      <c r="E35" s="1492">
        <f>E14+E24</f>
        <v>663748.02</v>
      </c>
      <c r="F35" s="1510"/>
      <c r="G35" s="1548">
        <f>G14+G24</f>
        <v>21452336.010000002</v>
      </c>
      <c r="H35" s="1492"/>
      <c r="I35" s="1510"/>
      <c r="J35" s="1548">
        <f>J14+J24</f>
        <v>21531985.77</v>
      </c>
      <c r="K35" s="1548"/>
      <c r="L35" s="1548">
        <f>J35-G35</f>
        <v>79649.759999997914</v>
      </c>
      <c r="M35" s="1556"/>
      <c r="N35" s="1624"/>
      <c r="O35" s="1507"/>
    </row>
    <row r="36" spans="1:17" x14ac:dyDescent="0.2">
      <c r="A36" s="1507"/>
      <c r="B36" s="1563">
        <v>25</v>
      </c>
      <c r="C36" s="1547" t="s">
        <v>82</v>
      </c>
      <c r="D36" s="1507" t="s">
        <v>10</v>
      </c>
      <c r="E36" s="1492">
        <f>E15+E25</f>
        <v>202387050</v>
      </c>
      <c r="F36" s="1554"/>
      <c r="G36" s="1548">
        <f>G15+G25</f>
        <v>63806565.25</v>
      </c>
      <c r="H36" s="1492"/>
      <c r="I36" s="1554"/>
      <c r="J36" s="1548">
        <f>J15+J25</f>
        <v>64037286.490000002</v>
      </c>
      <c r="K36" s="1548"/>
      <c r="L36" s="1548">
        <f>J36-G36</f>
        <v>230721.24000000209</v>
      </c>
      <c r="M36" s="1556"/>
      <c r="N36" s="1624"/>
      <c r="O36" s="1507"/>
    </row>
    <row r="37" spans="1:17" x14ac:dyDescent="0.2">
      <c r="A37" s="1507"/>
      <c r="B37" s="1563">
        <v>26</v>
      </c>
      <c r="C37" s="1557" t="s">
        <v>184</v>
      </c>
      <c r="D37" s="1533"/>
      <c r="E37" s="1492"/>
      <c r="F37" s="1473"/>
      <c r="G37" s="1541">
        <f>SUM(G35:G36)</f>
        <v>85258901.260000005</v>
      </c>
      <c r="H37" s="1492"/>
      <c r="I37" s="1492"/>
      <c r="J37" s="1541">
        <f>SUM(J35:J36)</f>
        <v>85569272.260000005</v>
      </c>
      <c r="K37" s="1548"/>
      <c r="L37" s="1541">
        <f>SUM(L35:L36)</f>
        <v>310371</v>
      </c>
      <c r="M37" s="1594">
        <f>ROUND(L37/G37,5)</f>
        <v>3.64E-3</v>
      </c>
      <c r="N37" s="1624"/>
      <c r="O37" s="1507"/>
    </row>
    <row r="38" spans="1:17" x14ac:dyDescent="0.2">
      <c r="A38" s="1507"/>
      <c r="B38" s="1563">
        <v>27</v>
      </c>
      <c r="C38" s="1547"/>
      <c r="D38" s="1507"/>
      <c r="E38" s="1473"/>
      <c r="F38" s="1473"/>
      <c r="G38" s="1548"/>
      <c r="H38" s="1492"/>
      <c r="I38" s="1492"/>
      <c r="J38" s="1548"/>
      <c r="K38" s="1548"/>
      <c r="L38" s="1548"/>
      <c r="M38" s="1556"/>
      <c r="N38" s="1624"/>
      <c r="O38" s="1507"/>
    </row>
    <row r="39" spans="1:17" x14ac:dyDescent="0.2">
      <c r="A39" s="1507"/>
      <c r="B39" s="1563">
        <v>28</v>
      </c>
      <c r="C39" s="1547"/>
      <c r="D39" s="1507"/>
      <c r="E39" s="1473"/>
      <c r="F39" s="1473"/>
      <c r="G39" s="1548"/>
      <c r="H39" s="1492"/>
      <c r="I39" s="1492"/>
      <c r="J39" s="1548"/>
      <c r="K39" s="1548"/>
      <c r="L39" s="1548"/>
      <c r="M39" s="1556"/>
      <c r="N39" s="1624"/>
      <c r="O39" s="1507"/>
    </row>
    <row r="40" spans="1:17" x14ac:dyDescent="0.2">
      <c r="A40" s="1507"/>
      <c r="B40" s="1563">
        <v>29</v>
      </c>
      <c r="C40" s="1565" t="s">
        <v>145</v>
      </c>
      <c r="D40" s="1507" t="s">
        <v>10</v>
      </c>
      <c r="E40" s="1492">
        <f>E36</f>
        <v>202387050</v>
      </c>
      <c r="F40" s="1554"/>
      <c r="G40" s="1548">
        <f>G18+G29</f>
        <v>144583284.64949998</v>
      </c>
      <c r="H40" s="1473"/>
      <c r="I40" s="1554"/>
      <c r="J40" s="1548">
        <f>J18+J29</f>
        <v>144583284.64949998</v>
      </c>
      <c r="K40" s="1548"/>
      <c r="L40" s="1574">
        <f>J40-G40</f>
        <v>0</v>
      </c>
      <c r="M40" s="1577">
        <f>ROUND(L40/G40,5)</f>
        <v>0</v>
      </c>
      <c r="N40" s="1624"/>
      <c r="O40" s="1507"/>
    </row>
    <row r="41" spans="1:17" x14ac:dyDescent="0.2">
      <c r="A41" s="1507"/>
      <c r="B41" s="1563">
        <v>30</v>
      </c>
      <c r="C41" s="1565"/>
      <c r="D41" s="1507"/>
      <c r="E41" s="1492"/>
      <c r="F41" s="1554"/>
      <c r="G41" s="1548"/>
      <c r="H41" s="1473"/>
      <c r="I41" s="1554"/>
      <c r="J41" s="1548"/>
      <c r="K41" s="1548"/>
      <c r="L41" s="1548"/>
      <c r="M41" s="1556"/>
      <c r="N41" s="1624"/>
      <c r="O41" s="1507"/>
    </row>
    <row r="42" spans="1:17" x14ac:dyDescent="0.2">
      <c r="A42" s="1507"/>
      <c r="B42" s="1563">
        <v>31</v>
      </c>
      <c r="C42" s="1532" t="s">
        <v>26</v>
      </c>
      <c r="D42" s="1507"/>
      <c r="E42" s="1473"/>
      <c r="F42" s="1507"/>
      <c r="G42" s="1541">
        <f>G40+G37</f>
        <v>229842185.9095</v>
      </c>
      <c r="H42" s="1656"/>
      <c r="I42" s="1658"/>
      <c r="J42" s="1541">
        <f>J40+J37</f>
        <v>230152556.9095</v>
      </c>
      <c r="K42" s="1548"/>
      <c r="L42" s="1541">
        <f>L37+L40</f>
        <v>310371</v>
      </c>
      <c r="M42" s="1594">
        <f>ROUND(L42/G42,5)</f>
        <v>1.3500000000000001E-3</v>
      </c>
      <c r="N42" s="1624"/>
      <c r="O42" s="1507"/>
    </row>
    <row r="43" spans="1:17" x14ac:dyDescent="0.2">
      <c r="A43" s="1507"/>
      <c r="B43" s="1563">
        <v>32</v>
      </c>
      <c r="C43" s="1570"/>
      <c r="D43" s="1660"/>
      <c r="E43" s="1661"/>
      <c r="F43" s="1527"/>
      <c r="G43" s="1662"/>
      <c r="H43" s="1661"/>
      <c r="I43" s="1663"/>
      <c r="J43" s="1587"/>
      <c r="K43" s="1574"/>
      <c r="L43" s="1574"/>
      <c r="M43" s="1577"/>
      <c r="N43" s="1624"/>
      <c r="O43" s="1507"/>
    </row>
    <row r="44" spans="1:17" x14ac:dyDescent="0.2">
      <c r="B44" s="1563">
        <v>33</v>
      </c>
      <c r="C44" s="1585" t="s">
        <v>84</v>
      </c>
      <c r="D44" s="1538"/>
      <c r="E44" s="1651"/>
      <c r="F44" s="1650"/>
      <c r="G44" s="1541"/>
      <c r="H44" s="1651"/>
      <c r="I44" s="1651"/>
      <c r="J44" s="1541"/>
      <c r="K44" s="1541"/>
      <c r="L44" s="1541"/>
      <c r="M44" s="1594"/>
    </row>
    <row r="45" spans="1:17" x14ac:dyDescent="0.2">
      <c r="B45" s="1563">
        <v>34</v>
      </c>
      <c r="C45" s="1547"/>
      <c r="D45" s="1507"/>
      <c r="E45" s="1473"/>
      <c r="F45" s="1507"/>
      <c r="G45" s="1548"/>
      <c r="H45" s="1534"/>
      <c r="I45" s="1473"/>
      <c r="J45" s="1548"/>
      <c r="K45" s="1548"/>
      <c r="L45" s="1548"/>
      <c r="M45" s="1556"/>
    </row>
    <row r="46" spans="1:17" x14ac:dyDescent="0.2">
      <c r="B46" s="1563">
        <v>35</v>
      </c>
      <c r="C46" s="1547" t="s">
        <v>74</v>
      </c>
      <c r="D46" s="1507"/>
      <c r="E46" s="1492">
        <v>1153116</v>
      </c>
      <c r="F46" s="1510">
        <v>0.1</v>
      </c>
      <c r="G46" s="1548">
        <f>ROUND(E46*F46,2)</f>
        <v>115311.6</v>
      </c>
      <c r="H46" s="1492"/>
      <c r="I46" s="1510">
        <f>ROUND(F46*(1+$O$18),2)</f>
        <v>0.1</v>
      </c>
      <c r="J46" s="1548">
        <f>ROUND(E46*I46,2)</f>
        <v>115311.6</v>
      </c>
      <c r="K46" s="1548"/>
      <c r="L46" s="1548"/>
      <c r="M46" s="1556"/>
      <c r="Q46" s="1552">
        <f>I46/F46-1</f>
        <v>0</v>
      </c>
    </row>
    <row r="47" spans="1:17" x14ac:dyDescent="0.2">
      <c r="B47" s="1563">
        <v>36</v>
      </c>
      <c r="C47" s="1557" t="s">
        <v>184</v>
      </c>
      <c r="D47" s="1533"/>
      <c r="E47" s="1492"/>
      <c r="F47" s="1507"/>
      <c r="G47" s="1541">
        <f>SUM(G46:G46)</f>
        <v>115311.6</v>
      </c>
      <c r="H47" s="1492"/>
      <c r="I47" s="1492"/>
      <c r="J47" s="1541">
        <f>SUM(J46:J46)</f>
        <v>115311.6</v>
      </c>
      <c r="K47" s="1548"/>
      <c r="L47" s="1541">
        <f>J47-G47</f>
        <v>0</v>
      </c>
      <c r="M47" s="1594">
        <f>ROUND(L47/G47,5)</f>
        <v>0</v>
      </c>
    </row>
    <row r="48" spans="1:17" x14ac:dyDescent="0.2">
      <c r="B48" s="1563">
        <v>37</v>
      </c>
      <c r="C48" s="1665"/>
      <c r="D48" s="1571"/>
      <c r="E48" s="1661"/>
      <c r="F48" s="1571"/>
      <c r="G48" s="1623"/>
      <c r="H48" s="1661"/>
      <c r="I48" s="1661"/>
      <c r="J48" s="1574"/>
      <c r="K48" s="1574"/>
      <c r="L48" s="1574"/>
      <c r="M48" s="1577"/>
    </row>
    <row r="49" spans="2:17" x14ac:dyDescent="0.2">
      <c r="B49" s="1563">
        <v>38</v>
      </c>
      <c r="C49" s="1585" t="s">
        <v>138</v>
      </c>
      <c r="D49" s="1538"/>
      <c r="E49" s="1651"/>
      <c r="F49" s="1650"/>
      <c r="G49" s="1541"/>
      <c r="H49" s="1651"/>
      <c r="I49" s="1651"/>
      <c r="J49" s="1541"/>
      <c r="K49" s="1541"/>
      <c r="L49" s="1541"/>
      <c r="M49" s="1594"/>
      <c r="N49" s="1624"/>
    </row>
    <row r="50" spans="2:17" x14ac:dyDescent="0.2">
      <c r="B50" s="1563">
        <v>39</v>
      </c>
      <c r="C50" s="1598"/>
      <c r="D50" s="1507"/>
      <c r="E50" s="1473"/>
      <c r="F50" s="1473"/>
      <c r="G50" s="1548"/>
      <c r="H50" s="1534"/>
      <c r="I50" s="1473"/>
      <c r="J50" s="1548"/>
      <c r="K50" s="1548"/>
      <c r="L50" s="1548"/>
      <c r="M50" s="1556"/>
      <c r="N50" s="1666"/>
      <c r="O50" s="1667" t="s">
        <v>195</v>
      </c>
    </row>
    <row r="51" spans="2:17" x14ac:dyDescent="0.2">
      <c r="B51" s="1563">
        <v>40</v>
      </c>
      <c r="C51" s="1619" t="s">
        <v>142</v>
      </c>
      <c r="D51" s="1582" t="s">
        <v>67</v>
      </c>
      <c r="E51" s="1492">
        <v>18597.009999999998</v>
      </c>
      <c r="F51" s="1510">
        <v>111.92</v>
      </c>
      <c r="G51" s="1548">
        <f>ROUND(E51*F51,2)</f>
        <v>2081377.36</v>
      </c>
      <c r="H51" s="1492"/>
      <c r="I51" s="1652">
        <f>ROUND(F51*(1+$O$57),2)</f>
        <v>111.92</v>
      </c>
      <c r="J51" s="1548">
        <f>ROUND(E51*I51,2)</f>
        <v>2081377.36</v>
      </c>
      <c r="K51" s="1548"/>
      <c r="L51" s="1548">
        <f>J51-G51</f>
        <v>0</v>
      </c>
      <c r="M51" s="1556"/>
      <c r="N51" s="1666"/>
      <c r="O51" s="1812">
        <f>'Exhibit No._(CTM-4), Pg. 2'!J17</f>
        <v>33147.400463701219</v>
      </c>
      <c r="Q51" s="1552">
        <f>I51/F51-1</f>
        <v>0</v>
      </c>
    </row>
    <row r="52" spans="2:17" x14ac:dyDescent="0.2">
      <c r="B52" s="1563">
        <v>41</v>
      </c>
      <c r="C52" s="1598" t="s">
        <v>11</v>
      </c>
      <c r="D52" s="1582" t="s">
        <v>67</v>
      </c>
      <c r="E52" s="1492">
        <f>E51</f>
        <v>18597.009999999998</v>
      </c>
      <c r="F52" s="1510">
        <v>129.19</v>
      </c>
      <c r="G52" s="1549">
        <f>E52*F52</f>
        <v>2402547.7218999998</v>
      </c>
      <c r="H52" s="1492"/>
      <c r="I52" s="1510">
        <f>ROUND(+I57*900,2)</f>
        <v>129.19</v>
      </c>
      <c r="J52" s="1549">
        <f>ROUND(E52*I52,2)</f>
        <v>2402547.7200000002</v>
      </c>
      <c r="K52" s="1549"/>
      <c r="L52" s="1548">
        <f>J52-G52</f>
        <v>-1.8999995663762093E-3</v>
      </c>
      <c r="M52" s="1603"/>
      <c r="N52" s="1668"/>
      <c r="O52" s="1669" t="s">
        <v>118</v>
      </c>
      <c r="Q52" s="1552">
        <f>I52/F52-1</f>
        <v>0</v>
      </c>
    </row>
    <row r="53" spans="2:17" x14ac:dyDescent="0.2">
      <c r="B53" s="1563">
        <v>42</v>
      </c>
      <c r="C53" s="1598" t="s">
        <v>24</v>
      </c>
      <c r="D53" s="1507" t="s">
        <v>74</v>
      </c>
      <c r="E53" s="1492">
        <v>4359701.63</v>
      </c>
      <c r="F53" s="1510">
        <v>1.1399999999999999</v>
      </c>
      <c r="G53" s="1549">
        <f>ROUND(E53*F53,2)</f>
        <v>4970059.8600000003</v>
      </c>
      <c r="H53" s="1492"/>
      <c r="I53" s="1510">
        <f>'Exhibit No._(CTM-4), Pg. 5'!$I$127</f>
        <v>1.1499999999999999</v>
      </c>
      <c r="J53" s="1549">
        <f>ROUND(E53*I53,2)</f>
        <v>5013656.87</v>
      </c>
      <c r="K53" s="1549"/>
      <c r="L53" s="1548">
        <f>J53-G53</f>
        <v>43597.009999999776</v>
      </c>
      <c r="M53" s="1603"/>
      <c r="N53" s="1668"/>
      <c r="O53" s="1670">
        <f>L59+L81-O51</f>
        <v>14187.490416298999</v>
      </c>
      <c r="Q53" s="1552">
        <f>I53/F53-1</f>
        <v>8.7719298245614308E-3</v>
      </c>
    </row>
    <row r="54" spans="2:17" x14ac:dyDescent="0.2">
      <c r="B54" s="1563">
        <v>43</v>
      </c>
      <c r="C54" s="1598"/>
      <c r="D54" s="1507"/>
      <c r="E54" s="1492"/>
      <c r="F54" s="1510"/>
      <c r="G54" s="1535"/>
      <c r="H54" s="1492"/>
      <c r="I54" s="1510"/>
      <c r="J54" s="1549"/>
      <c r="K54" s="1549"/>
      <c r="L54" s="1606"/>
      <c r="M54" s="1603"/>
      <c r="N54" s="1647"/>
      <c r="O54" s="1815"/>
    </row>
    <row r="55" spans="2:17" x14ac:dyDescent="0.2">
      <c r="B55" s="1563">
        <v>44</v>
      </c>
      <c r="C55" s="1598" t="s">
        <v>85</v>
      </c>
      <c r="D55" s="1507"/>
      <c r="E55" s="1492"/>
      <c r="F55" s="1510"/>
      <c r="G55" s="1549"/>
      <c r="H55" s="1492"/>
      <c r="I55" s="1510"/>
      <c r="J55" s="1549"/>
      <c r="K55" s="1549"/>
      <c r="L55" s="1606"/>
      <c r="M55" s="1603"/>
      <c r="N55" s="1647"/>
      <c r="O55" s="1671"/>
      <c r="P55" s="1472"/>
      <c r="Q55" s="1672"/>
    </row>
    <row r="56" spans="2:17" x14ac:dyDescent="0.2">
      <c r="B56" s="1563">
        <v>45</v>
      </c>
      <c r="C56" s="1598" t="s">
        <v>162</v>
      </c>
      <c r="D56" s="1507" t="s">
        <v>10</v>
      </c>
      <c r="E56" s="1492">
        <f>14451808+1125839</f>
        <v>15577647</v>
      </c>
      <c r="F56" s="1554">
        <v>0.14354</v>
      </c>
      <c r="G56" s="1548"/>
      <c r="H56" s="1492"/>
      <c r="I56" s="1554">
        <f>I57</f>
        <v>0.14354</v>
      </c>
      <c r="J56" s="1548" t="s">
        <v>133</v>
      </c>
      <c r="K56" s="1548"/>
      <c r="L56" s="1548"/>
      <c r="M56" s="1556"/>
      <c r="N56" s="1624"/>
      <c r="O56" s="1472"/>
      <c r="P56" s="1472"/>
      <c r="Q56" s="1673"/>
    </row>
    <row r="57" spans="2:17" x14ac:dyDescent="0.2">
      <c r="B57" s="1563">
        <v>46</v>
      </c>
      <c r="C57" s="1598" t="s">
        <v>156</v>
      </c>
      <c r="D57" s="1507" t="s">
        <v>10</v>
      </c>
      <c r="E57" s="1492">
        <f>25528747+4128988</f>
        <v>29657735</v>
      </c>
      <c r="F57" s="1554">
        <v>0.14354</v>
      </c>
      <c r="G57" s="1548">
        <f>ROUND(E57*F57,2)</f>
        <v>4257071.28</v>
      </c>
      <c r="H57" s="1492"/>
      <c r="I57" s="1554">
        <f>ROUND(F57*(1+$O$57),5)</f>
        <v>0.14354</v>
      </c>
      <c r="J57" s="1548">
        <f>ROUND(E57*I57,2)</f>
        <v>4257071.28</v>
      </c>
      <c r="K57" s="1548"/>
      <c r="L57" s="1548">
        <f>J57-G57</f>
        <v>0</v>
      </c>
      <c r="M57" s="1556"/>
      <c r="N57" s="1624"/>
      <c r="O57" s="1858">
        <v>0</v>
      </c>
      <c r="P57" s="1478"/>
      <c r="Q57" s="1552">
        <f>I57/F57-1</f>
        <v>0</v>
      </c>
    </row>
    <row r="58" spans="2:17" x14ac:dyDescent="0.2">
      <c r="B58" s="1563">
        <v>47</v>
      </c>
      <c r="C58" s="1598" t="s">
        <v>12</v>
      </c>
      <c r="D58" s="1507" t="s">
        <v>10</v>
      </c>
      <c r="E58" s="1492">
        <f>14050318+10282557</f>
        <v>24332875</v>
      </c>
      <c r="F58" s="1554">
        <v>0.11713999999999999</v>
      </c>
      <c r="G58" s="1548">
        <f>ROUND(E58*F58,2)</f>
        <v>2850352.98</v>
      </c>
      <c r="H58" s="1492"/>
      <c r="I58" s="1554">
        <f>ROUND(F58*(1+$O$57),5)</f>
        <v>0.11713999999999999</v>
      </c>
      <c r="J58" s="1548">
        <f>ROUND(E58*I58,2)</f>
        <v>2850352.98</v>
      </c>
      <c r="K58" s="1548"/>
      <c r="L58" s="1548">
        <f>J58-G58</f>
        <v>0</v>
      </c>
      <c r="M58" s="1556"/>
      <c r="N58" s="1624"/>
      <c r="O58" s="1674"/>
      <c r="P58" s="1478"/>
      <c r="Q58" s="1552">
        <f>I58/F58-1</f>
        <v>0</v>
      </c>
    </row>
    <row r="59" spans="2:17" x14ac:dyDescent="0.2">
      <c r="B59" s="1563">
        <v>48</v>
      </c>
      <c r="C59" s="1557" t="s">
        <v>184</v>
      </c>
      <c r="D59" s="1533"/>
      <c r="E59" s="1539">
        <f>SUM(E56:E58)</f>
        <v>69568257</v>
      </c>
      <c r="F59" s="1630"/>
      <c r="G59" s="1558">
        <f>SUM(G51:G58)</f>
        <v>16561409.201900002</v>
      </c>
      <c r="H59" s="1492"/>
      <c r="I59" s="1492"/>
      <c r="J59" s="1558">
        <f>SUM(J51:J53,J57:J58)</f>
        <v>16605006.210000001</v>
      </c>
      <c r="K59" s="1549"/>
      <c r="L59" s="1558">
        <f>SUM(L51:L58)</f>
        <v>43597.00810000021</v>
      </c>
      <c r="M59" s="1594">
        <f>ROUND(L59/G59,5)</f>
        <v>2.63E-3</v>
      </c>
      <c r="N59" s="1624"/>
      <c r="O59" s="1569"/>
      <c r="P59" s="1478"/>
      <c r="Q59" s="1673"/>
    </row>
    <row r="60" spans="2:17" x14ac:dyDescent="0.2">
      <c r="B60" s="1563">
        <v>49</v>
      </c>
      <c r="C60" s="1619"/>
      <c r="D60" s="1533"/>
      <c r="E60" s="1492"/>
      <c r="F60" s="1507"/>
      <c r="G60" s="1548"/>
      <c r="H60" s="1492"/>
      <c r="I60" s="1492"/>
      <c r="J60" s="1549"/>
      <c r="K60" s="1549"/>
      <c r="L60" s="1548"/>
      <c r="M60" s="1556"/>
      <c r="N60" s="1624"/>
      <c r="O60" s="1560"/>
      <c r="P60" s="1477"/>
      <c r="Q60" s="1561"/>
    </row>
    <row r="61" spans="2:17" x14ac:dyDescent="0.2">
      <c r="B61" s="1563">
        <v>50</v>
      </c>
      <c r="C61" s="1565" t="s">
        <v>145</v>
      </c>
      <c r="D61" s="1533"/>
      <c r="E61" s="1473"/>
      <c r="F61" s="1507"/>
      <c r="G61" s="1548"/>
      <c r="H61" s="1492"/>
      <c r="I61" s="1492"/>
      <c r="J61" s="1549"/>
      <c r="K61" s="1549"/>
      <c r="L61" s="1548"/>
      <c r="M61" s="1556"/>
      <c r="N61" s="1624"/>
      <c r="O61" s="1675"/>
      <c r="P61" s="1477"/>
      <c r="Q61" s="1561"/>
    </row>
    <row r="62" spans="2:17" x14ac:dyDescent="0.2">
      <c r="B62" s="1563">
        <v>51</v>
      </c>
      <c r="C62" s="1598" t="s">
        <v>86</v>
      </c>
      <c r="D62" s="1507" t="s">
        <v>10</v>
      </c>
      <c r="E62" s="1492">
        <f>E59</f>
        <v>69568257</v>
      </c>
      <c r="F62" s="1554">
        <v>0.62919000000000003</v>
      </c>
      <c r="G62" s="1548">
        <f>F62*E62</f>
        <v>43771651.621830001</v>
      </c>
      <c r="H62" s="1473"/>
      <c r="I62" s="1554">
        <f>F62</f>
        <v>0.62919000000000003</v>
      </c>
      <c r="J62" s="1548">
        <f>I62*E62</f>
        <v>43771651.621830001</v>
      </c>
      <c r="K62" s="1548"/>
      <c r="L62" s="1548">
        <f>J62-G62</f>
        <v>0</v>
      </c>
      <c r="M62" s="1556"/>
      <c r="N62" s="1507"/>
      <c r="O62" s="1472"/>
      <c r="P62" s="1472"/>
      <c r="Q62" s="1673"/>
    </row>
    <row r="63" spans="2:17" x14ac:dyDescent="0.2">
      <c r="B63" s="1563">
        <v>52</v>
      </c>
      <c r="C63" s="1598" t="s">
        <v>24</v>
      </c>
      <c r="D63" s="1507" t="s">
        <v>74</v>
      </c>
      <c r="E63" s="1492">
        <f>E53</f>
        <v>4359701.63</v>
      </c>
      <c r="F63" s="1510">
        <v>1.05</v>
      </c>
      <c r="G63" s="1548">
        <f>F63*E63</f>
        <v>4577686.7115000002</v>
      </c>
      <c r="H63" s="1473"/>
      <c r="I63" s="1510">
        <f>F63</f>
        <v>1.05</v>
      </c>
      <c r="J63" s="1548">
        <f>I63*E63</f>
        <v>4577686.7115000002</v>
      </c>
      <c r="K63" s="1548"/>
      <c r="L63" s="1548">
        <f>J63-G63</f>
        <v>0</v>
      </c>
      <c r="M63" s="1556"/>
      <c r="N63" s="1624"/>
      <c r="O63" s="1472"/>
      <c r="P63" s="1676"/>
      <c r="Q63" s="1673"/>
    </row>
    <row r="64" spans="2:17" x14ac:dyDescent="0.2">
      <c r="B64" s="1563">
        <v>53</v>
      </c>
      <c r="C64" s="1532" t="s">
        <v>185</v>
      </c>
      <c r="D64" s="1533"/>
      <c r="E64" s="1473"/>
      <c r="F64" s="1509"/>
      <c r="G64" s="1558">
        <f>SUM(G62:G63)</f>
        <v>48349338.333330005</v>
      </c>
      <c r="H64" s="1473"/>
      <c r="I64" s="1510"/>
      <c r="J64" s="1558">
        <f>SUM(J62:J63)</f>
        <v>48349338.333330005</v>
      </c>
      <c r="K64" s="1548"/>
      <c r="L64" s="1558">
        <f>SUM(L62:L63)</f>
        <v>0</v>
      </c>
      <c r="M64" s="1594">
        <f>ROUND(L64/G64,5)</f>
        <v>0</v>
      </c>
      <c r="N64" s="1624"/>
      <c r="O64" s="1675"/>
      <c r="P64" s="1477"/>
      <c r="Q64" s="1673"/>
    </row>
    <row r="65" spans="1:17" x14ac:dyDescent="0.2">
      <c r="B65" s="1563">
        <v>54</v>
      </c>
      <c r="C65" s="1598"/>
      <c r="D65" s="1507"/>
      <c r="E65" s="1473"/>
      <c r="F65" s="1507"/>
      <c r="G65" s="1548"/>
      <c r="H65" s="1473"/>
      <c r="I65" s="1473"/>
      <c r="J65" s="1549"/>
      <c r="K65" s="1549"/>
      <c r="L65" s="1548"/>
      <c r="M65" s="1556"/>
      <c r="N65" s="1624"/>
      <c r="O65" s="1473"/>
      <c r="P65" s="1472"/>
      <c r="Q65" s="1672"/>
    </row>
    <row r="66" spans="1:17" x14ac:dyDescent="0.2">
      <c r="B66" s="1563">
        <v>55</v>
      </c>
      <c r="C66" s="1619" t="s">
        <v>26</v>
      </c>
      <c r="D66" s="1533"/>
      <c r="E66" s="1473"/>
      <c r="F66" s="1492"/>
      <c r="G66" s="1558">
        <f>+G64+G59</f>
        <v>64910747.535230011</v>
      </c>
      <c r="H66" s="1492"/>
      <c r="I66" s="1492"/>
      <c r="J66" s="1558">
        <f>+J64+J59</f>
        <v>64954344.543330006</v>
      </c>
      <c r="K66" s="1549"/>
      <c r="L66" s="1558">
        <f>L64+L59</f>
        <v>43597.00810000021</v>
      </c>
      <c r="M66" s="1594">
        <f>ROUND(L66/G66,5)</f>
        <v>6.7000000000000002E-4</v>
      </c>
      <c r="N66" s="1624"/>
      <c r="O66" s="1569"/>
      <c r="P66" s="1472"/>
      <c r="Q66" s="1673"/>
    </row>
    <row r="67" spans="1:17" s="1472" customFormat="1" x14ac:dyDescent="0.2">
      <c r="B67" s="1563">
        <v>56</v>
      </c>
      <c r="C67" s="1665"/>
      <c r="D67" s="1661"/>
      <c r="E67" s="1661"/>
      <c r="F67" s="1661"/>
      <c r="G67" s="1587"/>
      <c r="H67" s="1661"/>
      <c r="I67" s="1661"/>
      <c r="J67" s="1662"/>
      <c r="K67" s="1662"/>
      <c r="L67" s="1587"/>
      <c r="M67" s="1593"/>
      <c r="N67" s="1677"/>
      <c r="O67" s="1473"/>
      <c r="Q67" s="1672"/>
    </row>
    <row r="68" spans="1:17" s="1472" customFormat="1" x14ac:dyDescent="0.2">
      <c r="A68" s="1473"/>
      <c r="B68" s="1563">
        <v>57</v>
      </c>
      <c r="C68" s="1473"/>
      <c r="D68" s="1473"/>
      <c r="E68" s="1473"/>
      <c r="F68" s="1473"/>
      <c r="G68" s="1569"/>
      <c r="H68" s="1473"/>
      <c r="I68" s="1473"/>
      <c r="J68" s="1610"/>
      <c r="K68" s="1610"/>
      <c r="L68" s="1569"/>
      <c r="M68" s="1580"/>
      <c r="N68" s="1677"/>
      <c r="O68" s="1473"/>
      <c r="Q68" s="1672"/>
    </row>
    <row r="69" spans="1:17" s="1472" customFormat="1" x14ac:dyDescent="0.2">
      <c r="A69" s="1473"/>
      <c r="B69" s="1563">
        <v>58</v>
      </c>
      <c r="C69" s="1585" t="s">
        <v>164</v>
      </c>
      <c r="D69" s="1538"/>
      <c r="E69" s="1651"/>
      <c r="F69" s="1650"/>
      <c r="G69" s="1541"/>
      <c r="H69" s="1651"/>
      <c r="I69" s="1651"/>
      <c r="J69" s="1541"/>
      <c r="K69" s="1541"/>
      <c r="L69" s="1541"/>
      <c r="M69" s="1594"/>
      <c r="N69" s="1677"/>
      <c r="O69" s="1473"/>
      <c r="Q69" s="1672"/>
    </row>
    <row r="70" spans="1:17" s="1472" customFormat="1" x14ac:dyDescent="0.2">
      <c r="A70" s="1473"/>
      <c r="B70" s="1563">
        <v>59</v>
      </c>
      <c r="C70" s="1598"/>
      <c r="D70" s="1507"/>
      <c r="E70" s="1473"/>
      <c r="F70" s="1473"/>
      <c r="G70" s="1548"/>
      <c r="H70" s="1534"/>
      <c r="I70" s="1473"/>
      <c r="J70" s="1548"/>
      <c r="K70" s="1548"/>
      <c r="L70" s="1548"/>
      <c r="M70" s="1556"/>
      <c r="N70" s="1677"/>
      <c r="O70" s="1473"/>
      <c r="Q70" s="1672"/>
    </row>
    <row r="71" spans="1:17" s="1472" customFormat="1" x14ac:dyDescent="0.2">
      <c r="A71" s="1473"/>
      <c r="B71" s="1563">
        <v>60</v>
      </c>
      <c r="C71" s="1619" t="s">
        <v>142</v>
      </c>
      <c r="D71" s="1582" t="s">
        <v>67</v>
      </c>
      <c r="E71" s="1492">
        <v>552</v>
      </c>
      <c r="F71" s="1510">
        <v>431.69</v>
      </c>
      <c r="G71" s="1548">
        <f>ROUND(E71*F71,2)</f>
        <v>238292.88</v>
      </c>
      <c r="H71" s="1492"/>
      <c r="I71" s="1652">
        <f>ROUND(F71*(1+$O$57),2)</f>
        <v>431.69</v>
      </c>
      <c r="J71" s="1548">
        <f>ROUND(E71*I71,2)</f>
        <v>238292.88</v>
      </c>
      <c r="K71" s="1548"/>
      <c r="L71" s="1548">
        <f>J71-G71</f>
        <v>0</v>
      </c>
      <c r="M71" s="1556"/>
      <c r="N71" s="1677"/>
      <c r="O71" s="1473"/>
      <c r="Q71" s="1552">
        <f>I71/F71-1</f>
        <v>0</v>
      </c>
    </row>
    <row r="72" spans="1:17" s="1472" customFormat="1" x14ac:dyDescent="0.2">
      <c r="A72" s="1473"/>
      <c r="B72" s="1563">
        <v>61</v>
      </c>
      <c r="C72" s="1598" t="s">
        <v>11</v>
      </c>
      <c r="D72" s="1582" t="s">
        <v>67</v>
      </c>
      <c r="E72" s="1492">
        <f>E71</f>
        <v>552</v>
      </c>
      <c r="F72" s="1510">
        <v>129.19</v>
      </c>
      <c r="G72" s="1549">
        <f>E72*F72</f>
        <v>71312.88</v>
      </c>
      <c r="H72" s="1492"/>
      <c r="I72" s="1510">
        <f>I52</f>
        <v>129.19</v>
      </c>
      <c r="J72" s="1549">
        <f>ROUND(E72*I72,2)</f>
        <v>71312.88</v>
      </c>
      <c r="K72" s="1549"/>
      <c r="L72" s="1548">
        <f>J72-G72</f>
        <v>0</v>
      </c>
      <c r="M72" s="1603"/>
      <c r="N72" s="1677"/>
      <c r="O72" s="1582"/>
      <c r="Q72" s="1552">
        <f>I72/F72-1</f>
        <v>0</v>
      </c>
    </row>
    <row r="73" spans="1:17" s="1472" customFormat="1" x14ac:dyDescent="0.2">
      <c r="A73" s="1473"/>
      <c r="B73" s="1563">
        <v>62</v>
      </c>
      <c r="C73" s="1598" t="s">
        <v>24</v>
      </c>
      <c r="D73" s="1507" t="s">
        <v>74</v>
      </c>
      <c r="E73" s="1492">
        <v>397232</v>
      </c>
      <c r="F73" s="1510">
        <v>1.1399999999999999</v>
      </c>
      <c r="G73" s="1549">
        <f>ROUND(E73*F73,2)</f>
        <v>452844.48</v>
      </c>
      <c r="H73" s="1492"/>
      <c r="I73" s="1510">
        <f>I53</f>
        <v>1.1499999999999999</v>
      </c>
      <c r="J73" s="1549">
        <f>ROUND(E73*I73,2)</f>
        <v>456816.8</v>
      </c>
      <c r="K73" s="1473"/>
      <c r="L73" s="1548">
        <f>J73-G73</f>
        <v>3972.320000000007</v>
      </c>
      <c r="M73" s="1603"/>
      <c r="N73" s="1677"/>
      <c r="O73" s="1473"/>
      <c r="Q73" s="1552">
        <f>I73/F73-1</f>
        <v>8.7719298245614308E-3</v>
      </c>
    </row>
    <row r="74" spans="1:17" s="1472" customFormat="1" x14ac:dyDescent="0.2">
      <c r="A74" s="1473"/>
      <c r="B74" s="1563">
        <v>63</v>
      </c>
      <c r="C74" s="1598"/>
      <c r="D74" s="1507"/>
      <c r="E74" s="1492"/>
      <c r="F74" s="1510"/>
      <c r="G74" s="1549"/>
      <c r="H74" s="1492"/>
      <c r="I74" s="1510"/>
      <c r="J74" s="1549"/>
      <c r="K74" s="1549"/>
      <c r="L74" s="1606"/>
      <c r="M74" s="1603"/>
      <c r="N74" s="1677"/>
      <c r="O74" s="1473"/>
      <c r="Q74" s="1672"/>
    </row>
    <row r="75" spans="1:17" s="1472" customFormat="1" x14ac:dyDescent="0.2">
      <c r="A75" s="1473"/>
      <c r="B75" s="1563">
        <v>64</v>
      </c>
      <c r="C75" s="1598" t="s">
        <v>85</v>
      </c>
      <c r="D75" s="1507"/>
      <c r="E75" s="1492"/>
      <c r="F75" s="1510"/>
      <c r="G75" s="1548"/>
      <c r="H75" s="1492"/>
      <c r="I75" s="1510"/>
      <c r="J75" s="1549"/>
      <c r="K75" s="1549"/>
      <c r="L75" s="1606"/>
      <c r="M75" s="1603"/>
      <c r="N75" s="1677"/>
      <c r="O75" s="1473"/>
      <c r="Q75" s="1672"/>
    </row>
    <row r="76" spans="1:17" s="1472" customFormat="1" x14ac:dyDescent="0.2">
      <c r="A76" s="1473"/>
      <c r="B76" s="1563">
        <v>65</v>
      </c>
      <c r="C76" s="1598" t="s">
        <v>162</v>
      </c>
      <c r="D76" s="1507" t="s">
        <v>10</v>
      </c>
      <c r="E76" s="1492">
        <f>323213+173953</f>
        <v>497166</v>
      </c>
      <c r="F76" s="1554">
        <v>0.14354</v>
      </c>
      <c r="G76" s="1548" t="s">
        <v>133</v>
      </c>
      <c r="H76" s="1492"/>
      <c r="I76" s="1554">
        <f>I56</f>
        <v>0.14354</v>
      </c>
      <c r="J76" s="1548" t="s">
        <v>133</v>
      </c>
      <c r="K76" s="1548"/>
      <c r="L76" s="1548"/>
      <c r="M76" s="1556"/>
      <c r="N76" s="1677"/>
      <c r="O76" s="1473"/>
      <c r="Q76" s="1552">
        <f>I76/F76-1</f>
        <v>0</v>
      </c>
    </row>
    <row r="77" spans="1:17" s="1472" customFormat="1" x14ac:dyDescent="0.2">
      <c r="A77" s="1473"/>
      <c r="B77" s="1563">
        <v>66</v>
      </c>
      <c r="C77" s="1598" t="s">
        <v>156</v>
      </c>
      <c r="D77" s="1507" t="s">
        <v>10</v>
      </c>
      <c r="E77" s="1492">
        <f>1181745+777489</f>
        <v>1959234</v>
      </c>
      <c r="F77" s="1554">
        <v>0.14354</v>
      </c>
      <c r="G77" s="1548">
        <f>E77*F77</f>
        <v>281228.44835999998</v>
      </c>
      <c r="H77" s="1492"/>
      <c r="I77" s="1554">
        <f>I57</f>
        <v>0.14354</v>
      </c>
      <c r="J77" s="1548">
        <f>I77*E77</f>
        <v>281228.44835999998</v>
      </c>
      <c r="K77" s="1548"/>
      <c r="L77" s="1548">
        <f>J77-G77</f>
        <v>0</v>
      </c>
      <c r="M77" s="1556"/>
      <c r="N77" s="1677"/>
      <c r="O77" s="1473"/>
      <c r="Q77" s="1552">
        <f>I77/F77-1</f>
        <v>0</v>
      </c>
    </row>
    <row r="78" spans="1:17" s="1472" customFormat="1" x14ac:dyDescent="0.2">
      <c r="A78" s="1473"/>
      <c r="B78" s="1563">
        <v>67</v>
      </c>
      <c r="C78" s="1598" t="s">
        <v>12</v>
      </c>
      <c r="D78" s="1507" t="s">
        <v>10</v>
      </c>
      <c r="E78" s="1492">
        <f>1421648+3936526</f>
        <v>5358174</v>
      </c>
      <c r="F78" s="1554">
        <v>0.11713999999999999</v>
      </c>
      <c r="G78" s="1548">
        <f>E78*F78</f>
        <v>627656.50235999993</v>
      </c>
      <c r="H78" s="1492"/>
      <c r="I78" s="1554">
        <f>I58</f>
        <v>0.11713999999999999</v>
      </c>
      <c r="J78" s="1548">
        <f>I78*E78</f>
        <v>627656.50235999993</v>
      </c>
      <c r="K78" s="1548"/>
      <c r="L78" s="1548">
        <f>J78-G78</f>
        <v>0</v>
      </c>
      <c r="M78" s="1556"/>
      <c r="N78" s="1677"/>
      <c r="O78" s="1473"/>
      <c r="Q78" s="1552">
        <f>I78/F78-1</f>
        <v>0</v>
      </c>
    </row>
    <row r="79" spans="1:17" s="1472" customFormat="1" x14ac:dyDescent="0.2">
      <c r="A79" s="1473"/>
      <c r="B79" s="1563">
        <v>68</v>
      </c>
      <c r="C79" s="1619" t="s">
        <v>121</v>
      </c>
      <c r="D79" s="1533"/>
      <c r="E79" s="1539">
        <f>SUM(E76:E78)</f>
        <v>7814574</v>
      </c>
      <c r="F79" s="1630"/>
      <c r="G79" s="1549"/>
      <c r="H79" s="1492"/>
      <c r="I79" s="1492"/>
      <c r="J79" s="1473"/>
      <c r="K79" s="1473"/>
      <c r="L79" s="1473"/>
      <c r="M79" s="1588"/>
      <c r="N79" s="1677"/>
      <c r="O79" s="1473"/>
      <c r="Q79" s="1672"/>
    </row>
    <row r="80" spans="1:17" s="1472" customFormat="1" x14ac:dyDescent="0.2">
      <c r="A80" s="1473"/>
      <c r="B80" s="1563">
        <v>69</v>
      </c>
      <c r="C80" s="1619" t="s">
        <v>66</v>
      </c>
      <c r="D80" s="1507" t="s">
        <v>10</v>
      </c>
      <c r="E80" s="1492">
        <f>E79</f>
        <v>7814574</v>
      </c>
      <c r="F80" s="1816">
        <v>-5.1999999999999998E-3</v>
      </c>
      <c r="G80" s="1549">
        <f>E80*F80</f>
        <v>-40635.784800000001</v>
      </c>
      <c r="H80" s="1492"/>
      <c r="I80" s="1817">
        <f>-'Exhibit No._(CTM-4), Pg. 5'!I128</f>
        <v>-5.2300000000000003E-3</v>
      </c>
      <c r="J80" s="1549">
        <f>E80*I80</f>
        <v>-40870.222020000001</v>
      </c>
      <c r="K80" s="1549"/>
      <c r="L80" s="1548">
        <f>J80-G80</f>
        <v>-234.4372199999998</v>
      </c>
      <c r="M80" s="1556"/>
      <c r="N80" s="1677"/>
      <c r="O80" s="1473"/>
      <c r="Q80" s="1552">
        <f>I80/F80-1</f>
        <v>5.7692307692309708E-3</v>
      </c>
    </row>
    <row r="81" spans="1:17" s="1472" customFormat="1" x14ac:dyDescent="0.2">
      <c r="A81" s="1473"/>
      <c r="B81" s="1563">
        <v>70</v>
      </c>
      <c r="C81" s="1557" t="s">
        <v>184</v>
      </c>
      <c r="D81" s="1533"/>
      <c r="E81" s="1492"/>
      <c r="F81" s="1630"/>
      <c r="G81" s="1558">
        <f>SUM(G71:G80)</f>
        <v>1630699.4059199998</v>
      </c>
      <c r="H81" s="1492"/>
      <c r="I81" s="1492"/>
      <c r="J81" s="1558">
        <f>SUM(J71:J80)</f>
        <v>1634437.2887000002</v>
      </c>
      <c r="K81" s="1549"/>
      <c r="L81" s="1558">
        <f>SUM(L71:L80)</f>
        <v>3737.8827800000072</v>
      </c>
      <c r="M81" s="1594">
        <f>ROUND(L81/G81,5)</f>
        <v>2.2899999999999999E-3</v>
      </c>
      <c r="N81" s="1677"/>
      <c r="O81" s="1473"/>
      <c r="Q81" s="1672"/>
    </row>
    <row r="82" spans="1:17" s="1472" customFormat="1" x14ac:dyDescent="0.2">
      <c r="A82" s="1473"/>
      <c r="B82" s="1563">
        <v>71</v>
      </c>
      <c r="C82" s="1619"/>
      <c r="D82" s="1533"/>
      <c r="E82" s="1492"/>
      <c r="F82" s="1630"/>
      <c r="G82" s="1549"/>
      <c r="H82" s="1492"/>
      <c r="I82" s="1492"/>
      <c r="J82" s="1549"/>
      <c r="K82" s="1549"/>
      <c r="L82" s="1548"/>
      <c r="M82" s="1556"/>
      <c r="N82" s="1677"/>
      <c r="O82" s="1473"/>
      <c r="Q82" s="1672"/>
    </row>
    <row r="83" spans="1:17" s="1472" customFormat="1" x14ac:dyDescent="0.2">
      <c r="A83" s="1473"/>
      <c r="B83" s="1563">
        <v>72</v>
      </c>
      <c r="C83" s="1598" t="s">
        <v>120</v>
      </c>
      <c r="D83" s="1507" t="s">
        <v>10</v>
      </c>
      <c r="E83" s="1492">
        <f>E79</f>
        <v>7814574</v>
      </c>
      <c r="F83" s="1554">
        <v>6.9999999999999999E-4</v>
      </c>
      <c r="G83" s="1548">
        <f>F83*E83</f>
        <v>5470.2017999999998</v>
      </c>
      <c r="H83" s="1473"/>
      <c r="I83" s="1554">
        <f>F83</f>
        <v>6.9999999999999999E-4</v>
      </c>
      <c r="J83" s="1548">
        <f>I83*E83</f>
        <v>5470.2017999999998</v>
      </c>
      <c r="K83" s="1548"/>
      <c r="L83" s="1548">
        <f>J83-G83</f>
        <v>0</v>
      </c>
      <c r="M83" s="1556"/>
      <c r="N83" s="1677"/>
      <c r="O83" s="1678"/>
      <c r="P83" s="1507"/>
      <c r="Q83" s="1552"/>
    </row>
    <row r="84" spans="1:17" s="1472" customFormat="1" x14ac:dyDescent="0.2">
      <c r="A84" s="1473"/>
      <c r="B84" s="1563">
        <v>73</v>
      </c>
      <c r="C84" s="1598"/>
      <c r="D84" s="1507"/>
      <c r="E84" s="1492"/>
      <c r="F84" s="1554"/>
      <c r="G84" s="1548"/>
      <c r="H84" s="1473"/>
      <c r="I84" s="1554"/>
      <c r="J84" s="1548"/>
      <c r="K84" s="1548"/>
      <c r="L84" s="1548"/>
      <c r="M84" s="1556"/>
      <c r="N84" s="1677"/>
      <c r="O84" s="1678"/>
      <c r="P84" s="1507"/>
      <c r="Q84" s="1552"/>
    </row>
    <row r="85" spans="1:17" s="1472" customFormat="1" x14ac:dyDescent="0.2">
      <c r="A85" s="1473"/>
      <c r="B85" s="1563">
        <v>74</v>
      </c>
      <c r="C85" s="1598" t="s">
        <v>26</v>
      </c>
      <c r="D85" s="1507"/>
      <c r="E85" s="1492"/>
      <c r="F85" s="1554"/>
      <c r="G85" s="1558">
        <f>G81+G83</f>
        <v>1636169.6077199997</v>
      </c>
      <c r="H85" s="1473"/>
      <c r="I85" s="1510"/>
      <c r="J85" s="1558">
        <f>J81+SUM(J83:J83)</f>
        <v>1639907.4905000001</v>
      </c>
      <c r="K85" s="1548"/>
      <c r="L85" s="1558">
        <f>L81+SUM(L83:L83)</f>
        <v>3737.8827800000072</v>
      </c>
      <c r="M85" s="1594">
        <f>ROUND(L85/G85,5)</f>
        <v>2.2799999999999999E-3</v>
      </c>
      <c r="N85" s="1677"/>
      <c r="O85" s="1548"/>
      <c r="P85" s="1507"/>
      <c r="Q85" s="1492"/>
    </row>
    <row r="86" spans="1:17" s="1472" customFormat="1" x14ac:dyDescent="0.2">
      <c r="A86" s="1473"/>
      <c r="B86" s="1563">
        <v>75</v>
      </c>
      <c r="C86" s="1598"/>
      <c r="D86" s="1533"/>
      <c r="E86" s="1473"/>
      <c r="F86" s="1509"/>
      <c r="G86" s="1473"/>
      <c r="H86" s="1473"/>
      <c r="I86" s="1473"/>
      <c r="J86" s="1569"/>
      <c r="K86" s="1473"/>
      <c r="L86" s="1473"/>
      <c r="M86" s="1588"/>
      <c r="N86" s="1677"/>
      <c r="O86" s="1569"/>
      <c r="P86" s="1507"/>
      <c r="Q86" s="1492"/>
    </row>
    <row r="87" spans="1:17" s="1472" customFormat="1" x14ac:dyDescent="0.2">
      <c r="A87" s="1473"/>
      <c r="B87" s="1563">
        <v>76</v>
      </c>
      <c r="C87" s="1665"/>
      <c r="D87" s="1661"/>
      <c r="E87" s="1661"/>
      <c r="F87" s="1661"/>
      <c r="G87" s="1587"/>
      <c r="H87" s="1661"/>
      <c r="I87" s="1661"/>
      <c r="J87" s="1662"/>
      <c r="K87" s="1662"/>
      <c r="L87" s="1587"/>
      <c r="M87" s="1593"/>
      <c r="N87" s="1677"/>
      <c r="O87" s="1678"/>
      <c r="P87" s="1507"/>
      <c r="Q87" s="1492"/>
    </row>
    <row r="88" spans="1:17" s="1472" customFormat="1" x14ac:dyDescent="0.2">
      <c r="A88" s="1473"/>
      <c r="B88" s="1563">
        <v>77</v>
      </c>
      <c r="C88" s="1585" t="s">
        <v>140</v>
      </c>
      <c r="D88" s="1538"/>
      <c r="E88" s="1651"/>
      <c r="F88" s="1650"/>
      <c r="G88" s="1541"/>
      <c r="H88" s="1651"/>
      <c r="I88" s="1651"/>
      <c r="J88" s="1541"/>
      <c r="K88" s="1541"/>
      <c r="L88" s="1541"/>
      <c r="M88" s="1594"/>
      <c r="N88" s="1677"/>
      <c r="O88" s="1678"/>
      <c r="P88" s="1507"/>
      <c r="Q88" s="1492"/>
    </row>
    <row r="89" spans="1:17" s="1472" customFormat="1" x14ac:dyDescent="0.2">
      <c r="A89" s="1473"/>
      <c r="B89" s="1563">
        <v>78</v>
      </c>
      <c r="C89" s="1547"/>
      <c r="D89" s="1507"/>
      <c r="E89" s="1473"/>
      <c r="F89" s="1473"/>
      <c r="G89" s="1548"/>
      <c r="H89" s="1534"/>
      <c r="I89" s="1473"/>
      <c r="J89" s="1548"/>
      <c r="K89" s="1548"/>
      <c r="L89" s="1548"/>
      <c r="M89" s="1556"/>
      <c r="N89" s="1677"/>
      <c r="O89" s="1678"/>
      <c r="P89" s="1507"/>
      <c r="Q89" s="1492"/>
    </row>
    <row r="90" spans="1:17" s="1472" customFormat="1" x14ac:dyDescent="0.2">
      <c r="A90" s="1473"/>
      <c r="B90" s="1563">
        <v>79</v>
      </c>
      <c r="C90" s="1619" t="s">
        <v>142</v>
      </c>
      <c r="D90" s="1582" t="s">
        <v>67</v>
      </c>
      <c r="E90" s="1492">
        <f>E71+E51</f>
        <v>19149.009999999998</v>
      </c>
      <c r="F90" s="1510"/>
      <c r="G90" s="1548">
        <f>G71+G51</f>
        <v>2319670.2400000002</v>
      </c>
      <c r="H90" s="1492"/>
      <c r="I90" s="1510"/>
      <c r="J90" s="1548">
        <f>J71+J51</f>
        <v>2319670.2400000002</v>
      </c>
      <c r="K90" s="1548"/>
      <c r="L90" s="1548">
        <f>L71+L51</f>
        <v>0</v>
      </c>
      <c r="M90" s="1556"/>
      <c r="N90" s="1677"/>
      <c r="O90" s="1678"/>
      <c r="P90" s="1507"/>
      <c r="Q90" s="1492"/>
    </row>
    <row r="91" spans="1:17" s="1472" customFormat="1" x14ac:dyDescent="0.2">
      <c r="A91" s="1473"/>
      <c r="B91" s="1563">
        <v>80</v>
      </c>
      <c r="C91" s="1598" t="s">
        <v>11</v>
      </c>
      <c r="D91" s="1582" t="s">
        <v>67</v>
      </c>
      <c r="E91" s="1492">
        <f>E90</f>
        <v>19149.009999999998</v>
      </c>
      <c r="F91" s="1510"/>
      <c r="G91" s="1548">
        <f>G72+G52</f>
        <v>2473860.6018999997</v>
      </c>
      <c r="H91" s="1492"/>
      <c r="I91" s="1510"/>
      <c r="J91" s="1548">
        <f>J72+J52</f>
        <v>2473860.6</v>
      </c>
      <c r="K91" s="1549"/>
      <c r="L91" s="1548">
        <f>L72+L52</f>
        <v>-1.8999995663762093E-3</v>
      </c>
      <c r="M91" s="1603"/>
      <c r="N91" s="1677"/>
      <c r="O91" s="1678"/>
      <c r="P91" s="1507"/>
      <c r="Q91" s="1492"/>
    </row>
    <row r="92" spans="1:17" s="1472" customFormat="1" x14ac:dyDescent="0.2">
      <c r="A92" s="1473"/>
      <c r="B92" s="1563">
        <v>81</v>
      </c>
      <c r="C92" s="1547" t="s">
        <v>24</v>
      </c>
      <c r="D92" s="1507" t="s">
        <v>74</v>
      </c>
      <c r="E92" s="1492">
        <f>E73+E53</f>
        <v>4756933.63</v>
      </c>
      <c r="F92" s="1510"/>
      <c r="G92" s="1548">
        <f>G73+G53</f>
        <v>5422904.3399999999</v>
      </c>
      <c r="H92" s="1492"/>
      <c r="I92" s="1510"/>
      <c r="J92" s="1548">
        <f>J73+J53</f>
        <v>5470473.6699999999</v>
      </c>
      <c r="K92" s="1549"/>
      <c r="L92" s="1548">
        <f>L73+L53</f>
        <v>47569.329999999783</v>
      </c>
      <c r="M92" s="1603"/>
      <c r="N92" s="1677"/>
      <c r="O92" s="1678"/>
      <c r="P92" s="1507"/>
      <c r="Q92" s="1492"/>
    </row>
    <row r="93" spans="1:17" s="1472" customFormat="1" x14ac:dyDescent="0.2">
      <c r="A93" s="1473"/>
      <c r="B93" s="1563">
        <v>82</v>
      </c>
      <c r="C93" s="1547"/>
      <c r="D93" s="1507"/>
      <c r="E93" s="1492"/>
      <c r="F93" s="1510"/>
      <c r="G93" s="1549"/>
      <c r="H93" s="1492"/>
      <c r="I93" s="1510"/>
      <c r="J93" s="1549"/>
      <c r="K93" s="1549"/>
      <c r="L93" s="1606"/>
      <c r="M93" s="1603"/>
      <c r="N93" s="1677"/>
      <c r="O93" s="1678"/>
      <c r="P93" s="1507"/>
      <c r="Q93" s="1492"/>
    </row>
    <row r="94" spans="1:17" s="1472" customFormat="1" x14ac:dyDescent="0.2">
      <c r="A94" s="1473"/>
      <c r="B94" s="1563">
        <v>83</v>
      </c>
      <c r="C94" s="1547" t="s">
        <v>85</v>
      </c>
      <c r="D94" s="1507"/>
      <c r="E94" s="1492"/>
      <c r="F94" s="1510"/>
      <c r="G94" s="1548"/>
      <c r="H94" s="1492"/>
      <c r="I94" s="1510"/>
      <c r="J94" s="1549"/>
      <c r="K94" s="1549"/>
      <c r="L94" s="1606"/>
      <c r="M94" s="1603"/>
      <c r="N94" s="1677"/>
      <c r="O94" s="1678"/>
      <c r="P94" s="1507"/>
      <c r="Q94" s="1492"/>
    </row>
    <row r="95" spans="1:17" s="1472" customFormat="1" x14ac:dyDescent="0.2">
      <c r="A95" s="1473"/>
      <c r="B95" s="1563">
        <v>84</v>
      </c>
      <c r="C95" s="1598" t="s">
        <v>162</v>
      </c>
      <c r="D95" s="1507" t="s">
        <v>10</v>
      </c>
      <c r="E95" s="1492">
        <f>E76+E56</f>
        <v>16074813</v>
      </c>
      <c r="F95" s="1554"/>
      <c r="G95" s="1548"/>
      <c r="H95" s="1492"/>
      <c r="I95" s="1554"/>
      <c r="J95" s="1548" t="s">
        <v>133</v>
      </c>
      <c r="K95" s="1548"/>
      <c r="L95" s="1548"/>
      <c r="M95" s="1556"/>
      <c r="N95" s="1677"/>
      <c r="O95" s="1678"/>
      <c r="P95" s="1507"/>
      <c r="Q95" s="1492"/>
    </row>
    <row r="96" spans="1:17" s="1472" customFormat="1" x14ac:dyDescent="0.2">
      <c r="A96" s="1473"/>
      <c r="B96" s="1563">
        <v>85</v>
      </c>
      <c r="C96" s="1598" t="s">
        <v>156</v>
      </c>
      <c r="D96" s="1507" t="s">
        <v>10</v>
      </c>
      <c r="E96" s="1492">
        <f>E77+E57</f>
        <v>31616969</v>
      </c>
      <c r="F96" s="1554"/>
      <c r="G96" s="1548">
        <f>G77+G57</f>
        <v>4538299.7283600001</v>
      </c>
      <c r="H96" s="1492"/>
      <c r="I96" s="1554"/>
      <c r="J96" s="1548">
        <f>J77+J57</f>
        <v>4538299.7283600001</v>
      </c>
      <c r="K96" s="1548"/>
      <c r="L96" s="1548">
        <f>L77+L57</f>
        <v>0</v>
      </c>
      <c r="M96" s="1556"/>
      <c r="N96" s="1677"/>
      <c r="O96" s="1678"/>
      <c r="P96" s="1507"/>
      <c r="Q96" s="1492"/>
    </row>
    <row r="97" spans="1:17" s="1472" customFormat="1" x14ac:dyDescent="0.2">
      <c r="A97" s="1473"/>
      <c r="B97" s="1563">
        <v>86</v>
      </c>
      <c r="C97" s="1598" t="s">
        <v>12</v>
      </c>
      <c r="D97" s="1507" t="s">
        <v>10</v>
      </c>
      <c r="E97" s="1572">
        <f>E78+E58</f>
        <v>29691049</v>
      </c>
      <c r="F97" s="1554"/>
      <c r="G97" s="1548">
        <f>G78+G58</f>
        <v>3478009.4823599998</v>
      </c>
      <c r="H97" s="1492"/>
      <c r="I97" s="1554"/>
      <c r="J97" s="1548">
        <f>J78+J58</f>
        <v>3478009.4823599998</v>
      </c>
      <c r="K97" s="1548"/>
      <c r="L97" s="1548">
        <f>L78+L58</f>
        <v>0</v>
      </c>
      <c r="M97" s="1556"/>
      <c r="N97" s="1677"/>
      <c r="O97" s="1678"/>
      <c r="P97" s="1507"/>
      <c r="Q97" s="1492"/>
    </row>
    <row r="98" spans="1:17" s="1472" customFormat="1" x14ac:dyDescent="0.2">
      <c r="A98" s="1473"/>
      <c r="B98" s="1563">
        <v>87</v>
      </c>
      <c r="C98" s="1532" t="s">
        <v>121</v>
      </c>
      <c r="D98" s="1533"/>
      <c r="E98" s="1539">
        <f>SUM(E95:E97)</f>
        <v>77382831</v>
      </c>
      <c r="F98" s="1630"/>
      <c r="G98" s="1549"/>
      <c r="H98" s="1492"/>
      <c r="I98" s="1492"/>
      <c r="J98" s="1473"/>
      <c r="K98" s="1473"/>
      <c r="L98" s="1473"/>
      <c r="M98" s="1588"/>
      <c r="N98" s="1677"/>
      <c r="O98" s="1678"/>
      <c r="P98" s="1507"/>
      <c r="Q98" s="1492"/>
    </row>
    <row r="99" spans="1:17" s="1472" customFormat="1" x14ac:dyDescent="0.2">
      <c r="A99" s="1473"/>
      <c r="B99" s="1563">
        <v>88</v>
      </c>
      <c r="C99" s="1619" t="s">
        <v>66</v>
      </c>
      <c r="D99" s="1507" t="s">
        <v>10</v>
      </c>
      <c r="E99" s="1492">
        <f>E80+E60</f>
        <v>7814574</v>
      </c>
      <c r="F99" s="1816"/>
      <c r="G99" s="1549">
        <f>G80</f>
        <v>-40635.784800000001</v>
      </c>
      <c r="H99" s="1492"/>
      <c r="I99" s="1492"/>
      <c r="J99" s="1549">
        <f>J80</f>
        <v>-40870.222020000001</v>
      </c>
      <c r="K99" s="1549"/>
      <c r="L99" s="1549">
        <f>L80</f>
        <v>-234.4372199999998</v>
      </c>
      <c r="M99" s="1556"/>
      <c r="N99" s="1677"/>
      <c r="O99" s="1678"/>
      <c r="P99" s="1507"/>
      <c r="Q99" s="1492"/>
    </row>
    <row r="100" spans="1:17" s="1472" customFormat="1" x14ac:dyDescent="0.2">
      <c r="A100" s="1473"/>
      <c r="B100" s="1563">
        <v>89</v>
      </c>
      <c r="C100" s="1557" t="s">
        <v>184</v>
      </c>
      <c r="D100" s="1533"/>
      <c r="E100" s="1492"/>
      <c r="F100" s="1630"/>
      <c r="G100" s="1558">
        <f>SUM(G90:G99)</f>
        <v>18192108.607819997</v>
      </c>
      <c r="H100" s="1492"/>
      <c r="I100" s="1492"/>
      <c r="J100" s="1558">
        <f>SUM(J90:J92,J96:J99)</f>
        <v>18239443.4987</v>
      </c>
      <c r="K100" s="1549"/>
      <c r="L100" s="1558">
        <f>SUM(L90:L99)</f>
        <v>47334.890880000217</v>
      </c>
      <c r="M100" s="1594">
        <f>ROUND(L100/G100,5)</f>
        <v>2.5999999999999999E-3</v>
      </c>
      <c r="N100" s="1677"/>
      <c r="O100" s="1678"/>
      <c r="P100" s="1507"/>
      <c r="Q100" s="1492"/>
    </row>
    <row r="101" spans="1:17" s="1472" customFormat="1" x14ac:dyDescent="0.2">
      <c r="A101" s="1473"/>
      <c r="B101" s="1563">
        <v>90</v>
      </c>
      <c r="C101" s="1532"/>
      <c r="D101" s="1533"/>
      <c r="E101" s="1492"/>
      <c r="F101" s="1630"/>
      <c r="G101" s="1549"/>
      <c r="H101" s="1492"/>
      <c r="I101" s="1492"/>
      <c r="J101" s="1549"/>
      <c r="K101" s="1549"/>
      <c r="L101" s="1548"/>
      <c r="M101" s="1556"/>
      <c r="N101" s="1677"/>
      <c r="O101" s="1678"/>
      <c r="P101" s="1507"/>
      <c r="Q101" s="1492"/>
    </row>
    <row r="102" spans="1:17" s="1472" customFormat="1" x14ac:dyDescent="0.2">
      <c r="A102" s="1473"/>
      <c r="B102" s="1563">
        <v>91</v>
      </c>
      <c r="C102" s="1565" t="s">
        <v>145</v>
      </c>
      <c r="D102" s="1533"/>
      <c r="E102" s="1492"/>
      <c r="F102" s="1630"/>
      <c r="G102" s="1549"/>
      <c r="H102" s="1492"/>
      <c r="I102" s="1492"/>
      <c r="J102" s="1549"/>
      <c r="K102" s="1549"/>
      <c r="L102" s="1548"/>
      <c r="M102" s="1556"/>
      <c r="N102" s="1677"/>
      <c r="O102" s="1678"/>
      <c r="P102" s="1507"/>
      <c r="Q102" s="1492"/>
    </row>
    <row r="103" spans="1:17" s="1472" customFormat="1" x14ac:dyDescent="0.2">
      <c r="A103" s="1473"/>
      <c r="B103" s="1563">
        <v>92</v>
      </c>
      <c r="C103" s="1598" t="s">
        <v>86</v>
      </c>
      <c r="D103" s="1533"/>
      <c r="E103" s="1492"/>
      <c r="F103" s="1630"/>
      <c r="G103" s="1549">
        <f>G62</f>
        <v>43771651.621830001</v>
      </c>
      <c r="H103" s="1492"/>
      <c r="I103" s="1492"/>
      <c r="J103" s="1549">
        <f>J62</f>
        <v>43771651.621830001</v>
      </c>
      <c r="K103" s="1549"/>
      <c r="L103" s="1549">
        <f>L62</f>
        <v>0</v>
      </c>
      <c r="M103" s="1556"/>
      <c r="N103" s="1677"/>
      <c r="O103" s="1678"/>
      <c r="P103" s="1507"/>
      <c r="Q103" s="1492"/>
    </row>
    <row r="104" spans="1:17" s="1472" customFormat="1" x14ac:dyDescent="0.2">
      <c r="A104" s="1473"/>
      <c r="B104" s="1563">
        <v>93</v>
      </c>
      <c r="C104" s="1598" t="s">
        <v>24</v>
      </c>
      <c r="D104" s="1533"/>
      <c r="E104" s="1492"/>
      <c r="F104" s="1630"/>
      <c r="G104" s="1549">
        <f>G63</f>
        <v>4577686.7115000002</v>
      </c>
      <c r="H104" s="1492"/>
      <c r="I104" s="1492"/>
      <c r="J104" s="1549">
        <f>J63</f>
        <v>4577686.7115000002</v>
      </c>
      <c r="K104" s="1549"/>
      <c r="L104" s="1549">
        <f>L63</f>
        <v>0</v>
      </c>
      <c r="M104" s="1556"/>
      <c r="N104" s="1677"/>
      <c r="O104" s="1678"/>
      <c r="P104" s="1507"/>
      <c r="Q104" s="1492"/>
    </row>
    <row r="105" spans="1:17" s="1472" customFormat="1" x14ac:dyDescent="0.2">
      <c r="A105" s="1473"/>
      <c r="B105" s="1563">
        <v>94</v>
      </c>
      <c r="C105" s="1598" t="s">
        <v>120</v>
      </c>
      <c r="D105" s="1533"/>
      <c r="E105" s="1492"/>
      <c r="F105" s="1630"/>
      <c r="G105" s="1549">
        <f>G83</f>
        <v>5470.2017999999998</v>
      </c>
      <c r="H105" s="1492"/>
      <c r="I105" s="1492"/>
      <c r="J105" s="1549">
        <f>J83</f>
        <v>5470.2017999999998</v>
      </c>
      <c r="K105" s="1549"/>
      <c r="L105" s="1549">
        <f>L83</f>
        <v>0</v>
      </c>
      <c r="M105" s="1556"/>
      <c r="N105" s="1677"/>
      <c r="O105" s="1678"/>
      <c r="P105" s="1507"/>
      <c r="Q105" s="1492"/>
    </row>
    <row r="106" spans="1:17" s="1472" customFormat="1" x14ac:dyDescent="0.2">
      <c r="A106" s="1473"/>
      <c r="B106" s="1563">
        <v>95</v>
      </c>
      <c r="C106" s="1532" t="s">
        <v>185</v>
      </c>
      <c r="D106" s="1533"/>
      <c r="E106" s="1492"/>
      <c r="F106" s="1630"/>
      <c r="G106" s="1558">
        <f>SUM(G103:G105)</f>
        <v>48354808.535130009</v>
      </c>
      <c r="H106" s="1492"/>
      <c r="I106" s="1492"/>
      <c r="J106" s="1558">
        <f>SUM(J103:J105)</f>
        <v>48354808.535130009</v>
      </c>
      <c r="K106" s="1549"/>
      <c r="L106" s="1558">
        <f>SUM(L103:L105)</f>
        <v>0</v>
      </c>
      <c r="M106" s="1594">
        <f>ROUND(L106/G106,5)</f>
        <v>0</v>
      </c>
      <c r="N106" s="1677"/>
      <c r="O106" s="1678"/>
      <c r="P106" s="1507"/>
      <c r="Q106" s="1492"/>
    </row>
    <row r="107" spans="1:17" s="1472" customFormat="1" x14ac:dyDescent="0.2">
      <c r="A107" s="1473"/>
      <c r="B107" s="1563">
        <v>96</v>
      </c>
      <c r="C107" s="1547"/>
      <c r="D107" s="1533"/>
      <c r="E107" s="1473"/>
      <c r="F107" s="1507"/>
      <c r="G107" s="1548"/>
      <c r="H107" s="1492"/>
      <c r="I107" s="1492"/>
      <c r="J107" s="1549"/>
      <c r="K107" s="1549"/>
      <c r="L107" s="1548"/>
      <c r="M107" s="1556"/>
      <c r="N107" s="1677"/>
      <c r="O107" s="1678"/>
      <c r="P107" s="1507"/>
      <c r="Q107" s="1492"/>
    </row>
    <row r="108" spans="1:17" s="1472" customFormat="1" x14ac:dyDescent="0.2">
      <c r="A108" s="1473"/>
      <c r="B108" s="1563">
        <v>97</v>
      </c>
      <c r="C108" s="1547" t="s">
        <v>26</v>
      </c>
      <c r="D108" s="1507"/>
      <c r="E108" s="1492"/>
      <c r="F108" s="1554"/>
      <c r="G108" s="1558">
        <f>G100+G106</f>
        <v>66546917.142950006</v>
      </c>
      <c r="H108" s="1473"/>
      <c r="I108" s="1510"/>
      <c r="J108" s="1558">
        <f>J100+J106</f>
        <v>66594252.033830009</v>
      </c>
      <c r="K108" s="1548"/>
      <c r="L108" s="1558">
        <f>L100+L106</f>
        <v>47334.890880000217</v>
      </c>
      <c r="M108" s="1594">
        <f>ROUND(L108/G108,5)</f>
        <v>7.1000000000000002E-4</v>
      </c>
      <c r="N108" s="1677"/>
      <c r="O108" s="1548"/>
      <c r="P108" s="1507"/>
      <c r="Q108" s="1492"/>
    </row>
    <row r="109" spans="1:17" s="1472" customFormat="1" x14ac:dyDescent="0.2">
      <c r="A109" s="1473"/>
      <c r="B109" s="1563">
        <v>98</v>
      </c>
      <c r="C109" s="1665"/>
      <c r="D109" s="1661"/>
      <c r="E109" s="1661"/>
      <c r="F109" s="1661"/>
      <c r="G109" s="1587"/>
      <c r="H109" s="1661"/>
      <c r="I109" s="1661"/>
      <c r="J109" s="1662"/>
      <c r="K109" s="1662"/>
      <c r="L109" s="1587"/>
      <c r="M109" s="1593"/>
      <c r="N109" s="1677"/>
      <c r="O109" s="1507"/>
      <c r="P109" s="1507"/>
      <c r="Q109" s="1492"/>
    </row>
    <row r="110" spans="1:17" x14ac:dyDescent="0.2">
      <c r="B110" s="1563">
        <v>99</v>
      </c>
      <c r="C110" s="1585" t="s">
        <v>155</v>
      </c>
      <c r="D110" s="1650"/>
      <c r="E110" s="1650"/>
      <c r="F110" s="1650"/>
      <c r="G110" s="1541"/>
      <c r="H110" s="1539"/>
      <c r="I110" s="1651"/>
      <c r="J110" s="1541"/>
      <c r="K110" s="1541"/>
      <c r="L110" s="1541"/>
      <c r="M110" s="1594"/>
      <c r="N110" s="1624"/>
      <c r="O110" s="1520"/>
      <c r="P110" s="1520"/>
      <c r="Q110" s="1520"/>
    </row>
    <row r="111" spans="1:17" x14ac:dyDescent="0.2">
      <c r="B111" s="1563">
        <v>100</v>
      </c>
      <c r="C111" s="1547"/>
      <c r="D111" s="1507"/>
      <c r="E111" s="1524" t="s">
        <v>10</v>
      </c>
      <c r="F111" s="1507"/>
      <c r="G111" s="1625" t="s">
        <v>22</v>
      </c>
      <c r="H111" s="1492"/>
      <c r="I111" s="1473"/>
      <c r="J111" s="1625" t="s">
        <v>1</v>
      </c>
      <c r="K111" s="1548"/>
      <c r="L111" s="1625" t="s">
        <v>132</v>
      </c>
      <c r="M111" s="1556"/>
      <c r="N111" s="1624"/>
      <c r="O111" s="1599"/>
      <c r="P111" s="1563"/>
      <c r="Q111" s="1564"/>
    </row>
    <row r="112" spans="1:17" x14ac:dyDescent="0.2">
      <c r="B112" s="1563">
        <v>101</v>
      </c>
      <c r="C112" s="1721" t="s">
        <v>122</v>
      </c>
      <c r="D112" s="1681"/>
      <c r="E112" s="1630"/>
      <c r="F112" s="1681"/>
      <c r="G112" s="1681"/>
      <c r="H112" s="1844"/>
      <c r="I112" s="1844"/>
      <c r="J112" s="1681"/>
      <c r="K112" s="1681"/>
      <c r="L112" s="1681"/>
      <c r="M112" s="1556"/>
    </row>
    <row r="113" spans="2:13" x14ac:dyDescent="0.2">
      <c r="B113" s="1563">
        <v>102</v>
      </c>
      <c r="C113" s="1547" t="s">
        <v>192</v>
      </c>
      <c r="D113" s="1681"/>
      <c r="E113" s="1630"/>
      <c r="F113" s="1681"/>
      <c r="G113" s="1681">
        <f>G18+G29</f>
        <v>144583284.64949998</v>
      </c>
      <c r="H113" s="1844"/>
      <c r="I113" s="1844"/>
      <c r="J113" s="1681">
        <f>J18+J29</f>
        <v>144583284.64949998</v>
      </c>
      <c r="K113" s="1681"/>
      <c r="L113" s="1681">
        <f>J113-G113</f>
        <v>0</v>
      </c>
      <c r="M113" s="1556"/>
    </row>
    <row r="114" spans="2:13" x14ac:dyDescent="0.2">
      <c r="B114" s="1563">
        <v>103</v>
      </c>
      <c r="C114" s="1547" t="s">
        <v>193</v>
      </c>
      <c r="D114" s="1681"/>
      <c r="E114" s="1630"/>
      <c r="F114" s="1681"/>
      <c r="G114" s="1681">
        <f>G64+G83</f>
        <v>48354808.535130009</v>
      </c>
      <c r="H114" s="1844"/>
      <c r="I114" s="1844"/>
      <c r="J114" s="1681">
        <f>J64+J83</f>
        <v>48354808.535130009</v>
      </c>
      <c r="K114" s="1681"/>
      <c r="L114" s="1681">
        <f>J114-G114</f>
        <v>0</v>
      </c>
      <c r="M114" s="1556"/>
    </row>
    <row r="115" spans="2:13" x14ac:dyDescent="0.2">
      <c r="B115" s="1563">
        <v>104</v>
      </c>
      <c r="C115" s="1547" t="s">
        <v>23</v>
      </c>
      <c r="D115" s="1681"/>
      <c r="E115" s="1630"/>
      <c r="F115" s="1681"/>
      <c r="G115" s="1682">
        <f>SUM(G113:G114)</f>
        <v>192938093.18462998</v>
      </c>
      <c r="H115" s="1844"/>
      <c r="I115" s="1844"/>
      <c r="J115" s="1682">
        <f>SUM(J113:J114)</f>
        <v>192938093.18462998</v>
      </c>
      <c r="K115" s="1681"/>
      <c r="L115" s="1682">
        <f>SUM(L113:L114)</f>
        <v>0</v>
      </c>
      <c r="M115" s="1556"/>
    </row>
    <row r="116" spans="2:13" x14ac:dyDescent="0.2">
      <c r="B116" s="1563">
        <v>105</v>
      </c>
      <c r="C116" s="1547"/>
      <c r="D116" s="1681"/>
      <c r="E116" s="1630"/>
      <c r="F116" s="1681"/>
      <c r="G116" s="1681"/>
      <c r="H116" s="1844"/>
      <c r="I116" s="1844"/>
      <c r="J116" s="1681"/>
      <c r="K116" s="1681"/>
      <c r="L116" s="1681"/>
      <c r="M116" s="1556"/>
    </row>
    <row r="117" spans="2:13" x14ac:dyDescent="0.2">
      <c r="B117" s="1563">
        <v>106</v>
      </c>
      <c r="C117" s="1721" t="s">
        <v>123</v>
      </c>
      <c r="D117" s="1681"/>
      <c r="E117" s="1630"/>
      <c r="F117" s="1681"/>
      <c r="G117" s="1681"/>
      <c r="H117" s="1844"/>
      <c r="I117" s="1844"/>
      <c r="J117" s="1681"/>
      <c r="K117" s="1681"/>
      <c r="L117" s="1681"/>
      <c r="M117" s="1556"/>
    </row>
    <row r="118" spans="2:13" x14ac:dyDescent="0.2">
      <c r="B118" s="1563">
        <v>107</v>
      </c>
      <c r="C118" s="1547" t="s">
        <v>192</v>
      </c>
      <c r="D118" s="1681"/>
      <c r="E118" s="1630"/>
      <c r="F118" s="1681"/>
      <c r="G118" s="1681">
        <f>G16+G27+G47</f>
        <v>85374212.859999999</v>
      </c>
      <c r="H118" s="1681"/>
      <c r="I118" s="1844"/>
      <c r="J118" s="1681">
        <f>J16+J27+J47</f>
        <v>85684583.859999999</v>
      </c>
      <c r="K118" s="1681"/>
      <c r="L118" s="1681">
        <f>J118-G118</f>
        <v>310371</v>
      </c>
      <c r="M118" s="1556">
        <f>L118/G118</f>
        <v>3.6354185836999587E-3</v>
      </c>
    </row>
    <row r="119" spans="2:13" x14ac:dyDescent="0.2">
      <c r="B119" s="1563">
        <v>108</v>
      </c>
      <c r="C119" s="1547" t="s">
        <v>193</v>
      </c>
      <c r="D119" s="1681"/>
      <c r="E119" s="1630"/>
      <c r="F119" s="1681"/>
      <c r="G119" s="1681">
        <f>G59+G81</f>
        <v>18192108.60782</v>
      </c>
      <c r="H119" s="1681"/>
      <c r="I119" s="1844"/>
      <c r="J119" s="1681">
        <f>J59+J81</f>
        <v>18239443.4987</v>
      </c>
      <c r="K119" s="1681"/>
      <c r="L119" s="1681">
        <f>J119-G119</f>
        <v>47334.890879999846</v>
      </c>
      <c r="M119" s="1556">
        <f>L119/G119</f>
        <v>2.6019463658903523E-3</v>
      </c>
    </row>
    <row r="120" spans="2:13" x14ac:dyDescent="0.2">
      <c r="B120" s="1563">
        <v>109</v>
      </c>
      <c r="C120" s="1547" t="s">
        <v>23</v>
      </c>
      <c r="D120" s="1681"/>
      <c r="E120" s="1630"/>
      <c r="F120" s="1681"/>
      <c r="G120" s="1682">
        <f>SUM(G118:G119)</f>
        <v>103566321.46782</v>
      </c>
      <c r="H120" s="1681"/>
      <c r="I120" s="1844"/>
      <c r="J120" s="1682">
        <f>SUM(J118:J119)</f>
        <v>103924027.35870001</v>
      </c>
      <c r="K120" s="1681"/>
      <c r="L120" s="1682">
        <f>SUM(L118:L119)</f>
        <v>357705.89087999985</v>
      </c>
      <c r="M120" s="1556">
        <f>L120/G120</f>
        <v>3.4538823606972057E-3</v>
      </c>
    </row>
    <row r="121" spans="2:13" x14ac:dyDescent="0.2">
      <c r="B121" s="1563">
        <v>110</v>
      </c>
      <c r="C121" s="1547"/>
      <c r="D121" s="1681"/>
      <c r="E121" s="1630"/>
      <c r="F121" s="1681"/>
      <c r="G121" s="1681"/>
      <c r="H121" s="1681"/>
      <c r="I121" s="1844"/>
      <c r="J121" s="1681"/>
      <c r="K121" s="1681"/>
      <c r="L121" s="1681"/>
      <c r="M121" s="1556"/>
    </row>
    <row r="122" spans="2:13" x14ac:dyDescent="0.2">
      <c r="B122" s="1563">
        <v>111</v>
      </c>
      <c r="C122" s="1845" t="s">
        <v>124</v>
      </c>
      <c r="D122" s="1681"/>
      <c r="E122" s="1630"/>
      <c r="F122" s="1681"/>
      <c r="G122" s="1681"/>
      <c r="H122" s="1681"/>
      <c r="I122" s="1844"/>
      <c r="J122" s="1681"/>
      <c r="K122" s="1681"/>
      <c r="L122" s="1681"/>
      <c r="M122" s="1556"/>
    </row>
    <row r="123" spans="2:13" x14ac:dyDescent="0.2">
      <c r="B123" s="1563">
        <v>112</v>
      </c>
      <c r="C123" s="1547" t="s">
        <v>192</v>
      </c>
      <c r="D123" s="1681"/>
      <c r="E123" s="1630">
        <f>E36</f>
        <v>202387050</v>
      </c>
      <c r="F123" s="1681"/>
      <c r="G123" s="1681">
        <f>G113+G118</f>
        <v>229957497.50949997</v>
      </c>
      <c r="H123" s="1844"/>
      <c r="I123" s="1844"/>
      <c r="J123" s="1681">
        <f>J113+J118</f>
        <v>230267868.50949997</v>
      </c>
      <c r="K123" s="1681"/>
      <c r="L123" s="1681">
        <f>J123-G123</f>
        <v>310371</v>
      </c>
      <c r="M123" s="1556">
        <f>L123/G123</f>
        <v>1.349688544019653E-3</v>
      </c>
    </row>
    <row r="124" spans="2:13" x14ac:dyDescent="0.2">
      <c r="B124" s="1563">
        <v>113</v>
      </c>
      <c r="C124" s="1547" t="s">
        <v>193</v>
      </c>
      <c r="D124" s="1681"/>
      <c r="E124" s="1630">
        <f>E98</f>
        <v>77382831</v>
      </c>
      <c r="F124" s="1681"/>
      <c r="G124" s="1681">
        <f>G114+G119</f>
        <v>66546917.142950013</v>
      </c>
      <c r="H124" s="1844"/>
      <c r="I124" s="1844"/>
      <c r="J124" s="1681">
        <f>J114+J119</f>
        <v>66594252.033830009</v>
      </c>
      <c r="K124" s="1681"/>
      <c r="L124" s="1681">
        <f>J124-G124</f>
        <v>47334.890879996121</v>
      </c>
      <c r="M124" s="1556">
        <f>L124/G124</f>
        <v>7.1130103259803344E-4</v>
      </c>
    </row>
    <row r="125" spans="2:13" x14ac:dyDescent="0.2">
      <c r="B125" s="1563">
        <v>114</v>
      </c>
      <c r="C125" s="1547" t="s">
        <v>23</v>
      </c>
      <c r="D125" s="1681"/>
      <c r="E125" s="1632">
        <f>SUM(E123:E124)</f>
        <v>279769881</v>
      </c>
      <c r="F125" s="1681"/>
      <c r="G125" s="1682">
        <f>SUM(G123:G124)</f>
        <v>296504414.65244997</v>
      </c>
      <c r="H125" s="1844"/>
      <c r="I125" s="1844"/>
      <c r="J125" s="1682">
        <f>SUM(J123:J124)</f>
        <v>296862120.54332995</v>
      </c>
      <c r="K125" s="1681"/>
      <c r="L125" s="1682">
        <f>SUM(L123:L124)</f>
        <v>357705.89087999612</v>
      </c>
      <c r="M125" s="1556">
        <f>L125/G125</f>
        <v>1.2064099999970792E-3</v>
      </c>
    </row>
    <row r="126" spans="2:13" x14ac:dyDescent="0.2">
      <c r="B126" s="1563">
        <v>115</v>
      </c>
      <c r="C126" s="1547"/>
      <c r="D126" s="1681"/>
      <c r="E126" s="1630"/>
      <c r="F126" s="1681"/>
      <c r="G126" s="1681"/>
      <c r="H126" s="1844"/>
      <c r="I126" s="1844"/>
      <c r="J126" s="1681"/>
      <c r="K126" s="1681"/>
      <c r="L126" s="1681"/>
      <c r="M126" s="1556"/>
    </row>
    <row r="127" spans="2:13" x14ac:dyDescent="0.2">
      <c r="B127" s="1563">
        <v>116</v>
      </c>
      <c r="C127" s="1841" t="s">
        <v>189</v>
      </c>
      <c r="D127" s="1846"/>
      <c r="E127" s="1846"/>
      <c r="F127" s="1846"/>
      <c r="G127" s="1846"/>
      <c r="H127" s="1847"/>
      <c r="I127" s="1847"/>
      <c r="J127" s="1846"/>
      <c r="K127" s="1846"/>
      <c r="L127" s="1846"/>
      <c r="M127" s="1577"/>
    </row>
    <row r="128" spans="2:13" x14ac:dyDescent="0.2">
      <c r="B128" s="1563"/>
      <c r="D128" s="1673"/>
      <c r="E128" s="1673"/>
      <c r="F128" s="1673"/>
      <c r="G128" s="1673"/>
      <c r="H128" s="1680"/>
      <c r="I128" s="1680"/>
      <c r="J128" s="1673"/>
      <c r="K128" s="1673"/>
      <c r="L128" s="1673"/>
    </row>
    <row r="129" spans="2:12" x14ac:dyDescent="0.2">
      <c r="B129" s="1563"/>
      <c r="D129" s="1673"/>
      <c r="E129" s="1673"/>
      <c r="F129" s="1673"/>
      <c r="G129" s="1673"/>
      <c r="H129" s="1680"/>
      <c r="I129" s="1680"/>
      <c r="J129" s="1673"/>
      <c r="K129" s="1673"/>
      <c r="L129" s="1673"/>
    </row>
    <row r="130" spans="2:12" x14ac:dyDescent="0.2">
      <c r="B130" s="1563"/>
      <c r="D130" s="1673"/>
      <c r="E130" s="1673"/>
      <c r="F130" s="1673"/>
      <c r="G130" s="1673"/>
      <c r="H130" s="1680"/>
      <c r="I130" s="1680"/>
      <c r="J130" s="1673"/>
      <c r="K130" s="1673"/>
      <c r="L130" s="1673"/>
    </row>
    <row r="131" spans="2:12" x14ac:dyDescent="0.2">
      <c r="B131" s="1563"/>
      <c r="D131" s="1673"/>
      <c r="E131" s="1673"/>
      <c r="F131" s="1673"/>
      <c r="G131" s="1673"/>
      <c r="H131" s="1680"/>
      <c r="I131" s="1680"/>
      <c r="J131" s="1673"/>
      <c r="K131" s="1673"/>
      <c r="L131" s="1673"/>
    </row>
    <row r="132" spans="2:12" x14ac:dyDescent="0.2">
      <c r="B132" s="1563"/>
      <c r="D132" s="1673"/>
      <c r="E132" s="1673"/>
      <c r="F132" s="1673"/>
      <c r="G132" s="1673"/>
      <c r="H132" s="1680"/>
      <c r="I132" s="1680"/>
      <c r="J132" s="1673"/>
      <c r="K132" s="1673"/>
      <c r="L132" s="1673"/>
    </row>
    <row r="133" spans="2:12" x14ac:dyDescent="0.2">
      <c r="B133" s="1563"/>
      <c r="D133" s="1673"/>
      <c r="E133" s="1673"/>
      <c r="F133" s="1673"/>
      <c r="G133" s="1673"/>
      <c r="H133" s="1680"/>
      <c r="I133" s="1680"/>
      <c r="J133" s="1673"/>
      <c r="K133" s="1673"/>
      <c r="L133" s="1673"/>
    </row>
    <row r="134" spans="2:12" x14ac:dyDescent="0.2">
      <c r="B134" s="1563"/>
      <c r="D134" s="1673"/>
      <c r="E134" s="1673"/>
      <c r="F134" s="1673"/>
      <c r="G134" s="1673"/>
      <c r="H134" s="1680"/>
      <c r="I134" s="1680"/>
      <c r="J134" s="1673"/>
      <c r="K134" s="1673"/>
      <c r="L134" s="1673"/>
    </row>
    <row r="135" spans="2:12" x14ac:dyDescent="0.2">
      <c r="B135" s="1563"/>
      <c r="D135" s="1673"/>
      <c r="E135" s="1673"/>
      <c r="F135" s="1673"/>
      <c r="G135" s="1673"/>
      <c r="H135" s="1680"/>
      <c r="I135" s="1680"/>
      <c r="J135" s="1673"/>
      <c r="K135" s="1673"/>
      <c r="L135" s="1673"/>
    </row>
    <row r="136" spans="2:12" x14ac:dyDescent="0.2">
      <c r="B136" s="1563"/>
      <c r="D136" s="1673"/>
      <c r="E136" s="1673"/>
      <c r="F136" s="1673"/>
      <c r="G136" s="1673"/>
      <c r="H136" s="1680"/>
      <c r="I136" s="1680"/>
      <c r="J136" s="1673"/>
      <c r="K136" s="1673"/>
      <c r="L136" s="1673"/>
    </row>
    <row r="137" spans="2:12" x14ac:dyDescent="0.2">
      <c r="B137" s="1563"/>
      <c r="D137" s="1673"/>
      <c r="E137" s="1673"/>
      <c r="F137" s="1673"/>
      <c r="G137" s="1673"/>
      <c r="H137" s="1680"/>
      <c r="I137" s="1680"/>
      <c r="J137" s="1673"/>
      <c r="K137" s="1673"/>
      <c r="L137" s="1673"/>
    </row>
    <row r="138" spans="2:12" x14ac:dyDescent="0.2">
      <c r="B138" s="1563"/>
      <c r="D138" s="1673"/>
      <c r="E138" s="1673"/>
      <c r="F138" s="1673"/>
      <c r="G138" s="1673"/>
      <c r="H138" s="1680"/>
      <c r="I138" s="1680"/>
      <c r="J138" s="1673"/>
      <c r="K138" s="1673"/>
      <c r="L138" s="1673"/>
    </row>
    <row r="139" spans="2:12" x14ac:dyDescent="0.2">
      <c r="B139" s="1563"/>
      <c r="D139" s="1673"/>
      <c r="E139" s="1673"/>
      <c r="F139" s="1673"/>
      <c r="G139" s="1673"/>
      <c r="H139" s="1680"/>
      <c r="I139" s="1680"/>
      <c r="J139" s="1673"/>
      <c r="K139" s="1673"/>
      <c r="L139" s="1673"/>
    </row>
    <row r="140" spans="2:12" x14ac:dyDescent="0.2">
      <c r="B140" s="1563"/>
      <c r="D140" s="1673"/>
      <c r="E140" s="1673"/>
      <c r="F140" s="1673"/>
      <c r="G140" s="1673"/>
      <c r="H140" s="1680"/>
      <c r="I140" s="1680"/>
      <c r="J140" s="1673"/>
      <c r="K140" s="1673"/>
      <c r="L140" s="1673"/>
    </row>
    <row r="141" spans="2:12" x14ac:dyDescent="0.2">
      <c r="B141" s="1563"/>
      <c r="D141" s="1673"/>
      <c r="E141" s="1673"/>
      <c r="F141" s="1673"/>
      <c r="G141" s="1673"/>
      <c r="H141" s="1680"/>
      <c r="I141" s="1680"/>
      <c r="J141" s="1673"/>
      <c r="K141" s="1673"/>
      <c r="L141" s="1673"/>
    </row>
    <row r="142" spans="2:12" x14ac:dyDescent="0.2">
      <c r="B142" s="1563"/>
      <c r="D142" s="1673"/>
      <c r="E142" s="1673"/>
      <c r="F142" s="1673"/>
      <c r="G142" s="1673"/>
      <c r="H142" s="1680"/>
      <c r="I142" s="1680"/>
      <c r="J142" s="1673"/>
      <c r="K142" s="1673"/>
      <c r="L142" s="1673"/>
    </row>
    <row r="143" spans="2:12" x14ac:dyDescent="0.2">
      <c r="B143" s="1563"/>
      <c r="D143" s="1673"/>
      <c r="E143" s="1673"/>
      <c r="F143" s="1673"/>
      <c r="G143" s="1673"/>
      <c r="H143" s="1680"/>
      <c r="I143" s="1680"/>
      <c r="J143" s="1673"/>
      <c r="K143" s="1673"/>
      <c r="L143" s="1673"/>
    </row>
    <row r="144" spans="2:12" x14ac:dyDescent="0.2">
      <c r="B144" s="1563"/>
      <c r="D144" s="1673"/>
      <c r="E144" s="1673"/>
      <c r="F144" s="1673"/>
      <c r="G144" s="1673"/>
      <c r="H144" s="1680"/>
      <c r="I144" s="1680"/>
      <c r="J144" s="1673"/>
      <c r="K144" s="1673"/>
      <c r="L144" s="1673"/>
    </row>
    <row r="145" spans="2:12" x14ac:dyDescent="0.2">
      <c r="B145" s="1563"/>
      <c r="D145" s="1673"/>
      <c r="E145" s="1673"/>
      <c r="F145" s="1673"/>
      <c r="G145" s="1673"/>
      <c r="H145" s="1680"/>
      <c r="I145" s="1680"/>
      <c r="J145" s="1673"/>
      <c r="K145" s="1673"/>
      <c r="L145" s="1673"/>
    </row>
    <row r="146" spans="2:12" x14ac:dyDescent="0.2">
      <c r="B146" s="1563"/>
      <c r="D146" s="1673"/>
      <c r="E146" s="1673"/>
      <c r="F146" s="1673"/>
      <c r="G146" s="1673"/>
      <c r="H146" s="1680"/>
      <c r="I146" s="1680"/>
      <c r="J146" s="1673"/>
      <c r="K146" s="1673"/>
      <c r="L146" s="1673"/>
    </row>
    <row r="147" spans="2:12" x14ac:dyDescent="0.2">
      <c r="B147" s="1563"/>
    </row>
    <row r="148" spans="2:12" x14ac:dyDescent="0.2">
      <c r="B148" s="1563"/>
    </row>
    <row r="149" spans="2:12" x14ac:dyDescent="0.2">
      <c r="B149" s="1563"/>
    </row>
    <row r="150" spans="2:12" x14ac:dyDescent="0.2">
      <c r="B150" s="1563"/>
    </row>
    <row r="151" spans="2:12" x14ac:dyDescent="0.2">
      <c r="B151" s="1563"/>
    </row>
    <row r="152" spans="2:12" x14ac:dyDescent="0.2">
      <c r="B152" s="1563"/>
    </row>
    <row r="153" spans="2:12" x14ac:dyDescent="0.2">
      <c r="B153" s="1563"/>
    </row>
    <row r="154" spans="2:12" x14ac:dyDescent="0.2">
      <c r="B154" s="1563"/>
    </row>
    <row r="155" spans="2:12" x14ac:dyDescent="0.2">
      <c r="B155" s="1563"/>
    </row>
    <row r="156" spans="2:12" x14ac:dyDescent="0.2">
      <c r="B156" s="1563"/>
    </row>
    <row r="157" spans="2:12" x14ac:dyDescent="0.2">
      <c r="B157" s="1563"/>
    </row>
    <row r="158" spans="2:12" x14ac:dyDescent="0.2">
      <c r="B158" s="1563"/>
    </row>
    <row r="159" spans="2:12" x14ac:dyDescent="0.2">
      <c r="B159" s="1563"/>
    </row>
    <row r="160" spans="2:12" x14ac:dyDescent="0.2">
      <c r="B160" s="1563"/>
    </row>
    <row r="161" spans="2:2" x14ac:dyDescent="0.2">
      <c r="B161" s="1563"/>
    </row>
    <row r="162" spans="2:2" x14ac:dyDescent="0.2">
      <c r="B162" s="1563"/>
    </row>
    <row r="163" spans="2:2" x14ac:dyDescent="0.2">
      <c r="B163" s="1563"/>
    </row>
    <row r="164" spans="2:2" x14ac:dyDescent="0.2">
      <c r="B164" s="1563"/>
    </row>
    <row r="165" spans="2:2" x14ac:dyDescent="0.2">
      <c r="B165" s="1563"/>
    </row>
    <row r="166" spans="2:2" x14ac:dyDescent="0.2">
      <c r="B166" s="1563"/>
    </row>
    <row r="167" spans="2:2" x14ac:dyDescent="0.2">
      <c r="B167" s="1563"/>
    </row>
    <row r="168" spans="2:2" x14ac:dyDescent="0.2">
      <c r="B168" s="1563"/>
    </row>
    <row r="169" spans="2:2" x14ac:dyDescent="0.2">
      <c r="B169" s="1563"/>
    </row>
    <row r="170" spans="2:2" x14ac:dyDescent="0.2">
      <c r="B170" s="1563"/>
    </row>
    <row r="171" spans="2:2" x14ac:dyDescent="0.2">
      <c r="B171" s="1563"/>
    </row>
    <row r="172" spans="2:2" x14ac:dyDescent="0.2">
      <c r="B172" s="1563"/>
    </row>
    <row r="173" spans="2:2" x14ac:dyDescent="0.2">
      <c r="B173" s="1563"/>
    </row>
    <row r="174" spans="2:2" x14ac:dyDescent="0.2">
      <c r="B174" s="1563"/>
    </row>
    <row r="175" spans="2:2" x14ac:dyDescent="0.2">
      <c r="B175" s="1563"/>
    </row>
    <row r="176" spans="2:2" x14ac:dyDescent="0.2">
      <c r="B176" s="1563"/>
    </row>
    <row r="177" spans="2:2" x14ac:dyDescent="0.2">
      <c r="B177" s="1563"/>
    </row>
    <row r="178" spans="2:2" x14ac:dyDescent="0.2">
      <c r="B178" s="1563"/>
    </row>
    <row r="179" spans="2:2" x14ac:dyDescent="0.2">
      <c r="B179" s="1563"/>
    </row>
    <row r="180" spans="2:2" x14ac:dyDescent="0.2">
      <c r="B180" s="1563"/>
    </row>
    <row r="181" spans="2:2" x14ac:dyDescent="0.2">
      <c r="B181" s="1563"/>
    </row>
    <row r="182" spans="2:2" x14ac:dyDescent="0.2">
      <c r="B182" s="1563"/>
    </row>
    <row r="183" spans="2:2" x14ac:dyDescent="0.2">
      <c r="B183" s="1563"/>
    </row>
    <row r="184" spans="2:2" x14ac:dyDescent="0.2">
      <c r="B184" s="1563"/>
    </row>
    <row r="185" spans="2:2" x14ac:dyDescent="0.2">
      <c r="B185" s="1563"/>
    </row>
    <row r="186" spans="2:2" x14ac:dyDescent="0.2">
      <c r="B186" s="1563"/>
    </row>
    <row r="187" spans="2:2" x14ac:dyDescent="0.2">
      <c r="B187" s="1563"/>
    </row>
    <row r="188" spans="2:2" x14ac:dyDescent="0.2">
      <c r="B188" s="1563"/>
    </row>
    <row r="189" spans="2:2" x14ac:dyDescent="0.2">
      <c r="B189" s="1563"/>
    </row>
    <row r="190" spans="2:2" x14ac:dyDescent="0.2">
      <c r="B190" s="1563"/>
    </row>
    <row r="191" spans="2:2" x14ac:dyDescent="0.2">
      <c r="B191" s="1563"/>
    </row>
    <row r="192" spans="2:2" x14ac:dyDescent="0.2">
      <c r="B192" s="1563"/>
    </row>
    <row r="193" spans="2:2" x14ac:dyDescent="0.2">
      <c r="B193" s="1563"/>
    </row>
    <row r="194" spans="2:2" x14ac:dyDescent="0.2">
      <c r="B194" s="1563"/>
    </row>
    <row r="195" spans="2:2" x14ac:dyDescent="0.2">
      <c r="B195" s="1563"/>
    </row>
    <row r="196" spans="2:2" x14ac:dyDescent="0.2">
      <c r="B196" s="1563"/>
    </row>
    <row r="197" spans="2:2" x14ac:dyDescent="0.2">
      <c r="B197" s="1563"/>
    </row>
    <row r="198" spans="2:2" x14ac:dyDescent="0.2">
      <c r="B198" s="1563"/>
    </row>
    <row r="199" spans="2:2" x14ac:dyDescent="0.2">
      <c r="B199" s="1563"/>
    </row>
    <row r="200" spans="2:2" x14ac:dyDescent="0.2">
      <c r="B200" s="1563"/>
    </row>
    <row r="201" spans="2:2" x14ac:dyDescent="0.2">
      <c r="B201" s="1563"/>
    </row>
    <row r="202" spans="2:2" x14ac:dyDescent="0.2">
      <c r="B202" s="1563"/>
    </row>
    <row r="203" spans="2:2" x14ac:dyDescent="0.2">
      <c r="B203" s="1563"/>
    </row>
    <row r="204" spans="2:2" x14ac:dyDescent="0.2">
      <c r="B204" s="1563"/>
    </row>
    <row r="205" spans="2:2" x14ac:dyDescent="0.2">
      <c r="B205" s="1563"/>
    </row>
    <row r="206" spans="2:2" x14ac:dyDescent="0.2">
      <c r="B206" s="1563"/>
    </row>
    <row r="207" spans="2:2" x14ac:dyDescent="0.2">
      <c r="B207" s="1563"/>
    </row>
    <row r="208" spans="2:2" x14ac:dyDescent="0.2">
      <c r="B208" s="1563"/>
    </row>
    <row r="209" spans="2:2" x14ac:dyDescent="0.2">
      <c r="B209" s="1563"/>
    </row>
    <row r="210" spans="2:2" x14ac:dyDescent="0.2">
      <c r="B210" s="1563"/>
    </row>
    <row r="211" spans="2:2" x14ac:dyDescent="0.2">
      <c r="B211" s="1563"/>
    </row>
    <row r="212" spans="2:2" x14ac:dyDescent="0.2">
      <c r="B212" s="1563"/>
    </row>
    <row r="213" spans="2:2" x14ac:dyDescent="0.2">
      <c r="B213" s="1563"/>
    </row>
    <row r="214" spans="2:2" x14ac:dyDescent="0.2">
      <c r="B214" s="1563"/>
    </row>
    <row r="215" spans="2:2" x14ac:dyDescent="0.2">
      <c r="B215" s="1563"/>
    </row>
    <row r="216" spans="2:2" x14ac:dyDescent="0.2">
      <c r="B216" s="1563"/>
    </row>
    <row r="217" spans="2:2" x14ac:dyDescent="0.2">
      <c r="B217" s="1563"/>
    </row>
    <row r="218" spans="2:2" x14ac:dyDescent="0.2">
      <c r="B218" s="1563"/>
    </row>
    <row r="219" spans="2:2" x14ac:dyDescent="0.2">
      <c r="B219" s="1563"/>
    </row>
  </sheetData>
  <mergeCells count="4">
    <mergeCell ref="L9:M9"/>
    <mergeCell ref="C5:M5"/>
    <mergeCell ref="C6:M6"/>
    <mergeCell ref="C7:M7"/>
  </mergeCells>
  <phoneticPr fontId="0" type="noConversion"/>
  <pageMargins left="0.2" right="0.2" top="0.25" bottom="0.25" header="0" footer="0"/>
  <pageSetup scale="84" fitToHeight="0" orientation="portrait" r:id="rId1"/>
  <rowBreaks count="2" manualBreakCount="2">
    <brk id="48" min="1" max="12" man="1"/>
    <brk id="87" min="1" max="12"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9"/>
  <sheetViews>
    <sheetView workbookViewId="0">
      <selection activeCell="C35" sqref="C35"/>
    </sheetView>
  </sheetViews>
  <sheetFormatPr defaultRowHeight="12.75" x14ac:dyDescent="0.2"/>
  <cols>
    <col min="2" max="2" width="16.28515625" customWidth="1"/>
    <col min="3" max="3" width="17.5703125" customWidth="1"/>
    <col min="4" max="4" width="24.85546875" bestFit="1" customWidth="1"/>
    <col min="5" max="5" width="17.140625" customWidth="1"/>
    <col min="6" max="7" width="11.7109375" customWidth="1"/>
    <col min="8" max="8" width="11.5703125" customWidth="1"/>
    <col min="258" max="258" width="16.28515625" customWidth="1"/>
    <col min="259" max="259" width="17.5703125" customWidth="1"/>
    <col min="260" max="260" width="24.85546875" bestFit="1" customWidth="1"/>
    <col min="261" max="261" width="17.140625" customWidth="1"/>
    <col min="262" max="263" width="11.7109375" customWidth="1"/>
    <col min="264" max="264" width="11.5703125" customWidth="1"/>
    <col min="514" max="514" width="16.28515625" customWidth="1"/>
    <col min="515" max="515" width="17.5703125" customWidth="1"/>
    <col min="516" max="516" width="24.85546875" bestFit="1" customWidth="1"/>
    <col min="517" max="517" width="17.140625" customWidth="1"/>
    <col min="518" max="519" width="11.7109375" customWidth="1"/>
    <col min="520" max="520" width="11.5703125" customWidth="1"/>
    <col min="770" max="770" width="16.28515625" customWidth="1"/>
    <col min="771" max="771" width="17.5703125" customWidth="1"/>
    <col min="772" max="772" width="24.85546875" bestFit="1" customWidth="1"/>
    <col min="773" max="773" width="17.140625" customWidth="1"/>
    <col min="774" max="775" width="11.7109375" customWidth="1"/>
    <col min="776" max="776" width="11.5703125" customWidth="1"/>
    <col min="1026" max="1026" width="16.28515625" customWidth="1"/>
    <col min="1027" max="1027" width="17.5703125" customWidth="1"/>
    <col min="1028" max="1028" width="24.85546875" bestFit="1" customWidth="1"/>
    <col min="1029" max="1029" width="17.140625" customWidth="1"/>
    <col min="1030" max="1031" width="11.7109375" customWidth="1"/>
    <col min="1032" max="1032" width="11.5703125" customWidth="1"/>
    <col min="1282" max="1282" width="16.28515625" customWidth="1"/>
    <col min="1283" max="1283" width="17.5703125" customWidth="1"/>
    <col min="1284" max="1284" width="24.85546875" bestFit="1" customWidth="1"/>
    <col min="1285" max="1285" width="17.140625" customWidth="1"/>
    <col min="1286" max="1287" width="11.7109375" customWidth="1"/>
    <col min="1288" max="1288" width="11.5703125" customWidth="1"/>
    <col min="1538" max="1538" width="16.28515625" customWidth="1"/>
    <col min="1539" max="1539" width="17.5703125" customWidth="1"/>
    <col min="1540" max="1540" width="24.85546875" bestFit="1" customWidth="1"/>
    <col min="1541" max="1541" width="17.140625" customWidth="1"/>
    <col min="1542" max="1543" width="11.7109375" customWidth="1"/>
    <col min="1544" max="1544" width="11.5703125" customWidth="1"/>
    <col min="1794" max="1794" width="16.28515625" customWidth="1"/>
    <col min="1795" max="1795" width="17.5703125" customWidth="1"/>
    <col min="1796" max="1796" width="24.85546875" bestFit="1" customWidth="1"/>
    <col min="1797" max="1797" width="17.140625" customWidth="1"/>
    <col min="1798" max="1799" width="11.7109375" customWidth="1"/>
    <col min="1800" max="1800" width="11.5703125" customWidth="1"/>
    <col min="2050" max="2050" width="16.28515625" customWidth="1"/>
    <col min="2051" max="2051" width="17.5703125" customWidth="1"/>
    <col min="2052" max="2052" width="24.85546875" bestFit="1" customWidth="1"/>
    <col min="2053" max="2053" width="17.140625" customWidth="1"/>
    <col min="2054" max="2055" width="11.7109375" customWidth="1"/>
    <col min="2056" max="2056" width="11.5703125" customWidth="1"/>
    <col min="2306" max="2306" width="16.28515625" customWidth="1"/>
    <col min="2307" max="2307" width="17.5703125" customWidth="1"/>
    <col min="2308" max="2308" width="24.85546875" bestFit="1" customWidth="1"/>
    <col min="2309" max="2309" width="17.140625" customWidth="1"/>
    <col min="2310" max="2311" width="11.7109375" customWidth="1"/>
    <col min="2312" max="2312" width="11.5703125" customWidth="1"/>
    <col min="2562" max="2562" width="16.28515625" customWidth="1"/>
    <col min="2563" max="2563" width="17.5703125" customWidth="1"/>
    <col min="2564" max="2564" width="24.85546875" bestFit="1" customWidth="1"/>
    <col min="2565" max="2565" width="17.140625" customWidth="1"/>
    <col min="2566" max="2567" width="11.7109375" customWidth="1"/>
    <col min="2568" max="2568" width="11.5703125" customWidth="1"/>
    <col min="2818" max="2818" width="16.28515625" customWidth="1"/>
    <col min="2819" max="2819" width="17.5703125" customWidth="1"/>
    <col min="2820" max="2820" width="24.85546875" bestFit="1" customWidth="1"/>
    <col min="2821" max="2821" width="17.140625" customWidth="1"/>
    <col min="2822" max="2823" width="11.7109375" customWidth="1"/>
    <col min="2824" max="2824" width="11.5703125" customWidth="1"/>
    <col min="3074" max="3074" width="16.28515625" customWidth="1"/>
    <col min="3075" max="3075" width="17.5703125" customWidth="1"/>
    <col min="3076" max="3076" width="24.85546875" bestFit="1" customWidth="1"/>
    <col min="3077" max="3077" width="17.140625" customWidth="1"/>
    <col min="3078" max="3079" width="11.7109375" customWidth="1"/>
    <col min="3080" max="3080" width="11.5703125" customWidth="1"/>
    <col min="3330" max="3330" width="16.28515625" customWidth="1"/>
    <col min="3331" max="3331" width="17.5703125" customWidth="1"/>
    <col min="3332" max="3332" width="24.85546875" bestFit="1" customWidth="1"/>
    <col min="3333" max="3333" width="17.140625" customWidth="1"/>
    <col min="3334" max="3335" width="11.7109375" customWidth="1"/>
    <col min="3336" max="3336" width="11.5703125" customWidth="1"/>
    <col min="3586" max="3586" width="16.28515625" customWidth="1"/>
    <col min="3587" max="3587" width="17.5703125" customWidth="1"/>
    <col min="3588" max="3588" width="24.85546875" bestFit="1" customWidth="1"/>
    <col min="3589" max="3589" width="17.140625" customWidth="1"/>
    <col min="3590" max="3591" width="11.7109375" customWidth="1"/>
    <col min="3592" max="3592" width="11.5703125" customWidth="1"/>
    <col min="3842" max="3842" width="16.28515625" customWidth="1"/>
    <col min="3843" max="3843" width="17.5703125" customWidth="1"/>
    <col min="3844" max="3844" width="24.85546875" bestFit="1" customWidth="1"/>
    <col min="3845" max="3845" width="17.140625" customWidth="1"/>
    <col min="3846" max="3847" width="11.7109375" customWidth="1"/>
    <col min="3848" max="3848" width="11.5703125" customWidth="1"/>
    <col min="4098" max="4098" width="16.28515625" customWidth="1"/>
    <col min="4099" max="4099" width="17.5703125" customWidth="1"/>
    <col min="4100" max="4100" width="24.85546875" bestFit="1" customWidth="1"/>
    <col min="4101" max="4101" width="17.140625" customWidth="1"/>
    <col min="4102" max="4103" width="11.7109375" customWidth="1"/>
    <col min="4104" max="4104" width="11.5703125" customWidth="1"/>
    <col min="4354" max="4354" width="16.28515625" customWidth="1"/>
    <col min="4355" max="4355" width="17.5703125" customWidth="1"/>
    <col min="4356" max="4356" width="24.85546875" bestFit="1" customWidth="1"/>
    <col min="4357" max="4357" width="17.140625" customWidth="1"/>
    <col min="4358" max="4359" width="11.7109375" customWidth="1"/>
    <col min="4360" max="4360" width="11.5703125" customWidth="1"/>
    <col min="4610" max="4610" width="16.28515625" customWidth="1"/>
    <col min="4611" max="4611" width="17.5703125" customWidth="1"/>
    <col min="4612" max="4612" width="24.85546875" bestFit="1" customWidth="1"/>
    <col min="4613" max="4613" width="17.140625" customWidth="1"/>
    <col min="4614" max="4615" width="11.7109375" customWidth="1"/>
    <col min="4616" max="4616" width="11.5703125" customWidth="1"/>
    <col min="4866" max="4866" width="16.28515625" customWidth="1"/>
    <col min="4867" max="4867" width="17.5703125" customWidth="1"/>
    <col min="4868" max="4868" width="24.85546875" bestFit="1" customWidth="1"/>
    <col min="4869" max="4869" width="17.140625" customWidth="1"/>
    <col min="4870" max="4871" width="11.7109375" customWidth="1"/>
    <col min="4872" max="4872" width="11.5703125" customWidth="1"/>
    <col min="5122" max="5122" width="16.28515625" customWidth="1"/>
    <col min="5123" max="5123" width="17.5703125" customWidth="1"/>
    <col min="5124" max="5124" width="24.85546875" bestFit="1" customWidth="1"/>
    <col min="5125" max="5125" width="17.140625" customWidth="1"/>
    <col min="5126" max="5127" width="11.7109375" customWidth="1"/>
    <col min="5128" max="5128" width="11.5703125" customWidth="1"/>
    <col min="5378" max="5378" width="16.28515625" customWidth="1"/>
    <col min="5379" max="5379" width="17.5703125" customWidth="1"/>
    <col min="5380" max="5380" width="24.85546875" bestFit="1" customWidth="1"/>
    <col min="5381" max="5381" width="17.140625" customWidth="1"/>
    <col min="5382" max="5383" width="11.7109375" customWidth="1"/>
    <col min="5384" max="5384" width="11.5703125" customWidth="1"/>
    <col min="5634" max="5634" width="16.28515625" customWidth="1"/>
    <col min="5635" max="5635" width="17.5703125" customWidth="1"/>
    <col min="5636" max="5636" width="24.85546875" bestFit="1" customWidth="1"/>
    <col min="5637" max="5637" width="17.140625" customWidth="1"/>
    <col min="5638" max="5639" width="11.7109375" customWidth="1"/>
    <col min="5640" max="5640" width="11.5703125" customWidth="1"/>
    <col min="5890" max="5890" width="16.28515625" customWidth="1"/>
    <col min="5891" max="5891" width="17.5703125" customWidth="1"/>
    <col min="5892" max="5892" width="24.85546875" bestFit="1" customWidth="1"/>
    <col min="5893" max="5893" width="17.140625" customWidth="1"/>
    <col min="5894" max="5895" width="11.7109375" customWidth="1"/>
    <col min="5896" max="5896" width="11.5703125" customWidth="1"/>
    <col min="6146" max="6146" width="16.28515625" customWidth="1"/>
    <col min="6147" max="6147" width="17.5703125" customWidth="1"/>
    <col min="6148" max="6148" width="24.85546875" bestFit="1" customWidth="1"/>
    <col min="6149" max="6149" width="17.140625" customWidth="1"/>
    <col min="6150" max="6151" width="11.7109375" customWidth="1"/>
    <col min="6152" max="6152" width="11.5703125" customWidth="1"/>
    <col min="6402" max="6402" width="16.28515625" customWidth="1"/>
    <col min="6403" max="6403" width="17.5703125" customWidth="1"/>
    <col min="6404" max="6404" width="24.85546875" bestFit="1" customWidth="1"/>
    <col min="6405" max="6405" width="17.140625" customWidth="1"/>
    <col min="6406" max="6407" width="11.7109375" customWidth="1"/>
    <col min="6408" max="6408" width="11.5703125" customWidth="1"/>
    <col min="6658" max="6658" width="16.28515625" customWidth="1"/>
    <col min="6659" max="6659" width="17.5703125" customWidth="1"/>
    <col min="6660" max="6660" width="24.85546875" bestFit="1" customWidth="1"/>
    <col min="6661" max="6661" width="17.140625" customWidth="1"/>
    <col min="6662" max="6663" width="11.7109375" customWidth="1"/>
    <col min="6664" max="6664" width="11.5703125" customWidth="1"/>
    <col min="6914" max="6914" width="16.28515625" customWidth="1"/>
    <col min="6915" max="6915" width="17.5703125" customWidth="1"/>
    <col min="6916" max="6916" width="24.85546875" bestFit="1" customWidth="1"/>
    <col min="6917" max="6917" width="17.140625" customWidth="1"/>
    <col min="6918" max="6919" width="11.7109375" customWidth="1"/>
    <col min="6920" max="6920" width="11.5703125" customWidth="1"/>
    <col min="7170" max="7170" width="16.28515625" customWidth="1"/>
    <col min="7171" max="7171" width="17.5703125" customWidth="1"/>
    <col min="7172" max="7172" width="24.85546875" bestFit="1" customWidth="1"/>
    <col min="7173" max="7173" width="17.140625" customWidth="1"/>
    <col min="7174" max="7175" width="11.7109375" customWidth="1"/>
    <col min="7176" max="7176" width="11.5703125" customWidth="1"/>
    <col min="7426" max="7426" width="16.28515625" customWidth="1"/>
    <col min="7427" max="7427" width="17.5703125" customWidth="1"/>
    <col min="7428" max="7428" width="24.85546875" bestFit="1" customWidth="1"/>
    <col min="7429" max="7429" width="17.140625" customWidth="1"/>
    <col min="7430" max="7431" width="11.7109375" customWidth="1"/>
    <col min="7432" max="7432" width="11.5703125" customWidth="1"/>
    <col min="7682" max="7682" width="16.28515625" customWidth="1"/>
    <col min="7683" max="7683" width="17.5703125" customWidth="1"/>
    <col min="7684" max="7684" width="24.85546875" bestFit="1" customWidth="1"/>
    <col min="7685" max="7685" width="17.140625" customWidth="1"/>
    <col min="7686" max="7687" width="11.7109375" customWidth="1"/>
    <col min="7688" max="7688" width="11.5703125" customWidth="1"/>
    <col min="7938" max="7938" width="16.28515625" customWidth="1"/>
    <col min="7939" max="7939" width="17.5703125" customWidth="1"/>
    <col min="7940" max="7940" width="24.85546875" bestFit="1" customWidth="1"/>
    <col min="7941" max="7941" width="17.140625" customWidth="1"/>
    <col min="7942" max="7943" width="11.7109375" customWidth="1"/>
    <col min="7944" max="7944" width="11.5703125" customWidth="1"/>
    <col min="8194" max="8194" width="16.28515625" customWidth="1"/>
    <col min="8195" max="8195" width="17.5703125" customWidth="1"/>
    <col min="8196" max="8196" width="24.85546875" bestFit="1" customWidth="1"/>
    <col min="8197" max="8197" width="17.140625" customWidth="1"/>
    <col min="8198" max="8199" width="11.7109375" customWidth="1"/>
    <col min="8200" max="8200" width="11.5703125" customWidth="1"/>
    <col min="8450" max="8450" width="16.28515625" customWidth="1"/>
    <col min="8451" max="8451" width="17.5703125" customWidth="1"/>
    <col min="8452" max="8452" width="24.85546875" bestFit="1" customWidth="1"/>
    <col min="8453" max="8453" width="17.140625" customWidth="1"/>
    <col min="8454" max="8455" width="11.7109375" customWidth="1"/>
    <col min="8456" max="8456" width="11.5703125" customWidth="1"/>
    <col min="8706" max="8706" width="16.28515625" customWidth="1"/>
    <col min="8707" max="8707" width="17.5703125" customWidth="1"/>
    <col min="8708" max="8708" width="24.85546875" bestFit="1" customWidth="1"/>
    <col min="8709" max="8709" width="17.140625" customWidth="1"/>
    <col min="8710" max="8711" width="11.7109375" customWidth="1"/>
    <col min="8712" max="8712" width="11.5703125" customWidth="1"/>
    <col min="8962" max="8962" width="16.28515625" customWidth="1"/>
    <col min="8963" max="8963" width="17.5703125" customWidth="1"/>
    <col min="8964" max="8964" width="24.85546875" bestFit="1" customWidth="1"/>
    <col min="8965" max="8965" width="17.140625" customWidth="1"/>
    <col min="8966" max="8967" width="11.7109375" customWidth="1"/>
    <col min="8968" max="8968" width="11.5703125" customWidth="1"/>
    <col min="9218" max="9218" width="16.28515625" customWidth="1"/>
    <col min="9219" max="9219" width="17.5703125" customWidth="1"/>
    <col min="9220" max="9220" width="24.85546875" bestFit="1" customWidth="1"/>
    <col min="9221" max="9221" width="17.140625" customWidth="1"/>
    <col min="9222" max="9223" width="11.7109375" customWidth="1"/>
    <col min="9224" max="9224" width="11.5703125" customWidth="1"/>
    <col min="9474" max="9474" width="16.28515625" customWidth="1"/>
    <col min="9475" max="9475" width="17.5703125" customWidth="1"/>
    <col min="9476" max="9476" width="24.85546875" bestFit="1" customWidth="1"/>
    <col min="9477" max="9477" width="17.140625" customWidth="1"/>
    <col min="9478" max="9479" width="11.7109375" customWidth="1"/>
    <col min="9480" max="9480" width="11.5703125" customWidth="1"/>
    <col min="9730" max="9730" width="16.28515625" customWidth="1"/>
    <col min="9731" max="9731" width="17.5703125" customWidth="1"/>
    <col min="9732" max="9732" width="24.85546875" bestFit="1" customWidth="1"/>
    <col min="9733" max="9733" width="17.140625" customWidth="1"/>
    <col min="9734" max="9735" width="11.7109375" customWidth="1"/>
    <col min="9736" max="9736" width="11.5703125" customWidth="1"/>
    <col min="9986" max="9986" width="16.28515625" customWidth="1"/>
    <col min="9987" max="9987" width="17.5703125" customWidth="1"/>
    <col min="9988" max="9988" width="24.85546875" bestFit="1" customWidth="1"/>
    <col min="9989" max="9989" width="17.140625" customWidth="1"/>
    <col min="9990" max="9991" width="11.7109375" customWidth="1"/>
    <col min="9992" max="9992" width="11.5703125" customWidth="1"/>
    <col min="10242" max="10242" width="16.28515625" customWidth="1"/>
    <col min="10243" max="10243" width="17.5703125" customWidth="1"/>
    <col min="10244" max="10244" width="24.85546875" bestFit="1" customWidth="1"/>
    <col min="10245" max="10245" width="17.140625" customWidth="1"/>
    <col min="10246" max="10247" width="11.7109375" customWidth="1"/>
    <col min="10248" max="10248" width="11.5703125" customWidth="1"/>
    <col min="10498" max="10498" width="16.28515625" customWidth="1"/>
    <col min="10499" max="10499" width="17.5703125" customWidth="1"/>
    <col min="10500" max="10500" width="24.85546875" bestFit="1" customWidth="1"/>
    <col min="10501" max="10501" width="17.140625" customWidth="1"/>
    <col min="10502" max="10503" width="11.7109375" customWidth="1"/>
    <col min="10504" max="10504" width="11.5703125" customWidth="1"/>
    <col min="10754" max="10754" width="16.28515625" customWidth="1"/>
    <col min="10755" max="10755" width="17.5703125" customWidth="1"/>
    <col min="10756" max="10756" width="24.85546875" bestFit="1" customWidth="1"/>
    <col min="10757" max="10757" width="17.140625" customWidth="1"/>
    <col min="10758" max="10759" width="11.7109375" customWidth="1"/>
    <col min="10760" max="10760" width="11.5703125" customWidth="1"/>
    <col min="11010" max="11010" width="16.28515625" customWidth="1"/>
    <col min="11011" max="11011" width="17.5703125" customWidth="1"/>
    <col min="11012" max="11012" width="24.85546875" bestFit="1" customWidth="1"/>
    <col min="11013" max="11013" width="17.140625" customWidth="1"/>
    <col min="11014" max="11015" width="11.7109375" customWidth="1"/>
    <col min="11016" max="11016" width="11.5703125" customWidth="1"/>
    <col min="11266" max="11266" width="16.28515625" customWidth="1"/>
    <col min="11267" max="11267" width="17.5703125" customWidth="1"/>
    <col min="11268" max="11268" width="24.85546875" bestFit="1" customWidth="1"/>
    <col min="11269" max="11269" width="17.140625" customWidth="1"/>
    <col min="11270" max="11271" width="11.7109375" customWidth="1"/>
    <col min="11272" max="11272" width="11.5703125" customWidth="1"/>
    <col min="11522" max="11522" width="16.28515625" customWidth="1"/>
    <col min="11523" max="11523" width="17.5703125" customWidth="1"/>
    <col min="11524" max="11524" width="24.85546875" bestFit="1" customWidth="1"/>
    <col min="11525" max="11525" width="17.140625" customWidth="1"/>
    <col min="11526" max="11527" width="11.7109375" customWidth="1"/>
    <col min="11528" max="11528" width="11.5703125" customWidth="1"/>
    <col min="11778" max="11778" width="16.28515625" customWidth="1"/>
    <col min="11779" max="11779" width="17.5703125" customWidth="1"/>
    <col min="11780" max="11780" width="24.85546875" bestFit="1" customWidth="1"/>
    <col min="11781" max="11781" width="17.140625" customWidth="1"/>
    <col min="11782" max="11783" width="11.7109375" customWidth="1"/>
    <col min="11784" max="11784" width="11.5703125" customWidth="1"/>
    <col min="12034" max="12034" width="16.28515625" customWidth="1"/>
    <col min="12035" max="12035" width="17.5703125" customWidth="1"/>
    <col min="12036" max="12036" width="24.85546875" bestFit="1" customWidth="1"/>
    <col min="12037" max="12037" width="17.140625" customWidth="1"/>
    <col min="12038" max="12039" width="11.7109375" customWidth="1"/>
    <col min="12040" max="12040" width="11.5703125" customWidth="1"/>
    <col min="12290" max="12290" width="16.28515625" customWidth="1"/>
    <col min="12291" max="12291" width="17.5703125" customWidth="1"/>
    <col min="12292" max="12292" width="24.85546875" bestFit="1" customWidth="1"/>
    <col min="12293" max="12293" width="17.140625" customWidth="1"/>
    <col min="12294" max="12295" width="11.7109375" customWidth="1"/>
    <col min="12296" max="12296" width="11.5703125" customWidth="1"/>
    <col min="12546" max="12546" width="16.28515625" customWidth="1"/>
    <col min="12547" max="12547" width="17.5703125" customWidth="1"/>
    <col min="12548" max="12548" width="24.85546875" bestFit="1" customWidth="1"/>
    <col min="12549" max="12549" width="17.140625" customWidth="1"/>
    <col min="12550" max="12551" width="11.7109375" customWidth="1"/>
    <col min="12552" max="12552" width="11.5703125" customWidth="1"/>
    <col min="12802" max="12802" width="16.28515625" customWidth="1"/>
    <col min="12803" max="12803" width="17.5703125" customWidth="1"/>
    <col min="12804" max="12804" width="24.85546875" bestFit="1" customWidth="1"/>
    <col min="12805" max="12805" width="17.140625" customWidth="1"/>
    <col min="12806" max="12807" width="11.7109375" customWidth="1"/>
    <col min="12808" max="12808" width="11.5703125" customWidth="1"/>
    <col min="13058" max="13058" width="16.28515625" customWidth="1"/>
    <col min="13059" max="13059" width="17.5703125" customWidth="1"/>
    <col min="13060" max="13060" width="24.85546875" bestFit="1" customWidth="1"/>
    <col min="13061" max="13061" width="17.140625" customWidth="1"/>
    <col min="13062" max="13063" width="11.7109375" customWidth="1"/>
    <col min="13064" max="13064" width="11.5703125" customWidth="1"/>
    <col min="13314" max="13314" width="16.28515625" customWidth="1"/>
    <col min="13315" max="13315" width="17.5703125" customWidth="1"/>
    <col min="13316" max="13316" width="24.85546875" bestFit="1" customWidth="1"/>
    <col min="13317" max="13317" width="17.140625" customWidth="1"/>
    <col min="13318" max="13319" width="11.7109375" customWidth="1"/>
    <col min="13320" max="13320" width="11.5703125" customWidth="1"/>
    <col min="13570" max="13570" width="16.28515625" customWidth="1"/>
    <col min="13571" max="13571" width="17.5703125" customWidth="1"/>
    <col min="13572" max="13572" width="24.85546875" bestFit="1" customWidth="1"/>
    <col min="13573" max="13573" width="17.140625" customWidth="1"/>
    <col min="13574" max="13575" width="11.7109375" customWidth="1"/>
    <col min="13576" max="13576" width="11.5703125" customWidth="1"/>
    <col min="13826" max="13826" width="16.28515625" customWidth="1"/>
    <col min="13827" max="13827" width="17.5703125" customWidth="1"/>
    <col min="13828" max="13828" width="24.85546875" bestFit="1" customWidth="1"/>
    <col min="13829" max="13829" width="17.140625" customWidth="1"/>
    <col min="13830" max="13831" width="11.7109375" customWidth="1"/>
    <col min="13832" max="13832" width="11.5703125" customWidth="1"/>
    <col min="14082" max="14082" width="16.28515625" customWidth="1"/>
    <col min="14083" max="14083" width="17.5703125" customWidth="1"/>
    <col min="14084" max="14084" width="24.85546875" bestFit="1" customWidth="1"/>
    <col min="14085" max="14085" width="17.140625" customWidth="1"/>
    <col min="14086" max="14087" width="11.7109375" customWidth="1"/>
    <col min="14088" max="14088" width="11.5703125" customWidth="1"/>
    <col min="14338" max="14338" width="16.28515625" customWidth="1"/>
    <col min="14339" max="14339" width="17.5703125" customWidth="1"/>
    <col min="14340" max="14340" width="24.85546875" bestFit="1" customWidth="1"/>
    <col min="14341" max="14341" width="17.140625" customWidth="1"/>
    <col min="14342" max="14343" width="11.7109375" customWidth="1"/>
    <col min="14344" max="14344" width="11.5703125" customWidth="1"/>
    <col min="14594" max="14594" width="16.28515625" customWidth="1"/>
    <col min="14595" max="14595" width="17.5703125" customWidth="1"/>
    <col min="14596" max="14596" width="24.85546875" bestFit="1" customWidth="1"/>
    <col min="14597" max="14597" width="17.140625" customWidth="1"/>
    <col min="14598" max="14599" width="11.7109375" customWidth="1"/>
    <col min="14600" max="14600" width="11.5703125" customWidth="1"/>
    <col min="14850" max="14850" width="16.28515625" customWidth="1"/>
    <col min="14851" max="14851" width="17.5703125" customWidth="1"/>
    <col min="14852" max="14852" width="24.85546875" bestFit="1" customWidth="1"/>
    <col min="14853" max="14853" width="17.140625" customWidth="1"/>
    <col min="14854" max="14855" width="11.7109375" customWidth="1"/>
    <col min="14856" max="14856" width="11.5703125" customWidth="1"/>
    <col min="15106" max="15106" width="16.28515625" customWidth="1"/>
    <col min="15107" max="15107" width="17.5703125" customWidth="1"/>
    <col min="15108" max="15108" width="24.85546875" bestFit="1" customWidth="1"/>
    <col min="15109" max="15109" width="17.140625" customWidth="1"/>
    <col min="15110" max="15111" width="11.7109375" customWidth="1"/>
    <col min="15112" max="15112" width="11.5703125" customWidth="1"/>
    <col min="15362" max="15362" width="16.28515625" customWidth="1"/>
    <col min="15363" max="15363" width="17.5703125" customWidth="1"/>
    <col min="15364" max="15364" width="24.85546875" bestFit="1" customWidth="1"/>
    <col min="15365" max="15365" width="17.140625" customWidth="1"/>
    <col min="15366" max="15367" width="11.7109375" customWidth="1"/>
    <col min="15368" max="15368" width="11.5703125" customWidth="1"/>
    <col min="15618" max="15618" width="16.28515625" customWidth="1"/>
    <col min="15619" max="15619" width="17.5703125" customWidth="1"/>
    <col min="15620" max="15620" width="24.85546875" bestFit="1" customWidth="1"/>
    <col min="15621" max="15621" width="17.140625" customWidth="1"/>
    <col min="15622" max="15623" width="11.7109375" customWidth="1"/>
    <col min="15624" max="15624" width="11.5703125" customWidth="1"/>
    <col min="15874" max="15874" width="16.28515625" customWidth="1"/>
    <col min="15875" max="15875" width="17.5703125" customWidth="1"/>
    <col min="15876" max="15876" width="24.85546875" bestFit="1" customWidth="1"/>
    <col min="15877" max="15877" width="17.140625" customWidth="1"/>
    <col min="15878" max="15879" width="11.7109375" customWidth="1"/>
    <col min="15880" max="15880" width="11.5703125" customWidth="1"/>
    <col min="16130" max="16130" width="16.28515625" customWidth="1"/>
    <col min="16131" max="16131" width="17.5703125" customWidth="1"/>
    <col min="16132" max="16132" width="24.85546875" bestFit="1" customWidth="1"/>
    <col min="16133" max="16133" width="17.140625" customWidth="1"/>
    <col min="16134" max="16135" width="11.7109375" customWidth="1"/>
    <col min="16136" max="16136" width="11.5703125" customWidth="1"/>
  </cols>
  <sheetData>
    <row r="1" spans="1:8" x14ac:dyDescent="0.2">
      <c r="A1" s="1884" t="s">
        <v>70</v>
      </c>
      <c r="B1" s="1884"/>
      <c r="C1" s="1884"/>
      <c r="D1" s="1884"/>
      <c r="E1" s="1884"/>
      <c r="F1" s="1884"/>
      <c r="G1" s="1884"/>
      <c r="H1" s="1884"/>
    </row>
    <row r="2" spans="1:8" x14ac:dyDescent="0.2">
      <c r="A2" s="1884" t="s">
        <v>784</v>
      </c>
      <c r="B2" s="1884"/>
      <c r="C2" s="1884"/>
      <c r="D2" s="1884"/>
      <c r="E2" s="1884"/>
      <c r="F2" s="1884"/>
      <c r="G2" s="1884"/>
      <c r="H2" s="1884"/>
    </row>
    <row r="3" spans="1:8" x14ac:dyDescent="0.2">
      <c r="A3" s="1884" t="s">
        <v>785</v>
      </c>
      <c r="B3" s="1885"/>
      <c r="C3" s="1885"/>
      <c r="D3" s="1885"/>
      <c r="E3" s="1885"/>
      <c r="F3" s="1885"/>
      <c r="G3" s="1885"/>
      <c r="H3" s="1885"/>
    </row>
    <row r="6" spans="1:8" x14ac:dyDescent="0.2">
      <c r="A6" s="17" t="s">
        <v>95</v>
      </c>
      <c r="C6" s="17" t="s">
        <v>786</v>
      </c>
      <c r="H6" s="17" t="s">
        <v>787</v>
      </c>
    </row>
    <row r="7" spans="1:8" x14ac:dyDescent="0.2">
      <c r="A7" s="326" t="s">
        <v>770</v>
      </c>
      <c r="B7" s="326" t="s">
        <v>3</v>
      </c>
      <c r="C7" s="326" t="s">
        <v>788</v>
      </c>
      <c r="D7" s="326" t="s">
        <v>789</v>
      </c>
      <c r="E7" s="326" t="s">
        <v>790</v>
      </c>
      <c r="F7" s="326" t="s">
        <v>791</v>
      </c>
      <c r="G7" s="326" t="s">
        <v>792</v>
      </c>
      <c r="H7" s="326" t="s">
        <v>737</v>
      </c>
    </row>
    <row r="8" spans="1:8" x14ac:dyDescent="0.2">
      <c r="B8" s="17" t="s">
        <v>774</v>
      </c>
      <c r="C8" s="17" t="s">
        <v>775</v>
      </c>
      <c r="D8" s="17" t="s">
        <v>776</v>
      </c>
      <c r="E8" s="17" t="s">
        <v>777</v>
      </c>
      <c r="F8" s="17" t="s">
        <v>778</v>
      </c>
      <c r="G8" s="17" t="s">
        <v>793</v>
      </c>
      <c r="H8" s="17" t="s">
        <v>794</v>
      </c>
    </row>
    <row r="10" spans="1:8" x14ac:dyDescent="0.2">
      <c r="A10" s="17">
        <v>1</v>
      </c>
      <c r="B10" t="s">
        <v>795</v>
      </c>
      <c r="C10" s="322">
        <f>SUM('JKP-8.4c - Total Costs'!B6:B17)</f>
        <v>922911284.20964575</v>
      </c>
      <c r="D10" t="s">
        <v>796</v>
      </c>
      <c r="E10" s="327">
        <v>694085</v>
      </c>
      <c r="F10" s="224">
        <f>C10/E10</f>
        <v>1329.6804918844894</v>
      </c>
      <c r="G10" s="328">
        <v>1</v>
      </c>
      <c r="H10" s="234">
        <f>G10*E10</f>
        <v>694085</v>
      </c>
    </row>
    <row r="11" spans="1:8" x14ac:dyDescent="0.2">
      <c r="A11" s="17"/>
      <c r="C11" s="322"/>
      <c r="F11" s="224"/>
    </row>
    <row r="12" spans="1:8" x14ac:dyDescent="0.2">
      <c r="A12" s="17">
        <v>2</v>
      </c>
      <c r="B12" t="s">
        <v>797</v>
      </c>
      <c r="C12" s="322">
        <f>SUM('JKP-8.4c - Total Costs'!B18:B29)+SUM('JKP-8.4c - Total Costs'!B32:B39)</f>
        <v>321973940.13720274</v>
      </c>
      <c r="D12" t="s">
        <v>798</v>
      </c>
      <c r="E12" s="329">
        <v>54501</v>
      </c>
      <c r="F12" s="224">
        <f>C12/E12</f>
        <v>5907.6703204932519</v>
      </c>
      <c r="G12" s="328">
        <f>F12/F10</f>
        <v>4.4429247150348186</v>
      </c>
      <c r="H12" s="234">
        <f>G12*E12</f>
        <v>242143.83989411264</v>
      </c>
    </row>
    <row r="13" spans="1:8" x14ac:dyDescent="0.2">
      <c r="A13" s="17"/>
      <c r="C13" s="222"/>
      <c r="F13" s="224"/>
    </row>
    <row r="14" spans="1:8" x14ac:dyDescent="0.2">
      <c r="A14" s="17">
        <v>3</v>
      </c>
      <c r="B14" t="s">
        <v>799</v>
      </c>
      <c r="C14" s="322">
        <f>SUM('JKP-8.4c - Total Costs'!B30:B31)+SUM('JKP-8.4c - Total Costs'!B40:B52)</f>
        <v>11589261.194881814</v>
      </c>
      <c r="D14" t="s">
        <v>800</v>
      </c>
      <c r="E14" s="330">
        <f>SUM(E15:E16)</f>
        <v>1922.3333333333333</v>
      </c>
      <c r="F14" s="224">
        <f>C14/E14</f>
        <v>6028.7469368207803</v>
      </c>
      <c r="G14" s="328">
        <f>F14/F10</f>
        <v>4.5339816396618255</v>
      </c>
      <c r="H14" s="234"/>
    </row>
    <row r="15" spans="1:8" x14ac:dyDescent="0.2">
      <c r="A15" s="17"/>
      <c r="C15" s="222"/>
      <c r="D15" t="s">
        <v>801</v>
      </c>
      <c r="E15" s="329">
        <v>1583.3333333333333</v>
      </c>
      <c r="H15" s="234">
        <f>E15*G14</f>
        <v>7178.8042627978903</v>
      </c>
    </row>
    <row r="16" spans="1:8" x14ac:dyDescent="0.2">
      <c r="A16" s="17"/>
      <c r="C16" s="222"/>
      <c r="D16" t="s">
        <v>802</v>
      </c>
      <c r="E16" s="329">
        <v>339</v>
      </c>
      <c r="H16" s="234">
        <f>E16*G14</f>
        <v>1537.0197758453589</v>
      </c>
    </row>
    <row r="17" spans="1:8" x14ac:dyDescent="0.2">
      <c r="A17" s="17"/>
      <c r="C17" s="222"/>
    </row>
    <row r="18" spans="1:8" x14ac:dyDescent="0.2">
      <c r="A18" s="17">
        <v>4</v>
      </c>
      <c r="B18" t="s">
        <v>23</v>
      </c>
      <c r="C18" s="222">
        <f>C10+C12+C14</f>
        <v>1256474485.5417304</v>
      </c>
      <c r="E18" s="330">
        <f>SUM(E10,E12,E14)</f>
        <v>750508.33333333337</v>
      </c>
      <c r="H18" s="330">
        <f>SUM(H10:H16)</f>
        <v>944944.66393275594</v>
      </c>
    </row>
    <row r="19" spans="1:8" x14ac:dyDescent="0.2">
      <c r="C19" s="321"/>
    </row>
  </sheetData>
  <mergeCells count="3">
    <mergeCell ref="A1:H1"/>
    <mergeCell ref="A2:H2"/>
    <mergeCell ref="A3:H3"/>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420"/>
  <sheetViews>
    <sheetView workbookViewId="0">
      <pane xSplit="1" ySplit="1" topLeftCell="B2"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2" width="20.85546875" style="1025" customWidth="1"/>
    <col min="3" max="3" width="36.85546875" style="1025" bestFit="1" customWidth="1"/>
    <col min="4" max="4" width="14.7109375" style="1025" bestFit="1" customWidth="1"/>
    <col min="5" max="5" width="28.140625" style="1025" bestFit="1" customWidth="1"/>
    <col min="6" max="6" width="8.7109375" style="1025" bestFit="1" customWidth="1"/>
    <col min="7" max="7" width="12.42578125" style="1025" bestFit="1" customWidth="1"/>
    <col min="8" max="16384" width="9.140625" style="1025"/>
  </cols>
  <sheetData>
    <row r="1" spans="1:7" x14ac:dyDescent="0.2">
      <c r="A1" s="1025" t="s">
        <v>445</v>
      </c>
      <c r="B1" s="1025" t="s">
        <v>1856</v>
      </c>
      <c r="C1" s="1025" t="s">
        <v>1846</v>
      </c>
      <c r="D1" s="1025" t="s">
        <v>1847</v>
      </c>
      <c r="E1" s="1025" t="s">
        <v>1848</v>
      </c>
      <c r="F1" s="1025" t="s">
        <v>1849</v>
      </c>
      <c r="G1" s="1025" t="s">
        <v>1850</v>
      </c>
    </row>
    <row r="2" spans="1:7" x14ac:dyDescent="0.2">
      <c r="A2" s="1025" t="str">
        <f>C2&amp;" "&amp;E2&amp;" "&amp;B2</f>
        <v xml:space="preserve">23G 175 </v>
      </c>
      <c r="B2" s="1025" t="str">
        <f>IF(OR($D2="CellNet",$D2="Metretek"),"AMR","")</f>
        <v/>
      </c>
      <c r="C2" s="1025" t="s">
        <v>930</v>
      </c>
      <c r="E2" s="1025">
        <v>175</v>
      </c>
      <c r="F2" s="1025">
        <v>37</v>
      </c>
      <c r="G2" s="1025">
        <v>4.7999999999999996E-3</v>
      </c>
    </row>
    <row r="3" spans="1:7" x14ac:dyDescent="0.2">
      <c r="A3" s="1025" t="str">
        <f t="shared" ref="A3:A66" si="0">C3&amp;" "&amp;E3&amp;" "&amp;B3</f>
        <v xml:space="preserve">23G 200 </v>
      </c>
      <c r="B3" s="1025" t="str">
        <f t="shared" ref="B3:B66" si="1">IF(OR($D3="CellNet",$D3="Metretek"),"AMR","")</f>
        <v/>
      </c>
      <c r="C3" s="1025" t="s">
        <v>930</v>
      </c>
      <c r="E3" s="1025">
        <v>200</v>
      </c>
      <c r="F3" s="1025">
        <v>39</v>
      </c>
      <c r="G3" s="1025">
        <v>5.0000000000000001E-3</v>
      </c>
    </row>
    <row r="4" spans="1:7" x14ac:dyDescent="0.2">
      <c r="A4" s="1025" t="str">
        <f t="shared" si="0"/>
        <v xml:space="preserve">23G 250 </v>
      </c>
      <c r="B4" s="1025" t="str">
        <f t="shared" si="1"/>
        <v/>
      </c>
      <c r="C4" s="1025" t="s">
        <v>930</v>
      </c>
      <c r="E4" s="1025">
        <v>250</v>
      </c>
      <c r="F4" s="1025">
        <v>85</v>
      </c>
      <c r="G4" s="1025">
        <v>1.09E-2</v>
      </c>
    </row>
    <row r="5" spans="1:7" x14ac:dyDescent="0.2">
      <c r="A5" s="1025" t="str">
        <f t="shared" si="0"/>
        <v xml:space="preserve">23G 275 </v>
      </c>
      <c r="B5" s="1025" t="str">
        <f t="shared" si="1"/>
        <v/>
      </c>
      <c r="C5" s="1025" t="s">
        <v>930</v>
      </c>
      <c r="E5" s="1025">
        <v>275</v>
      </c>
      <c r="F5" s="1025">
        <v>9</v>
      </c>
      <c r="G5" s="1025">
        <v>1.1999999999999999E-3</v>
      </c>
    </row>
    <row r="6" spans="1:7" x14ac:dyDescent="0.2">
      <c r="A6" s="1025" t="str">
        <f t="shared" si="0"/>
        <v xml:space="preserve">23G 425 </v>
      </c>
      <c r="B6" s="1025" t="str">
        <f t="shared" si="1"/>
        <v/>
      </c>
      <c r="C6" s="1025" t="s">
        <v>930</v>
      </c>
      <c r="E6" s="1025">
        <v>425</v>
      </c>
      <c r="F6" s="1025">
        <v>2</v>
      </c>
      <c r="G6" s="1025">
        <v>2.9999999999999997E-4</v>
      </c>
    </row>
    <row r="7" spans="1:7" x14ac:dyDescent="0.2">
      <c r="A7" s="1025" t="str">
        <f t="shared" si="0"/>
        <v xml:space="preserve">23G 800 </v>
      </c>
      <c r="B7" s="1025" t="str">
        <f t="shared" si="1"/>
        <v/>
      </c>
      <c r="C7" s="1025" t="s">
        <v>930</v>
      </c>
      <c r="E7" s="1025">
        <v>800</v>
      </c>
      <c r="F7" s="1025">
        <v>2</v>
      </c>
      <c r="G7" s="1025">
        <v>2.9999999999999997E-4</v>
      </c>
    </row>
    <row r="8" spans="1:7" x14ac:dyDescent="0.2">
      <c r="A8" s="1025" t="str">
        <f t="shared" si="0"/>
        <v xml:space="preserve">23G 1000 </v>
      </c>
      <c r="B8" s="1025" t="str">
        <f t="shared" si="1"/>
        <v/>
      </c>
      <c r="C8" s="1025" t="s">
        <v>930</v>
      </c>
      <c r="E8" s="1025">
        <v>1000</v>
      </c>
      <c r="F8" s="1025">
        <v>18</v>
      </c>
      <c r="G8" s="1025">
        <v>2.3E-3</v>
      </c>
    </row>
    <row r="9" spans="1:7" x14ac:dyDescent="0.2">
      <c r="A9" s="1025" t="str">
        <f t="shared" si="0"/>
        <v xml:space="preserve">23G 1400 </v>
      </c>
      <c r="B9" s="1025" t="str">
        <f t="shared" si="1"/>
        <v/>
      </c>
      <c r="C9" s="1025" t="s">
        <v>930</v>
      </c>
      <c r="E9" s="1025">
        <v>1400</v>
      </c>
      <c r="F9" s="1025">
        <v>4</v>
      </c>
      <c r="G9" s="1025">
        <v>5.0000000000000001E-4</v>
      </c>
    </row>
    <row r="10" spans="1:7" x14ac:dyDescent="0.2">
      <c r="A10" s="1025" t="str">
        <f t="shared" si="0"/>
        <v xml:space="preserve">23G 2300 </v>
      </c>
      <c r="B10" s="1025" t="str">
        <f t="shared" si="1"/>
        <v/>
      </c>
      <c r="C10" s="1025" t="s">
        <v>930</v>
      </c>
      <c r="E10" s="1025">
        <v>2300</v>
      </c>
      <c r="F10" s="1025">
        <v>1</v>
      </c>
      <c r="G10" s="1025">
        <v>1E-4</v>
      </c>
    </row>
    <row r="11" spans="1:7" x14ac:dyDescent="0.2">
      <c r="A11" s="1025" t="str">
        <f t="shared" si="0"/>
        <v xml:space="preserve">23G 3000 </v>
      </c>
      <c r="B11" s="1025" t="str">
        <f t="shared" si="1"/>
        <v/>
      </c>
      <c r="C11" s="1025" t="s">
        <v>930</v>
      </c>
      <c r="E11" s="1025">
        <v>3000</v>
      </c>
      <c r="F11" s="1025">
        <v>2</v>
      </c>
      <c r="G11" s="1025">
        <v>2.9999999999999997E-4</v>
      </c>
    </row>
    <row r="12" spans="1:7" x14ac:dyDescent="0.2">
      <c r="A12" s="1025" t="str">
        <f t="shared" si="0"/>
        <v xml:space="preserve">23G 250 </v>
      </c>
      <c r="B12" s="1025" t="str">
        <f t="shared" si="1"/>
        <v/>
      </c>
      <c r="C12" s="1025" t="s">
        <v>930</v>
      </c>
      <c r="E12" s="1025">
        <v>250</v>
      </c>
      <c r="F12" s="1025">
        <v>3</v>
      </c>
      <c r="G12" s="1025">
        <v>4.0000000000000002E-4</v>
      </c>
    </row>
    <row r="13" spans="1:7" x14ac:dyDescent="0.2">
      <c r="A13" s="1025" t="str">
        <f t="shared" si="0"/>
        <v xml:space="preserve">23G 425 </v>
      </c>
      <c r="B13" s="1025" t="str">
        <f t="shared" si="1"/>
        <v/>
      </c>
      <c r="C13" s="1025" t="s">
        <v>930</v>
      </c>
      <c r="E13" s="1025">
        <v>425</v>
      </c>
      <c r="F13" s="1025">
        <v>2</v>
      </c>
      <c r="G13" s="1025">
        <v>2.9999999999999997E-4</v>
      </c>
    </row>
    <row r="14" spans="1:7" x14ac:dyDescent="0.2">
      <c r="A14" s="1025" t="str">
        <f t="shared" si="0"/>
        <v xml:space="preserve">23G 1000 </v>
      </c>
      <c r="B14" s="1025" t="str">
        <f t="shared" si="1"/>
        <v/>
      </c>
      <c r="C14" s="1025" t="s">
        <v>930</v>
      </c>
      <c r="E14" s="1025">
        <v>1000</v>
      </c>
      <c r="F14" s="1025">
        <v>2</v>
      </c>
      <c r="G14" s="1025">
        <v>2.9999999999999997E-4</v>
      </c>
    </row>
    <row r="15" spans="1:7" x14ac:dyDescent="0.2">
      <c r="A15" s="1025" t="str">
        <f t="shared" si="0"/>
        <v xml:space="preserve">23G 3000 </v>
      </c>
      <c r="B15" s="1025" t="str">
        <f t="shared" si="1"/>
        <v/>
      </c>
      <c r="C15" s="1025" t="s">
        <v>930</v>
      </c>
      <c r="E15" s="1025">
        <v>3000</v>
      </c>
      <c r="F15" s="1025">
        <v>1</v>
      </c>
      <c r="G15" s="1025">
        <v>1E-4</v>
      </c>
    </row>
    <row r="16" spans="1:7" x14ac:dyDescent="0.2">
      <c r="A16" s="1025" t="str">
        <f t="shared" si="0"/>
        <v>23G 175 AMR</v>
      </c>
      <c r="B16" s="1025" t="str">
        <f t="shared" si="1"/>
        <v>AMR</v>
      </c>
      <c r="C16" s="1025" t="s">
        <v>930</v>
      </c>
      <c r="D16" s="1025" t="s">
        <v>1851</v>
      </c>
      <c r="E16" s="1025">
        <v>175</v>
      </c>
      <c r="F16" s="1025">
        <v>96601</v>
      </c>
      <c r="G16" s="1025">
        <v>12.429500000000001</v>
      </c>
    </row>
    <row r="17" spans="1:7" x14ac:dyDescent="0.2">
      <c r="A17" s="1025" t="str">
        <f t="shared" si="0"/>
        <v>23G 200 AMR</v>
      </c>
      <c r="B17" s="1025" t="str">
        <f t="shared" si="1"/>
        <v>AMR</v>
      </c>
      <c r="C17" s="1025" t="s">
        <v>930</v>
      </c>
      <c r="D17" s="1025" t="s">
        <v>1851</v>
      </c>
      <c r="E17" s="1025">
        <v>200</v>
      </c>
      <c r="F17" s="1025">
        <v>20114</v>
      </c>
      <c r="G17" s="1025">
        <v>2.5880000000000001</v>
      </c>
    </row>
    <row r="18" spans="1:7" x14ac:dyDescent="0.2">
      <c r="A18" s="1025" t="str">
        <f t="shared" si="0"/>
        <v>23G 225 AMR</v>
      </c>
      <c r="B18" s="1025" t="str">
        <f t="shared" si="1"/>
        <v>AMR</v>
      </c>
      <c r="C18" s="1025" t="s">
        <v>930</v>
      </c>
      <c r="D18" s="1025" t="s">
        <v>1851</v>
      </c>
      <c r="E18" s="1025">
        <v>225</v>
      </c>
      <c r="F18" s="1045">
        <v>17</v>
      </c>
      <c r="G18" s="1025">
        <v>2.2000000000000001E-3</v>
      </c>
    </row>
    <row r="19" spans="1:7" x14ac:dyDescent="0.2">
      <c r="A19" s="1025" t="str">
        <f t="shared" si="0"/>
        <v>23G 250 AMR</v>
      </c>
      <c r="B19" s="1025" t="str">
        <f t="shared" si="1"/>
        <v>AMR</v>
      </c>
      <c r="C19" s="1025" t="s">
        <v>930</v>
      </c>
      <c r="D19" s="1025" t="s">
        <v>1851</v>
      </c>
      <c r="E19" s="1025">
        <v>250</v>
      </c>
      <c r="F19" s="1045">
        <v>531691</v>
      </c>
      <c r="G19" s="1025">
        <v>68.411699999999996</v>
      </c>
    </row>
    <row r="20" spans="1:7" x14ac:dyDescent="0.2">
      <c r="A20" s="1025" t="str">
        <f t="shared" si="0"/>
        <v>23G 275 AMR</v>
      </c>
      <c r="B20" s="1025" t="str">
        <f t="shared" si="1"/>
        <v>AMR</v>
      </c>
      <c r="C20" s="1025" t="s">
        <v>930</v>
      </c>
      <c r="D20" s="1025" t="s">
        <v>1851</v>
      </c>
      <c r="E20" s="1025">
        <v>275</v>
      </c>
      <c r="F20" s="1025">
        <v>36577</v>
      </c>
      <c r="G20" s="1025">
        <v>4.7062999999999997</v>
      </c>
    </row>
    <row r="21" spans="1:7" x14ac:dyDescent="0.2">
      <c r="A21" s="1025" t="str">
        <f t="shared" si="0"/>
        <v>23G 400 AMR</v>
      </c>
      <c r="B21" s="1025" t="str">
        <f t="shared" si="1"/>
        <v>AMR</v>
      </c>
      <c r="C21" s="1025" t="s">
        <v>930</v>
      </c>
      <c r="D21" s="1025" t="s">
        <v>1851</v>
      </c>
      <c r="E21" s="1025">
        <v>400</v>
      </c>
      <c r="F21" s="1045">
        <v>6</v>
      </c>
      <c r="G21" s="1025">
        <v>8.0000000000000004E-4</v>
      </c>
    </row>
    <row r="22" spans="1:7" x14ac:dyDescent="0.2">
      <c r="A22" s="1025" t="str">
        <f t="shared" si="0"/>
        <v>23G 425 AMR</v>
      </c>
      <c r="B22" s="1025" t="str">
        <f>IF(OR($D22="CellNet",$D22="Metretek"),"AMR","")</f>
        <v>AMR</v>
      </c>
      <c r="C22" s="1025" t="s">
        <v>930</v>
      </c>
      <c r="D22" s="1025" t="s">
        <v>1851</v>
      </c>
      <c r="E22" s="1025">
        <v>425</v>
      </c>
      <c r="F22" s="1045">
        <v>17097</v>
      </c>
      <c r="G22" s="1025">
        <v>2.1998000000000002</v>
      </c>
    </row>
    <row r="23" spans="1:7" x14ac:dyDescent="0.2">
      <c r="A23" s="1025" t="str">
        <f t="shared" si="0"/>
        <v>23G 750 AMR</v>
      </c>
      <c r="B23" s="1025" t="str">
        <f t="shared" si="1"/>
        <v>AMR</v>
      </c>
      <c r="C23" s="1025" t="s">
        <v>930</v>
      </c>
      <c r="D23" s="1025" t="s">
        <v>1851</v>
      </c>
      <c r="E23" s="1025">
        <v>750</v>
      </c>
      <c r="F23" s="1025">
        <v>2</v>
      </c>
      <c r="G23" s="1025">
        <v>2.9999999999999997E-4</v>
      </c>
    </row>
    <row r="24" spans="1:7" x14ac:dyDescent="0.2">
      <c r="A24" s="1025" t="str">
        <f t="shared" si="0"/>
        <v>23G 800 AMR</v>
      </c>
      <c r="B24" s="1025" t="str">
        <f t="shared" si="1"/>
        <v>AMR</v>
      </c>
      <c r="C24" s="1025" t="s">
        <v>930</v>
      </c>
      <c r="D24" s="1025" t="s">
        <v>1851</v>
      </c>
      <c r="E24" s="1025">
        <v>800</v>
      </c>
      <c r="F24" s="1045">
        <v>47</v>
      </c>
      <c r="G24" s="1025">
        <v>6.0000000000000001E-3</v>
      </c>
    </row>
    <row r="25" spans="1:7" x14ac:dyDescent="0.2">
      <c r="A25" s="1025" t="str">
        <f t="shared" si="0"/>
        <v>23G 1000 AMR</v>
      </c>
      <c r="B25" s="1025" t="str">
        <f t="shared" si="1"/>
        <v>AMR</v>
      </c>
      <c r="C25" s="1025" t="s">
        <v>930</v>
      </c>
      <c r="D25" s="1025" t="s">
        <v>1851</v>
      </c>
      <c r="E25" s="1025">
        <v>1000</v>
      </c>
      <c r="F25" s="1025">
        <v>3229</v>
      </c>
      <c r="G25" s="1025">
        <v>0.41549999999999998</v>
      </c>
    </row>
    <row r="26" spans="1:7" x14ac:dyDescent="0.2">
      <c r="A26" s="1025" t="str">
        <f t="shared" si="0"/>
        <v>23G 1400 AMR</v>
      </c>
      <c r="B26" s="1025" t="str">
        <f t="shared" si="1"/>
        <v>AMR</v>
      </c>
      <c r="C26" s="1025" t="s">
        <v>930</v>
      </c>
      <c r="D26" s="1025" t="s">
        <v>1851</v>
      </c>
      <c r="E26" s="1025">
        <v>1400</v>
      </c>
      <c r="F26" s="1025">
        <v>2</v>
      </c>
      <c r="G26" s="1025">
        <v>2.9999999999999997E-4</v>
      </c>
    </row>
    <row r="27" spans="1:7" x14ac:dyDescent="0.2">
      <c r="A27" s="1025" t="str">
        <f t="shared" si="0"/>
        <v>23G 2300 AMR</v>
      </c>
      <c r="B27" s="1025" t="str">
        <f t="shared" si="1"/>
        <v>AMR</v>
      </c>
      <c r="C27" s="1025" t="s">
        <v>930</v>
      </c>
      <c r="D27" s="1025" t="s">
        <v>1851</v>
      </c>
      <c r="E27" s="1025">
        <v>2300</v>
      </c>
      <c r="F27" s="1045">
        <v>5</v>
      </c>
      <c r="G27" s="1025">
        <v>5.9999999999999995E-4</v>
      </c>
    </row>
    <row r="28" spans="1:7" x14ac:dyDescent="0.2">
      <c r="A28" s="1025" t="str">
        <f t="shared" si="0"/>
        <v>23G 3000 AMR</v>
      </c>
      <c r="B28" s="1025" t="str">
        <f t="shared" si="1"/>
        <v>AMR</v>
      </c>
      <c r="C28" s="1025" t="s">
        <v>930</v>
      </c>
      <c r="D28" s="1025" t="s">
        <v>1851</v>
      </c>
      <c r="E28" s="1025">
        <v>3000</v>
      </c>
      <c r="F28" s="1025">
        <v>10</v>
      </c>
      <c r="G28" s="1025">
        <v>1.2999999999999999E-3</v>
      </c>
    </row>
    <row r="29" spans="1:7" x14ac:dyDescent="0.2">
      <c r="A29" s="1025" t="str">
        <f t="shared" si="0"/>
        <v>23G 5000 AMR</v>
      </c>
      <c r="B29" s="1025" t="str">
        <f t="shared" si="1"/>
        <v>AMR</v>
      </c>
      <c r="C29" s="1025" t="s">
        <v>930</v>
      </c>
      <c r="D29" s="1025" t="s">
        <v>1851</v>
      </c>
      <c r="E29" s="1025">
        <v>5000</v>
      </c>
      <c r="F29" s="1025">
        <v>4</v>
      </c>
      <c r="G29" s="1025">
        <v>5.0000000000000001E-4</v>
      </c>
    </row>
    <row r="30" spans="1:7" x14ac:dyDescent="0.2">
      <c r="A30" s="1025" t="str">
        <f t="shared" si="0"/>
        <v>23G 7000 AMR</v>
      </c>
      <c r="B30" s="1025" t="str">
        <f t="shared" si="1"/>
        <v>AMR</v>
      </c>
      <c r="C30" s="1025" t="s">
        <v>930</v>
      </c>
      <c r="D30" s="1025" t="s">
        <v>1851</v>
      </c>
      <c r="E30" s="1025">
        <v>7000</v>
      </c>
      <c r="F30" s="1025">
        <v>1</v>
      </c>
      <c r="G30" s="1025">
        <v>1E-4</v>
      </c>
    </row>
    <row r="31" spans="1:7" x14ac:dyDescent="0.2">
      <c r="A31" s="1025" t="str">
        <f t="shared" si="0"/>
        <v>23G-ND 175 AMR</v>
      </c>
      <c r="B31" s="1025" t="str">
        <f t="shared" si="1"/>
        <v>AMR</v>
      </c>
      <c r="C31" s="1025" t="s">
        <v>931</v>
      </c>
      <c r="D31" s="1025" t="s">
        <v>1851</v>
      </c>
      <c r="E31" s="1025">
        <v>175</v>
      </c>
      <c r="F31" s="1025">
        <v>12</v>
      </c>
      <c r="G31" s="1025">
        <v>1.5E-3</v>
      </c>
    </row>
    <row r="32" spans="1:7" x14ac:dyDescent="0.2">
      <c r="A32" s="1025" t="str">
        <f t="shared" si="0"/>
        <v>23G-ND 200 AMR</v>
      </c>
      <c r="B32" s="1025" t="str">
        <f t="shared" si="1"/>
        <v>AMR</v>
      </c>
      <c r="C32" s="1025" t="s">
        <v>931</v>
      </c>
      <c r="D32" s="1025" t="s">
        <v>1851</v>
      </c>
      <c r="E32" s="1025">
        <v>200</v>
      </c>
      <c r="F32" s="1025">
        <v>6</v>
      </c>
      <c r="G32" s="1025">
        <v>8.0000000000000004E-4</v>
      </c>
    </row>
    <row r="33" spans="1:7" x14ac:dyDescent="0.2">
      <c r="A33" s="1025" t="str">
        <f t="shared" si="0"/>
        <v>23G-ND 250 AMR</v>
      </c>
      <c r="B33" s="1025" t="str">
        <f t="shared" si="1"/>
        <v>AMR</v>
      </c>
      <c r="C33" s="1025" t="s">
        <v>931</v>
      </c>
      <c r="D33" s="1025" t="s">
        <v>1851</v>
      </c>
      <c r="E33" s="1025">
        <v>250</v>
      </c>
      <c r="F33" s="1025">
        <v>621</v>
      </c>
      <c r="G33" s="1025">
        <v>7.9899999999999999E-2</v>
      </c>
    </row>
    <row r="34" spans="1:7" x14ac:dyDescent="0.2">
      <c r="A34" s="1025" t="str">
        <f t="shared" si="0"/>
        <v>23G-ND 275 AMR</v>
      </c>
      <c r="B34" s="1025" t="str">
        <f t="shared" si="1"/>
        <v>AMR</v>
      </c>
      <c r="C34" s="1025" t="s">
        <v>931</v>
      </c>
      <c r="D34" s="1025" t="s">
        <v>1851</v>
      </c>
      <c r="E34" s="1025">
        <v>275</v>
      </c>
      <c r="F34" s="1025">
        <v>9</v>
      </c>
      <c r="G34" s="1025">
        <v>1.1999999999999999E-3</v>
      </c>
    </row>
    <row r="35" spans="1:7" x14ac:dyDescent="0.2">
      <c r="A35" s="1025" t="str">
        <f t="shared" si="0"/>
        <v>23G-ND 425 AMR</v>
      </c>
      <c r="B35" s="1025" t="str">
        <f t="shared" si="1"/>
        <v>AMR</v>
      </c>
      <c r="C35" s="1025" t="s">
        <v>931</v>
      </c>
      <c r="D35" s="1025" t="s">
        <v>1851</v>
      </c>
      <c r="E35" s="1025">
        <v>425</v>
      </c>
      <c r="F35" s="1025">
        <v>57</v>
      </c>
      <c r="G35" s="1025">
        <v>7.3000000000000001E-3</v>
      </c>
    </row>
    <row r="36" spans="1:7" x14ac:dyDescent="0.2">
      <c r="A36" s="1025" t="str">
        <f t="shared" si="0"/>
        <v>23G-ND 1000 AMR</v>
      </c>
      <c r="B36" s="1025" t="str">
        <f t="shared" si="1"/>
        <v>AMR</v>
      </c>
      <c r="C36" s="1025" t="s">
        <v>931</v>
      </c>
      <c r="D36" s="1025" t="s">
        <v>1851</v>
      </c>
      <c r="E36" s="1025">
        <v>1000</v>
      </c>
      <c r="F36" s="1025">
        <v>8</v>
      </c>
      <c r="G36" s="1025">
        <v>1E-3</v>
      </c>
    </row>
    <row r="37" spans="1:7" x14ac:dyDescent="0.2">
      <c r="A37" s="1025" t="str">
        <f t="shared" si="0"/>
        <v>23G-NK 175 AMR</v>
      </c>
      <c r="B37" s="1025" t="str">
        <f t="shared" si="1"/>
        <v>AMR</v>
      </c>
      <c r="C37" s="1025" t="s">
        <v>932</v>
      </c>
      <c r="D37" s="1025" t="s">
        <v>1851</v>
      </c>
      <c r="E37" s="1025">
        <v>175</v>
      </c>
      <c r="F37" s="1025">
        <v>34</v>
      </c>
      <c r="G37" s="1025">
        <v>4.4000000000000003E-3</v>
      </c>
    </row>
    <row r="38" spans="1:7" x14ac:dyDescent="0.2">
      <c r="A38" s="1025" t="str">
        <f t="shared" si="0"/>
        <v>23G-NK 250 AMR</v>
      </c>
      <c r="B38" s="1025" t="str">
        <f t="shared" si="1"/>
        <v>AMR</v>
      </c>
      <c r="C38" s="1025" t="s">
        <v>932</v>
      </c>
      <c r="D38" s="1025" t="s">
        <v>1851</v>
      </c>
      <c r="E38" s="1025">
        <v>250</v>
      </c>
      <c r="F38" s="1025">
        <v>628</v>
      </c>
      <c r="G38" s="1025">
        <v>8.0799999999999997E-2</v>
      </c>
    </row>
    <row r="39" spans="1:7" x14ac:dyDescent="0.2">
      <c r="A39" s="1025" t="str">
        <f t="shared" si="0"/>
        <v>23G-NK 275 AMR</v>
      </c>
      <c r="B39" s="1025" t="str">
        <f t="shared" si="1"/>
        <v>AMR</v>
      </c>
      <c r="C39" s="1025" t="s">
        <v>932</v>
      </c>
      <c r="D39" s="1025" t="s">
        <v>1851</v>
      </c>
      <c r="E39" s="1025">
        <v>275</v>
      </c>
      <c r="F39" s="1025">
        <v>1</v>
      </c>
      <c r="G39" s="1025">
        <v>1E-4</v>
      </c>
    </row>
    <row r="40" spans="1:7" x14ac:dyDescent="0.2">
      <c r="A40" s="1025" t="str">
        <f t="shared" si="0"/>
        <v>23G-NK 425 AMR</v>
      </c>
      <c r="B40" s="1025" t="str">
        <f t="shared" si="1"/>
        <v>AMR</v>
      </c>
      <c r="C40" s="1025" t="s">
        <v>932</v>
      </c>
      <c r="D40" s="1025" t="s">
        <v>1851</v>
      </c>
      <c r="E40" s="1025">
        <v>425</v>
      </c>
      <c r="F40" s="1025">
        <v>28</v>
      </c>
      <c r="G40" s="1025">
        <v>3.5999999999999999E-3</v>
      </c>
    </row>
    <row r="41" spans="1:7" x14ac:dyDescent="0.2">
      <c r="A41" s="1025" t="str">
        <f t="shared" si="0"/>
        <v>23G-NK 1000 AMR</v>
      </c>
      <c r="B41" s="1025" t="str">
        <f t="shared" si="1"/>
        <v>AMR</v>
      </c>
      <c r="C41" s="1025" t="s">
        <v>932</v>
      </c>
      <c r="D41" s="1025" t="s">
        <v>1851</v>
      </c>
      <c r="E41" s="1025">
        <v>1000</v>
      </c>
      <c r="F41" s="1025">
        <v>7</v>
      </c>
      <c r="G41" s="1025">
        <v>8.9999999999999998E-4</v>
      </c>
    </row>
    <row r="42" spans="1:7" x14ac:dyDescent="0.2">
      <c r="A42" s="1025" t="str">
        <f t="shared" si="0"/>
        <v xml:space="preserve">23G-NR 250 </v>
      </c>
      <c r="B42" s="1025" t="str">
        <f t="shared" si="1"/>
        <v/>
      </c>
      <c r="C42" s="1025" t="s">
        <v>933</v>
      </c>
      <c r="E42" s="1025">
        <v>250</v>
      </c>
      <c r="F42" s="1025">
        <v>1</v>
      </c>
      <c r="G42" s="1025">
        <v>1E-4</v>
      </c>
    </row>
    <row r="43" spans="1:7" x14ac:dyDescent="0.2">
      <c r="A43" s="1025" t="str">
        <f t="shared" si="0"/>
        <v xml:space="preserve">23G-NR 1000 </v>
      </c>
      <c r="B43" s="1025" t="str">
        <f t="shared" si="1"/>
        <v/>
      </c>
      <c r="C43" s="1025" t="s">
        <v>933</v>
      </c>
      <c r="E43" s="1025">
        <v>1000</v>
      </c>
      <c r="F43" s="1025">
        <v>2</v>
      </c>
      <c r="G43" s="1025">
        <v>2.9999999999999997E-4</v>
      </c>
    </row>
    <row r="44" spans="1:7" x14ac:dyDescent="0.2">
      <c r="A44" s="1025" t="str">
        <f t="shared" si="0"/>
        <v xml:space="preserve">23G-NR 3000 </v>
      </c>
      <c r="B44" s="1025" t="str">
        <f t="shared" si="1"/>
        <v/>
      </c>
      <c r="C44" s="1025" t="s">
        <v>933</v>
      </c>
      <c r="E44" s="1025">
        <v>3000</v>
      </c>
      <c r="F44" s="1025">
        <v>1</v>
      </c>
      <c r="G44" s="1025">
        <v>1E-4</v>
      </c>
    </row>
    <row r="45" spans="1:7" x14ac:dyDescent="0.2">
      <c r="A45" s="1025" t="str">
        <f t="shared" si="0"/>
        <v>23G-NR 175 AMR</v>
      </c>
      <c r="B45" s="1025" t="str">
        <f t="shared" si="1"/>
        <v>AMR</v>
      </c>
      <c r="C45" s="1025" t="s">
        <v>933</v>
      </c>
      <c r="D45" s="1025" t="s">
        <v>1851</v>
      </c>
      <c r="E45" s="1025">
        <v>175</v>
      </c>
      <c r="F45" s="1025">
        <v>121</v>
      </c>
      <c r="G45" s="1025">
        <v>1.5599999999999999E-2</v>
      </c>
    </row>
    <row r="46" spans="1:7" x14ac:dyDescent="0.2">
      <c r="A46" s="1025" t="str">
        <f t="shared" si="0"/>
        <v>23G-NR 200 AMR</v>
      </c>
      <c r="B46" s="1025" t="str">
        <f t="shared" si="1"/>
        <v>AMR</v>
      </c>
      <c r="C46" s="1025" t="s">
        <v>933</v>
      </c>
      <c r="D46" s="1025" t="s">
        <v>1851</v>
      </c>
      <c r="E46" s="1025">
        <v>200</v>
      </c>
      <c r="F46" s="1025">
        <v>30</v>
      </c>
      <c r="G46" s="1025">
        <v>3.8999999999999998E-3</v>
      </c>
    </row>
    <row r="47" spans="1:7" x14ac:dyDescent="0.2">
      <c r="A47" s="1025" t="str">
        <f t="shared" si="0"/>
        <v>23G-NR 225 AMR</v>
      </c>
      <c r="B47" s="1025" t="str">
        <f t="shared" si="1"/>
        <v>AMR</v>
      </c>
      <c r="C47" s="1025" t="s">
        <v>933</v>
      </c>
      <c r="D47" s="1025" t="s">
        <v>1851</v>
      </c>
      <c r="E47" s="1025">
        <v>225</v>
      </c>
      <c r="F47" s="1025">
        <v>1</v>
      </c>
      <c r="G47" s="1025">
        <v>1E-4</v>
      </c>
    </row>
    <row r="48" spans="1:7" x14ac:dyDescent="0.2">
      <c r="A48" s="1025" t="str">
        <f t="shared" si="0"/>
        <v>23G-NR 250 AMR</v>
      </c>
      <c r="B48" s="1025" t="str">
        <f t="shared" si="1"/>
        <v>AMR</v>
      </c>
      <c r="C48" s="1025" t="s">
        <v>933</v>
      </c>
      <c r="D48" s="1025" t="s">
        <v>1851</v>
      </c>
      <c r="E48" s="1025">
        <v>250</v>
      </c>
      <c r="F48" s="1025">
        <v>5680</v>
      </c>
      <c r="G48" s="1025">
        <v>0.73080000000000001</v>
      </c>
    </row>
    <row r="49" spans="1:7" x14ac:dyDescent="0.2">
      <c r="A49" s="1025" t="str">
        <f t="shared" si="0"/>
        <v>23G-NR 275 AMR</v>
      </c>
      <c r="B49" s="1025" t="str">
        <f t="shared" si="1"/>
        <v>AMR</v>
      </c>
      <c r="C49" s="1025" t="s">
        <v>933</v>
      </c>
      <c r="D49" s="1025" t="s">
        <v>1851</v>
      </c>
      <c r="E49" s="1025">
        <v>275</v>
      </c>
      <c r="F49" s="1025">
        <v>33</v>
      </c>
      <c r="G49" s="1025">
        <v>4.1999999999999997E-3</v>
      </c>
    </row>
    <row r="50" spans="1:7" x14ac:dyDescent="0.2">
      <c r="A50" s="1025" t="str">
        <f t="shared" si="0"/>
        <v>23G-NR 425 AMR</v>
      </c>
      <c r="B50" s="1025" t="str">
        <f t="shared" si="1"/>
        <v>AMR</v>
      </c>
      <c r="C50" s="1025" t="s">
        <v>933</v>
      </c>
      <c r="D50" s="1025" t="s">
        <v>1851</v>
      </c>
      <c r="E50" s="1025">
        <v>425</v>
      </c>
      <c r="F50" s="1025">
        <v>266</v>
      </c>
      <c r="G50" s="1025">
        <v>3.4200000000000001E-2</v>
      </c>
    </row>
    <row r="51" spans="1:7" x14ac:dyDescent="0.2">
      <c r="A51" s="1025" t="str">
        <f t="shared" si="0"/>
        <v>23G-NR 1000 AMR</v>
      </c>
      <c r="B51" s="1025" t="str">
        <f t="shared" si="1"/>
        <v>AMR</v>
      </c>
      <c r="C51" s="1025" t="s">
        <v>933</v>
      </c>
      <c r="D51" s="1025" t="s">
        <v>1851</v>
      </c>
      <c r="E51" s="1025">
        <v>1000</v>
      </c>
      <c r="F51" s="1045">
        <v>48</v>
      </c>
      <c r="G51" s="1025">
        <v>6.1999999999999998E-3</v>
      </c>
    </row>
    <row r="52" spans="1:7" x14ac:dyDescent="0.2">
      <c r="A52" s="1025" t="str">
        <f t="shared" si="0"/>
        <v>23G-NR 3000 AMR</v>
      </c>
      <c r="B52" s="1025" t="str">
        <f t="shared" si="1"/>
        <v>AMR</v>
      </c>
      <c r="C52" s="1025" t="s">
        <v>933</v>
      </c>
      <c r="D52" s="1025" t="s">
        <v>1851</v>
      </c>
      <c r="E52" s="1025">
        <v>3000</v>
      </c>
      <c r="F52" s="1025">
        <v>2</v>
      </c>
      <c r="G52" s="1025">
        <v>2.9999999999999997E-4</v>
      </c>
    </row>
    <row r="53" spans="1:7" x14ac:dyDescent="0.2">
      <c r="A53" s="1025" t="str">
        <f t="shared" si="0"/>
        <v xml:space="preserve">23G-NS 1000 </v>
      </c>
      <c r="B53" s="1025" t="str">
        <f t="shared" si="1"/>
        <v/>
      </c>
      <c r="C53" s="1025" t="s">
        <v>934</v>
      </c>
      <c r="E53" s="1025">
        <v>1000</v>
      </c>
      <c r="F53" s="1025">
        <v>2</v>
      </c>
      <c r="G53" s="1025">
        <v>2.9999999999999997E-4</v>
      </c>
    </row>
    <row r="54" spans="1:7" x14ac:dyDescent="0.2">
      <c r="A54" s="1025" t="str">
        <f t="shared" si="0"/>
        <v>23G-NS 175 AMR</v>
      </c>
      <c r="B54" s="1025" t="str">
        <f t="shared" si="1"/>
        <v>AMR</v>
      </c>
      <c r="C54" s="1025" t="s">
        <v>934</v>
      </c>
      <c r="D54" s="1025" t="s">
        <v>1851</v>
      </c>
      <c r="E54" s="1025">
        <v>175</v>
      </c>
      <c r="F54" s="1025">
        <v>2</v>
      </c>
      <c r="G54" s="1025">
        <v>2.9999999999999997E-4</v>
      </c>
    </row>
    <row r="55" spans="1:7" x14ac:dyDescent="0.2">
      <c r="A55" s="1025" t="str">
        <f t="shared" si="0"/>
        <v>23G-NS 250 AMR</v>
      </c>
      <c r="B55" s="1025" t="str">
        <f t="shared" si="1"/>
        <v>AMR</v>
      </c>
      <c r="C55" s="1025" t="s">
        <v>934</v>
      </c>
      <c r="D55" s="1025" t="s">
        <v>1851</v>
      </c>
      <c r="E55" s="1025">
        <v>250</v>
      </c>
      <c r="F55" s="1025">
        <v>38</v>
      </c>
      <c r="G55" s="1025">
        <v>4.8999999999999998E-3</v>
      </c>
    </row>
    <row r="56" spans="1:7" x14ac:dyDescent="0.2">
      <c r="A56" s="1025" t="str">
        <f t="shared" si="0"/>
        <v>23G-NS 425 AMR</v>
      </c>
      <c r="B56" s="1025" t="str">
        <f t="shared" si="1"/>
        <v>AMR</v>
      </c>
      <c r="C56" s="1025" t="s">
        <v>934</v>
      </c>
      <c r="D56" s="1025" t="s">
        <v>1851</v>
      </c>
      <c r="E56" s="1025">
        <v>425</v>
      </c>
      <c r="F56" s="1025">
        <v>173</v>
      </c>
      <c r="G56" s="1025">
        <v>2.23E-2</v>
      </c>
    </row>
    <row r="57" spans="1:7" x14ac:dyDescent="0.2">
      <c r="A57" s="1025" t="str">
        <f t="shared" si="0"/>
        <v>23G-NS 800 AMR</v>
      </c>
      <c r="B57" s="1025" t="str">
        <f t="shared" si="1"/>
        <v>AMR</v>
      </c>
      <c r="C57" s="1025" t="s">
        <v>934</v>
      </c>
      <c r="D57" s="1025" t="s">
        <v>1851</v>
      </c>
      <c r="E57" s="1025">
        <v>800</v>
      </c>
      <c r="F57" s="1025">
        <v>1</v>
      </c>
      <c r="G57" s="1025">
        <v>1E-4</v>
      </c>
    </row>
    <row r="58" spans="1:7" x14ac:dyDescent="0.2">
      <c r="A58" s="1025" t="str">
        <f t="shared" si="0"/>
        <v>23G-NS 1000 AMR</v>
      </c>
      <c r="B58" s="1025" t="str">
        <f t="shared" si="1"/>
        <v>AMR</v>
      </c>
      <c r="C58" s="1025" t="s">
        <v>934</v>
      </c>
      <c r="D58" s="1025" t="s">
        <v>1851</v>
      </c>
      <c r="E58" s="1025">
        <v>1000</v>
      </c>
      <c r="F58" s="1025">
        <v>71</v>
      </c>
      <c r="G58" s="1025">
        <v>9.1000000000000004E-3</v>
      </c>
    </row>
    <row r="59" spans="1:7" x14ac:dyDescent="0.2">
      <c r="A59" s="1025" t="str">
        <f t="shared" si="0"/>
        <v xml:space="preserve">31G-C 175 </v>
      </c>
      <c r="B59" s="1025" t="str">
        <f t="shared" si="1"/>
        <v/>
      </c>
      <c r="C59" s="1025" t="s">
        <v>901</v>
      </c>
      <c r="E59" s="1025">
        <v>175</v>
      </c>
      <c r="F59" s="1025">
        <v>9</v>
      </c>
      <c r="G59" s="1025">
        <v>1.1999999999999999E-3</v>
      </c>
    </row>
    <row r="60" spans="1:7" x14ac:dyDescent="0.2">
      <c r="A60" s="1025" t="str">
        <f t="shared" si="0"/>
        <v xml:space="preserve">31G-C 200 </v>
      </c>
      <c r="B60" s="1025" t="str">
        <f t="shared" si="1"/>
        <v/>
      </c>
      <c r="C60" s="1025" t="s">
        <v>901</v>
      </c>
      <c r="E60" s="1025">
        <v>200</v>
      </c>
      <c r="F60" s="1025">
        <v>1</v>
      </c>
      <c r="G60" s="1025">
        <v>1E-4</v>
      </c>
    </row>
    <row r="61" spans="1:7" x14ac:dyDescent="0.2">
      <c r="A61" s="1025" t="str">
        <f t="shared" si="0"/>
        <v xml:space="preserve">31G-C 250 </v>
      </c>
      <c r="B61" s="1025" t="str">
        <f t="shared" si="1"/>
        <v/>
      </c>
      <c r="C61" s="1025" t="s">
        <v>901</v>
      </c>
      <c r="E61" s="1025">
        <v>250</v>
      </c>
      <c r="F61" s="1025">
        <v>15</v>
      </c>
      <c r="G61" s="1025">
        <v>1.9E-3</v>
      </c>
    </row>
    <row r="62" spans="1:7" x14ac:dyDescent="0.2">
      <c r="A62" s="1025" t="str">
        <f t="shared" si="0"/>
        <v xml:space="preserve">31G-C 275 </v>
      </c>
      <c r="B62" s="1025" t="str">
        <f t="shared" si="1"/>
        <v/>
      </c>
      <c r="C62" s="1025" t="s">
        <v>901</v>
      </c>
      <c r="E62" s="1025">
        <v>275</v>
      </c>
      <c r="F62" s="1025">
        <v>1</v>
      </c>
      <c r="G62" s="1025">
        <v>1E-4</v>
      </c>
    </row>
    <row r="63" spans="1:7" x14ac:dyDescent="0.2">
      <c r="A63" s="1025" t="str">
        <f t="shared" si="0"/>
        <v xml:space="preserve">31G-C 800 </v>
      </c>
      <c r="B63" s="1025" t="str">
        <f t="shared" si="1"/>
        <v/>
      </c>
      <c r="C63" s="1025" t="s">
        <v>901</v>
      </c>
      <c r="E63" s="1025">
        <v>800</v>
      </c>
      <c r="F63" s="1025">
        <v>4</v>
      </c>
      <c r="G63" s="1025">
        <v>5.0000000000000001E-4</v>
      </c>
    </row>
    <row r="64" spans="1:7" x14ac:dyDescent="0.2">
      <c r="A64" s="1025" t="str">
        <f t="shared" si="0"/>
        <v xml:space="preserve">31G-C 1000 </v>
      </c>
      <c r="B64" s="1025" t="str">
        <f t="shared" si="1"/>
        <v/>
      </c>
      <c r="C64" s="1025" t="s">
        <v>901</v>
      </c>
      <c r="E64" s="1025">
        <v>1000</v>
      </c>
      <c r="F64" s="1025">
        <v>265</v>
      </c>
      <c r="G64" s="1025">
        <v>3.4099999999999998E-2</v>
      </c>
    </row>
    <row r="65" spans="1:7" x14ac:dyDescent="0.2">
      <c r="A65" s="1025" t="str">
        <f t="shared" si="0"/>
        <v xml:space="preserve">31G-C 1400 </v>
      </c>
      <c r="B65" s="1025" t="str">
        <f t="shared" si="1"/>
        <v/>
      </c>
      <c r="C65" s="1025" t="s">
        <v>901</v>
      </c>
      <c r="E65" s="1025">
        <v>1400</v>
      </c>
      <c r="F65" s="1025">
        <v>25</v>
      </c>
      <c r="G65" s="1025">
        <v>3.2000000000000002E-3</v>
      </c>
    </row>
    <row r="66" spans="1:7" x14ac:dyDescent="0.2">
      <c r="A66" s="1025" t="str">
        <f t="shared" si="0"/>
        <v xml:space="preserve">31G-C 2300 </v>
      </c>
      <c r="B66" s="1025" t="str">
        <f t="shared" si="1"/>
        <v/>
      </c>
      <c r="C66" s="1025" t="s">
        <v>901</v>
      </c>
      <c r="E66" s="1025">
        <v>2300</v>
      </c>
      <c r="F66" s="1025">
        <v>31</v>
      </c>
      <c r="G66" s="1025">
        <v>4.0000000000000001E-3</v>
      </c>
    </row>
    <row r="67" spans="1:7" x14ac:dyDescent="0.2">
      <c r="A67" s="1025" t="str">
        <f t="shared" ref="A67:A130" si="2">C67&amp;" "&amp;E67&amp;" "&amp;B67</f>
        <v xml:space="preserve">31G-C 3000 </v>
      </c>
      <c r="B67" s="1025" t="str">
        <f t="shared" ref="B67:B130" si="3">IF(OR($D67="CellNet",$D67="Metretek"),"AMR","")</f>
        <v/>
      </c>
      <c r="C67" s="1025" t="s">
        <v>901</v>
      </c>
      <c r="E67" s="1025">
        <v>3000</v>
      </c>
      <c r="F67" s="1025">
        <v>60</v>
      </c>
      <c r="G67" s="1025">
        <v>7.7000000000000002E-3</v>
      </c>
    </row>
    <row r="68" spans="1:7" x14ac:dyDescent="0.2">
      <c r="A68" s="1025" t="str">
        <f t="shared" si="2"/>
        <v xml:space="preserve">31G-C 5000 </v>
      </c>
      <c r="B68" s="1025" t="str">
        <f t="shared" si="3"/>
        <v/>
      </c>
      <c r="C68" s="1025" t="s">
        <v>901</v>
      </c>
      <c r="E68" s="1025">
        <v>5000</v>
      </c>
      <c r="F68" s="1025">
        <v>53</v>
      </c>
      <c r="G68" s="1025">
        <v>6.7999999999999996E-3</v>
      </c>
    </row>
    <row r="69" spans="1:7" x14ac:dyDescent="0.2">
      <c r="A69" s="1025" t="str">
        <f t="shared" si="2"/>
        <v xml:space="preserve">31G-C 7000 </v>
      </c>
      <c r="B69" s="1025" t="str">
        <f t="shared" si="3"/>
        <v/>
      </c>
      <c r="C69" s="1025" t="s">
        <v>901</v>
      </c>
      <c r="E69" s="1025">
        <v>7000</v>
      </c>
      <c r="F69" s="1025">
        <v>42</v>
      </c>
      <c r="G69" s="1025">
        <v>5.4000000000000003E-3</v>
      </c>
    </row>
    <row r="70" spans="1:7" x14ac:dyDescent="0.2">
      <c r="A70" s="1025" t="str">
        <f t="shared" si="2"/>
        <v xml:space="preserve">31G-C 11000 </v>
      </c>
      <c r="B70" s="1025" t="str">
        <f t="shared" si="3"/>
        <v/>
      </c>
      <c r="C70" s="1025" t="s">
        <v>901</v>
      </c>
      <c r="E70" s="1025">
        <v>11000</v>
      </c>
      <c r="F70" s="1025">
        <v>119</v>
      </c>
      <c r="G70" s="1025">
        <v>1.5299999999999999E-2</v>
      </c>
    </row>
    <row r="71" spans="1:7" x14ac:dyDescent="0.2">
      <c r="A71" s="1025" t="str">
        <f t="shared" si="2"/>
        <v xml:space="preserve">31G-C 16000 </v>
      </c>
      <c r="B71" s="1025" t="str">
        <f t="shared" si="3"/>
        <v/>
      </c>
      <c r="C71" s="1025" t="s">
        <v>901</v>
      </c>
      <c r="E71" s="1025">
        <v>16000</v>
      </c>
      <c r="F71" s="1025">
        <v>38</v>
      </c>
      <c r="G71" s="1025">
        <v>4.8999999999999998E-3</v>
      </c>
    </row>
    <row r="72" spans="1:7" x14ac:dyDescent="0.2">
      <c r="A72" s="1025" t="str">
        <f t="shared" si="2"/>
        <v xml:space="preserve">31G-C 18000 </v>
      </c>
      <c r="B72" s="1025" t="str">
        <f t="shared" si="3"/>
        <v/>
      </c>
      <c r="C72" s="1025" t="s">
        <v>901</v>
      </c>
      <c r="E72" s="1025">
        <v>18000</v>
      </c>
      <c r="F72" s="1025">
        <v>3</v>
      </c>
      <c r="G72" s="1025">
        <v>4.0000000000000002E-4</v>
      </c>
    </row>
    <row r="73" spans="1:7" x14ac:dyDescent="0.2">
      <c r="A73" s="1025" t="str">
        <f t="shared" si="2"/>
        <v xml:space="preserve">31G-C 23000 </v>
      </c>
      <c r="B73" s="1025" t="str">
        <f t="shared" si="3"/>
        <v/>
      </c>
      <c r="C73" s="1025" t="s">
        <v>901</v>
      </c>
      <c r="E73" s="1025">
        <v>23000</v>
      </c>
      <c r="F73" s="1025">
        <v>1</v>
      </c>
      <c r="G73" s="1025">
        <v>1E-4</v>
      </c>
    </row>
    <row r="74" spans="1:7" x14ac:dyDescent="0.2">
      <c r="A74" s="1025" t="str">
        <f t="shared" si="2"/>
        <v xml:space="preserve">31G-C 30000 </v>
      </c>
      <c r="B74" s="1025" t="str">
        <f t="shared" si="3"/>
        <v/>
      </c>
      <c r="C74" s="1025" t="s">
        <v>901</v>
      </c>
      <c r="E74" s="1025">
        <v>30000</v>
      </c>
      <c r="F74" s="1025">
        <v>1</v>
      </c>
      <c r="G74" s="1025">
        <v>1E-4</v>
      </c>
    </row>
    <row r="75" spans="1:7" x14ac:dyDescent="0.2">
      <c r="A75" s="1025" t="str">
        <f t="shared" si="2"/>
        <v xml:space="preserve">31G-C 60000 </v>
      </c>
      <c r="B75" s="1025" t="str">
        <f t="shared" si="3"/>
        <v/>
      </c>
      <c r="C75" s="1025" t="s">
        <v>901</v>
      </c>
      <c r="E75" s="1025">
        <v>60000</v>
      </c>
      <c r="F75" s="1025">
        <v>2</v>
      </c>
      <c r="G75" s="1025">
        <v>2.9999999999999997E-4</v>
      </c>
    </row>
    <row r="76" spans="1:7" x14ac:dyDescent="0.2">
      <c r="A76" s="1025" t="str">
        <f t="shared" si="2"/>
        <v xml:space="preserve">31G-C 1000 </v>
      </c>
      <c r="B76" s="1025" t="str">
        <f t="shared" si="3"/>
        <v/>
      </c>
      <c r="C76" s="1025" t="s">
        <v>901</v>
      </c>
      <c r="E76" s="1025">
        <v>1000</v>
      </c>
      <c r="F76" s="1025">
        <v>37</v>
      </c>
      <c r="G76" s="1025">
        <v>4.7999999999999996E-3</v>
      </c>
    </row>
    <row r="77" spans="1:7" x14ac:dyDescent="0.2">
      <c r="A77" s="1025" t="str">
        <f t="shared" si="2"/>
        <v xml:space="preserve">31G-C 3000 </v>
      </c>
      <c r="B77" s="1025" t="str">
        <f t="shared" si="3"/>
        <v/>
      </c>
      <c r="C77" s="1025" t="s">
        <v>901</v>
      </c>
      <c r="E77" s="1025">
        <v>3000</v>
      </c>
      <c r="F77" s="1025">
        <v>117</v>
      </c>
      <c r="G77" s="1025">
        <v>1.5100000000000001E-2</v>
      </c>
    </row>
    <row r="78" spans="1:7" x14ac:dyDescent="0.2">
      <c r="A78" s="1025" t="str">
        <f t="shared" si="2"/>
        <v xml:space="preserve">31G-C 5000 </v>
      </c>
      <c r="B78" s="1025" t="str">
        <f t="shared" si="3"/>
        <v/>
      </c>
      <c r="C78" s="1025" t="s">
        <v>901</v>
      </c>
      <c r="E78" s="1025">
        <v>5000</v>
      </c>
      <c r="F78" s="1025">
        <v>78</v>
      </c>
      <c r="G78" s="1025">
        <v>0.01</v>
      </c>
    </row>
    <row r="79" spans="1:7" x14ac:dyDescent="0.2">
      <c r="A79" s="1025" t="str">
        <f t="shared" si="2"/>
        <v xml:space="preserve">31G-C 7000 </v>
      </c>
      <c r="B79" s="1025" t="str">
        <f t="shared" si="3"/>
        <v/>
      </c>
      <c r="C79" s="1025" t="s">
        <v>901</v>
      </c>
      <c r="E79" s="1025">
        <v>7000</v>
      </c>
      <c r="F79" s="1025">
        <v>24</v>
      </c>
      <c r="G79" s="1025">
        <v>3.0999999999999999E-3</v>
      </c>
    </row>
    <row r="80" spans="1:7" x14ac:dyDescent="0.2">
      <c r="A80" s="1025" t="str">
        <f t="shared" si="2"/>
        <v xml:space="preserve">31G-C 11000 </v>
      </c>
      <c r="B80" s="1025" t="str">
        <f t="shared" si="3"/>
        <v/>
      </c>
      <c r="C80" s="1025" t="s">
        <v>901</v>
      </c>
      <c r="E80" s="1025">
        <v>11000</v>
      </c>
      <c r="F80" s="1025">
        <v>36</v>
      </c>
      <c r="G80" s="1025">
        <v>4.5999999999999999E-3</v>
      </c>
    </row>
    <row r="81" spans="1:7" x14ac:dyDescent="0.2">
      <c r="A81" s="1025" t="str">
        <f t="shared" si="2"/>
        <v xml:space="preserve">31G-C 16000 </v>
      </c>
      <c r="B81" s="1025" t="str">
        <f t="shared" si="3"/>
        <v/>
      </c>
      <c r="C81" s="1025" t="s">
        <v>901</v>
      </c>
      <c r="E81" s="1025">
        <v>16000</v>
      </c>
      <c r="F81" s="1025">
        <v>53</v>
      </c>
      <c r="G81" s="1025">
        <v>6.7999999999999996E-3</v>
      </c>
    </row>
    <row r="82" spans="1:7" x14ac:dyDescent="0.2">
      <c r="A82" s="1025" t="str">
        <f t="shared" si="2"/>
        <v xml:space="preserve">31G-C 18000 </v>
      </c>
      <c r="B82" s="1025" t="str">
        <f t="shared" si="3"/>
        <v/>
      </c>
      <c r="C82" s="1025" t="s">
        <v>901</v>
      </c>
      <c r="E82" s="1025">
        <v>18000</v>
      </c>
      <c r="F82" s="1025">
        <v>1</v>
      </c>
      <c r="G82" s="1025">
        <v>1E-4</v>
      </c>
    </row>
    <row r="83" spans="1:7" x14ac:dyDescent="0.2">
      <c r="A83" s="1025" t="str">
        <f t="shared" si="2"/>
        <v xml:space="preserve">31G-C 23000 </v>
      </c>
      <c r="B83" s="1025" t="str">
        <f t="shared" si="3"/>
        <v/>
      </c>
      <c r="C83" s="1025" t="s">
        <v>901</v>
      </c>
      <c r="E83" s="1025">
        <v>23000</v>
      </c>
      <c r="F83" s="1025">
        <v>3</v>
      </c>
      <c r="G83" s="1025">
        <v>4.0000000000000002E-4</v>
      </c>
    </row>
    <row r="84" spans="1:7" x14ac:dyDescent="0.2">
      <c r="A84" s="1025" t="str">
        <f t="shared" si="2"/>
        <v xml:space="preserve">31G-C 30000 </v>
      </c>
      <c r="B84" s="1025" t="str">
        <f t="shared" si="3"/>
        <v/>
      </c>
      <c r="C84" s="1025" t="s">
        <v>901</v>
      </c>
      <c r="E84" s="1025">
        <v>30000</v>
      </c>
      <c r="F84" s="1025">
        <v>3</v>
      </c>
      <c r="G84" s="1025">
        <v>4.0000000000000002E-4</v>
      </c>
    </row>
    <row r="85" spans="1:7" x14ac:dyDescent="0.2">
      <c r="A85" s="1025" t="str">
        <f t="shared" si="2"/>
        <v xml:space="preserve">31G-C 100000 </v>
      </c>
      <c r="B85" s="1025" t="str">
        <f t="shared" si="3"/>
        <v/>
      </c>
      <c r="C85" s="1025" t="s">
        <v>901</v>
      </c>
      <c r="E85" s="1025">
        <v>100000</v>
      </c>
      <c r="F85" s="1025">
        <v>1</v>
      </c>
      <c r="G85" s="1025">
        <v>1E-4</v>
      </c>
    </row>
    <row r="86" spans="1:7" x14ac:dyDescent="0.2">
      <c r="A86" s="1025" t="str">
        <f t="shared" si="2"/>
        <v>31G-C 175 AMR</v>
      </c>
      <c r="B86" s="1025" t="str">
        <f t="shared" si="3"/>
        <v>AMR</v>
      </c>
      <c r="C86" s="1025" t="s">
        <v>901</v>
      </c>
      <c r="D86" s="1025" t="s">
        <v>1851</v>
      </c>
      <c r="E86" s="1025">
        <v>175</v>
      </c>
      <c r="F86" s="1025">
        <v>3477</v>
      </c>
      <c r="G86" s="1025">
        <v>0.44740000000000002</v>
      </c>
    </row>
    <row r="87" spans="1:7" x14ac:dyDescent="0.2">
      <c r="A87" s="1025" t="str">
        <f t="shared" si="2"/>
        <v>31G-C 200 AMR</v>
      </c>
      <c r="B87" s="1025" t="str">
        <f t="shared" si="3"/>
        <v>AMR</v>
      </c>
      <c r="C87" s="1025" t="s">
        <v>901</v>
      </c>
      <c r="D87" s="1025" t="s">
        <v>1851</v>
      </c>
      <c r="E87" s="1025">
        <v>200</v>
      </c>
      <c r="F87" s="1025">
        <v>912</v>
      </c>
      <c r="G87" s="1025">
        <v>0.1173</v>
      </c>
    </row>
    <row r="88" spans="1:7" x14ac:dyDescent="0.2">
      <c r="A88" s="1025" t="str">
        <f t="shared" si="2"/>
        <v>31G-C 250 AMR</v>
      </c>
      <c r="B88" s="1025" t="str">
        <f t="shared" si="3"/>
        <v>AMR</v>
      </c>
      <c r="C88" s="1025" t="s">
        <v>901</v>
      </c>
      <c r="D88" s="1025" t="s">
        <v>1851</v>
      </c>
      <c r="E88" s="1025">
        <v>250</v>
      </c>
      <c r="F88" s="1025">
        <v>23600</v>
      </c>
      <c r="G88" s="1025">
        <v>3.0366</v>
      </c>
    </row>
    <row r="89" spans="1:7" x14ac:dyDescent="0.2">
      <c r="A89" s="1025" t="str">
        <f t="shared" si="2"/>
        <v>31G-C 275 AMR</v>
      </c>
      <c r="B89" s="1025" t="str">
        <f t="shared" si="3"/>
        <v>AMR</v>
      </c>
      <c r="C89" s="1025" t="s">
        <v>901</v>
      </c>
      <c r="D89" s="1025" t="s">
        <v>1851</v>
      </c>
      <c r="E89" s="1025">
        <v>275</v>
      </c>
      <c r="F89" s="1025">
        <v>1919</v>
      </c>
      <c r="G89" s="1025">
        <v>0.24690000000000001</v>
      </c>
    </row>
    <row r="90" spans="1:7" x14ac:dyDescent="0.2">
      <c r="A90" s="1025" t="str">
        <f t="shared" si="2"/>
        <v>31G-C 400 AMR</v>
      </c>
      <c r="B90" s="1025" t="str">
        <f t="shared" si="3"/>
        <v>AMR</v>
      </c>
      <c r="C90" s="1025" t="s">
        <v>901</v>
      </c>
      <c r="D90" s="1025" t="s">
        <v>1851</v>
      </c>
      <c r="E90" s="1025">
        <v>400</v>
      </c>
      <c r="F90" s="1045">
        <v>2</v>
      </c>
      <c r="G90" s="1025">
        <v>2.9999999999999997E-4</v>
      </c>
    </row>
    <row r="91" spans="1:7" x14ac:dyDescent="0.2">
      <c r="A91" s="1025" t="str">
        <f t="shared" si="2"/>
        <v>31G-C 425 AMR</v>
      </c>
      <c r="B91" s="1025" t="str">
        <f t="shared" si="3"/>
        <v>AMR</v>
      </c>
      <c r="C91" s="1025" t="s">
        <v>901</v>
      </c>
      <c r="D91" s="1025" t="s">
        <v>1851</v>
      </c>
      <c r="E91" s="1025">
        <v>425</v>
      </c>
      <c r="F91" s="1025">
        <v>9521</v>
      </c>
      <c r="G91" s="1025">
        <v>1.2250000000000001</v>
      </c>
    </row>
    <row r="92" spans="1:7" x14ac:dyDescent="0.2">
      <c r="A92" s="1025" t="str">
        <f t="shared" si="2"/>
        <v>31G-C 750 AMR</v>
      </c>
      <c r="B92" s="1025" t="str">
        <f t="shared" si="3"/>
        <v>AMR</v>
      </c>
      <c r="C92" s="1025" t="s">
        <v>901</v>
      </c>
      <c r="D92" s="1025" t="s">
        <v>1851</v>
      </c>
      <c r="E92" s="1025">
        <v>750</v>
      </c>
      <c r="F92" s="1045">
        <v>9</v>
      </c>
      <c r="G92" s="1025">
        <v>1.1999999999999999E-3</v>
      </c>
    </row>
    <row r="93" spans="1:7" x14ac:dyDescent="0.2">
      <c r="A93" s="1025" t="str">
        <f t="shared" si="2"/>
        <v>31G-C 800 AMR</v>
      </c>
      <c r="B93" s="1025" t="str">
        <f t="shared" si="3"/>
        <v>AMR</v>
      </c>
      <c r="C93" s="1025" t="s">
        <v>901</v>
      </c>
      <c r="D93" s="1025" t="s">
        <v>1851</v>
      </c>
      <c r="E93" s="1025">
        <v>800</v>
      </c>
      <c r="F93" s="1045">
        <v>171</v>
      </c>
      <c r="G93" s="1025">
        <v>2.1999999999999999E-2</v>
      </c>
    </row>
    <row r="94" spans="1:7" x14ac:dyDescent="0.2">
      <c r="A94" s="1025" t="str">
        <f t="shared" si="2"/>
        <v>31G-C 1000 AMR</v>
      </c>
      <c r="B94" s="1025" t="str">
        <f t="shared" si="3"/>
        <v>AMR</v>
      </c>
      <c r="C94" s="1025" t="s">
        <v>901</v>
      </c>
      <c r="D94" s="1025" t="s">
        <v>1851</v>
      </c>
      <c r="E94" s="1025">
        <v>1000</v>
      </c>
      <c r="F94" s="1025">
        <v>14701</v>
      </c>
      <c r="G94" s="1025">
        <v>1.8915999999999999</v>
      </c>
    </row>
    <row r="95" spans="1:7" x14ac:dyDescent="0.2">
      <c r="A95" s="1025" t="str">
        <f t="shared" si="2"/>
        <v>31G-C 1400 AMR</v>
      </c>
      <c r="B95" s="1025" t="str">
        <f t="shared" si="3"/>
        <v>AMR</v>
      </c>
      <c r="C95" s="1025" t="s">
        <v>901</v>
      </c>
      <c r="D95" s="1025" t="s">
        <v>1851</v>
      </c>
      <c r="E95" s="1025">
        <v>1400</v>
      </c>
      <c r="F95" s="1045">
        <v>390</v>
      </c>
      <c r="G95" s="1025">
        <v>5.0200000000000002E-2</v>
      </c>
    </row>
    <row r="96" spans="1:7" x14ac:dyDescent="0.2">
      <c r="A96" s="1025" t="str">
        <f t="shared" si="2"/>
        <v>31G-C 2300 AMR</v>
      </c>
      <c r="B96" s="1025" t="str">
        <f t="shared" si="3"/>
        <v>AMR</v>
      </c>
      <c r="C96" s="1025" t="s">
        <v>901</v>
      </c>
      <c r="D96" s="1025" t="s">
        <v>1851</v>
      </c>
      <c r="E96" s="1025">
        <v>2300</v>
      </c>
      <c r="F96" s="1025">
        <v>352</v>
      </c>
      <c r="G96" s="1025">
        <v>4.53E-2</v>
      </c>
    </row>
    <row r="97" spans="1:7" x14ac:dyDescent="0.2">
      <c r="A97" s="1025" t="str">
        <f t="shared" si="2"/>
        <v>31G-C 3000 AMR</v>
      </c>
      <c r="B97" s="1025" t="str">
        <f t="shared" si="3"/>
        <v>AMR</v>
      </c>
      <c r="C97" s="1025" t="s">
        <v>901</v>
      </c>
      <c r="D97" s="1025" t="s">
        <v>1851</v>
      </c>
      <c r="E97" s="1025">
        <v>3000</v>
      </c>
      <c r="F97" s="1025">
        <v>615</v>
      </c>
      <c r="G97" s="1025">
        <v>7.9100000000000004E-2</v>
      </c>
    </row>
    <row r="98" spans="1:7" x14ac:dyDescent="0.2">
      <c r="A98" s="1025" t="str">
        <f t="shared" si="2"/>
        <v>31G-C 5000 AMR</v>
      </c>
      <c r="B98" s="1025" t="str">
        <f t="shared" si="3"/>
        <v>AMR</v>
      </c>
      <c r="C98" s="1025" t="s">
        <v>901</v>
      </c>
      <c r="D98" s="1025" t="s">
        <v>1851</v>
      </c>
      <c r="E98" s="1025">
        <v>5000</v>
      </c>
      <c r="F98" s="1045">
        <v>615</v>
      </c>
      <c r="G98" s="1025">
        <v>7.9100000000000004E-2</v>
      </c>
    </row>
    <row r="99" spans="1:7" x14ac:dyDescent="0.2">
      <c r="A99" s="1025" t="str">
        <f t="shared" si="2"/>
        <v>31G-C 7000 AMR</v>
      </c>
      <c r="B99" s="1025" t="str">
        <f t="shared" si="3"/>
        <v>AMR</v>
      </c>
      <c r="C99" s="1025" t="s">
        <v>901</v>
      </c>
      <c r="D99" s="1025" t="s">
        <v>1851</v>
      </c>
      <c r="E99" s="1025">
        <v>7000</v>
      </c>
      <c r="F99" s="1025">
        <v>143</v>
      </c>
      <c r="G99" s="1025">
        <v>1.84E-2</v>
      </c>
    </row>
    <row r="100" spans="1:7" x14ac:dyDescent="0.2">
      <c r="A100" s="1025" t="str">
        <f t="shared" si="2"/>
        <v>31G-C 11000 AMR</v>
      </c>
      <c r="B100" s="1025" t="str">
        <f t="shared" si="3"/>
        <v>AMR</v>
      </c>
      <c r="C100" s="1025" t="s">
        <v>901</v>
      </c>
      <c r="D100" s="1025" t="s">
        <v>1851</v>
      </c>
      <c r="E100" s="1025">
        <v>11000</v>
      </c>
      <c r="F100" s="1025">
        <v>9</v>
      </c>
      <c r="G100" s="1025">
        <v>1.1999999999999999E-3</v>
      </c>
    </row>
    <row r="101" spans="1:7" x14ac:dyDescent="0.2">
      <c r="A101" s="1025" t="str">
        <f t="shared" si="2"/>
        <v>31G-C 16000 AMR</v>
      </c>
      <c r="B101" s="1025" t="str">
        <f t="shared" si="3"/>
        <v>AMR</v>
      </c>
      <c r="C101" s="1025" t="s">
        <v>901</v>
      </c>
      <c r="D101" s="1025" t="s">
        <v>1851</v>
      </c>
      <c r="E101" s="1025">
        <v>16000</v>
      </c>
      <c r="F101" s="1025">
        <v>2</v>
      </c>
      <c r="G101" s="1025">
        <v>2.9999999999999997E-4</v>
      </c>
    </row>
    <row r="102" spans="1:7" x14ac:dyDescent="0.2">
      <c r="A102" s="1025" t="str">
        <f t="shared" si="2"/>
        <v xml:space="preserve">31G-C-ND 1000 </v>
      </c>
      <c r="B102" s="1025" t="str">
        <f t="shared" si="3"/>
        <v/>
      </c>
      <c r="C102" s="1025" t="s">
        <v>902</v>
      </c>
      <c r="E102" s="1025">
        <v>1000</v>
      </c>
      <c r="F102" s="1025">
        <v>1</v>
      </c>
      <c r="G102" s="1025">
        <v>1E-4</v>
      </c>
    </row>
    <row r="103" spans="1:7" x14ac:dyDescent="0.2">
      <c r="A103" s="1025" t="str">
        <f t="shared" si="2"/>
        <v>31G-C-ND 175 AMR</v>
      </c>
      <c r="B103" s="1025" t="str">
        <f t="shared" si="3"/>
        <v>AMR</v>
      </c>
      <c r="C103" s="1025" t="s">
        <v>902</v>
      </c>
      <c r="D103" s="1025" t="s">
        <v>1851</v>
      </c>
      <c r="E103" s="1025">
        <v>175</v>
      </c>
      <c r="F103" s="1025">
        <v>1</v>
      </c>
      <c r="G103" s="1025">
        <v>1E-4</v>
      </c>
    </row>
    <row r="104" spans="1:7" x14ac:dyDescent="0.2">
      <c r="A104" s="1025" t="str">
        <f t="shared" si="2"/>
        <v>31G-C-ND 250 AMR</v>
      </c>
      <c r="B104" s="1025" t="str">
        <f t="shared" si="3"/>
        <v>AMR</v>
      </c>
      <c r="C104" s="1025" t="s">
        <v>902</v>
      </c>
      <c r="D104" s="1025" t="s">
        <v>1851</v>
      </c>
      <c r="E104" s="1025">
        <v>250</v>
      </c>
      <c r="F104" s="1025">
        <v>8</v>
      </c>
      <c r="G104" s="1025">
        <v>1E-3</v>
      </c>
    </row>
    <row r="105" spans="1:7" x14ac:dyDescent="0.2">
      <c r="A105" s="1025" t="str">
        <f t="shared" si="2"/>
        <v>31G-C-ND 425 AMR</v>
      </c>
      <c r="B105" s="1025" t="str">
        <f t="shared" si="3"/>
        <v>AMR</v>
      </c>
      <c r="C105" s="1025" t="s">
        <v>902</v>
      </c>
      <c r="D105" s="1025" t="s">
        <v>1851</v>
      </c>
      <c r="E105" s="1025">
        <v>425</v>
      </c>
      <c r="F105" s="1025">
        <v>4</v>
      </c>
      <c r="G105" s="1025">
        <v>5.0000000000000001E-4</v>
      </c>
    </row>
    <row r="106" spans="1:7" x14ac:dyDescent="0.2">
      <c r="A106" s="1025" t="str">
        <f t="shared" si="2"/>
        <v>31G-C-ND 1000 AMR</v>
      </c>
      <c r="B106" s="1025" t="str">
        <f t="shared" si="3"/>
        <v>AMR</v>
      </c>
      <c r="C106" s="1025" t="s">
        <v>902</v>
      </c>
      <c r="D106" s="1025" t="s">
        <v>1851</v>
      </c>
      <c r="E106" s="1025">
        <v>1000</v>
      </c>
      <c r="F106" s="1025">
        <v>1</v>
      </c>
      <c r="G106" s="1025">
        <v>1E-4</v>
      </c>
    </row>
    <row r="107" spans="1:7" x14ac:dyDescent="0.2">
      <c r="A107" s="1025" t="str">
        <f t="shared" si="2"/>
        <v xml:space="preserve">31G-C-NK 1000 </v>
      </c>
      <c r="B107" s="1025" t="str">
        <f t="shared" si="3"/>
        <v/>
      </c>
      <c r="C107" s="1025" t="s">
        <v>903</v>
      </c>
      <c r="E107" s="1025">
        <v>1000</v>
      </c>
      <c r="F107" s="1025">
        <v>5</v>
      </c>
      <c r="G107" s="1025">
        <v>5.9999999999999995E-4</v>
      </c>
    </row>
    <row r="108" spans="1:7" x14ac:dyDescent="0.2">
      <c r="A108" s="1025" t="str">
        <f t="shared" si="2"/>
        <v xml:space="preserve">31G-C-NK 11000 </v>
      </c>
      <c r="B108" s="1025" t="str">
        <f t="shared" si="3"/>
        <v/>
      </c>
      <c r="C108" s="1025" t="s">
        <v>903</v>
      </c>
      <c r="E108" s="1025">
        <v>11000</v>
      </c>
      <c r="F108" s="1025">
        <v>1</v>
      </c>
      <c r="G108" s="1025">
        <v>1E-4</v>
      </c>
    </row>
    <row r="109" spans="1:7" x14ac:dyDescent="0.2">
      <c r="A109" s="1025" t="str">
        <f t="shared" si="2"/>
        <v xml:space="preserve">31G-C-NK 1000 </v>
      </c>
      <c r="B109" s="1025" t="str">
        <f t="shared" si="3"/>
        <v/>
      </c>
      <c r="C109" s="1025" t="s">
        <v>903</v>
      </c>
      <c r="E109" s="1025">
        <v>1000</v>
      </c>
      <c r="F109" s="1025">
        <v>1</v>
      </c>
      <c r="G109" s="1025">
        <v>1E-4</v>
      </c>
    </row>
    <row r="110" spans="1:7" x14ac:dyDescent="0.2">
      <c r="A110" s="1025" t="str">
        <f t="shared" si="2"/>
        <v xml:space="preserve">31G-C-NK 16000 </v>
      </c>
      <c r="B110" s="1025" t="str">
        <f t="shared" si="3"/>
        <v/>
      </c>
      <c r="C110" s="1025" t="s">
        <v>903</v>
      </c>
      <c r="E110" s="1025">
        <v>16000</v>
      </c>
      <c r="F110" s="1025">
        <v>1</v>
      </c>
      <c r="G110" s="1025">
        <v>1E-4</v>
      </c>
    </row>
    <row r="111" spans="1:7" x14ac:dyDescent="0.2">
      <c r="A111" s="1025" t="str">
        <f t="shared" si="2"/>
        <v>31G-C-NK 175 AMR</v>
      </c>
      <c r="B111" s="1025" t="str">
        <f t="shared" si="3"/>
        <v>AMR</v>
      </c>
      <c r="C111" s="1025" t="s">
        <v>903</v>
      </c>
      <c r="D111" s="1025" t="s">
        <v>1851</v>
      </c>
      <c r="E111" s="1025">
        <v>175</v>
      </c>
      <c r="F111" s="1025">
        <v>1</v>
      </c>
      <c r="G111" s="1025">
        <v>1E-4</v>
      </c>
    </row>
    <row r="112" spans="1:7" x14ac:dyDescent="0.2">
      <c r="A112" s="1025" t="str">
        <f t="shared" si="2"/>
        <v>31G-C-NK 200 AMR</v>
      </c>
      <c r="B112" s="1025" t="str">
        <f t="shared" si="3"/>
        <v>AMR</v>
      </c>
      <c r="C112" s="1025" t="s">
        <v>903</v>
      </c>
      <c r="D112" s="1025" t="s">
        <v>1851</v>
      </c>
      <c r="E112" s="1025">
        <v>200</v>
      </c>
      <c r="F112" s="1025">
        <v>1</v>
      </c>
      <c r="G112" s="1025">
        <v>1E-4</v>
      </c>
    </row>
    <row r="113" spans="1:7" x14ac:dyDescent="0.2">
      <c r="A113" s="1025" t="str">
        <f t="shared" si="2"/>
        <v>31G-C-NK 250 AMR</v>
      </c>
      <c r="B113" s="1025" t="str">
        <f t="shared" si="3"/>
        <v>AMR</v>
      </c>
      <c r="C113" s="1025" t="s">
        <v>903</v>
      </c>
      <c r="D113" s="1025" t="s">
        <v>1851</v>
      </c>
      <c r="E113" s="1025">
        <v>250</v>
      </c>
      <c r="F113" s="1025">
        <v>47</v>
      </c>
      <c r="G113" s="1025">
        <v>6.0000000000000001E-3</v>
      </c>
    </row>
    <row r="114" spans="1:7" x14ac:dyDescent="0.2">
      <c r="A114" s="1025" t="str">
        <f t="shared" si="2"/>
        <v>31G-C-NK 425 AMR</v>
      </c>
      <c r="B114" s="1025" t="str">
        <f t="shared" si="3"/>
        <v>AMR</v>
      </c>
      <c r="C114" s="1025" t="s">
        <v>903</v>
      </c>
      <c r="D114" s="1025" t="s">
        <v>1851</v>
      </c>
      <c r="E114" s="1025">
        <v>425</v>
      </c>
      <c r="F114" s="1025">
        <v>19</v>
      </c>
      <c r="G114" s="1025">
        <v>2.3999999999999998E-3</v>
      </c>
    </row>
    <row r="115" spans="1:7" x14ac:dyDescent="0.2">
      <c r="A115" s="1025" t="str">
        <f t="shared" si="2"/>
        <v>31G-C-NK 1000 AMR</v>
      </c>
      <c r="B115" s="1025" t="str">
        <f t="shared" si="3"/>
        <v>AMR</v>
      </c>
      <c r="C115" s="1025" t="s">
        <v>903</v>
      </c>
      <c r="D115" s="1025" t="s">
        <v>1851</v>
      </c>
      <c r="E115" s="1025">
        <v>1000</v>
      </c>
      <c r="F115" s="1025">
        <v>19</v>
      </c>
      <c r="G115" s="1025">
        <v>2.3999999999999998E-3</v>
      </c>
    </row>
    <row r="116" spans="1:7" x14ac:dyDescent="0.2">
      <c r="A116" s="1025" t="str">
        <f t="shared" si="2"/>
        <v>31G-C-NK 2300 AMR</v>
      </c>
      <c r="B116" s="1025" t="str">
        <f t="shared" si="3"/>
        <v>AMR</v>
      </c>
      <c r="C116" s="1025" t="s">
        <v>903</v>
      </c>
      <c r="D116" s="1025" t="s">
        <v>1851</v>
      </c>
      <c r="E116" s="1025">
        <v>2300</v>
      </c>
      <c r="F116" s="1025">
        <v>2</v>
      </c>
      <c r="G116" s="1025">
        <v>2.9999999999999997E-4</v>
      </c>
    </row>
    <row r="117" spans="1:7" x14ac:dyDescent="0.2">
      <c r="A117" s="1025" t="str">
        <f t="shared" si="2"/>
        <v xml:space="preserve">31G-C-NR 1000 </v>
      </c>
      <c r="B117" s="1025" t="str">
        <f t="shared" si="3"/>
        <v/>
      </c>
      <c r="C117" s="1025" t="s">
        <v>904</v>
      </c>
      <c r="E117" s="1025">
        <v>1000</v>
      </c>
      <c r="F117" s="1025">
        <v>5</v>
      </c>
      <c r="G117" s="1025">
        <v>5.9999999999999995E-4</v>
      </c>
    </row>
    <row r="118" spans="1:7" x14ac:dyDescent="0.2">
      <c r="A118" s="1025" t="str">
        <f t="shared" si="2"/>
        <v xml:space="preserve">31G-C-NR 5000 </v>
      </c>
      <c r="B118" s="1025" t="str">
        <f t="shared" si="3"/>
        <v/>
      </c>
      <c r="C118" s="1025" t="s">
        <v>904</v>
      </c>
      <c r="E118" s="1025">
        <v>5000</v>
      </c>
      <c r="F118" s="1025">
        <v>1</v>
      </c>
      <c r="G118" s="1025">
        <v>1E-4</v>
      </c>
    </row>
    <row r="119" spans="1:7" x14ac:dyDescent="0.2">
      <c r="A119" s="1025" t="str">
        <f t="shared" si="2"/>
        <v xml:space="preserve">31G-C-NR 5000 </v>
      </c>
      <c r="B119" s="1025" t="str">
        <f t="shared" si="3"/>
        <v/>
      </c>
      <c r="C119" s="1025" t="s">
        <v>904</v>
      </c>
      <c r="E119" s="1025">
        <v>5000</v>
      </c>
      <c r="F119" s="1025">
        <v>1</v>
      </c>
      <c r="G119" s="1025">
        <v>1E-4</v>
      </c>
    </row>
    <row r="120" spans="1:7" x14ac:dyDescent="0.2">
      <c r="A120" s="1025" t="str">
        <f t="shared" si="2"/>
        <v>31G-C-NR 175 AMR</v>
      </c>
      <c r="B120" s="1025" t="str">
        <f t="shared" si="3"/>
        <v>AMR</v>
      </c>
      <c r="C120" s="1025" t="s">
        <v>904</v>
      </c>
      <c r="D120" s="1025" t="s">
        <v>1851</v>
      </c>
      <c r="E120" s="1025">
        <v>175</v>
      </c>
      <c r="F120" s="1025">
        <v>3</v>
      </c>
      <c r="G120" s="1025">
        <v>4.0000000000000002E-4</v>
      </c>
    </row>
    <row r="121" spans="1:7" x14ac:dyDescent="0.2">
      <c r="A121" s="1025" t="str">
        <f t="shared" si="2"/>
        <v>31G-C-NR 250 AMR</v>
      </c>
      <c r="B121" s="1025" t="str">
        <f t="shared" si="3"/>
        <v>AMR</v>
      </c>
      <c r="C121" s="1025" t="s">
        <v>904</v>
      </c>
      <c r="D121" s="1025" t="s">
        <v>1851</v>
      </c>
      <c r="E121" s="1025">
        <v>250</v>
      </c>
      <c r="F121" s="1025">
        <v>147</v>
      </c>
      <c r="G121" s="1025">
        <v>1.89E-2</v>
      </c>
    </row>
    <row r="122" spans="1:7" x14ac:dyDescent="0.2">
      <c r="A122" s="1025" t="str">
        <f t="shared" si="2"/>
        <v>31G-C-NR 275 AMR</v>
      </c>
      <c r="B122" s="1025" t="str">
        <f t="shared" si="3"/>
        <v>AMR</v>
      </c>
      <c r="C122" s="1025" t="s">
        <v>904</v>
      </c>
      <c r="D122" s="1025" t="s">
        <v>1851</v>
      </c>
      <c r="E122" s="1025">
        <v>275</v>
      </c>
      <c r="F122" s="1025">
        <v>2</v>
      </c>
      <c r="G122" s="1025">
        <v>2.9999999999999997E-4</v>
      </c>
    </row>
    <row r="123" spans="1:7" x14ac:dyDescent="0.2">
      <c r="A123" s="1025" t="str">
        <f t="shared" si="2"/>
        <v>31G-C-NR 425 AMR</v>
      </c>
      <c r="B123" s="1025" t="str">
        <f t="shared" si="3"/>
        <v>AMR</v>
      </c>
      <c r="C123" s="1025" t="s">
        <v>904</v>
      </c>
      <c r="D123" s="1025" t="s">
        <v>1851</v>
      </c>
      <c r="E123" s="1025">
        <v>425</v>
      </c>
      <c r="F123" s="1025">
        <v>44</v>
      </c>
      <c r="G123" s="1025">
        <v>5.7000000000000002E-3</v>
      </c>
    </row>
    <row r="124" spans="1:7" x14ac:dyDescent="0.2">
      <c r="A124" s="1025" t="str">
        <f t="shared" si="2"/>
        <v>31G-C-NR 1000 AMR</v>
      </c>
      <c r="B124" s="1025" t="str">
        <f t="shared" si="3"/>
        <v>AMR</v>
      </c>
      <c r="C124" s="1025" t="s">
        <v>904</v>
      </c>
      <c r="D124" s="1025" t="s">
        <v>1851</v>
      </c>
      <c r="E124" s="1025">
        <v>1000</v>
      </c>
      <c r="F124" s="1025">
        <v>44</v>
      </c>
      <c r="G124" s="1025">
        <v>5.7000000000000002E-3</v>
      </c>
    </row>
    <row r="125" spans="1:7" x14ac:dyDescent="0.2">
      <c r="A125" s="1025" t="str">
        <f t="shared" si="2"/>
        <v>31G-C-NR 3000 AMR</v>
      </c>
      <c r="B125" s="1025" t="str">
        <f t="shared" si="3"/>
        <v>AMR</v>
      </c>
      <c r="C125" s="1025" t="s">
        <v>904</v>
      </c>
      <c r="D125" s="1025" t="s">
        <v>1851</v>
      </c>
      <c r="E125" s="1025">
        <v>3000</v>
      </c>
      <c r="F125" s="1025">
        <v>1</v>
      </c>
      <c r="G125" s="1025">
        <v>1E-4</v>
      </c>
    </row>
    <row r="126" spans="1:7" x14ac:dyDescent="0.2">
      <c r="A126" s="1025" t="str">
        <f t="shared" si="2"/>
        <v>31G-C-NR 5000 AMR</v>
      </c>
      <c r="B126" s="1025" t="str">
        <f t="shared" si="3"/>
        <v>AMR</v>
      </c>
      <c r="C126" s="1025" t="s">
        <v>904</v>
      </c>
      <c r="D126" s="1025" t="s">
        <v>1851</v>
      </c>
      <c r="E126" s="1025">
        <v>5000</v>
      </c>
      <c r="F126" s="1025">
        <v>1</v>
      </c>
      <c r="G126" s="1025">
        <v>1E-4</v>
      </c>
    </row>
    <row r="127" spans="1:7" x14ac:dyDescent="0.2">
      <c r="A127" s="1025" t="str">
        <f t="shared" si="2"/>
        <v xml:space="preserve">31G-C-NS 11000 </v>
      </c>
      <c r="B127" s="1025" t="str">
        <f t="shared" si="3"/>
        <v/>
      </c>
      <c r="C127" s="1025" t="s">
        <v>905</v>
      </c>
      <c r="E127" s="1025">
        <v>11000</v>
      </c>
      <c r="F127" s="1025">
        <v>1</v>
      </c>
      <c r="G127" s="1025">
        <v>1E-4</v>
      </c>
    </row>
    <row r="128" spans="1:7" x14ac:dyDescent="0.2">
      <c r="A128" s="1025" t="str">
        <f t="shared" si="2"/>
        <v xml:space="preserve">31G-C-NS 16000 </v>
      </c>
      <c r="B128" s="1025" t="str">
        <f t="shared" si="3"/>
        <v/>
      </c>
      <c r="C128" s="1025" t="s">
        <v>905</v>
      </c>
      <c r="E128" s="1025">
        <v>16000</v>
      </c>
      <c r="F128" s="1025">
        <v>1</v>
      </c>
      <c r="G128" s="1025">
        <v>1E-4</v>
      </c>
    </row>
    <row r="129" spans="1:7" x14ac:dyDescent="0.2">
      <c r="A129" s="1025" t="str">
        <f t="shared" si="2"/>
        <v xml:space="preserve">31G-C-NS 1000 </v>
      </c>
      <c r="B129" s="1025" t="str">
        <f t="shared" si="3"/>
        <v/>
      </c>
      <c r="C129" s="1025" t="s">
        <v>905</v>
      </c>
      <c r="E129" s="1025">
        <v>1000</v>
      </c>
      <c r="F129" s="1025">
        <v>1</v>
      </c>
      <c r="G129" s="1025">
        <v>1E-4</v>
      </c>
    </row>
    <row r="130" spans="1:7" x14ac:dyDescent="0.2">
      <c r="A130" s="1025" t="str">
        <f t="shared" si="2"/>
        <v xml:space="preserve">31G-C-NS 3000 </v>
      </c>
      <c r="B130" s="1025" t="str">
        <f t="shared" si="3"/>
        <v/>
      </c>
      <c r="C130" s="1025" t="s">
        <v>905</v>
      </c>
      <c r="E130" s="1025">
        <v>3000</v>
      </c>
      <c r="F130" s="1025">
        <v>1</v>
      </c>
      <c r="G130" s="1025">
        <v>1E-4</v>
      </c>
    </row>
    <row r="131" spans="1:7" x14ac:dyDescent="0.2">
      <c r="A131" s="1025" t="str">
        <f t="shared" ref="A131:A194" si="4">C131&amp;" "&amp;E131&amp;" "&amp;B131</f>
        <v>31G-C-NS 250 AMR</v>
      </c>
      <c r="B131" s="1025" t="str">
        <f t="shared" ref="B131:B194" si="5">IF(OR($D131="CellNet",$D131="Metretek"),"AMR","")</f>
        <v>AMR</v>
      </c>
      <c r="C131" s="1025" t="s">
        <v>905</v>
      </c>
      <c r="D131" s="1025" t="s">
        <v>1851</v>
      </c>
      <c r="E131" s="1025">
        <v>250</v>
      </c>
      <c r="F131" s="1025">
        <v>2</v>
      </c>
      <c r="G131" s="1025">
        <v>2.9999999999999997E-4</v>
      </c>
    </row>
    <row r="132" spans="1:7" x14ac:dyDescent="0.2">
      <c r="A132" s="1025" t="str">
        <f t="shared" si="4"/>
        <v>31G-C-NS 425 AMR</v>
      </c>
      <c r="B132" s="1025" t="str">
        <f t="shared" si="5"/>
        <v>AMR</v>
      </c>
      <c r="C132" s="1025" t="s">
        <v>905</v>
      </c>
      <c r="D132" s="1025" t="s">
        <v>1851</v>
      </c>
      <c r="E132" s="1025">
        <v>425</v>
      </c>
      <c r="F132" s="1025">
        <v>2</v>
      </c>
      <c r="G132" s="1025">
        <v>2.9999999999999997E-4</v>
      </c>
    </row>
    <row r="133" spans="1:7" x14ac:dyDescent="0.2">
      <c r="A133" s="1025" t="str">
        <f t="shared" si="4"/>
        <v>31G-C-NS 1000 AMR</v>
      </c>
      <c r="B133" s="1025" t="str">
        <f t="shared" si="5"/>
        <v>AMR</v>
      </c>
      <c r="C133" s="1025" t="s">
        <v>905</v>
      </c>
      <c r="D133" s="1025" t="s">
        <v>1851</v>
      </c>
      <c r="E133" s="1025">
        <v>1000</v>
      </c>
      <c r="F133" s="1025">
        <v>4</v>
      </c>
      <c r="G133" s="1025">
        <v>5.0000000000000001E-4</v>
      </c>
    </row>
    <row r="134" spans="1:7" x14ac:dyDescent="0.2">
      <c r="A134" s="1025" t="str">
        <f t="shared" si="4"/>
        <v>31G-C-NS 3000 AMR</v>
      </c>
      <c r="B134" s="1025" t="str">
        <f t="shared" si="5"/>
        <v>AMR</v>
      </c>
      <c r="C134" s="1025" t="s">
        <v>905</v>
      </c>
      <c r="D134" s="1025" t="s">
        <v>1851</v>
      </c>
      <c r="E134" s="1025">
        <v>3000</v>
      </c>
      <c r="F134" s="1025">
        <v>2</v>
      </c>
      <c r="G134" s="1025">
        <v>2.9999999999999997E-4</v>
      </c>
    </row>
    <row r="135" spans="1:7" x14ac:dyDescent="0.2">
      <c r="A135" s="1025" t="str">
        <f t="shared" si="4"/>
        <v>31G-C-NS 5000 AMR</v>
      </c>
      <c r="B135" s="1025" t="str">
        <f t="shared" si="5"/>
        <v>AMR</v>
      </c>
      <c r="C135" s="1025" t="s">
        <v>905</v>
      </c>
      <c r="D135" s="1025" t="s">
        <v>1851</v>
      </c>
      <c r="E135" s="1025">
        <v>5000</v>
      </c>
      <c r="F135" s="1025">
        <v>1</v>
      </c>
      <c r="G135" s="1025">
        <v>1E-4</v>
      </c>
    </row>
    <row r="136" spans="1:7" x14ac:dyDescent="0.2">
      <c r="A136" s="1025" t="str">
        <f t="shared" si="4"/>
        <v xml:space="preserve">31G-I 1000 </v>
      </c>
      <c r="B136" s="1025" t="str">
        <f t="shared" si="5"/>
        <v/>
      </c>
      <c r="C136" s="1025" t="s">
        <v>915</v>
      </c>
      <c r="E136" s="1025">
        <v>1000</v>
      </c>
      <c r="F136" s="1025">
        <v>2</v>
      </c>
      <c r="G136" s="1025">
        <v>2.9999999999999997E-4</v>
      </c>
    </row>
    <row r="137" spans="1:7" x14ac:dyDescent="0.2">
      <c r="A137" s="1025" t="str">
        <f t="shared" si="4"/>
        <v xml:space="preserve">31G-I 1400 </v>
      </c>
      <c r="B137" s="1025" t="str">
        <f t="shared" si="5"/>
        <v/>
      </c>
      <c r="C137" s="1025" t="s">
        <v>915</v>
      </c>
      <c r="E137" s="1025">
        <v>1400</v>
      </c>
      <c r="F137" s="1025">
        <v>5</v>
      </c>
      <c r="G137" s="1025">
        <v>5.9999999999999995E-4</v>
      </c>
    </row>
    <row r="138" spans="1:7" x14ac:dyDescent="0.2">
      <c r="A138" s="1025" t="str">
        <f t="shared" si="4"/>
        <v xml:space="preserve">31G-I 2300 </v>
      </c>
      <c r="B138" s="1025" t="str">
        <f t="shared" si="5"/>
        <v/>
      </c>
      <c r="C138" s="1025" t="s">
        <v>915</v>
      </c>
      <c r="E138" s="1025">
        <v>2300</v>
      </c>
      <c r="F138" s="1025">
        <v>7</v>
      </c>
      <c r="G138" s="1025">
        <v>8.9999999999999998E-4</v>
      </c>
    </row>
    <row r="139" spans="1:7" x14ac:dyDescent="0.2">
      <c r="A139" s="1025" t="str">
        <f t="shared" si="4"/>
        <v xml:space="preserve">31G-I 3000 </v>
      </c>
      <c r="B139" s="1025" t="str">
        <f t="shared" si="5"/>
        <v/>
      </c>
      <c r="C139" s="1025" t="s">
        <v>915</v>
      </c>
      <c r="E139" s="1025">
        <v>3000</v>
      </c>
      <c r="F139" s="1025">
        <v>5</v>
      </c>
      <c r="G139" s="1025">
        <v>5.9999999999999995E-4</v>
      </c>
    </row>
    <row r="140" spans="1:7" x14ac:dyDescent="0.2">
      <c r="A140" s="1025" t="str">
        <f t="shared" si="4"/>
        <v xml:space="preserve">31G-I 5000 </v>
      </c>
      <c r="B140" s="1025" t="str">
        <f t="shared" si="5"/>
        <v/>
      </c>
      <c r="C140" s="1025" t="s">
        <v>915</v>
      </c>
      <c r="E140" s="1025">
        <v>5000</v>
      </c>
      <c r="F140" s="1025">
        <v>7</v>
      </c>
      <c r="G140" s="1025">
        <v>8.9999999999999998E-4</v>
      </c>
    </row>
    <row r="141" spans="1:7" x14ac:dyDescent="0.2">
      <c r="A141" s="1025" t="str">
        <f t="shared" si="4"/>
        <v xml:space="preserve">31G-I 7000 </v>
      </c>
      <c r="B141" s="1025" t="str">
        <f t="shared" si="5"/>
        <v/>
      </c>
      <c r="C141" s="1025" t="s">
        <v>915</v>
      </c>
      <c r="E141" s="1025">
        <v>7000</v>
      </c>
      <c r="F141" s="1025">
        <v>4</v>
      </c>
      <c r="G141" s="1025">
        <v>5.0000000000000001E-4</v>
      </c>
    </row>
    <row r="142" spans="1:7" x14ac:dyDescent="0.2">
      <c r="A142" s="1025" t="str">
        <f t="shared" si="4"/>
        <v xml:space="preserve">31G-I 11000 </v>
      </c>
      <c r="B142" s="1025" t="str">
        <f t="shared" si="5"/>
        <v/>
      </c>
      <c r="C142" s="1025" t="s">
        <v>915</v>
      </c>
      <c r="E142" s="1025">
        <v>11000</v>
      </c>
      <c r="F142" s="1025">
        <v>34</v>
      </c>
      <c r="G142" s="1025">
        <v>4.4000000000000003E-3</v>
      </c>
    </row>
    <row r="143" spans="1:7" x14ac:dyDescent="0.2">
      <c r="A143" s="1025" t="str">
        <f t="shared" si="4"/>
        <v xml:space="preserve">31G-I 16000 </v>
      </c>
      <c r="B143" s="1025" t="str">
        <f t="shared" si="5"/>
        <v/>
      </c>
      <c r="C143" s="1025" t="s">
        <v>915</v>
      </c>
      <c r="E143" s="1025">
        <v>16000</v>
      </c>
      <c r="F143" s="1025">
        <v>10</v>
      </c>
      <c r="G143" s="1025">
        <v>1.2999999999999999E-3</v>
      </c>
    </row>
    <row r="144" spans="1:7" x14ac:dyDescent="0.2">
      <c r="A144" s="1025" t="str">
        <f t="shared" si="4"/>
        <v xml:space="preserve">31G-I 30000 </v>
      </c>
      <c r="B144" s="1025" t="str">
        <f t="shared" si="5"/>
        <v/>
      </c>
      <c r="C144" s="1025" t="s">
        <v>915</v>
      </c>
      <c r="E144" s="1025">
        <v>30000</v>
      </c>
      <c r="F144" s="1025">
        <v>2</v>
      </c>
      <c r="G144" s="1025">
        <v>2.9999999999999997E-4</v>
      </c>
    </row>
    <row r="145" spans="1:7" x14ac:dyDescent="0.2">
      <c r="A145" s="1025" t="str">
        <f t="shared" si="4"/>
        <v xml:space="preserve">31G-I 60000 </v>
      </c>
      <c r="B145" s="1025" t="str">
        <f t="shared" si="5"/>
        <v/>
      </c>
      <c r="C145" s="1025" t="s">
        <v>915</v>
      </c>
      <c r="E145" s="1025">
        <v>60000</v>
      </c>
      <c r="F145" s="1025">
        <v>1</v>
      </c>
      <c r="G145" s="1025">
        <v>1E-4</v>
      </c>
    </row>
    <row r="146" spans="1:7" x14ac:dyDescent="0.2">
      <c r="A146" s="1025" t="str">
        <f t="shared" si="4"/>
        <v xml:space="preserve">31G-I 1000 </v>
      </c>
      <c r="B146" s="1025" t="str">
        <f t="shared" si="5"/>
        <v/>
      </c>
      <c r="C146" s="1025" t="s">
        <v>915</v>
      </c>
      <c r="E146" s="1025">
        <v>1000</v>
      </c>
      <c r="F146" s="1025">
        <v>1</v>
      </c>
      <c r="G146" s="1025">
        <v>1E-4</v>
      </c>
    </row>
    <row r="147" spans="1:7" x14ac:dyDescent="0.2">
      <c r="A147" s="1025" t="str">
        <f t="shared" si="4"/>
        <v xml:space="preserve">31G-I 3000 </v>
      </c>
      <c r="B147" s="1025" t="str">
        <f t="shared" si="5"/>
        <v/>
      </c>
      <c r="C147" s="1025" t="s">
        <v>915</v>
      </c>
      <c r="E147" s="1025">
        <v>3000</v>
      </c>
      <c r="F147" s="1025">
        <v>5</v>
      </c>
      <c r="G147" s="1025">
        <v>5.9999999999999995E-4</v>
      </c>
    </row>
    <row r="148" spans="1:7" x14ac:dyDescent="0.2">
      <c r="A148" s="1025" t="str">
        <f t="shared" si="4"/>
        <v xml:space="preserve">31G-I 5000 </v>
      </c>
      <c r="B148" s="1025" t="str">
        <f t="shared" si="5"/>
        <v/>
      </c>
      <c r="C148" s="1025" t="s">
        <v>915</v>
      </c>
      <c r="E148" s="1025">
        <v>5000</v>
      </c>
      <c r="F148" s="1025">
        <v>3</v>
      </c>
      <c r="G148" s="1025">
        <v>4.0000000000000002E-4</v>
      </c>
    </row>
    <row r="149" spans="1:7" x14ac:dyDescent="0.2">
      <c r="A149" s="1025" t="str">
        <f t="shared" si="4"/>
        <v xml:space="preserve">31G-I 7000 </v>
      </c>
      <c r="B149" s="1025" t="str">
        <f t="shared" si="5"/>
        <v/>
      </c>
      <c r="C149" s="1025" t="s">
        <v>915</v>
      </c>
      <c r="E149" s="1025">
        <v>7000</v>
      </c>
      <c r="F149" s="1025">
        <v>1</v>
      </c>
      <c r="G149" s="1025">
        <v>1E-4</v>
      </c>
    </row>
    <row r="150" spans="1:7" x14ac:dyDescent="0.2">
      <c r="A150" s="1025" t="str">
        <f t="shared" si="4"/>
        <v xml:space="preserve">31G-I 11000 </v>
      </c>
      <c r="B150" s="1025" t="str">
        <f t="shared" si="5"/>
        <v/>
      </c>
      <c r="C150" s="1025" t="s">
        <v>915</v>
      </c>
      <c r="E150" s="1025">
        <v>11000</v>
      </c>
      <c r="F150" s="1025">
        <v>9</v>
      </c>
      <c r="G150" s="1025">
        <v>1.1999999999999999E-3</v>
      </c>
    </row>
    <row r="151" spans="1:7" x14ac:dyDescent="0.2">
      <c r="A151" s="1025" t="str">
        <f t="shared" si="4"/>
        <v xml:space="preserve">31G-I 16000 </v>
      </c>
      <c r="B151" s="1025" t="str">
        <f t="shared" si="5"/>
        <v/>
      </c>
      <c r="C151" s="1025" t="s">
        <v>915</v>
      </c>
      <c r="E151" s="1025">
        <v>16000</v>
      </c>
      <c r="F151" s="1025">
        <v>7</v>
      </c>
      <c r="G151" s="1025">
        <v>8.9999999999999998E-4</v>
      </c>
    </row>
    <row r="152" spans="1:7" x14ac:dyDescent="0.2">
      <c r="A152" s="1025" t="str">
        <f t="shared" si="4"/>
        <v>31G-I 175 AMR</v>
      </c>
      <c r="B152" s="1025" t="str">
        <f t="shared" si="5"/>
        <v>AMR</v>
      </c>
      <c r="C152" s="1025" t="s">
        <v>915</v>
      </c>
      <c r="D152" s="1025" t="s">
        <v>1851</v>
      </c>
      <c r="E152" s="1025">
        <v>175</v>
      </c>
      <c r="F152" s="1025">
        <v>239</v>
      </c>
      <c r="G152" s="1025">
        <v>3.0800000000000001E-2</v>
      </c>
    </row>
    <row r="153" spans="1:7" x14ac:dyDescent="0.2">
      <c r="A153" s="1025" t="str">
        <f t="shared" si="4"/>
        <v>31G-I 200 AMR</v>
      </c>
      <c r="B153" s="1025" t="str">
        <f t="shared" si="5"/>
        <v>AMR</v>
      </c>
      <c r="C153" s="1025" t="s">
        <v>915</v>
      </c>
      <c r="D153" s="1025" t="s">
        <v>1851</v>
      </c>
      <c r="E153" s="1025">
        <v>200</v>
      </c>
      <c r="F153" s="1025">
        <v>67</v>
      </c>
      <c r="G153" s="1025">
        <v>8.6E-3</v>
      </c>
    </row>
    <row r="154" spans="1:7" x14ac:dyDescent="0.2">
      <c r="A154" s="1025" t="str">
        <f t="shared" si="4"/>
        <v>31G-I 250 AMR</v>
      </c>
      <c r="B154" s="1025" t="str">
        <f t="shared" si="5"/>
        <v>AMR</v>
      </c>
      <c r="C154" s="1025" t="s">
        <v>915</v>
      </c>
      <c r="D154" s="1025" t="s">
        <v>1851</v>
      </c>
      <c r="E154" s="1025">
        <v>250</v>
      </c>
      <c r="F154" s="1025">
        <v>702</v>
      </c>
      <c r="G154" s="1025">
        <v>9.0300000000000005E-2</v>
      </c>
    </row>
    <row r="155" spans="1:7" x14ac:dyDescent="0.2">
      <c r="A155" s="1025" t="str">
        <f t="shared" si="4"/>
        <v>31G-I 275 AMR</v>
      </c>
      <c r="B155" s="1025" t="str">
        <f t="shared" si="5"/>
        <v>AMR</v>
      </c>
      <c r="C155" s="1025" t="s">
        <v>915</v>
      </c>
      <c r="D155" s="1025" t="s">
        <v>1851</v>
      </c>
      <c r="E155" s="1025">
        <v>275</v>
      </c>
      <c r="F155" s="1025">
        <v>91</v>
      </c>
      <c r="G155" s="1025">
        <v>1.17E-2</v>
      </c>
    </row>
    <row r="156" spans="1:7" x14ac:dyDescent="0.2">
      <c r="A156" s="1025" t="str">
        <f t="shared" si="4"/>
        <v>31G-I 425 AMR</v>
      </c>
      <c r="B156" s="1025" t="str">
        <f t="shared" si="5"/>
        <v>AMR</v>
      </c>
      <c r="C156" s="1025" t="s">
        <v>915</v>
      </c>
      <c r="D156" s="1025" t="s">
        <v>1851</v>
      </c>
      <c r="E156" s="1025">
        <v>425</v>
      </c>
      <c r="F156" s="1025">
        <v>453</v>
      </c>
      <c r="G156" s="1025">
        <v>5.8299999999999998E-2</v>
      </c>
    </row>
    <row r="157" spans="1:7" x14ac:dyDescent="0.2">
      <c r="A157" s="1025" t="str">
        <f t="shared" si="4"/>
        <v>31G-I 750 AMR</v>
      </c>
      <c r="B157" s="1025" t="str">
        <f t="shared" si="5"/>
        <v>AMR</v>
      </c>
      <c r="C157" s="1025" t="s">
        <v>915</v>
      </c>
      <c r="D157" s="1025" t="s">
        <v>1851</v>
      </c>
      <c r="E157" s="1025">
        <v>750</v>
      </c>
      <c r="F157" s="1025">
        <v>4</v>
      </c>
      <c r="G157" s="1025">
        <v>5.0000000000000001E-4</v>
      </c>
    </row>
    <row r="158" spans="1:7" x14ac:dyDescent="0.2">
      <c r="A158" s="1025" t="str">
        <f t="shared" si="4"/>
        <v>31G-I 800 AMR</v>
      </c>
      <c r="B158" s="1025" t="str">
        <f t="shared" si="5"/>
        <v>AMR</v>
      </c>
      <c r="C158" s="1025" t="s">
        <v>915</v>
      </c>
      <c r="D158" s="1025" t="s">
        <v>1851</v>
      </c>
      <c r="E158" s="1025">
        <v>800</v>
      </c>
      <c r="F158" s="1025">
        <v>10</v>
      </c>
      <c r="G158" s="1025">
        <v>1.2999999999999999E-3</v>
      </c>
    </row>
    <row r="159" spans="1:7" x14ac:dyDescent="0.2">
      <c r="A159" s="1025" t="str">
        <f t="shared" si="4"/>
        <v>31G-I 1000 AMR</v>
      </c>
      <c r="B159" s="1025" t="str">
        <f t="shared" si="5"/>
        <v>AMR</v>
      </c>
      <c r="C159" s="1025" t="s">
        <v>915</v>
      </c>
      <c r="D159" s="1025" t="s">
        <v>1851</v>
      </c>
      <c r="E159" s="1025">
        <v>1000</v>
      </c>
      <c r="F159" s="1025">
        <v>814</v>
      </c>
      <c r="G159" s="1025">
        <v>0.1047</v>
      </c>
    </row>
    <row r="160" spans="1:7" x14ac:dyDescent="0.2">
      <c r="A160" s="1025" t="str">
        <f t="shared" si="4"/>
        <v>31G-I 1400 AMR</v>
      </c>
      <c r="B160" s="1025" t="str">
        <f t="shared" si="5"/>
        <v>AMR</v>
      </c>
      <c r="C160" s="1025" t="s">
        <v>915</v>
      </c>
      <c r="D160" s="1025" t="s">
        <v>1851</v>
      </c>
      <c r="E160" s="1025">
        <v>1400</v>
      </c>
      <c r="F160" s="1025">
        <v>47</v>
      </c>
      <c r="G160" s="1025">
        <v>6.0000000000000001E-3</v>
      </c>
    </row>
    <row r="161" spans="1:7" x14ac:dyDescent="0.2">
      <c r="A161" s="1025" t="str">
        <f t="shared" si="4"/>
        <v>31G-I 2300 AMR</v>
      </c>
      <c r="B161" s="1025" t="str">
        <f t="shared" si="5"/>
        <v>AMR</v>
      </c>
      <c r="C161" s="1025" t="s">
        <v>915</v>
      </c>
      <c r="D161" s="1025" t="s">
        <v>1851</v>
      </c>
      <c r="E161" s="1025">
        <v>2300</v>
      </c>
      <c r="F161" s="1025">
        <v>57</v>
      </c>
      <c r="G161" s="1025">
        <v>7.3000000000000001E-3</v>
      </c>
    </row>
    <row r="162" spans="1:7" x14ac:dyDescent="0.2">
      <c r="A162" s="1025" t="str">
        <f t="shared" si="4"/>
        <v>31G-I 3000 AMR</v>
      </c>
      <c r="B162" s="1025" t="str">
        <f t="shared" si="5"/>
        <v>AMR</v>
      </c>
      <c r="C162" s="1025" t="s">
        <v>915</v>
      </c>
      <c r="D162" s="1025" t="s">
        <v>1851</v>
      </c>
      <c r="E162" s="1025">
        <v>3000</v>
      </c>
      <c r="F162" s="1025">
        <v>52</v>
      </c>
      <c r="G162" s="1025">
        <v>6.7000000000000002E-3</v>
      </c>
    </row>
    <row r="163" spans="1:7" x14ac:dyDescent="0.2">
      <c r="A163" s="1025" t="str">
        <f t="shared" si="4"/>
        <v>31G-I 5000 AMR</v>
      </c>
      <c r="B163" s="1025" t="str">
        <f t="shared" si="5"/>
        <v>AMR</v>
      </c>
      <c r="C163" s="1025" t="s">
        <v>915</v>
      </c>
      <c r="D163" s="1025" t="s">
        <v>1851</v>
      </c>
      <c r="E163" s="1025">
        <v>5000</v>
      </c>
      <c r="F163" s="1025">
        <v>77</v>
      </c>
      <c r="G163" s="1025">
        <v>9.9000000000000008E-3</v>
      </c>
    </row>
    <row r="164" spans="1:7" x14ac:dyDescent="0.2">
      <c r="A164" s="1025" t="str">
        <f t="shared" si="4"/>
        <v>31G-I 7000 AMR</v>
      </c>
      <c r="B164" s="1025" t="str">
        <f t="shared" si="5"/>
        <v>AMR</v>
      </c>
      <c r="C164" s="1025" t="s">
        <v>915</v>
      </c>
      <c r="D164" s="1025" t="s">
        <v>1851</v>
      </c>
      <c r="E164" s="1025">
        <v>7000</v>
      </c>
      <c r="F164" s="1025">
        <v>22</v>
      </c>
      <c r="G164" s="1025">
        <v>2.8E-3</v>
      </c>
    </row>
    <row r="165" spans="1:7" x14ac:dyDescent="0.2">
      <c r="A165" s="1025" t="str">
        <f t="shared" si="4"/>
        <v>31G-I 11000 AMR</v>
      </c>
      <c r="B165" s="1025" t="str">
        <f t="shared" si="5"/>
        <v>AMR</v>
      </c>
      <c r="C165" s="1025" t="s">
        <v>915</v>
      </c>
      <c r="D165" s="1025" t="s">
        <v>1851</v>
      </c>
      <c r="E165" s="1025">
        <v>11000</v>
      </c>
      <c r="F165" s="1025">
        <v>5</v>
      </c>
      <c r="G165" s="1025">
        <v>5.9999999999999995E-4</v>
      </c>
    </row>
    <row r="166" spans="1:7" x14ac:dyDescent="0.2">
      <c r="A166" s="1025" t="str">
        <f t="shared" si="4"/>
        <v>31G-I-NK 425 AMR</v>
      </c>
      <c r="B166" s="1025" t="str">
        <f t="shared" si="5"/>
        <v>AMR</v>
      </c>
      <c r="C166" s="1025" t="s">
        <v>916</v>
      </c>
      <c r="D166" s="1025" t="s">
        <v>1851</v>
      </c>
      <c r="E166" s="1025">
        <v>425</v>
      </c>
      <c r="F166" s="1025">
        <v>1</v>
      </c>
      <c r="G166" s="1025">
        <v>1E-4</v>
      </c>
    </row>
    <row r="167" spans="1:7" x14ac:dyDescent="0.2">
      <c r="A167" s="1025" t="str">
        <f t="shared" si="4"/>
        <v>31G-I-NK 1400 AMR</v>
      </c>
      <c r="B167" s="1025" t="str">
        <f t="shared" si="5"/>
        <v>AMR</v>
      </c>
      <c r="C167" s="1025" t="s">
        <v>916</v>
      </c>
      <c r="D167" s="1025" t="s">
        <v>1851</v>
      </c>
      <c r="E167" s="1025">
        <v>1400</v>
      </c>
      <c r="F167" s="1025">
        <v>1</v>
      </c>
      <c r="G167" s="1025">
        <v>1E-4</v>
      </c>
    </row>
    <row r="168" spans="1:7" x14ac:dyDescent="0.2">
      <c r="A168" s="1025" t="str">
        <f t="shared" si="4"/>
        <v>31G-I-NR 425 AMR</v>
      </c>
      <c r="B168" s="1025" t="str">
        <f t="shared" si="5"/>
        <v>AMR</v>
      </c>
      <c r="C168" s="1025" t="s">
        <v>917</v>
      </c>
      <c r="D168" s="1025" t="s">
        <v>1851</v>
      </c>
      <c r="E168" s="1025">
        <v>425</v>
      </c>
      <c r="F168" s="1025">
        <v>2</v>
      </c>
      <c r="G168" s="1025">
        <v>2.9999999999999997E-4</v>
      </c>
    </row>
    <row r="169" spans="1:7" x14ac:dyDescent="0.2">
      <c r="A169" s="1025" t="str">
        <f t="shared" si="4"/>
        <v>31G-I-NR 1000 AMR</v>
      </c>
      <c r="B169" s="1025" t="str">
        <f t="shared" si="5"/>
        <v>AMR</v>
      </c>
      <c r="C169" s="1025" t="s">
        <v>917</v>
      </c>
      <c r="D169" s="1025" t="s">
        <v>1851</v>
      </c>
      <c r="E169" s="1025">
        <v>1000</v>
      </c>
      <c r="F169" s="1025">
        <v>1</v>
      </c>
      <c r="G169" s="1025">
        <v>1E-4</v>
      </c>
    </row>
    <row r="170" spans="1:7" x14ac:dyDescent="0.2">
      <c r="A170" s="1025" t="str">
        <f t="shared" si="4"/>
        <v xml:space="preserve">41G-C-NK 11000 </v>
      </c>
      <c r="B170" s="1025" t="str">
        <f t="shared" si="5"/>
        <v/>
      </c>
      <c r="C170" s="1025" t="s">
        <v>906</v>
      </c>
      <c r="E170" s="1025">
        <v>11000</v>
      </c>
      <c r="F170" s="1025">
        <v>1</v>
      </c>
      <c r="G170" s="1025">
        <v>1E-4</v>
      </c>
    </row>
    <row r="171" spans="1:7" x14ac:dyDescent="0.2">
      <c r="A171" s="1025" t="str">
        <f t="shared" si="4"/>
        <v>41G-C-NK 1000 AMR</v>
      </c>
      <c r="B171" s="1025" t="str">
        <f t="shared" si="5"/>
        <v>AMR</v>
      </c>
      <c r="C171" s="1025" t="s">
        <v>906</v>
      </c>
      <c r="D171" s="1025" t="s">
        <v>1851</v>
      </c>
      <c r="E171" s="1025">
        <v>1000</v>
      </c>
      <c r="F171" s="1025">
        <v>2</v>
      </c>
      <c r="G171" s="1025">
        <v>2.9999999999999997E-4</v>
      </c>
    </row>
    <row r="172" spans="1:7" x14ac:dyDescent="0.2">
      <c r="A172" s="1025" t="str">
        <f t="shared" si="4"/>
        <v>41G-C-NK 2300 AMR</v>
      </c>
      <c r="B172" s="1025" t="str">
        <f t="shared" si="5"/>
        <v>AMR</v>
      </c>
      <c r="C172" s="1025" t="s">
        <v>906</v>
      </c>
      <c r="D172" s="1025" t="s">
        <v>1851</v>
      </c>
      <c r="E172" s="1025">
        <v>2300</v>
      </c>
      <c r="F172" s="1025">
        <v>1</v>
      </c>
      <c r="G172" s="1025">
        <v>1E-4</v>
      </c>
    </row>
    <row r="173" spans="1:7" x14ac:dyDescent="0.2">
      <c r="A173" s="1025" t="str">
        <f t="shared" si="4"/>
        <v>41G-C-NK 5000 AMR</v>
      </c>
      <c r="B173" s="1025" t="str">
        <f t="shared" si="5"/>
        <v>AMR</v>
      </c>
      <c r="C173" s="1025" t="s">
        <v>906</v>
      </c>
      <c r="D173" s="1025" t="s">
        <v>1851</v>
      </c>
      <c r="E173" s="1025">
        <v>5000</v>
      </c>
      <c r="F173" s="1025">
        <v>2</v>
      </c>
      <c r="G173" s="1025">
        <v>2.9999999999999997E-4</v>
      </c>
    </row>
    <row r="174" spans="1:7" x14ac:dyDescent="0.2">
      <c r="A174" s="1025" t="str">
        <f t="shared" si="4"/>
        <v xml:space="preserve">41G-C2 175 </v>
      </c>
      <c r="B174" s="1025" t="str">
        <f t="shared" si="5"/>
        <v/>
      </c>
      <c r="C174" s="1025" t="s">
        <v>907</v>
      </c>
      <c r="E174" s="1025">
        <v>175</v>
      </c>
      <c r="F174" s="1025">
        <v>1</v>
      </c>
      <c r="G174" s="1025">
        <v>1E-4</v>
      </c>
    </row>
    <row r="175" spans="1:7" x14ac:dyDescent="0.2">
      <c r="A175" s="1025" t="str">
        <f t="shared" si="4"/>
        <v xml:space="preserve">41G-C2 425 </v>
      </c>
      <c r="B175" s="1025" t="str">
        <f t="shared" si="5"/>
        <v/>
      </c>
      <c r="C175" s="1025" t="s">
        <v>907</v>
      </c>
      <c r="E175" s="1025">
        <v>425</v>
      </c>
      <c r="F175" s="1025">
        <v>1</v>
      </c>
      <c r="G175" s="1025">
        <v>1E-4</v>
      </c>
    </row>
    <row r="176" spans="1:7" x14ac:dyDescent="0.2">
      <c r="A176" s="1025" t="str">
        <f t="shared" si="4"/>
        <v xml:space="preserve">41G-C2 1000 </v>
      </c>
      <c r="B176" s="1025" t="str">
        <f t="shared" si="5"/>
        <v/>
      </c>
      <c r="C176" s="1025" t="s">
        <v>907</v>
      </c>
      <c r="E176" s="1025">
        <v>1000</v>
      </c>
      <c r="F176" s="1025">
        <v>3</v>
      </c>
      <c r="G176" s="1025">
        <v>4.0000000000000002E-4</v>
      </c>
    </row>
    <row r="177" spans="1:7" x14ac:dyDescent="0.2">
      <c r="A177" s="1025" t="str">
        <f t="shared" si="4"/>
        <v xml:space="preserve">41G-C2 1400 </v>
      </c>
      <c r="B177" s="1025" t="str">
        <f t="shared" si="5"/>
        <v/>
      </c>
      <c r="C177" s="1025" t="s">
        <v>907</v>
      </c>
      <c r="E177" s="1025">
        <v>1400</v>
      </c>
      <c r="F177" s="1025">
        <v>11</v>
      </c>
      <c r="G177" s="1025">
        <v>1.4E-3</v>
      </c>
    </row>
    <row r="178" spans="1:7" x14ac:dyDescent="0.2">
      <c r="A178" s="1025" t="str">
        <f t="shared" si="4"/>
        <v xml:space="preserve">41G-C2 2300 </v>
      </c>
      <c r="B178" s="1025" t="str">
        <f t="shared" si="5"/>
        <v/>
      </c>
      <c r="C178" s="1025" t="s">
        <v>907</v>
      </c>
      <c r="E178" s="1025">
        <v>2300</v>
      </c>
      <c r="F178" s="1025">
        <v>8</v>
      </c>
      <c r="G178" s="1025">
        <v>1E-3</v>
      </c>
    </row>
    <row r="179" spans="1:7" x14ac:dyDescent="0.2">
      <c r="A179" s="1025" t="str">
        <f t="shared" si="4"/>
        <v xml:space="preserve">41G-C2 3000 </v>
      </c>
      <c r="B179" s="1025" t="str">
        <f t="shared" si="5"/>
        <v/>
      </c>
      <c r="C179" s="1025" t="s">
        <v>907</v>
      </c>
      <c r="E179" s="1025">
        <v>3000</v>
      </c>
      <c r="F179" s="1025">
        <v>9</v>
      </c>
      <c r="G179" s="1025">
        <v>1.1999999999999999E-3</v>
      </c>
    </row>
    <row r="180" spans="1:7" x14ac:dyDescent="0.2">
      <c r="A180" s="1025" t="str">
        <f t="shared" si="4"/>
        <v xml:space="preserve">41G-C2 5000 </v>
      </c>
      <c r="B180" s="1025" t="str">
        <f t="shared" si="5"/>
        <v/>
      </c>
      <c r="C180" s="1025" t="s">
        <v>907</v>
      </c>
      <c r="E180" s="1025">
        <v>5000</v>
      </c>
      <c r="F180" s="1025">
        <v>23</v>
      </c>
      <c r="G180" s="1025">
        <v>3.0000000000000001E-3</v>
      </c>
    </row>
    <row r="181" spans="1:7" x14ac:dyDescent="0.2">
      <c r="A181" s="1025" t="str">
        <f t="shared" si="4"/>
        <v xml:space="preserve">41G-C2 7000 </v>
      </c>
      <c r="B181" s="1025" t="str">
        <f t="shared" si="5"/>
        <v/>
      </c>
      <c r="C181" s="1025" t="s">
        <v>907</v>
      </c>
      <c r="E181" s="1025">
        <v>7000</v>
      </c>
      <c r="F181" s="1025">
        <v>9</v>
      </c>
      <c r="G181" s="1025">
        <v>1.1999999999999999E-3</v>
      </c>
    </row>
    <row r="182" spans="1:7" x14ac:dyDescent="0.2">
      <c r="A182" s="1025" t="str">
        <f t="shared" si="4"/>
        <v xml:space="preserve">41G-C2 11000 </v>
      </c>
      <c r="B182" s="1025" t="str">
        <f t="shared" si="5"/>
        <v/>
      </c>
      <c r="C182" s="1025" t="s">
        <v>907</v>
      </c>
      <c r="E182" s="1025">
        <v>11000</v>
      </c>
      <c r="F182" s="1025">
        <v>69</v>
      </c>
      <c r="G182" s="1025">
        <v>8.8999999999999999E-3</v>
      </c>
    </row>
    <row r="183" spans="1:7" x14ac:dyDescent="0.2">
      <c r="A183" s="1025" t="str">
        <f t="shared" si="4"/>
        <v xml:space="preserve">41G-C2 16000 </v>
      </c>
      <c r="B183" s="1025" t="str">
        <f t="shared" si="5"/>
        <v/>
      </c>
      <c r="C183" s="1025" t="s">
        <v>907</v>
      </c>
      <c r="E183" s="1025">
        <v>16000</v>
      </c>
      <c r="F183" s="1025">
        <v>24</v>
      </c>
      <c r="G183" s="1025">
        <v>3.0999999999999999E-3</v>
      </c>
    </row>
    <row r="184" spans="1:7" x14ac:dyDescent="0.2">
      <c r="A184" s="1025" t="str">
        <f t="shared" si="4"/>
        <v xml:space="preserve">41G-C2 18000 </v>
      </c>
      <c r="B184" s="1025" t="str">
        <f t="shared" si="5"/>
        <v/>
      </c>
      <c r="C184" s="1025" t="s">
        <v>907</v>
      </c>
      <c r="E184" s="1025">
        <v>18000</v>
      </c>
      <c r="F184" s="1025">
        <v>2</v>
      </c>
      <c r="G184" s="1025">
        <v>2.9999999999999997E-4</v>
      </c>
    </row>
    <row r="185" spans="1:7" x14ac:dyDescent="0.2">
      <c r="A185" s="1025" t="str">
        <f t="shared" si="4"/>
        <v xml:space="preserve">41G-C2 23000 </v>
      </c>
      <c r="B185" s="1025" t="str">
        <f t="shared" si="5"/>
        <v/>
      </c>
      <c r="C185" s="1025" t="s">
        <v>907</v>
      </c>
      <c r="E185" s="1025">
        <v>23000</v>
      </c>
      <c r="F185" s="1025">
        <v>5</v>
      </c>
      <c r="G185" s="1025">
        <v>5.9999999999999995E-4</v>
      </c>
    </row>
    <row r="186" spans="1:7" x14ac:dyDescent="0.2">
      <c r="A186" s="1025" t="str">
        <f t="shared" si="4"/>
        <v xml:space="preserve">41G-C2 30000 </v>
      </c>
      <c r="B186" s="1025" t="str">
        <f t="shared" si="5"/>
        <v/>
      </c>
      <c r="C186" s="1025" t="s">
        <v>907</v>
      </c>
      <c r="E186" s="1025">
        <v>30000</v>
      </c>
      <c r="F186" s="1025">
        <v>2</v>
      </c>
      <c r="G186" s="1025">
        <v>2.9999999999999997E-4</v>
      </c>
    </row>
    <row r="187" spans="1:7" x14ac:dyDescent="0.2">
      <c r="A187" s="1025" t="str">
        <f t="shared" si="4"/>
        <v xml:space="preserve">41G-C2 38000 </v>
      </c>
      <c r="B187" s="1025" t="str">
        <f t="shared" si="5"/>
        <v/>
      </c>
      <c r="C187" s="1025" t="s">
        <v>907</v>
      </c>
      <c r="E187" s="1025">
        <v>38000</v>
      </c>
      <c r="F187" s="1025">
        <v>1</v>
      </c>
      <c r="G187" s="1025">
        <v>1E-4</v>
      </c>
    </row>
    <row r="188" spans="1:7" x14ac:dyDescent="0.2">
      <c r="A188" s="1025" t="str">
        <f t="shared" si="4"/>
        <v xml:space="preserve">41G-C2 60000 </v>
      </c>
      <c r="B188" s="1025" t="str">
        <f t="shared" si="5"/>
        <v/>
      </c>
      <c r="C188" s="1025" t="s">
        <v>907</v>
      </c>
      <c r="E188" s="1025">
        <v>60000</v>
      </c>
      <c r="F188" s="1025">
        <v>2</v>
      </c>
      <c r="G188" s="1025">
        <v>2.9999999999999997E-4</v>
      </c>
    </row>
    <row r="189" spans="1:7" x14ac:dyDescent="0.2">
      <c r="A189" s="1025" t="str">
        <f t="shared" si="4"/>
        <v xml:space="preserve">41G-C2 3000 </v>
      </c>
      <c r="B189" s="1025" t="str">
        <f t="shared" si="5"/>
        <v/>
      </c>
      <c r="C189" s="1025" t="s">
        <v>907</v>
      </c>
      <c r="E189" s="1025">
        <v>3000</v>
      </c>
      <c r="F189" s="1025">
        <v>12</v>
      </c>
      <c r="G189" s="1025">
        <v>1.5E-3</v>
      </c>
    </row>
    <row r="190" spans="1:7" x14ac:dyDescent="0.2">
      <c r="A190" s="1025" t="str">
        <f t="shared" si="4"/>
        <v xml:space="preserve">41G-C2 5000 </v>
      </c>
      <c r="B190" s="1025" t="str">
        <f t="shared" si="5"/>
        <v/>
      </c>
      <c r="C190" s="1025" t="s">
        <v>907</v>
      </c>
      <c r="E190" s="1025">
        <v>5000</v>
      </c>
      <c r="F190" s="1025">
        <v>17</v>
      </c>
      <c r="G190" s="1025">
        <v>2.2000000000000001E-3</v>
      </c>
    </row>
    <row r="191" spans="1:7" x14ac:dyDescent="0.2">
      <c r="A191" s="1025" t="str">
        <f t="shared" si="4"/>
        <v xml:space="preserve">41G-C2 7000 </v>
      </c>
      <c r="B191" s="1025" t="str">
        <f t="shared" si="5"/>
        <v/>
      </c>
      <c r="C191" s="1025" t="s">
        <v>907</v>
      </c>
      <c r="E191" s="1025">
        <v>7000</v>
      </c>
      <c r="F191" s="1025">
        <v>4</v>
      </c>
      <c r="G191" s="1025">
        <v>5.0000000000000001E-4</v>
      </c>
    </row>
    <row r="192" spans="1:7" x14ac:dyDescent="0.2">
      <c r="A192" s="1025" t="str">
        <f t="shared" si="4"/>
        <v xml:space="preserve">41G-C2 11000 </v>
      </c>
      <c r="B192" s="1025" t="str">
        <f t="shared" si="5"/>
        <v/>
      </c>
      <c r="C192" s="1025" t="s">
        <v>907</v>
      </c>
      <c r="E192" s="1025">
        <v>11000</v>
      </c>
      <c r="F192" s="1025">
        <v>15</v>
      </c>
      <c r="G192" s="1025">
        <v>1.9E-3</v>
      </c>
    </row>
    <row r="193" spans="1:7" x14ac:dyDescent="0.2">
      <c r="A193" s="1025" t="str">
        <f t="shared" si="4"/>
        <v xml:space="preserve">41G-C2 16000 </v>
      </c>
      <c r="B193" s="1025" t="str">
        <f t="shared" si="5"/>
        <v/>
      </c>
      <c r="C193" s="1025" t="s">
        <v>907</v>
      </c>
      <c r="E193" s="1025">
        <v>16000</v>
      </c>
      <c r="F193" s="1025">
        <v>38</v>
      </c>
      <c r="G193" s="1025">
        <v>4.8999999999999998E-3</v>
      </c>
    </row>
    <row r="194" spans="1:7" x14ac:dyDescent="0.2">
      <c r="A194" s="1025" t="str">
        <f t="shared" si="4"/>
        <v xml:space="preserve">41G-C2 23000 </v>
      </c>
      <c r="B194" s="1025" t="str">
        <f t="shared" si="5"/>
        <v/>
      </c>
      <c r="C194" s="1025" t="s">
        <v>907</v>
      </c>
      <c r="E194" s="1025">
        <v>23000</v>
      </c>
      <c r="F194" s="1025">
        <v>2</v>
      </c>
      <c r="G194" s="1025">
        <v>2.9999999999999997E-4</v>
      </c>
    </row>
    <row r="195" spans="1:7" x14ac:dyDescent="0.2">
      <c r="A195" s="1025" t="str">
        <f t="shared" ref="A195:A258" si="6">C195&amp;" "&amp;E195&amp;" "&amp;B195</f>
        <v>41G-C2 175 AMR</v>
      </c>
      <c r="B195" s="1025" t="str">
        <f t="shared" ref="B195:B258" si="7">IF(OR($D195="CellNet",$D195="Metretek"),"AMR","")</f>
        <v>AMR</v>
      </c>
      <c r="C195" s="1025" t="s">
        <v>907</v>
      </c>
      <c r="D195" s="1025" t="s">
        <v>1851</v>
      </c>
      <c r="E195" s="1025">
        <v>175</v>
      </c>
      <c r="F195" s="1025">
        <v>3</v>
      </c>
      <c r="G195" s="1025">
        <v>4.0000000000000002E-4</v>
      </c>
    </row>
    <row r="196" spans="1:7" x14ac:dyDescent="0.2">
      <c r="A196" s="1025" t="str">
        <f t="shared" si="6"/>
        <v>41G-C2 200 AMR</v>
      </c>
      <c r="B196" s="1025" t="str">
        <f t="shared" si="7"/>
        <v>AMR</v>
      </c>
      <c r="C196" s="1025" t="s">
        <v>907</v>
      </c>
      <c r="D196" s="1025" t="s">
        <v>1851</v>
      </c>
      <c r="E196" s="1025">
        <v>200</v>
      </c>
      <c r="F196" s="1025">
        <v>2</v>
      </c>
      <c r="G196" s="1025">
        <v>2.9999999999999997E-4</v>
      </c>
    </row>
    <row r="197" spans="1:7" x14ac:dyDescent="0.2">
      <c r="A197" s="1025" t="str">
        <f t="shared" si="6"/>
        <v>41G-C2 250 AMR</v>
      </c>
      <c r="B197" s="1025" t="str">
        <f t="shared" si="7"/>
        <v>AMR</v>
      </c>
      <c r="C197" s="1025" t="s">
        <v>907</v>
      </c>
      <c r="D197" s="1025" t="s">
        <v>1851</v>
      </c>
      <c r="E197" s="1025">
        <v>250</v>
      </c>
      <c r="F197" s="1025">
        <v>11</v>
      </c>
      <c r="G197" s="1025">
        <v>1.4E-3</v>
      </c>
    </row>
    <row r="198" spans="1:7" x14ac:dyDescent="0.2">
      <c r="A198" s="1025" t="str">
        <f t="shared" si="6"/>
        <v>41G-C2 275 AMR</v>
      </c>
      <c r="B198" s="1025" t="str">
        <f t="shared" si="7"/>
        <v>AMR</v>
      </c>
      <c r="C198" s="1025" t="s">
        <v>907</v>
      </c>
      <c r="D198" s="1025" t="s">
        <v>1851</v>
      </c>
      <c r="E198" s="1025">
        <v>275</v>
      </c>
      <c r="F198" s="1025">
        <v>4</v>
      </c>
      <c r="G198" s="1025">
        <v>5.0000000000000001E-4</v>
      </c>
    </row>
    <row r="199" spans="1:7" x14ac:dyDescent="0.2">
      <c r="A199" s="1025" t="str">
        <f t="shared" si="6"/>
        <v>41G-C2 425 AMR</v>
      </c>
      <c r="B199" s="1025" t="str">
        <f t="shared" si="7"/>
        <v>AMR</v>
      </c>
      <c r="C199" s="1025" t="s">
        <v>907</v>
      </c>
      <c r="D199" s="1025" t="s">
        <v>1851</v>
      </c>
      <c r="E199" s="1025">
        <v>425</v>
      </c>
      <c r="F199" s="1025">
        <v>50</v>
      </c>
      <c r="G199" s="1025">
        <v>6.4000000000000003E-3</v>
      </c>
    </row>
    <row r="200" spans="1:7" x14ac:dyDescent="0.2">
      <c r="A200" s="1025" t="str">
        <f t="shared" si="6"/>
        <v>41G-C2 750 AMR</v>
      </c>
      <c r="B200" s="1025" t="str">
        <f t="shared" si="7"/>
        <v>AMR</v>
      </c>
      <c r="C200" s="1025" t="s">
        <v>907</v>
      </c>
      <c r="D200" s="1025" t="s">
        <v>1851</v>
      </c>
      <c r="E200" s="1025">
        <v>750</v>
      </c>
      <c r="F200" s="1025">
        <v>1</v>
      </c>
      <c r="G200" s="1025">
        <v>1E-4</v>
      </c>
    </row>
    <row r="201" spans="1:7" x14ac:dyDescent="0.2">
      <c r="A201" s="1025" t="str">
        <f t="shared" si="6"/>
        <v>41G-C2 800 AMR</v>
      </c>
      <c r="B201" s="1025" t="str">
        <f t="shared" si="7"/>
        <v>AMR</v>
      </c>
      <c r="C201" s="1025" t="s">
        <v>907</v>
      </c>
      <c r="D201" s="1025" t="s">
        <v>1851</v>
      </c>
      <c r="E201" s="1025">
        <v>800</v>
      </c>
      <c r="F201" s="1025">
        <v>11</v>
      </c>
      <c r="G201" s="1025">
        <v>1.4E-3</v>
      </c>
    </row>
    <row r="202" spans="1:7" x14ac:dyDescent="0.2">
      <c r="A202" s="1025" t="str">
        <f t="shared" si="6"/>
        <v>41G-C2 1000 AMR</v>
      </c>
      <c r="B202" s="1025" t="str">
        <f t="shared" si="7"/>
        <v>AMR</v>
      </c>
      <c r="C202" s="1025" t="s">
        <v>907</v>
      </c>
      <c r="D202" s="1025" t="s">
        <v>1851</v>
      </c>
      <c r="E202" s="1025">
        <v>1000</v>
      </c>
      <c r="F202" s="1025">
        <v>1061</v>
      </c>
      <c r="G202" s="1025">
        <v>0.13650000000000001</v>
      </c>
    </row>
    <row r="203" spans="1:7" x14ac:dyDescent="0.2">
      <c r="A203" s="1025" t="str">
        <f t="shared" si="6"/>
        <v>41G-C2 1400 AMR</v>
      </c>
      <c r="B203" s="1025" t="str">
        <f t="shared" si="7"/>
        <v>AMR</v>
      </c>
      <c r="C203" s="1025" t="s">
        <v>907</v>
      </c>
      <c r="D203" s="1025" t="s">
        <v>1851</v>
      </c>
      <c r="E203" s="1025">
        <v>1400</v>
      </c>
      <c r="F203" s="1025">
        <v>110</v>
      </c>
      <c r="G203" s="1025">
        <v>1.4200000000000001E-2</v>
      </c>
    </row>
    <row r="204" spans="1:7" x14ac:dyDescent="0.2">
      <c r="A204" s="1025" t="str">
        <f t="shared" si="6"/>
        <v>41G-C2 2300 AMR</v>
      </c>
      <c r="B204" s="1025" t="str">
        <f t="shared" si="7"/>
        <v>AMR</v>
      </c>
      <c r="C204" s="1025" t="s">
        <v>907</v>
      </c>
      <c r="D204" s="1025" t="s">
        <v>1851</v>
      </c>
      <c r="E204" s="1025">
        <v>2300</v>
      </c>
      <c r="F204" s="1025">
        <v>178</v>
      </c>
      <c r="G204" s="1025">
        <v>2.29E-2</v>
      </c>
    </row>
    <row r="205" spans="1:7" x14ac:dyDescent="0.2">
      <c r="A205" s="1025" t="str">
        <f t="shared" si="6"/>
        <v>41G-C2 3000 AMR</v>
      </c>
      <c r="B205" s="1025" t="str">
        <f t="shared" si="7"/>
        <v>AMR</v>
      </c>
      <c r="C205" s="1025" t="s">
        <v>907</v>
      </c>
      <c r="D205" s="1025" t="s">
        <v>1851</v>
      </c>
      <c r="E205" s="1025">
        <v>3000</v>
      </c>
      <c r="F205" s="1025">
        <v>140</v>
      </c>
      <c r="G205" s="1025">
        <v>1.7999999999999999E-2</v>
      </c>
    </row>
    <row r="206" spans="1:7" x14ac:dyDescent="0.2">
      <c r="A206" s="1025" t="str">
        <f t="shared" si="6"/>
        <v>41G-C2 5000 AMR</v>
      </c>
      <c r="B206" s="1025" t="str">
        <f t="shared" si="7"/>
        <v>AMR</v>
      </c>
      <c r="C206" s="1025" t="s">
        <v>907</v>
      </c>
      <c r="D206" s="1025" t="s">
        <v>1851</v>
      </c>
      <c r="E206" s="1025">
        <v>5000</v>
      </c>
      <c r="F206" s="1045">
        <v>243</v>
      </c>
      <c r="G206" s="1025">
        <v>3.1300000000000001E-2</v>
      </c>
    </row>
    <row r="207" spans="1:7" x14ac:dyDescent="0.2">
      <c r="A207" s="1025" t="str">
        <f t="shared" si="6"/>
        <v>41G-C2 7000 AMR</v>
      </c>
      <c r="B207" s="1025" t="str">
        <f t="shared" si="7"/>
        <v>AMR</v>
      </c>
      <c r="C207" s="1025" t="s">
        <v>907</v>
      </c>
      <c r="D207" s="1025" t="s">
        <v>1851</v>
      </c>
      <c r="E207" s="1025">
        <v>7000</v>
      </c>
      <c r="F207" s="1025">
        <v>71</v>
      </c>
      <c r="G207" s="1025">
        <v>9.1000000000000004E-3</v>
      </c>
    </row>
    <row r="208" spans="1:7" x14ac:dyDescent="0.2">
      <c r="A208" s="1025" t="str">
        <f t="shared" si="6"/>
        <v>41G-C2 11000 AMR</v>
      </c>
      <c r="B208" s="1025" t="str">
        <f t="shared" si="7"/>
        <v>AMR</v>
      </c>
      <c r="C208" s="1025" t="s">
        <v>907</v>
      </c>
      <c r="D208" s="1025" t="s">
        <v>1851</v>
      </c>
      <c r="E208" s="1025">
        <v>11000</v>
      </c>
      <c r="F208" s="1025">
        <v>9</v>
      </c>
      <c r="G208" s="1025">
        <v>1.1999999999999999E-3</v>
      </c>
    </row>
    <row r="209" spans="1:7" x14ac:dyDescent="0.2">
      <c r="A209" s="1025" t="str">
        <f t="shared" si="6"/>
        <v xml:space="preserve">41G-I2 2300 </v>
      </c>
      <c r="B209" s="1025" t="str">
        <f t="shared" si="7"/>
        <v/>
      </c>
      <c r="C209" s="1025" t="s">
        <v>918</v>
      </c>
      <c r="E209" s="1025">
        <v>2300</v>
      </c>
      <c r="F209" s="1025">
        <v>4</v>
      </c>
      <c r="G209" s="1025">
        <v>5.0000000000000001E-4</v>
      </c>
    </row>
    <row r="210" spans="1:7" x14ac:dyDescent="0.2">
      <c r="A210" s="1025" t="str">
        <f t="shared" si="6"/>
        <v xml:space="preserve">41G-I2 3000 </v>
      </c>
      <c r="B210" s="1025" t="str">
        <f t="shared" si="7"/>
        <v/>
      </c>
      <c r="C210" s="1025" t="s">
        <v>918</v>
      </c>
      <c r="E210" s="1025">
        <v>3000</v>
      </c>
      <c r="F210" s="1025">
        <v>2</v>
      </c>
      <c r="G210" s="1025">
        <v>2.9999999999999997E-4</v>
      </c>
    </row>
    <row r="211" spans="1:7" x14ac:dyDescent="0.2">
      <c r="A211" s="1025" t="str">
        <f t="shared" si="6"/>
        <v xml:space="preserve">41G-I2 5000 </v>
      </c>
      <c r="B211" s="1025" t="str">
        <f t="shared" si="7"/>
        <v/>
      </c>
      <c r="C211" s="1025" t="s">
        <v>918</v>
      </c>
      <c r="E211" s="1025">
        <v>5000</v>
      </c>
      <c r="F211" s="1025">
        <v>5</v>
      </c>
      <c r="G211" s="1025">
        <v>5.9999999999999995E-4</v>
      </c>
    </row>
    <row r="212" spans="1:7" x14ac:dyDescent="0.2">
      <c r="A212" s="1025" t="str">
        <f t="shared" si="6"/>
        <v xml:space="preserve">41G-I2 7000 </v>
      </c>
      <c r="B212" s="1025" t="str">
        <f t="shared" si="7"/>
        <v/>
      </c>
      <c r="C212" s="1025" t="s">
        <v>918</v>
      </c>
      <c r="E212" s="1025">
        <v>7000</v>
      </c>
      <c r="F212" s="1025">
        <v>2</v>
      </c>
      <c r="G212" s="1025">
        <v>2.9999999999999997E-4</v>
      </c>
    </row>
    <row r="213" spans="1:7" x14ac:dyDescent="0.2">
      <c r="A213" s="1025" t="str">
        <f t="shared" si="6"/>
        <v xml:space="preserve">41G-I2 11000 </v>
      </c>
      <c r="B213" s="1025" t="str">
        <f t="shared" si="7"/>
        <v/>
      </c>
      <c r="C213" s="1025" t="s">
        <v>918</v>
      </c>
      <c r="E213" s="1025">
        <v>11000</v>
      </c>
      <c r="F213" s="1025">
        <v>9</v>
      </c>
      <c r="G213" s="1025">
        <v>1.1999999999999999E-3</v>
      </c>
    </row>
    <row r="214" spans="1:7" x14ac:dyDescent="0.2">
      <c r="A214" s="1025" t="str">
        <f t="shared" si="6"/>
        <v xml:space="preserve">41G-I2 16000 </v>
      </c>
      <c r="B214" s="1025" t="str">
        <f t="shared" si="7"/>
        <v/>
      </c>
      <c r="C214" s="1025" t="s">
        <v>918</v>
      </c>
      <c r="E214" s="1025">
        <v>16000</v>
      </c>
      <c r="F214" s="1025">
        <v>9</v>
      </c>
      <c r="G214" s="1025">
        <v>1.1999999999999999E-3</v>
      </c>
    </row>
    <row r="215" spans="1:7" x14ac:dyDescent="0.2">
      <c r="A215" s="1025" t="str">
        <f t="shared" si="6"/>
        <v xml:space="preserve">41G-I2 23000 </v>
      </c>
      <c r="B215" s="1025" t="str">
        <f t="shared" si="7"/>
        <v/>
      </c>
      <c r="C215" s="1025" t="s">
        <v>918</v>
      </c>
      <c r="E215" s="1025">
        <v>23000</v>
      </c>
      <c r="F215" s="1025">
        <v>2</v>
      </c>
      <c r="G215" s="1025">
        <v>2.9999999999999997E-4</v>
      </c>
    </row>
    <row r="216" spans="1:7" x14ac:dyDescent="0.2">
      <c r="A216" s="1025" t="str">
        <f t="shared" si="6"/>
        <v xml:space="preserve">41G-I2 30000 </v>
      </c>
      <c r="B216" s="1025" t="str">
        <f t="shared" si="7"/>
        <v/>
      </c>
      <c r="C216" s="1025" t="s">
        <v>918</v>
      </c>
      <c r="E216" s="1025">
        <v>30000</v>
      </c>
      <c r="F216" s="1025">
        <v>1</v>
      </c>
      <c r="G216" s="1025">
        <v>1E-4</v>
      </c>
    </row>
    <row r="217" spans="1:7" x14ac:dyDescent="0.2">
      <c r="A217" s="1025" t="str">
        <f t="shared" si="6"/>
        <v xml:space="preserve">41G-I2 60000 </v>
      </c>
      <c r="B217" s="1025" t="str">
        <f t="shared" si="7"/>
        <v/>
      </c>
      <c r="C217" s="1025" t="s">
        <v>918</v>
      </c>
      <c r="E217" s="1025">
        <v>60000</v>
      </c>
      <c r="F217" s="1025">
        <v>1</v>
      </c>
      <c r="G217" s="1025">
        <v>1E-4</v>
      </c>
    </row>
    <row r="218" spans="1:7" x14ac:dyDescent="0.2">
      <c r="A218" s="1025" t="str">
        <f t="shared" si="6"/>
        <v xml:space="preserve">41G-I2 3000 </v>
      </c>
      <c r="B218" s="1025" t="str">
        <f t="shared" si="7"/>
        <v/>
      </c>
      <c r="C218" s="1025" t="s">
        <v>918</v>
      </c>
      <c r="E218" s="1025">
        <v>3000</v>
      </c>
      <c r="F218" s="1025">
        <v>1</v>
      </c>
      <c r="G218" s="1025">
        <v>1E-4</v>
      </c>
    </row>
    <row r="219" spans="1:7" x14ac:dyDescent="0.2">
      <c r="A219" s="1025" t="str">
        <f t="shared" si="6"/>
        <v xml:space="preserve">41G-I2 5000 </v>
      </c>
      <c r="B219" s="1025" t="str">
        <f t="shared" si="7"/>
        <v/>
      </c>
      <c r="C219" s="1025" t="s">
        <v>918</v>
      </c>
      <c r="E219" s="1025">
        <v>5000</v>
      </c>
      <c r="F219" s="1025">
        <v>2</v>
      </c>
      <c r="G219" s="1025">
        <v>2.9999999999999997E-4</v>
      </c>
    </row>
    <row r="220" spans="1:7" x14ac:dyDescent="0.2">
      <c r="A220" s="1025" t="str">
        <f t="shared" si="6"/>
        <v xml:space="preserve">41G-I2 7000 </v>
      </c>
      <c r="B220" s="1025" t="str">
        <f t="shared" si="7"/>
        <v/>
      </c>
      <c r="C220" s="1025" t="s">
        <v>918</v>
      </c>
      <c r="E220" s="1025">
        <v>7000</v>
      </c>
      <c r="F220" s="1025">
        <v>2</v>
      </c>
      <c r="G220" s="1025">
        <v>2.9999999999999997E-4</v>
      </c>
    </row>
    <row r="221" spans="1:7" x14ac:dyDescent="0.2">
      <c r="A221" s="1025" t="str">
        <f t="shared" si="6"/>
        <v xml:space="preserve">41G-I2 11000 </v>
      </c>
      <c r="B221" s="1025" t="str">
        <f t="shared" si="7"/>
        <v/>
      </c>
      <c r="C221" s="1025" t="s">
        <v>918</v>
      </c>
      <c r="E221" s="1025">
        <v>11000</v>
      </c>
      <c r="F221" s="1025">
        <v>2</v>
      </c>
      <c r="G221" s="1025">
        <v>2.9999999999999997E-4</v>
      </c>
    </row>
    <row r="222" spans="1:7" x14ac:dyDescent="0.2">
      <c r="A222" s="1025" t="str">
        <f t="shared" si="6"/>
        <v xml:space="preserve">41G-I2 16000 </v>
      </c>
      <c r="B222" s="1025" t="str">
        <f t="shared" si="7"/>
        <v/>
      </c>
      <c r="C222" s="1025" t="s">
        <v>918</v>
      </c>
      <c r="E222" s="1025">
        <v>16000</v>
      </c>
      <c r="F222" s="1025">
        <v>16</v>
      </c>
      <c r="G222" s="1025">
        <v>2.0999999999999999E-3</v>
      </c>
    </row>
    <row r="223" spans="1:7" x14ac:dyDescent="0.2">
      <c r="A223" s="1025" t="str">
        <f t="shared" si="6"/>
        <v xml:space="preserve">41G-I2 30000 </v>
      </c>
      <c r="B223" s="1025" t="str">
        <f t="shared" si="7"/>
        <v/>
      </c>
      <c r="C223" s="1025" t="s">
        <v>918</v>
      </c>
      <c r="E223" s="1025">
        <v>30000</v>
      </c>
      <c r="F223" s="1025">
        <v>1</v>
      </c>
      <c r="G223" s="1025">
        <v>1E-4</v>
      </c>
    </row>
    <row r="224" spans="1:7" x14ac:dyDescent="0.2">
      <c r="A224" s="1025" t="str">
        <f t="shared" si="6"/>
        <v>41G-I2 425 AMR</v>
      </c>
      <c r="B224" s="1025" t="str">
        <f t="shared" si="7"/>
        <v>AMR</v>
      </c>
      <c r="C224" s="1025" t="s">
        <v>918</v>
      </c>
      <c r="D224" s="1025" t="s">
        <v>1851</v>
      </c>
      <c r="E224" s="1025">
        <v>425</v>
      </c>
      <c r="F224" s="1025">
        <v>1</v>
      </c>
      <c r="G224" s="1025">
        <v>1E-4</v>
      </c>
    </row>
    <row r="225" spans="1:7" x14ac:dyDescent="0.2">
      <c r="A225" s="1025" t="str">
        <f t="shared" si="6"/>
        <v>41G-I2 1000 AMR</v>
      </c>
      <c r="B225" s="1025" t="str">
        <f t="shared" si="7"/>
        <v>AMR</v>
      </c>
      <c r="C225" s="1025" t="s">
        <v>918</v>
      </c>
      <c r="D225" s="1025" t="s">
        <v>1851</v>
      </c>
      <c r="E225" s="1025">
        <v>1000</v>
      </c>
      <c r="F225" s="1025">
        <v>19</v>
      </c>
      <c r="G225" s="1025">
        <v>2.3999999999999998E-3</v>
      </c>
    </row>
    <row r="226" spans="1:7" x14ac:dyDescent="0.2">
      <c r="A226" s="1025" t="str">
        <f t="shared" si="6"/>
        <v>41G-I2 1400 AMR</v>
      </c>
      <c r="B226" s="1025" t="str">
        <f t="shared" si="7"/>
        <v>AMR</v>
      </c>
      <c r="C226" s="1025" t="s">
        <v>918</v>
      </c>
      <c r="D226" s="1025" t="s">
        <v>1851</v>
      </c>
      <c r="E226" s="1025">
        <v>1400</v>
      </c>
      <c r="F226" s="1025">
        <v>10</v>
      </c>
      <c r="G226" s="1025">
        <v>1.2999999999999999E-3</v>
      </c>
    </row>
    <row r="227" spans="1:7" x14ac:dyDescent="0.2">
      <c r="A227" s="1025" t="str">
        <f t="shared" si="6"/>
        <v>41G-I2 2300 AMR</v>
      </c>
      <c r="B227" s="1025" t="str">
        <f t="shared" si="7"/>
        <v>AMR</v>
      </c>
      <c r="C227" s="1025" t="s">
        <v>918</v>
      </c>
      <c r="D227" s="1025" t="s">
        <v>1851</v>
      </c>
      <c r="E227" s="1025">
        <v>2300</v>
      </c>
      <c r="F227" s="1025">
        <v>9</v>
      </c>
      <c r="G227" s="1025">
        <v>1.1999999999999999E-3</v>
      </c>
    </row>
    <row r="228" spans="1:7" x14ac:dyDescent="0.2">
      <c r="A228" s="1025" t="str">
        <f t="shared" si="6"/>
        <v>41G-I2 3000 AMR</v>
      </c>
      <c r="B228" s="1025" t="str">
        <f t="shared" si="7"/>
        <v>AMR</v>
      </c>
      <c r="C228" s="1025" t="s">
        <v>918</v>
      </c>
      <c r="D228" s="1025" t="s">
        <v>1851</v>
      </c>
      <c r="E228" s="1025">
        <v>3000</v>
      </c>
      <c r="F228" s="1025">
        <v>4</v>
      </c>
      <c r="G228" s="1025">
        <v>5.0000000000000001E-4</v>
      </c>
    </row>
    <row r="229" spans="1:7" x14ac:dyDescent="0.2">
      <c r="A229" s="1025" t="str">
        <f t="shared" si="6"/>
        <v>41G-I2 5000 AMR</v>
      </c>
      <c r="B229" s="1025" t="str">
        <f t="shared" si="7"/>
        <v>AMR</v>
      </c>
      <c r="C229" s="1025" t="s">
        <v>918</v>
      </c>
      <c r="D229" s="1025" t="s">
        <v>1851</v>
      </c>
      <c r="E229" s="1025">
        <v>5000</v>
      </c>
      <c r="F229" s="1025">
        <v>13</v>
      </c>
      <c r="G229" s="1025">
        <v>1.6999999999999999E-3</v>
      </c>
    </row>
    <row r="230" spans="1:7" x14ac:dyDescent="0.2">
      <c r="A230" s="1025" t="str">
        <f t="shared" si="6"/>
        <v>41G-I2 7000 AMR</v>
      </c>
      <c r="B230" s="1025" t="str">
        <f t="shared" si="7"/>
        <v>AMR</v>
      </c>
      <c r="C230" s="1025" t="s">
        <v>918</v>
      </c>
      <c r="D230" s="1025" t="s">
        <v>1851</v>
      </c>
      <c r="E230" s="1025">
        <v>7000</v>
      </c>
      <c r="F230" s="1025">
        <v>10</v>
      </c>
      <c r="G230" s="1025">
        <v>1.2999999999999999E-3</v>
      </c>
    </row>
    <row r="231" spans="1:7" x14ac:dyDescent="0.2">
      <c r="A231" s="1025" t="str">
        <f t="shared" si="6"/>
        <v xml:space="preserve">41TG-C 1400 </v>
      </c>
      <c r="B231" s="1025" t="str">
        <f t="shared" si="7"/>
        <v/>
      </c>
      <c r="C231" s="1025" t="s">
        <v>908</v>
      </c>
      <c r="E231" s="1025">
        <v>1400</v>
      </c>
      <c r="F231" s="1025">
        <v>2</v>
      </c>
      <c r="G231" s="1025">
        <v>2.9999999999999997E-4</v>
      </c>
    </row>
    <row r="232" spans="1:7" x14ac:dyDescent="0.2">
      <c r="A232" s="1025" t="str">
        <f t="shared" si="6"/>
        <v xml:space="preserve">41TG-C 2300 </v>
      </c>
      <c r="B232" s="1025" t="str">
        <f t="shared" si="7"/>
        <v/>
      </c>
      <c r="C232" s="1025" t="s">
        <v>908</v>
      </c>
      <c r="E232" s="1025">
        <v>2300</v>
      </c>
      <c r="F232" s="1025">
        <v>4</v>
      </c>
      <c r="G232" s="1025">
        <v>5.0000000000000001E-4</v>
      </c>
    </row>
    <row r="233" spans="1:7" x14ac:dyDescent="0.2">
      <c r="A233" s="1025" t="str">
        <f t="shared" si="6"/>
        <v xml:space="preserve">41TG-C 5000 </v>
      </c>
      <c r="B233" s="1025" t="str">
        <f t="shared" si="7"/>
        <v/>
      </c>
      <c r="C233" s="1025" t="s">
        <v>908</v>
      </c>
      <c r="E233" s="1025">
        <v>5000</v>
      </c>
      <c r="F233" s="1025">
        <v>1</v>
      </c>
      <c r="G233" s="1025">
        <v>1E-4</v>
      </c>
    </row>
    <row r="234" spans="1:7" x14ac:dyDescent="0.2">
      <c r="A234" s="1025" t="str">
        <f t="shared" si="6"/>
        <v xml:space="preserve">41TG-C 7000 </v>
      </c>
      <c r="B234" s="1025" t="str">
        <f t="shared" si="7"/>
        <v/>
      </c>
      <c r="C234" s="1025" t="s">
        <v>908</v>
      </c>
      <c r="E234" s="1025">
        <v>7000</v>
      </c>
      <c r="F234" s="1025">
        <v>1</v>
      </c>
      <c r="G234" s="1025">
        <v>1E-4</v>
      </c>
    </row>
    <row r="235" spans="1:7" x14ac:dyDescent="0.2">
      <c r="A235" s="1025" t="str">
        <f t="shared" si="6"/>
        <v xml:space="preserve">41TG-C 11000 </v>
      </c>
      <c r="B235" s="1025" t="str">
        <f t="shared" si="7"/>
        <v/>
      </c>
      <c r="C235" s="1025" t="s">
        <v>908</v>
      </c>
      <c r="E235" s="1025">
        <v>11000</v>
      </c>
      <c r="F235" s="1025">
        <v>3</v>
      </c>
      <c r="G235" s="1025">
        <v>4.0000000000000002E-4</v>
      </c>
    </row>
    <row r="236" spans="1:7" x14ac:dyDescent="0.2">
      <c r="A236" s="1025" t="str">
        <f t="shared" si="6"/>
        <v xml:space="preserve">41TG-C 16000 </v>
      </c>
      <c r="B236" s="1025" t="str">
        <f t="shared" si="7"/>
        <v/>
      </c>
      <c r="C236" s="1025" t="s">
        <v>908</v>
      </c>
      <c r="E236" s="1025">
        <v>16000</v>
      </c>
      <c r="F236" s="1025">
        <v>1</v>
      </c>
      <c r="G236" s="1025">
        <v>1E-4</v>
      </c>
    </row>
    <row r="237" spans="1:7" x14ac:dyDescent="0.2">
      <c r="A237" s="1025" t="str">
        <f t="shared" si="6"/>
        <v xml:space="preserve">41TG-C 23000 </v>
      </c>
      <c r="B237" s="1025" t="str">
        <f t="shared" si="7"/>
        <v/>
      </c>
      <c r="C237" s="1025" t="s">
        <v>908</v>
      </c>
      <c r="E237" s="1025">
        <v>23000</v>
      </c>
      <c r="F237" s="1025">
        <v>1</v>
      </c>
      <c r="G237" s="1025">
        <v>1E-4</v>
      </c>
    </row>
    <row r="238" spans="1:7" x14ac:dyDescent="0.2">
      <c r="A238" s="1025" t="str">
        <f t="shared" si="6"/>
        <v xml:space="preserve">41TG-C 3000 </v>
      </c>
      <c r="B238" s="1025" t="str">
        <f t="shared" si="7"/>
        <v/>
      </c>
      <c r="C238" s="1025" t="s">
        <v>908</v>
      </c>
      <c r="E238" s="1025">
        <v>3000</v>
      </c>
      <c r="F238" s="1025">
        <v>1</v>
      </c>
      <c r="G238" s="1025">
        <v>1E-4</v>
      </c>
    </row>
    <row r="239" spans="1:7" x14ac:dyDescent="0.2">
      <c r="A239" s="1025" t="str">
        <f t="shared" si="6"/>
        <v xml:space="preserve">41TG-C 7000 </v>
      </c>
      <c r="B239" s="1025" t="str">
        <f t="shared" si="7"/>
        <v/>
      </c>
      <c r="C239" s="1025" t="s">
        <v>908</v>
      </c>
      <c r="E239" s="1025">
        <v>7000</v>
      </c>
      <c r="F239" s="1025">
        <v>2</v>
      </c>
      <c r="G239" s="1025">
        <v>2.9999999999999997E-4</v>
      </c>
    </row>
    <row r="240" spans="1:7" x14ac:dyDescent="0.2">
      <c r="A240" s="1025" t="str">
        <f t="shared" si="6"/>
        <v xml:space="preserve">41TG-C 11000 </v>
      </c>
      <c r="B240" s="1025" t="str">
        <f t="shared" si="7"/>
        <v/>
      </c>
      <c r="C240" s="1025" t="s">
        <v>908</v>
      </c>
      <c r="E240" s="1025">
        <v>11000</v>
      </c>
      <c r="F240" s="1025">
        <v>1</v>
      </c>
      <c r="G240" s="1025">
        <v>1E-4</v>
      </c>
    </row>
    <row r="241" spans="1:7" x14ac:dyDescent="0.2">
      <c r="A241" s="1025" t="str">
        <f t="shared" si="6"/>
        <v xml:space="preserve">41TG-C 16000 </v>
      </c>
      <c r="B241" s="1025" t="str">
        <f t="shared" si="7"/>
        <v/>
      </c>
      <c r="C241" s="1025" t="s">
        <v>908</v>
      </c>
      <c r="E241" s="1025">
        <v>16000</v>
      </c>
      <c r="F241" s="1025">
        <v>2</v>
      </c>
      <c r="G241" s="1025">
        <v>2.9999999999999997E-4</v>
      </c>
    </row>
    <row r="242" spans="1:7" x14ac:dyDescent="0.2">
      <c r="A242" s="1025" t="str">
        <f t="shared" si="6"/>
        <v>41TG-C 1000 AMR</v>
      </c>
      <c r="B242" s="1025" t="str">
        <f t="shared" si="7"/>
        <v>AMR</v>
      </c>
      <c r="C242" s="1025" t="s">
        <v>908</v>
      </c>
      <c r="D242" s="1048" t="s">
        <v>1852</v>
      </c>
      <c r="E242" s="1025">
        <v>1000</v>
      </c>
      <c r="F242" s="1025">
        <v>1</v>
      </c>
      <c r="G242" s="1025">
        <v>1E-4</v>
      </c>
    </row>
    <row r="243" spans="1:7" x14ac:dyDescent="0.2">
      <c r="A243" s="1025" t="str">
        <f t="shared" si="6"/>
        <v>41TG-C 1400 AMR</v>
      </c>
      <c r="B243" s="1025" t="str">
        <f t="shared" si="7"/>
        <v>AMR</v>
      </c>
      <c r="C243" s="1025" t="s">
        <v>908</v>
      </c>
      <c r="D243" s="1048" t="s">
        <v>1852</v>
      </c>
      <c r="E243" s="1025">
        <v>1400</v>
      </c>
      <c r="F243" s="1025">
        <v>1</v>
      </c>
      <c r="G243" s="1025">
        <v>1E-4</v>
      </c>
    </row>
    <row r="244" spans="1:7" x14ac:dyDescent="0.2">
      <c r="A244" s="1025" t="str">
        <f t="shared" si="6"/>
        <v>41TG-C 2300 AMR</v>
      </c>
      <c r="B244" s="1025" t="str">
        <f t="shared" si="7"/>
        <v>AMR</v>
      </c>
      <c r="C244" s="1025" t="s">
        <v>908</v>
      </c>
      <c r="D244" s="1048" t="s">
        <v>1852</v>
      </c>
      <c r="E244" s="1025">
        <v>2300</v>
      </c>
      <c r="F244" s="1025">
        <v>2</v>
      </c>
      <c r="G244" s="1025">
        <v>2.9999999999999997E-4</v>
      </c>
    </row>
    <row r="245" spans="1:7" x14ac:dyDescent="0.2">
      <c r="A245" s="1025" t="str">
        <f t="shared" si="6"/>
        <v>41TG-C 5000 AMR</v>
      </c>
      <c r="B245" s="1025" t="str">
        <f t="shared" si="7"/>
        <v>AMR</v>
      </c>
      <c r="C245" s="1025" t="s">
        <v>908</v>
      </c>
      <c r="D245" s="1048" t="s">
        <v>1852</v>
      </c>
      <c r="E245" s="1025">
        <v>5000</v>
      </c>
      <c r="F245" s="1025">
        <v>2</v>
      </c>
      <c r="G245" s="1025">
        <v>2.9999999999999997E-4</v>
      </c>
    </row>
    <row r="246" spans="1:7" x14ac:dyDescent="0.2">
      <c r="A246" s="1025" t="str">
        <f t="shared" si="6"/>
        <v>41TG-C 7000 AMR</v>
      </c>
      <c r="B246" s="1025" t="str">
        <f t="shared" si="7"/>
        <v>AMR</v>
      </c>
      <c r="C246" s="1025" t="s">
        <v>908</v>
      </c>
      <c r="D246" s="1048" t="s">
        <v>1852</v>
      </c>
      <c r="E246" s="1025">
        <v>7000</v>
      </c>
      <c r="F246" s="1025">
        <v>4</v>
      </c>
      <c r="G246" s="1025">
        <v>5.0000000000000001E-4</v>
      </c>
    </row>
    <row r="247" spans="1:7" x14ac:dyDescent="0.2">
      <c r="A247" s="1025" t="str">
        <f t="shared" si="6"/>
        <v>41TG-C 16000 AMR</v>
      </c>
      <c r="B247" s="1025" t="str">
        <f t="shared" si="7"/>
        <v>AMR</v>
      </c>
      <c r="C247" s="1025" t="s">
        <v>908</v>
      </c>
      <c r="D247" s="1048" t="s">
        <v>1852</v>
      </c>
      <c r="E247" s="1025">
        <v>16000</v>
      </c>
      <c r="F247" s="1025">
        <v>1</v>
      </c>
      <c r="G247" s="1025">
        <v>1E-4</v>
      </c>
    </row>
    <row r="248" spans="1:7" x14ac:dyDescent="0.2">
      <c r="A248" s="1025" t="str">
        <f t="shared" si="6"/>
        <v xml:space="preserve">41TG-I 2300 </v>
      </c>
      <c r="B248" s="1025" t="str">
        <f t="shared" si="7"/>
        <v/>
      </c>
      <c r="C248" s="1025" t="s">
        <v>919</v>
      </c>
      <c r="E248" s="1025">
        <v>2300</v>
      </c>
      <c r="F248" s="1025">
        <v>2</v>
      </c>
      <c r="G248" s="1025">
        <v>2.9999999999999997E-4</v>
      </c>
    </row>
    <row r="249" spans="1:7" x14ac:dyDescent="0.2">
      <c r="A249" s="1025" t="str">
        <f t="shared" si="6"/>
        <v xml:space="preserve">41TG-I 5000 </v>
      </c>
      <c r="B249" s="1025" t="str">
        <f t="shared" si="7"/>
        <v/>
      </c>
      <c r="C249" s="1025" t="s">
        <v>919</v>
      </c>
      <c r="E249" s="1025">
        <v>5000</v>
      </c>
      <c r="F249" s="1025">
        <v>3</v>
      </c>
      <c r="G249" s="1025">
        <v>4.0000000000000002E-4</v>
      </c>
    </row>
    <row r="250" spans="1:7" x14ac:dyDescent="0.2">
      <c r="A250" s="1025" t="str">
        <f t="shared" si="6"/>
        <v xml:space="preserve">41TG-I 11000 </v>
      </c>
      <c r="B250" s="1025" t="str">
        <f t="shared" si="7"/>
        <v/>
      </c>
      <c r="C250" s="1025" t="s">
        <v>919</v>
      </c>
      <c r="E250" s="1025">
        <v>11000</v>
      </c>
      <c r="F250" s="1025">
        <v>2</v>
      </c>
      <c r="G250" s="1025">
        <v>2.9999999999999997E-4</v>
      </c>
    </row>
    <row r="251" spans="1:7" x14ac:dyDescent="0.2">
      <c r="A251" s="1025" t="str">
        <f t="shared" si="6"/>
        <v xml:space="preserve">41TG-I 16000 </v>
      </c>
      <c r="B251" s="1025" t="str">
        <f t="shared" si="7"/>
        <v/>
      </c>
      <c r="C251" s="1025" t="s">
        <v>919</v>
      </c>
      <c r="E251" s="1025">
        <v>16000</v>
      </c>
      <c r="F251" s="1025">
        <v>1</v>
      </c>
      <c r="G251" s="1025">
        <v>1E-4</v>
      </c>
    </row>
    <row r="252" spans="1:7" x14ac:dyDescent="0.2">
      <c r="A252" s="1025" t="str">
        <f t="shared" si="6"/>
        <v xml:space="preserve">41TG-I 18000 </v>
      </c>
      <c r="B252" s="1025" t="str">
        <f t="shared" si="7"/>
        <v/>
      </c>
      <c r="C252" s="1025" t="s">
        <v>919</v>
      </c>
      <c r="E252" s="1025">
        <v>18000</v>
      </c>
      <c r="F252" s="1025">
        <v>1</v>
      </c>
      <c r="G252" s="1025">
        <v>1E-4</v>
      </c>
    </row>
    <row r="253" spans="1:7" x14ac:dyDescent="0.2">
      <c r="A253" s="1025" t="str">
        <f t="shared" si="6"/>
        <v xml:space="preserve">41TG-I 23000 </v>
      </c>
      <c r="B253" s="1025" t="str">
        <f t="shared" si="7"/>
        <v/>
      </c>
      <c r="C253" s="1025" t="s">
        <v>919</v>
      </c>
      <c r="E253" s="1025">
        <v>23000</v>
      </c>
      <c r="F253" s="1025">
        <v>1</v>
      </c>
      <c r="G253" s="1025">
        <v>1E-4</v>
      </c>
    </row>
    <row r="254" spans="1:7" x14ac:dyDescent="0.2">
      <c r="A254" s="1025" t="str">
        <f t="shared" si="6"/>
        <v xml:space="preserve">41TG-I 30000 </v>
      </c>
      <c r="B254" s="1025" t="str">
        <f t="shared" si="7"/>
        <v/>
      </c>
      <c r="C254" s="1025" t="s">
        <v>919</v>
      </c>
      <c r="E254" s="1025">
        <v>30000</v>
      </c>
      <c r="F254" s="1025">
        <v>1</v>
      </c>
      <c r="G254" s="1025">
        <v>1E-4</v>
      </c>
    </row>
    <row r="255" spans="1:7" x14ac:dyDescent="0.2">
      <c r="A255" s="1025" t="str">
        <f t="shared" si="6"/>
        <v xml:space="preserve">41TG-I 60000 </v>
      </c>
      <c r="B255" s="1025" t="str">
        <f t="shared" si="7"/>
        <v/>
      </c>
      <c r="C255" s="1025" t="s">
        <v>919</v>
      </c>
      <c r="E255" s="1025">
        <v>60000</v>
      </c>
      <c r="F255" s="1025">
        <v>1</v>
      </c>
      <c r="G255" s="1025">
        <v>1E-4</v>
      </c>
    </row>
    <row r="256" spans="1:7" x14ac:dyDescent="0.2">
      <c r="A256" s="1025" t="str">
        <f t="shared" si="6"/>
        <v xml:space="preserve">41TG-I 11000 </v>
      </c>
      <c r="B256" s="1025" t="str">
        <f t="shared" si="7"/>
        <v/>
      </c>
      <c r="C256" s="1025" t="s">
        <v>919</v>
      </c>
      <c r="E256" s="1025">
        <v>11000</v>
      </c>
      <c r="F256" s="1025">
        <v>1</v>
      </c>
      <c r="G256" s="1025">
        <v>1E-4</v>
      </c>
    </row>
    <row r="257" spans="1:7" x14ac:dyDescent="0.2">
      <c r="A257" s="1025" t="str">
        <f t="shared" si="6"/>
        <v xml:space="preserve">41TG-I 16000 </v>
      </c>
      <c r="B257" s="1025" t="str">
        <f t="shared" si="7"/>
        <v/>
      </c>
      <c r="C257" s="1025" t="s">
        <v>919</v>
      </c>
      <c r="E257" s="1025">
        <v>16000</v>
      </c>
      <c r="F257" s="1025">
        <v>4</v>
      </c>
      <c r="G257" s="1025">
        <v>5.0000000000000001E-4</v>
      </c>
    </row>
    <row r="258" spans="1:7" x14ac:dyDescent="0.2">
      <c r="A258" s="1025" t="str">
        <f t="shared" si="6"/>
        <v>41TG-I 11000 AMR</v>
      </c>
      <c r="B258" s="1025" t="str">
        <f t="shared" si="7"/>
        <v>AMR</v>
      </c>
      <c r="C258" s="1025" t="s">
        <v>919</v>
      </c>
      <c r="D258" s="1048" t="s">
        <v>1852</v>
      </c>
      <c r="E258" s="1025">
        <v>11000</v>
      </c>
      <c r="F258" s="1025">
        <v>1</v>
      </c>
      <c r="G258" s="1025">
        <v>1E-4</v>
      </c>
    </row>
    <row r="259" spans="1:7" x14ac:dyDescent="0.2">
      <c r="A259" s="1025" t="str">
        <f t="shared" ref="A259:A322" si="8">C259&amp;" "&amp;E259&amp;" "&amp;B259</f>
        <v>53P 175 AMR</v>
      </c>
      <c r="B259" s="1025" t="str">
        <f t="shared" ref="B259:B322" si="9">IF(OR($D259="CellNet",$D259="Metretek"),"AMR","")</f>
        <v>AMR</v>
      </c>
      <c r="C259" s="1025" t="s">
        <v>935</v>
      </c>
      <c r="D259" s="1025" t="s">
        <v>1851</v>
      </c>
      <c r="E259" s="1025">
        <v>175</v>
      </c>
      <c r="F259" s="1025">
        <v>3</v>
      </c>
      <c r="G259" s="1025">
        <v>4.0000000000000002E-4</v>
      </c>
    </row>
    <row r="260" spans="1:7" x14ac:dyDescent="0.2">
      <c r="A260" s="1025" t="str">
        <f t="shared" si="8"/>
        <v>53P 250 AMR</v>
      </c>
      <c r="B260" s="1025" t="str">
        <f t="shared" si="9"/>
        <v>AMR</v>
      </c>
      <c r="C260" s="1025" t="s">
        <v>935</v>
      </c>
      <c r="D260" s="1025" t="s">
        <v>1851</v>
      </c>
      <c r="E260" s="1025">
        <v>250</v>
      </c>
      <c r="F260" s="1025">
        <v>1</v>
      </c>
      <c r="G260" s="1025">
        <v>1E-4</v>
      </c>
    </row>
    <row r="261" spans="1:7" x14ac:dyDescent="0.2">
      <c r="A261" s="1025" t="str">
        <f t="shared" si="8"/>
        <v>53P 425 AMR</v>
      </c>
      <c r="B261" s="1025" t="str">
        <f t="shared" si="9"/>
        <v>AMR</v>
      </c>
      <c r="C261" s="1025" t="s">
        <v>935</v>
      </c>
      <c r="D261" s="1025" t="s">
        <v>1851</v>
      </c>
      <c r="E261" s="1025">
        <v>425</v>
      </c>
      <c r="F261" s="1025">
        <v>1</v>
      </c>
      <c r="G261" s="1025">
        <v>1E-4</v>
      </c>
    </row>
    <row r="262" spans="1:7" x14ac:dyDescent="0.2">
      <c r="A262" s="1025" t="str">
        <f t="shared" si="8"/>
        <v xml:space="preserve">85G-C3 5000 </v>
      </c>
      <c r="B262" s="1025" t="str">
        <f t="shared" si="9"/>
        <v/>
      </c>
      <c r="C262" s="1025" t="s">
        <v>910</v>
      </c>
      <c r="E262" s="1025">
        <v>5000</v>
      </c>
      <c r="F262" s="1025">
        <v>4</v>
      </c>
      <c r="G262" s="1025">
        <v>5.0000000000000001E-4</v>
      </c>
    </row>
    <row r="263" spans="1:7" x14ac:dyDescent="0.2">
      <c r="A263" s="1025" t="str">
        <f t="shared" si="8"/>
        <v xml:space="preserve">85G-C3 7000 </v>
      </c>
      <c r="B263" s="1025" t="str">
        <f t="shared" si="9"/>
        <v/>
      </c>
      <c r="C263" s="1025" t="s">
        <v>910</v>
      </c>
      <c r="E263" s="1025">
        <v>7000</v>
      </c>
      <c r="F263" s="1025">
        <v>2</v>
      </c>
      <c r="G263" s="1025">
        <v>2.9999999999999997E-4</v>
      </c>
    </row>
    <row r="264" spans="1:7" x14ac:dyDescent="0.2">
      <c r="A264" s="1025" t="str">
        <f t="shared" si="8"/>
        <v xml:space="preserve">85G-C3 11000 </v>
      </c>
      <c r="B264" s="1025" t="str">
        <f t="shared" si="9"/>
        <v/>
      </c>
      <c r="C264" s="1025" t="s">
        <v>910</v>
      </c>
      <c r="E264" s="1025">
        <v>11000</v>
      </c>
      <c r="F264" s="1025">
        <v>4</v>
      </c>
      <c r="G264" s="1025">
        <v>5.0000000000000001E-4</v>
      </c>
    </row>
    <row r="265" spans="1:7" x14ac:dyDescent="0.2">
      <c r="A265" s="1025" t="str">
        <f t="shared" si="8"/>
        <v xml:space="preserve">85G-C3 16000 </v>
      </c>
      <c r="B265" s="1025" t="str">
        <f t="shared" si="9"/>
        <v/>
      </c>
      <c r="C265" s="1025" t="s">
        <v>910</v>
      </c>
      <c r="E265" s="1025">
        <v>16000</v>
      </c>
      <c r="F265" s="1025">
        <v>4</v>
      </c>
      <c r="G265" s="1025">
        <v>5.0000000000000001E-4</v>
      </c>
    </row>
    <row r="266" spans="1:7" x14ac:dyDescent="0.2">
      <c r="A266" s="1025" t="str">
        <f t="shared" si="8"/>
        <v xml:space="preserve">85G-C3 23000 </v>
      </c>
      <c r="B266" s="1025" t="str">
        <f t="shared" si="9"/>
        <v/>
      </c>
      <c r="C266" s="1025" t="s">
        <v>910</v>
      </c>
      <c r="E266" s="1025">
        <v>23000</v>
      </c>
      <c r="F266" s="1025">
        <v>4</v>
      </c>
      <c r="G266" s="1025">
        <v>5.0000000000000001E-4</v>
      </c>
    </row>
    <row r="267" spans="1:7" x14ac:dyDescent="0.2">
      <c r="A267" s="1025" t="str">
        <f t="shared" si="8"/>
        <v xml:space="preserve">85G-C3 30000 </v>
      </c>
      <c r="B267" s="1025" t="str">
        <f t="shared" si="9"/>
        <v/>
      </c>
      <c r="C267" s="1025" t="s">
        <v>910</v>
      </c>
      <c r="E267" s="1025">
        <v>30000</v>
      </c>
      <c r="F267" s="1025">
        <v>1</v>
      </c>
      <c r="G267" s="1025">
        <v>1E-4</v>
      </c>
    </row>
    <row r="268" spans="1:7" x14ac:dyDescent="0.2">
      <c r="A268" s="1025" t="str">
        <f t="shared" si="8"/>
        <v xml:space="preserve">85G-C3 60000 </v>
      </c>
      <c r="B268" s="1025" t="str">
        <f t="shared" si="9"/>
        <v/>
      </c>
      <c r="C268" s="1025" t="s">
        <v>910</v>
      </c>
      <c r="E268" s="1025">
        <v>60000</v>
      </c>
      <c r="F268" s="1025">
        <v>3</v>
      </c>
      <c r="G268" s="1025">
        <v>4.0000000000000002E-4</v>
      </c>
    </row>
    <row r="269" spans="1:7" x14ac:dyDescent="0.2">
      <c r="A269" s="1025" t="str">
        <f t="shared" si="8"/>
        <v xml:space="preserve">85G-C3 150 </v>
      </c>
      <c r="B269" s="1025" t="str">
        <f t="shared" si="9"/>
        <v/>
      </c>
      <c r="C269" s="1025" t="s">
        <v>910</v>
      </c>
      <c r="E269" s="1025">
        <v>150</v>
      </c>
      <c r="F269" s="1025">
        <v>1</v>
      </c>
      <c r="G269" s="1025">
        <v>1E-4</v>
      </c>
    </row>
    <row r="270" spans="1:7" x14ac:dyDescent="0.2">
      <c r="A270" s="1025" t="str">
        <f t="shared" si="8"/>
        <v xml:space="preserve">85G-C3 3000 </v>
      </c>
      <c r="B270" s="1025" t="str">
        <f t="shared" si="9"/>
        <v/>
      </c>
      <c r="C270" s="1025" t="s">
        <v>910</v>
      </c>
      <c r="E270" s="1025">
        <v>3000</v>
      </c>
      <c r="F270" s="1025">
        <v>3</v>
      </c>
      <c r="G270" s="1025">
        <v>4.0000000000000002E-4</v>
      </c>
    </row>
    <row r="271" spans="1:7" x14ac:dyDescent="0.2">
      <c r="A271" s="1025" t="str">
        <f t="shared" si="8"/>
        <v xml:space="preserve">85G-C3 11000 </v>
      </c>
      <c r="B271" s="1025" t="str">
        <f t="shared" si="9"/>
        <v/>
      </c>
      <c r="C271" s="1025" t="s">
        <v>910</v>
      </c>
      <c r="E271" s="1025">
        <v>11000</v>
      </c>
      <c r="F271" s="1025">
        <v>2</v>
      </c>
      <c r="G271" s="1025">
        <v>2.9999999999999997E-4</v>
      </c>
    </row>
    <row r="272" spans="1:7" x14ac:dyDescent="0.2">
      <c r="A272" s="1025" t="str">
        <f t="shared" si="8"/>
        <v xml:space="preserve">85G-C3 16000 </v>
      </c>
      <c r="B272" s="1025" t="str">
        <f t="shared" si="9"/>
        <v/>
      </c>
      <c r="C272" s="1025" t="s">
        <v>910</v>
      </c>
      <c r="E272" s="1025">
        <v>16000</v>
      </c>
      <c r="F272" s="1025">
        <v>4</v>
      </c>
      <c r="G272" s="1025">
        <v>5.0000000000000001E-4</v>
      </c>
    </row>
    <row r="273" spans="1:7" x14ac:dyDescent="0.2">
      <c r="A273" s="1025" t="str">
        <f t="shared" si="8"/>
        <v xml:space="preserve">85G-C3 23000 </v>
      </c>
      <c r="B273" s="1025" t="str">
        <f t="shared" si="9"/>
        <v/>
      </c>
      <c r="C273" s="1025" t="s">
        <v>910</v>
      </c>
      <c r="E273" s="1025">
        <v>23000</v>
      </c>
      <c r="F273" s="1025">
        <v>1</v>
      </c>
      <c r="G273" s="1025">
        <v>1E-4</v>
      </c>
    </row>
    <row r="274" spans="1:7" x14ac:dyDescent="0.2">
      <c r="A274" s="1025" t="str">
        <f t="shared" si="8"/>
        <v xml:space="preserve">85G-C3 30000 </v>
      </c>
      <c r="B274" s="1025" t="str">
        <f t="shared" si="9"/>
        <v/>
      </c>
      <c r="C274" s="1025" t="s">
        <v>910</v>
      </c>
      <c r="E274" s="1025">
        <v>30000</v>
      </c>
      <c r="F274" s="1025">
        <v>1</v>
      </c>
      <c r="G274" s="1025">
        <v>1E-4</v>
      </c>
    </row>
    <row r="275" spans="1:7" x14ac:dyDescent="0.2">
      <c r="A275" s="1025" t="str">
        <f t="shared" si="8"/>
        <v>85G-C3 11000 AMR</v>
      </c>
      <c r="B275" s="1025" t="str">
        <f t="shared" si="9"/>
        <v>AMR</v>
      </c>
      <c r="C275" s="1025" t="s">
        <v>910</v>
      </c>
      <c r="D275" s="1048" t="s">
        <v>1852</v>
      </c>
      <c r="E275" s="1025">
        <v>11000</v>
      </c>
      <c r="F275" s="1025">
        <v>1</v>
      </c>
      <c r="G275" s="1025">
        <v>1E-4</v>
      </c>
    </row>
    <row r="276" spans="1:7" x14ac:dyDescent="0.2">
      <c r="A276" s="1025" t="str">
        <f t="shared" si="8"/>
        <v xml:space="preserve">85G-I3 7000 </v>
      </c>
      <c r="B276" s="1025" t="str">
        <f t="shared" si="9"/>
        <v/>
      </c>
      <c r="C276" s="1025" t="s">
        <v>920</v>
      </c>
      <c r="E276" s="1025">
        <v>7000</v>
      </c>
      <c r="F276" s="1025">
        <v>2</v>
      </c>
      <c r="G276" s="1025">
        <v>2.9999999999999997E-4</v>
      </c>
    </row>
    <row r="277" spans="1:7" x14ac:dyDescent="0.2">
      <c r="A277" s="1025" t="str">
        <f t="shared" si="8"/>
        <v xml:space="preserve">85G-I3 11000 </v>
      </c>
      <c r="B277" s="1025" t="str">
        <f t="shared" si="9"/>
        <v/>
      </c>
      <c r="C277" s="1025" t="s">
        <v>920</v>
      </c>
      <c r="E277" s="1025">
        <v>11000</v>
      </c>
      <c r="F277" s="1025">
        <v>3</v>
      </c>
      <c r="G277" s="1025">
        <v>4.0000000000000002E-4</v>
      </c>
    </row>
    <row r="278" spans="1:7" x14ac:dyDescent="0.2">
      <c r="A278" s="1025" t="str">
        <f t="shared" si="8"/>
        <v xml:space="preserve">85G-I3 16000 </v>
      </c>
      <c r="B278" s="1025" t="str">
        <f t="shared" si="9"/>
        <v/>
      </c>
      <c r="C278" s="1025" t="s">
        <v>920</v>
      </c>
      <c r="E278" s="1025">
        <v>16000</v>
      </c>
      <c r="F278" s="1025">
        <v>1</v>
      </c>
      <c r="G278" s="1025">
        <v>1E-4</v>
      </c>
    </row>
    <row r="279" spans="1:7" x14ac:dyDescent="0.2">
      <c r="A279" s="1025" t="str">
        <f t="shared" si="8"/>
        <v xml:space="preserve">85G-I3 23000 </v>
      </c>
      <c r="B279" s="1025" t="str">
        <f t="shared" si="9"/>
        <v/>
      </c>
      <c r="C279" s="1025" t="s">
        <v>920</v>
      </c>
      <c r="E279" s="1025">
        <v>23000</v>
      </c>
      <c r="F279" s="1025">
        <v>1</v>
      </c>
      <c r="G279" s="1025">
        <v>1E-4</v>
      </c>
    </row>
    <row r="280" spans="1:7" x14ac:dyDescent="0.2">
      <c r="A280" s="1025" t="str">
        <f t="shared" si="8"/>
        <v xml:space="preserve">85G-I3 60000 </v>
      </c>
      <c r="B280" s="1025" t="str">
        <f t="shared" si="9"/>
        <v/>
      </c>
      <c r="C280" s="1025" t="s">
        <v>920</v>
      </c>
      <c r="E280" s="1025">
        <v>60000</v>
      </c>
      <c r="F280" s="1025">
        <v>1</v>
      </c>
      <c r="G280" s="1025">
        <v>1E-4</v>
      </c>
    </row>
    <row r="281" spans="1:7" x14ac:dyDescent="0.2">
      <c r="A281" s="1025" t="str">
        <f t="shared" si="8"/>
        <v xml:space="preserve">85G-I3 16000 </v>
      </c>
      <c r="B281" s="1025" t="str">
        <f t="shared" si="9"/>
        <v/>
      </c>
      <c r="C281" s="1025" t="s">
        <v>920</v>
      </c>
      <c r="E281" s="1025">
        <v>16000</v>
      </c>
      <c r="F281" s="1025">
        <v>2</v>
      </c>
      <c r="G281" s="1025">
        <v>2.9999999999999997E-4</v>
      </c>
    </row>
    <row r="282" spans="1:7" x14ac:dyDescent="0.2">
      <c r="A282" s="1025" t="str">
        <f t="shared" si="8"/>
        <v xml:space="preserve">85G-I3 60000 </v>
      </c>
      <c r="B282" s="1025" t="str">
        <f t="shared" si="9"/>
        <v/>
      </c>
      <c r="C282" s="1025" t="s">
        <v>920</v>
      </c>
      <c r="E282" s="1025">
        <v>60000</v>
      </c>
      <c r="F282" s="1025">
        <v>1</v>
      </c>
      <c r="G282" s="1025">
        <v>1E-4</v>
      </c>
    </row>
    <row r="283" spans="1:7" x14ac:dyDescent="0.2">
      <c r="A283" s="1025" t="str">
        <f t="shared" si="8"/>
        <v xml:space="preserve">85TG-C 1000 </v>
      </c>
      <c r="B283" s="1025" t="str">
        <f t="shared" si="9"/>
        <v/>
      </c>
      <c r="C283" s="1025" t="s">
        <v>741</v>
      </c>
      <c r="E283" s="1025">
        <v>1000</v>
      </c>
      <c r="F283" s="1025">
        <v>2</v>
      </c>
      <c r="G283" s="1025">
        <v>2.9999999999999997E-4</v>
      </c>
    </row>
    <row r="284" spans="1:7" x14ac:dyDescent="0.2">
      <c r="A284" s="1025" t="str">
        <f t="shared" si="8"/>
        <v xml:space="preserve">85TG-C 3000 </v>
      </c>
      <c r="B284" s="1025" t="str">
        <f t="shared" si="9"/>
        <v/>
      </c>
      <c r="C284" s="1025" t="s">
        <v>741</v>
      </c>
      <c r="E284" s="1025">
        <v>3000</v>
      </c>
      <c r="F284" s="1025">
        <v>1</v>
      </c>
      <c r="G284" s="1025">
        <v>1E-4</v>
      </c>
    </row>
    <row r="285" spans="1:7" x14ac:dyDescent="0.2">
      <c r="A285" s="1025" t="str">
        <f t="shared" si="8"/>
        <v xml:space="preserve">85TG-C 5000 </v>
      </c>
      <c r="B285" s="1025" t="str">
        <f t="shared" si="9"/>
        <v/>
      </c>
      <c r="C285" s="1025" t="s">
        <v>741</v>
      </c>
      <c r="E285" s="1025">
        <v>5000</v>
      </c>
      <c r="F285" s="1025">
        <v>1</v>
      </c>
      <c r="G285" s="1025">
        <v>1E-4</v>
      </c>
    </row>
    <row r="286" spans="1:7" x14ac:dyDescent="0.2">
      <c r="A286" s="1025" t="str">
        <f t="shared" si="8"/>
        <v xml:space="preserve">85TG-C 7000 </v>
      </c>
      <c r="B286" s="1025" t="str">
        <f t="shared" si="9"/>
        <v/>
      </c>
      <c r="C286" s="1025" t="s">
        <v>741</v>
      </c>
      <c r="E286" s="1025">
        <v>7000</v>
      </c>
      <c r="F286" s="1025">
        <v>1</v>
      </c>
      <c r="G286" s="1025">
        <v>1E-4</v>
      </c>
    </row>
    <row r="287" spans="1:7" x14ac:dyDescent="0.2">
      <c r="A287" s="1025" t="str">
        <f t="shared" si="8"/>
        <v xml:space="preserve">85TG-C 11000 </v>
      </c>
      <c r="B287" s="1025" t="str">
        <f t="shared" si="9"/>
        <v/>
      </c>
      <c r="C287" s="1025" t="s">
        <v>741</v>
      </c>
      <c r="E287" s="1025">
        <v>11000</v>
      </c>
      <c r="F287" s="1025">
        <v>1</v>
      </c>
      <c r="G287" s="1025">
        <v>1E-4</v>
      </c>
    </row>
    <row r="288" spans="1:7" x14ac:dyDescent="0.2">
      <c r="A288" s="1025" t="str">
        <f t="shared" si="8"/>
        <v xml:space="preserve">85TG-C 16000 </v>
      </c>
      <c r="B288" s="1025" t="str">
        <f t="shared" si="9"/>
        <v/>
      </c>
      <c r="C288" s="1025" t="s">
        <v>741</v>
      </c>
      <c r="E288" s="1025">
        <v>16000</v>
      </c>
      <c r="F288" s="1025">
        <v>6</v>
      </c>
      <c r="G288" s="1025">
        <v>8.0000000000000004E-4</v>
      </c>
    </row>
    <row r="289" spans="1:7" x14ac:dyDescent="0.2">
      <c r="A289" s="1025" t="str">
        <f t="shared" si="8"/>
        <v xml:space="preserve">85TG-C 18000 </v>
      </c>
      <c r="B289" s="1025" t="str">
        <f t="shared" si="9"/>
        <v/>
      </c>
      <c r="C289" s="1025" t="s">
        <v>741</v>
      </c>
      <c r="E289" s="1025">
        <v>18000</v>
      </c>
      <c r="F289" s="1025">
        <v>1</v>
      </c>
      <c r="G289" s="1025">
        <v>1E-4</v>
      </c>
    </row>
    <row r="290" spans="1:7" x14ac:dyDescent="0.2">
      <c r="A290" s="1025" t="str">
        <f t="shared" si="8"/>
        <v xml:space="preserve">85TG-C 23000 </v>
      </c>
      <c r="B290" s="1025" t="str">
        <f t="shared" si="9"/>
        <v/>
      </c>
      <c r="C290" s="1025" t="s">
        <v>741</v>
      </c>
      <c r="E290" s="1025">
        <v>23000</v>
      </c>
      <c r="F290" s="1025">
        <v>3</v>
      </c>
      <c r="G290" s="1025">
        <v>4.0000000000000002E-4</v>
      </c>
    </row>
    <row r="291" spans="1:7" x14ac:dyDescent="0.2">
      <c r="A291" s="1025" t="str">
        <f t="shared" si="8"/>
        <v xml:space="preserve">85TG-C 30000 </v>
      </c>
      <c r="B291" s="1025" t="str">
        <f t="shared" si="9"/>
        <v/>
      </c>
      <c r="C291" s="1025" t="s">
        <v>741</v>
      </c>
      <c r="E291" s="1025">
        <v>30000</v>
      </c>
      <c r="F291" s="1025">
        <v>3</v>
      </c>
      <c r="G291" s="1025">
        <v>4.0000000000000002E-4</v>
      </c>
    </row>
    <row r="292" spans="1:7" x14ac:dyDescent="0.2">
      <c r="A292" s="1025" t="str">
        <f t="shared" si="8"/>
        <v xml:space="preserve">85TG-C 60000 </v>
      </c>
      <c r="B292" s="1025" t="str">
        <f t="shared" si="9"/>
        <v/>
      </c>
      <c r="C292" s="1025" t="s">
        <v>741</v>
      </c>
      <c r="E292" s="1025">
        <v>60000</v>
      </c>
      <c r="F292" s="1025">
        <v>4</v>
      </c>
      <c r="G292" s="1025">
        <v>5.0000000000000001E-4</v>
      </c>
    </row>
    <row r="293" spans="1:7" x14ac:dyDescent="0.2">
      <c r="A293" s="1025" t="str">
        <f t="shared" si="8"/>
        <v xml:space="preserve">85TG-C 150000 </v>
      </c>
      <c r="B293" s="1025" t="str">
        <f t="shared" si="9"/>
        <v/>
      </c>
      <c r="C293" s="1025" t="s">
        <v>741</v>
      </c>
      <c r="E293" s="1025">
        <v>150000</v>
      </c>
      <c r="F293" s="1025">
        <v>1</v>
      </c>
      <c r="G293" s="1025">
        <v>1E-4</v>
      </c>
    </row>
    <row r="294" spans="1:7" x14ac:dyDescent="0.2">
      <c r="A294" s="1025" t="str">
        <f t="shared" si="8"/>
        <v xml:space="preserve">85TG-C 3000 </v>
      </c>
      <c r="B294" s="1025" t="str">
        <f t="shared" si="9"/>
        <v/>
      </c>
      <c r="C294" s="1025" t="s">
        <v>741</v>
      </c>
      <c r="E294" s="1025">
        <v>3000</v>
      </c>
      <c r="F294" s="1025">
        <v>1</v>
      </c>
      <c r="G294" s="1025">
        <v>1E-4</v>
      </c>
    </row>
    <row r="295" spans="1:7" x14ac:dyDescent="0.2">
      <c r="A295" s="1025" t="str">
        <f t="shared" si="8"/>
        <v xml:space="preserve">85TG-C 7000 </v>
      </c>
      <c r="B295" s="1025" t="str">
        <f t="shared" si="9"/>
        <v/>
      </c>
      <c r="C295" s="1025" t="s">
        <v>741</v>
      </c>
      <c r="E295" s="1025">
        <v>7000</v>
      </c>
      <c r="F295" s="1025">
        <v>1</v>
      </c>
      <c r="G295" s="1025">
        <v>1E-4</v>
      </c>
    </row>
    <row r="296" spans="1:7" x14ac:dyDescent="0.2">
      <c r="A296" s="1025" t="str">
        <f t="shared" si="8"/>
        <v xml:space="preserve">85TG-C 11000 </v>
      </c>
      <c r="B296" s="1025" t="str">
        <f t="shared" si="9"/>
        <v/>
      </c>
      <c r="C296" s="1025" t="s">
        <v>741</v>
      </c>
      <c r="E296" s="1025">
        <v>11000</v>
      </c>
      <c r="F296" s="1025">
        <v>1</v>
      </c>
      <c r="G296" s="1025">
        <v>1E-4</v>
      </c>
    </row>
    <row r="297" spans="1:7" x14ac:dyDescent="0.2">
      <c r="A297" s="1025" t="str">
        <f t="shared" si="8"/>
        <v xml:space="preserve">85TG-C 16000 </v>
      </c>
      <c r="B297" s="1025" t="str">
        <f t="shared" si="9"/>
        <v/>
      </c>
      <c r="C297" s="1025" t="s">
        <v>741</v>
      </c>
      <c r="E297" s="1025">
        <v>16000</v>
      </c>
      <c r="F297" s="1025">
        <v>6</v>
      </c>
      <c r="G297" s="1025">
        <v>8.0000000000000004E-4</v>
      </c>
    </row>
    <row r="298" spans="1:7" x14ac:dyDescent="0.2">
      <c r="A298" s="1025" t="str">
        <f t="shared" si="8"/>
        <v xml:space="preserve">85TG-C 23000 </v>
      </c>
      <c r="B298" s="1025" t="str">
        <f t="shared" si="9"/>
        <v/>
      </c>
      <c r="C298" s="1025" t="s">
        <v>741</v>
      </c>
      <c r="E298" s="1025">
        <v>23000</v>
      </c>
      <c r="F298" s="1025">
        <v>3</v>
      </c>
      <c r="G298" s="1025">
        <v>4.0000000000000002E-4</v>
      </c>
    </row>
    <row r="299" spans="1:7" x14ac:dyDescent="0.2">
      <c r="A299" s="1025" t="str">
        <f t="shared" si="8"/>
        <v xml:space="preserve">85TG-C 30000 </v>
      </c>
      <c r="B299" s="1025" t="str">
        <f t="shared" si="9"/>
        <v/>
      </c>
      <c r="C299" s="1025" t="s">
        <v>741</v>
      </c>
      <c r="E299" s="1025">
        <v>30000</v>
      </c>
      <c r="F299" s="1025">
        <v>2</v>
      </c>
      <c r="G299" s="1025">
        <v>2.9999999999999997E-4</v>
      </c>
    </row>
    <row r="300" spans="1:7" x14ac:dyDescent="0.2">
      <c r="A300" s="1025" t="str">
        <f t="shared" si="8"/>
        <v>85TG-C 5000 AMR</v>
      </c>
      <c r="B300" s="1025" t="str">
        <f t="shared" si="9"/>
        <v>AMR</v>
      </c>
      <c r="C300" s="1025" t="s">
        <v>741</v>
      </c>
      <c r="D300" s="1025" t="s">
        <v>1851</v>
      </c>
      <c r="E300" s="1025">
        <v>5000</v>
      </c>
      <c r="F300" s="1025">
        <v>1</v>
      </c>
      <c r="G300" s="1025">
        <v>1E-4</v>
      </c>
    </row>
    <row r="301" spans="1:7" x14ac:dyDescent="0.2">
      <c r="A301" s="1025" t="str">
        <f t="shared" si="8"/>
        <v xml:space="preserve">85TG-I 3000 </v>
      </c>
      <c r="B301" s="1025" t="str">
        <f t="shared" si="9"/>
        <v/>
      </c>
      <c r="C301" s="1025" t="s">
        <v>742</v>
      </c>
      <c r="E301" s="1025">
        <v>3000</v>
      </c>
      <c r="F301" s="1025">
        <v>2</v>
      </c>
      <c r="G301" s="1025">
        <v>2.9999999999999997E-4</v>
      </c>
    </row>
    <row r="302" spans="1:7" x14ac:dyDescent="0.2">
      <c r="A302" s="1025" t="str">
        <f t="shared" si="8"/>
        <v xml:space="preserve">85TG-I 5000 </v>
      </c>
      <c r="B302" s="1025" t="str">
        <f t="shared" si="9"/>
        <v/>
      </c>
      <c r="C302" s="1025" t="s">
        <v>742</v>
      </c>
      <c r="E302" s="1025">
        <v>5000</v>
      </c>
      <c r="F302" s="1025">
        <v>2</v>
      </c>
      <c r="G302" s="1025">
        <v>2.9999999999999997E-4</v>
      </c>
    </row>
    <row r="303" spans="1:7" x14ac:dyDescent="0.2">
      <c r="A303" s="1025" t="str">
        <f t="shared" si="8"/>
        <v xml:space="preserve">85TG-I 7000 </v>
      </c>
      <c r="B303" s="1025" t="str">
        <f t="shared" si="9"/>
        <v/>
      </c>
      <c r="C303" s="1025" t="s">
        <v>742</v>
      </c>
      <c r="E303" s="1025">
        <v>7000</v>
      </c>
      <c r="F303" s="1025">
        <v>1</v>
      </c>
      <c r="G303" s="1025">
        <v>1E-4</v>
      </c>
    </row>
    <row r="304" spans="1:7" x14ac:dyDescent="0.2">
      <c r="A304" s="1025" t="str">
        <f t="shared" si="8"/>
        <v xml:space="preserve">85TG-I 11000 </v>
      </c>
      <c r="B304" s="1025" t="str">
        <f t="shared" si="9"/>
        <v/>
      </c>
      <c r="C304" s="1025" t="s">
        <v>742</v>
      </c>
      <c r="E304" s="1025">
        <v>11000</v>
      </c>
      <c r="F304" s="1025">
        <v>7</v>
      </c>
      <c r="G304" s="1025">
        <v>8.9999999999999998E-4</v>
      </c>
    </row>
    <row r="305" spans="1:7" x14ac:dyDescent="0.2">
      <c r="A305" s="1025" t="str">
        <f t="shared" si="8"/>
        <v xml:space="preserve">85TG-I 16000 </v>
      </c>
      <c r="B305" s="1025" t="str">
        <f t="shared" si="9"/>
        <v/>
      </c>
      <c r="C305" s="1025" t="s">
        <v>742</v>
      </c>
      <c r="E305" s="1025">
        <v>16000</v>
      </c>
      <c r="F305" s="1025">
        <v>13</v>
      </c>
      <c r="G305" s="1025">
        <v>1.6999999999999999E-3</v>
      </c>
    </row>
    <row r="306" spans="1:7" x14ac:dyDescent="0.2">
      <c r="A306" s="1025" t="str">
        <f t="shared" si="8"/>
        <v xml:space="preserve">85TG-I 18000 </v>
      </c>
      <c r="B306" s="1025" t="str">
        <f t="shared" si="9"/>
        <v/>
      </c>
      <c r="C306" s="1025" t="s">
        <v>742</v>
      </c>
      <c r="E306" s="1025">
        <v>18000</v>
      </c>
      <c r="F306" s="1025">
        <v>4</v>
      </c>
      <c r="G306" s="1025">
        <v>5.0000000000000001E-4</v>
      </c>
    </row>
    <row r="307" spans="1:7" x14ac:dyDescent="0.2">
      <c r="A307" s="1025" t="str">
        <f t="shared" si="8"/>
        <v xml:space="preserve">85TG-I 23000 </v>
      </c>
      <c r="B307" s="1025" t="str">
        <f t="shared" si="9"/>
        <v/>
      </c>
      <c r="C307" s="1025" t="s">
        <v>742</v>
      </c>
      <c r="E307" s="1025">
        <v>23000</v>
      </c>
      <c r="F307" s="1025">
        <v>3</v>
      </c>
      <c r="G307" s="1025">
        <v>4.0000000000000002E-4</v>
      </c>
    </row>
    <row r="308" spans="1:7" x14ac:dyDescent="0.2">
      <c r="A308" s="1025" t="str">
        <f t="shared" si="8"/>
        <v xml:space="preserve">85TG-I 30000 </v>
      </c>
      <c r="B308" s="1025" t="str">
        <f t="shared" si="9"/>
        <v/>
      </c>
      <c r="C308" s="1025" t="s">
        <v>742</v>
      </c>
      <c r="E308" s="1025">
        <v>30000</v>
      </c>
      <c r="F308" s="1025">
        <v>7</v>
      </c>
      <c r="G308" s="1025">
        <v>8.9999999999999998E-4</v>
      </c>
    </row>
    <row r="309" spans="1:7" x14ac:dyDescent="0.2">
      <c r="A309" s="1025" t="str">
        <f t="shared" si="8"/>
        <v xml:space="preserve">85TG-I 60000 </v>
      </c>
      <c r="B309" s="1025" t="str">
        <f t="shared" si="9"/>
        <v/>
      </c>
      <c r="C309" s="1025" t="s">
        <v>742</v>
      </c>
      <c r="E309" s="1025">
        <v>60000</v>
      </c>
      <c r="F309" s="1025">
        <v>11</v>
      </c>
      <c r="G309" s="1025">
        <v>1.4E-3</v>
      </c>
    </row>
    <row r="310" spans="1:7" x14ac:dyDescent="0.2">
      <c r="A310" s="1025" t="str">
        <f t="shared" si="8"/>
        <v xml:space="preserve">85TG-I 150000 </v>
      </c>
      <c r="B310" s="1025" t="str">
        <f t="shared" si="9"/>
        <v/>
      </c>
      <c r="C310" s="1025" t="s">
        <v>742</v>
      </c>
      <c r="E310" s="1025">
        <v>150000</v>
      </c>
      <c r="F310" s="1025">
        <v>2</v>
      </c>
      <c r="G310" s="1025">
        <v>2.9999999999999997E-4</v>
      </c>
    </row>
    <row r="311" spans="1:7" x14ac:dyDescent="0.2">
      <c r="A311" s="1025" t="str">
        <f t="shared" si="8"/>
        <v xml:space="preserve">85TG-I 3000 </v>
      </c>
      <c r="B311" s="1025" t="str">
        <f t="shared" si="9"/>
        <v/>
      </c>
      <c r="C311" s="1025" t="s">
        <v>742</v>
      </c>
      <c r="E311" s="1025">
        <v>3000</v>
      </c>
      <c r="F311" s="1025">
        <v>3</v>
      </c>
      <c r="G311" s="1025">
        <v>4.0000000000000002E-4</v>
      </c>
    </row>
    <row r="312" spans="1:7" x14ac:dyDescent="0.2">
      <c r="A312" s="1025" t="str">
        <f t="shared" si="8"/>
        <v xml:space="preserve">85TG-I 11000 </v>
      </c>
      <c r="B312" s="1025" t="str">
        <f t="shared" si="9"/>
        <v/>
      </c>
      <c r="C312" s="1025" t="s">
        <v>742</v>
      </c>
      <c r="E312" s="1025">
        <v>11000</v>
      </c>
      <c r="F312" s="1025">
        <v>4</v>
      </c>
      <c r="G312" s="1025">
        <v>5.0000000000000001E-4</v>
      </c>
    </row>
    <row r="313" spans="1:7" x14ac:dyDescent="0.2">
      <c r="A313" s="1025" t="str">
        <f t="shared" si="8"/>
        <v xml:space="preserve">85TG-I 16000 </v>
      </c>
      <c r="B313" s="1025" t="str">
        <f t="shared" si="9"/>
        <v/>
      </c>
      <c r="C313" s="1025" t="s">
        <v>742</v>
      </c>
      <c r="E313" s="1025">
        <v>16000</v>
      </c>
      <c r="F313" s="1025">
        <v>5</v>
      </c>
      <c r="G313" s="1025">
        <v>5.9999999999999995E-4</v>
      </c>
    </row>
    <row r="314" spans="1:7" x14ac:dyDescent="0.2">
      <c r="A314" s="1025" t="str">
        <f t="shared" si="8"/>
        <v xml:space="preserve">85TG-I 30000 </v>
      </c>
      <c r="B314" s="1025" t="str">
        <f t="shared" si="9"/>
        <v/>
      </c>
      <c r="C314" s="1025" t="s">
        <v>742</v>
      </c>
      <c r="E314" s="1025">
        <v>30000</v>
      </c>
      <c r="F314" s="1025">
        <v>2</v>
      </c>
      <c r="G314" s="1025">
        <v>2.9999999999999997E-4</v>
      </c>
    </row>
    <row r="315" spans="1:7" x14ac:dyDescent="0.2">
      <c r="A315" s="1025" t="str">
        <f t="shared" si="8"/>
        <v xml:space="preserve">85TG-I 60000 </v>
      </c>
      <c r="B315" s="1025" t="str">
        <f t="shared" si="9"/>
        <v/>
      </c>
      <c r="C315" s="1025" t="s">
        <v>742</v>
      </c>
      <c r="E315" s="1025">
        <v>60000</v>
      </c>
      <c r="F315" s="1025">
        <v>4</v>
      </c>
      <c r="G315" s="1025">
        <v>5.0000000000000001E-4</v>
      </c>
    </row>
    <row r="316" spans="1:7" x14ac:dyDescent="0.2">
      <c r="A316" s="1025" t="str">
        <f t="shared" si="8"/>
        <v>85TG-I 1000 AMR</v>
      </c>
      <c r="B316" s="1025" t="str">
        <f t="shared" si="9"/>
        <v>AMR</v>
      </c>
      <c r="C316" s="1025" t="s">
        <v>742</v>
      </c>
      <c r="D316" s="1048" t="s">
        <v>1852</v>
      </c>
      <c r="E316" s="1025">
        <v>1000</v>
      </c>
      <c r="F316" s="1025">
        <v>1</v>
      </c>
      <c r="G316" s="1025">
        <v>1E-4</v>
      </c>
    </row>
    <row r="317" spans="1:7" x14ac:dyDescent="0.2">
      <c r="A317" s="1025" t="str">
        <f t="shared" si="8"/>
        <v>85TG-I 5000 AMR</v>
      </c>
      <c r="B317" s="1025" t="str">
        <f t="shared" si="9"/>
        <v>AMR</v>
      </c>
      <c r="C317" s="1025" t="s">
        <v>742</v>
      </c>
      <c r="D317" s="1048" t="s">
        <v>1852</v>
      </c>
      <c r="E317" s="1025">
        <v>5000</v>
      </c>
      <c r="F317" s="1025">
        <v>2</v>
      </c>
      <c r="G317" s="1025">
        <v>2.9999999999999997E-4</v>
      </c>
    </row>
    <row r="318" spans="1:7" x14ac:dyDescent="0.2">
      <c r="A318" s="1025" t="str">
        <f t="shared" si="8"/>
        <v>85TG-I 7000 AMR</v>
      </c>
      <c r="B318" s="1025" t="str">
        <f t="shared" si="9"/>
        <v>AMR</v>
      </c>
      <c r="C318" s="1025" t="s">
        <v>742</v>
      </c>
      <c r="D318" s="1048" t="s">
        <v>1852</v>
      </c>
      <c r="E318" s="1025">
        <v>7000</v>
      </c>
      <c r="F318" s="1025">
        <v>1</v>
      </c>
      <c r="G318" s="1025">
        <v>1E-4</v>
      </c>
    </row>
    <row r="319" spans="1:7" x14ac:dyDescent="0.2">
      <c r="A319" s="1025" t="str">
        <f t="shared" si="8"/>
        <v>85TG-I 11000 AMR</v>
      </c>
      <c r="B319" s="1025" t="str">
        <f t="shared" si="9"/>
        <v>AMR</v>
      </c>
      <c r="C319" s="1025" t="s">
        <v>742</v>
      </c>
      <c r="D319" s="1048" t="s">
        <v>1852</v>
      </c>
      <c r="E319" s="1025">
        <v>11000</v>
      </c>
      <c r="F319" s="1025">
        <v>2</v>
      </c>
      <c r="G319" s="1025">
        <v>2.9999999999999997E-4</v>
      </c>
    </row>
    <row r="320" spans="1:7" x14ac:dyDescent="0.2">
      <c r="A320" s="1025" t="str">
        <f t="shared" si="8"/>
        <v>85TG-I 60000 AMR</v>
      </c>
      <c r="B320" s="1025" t="str">
        <f t="shared" si="9"/>
        <v>AMR</v>
      </c>
      <c r="C320" s="1025" t="s">
        <v>742</v>
      </c>
      <c r="D320" s="1048" t="s">
        <v>1852</v>
      </c>
      <c r="E320" s="1025">
        <v>60000</v>
      </c>
      <c r="F320" s="1025">
        <v>1</v>
      </c>
      <c r="G320" s="1025">
        <v>1E-4</v>
      </c>
    </row>
    <row r="321" spans="1:7" x14ac:dyDescent="0.2">
      <c r="A321" s="1025" t="str">
        <f t="shared" si="8"/>
        <v xml:space="preserve">86G-C2 2300 </v>
      </c>
      <c r="B321" s="1025" t="str">
        <f t="shared" si="9"/>
        <v/>
      </c>
      <c r="C321" s="1025" t="s">
        <v>911</v>
      </c>
      <c r="E321" s="1025">
        <v>2300</v>
      </c>
      <c r="F321" s="1025">
        <v>3</v>
      </c>
      <c r="G321" s="1025">
        <v>4.0000000000000002E-4</v>
      </c>
    </row>
    <row r="322" spans="1:7" x14ac:dyDescent="0.2">
      <c r="A322" s="1025" t="str">
        <f t="shared" si="8"/>
        <v xml:space="preserve">86G-C2 5000 </v>
      </c>
      <c r="B322" s="1025" t="str">
        <f t="shared" si="9"/>
        <v/>
      </c>
      <c r="C322" s="1025" t="s">
        <v>911</v>
      </c>
      <c r="E322" s="1025">
        <v>5000</v>
      </c>
      <c r="F322" s="1025">
        <v>9</v>
      </c>
      <c r="G322" s="1025">
        <v>1.1999999999999999E-3</v>
      </c>
    </row>
    <row r="323" spans="1:7" x14ac:dyDescent="0.2">
      <c r="A323" s="1025" t="str">
        <f t="shared" ref="A323:A386" si="10">C323&amp;" "&amp;E323&amp;" "&amp;B323</f>
        <v xml:space="preserve">86G-C2 7000 </v>
      </c>
      <c r="B323" s="1025" t="str">
        <f t="shared" ref="B323:B386" si="11">IF(OR($D323="CellNet",$D323="Metretek"),"AMR","")</f>
        <v/>
      </c>
      <c r="C323" s="1025" t="s">
        <v>911</v>
      </c>
      <c r="E323" s="1025">
        <v>7000</v>
      </c>
      <c r="F323" s="1025">
        <v>6</v>
      </c>
      <c r="G323" s="1025">
        <v>8.0000000000000004E-4</v>
      </c>
    </row>
    <row r="324" spans="1:7" x14ac:dyDescent="0.2">
      <c r="A324" s="1025" t="str">
        <f t="shared" si="10"/>
        <v xml:space="preserve">86G-C2 11000 </v>
      </c>
      <c r="B324" s="1025" t="str">
        <f t="shared" si="11"/>
        <v/>
      </c>
      <c r="C324" s="1025" t="s">
        <v>911</v>
      </c>
      <c r="E324" s="1025">
        <v>11000</v>
      </c>
      <c r="F324" s="1025">
        <v>16</v>
      </c>
      <c r="G324" s="1025">
        <v>2.0999999999999999E-3</v>
      </c>
    </row>
    <row r="325" spans="1:7" x14ac:dyDescent="0.2">
      <c r="A325" s="1025" t="str">
        <f t="shared" si="10"/>
        <v xml:space="preserve">86G-C2 16000 </v>
      </c>
      <c r="B325" s="1025" t="str">
        <f t="shared" si="11"/>
        <v/>
      </c>
      <c r="C325" s="1025" t="s">
        <v>911</v>
      </c>
      <c r="E325" s="1025">
        <v>16000</v>
      </c>
      <c r="F325" s="1025">
        <v>6</v>
      </c>
      <c r="G325" s="1025">
        <v>8.0000000000000004E-4</v>
      </c>
    </row>
    <row r="326" spans="1:7" x14ac:dyDescent="0.2">
      <c r="A326" s="1025" t="str">
        <f t="shared" si="10"/>
        <v xml:space="preserve">86G-C2 18000 </v>
      </c>
      <c r="B326" s="1025" t="str">
        <f t="shared" si="11"/>
        <v/>
      </c>
      <c r="C326" s="1025" t="s">
        <v>911</v>
      </c>
      <c r="E326" s="1025">
        <v>18000</v>
      </c>
      <c r="F326" s="1025">
        <v>1</v>
      </c>
      <c r="G326" s="1025">
        <v>1E-4</v>
      </c>
    </row>
    <row r="327" spans="1:7" x14ac:dyDescent="0.2">
      <c r="A327" s="1025" t="str">
        <f t="shared" si="10"/>
        <v xml:space="preserve">86G-C2 23000 </v>
      </c>
      <c r="B327" s="1025" t="str">
        <f t="shared" si="11"/>
        <v/>
      </c>
      <c r="C327" s="1025" t="s">
        <v>911</v>
      </c>
      <c r="E327" s="1025">
        <v>23000</v>
      </c>
      <c r="F327" s="1025">
        <v>5</v>
      </c>
      <c r="G327" s="1025">
        <v>5.9999999999999995E-4</v>
      </c>
    </row>
    <row r="328" spans="1:7" x14ac:dyDescent="0.2">
      <c r="A328" s="1025" t="str">
        <f t="shared" si="10"/>
        <v xml:space="preserve">86G-C2 30000 </v>
      </c>
      <c r="B328" s="1025" t="str">
        <f t="shared" si="11"/>
        <v/>
      </c>
      <c r="C328" s="1025" t="s">
        <v>911</v>
      </c>
      <c r="E328" s="1025">
        <v>30000</v>
      </c>
      <c r="F328" s="1025">
        <v>1</v>
      </c>
      <c r="G328" s="1025">
        <v>1E-4</v>
      </c>
    </row>
    <row r="329" spans="1:7" x14ac:dyDescent="0.2">
      <c r="A329" s="1025" t="str">
        <f t="shared" si="10"/>
        <v xml:space="preserve">86G-C2 5000 </v>
      </c>
      <c r="B329" s="1025" t="str">
        <f t="shared" si="11"/>
        <v/>
      </c>
      <c r="C329" s="1025" t="s">
        <v>911</v>
      </c>
      <c r="E329" s="1025">
        <v>5000</v>
      </c>
      <c r="F329" s="1025">
        <v>2</v>
      </c>
      <c r="G329" s="1025">
        <v>2.9999999999999997E-4</v>
      </c>
    </row>
    <row r="330" spans="1:7" x14ac:dyDescent="0.2">
      <c r="A330" s="1025" t="str">
        <f t="shared" si="10"/>
        <v xml:space="preserve">86G-C2 7000 </v>
      </c>
      <c r="B330" s="1025" t="str">
        <f t="shared" si="11"/>
        <v/>
      </c>
      <c r="C330" s="1025" t="s">
        <v>911</v>
      </c>
      <c r="E330" s="1025">
        <v>7000</v>
      </c>
      <c r="F330" s="1025">
        <v>3</v>
      </c>
      <c r="G330" s="1025">
        <v>4.0000000000000002E-4</v>
      </c>
    </row>
    <row r="331" spans="1:7" x14ac:dyDescent="0.2">
      <c r="A331" s="1025" t="str">
        <f t="shared" si="10"/>
        <v xml:space="preserve">86G-C2 11000 </v>
      </c>
      <c r="B331" s="1025" t="str">
        <f t="shared" si="11"/>
        <v/>
      </c>
      <c r="C331" s="1025" t="s">
        <v>911</v>
      </c>
      <c r="E331" s="1025">
        <v>11000</v>
      </c>
      <c r="F331" s="1025">
        <v>4</v>
      </c>
      <c r="G331" s="1025">
        <v>5.0000000000000001E-4</v>
      </c>
    </row>
    <row r="332" spans="1:7" x14ac:dyDescent="0.2">
      <c r="A332" s="1025" t="str">
        <f t="shared" si="10"/>
        <v xml:space="preserve">86G-C2 16000 </v>
      </c>
      <c r="B332" s="1025" t="str">
        <f t="shared" si="11"/>
        <v/>
      </c>
      <c r="C332" s="1025" t="s">
        <v>911</v>
      </c>
      <c r="E332" s="1025">
        <v>16000</v>
      </c>
      <c r="F332" s="1025">
        <v>6</v>
      </c>
      <c r="G332" s="1025">
        <v>8.0000000000000004E-4</v>
      </c>
    </row>
    <row r="333" spans="1:7" x14ac:dyDescent="0.2">
      <c r="A333" s="1025" t="str">
        <f t="shared" si="10"/>
        <v>86G-C2 250 AMR</v>
      </c>
      <c r="B333" s="1025" t="str">
        <f t="shared" si="11"/>
        <v>AMR</v>
      </c>
      <c r="C333" s="1025" t="s">
        <v>911</v>
      </c>
      <c r="D333" s="1025" t="s">
        <v>1851</v>
      </c>
      <c r="E333" s="1025">
        <v>250</v>
      </c>
      <c r="F333" s="1025">
        <v>1</v>
      </c>
      <c r="G333" s="1025">
        <v>1E-4</v>
      </c>
    </row>
    <row r="334" spans="1:7" x14ac:dyDescent="0.2">
      <c r="A334" s="1025" t="str">
        <f t="shared" si="10"/>
        <v>86G-C2 425 AMR</v>
      </c>
      <c r="B334" s="1025" t="str">
        <f t="shared" si="11"/>
        <v>AMR</v>
      </c>
      <c r="C334" s="1025" t="s">
        <v>911</v>
      </c>
      <c r="D334" s="1025" t="s">
        <v>1851</v>
      </c>
      <c r="E334" s="1025">
        <v>425</v>
      </c>
      <c r="F334" s="1025">
        <v>2</v>
      </c>
      <c r="G334" s="1025">
        <v>2.9999999999999997E-4</v>
      </c>
    </row>
    <row r="335" spans="1:7" x14ac:dyDescent="0.2">
      <c r="A335" s="1025" t="str">
        <f t="shared" si="10"/>
        <v>86G-C2 800 AMR</v>
      </c>
      <c r="B335" s="1025" t="str">
        <f t="shared" si="11"/>
        <v>AMR</v>
      </c>
      <c r="C335" s="1025" t="s">
        <v>911</v>
      </c>
      <c r="D335" s="1025" t="s">
        <v>1851</v>
      </c>
      <c r="E335" s="1025">
        <v>800</v>
      </c>
      <c r="F335" s="1025">
        <v>2</v>
      </c>
      <c r="G335" s="1025">
        <v>2.9999999999999997E-4</v>
      </c>
    </row>
    <row r="336" spans="1:7" x14ac:dyDescent="0.2">
      <c r="A336" s="1025" t="str">
        <f t="shared" si="10"/>
        <v>86G-C2 1000 AMR</v>
      </c>
      <c r="B336" s="1025" t="str">
        <f t="shared" si="11"/>
        <v>AMR</v>
      </c>
      <c r="C336" s="1025" t="s">
        <v>911</v>
      </c>
      <c r="D336" s="1025" t="s">
        <v>1851</v>
      </c>
      <c r="E336" s="1025">
        <v>1000</v>
      </c>
      <c r="F336" s="1025">
        <v>135</v>
      </c>
      <c r="G336" s="1025">
        <v>1.7399999999999999E-2</v>
      </c>
    </row>
    <row r="337" spans="1:7" x14ac:dyDescent="0.2">
      <c r="A337" s="1025" t="str">
        <f t="shared" si="10"/>
        <v>86G-C2 1400 AMR</v>
      </c>
      <c r="B337" s="1025" t="str">
        <f t="shared" si="11"/>
        <v>AMR</v>
      </c>
      <c r="C337" s="1025" t="s">
        <v>911</v>
      </c>
      <c r="D337" s="1025" t="s">
        <v>1851</v>
      </c>
      <c r="E337" s="1025">
        <v>1400</v>
      </c>
      <c r="F337" s="1025">
        <v>30</v>
      </c>
      <c r="G337" s="1025">
        <v>3.8999999999999998E-3</v>
      </c>
    </row>
    <row r="338" spans="1:7" x14ac:dyDescent="0.2">
      <c r="A338" s="1025" t="str">
        <f t="shared" si="10"/>
        <v>86G-C2 2300 AMR</v>
      </c>
      <c r="B338" s="1025" t="str">
        <f t="shared" si="11"/>
        <v>AMR</v>
      </c>
      <c r="C338" s="1025" t="s">
        <v>911</v>
      </c>
      <c r="D338" s="1025" t="s">
        <v>1851</v>
      </c>
      <c r="E338" s="1025">
        <v>2300</v>
      </c>
      <c r="F338" s="1025">
        <v>63</v>
      </c>
      <c r="G338" s="1025">
        <v>8.0999999999999996E-3</v>
      </c>
    </row>
    <row r="339" spans="1:7" x14ac:dyDescent="0.2">
      <c r="A339" s="1025" t="str">
        <f t="shared" si="10"/>
        <v>86G-C2 3000 AMR</v>
      </c>
      <c r="B339" s="1025" t="str">
        <f t="shared" si="11"/>
        <v>AMR</v>
      </c>
      <c r="C339" s="1025" t="s">
        <v>911</v>
      </c>
      <c r="D339" s="1025" t="s">
        <v>1851</v>
      </c>
      <c r="E339" s="1025">
        <v>3000</v>
      </c>
      <c r="F339" s="1025">
        <v>11</v>
      </c>
      <c r="G339" s="1025">
        <v>1.4E-3</v>
      </c>
    </row>
    <row r="340" spans="1:7" x14ac:dyDescent="0.2">
      <c r="A340" s="1025" t="str">
        <f t="shared" si="10"/>
        <v>86G-C2 5000 AMR</v>
      </c>
      <c r="B340" s="1025" t="str">
        <f t="shared" si="11"/>
        <v>AMR</v>
      </c>
      <c r="C340" s="1025" t="s">
        <v>911</v>
      </c>
      <c r="D340" s="1025" t="s">
        <v>1851</v>
      </c>
      <c r="E340" s="1025">
        <v>5000</v>
      </c>
      <c r="F340" s="1025">
        <v>66</v>
      </c>
      <c r="G340" s="1025">
        <v>8.5000000000000006E-3</v>
      </c>
    </row>
    <row r="341" spans="1:7" x14ac:dyDescent="0.2">
      <c r="A341" s="1025" t="str">
        <f t="shared" si="10"/>
        <v>86G-C2 7000 AMR</v>
      </c>
      <c r="B341" s="1025" t="str">
        <f t="shared" si="11"/>
        <v>AMR</v>
      </c>
      <c r="C341" s="1025" t="s">
        <v>911</v>
      </c>
      <c r="D341" s="1025" t="s">
        <v>1851</v>
      </c>
      <c r="E341" s="1025">
        <v>7000</v>
      </c>
      <c r="F341" s="1025">
        <v>11</v>
      </c>
      <c r="G341" s="1025">
        <v>1.4E-3</v>
      </c>
    </row>
    <row r="342" spans="1:7" x14ac:dyDescent="0.2">
      <c r="A342" s="1025" t="str">
        <f t="shared" si="10"/>
        <v>86G-C2 11000 AMR</v>
      </c>
      <c r="B342" s="1025" t="str">
        <f t="shared" si="11"/>
        <v>AMR</v>
      </c>
      <c r="C342" s="1025" t="s">
        <v>911</v>
      </c>
      <c r="D342" s="1025" t="s">
        <v>1851</v>
      </c>
      <c r="E342" s="1025">
        <v>11000</v>
      </c>
      <c r="F342" s="1025">
        <v>1</v>
      </c>
      <c r="G342" s="1025">
        <v>1E-4</v>
      </c>
    </row>
    <row r="343" spans="1:7" x14ac:dyDescent="0.2">
      <c r="A343" s="1025" t="str">
        <f t="shared" si="10"/>
        <v xml:space="preserve">86G-I2 3000 </v>
      </c>
      <c r="B343" s="1025" t="str">
        <f t="shared" si="11"/>
        <v/>
      </c>
      <c r="C343" s="1025" t="s">
        <v>921</v>
      </c>
      <c r="E343" s="1025">
        <v>3000</v>
      </c>
      <c r="F343" s="1025">
        <v>1</v>
      </c>
      <c r="G343" s="1025">
        <v>1E-4</v>
      </c>
    </row>
    <row r="344" spans="1:7" x14ac:dyDescent="0.2">
      <c r="A344" s="1025" t="str">
        <f t="shared" si="10"/>
        <v xml:space="preserve">86G-I2 5000 </v>
      </c>
      <c r="B344" s="1025" t="str">
        <f t="shared" si="11"/>
        <v/>
      </c>
      <c r="C344" s="1025" t="s">
        <v>921</v>
      </c>
      <c r="E344" s="1025">
        <v>5000</v>
      </c>
      <c r="F344" s="1025">
        <v>2</v>
      </c>
      <c r="G344" s="1025">
        <v>2.9999999999999997E-4</v>
      </c>
    </row>
    <row r="345" spans="1:7" x14ac:dyDescent="0.2">
      <c r="A345" s="1025" t="str">
        <f t="shared" si="10"/>
        <v xml:space="preserve">86G-I2 11000 </v>
      </c>
      <c r="B345" s="1025" t="str">
        <f t="shared" si="11"/>
        <v/>
      </c>
      <c r="C345" s="1025" t="s">
        <v>921</v>
      </c>
      <c r="E345" s="1025">
        <v>11000</v>
      </c>
      <c r="F345" s="1025">
        <v>2</v>
      </c>
      <c r="G345" s="1025">
        <v>2.9999999999999997E-4</v>
      </c>
    </row>
    <row r="346" spans="1:7" x14ac:dyDescent="0.2">
      <c r="A346" s="1025" t="str">
        <f t="shared" si="10"/>
        <v xml:space="preserve">86G-I2 23000 </v>
      </c>
      <c r="B346" s="1025" t="str">
        <f t="shared" si="11"/>
        <v/>
      </c>
      <c r="C346" s="1025" t="s">
        <v>921</v>
      </c>
      <c r="E346" s="1025">
        <v>23000</v>
      </c>
      <c r="F346" s="1025">
        <v>1</v>
      </c>
      <c r="G346" s="1025">
        <v>1E-4</v>
      </c>
    </row>
    <row r="347" spans="1:7" x14ac:dyDescent="0.2">
      <c r="A347" s="1025" t="str">
        <f t="shared" si="10"/>
        <v xml:space="preserve">86G-I2 30000 </v>
      </c>
      <c r="B347" s="1025" t="str">
        <f t="shared" si="11"/>
        <v/>
      </c>
      <c r="C347" s="1025" t="s">
        <v>921</v>
      </c>
      <c r="E347" s="1025">
        <v>30000</v>
      </c>
      <c r="F347" s="1025">
        <v>1</v>
      </c>
      <c r="G347" s="1025">
        <v>1E-4</v>
      </c>
    </row>
    <row r="348" spans="1:7" x14ac:dyDescent="0.2">
      <c r="A348" s="1025" t="str">
        <f t="shared" si="10"/>
        <v xml:space="preserve">86G-I2 5000 </v>
      </c>
      <c r="B348" s="1025" t="str">
        <f t="shared" si="11"/>
        <v/>
      </c>
      <c r="C348" s="1025" t="s">
        <v>921</v>
      </c>
      <c r="E348" s="1025">
        <v>5000</v>
      </c>
      <c r="F348" s="1025">
        <v>1</v>
      </c>
      <c r="G348" s="1025">
        <v>1E-4</v>
      </c>
    </row>
    <row r="349" spans="1:7" x14ac:dyDescent="0.2">
      <c r="A349" s="1025" t="str">
        <f t="shared" si="10"/>
        <v xml:space="preserve">86G-I2 11000 </v>
      </c>
      <c r="B349" s="1025" t="str">
        <f t="shared" si="11"/>
        <v/>
      </c>
      <c r="C349" s="1025" t="s">
        <v>921</v>
      </c>
      <c r="E349" s="1025">
        <v>11000</v>
      </c>
      <c r="F349" s="1025">
        <v>2</v>
      </c>
      <c r="G349" s="1025">
        <v>2.9999999999999997E-4</v>
      </c>
    </row>
    <row r="350" spans="1:7" x14ac:dyDescent="0.2">
      <c r="A350" s="1025" t="str">
        <f t="shared" si="10"/>
        <v>86G-I2 5000 AMR</v>
      </c>
      <c r="B350" s="1025" t="str">
        <f t="shared" si="11"/>
        <v>AMR</v>
      </c>
      <c r="C350" s="1025" t="s">
        <v>921</v>
      </c>
      <c r="D350" s="1025" t="s">
        <v>1851</v>
      </c>
      <c r="E350" s="1025">
        <v>5000</v>
      </c>
      <c r="F350" s="1025">
        <v>1</v>
      </c>
      <c r="G350" s="1025">
        <v>1E-4</v>
      </c>
    </row>
    <row r="351" spans="1:7" x14ac:dyDescent="0.2">
      <c r="A351" s="1025" t="str">
        <f t="shared" si="10"/>
        <v xml:space="preserve">86TG-I 5000 </v>
      </c>
      <c r="B351" s="1025" t="str">
        <f t="shared" si="11"/>
        <v/>
      </c>
      <c r="C351" s="1025" t="s">
        <v>922</v>
      </c>
      <c r="E351" s="1025">
        <v>5000</v>
      </c>
      <c r="F351" s="1025">
        <v>1</v>
      </c>
      <c r="G351" s="1025">
        <v>1E-4</v>
      </c>
    </row>
    <row r="352" spans="1:7" x14ac:dyDescent="0.2">
      <c r="A352" s="1025" t="str">
        <f t="shared" si="10"/>
        <v xml:space="preserve">87G-C4 16000 </v>
      </c>
      <c r="B352" s="1025" t="str">
        <f t="shared" si="11"/>
        <v/>
      </c>
      <c r="C352" s="1025" t="s">
        <v>912</v>
      </c>
      <c r="E352" s="1025">
        <v>16000</v>
      </c>
      <c r="F352" s="1025">
        <v>2</v>
      </c>
      <c r="G352" s="1025">
        <v>2.9999999999999997E-4</v>
      </c>
    </row>
    <row r="353" spans="1:7" x14ac:dyDescent="0.2">
      <c r="A353" s="1025" t="str">
        <f t="shared" si="10"/>
        <v xml:space="preserve">87G-C4 30000 </v>
      </c>
      <c r="B353" s="1025" t="str">
        <f t="shared" si="11"/>
        <v/>
      </c>
      <c r="C353" s="1025" t="s">
        <v>912</v>
      </c>
      <c r="E353" s="1025">
        <v>30000</v>
      </c>
      <c r="F353" s="1025">
        <v>3</v>
      </c>
      <c r="G353" s="1025">
        <v>4.0000000000000002E-4</v>
      </c>
    </row>
    <row r="354" spans="1:7" x14ac:dyDescent="0.2">
      <c r="A354" s="1025" t="str">
        <f t="shared" si="10"/>
        <v xml:space="preserve">87G-C4 60000 </v>
      </c>
      <c r="B354" s="1025" t="str">
        <f t="shared" si="11"/>
        <v/>
      </c>
      <c r="C354" s="1025" t="s">
        <v>912</v>
      </c>
      <c r="E354" s="1025">
        <v>60000</v>
      </c>
      <c r="F354" s="1025">
        <v>3</v>
      </c>
      <c r="G354" s="1025">
        <v>4.0000000000000002E-4</v>
      </c>
    </row>
    <row r="355" spans="1:7" x14ac:dyDescent="0.2">
      <c r="A355" s="1025" t="str">
        <f t="shared" si="10"/>
        <v xml:space="preserve">87G-C4 150000 </v>
      </c>
      <c r="B355" s="1025" t="str">
        <f t="shared" si="11"/>
        <v/>
      </c>
      <c r="C355" s="1025" t="s">
        <v>912</v>
      </c>
      <c r="E355" s="1025">
        <v>150000</v>
      </c>
      <c r="F355" s="1025">
        <v>1</v>
      </c>
      <c r="G355" s="1025">
        <v>1E-4</v>
      </c>
    </row>
    <row r="356" spans="1:7" x14ac:dyDescent="0.2">
      <c r="A356" s="1025" t="str">
        <f t="shared" si="10"/>
        <v xml:space="preserve">87G-I4 60000 </v>
      </c>
      <c r="B356" s="1025" t="str">
        <f t="shared" si="11"/>
        <v/>
      </c>
      <c r="C356" s="1025" t="s">
        <v>923</v>
      </c>
      <c r="E356" s="1025">
        <v>60000</v>
      </c>
      <c r="F356" s="1025">
        <v>1</v>
      </c>
      <c r="G356" s="1025">
        <v>1E-4</v>
      </c>
    </row>
    <row r="357" spans="1:7" x14ac:dyDescent="0.2">
      <c r="A357" s="1025" t="str">
        <f t="shared" si="10"/>
        <v xml:space="preserve">87TG-C 60000 </v>
      </c>
      <c r="B357" s="1025" t="str">
        <f t="shared" si="11"/>
        <v/>
      </c>
      <c r="C357" s="1025" t="s">
        <v>754</v>
      </c>
      <c r="E357" s="1025">
        <v>60000</v>
      </c>
      <c r="F357" s="1025">
        <v>1</v>
      </c>
      <c r="G357" s="1025">
        <v>1E-4</v>
      </c>
    </row>
    <row r="358" spans="1:7" x14ac:dyDescent="0.2">
      <c r="A358" s="1025" t="str">
        <f t="shared" si="10"/>
        <v xml:space="preserve">87TG-C 150000 </v>
      </c>
      <c r="B358" s="1025" t="str">
        <f t="shared" si="11"/>
        <v/>
      </c>
      <c r="C358" s="1025" t="s">
        <v>754</v>
      </c>
      <c r="E358" s="1025">
        <v>150000</v>
      </c>
      <c r="F358" s="1025">
        <v>1</v>
      </c>
      <c r="G358" s="1025">
        <v>1E-4</v>
      </c>
    </row>
    <row r="359" spans="1:7" x14ac:dyDescent="0.2">
      <c r="A359" s="1025" t="str">
        <f t="shared" si="10"/>
        <v xml:space="preserve">87TG-C 60000 </v>
      </c>
      <c r="B359" s="1025" t="str">
        <f t="shared" si="11"/>
        <v/>
      </c>
      <c r="C359" s="1025" t="s">
        <v>754</v>
      </c>
      <c r="E359" s="1025">
        <v>60000</v>
      </c>
      <c r="F359" s="1025">
        <v>1</v>
      </c>
      <c r="G359" s="1025">
        <v>1E-4</v>
      </c>
    </row>
    <row r="360" spans="1:7" x14ac:dyDescent="0.2">
      <c r="A360" s="1025" t="str">
        <f t="shared" si="10"/>
        <v xml:space="preserve">87TG-I 16000 </v>
      </c>
      <c r="B360" s="1025" t="str">
        <f t="shared" si="11"/>
        <v/>
      </c>
      <c r="C360" s="1025" t="s">
        <v>749</v>
      </c>
      <c r="E360" s="1025">
        <v>16000</v>
      </c>
      <c r="F360" s="1025">
        <v>2</v>
      </c>
      <c r="G360" s="1025">
        <v>2.9999999999999997E-4</v>
      </c>
    </row>
    <row r="361" spans="1:7" x14ac:dyDescent="0.2">
      <c r="A361" s="1025" t="str">
        <f t="shared" si="10"/>
        <v xml:space="preserve">87TG-I 30000 </v>
      </c>
      <c r="B361" s="1025" t="str">
        <f t="shared" si="11"/>
        <v/>
      </c>
      <c r="C361" s="1025" t="s">
        <v>749</v>
      </c>
      <c r="E361" s="1025">
        <v>30000</v>
      </c>
      <c r="F361" s="1025">
        <v>1</v>
      </c>
      <c r="G361" s="1025">
        <v>1E-4</v>
      </c>
    </row>
    <row r="362" spans="1:7" x14ac:dyDescent="0.2">
      <c r="A362" s="1025" t="str">
        <f t="shared" si="10"/>
        <v xml:space="preserve">87TG-I 38000 </v>
      </c>
      <c r="B362" s="1025" t="str">
        <f t="shared" si="11"/>
        <v/>
      </c>
      <c r="C362" s="1025" t="s">
        <v>749</v>
      </c>
      <c r="E362" s="1025">
        <v>38000</v>
      </c>
      <c r="F362" s="1025">
        <v>3</v>
      </c>
      <c r="G362" s="1025">
        <v>4.0000000000000002E-4</v>
      </c>
    </row>
    <row r="363" spans="1:7" x14ac:dyDescent="0.2">
      <c r="A363" s="1025" t="str">
        <f t="shared" si="10"/>
        <v xml:space="preserve">87TG-I 60000 </v>
      </c>
      <c r="B363" s="1025" t="str">
        <f t="shared" si="11"/>
        <v/>
      </c>
      <c r="C363" s="1025" t="s">
        <v>749</v>
      </c>
      <c r="E363" s="1025">
        <v>60000</v>
      </c>
      <c r="F363" s="1025">
        <v>5</v>
      </c>
      <c r="G363" s="1025">
        <v>5.9999999999999995E-4</v>
      </c>
    </row>
    <row r="364" spans="1:7" x14ac:dyDescent="0.2">
      <c r="A364" s="1025" t="str">
        <f t="shared" si="10"/>
        <v xml:space="preserve">87TG-I 150000 </v>
      </c>
      <c r="B364" s="1025" t="str">
        <f t="shared" si="11"/>
        <v/>
      </c>
      <c r="C364" s="1025" t="s">
        <v>749</v>
      </c>
      <c r="E364" s="1025">
        <v>150000</v>
      </c>
      <c r="F364" s="1025">
        <v>2</v>
      </c>
      <c r="G364" s="1025">
        <v>2.9999999999999997E-4</v>
      </c>
    </row>
    <row r="365" spans="1:7" x14ac:dyDescent="0.2">
      <c r="A365" s="1025" t="str">
        <f t="shared" si="10"/>
        <v xml:space="preserve">98G-C 1000 </v>
      </c>
      <c r="B365" s="1025" t="str">
        <f t="shared" si="11"/>
        <v/>
      </c>
      <c r="C365" s="1025" t="s">
        <v>1853</v>
      </c>
      <c r="E365" s="1025">
        <v>1000</v>
      </c>
      <c r="F365" s="1025">
        <v>4</v>
      </c>
      <c r="G365" s="1025">
        <v>5.0000000000000001E-4</v>
      </c>
    </row>
    <row r="366" spans="1:7" x14ac:dyDescent="0.2">
      <c r="A366" s="1025" t="str">
        <f t="shared" si="10"/>
        <v xml:space="preserve">98G-C 1400 </v>
      </c>
      <c r="B366" s="1025" t="str">
        <f t="shared" si="11"/>
        <v/>
      </c>
      <c r="C366" s="1025" t="s">
        <v>1853</v>
      </c>
      <c r="E366" s="1025">
        <v>1400</v>
      </c>
      <c r="F366" s="1025">
        <v>2</v>
      </c>
      <c r="G366" s="1025">
        <v>2.9999999999999997E-4</v>
      </c>
    </row>
    <row r="367" spans="1:7" x14ac:dyDescent="0.2">
      <c r="A367" s="1025" t="str">
        <f t="shared" si="10"/>
        <v xml:space="preserve">98G-C 5000 </v>
      </c>
      <c r="B367" s="1025" t="str">
        <f t="shared" si="11"/>
        <v/>
      </c>
      <c r="C367" s="1025" t="s">
        <v>1853</v>
      </c>
      <c r="E367" s="1025">
        <v>5000</v>
      </c>
      <c r="F367" s="1025">
        <v>1</v>
      </c>
      <c r="G367" s="1025">
        <v>1E-4</v>
      </c>
    </row>
    <row r="368" spans="1:7" x14ac:dyDescent="0.2">
      <c r="A368" s="1025" t="str">
        <f t="shared" si="10"/>
        <v xml:space="preserve">98G-C 16000 </v>
      </c>
      <c r="B368" s="1025" t="str">
        <f t="shared" si="11"/>
        <v/>
      </c>
      <c r="C368" s="1025" t="s">
        <v>1853</v>
      </c>
      <c r="E368" s="1025">
        <v>16000</v>
      </c>
      <c r="F368" s="1025">
        <v>2</v>
      </c>
      <c r="G368" s="1025">
        <v>2.9999999999999997E-4</v>
      </c>
    </row>
    <row r="369" spans="1:7" x14ac:dyDescent="0.2">
      <c r="A369" s="1025" t="str">
        <f t="shared" si="10"/>
        <v xml:space="preserve">98G-C 30000 </v>
      </c>
      <c r="B369" s="1025" t="str">
        <f t="shared" si="11"/>
        <v/>
      </c>
      <c r="C369" s="1025" t="s">
        <v>1853</v>
      </c>
      <c r="E369" s="1025">
        <v>30000</v>
      </c>
      <c r="F369" s="1025">
        <v>2</v>
      </c>
      <c r="G369" s="1025">
        <v>2.9999999999999997E-4</v>
      </c>
    </row>
    <row r="370" spans="1:7" x14ac:dyDescent="0.2">
      <c r="A370" s="1025" t="str">
        <f t="shared" si="10"/>
        <v xml:space="preserve">98G-C 1000 </v>
      </c>
      <c r="B370" s="1025" t="str">
        <f t="shared" si="11"/>
        <v/>
      </c>
      <c r="C370" s="1025" t="s">
        <v>1853</v>
      </c>
      <c r="E370" s="1025">
        <v>1000</v>
      </c>
      <c r="F370" s="1025">
        <v>2</v>
      </c>
      <c r="G370" s="1025">
        <v>2.9999999999999997E-4</v>
      </c>
    </row>
    <row r="371" spans="1:7" x14ac:dyDescent="0.2">
      <c r="A371" s="1025" t="str">
        <f t="shared" si="10"/>
        <v xml:space="preserve">98G-C 3000 </v>
      </c>
      <c r="B371" s="1025" t="str">
        <f t="shared" si="11"/>
        <v/>
      </c>
      <c r="C371" s="1025" t="s">
        <v>1853</v>
      </c>
      <c r="E371" s="1025">
        <v>3000</v>
      </c>
      <c r="F371" s="1025">
        <v>1</v>
      </c>
      <c r="G371" s="1025">
        <v>1E-4</v>
      </c>
    </row>
    <row r="372" spans="1:7" x14ac:dyDescent="0.2">
      <c r="A372" s="1025" t="str">
        <f t="shared" si="10"/>
        <v>98G-C 250 AMR</v>
      </c>
      <c r="B372" s="1025" t="str">
        <f t="shared" si="11"/>
        <v>AMR</v>
      </c>
      <c r="C372" s="1025" t="s">
        <v>1853</v>
      </c>
      <c r="D372" s="1025" t="s">
        <v>1851</v>
      </c>
      <c r="E372" s="1025">
        <v>250</v>
      </c>
      <c r="F372" s="1025">
        <v>2</v>
      </c>
      <c r="G372" s="1025">
        <v>2.9999999999999997E-4</v>
      </c>
    </row>
    <row r="373" spans="1:7" x14ac:dyDescent="0.2">
      <c r="A373" s="1025" t="str">
        <f t="shared" si="10"/>
        <v>98G-C 425 AMR</v>
      </c>
      <c r="B373" s="1025" t="str">
        <f t="shared" si="11"/>
        <v>AMR</v>
      </c>
      <c r="C373" s="1025" t="s">
        <v>1853</v>
      </c>
      <c r="D373" s="1025" t="s">
        <v>1851</v>
      </c>
      <c r="E373" s="1025">
        <v>425</v>
      </c>
      <c r="F373" s="1025">
        <v>2</v>
      </c>
      <c r="G373" s="1025">
        <v>2.9999999999999997E-4</v>
      </c>
    </row>
    <row r="374" spans="1:7" x14ac:dyDescent="0.2">
      <c r="A374" s="1025" t="str">
        <f t="shared" si="10"/>
        <v>98G-C 1000 AMR</v>
      </c>
      <c r="B374" s="1025" t="str">
        <f t="shared" si="11"/>
        <v>AMR</v>
      </c>
      <c r="C374" s="1025" t="s">
        <v>1853</v>
      </c>
      <c r="D374" s="1025" t="s">
        <v>1851</v>
      </c>
      <c r="E374" s="1025">
        <v>1000</v>
      </c>
      <c r="F374" s="1025">
        <v>63</v>
      </c>
      <c r="G374" s="1025">
        <v>8.0999999999999996E-3</v>
      </c>
    </row>
    <row r="375" spans="1:7" x14ac:dyDescent="0.2">
      <c r="A375" s="1025" t="str">
        <f t="shared" si="10"/>
        <v>98G-C 1400 AMR</v>
      </c>
      <c r="B375" s="1025" t="str">
        <f t="shared" si="11"/>
        <v>AMR</v>
      </c>
      <c r="C375" s="1025" t="s">
        <v>1853</v>
      </c>
      <c r="D375" s="1025" t="s">
        <v>1851</v>
      </c>
      <c r="E375" s="1025">
        <v>1400</v>
      </c>
      <c r="F375" s="1025">
        <v>9</v>
      </c>
      <c r="G375" s="1025">
        <v>1.1999999999999999E-3</v>
      </c>
    </row>
    <row r="376" spans="1:7" x14ac:dyDescent="0.2">
      <c r="A376" s="1025" t="str">
        <f t="shared" si="10"/>
        <v>98G-C 2300 AMR</v>
      </c>
      <c r="B376" s="1025" t="str">
        <f t="shared" si="11"/>
        <v>AMR</v>
      </c>
      <c r="C376" s="1025" t="s">
        <v>1853</v>
      </c>
      <c r="D376" s="1025" t="s">
        <v>1851</v>
      </c>
      <c r="E376" s="1025">
        <v>2300</v>
      </c>
      <c r="F376" s="1025">
        <v>11</v>
      </c>
      <c r="G376" s="1025">
        <v>1.4E-3</v>
      </c>
    </row>
    <row r="377" spans="1:7" x14ac:dyDescent="0.2">
      <c r="A377" s="1025" t="str">
        <f t="shared" si="10"/>
        <v>98G-C 3000 AMR</v>
      </c>
      <c r="B377" s="1025" t="str">
        <f t="shared" si="11"/>
        <v>AMR</v>
      </c>
      <c r="C377" s="1025" t="s">
        <v>1853</v>
      </c>
      <c r="D377" s="1025" t="s">
        <v>1851</v>
      </c>
      <c r="E377" s="1025">
        <v>3000</v>
      </c>
      <c r="F377" s="1025">
        <v>11</v>
      </c>
      <c r="G377" s="1025">
        <v>1.4E-3</v>
      </c>
    </row>
    <row r="378" spans="1:7" x14ac:dyDescent="0.2">
      <c r="A378" s="1025" t="str">
        <f t="shared" si="10"/>
        <v>98G-C 5000 AMR</v>
      </c>
      <c r="B378" s="1025" t="str">
        <f t="shared" si="11"/>
        <v>AMR</v>
      </c>
      <c r="C378" s="1025" t="s">
        <v>1853</v>
      </c>
      <c r="D378" s="1025" t="s">
        <v>1851</v>
      </c>
      <c r="E378" s="1025">
        <v>5000</v>
      </c>
      <c r="F378" s="1025">
        <v>22</v>
      </c>
      <c r="G378" s="1025">
        <v>2.8E-3</v>
      </c>
    </row>
    <row r="379" spans="1:7" x14ac:dyDescent="0.2">
      <c r="A379" s="1025" t="str">
        <f t="shared" si="10"/>
        <v>98G-C 7000 AMR</v>
      </c>
      <c r="B379" s="1025" t="str">
        <f t="shared" si="11"/>
        <v>AMR</v>
      </c>
      <c r="C379" s="1025" t="s">
        <v>1853</v>
      </c>
      <c r="D379" s="1025" t="s">
        <v>1851</v>
      </c>
      <c r="E379" s="1025">
        <v>7000</v>
      </c>
      <c r="F379" s="1025">
        <v>3</v>
      </c>
      <c r="G379" s="1025">
        <v>4.0000000000000002E-4</v>
      </c>
    </row>
    <row r="380" spans="1:7" x14ac:dyDescent="0.2">
      <c r="A380" s="1025" t="str">
        <f t="shared" si="10"/>
        <v xml:space="preserve">SC  1000 </v>
      </c>
      <c r="B380" s="1025" t="str">
        <f t="shared" si="11"/>
        <v/>
      </c>
      <c r="C380" s="1025" t="s">
        <v>1857</v>
      </c>
      <c r="E380" s="1025">
        <v>1000</v>
      </c>
      <c r="F380" s="1025">
        <v>2</v>
      </c>
      <c r="G380" s="1025">
        <v>2.9999999999999997E-4</v>
      </c>
    </row>
    <row r="381" spans="1:7" x14ac:dyDescent="0.2">
      <c r="A381" s="1025" t="str">
        <f t="shared" si="10"/>
        <v xml:space="preserve">SC  5000 </v>
      </c>
      <c r="B381" s="1025" t="str">
        <f t="shared" si="11"/>
        <v/>
      </c>
      <c r="C381" s="1025" t="s">
        <v>1857</v>
      </c>
      <c r="E381" s="1025">
        <v>5000</v>
      </c>
      <c r="F381" s="1025">
        <v>2</v>
      </c>
      <c r="G381" s="1025">
        <v>2.9999999999999997E-4</v>
      </c>
    </row>
    <row r="382" spans="1:7" x14ac:dyDescent="0.2">
      <c r="A382" s="1025" t="str">
        <f t="shared" si="10"/>
        <v xml:space="preserve">SC  16000 </v>
      </c>
      <c r="B382" s="1025" t="str">
        <f t="shared" si="11"/>
        <v/>
      </c>
      <c r="C382" s="1025" t="s">
        <v>1857</v>
      </c>
      <c r="E382" s="1025">
        <v>16000</v>
      </c>
      <c r="F382" s="1025">
        <v>2</v>
      </c>
      <c r="G382" s="1025">
        <v>2.9999999999999997E-4</v>
      </c>
    </row>
    <row r="383" spans="1:7" x14ac:dyDescent="0.2">
      <c r="A383" s="1025" t="str">
        <f t="shared" si="10"/>
        <v xml:space="preserve">SC  23000 </v>
      </c>
      <c r="B383" s="1025" t="str">
        <f t="shared" si="11"/>
        <v/>
      </c>
      <c r="C383" s="1025" t="s">
        <v>1857</v>
      </c>
      <c r="E383" s="1025">
        <v>23000</v>
      </c>
      <c r="F383" s="1025">
        <v>1</v>
      </c>
      <c r="G383" s="1025">
        <v>1E-4</v>
      </c>
    </row>
    <row r="384" spans="1:7" x14ac:dyDescent="0.2">
      <c r="A384" s="1025" t="str">
        <f t="shared" si="10"/>
        <v xml:space="preserve">SC  30000 </v>
      </c>
      <c r="B384" s="1025" t="str">
        <f t="shared" si="11"/>
        <v/>
      </c>
      <c r="C384" s="1025" t="s">
        <v>1857</v>
      </c>
      <c r="E384" s="1025">
        <v>30000</v>
      </c>
      <c r="F384" s="1025">
        <v>3</v>
      </c>
      <c r="G384" s="1025">
        <v>4.0000000000000002E-4</v>
      </c>
    </row>
    <row r="385" spans="1:7" x14ac:dyDescent="0.2">
      <c r="A385" s="1025" t="str">
        <f t="shared" si="10"/>
        <v xml:space="preserve">SC  38000 </v>
      </c>
      <c r="B385" s="1025" t="str">
        <f t="shared" si="11"/>
        <v/>
      </c>
      <c r="C385" s="1025" t="s">
        <v>1857</v>
      </c>
      <c r="E385" s="1025">
        <v>38000</v>
      </c>
      <c r="F385" s="1025">
        <v>2</v>
      </c>
      <c r="G385" s="1025">
        <v>2.9999999999999997E-4</v>
      </c>
    </row>
    <row r="386" spans="1:7" x14ac:dyDescent="0.2">
      <c r="A386" s="1025" t="str">
        <f t="shared" si="10"/>
        <v xml:space="preserve">SC  60000 </v>
      </c>
      <c r="B386" s="1025" t="str">
        <f t="shared" si="11"/>
        <v/>
      </c>
      <c r="C386" s="1025" t="s">
        <v>1857</v>
      </c>
      <c r="E386" s="1025">
        <v>60000</v>
      </c>
      <c r="F386" s="1025">
        <v>4</v>
      </c>
      <c r="G386" s="1025">
        <v>5.0000000000000001E-4</v>
      </c>
    </row>
    <row r="387" spans="1:7" x14ac:dyDescent="0.2">
      <c r="A387" s="1025" t="str">
        <f t="shared" ref="A387:A391" si="12">C387&amp;" "&amp;E387&amp;" "&amp;B387</f>
        <v xml:space="preserve">SC  150000 </v>
      </c>
      <c r="B387" s="1025" t="str">
        <f t="shared" ref="B387:B391" si="13">IF(OR($D387="CellNet",$D387="Metretek"),"AMR","")</f>
        <v/>
      </c>
      <c r="C387" s="1025" t="s">
        <v>1857</v>
      </c>
      <c r="E387" s="1025">
        <v>150000</v>
      </c>
      <c r="F387" s="1025">
        <v>1</v>
      </c>
      <c r="G387" s="1025">
        <v>1E-4</v>
      </c>
    </row>
    <row r="388" spans="1:7" x14ac:dyDescent="0.2">
      <c r="A388" s="1025" t="str">
        <f t="shared" si="12"/>
        <v xml:space="preserve">SC  3000 </v>
      </c>
      <c r="B388" s="1025" t="str">
        <f t="shared" si="13"/>
        <v/>
      </c>
      <c r="C388" s="1025" t="s">
        <v>1857</v>
      </c>
      <c r="E388" s="1025">
        <v>3000</v>
      </c>
      <c r="F388" s="1025">
        <v>1</v>
      </c>
      <c r="G388" s="1025">
        <v>1E-4</v>
      </c>
    </row>
    <row r="389" spans="1:7" x14ac:dyDescent="0.2">
      <c r="A389" s="1025" t="str">
        <f t="shared" si="12"/>
        <v>SC  3000 AMR</v>
      </c>
      <c r="B389" s="1025" t="str">
        <f t="shared" si="13"/>
        <v>AMR</v>
      </c>
      <c r="C389" s="1025" t="s">
        <v>1857</v>
      </c>
      <c r="D389" s="1048" t="s">
        <v>1852</v>
      </c>
      <c r="E389" s="1025">
        <v>3000</v>
      </c>
      <c r="F389" s="1025">
        <v>2</v>
      </c>
      <c r="G389" s="1025">
        <v>2.9999999999999997E-4</v>
      </c>
    </row>
    <row r="390" spans="1:7" x14ac:dyDescent="0.2">
      <c r="A390" s="1025" t="str">
        <f t="shared" si="12"/>
        <v>SC  5000 AMR</v>
      </c>
      <c r="B390" s="1025" t="str">
        <f t="shared" si="13"/>
        <v>AMR</v>
      </c>
      <c r="C390" s="1025" t="s">
        <v>1857</v>
      </c>
      <c r="D390" s="1048" t="s">
        <v>1852</v>
      </c>
      <c r="E390" s="1025">
        <v>5000</v>
      </c>
      <c r="F390" s="1025">
        <v>1</v>
      </c>
      <c r="G390" s="1025">
        <v>1E-4</v>
      </c>
    </row>
    <row r="391" spans="1:7" x14ac:dyDescent="0.2">
      <c r="A391" s="1025" t="str">
        <f t="shared" si="12"/>
        <v>SC  60000 AMR</v>
      </c>
      <c r="B391" s="1025" t="str">
        <f t="shared" si="13"/>
        <v>AMR</v>
      </c>
      <c r="C391" s="1025" t="s">
        <v>1857</v>
      </c>
      <c r="D391" s="1048" t="s">
        <v>1852</v>
      </c>
      <c r="E391" s="1025">
        <v>60000</v>
      </c>
      <c r="F391" s="1025">
        <v>1</v>
      </c>
      <c r="G391" s="1025">
        <v>1E-4</v>
      </c>
    </row>
    <row r="392" spans="1:7" x14ac:dyDescent="0.2">
      <c r="A392" s="1048" t="s">
        <v>23</v>
      </c>
      <c r="B392" s="1048"/>
      <c r="F392" s="1087">
        <f>SUM(F2:F391)</f>
        <v>777157</v>
      </c>
    </row>
    <row r="395" spans="1:7" x14ac:dyDescent="0.2">
      <c r="A395" s="1048" t="s">
        <v>1858</v>
      </c>
      <c r="B395" s="1048"/>
    </row>
    <row r="396" spans="1:7" x14ac:dyDescent="0.2">
      <c r="A396" s="1048"/>
      <c r="B396" s="1048"/>
      <c r="E396" s="1025">
        <v>150</v>
      </c>
      <c r="F396" s="1045">
        <f>SUMIF($E$2:$E$391,E396,$F$2:$F$391)</f>
        <v>1</v>
      </c>
      <c r="G396" s="225">
        <f>F396/$F$420</f>
        <v>1.2867446004979701E-6</v>
      </c>
    </row>
    <row r="397" spans="1:7" x14ac:dyDescent="0.2">
      <c r="E397" s="1025">
        <v>175</v>
      </c>
      <c r="F397" s="1045">
        <f>SUMIF($E$2:$E$391,E397,$F$2:$F$391)</f>
        <v>100544</v>
      </c>
      <c r="G397" s="225">
        <f t="shared" ref="G397:G419" si="14">F397/$F$420</f>
        <v>0.1293744491124679</v>
      </c>
    </row>
    <row r="398" spans="1:7" x14ac:dyDescent="0.2">
      <c r="E398" s="1025">
        <v>200</v>
      </c>
      <c r="F398" s="1045">
        <f t="shared" ref="F398:F419" si="15">SUMIF($E$2:$E$391,E398,$F$2:$F$391)</f>
        <v>21172</v>
      </c>
      <c r="G398" s="225">
        <f t="shared" si="14"/>
        <v>2.7242956681743025E-2</v>
      </c>
    </row>
    <row r="399" spans="1:7" x14ac:dyDescent="0.2">
      <c r="E399" s="1025">
        <v>225</v>
      </c>
      <c r="F399" s="1045">
        <f t="shared" si="15"/>
        <v>18</v>
      </c>
      <c r="G399" s="225">
        <f t="shared" si="14"/>
        <v>2.3161402808963462E-5</v>
      </c>
    </row>
    <row r="400" spans="1:7" x14ac:dyDescent="0.2">
      <c r="E400" s="1025">
        <v>250</v>
      </c>
      <c r="F400" s="1045">
        <f t="shared" si="15"/>
        <v>563283</v>
      </c>
      <c r="G400" s="225">
        <f t="shared" si="14"/>
        <v>0.72480135880229812</v>
      </c>
    </row>
    <row r="401" spans="5:7" x14ac:dyDescent="0.2">
      <c r="E401" s="1025">
        <v>275</v>
      </c>
      <c r="F401" s="1045">
        <f t="shared" si="15"/>
        <v>38646</v>
      </c>
      <c r="G401" s="225">
        <f t="shared" si="14"/>
        <v>4.9727531830844558E-2</v>
      </c>
    </row>
    <row r="402" spans="5:7" x14ac:dyDescent="0.2">
      <c r="E402" s="1025">
        <v>400</v>
      </c>
      <c r="F402" s="1045">
        <f t="shared" si="15"/>
        <v>8</v>
      </c>
      <c r="G402" s="225">
        <f t="shared" si="14"/>
        <v>1.0293956803983761E-5</v>
      </c>
    </row>
    <row r="403" spans="5:7" x14ac:dyDescent="0.2">
      <c r="E403" s="1025">
        <v>425</v>
      </c>
      <c r="F403" s="1045">
        <f t="shared" si="15"/>
        <v>27728</v>
      </c>
      <c r="G403" s="225">
        <f t="shared" si="14"/>
        <v>3.5678854282607718E-2</v>
      </c>
    </row>
    <row r="404" spans="5:7" x14ac:dyDescent="0.2">
      <c r="E404" s="1025">
        <v>750</v>
      </c>
      <c r="F404" s="1045">
        <f t="shared" si="15"/>
        <v>16</v>
      </c>
      <c r="G404" s="225">
        <f t="shared" si="14"/>
        <v>2.0587913607967522E-5</v>
      </c>
    </row>
    <row r="405" spans="5:7" x14ac:dyDescent="0.2">
      <c r="E405" s="1025">
        <v>800</v>
      </c>
      <c r="F405" s="1045">
        <f t="shared" si="15"/>
        <v>248</v>
      </c>
      <c r="G405" s="225">
        <f t="shared" si="14"/>
        <v>3.1911266092349663E-4</v>
      </c>
    </row>
    <row r="406" spans="5:7" x14ac:dyDescent="0.2">
      <c r="E406" s="1025">
        <v>1000</v>
      </c>
      <c r="F406" s="1045">
        <f t="shared" si="15"/>
        <v>20584</v>
      </c>
      <c r="G406" s="225">
        <f t="shared" si="14"/>
        <v>2.6486350856650218E-2</v>
      </c>
    </row>
    <row r="407" spans="5:7" x14ac:dyDescent="0.2">
      <c r="E407" s="1025">
        <v>1400</v>
      </c>
      <c r="F407" s="1045">
        <f t="shared" si="15"/>
        <v>649</v>
      </c>
      <c r="G407" s="225">
        <f t="shared" si="14"/>
        <v>8.3509724572318261E-4</v>
      </c>
    </row>
    <row r="408" spans="5:7" x14ac:dyDescent="0.2">
      <c r="E408" s="1025">
        <v>2300</v>
      </c>
      <c r="F408" s="1045">
        <f t="shared" si="15"/>
        <v>740</v>
      </c>
      <c r="G408" s="225">
        <f t="shared" si="14"/>
        <v>9.5219100436849788E-4</v>
      </c>
    </row>
    <row r="409" spans="5:7" x14ac:dyDescent="0.2">
      <c r="E409" s="1025">
        <v>3000</v>
      </c>
      <c r="F409" s="1045">
        <f t="shared" si="15"/>
        <v>1080</v>
      </c>
      <c r="G409" s="225">
        <f t="shared" si="14"/>
        <v>1.3896841685378078E-3</v>
      </c>
    </row>
    <row r="410" spans="5:7" x14ac:dyDescent="0.2">
      <c r="E410" s="1025">
        <v>5000</v>
      </c>
      <c r="F410" s="1045">
        <f t="shared" si="15"/>
        <v>1270</v>
      </c>
      <c r="G410" s="225">
        <f t="shared" si="14"/>
        <v>1.634165642632422E-3</v>
      </c>
    </row>
    <row r="411" spans="5:7" x14ac:dyDescent="0.2">
      <c r="E411" s="1025">
        <v>7000</v>
      </c>
      <c r="F411" s="1045">
        <f t="shared" si="15"/>
        <v>373</v>
      </c>
      <c r="G411" s="225">
        <f t="shared" si="14"/>
        <v>4.7995573598574284E-4</v>
      </c>
    </row>
    <row r="412" spans="5:7" x14ac:dyDescent="0.2">
      <c r="E412" s="1025">
        <v>11000</v>
      </c>
      <c r="F412" s="1045">
        <f t="shared" si="15"/>
        <v>377</v>
      </c>
      <c r="G412" s="225">
        <f t="shared" si="14"/>
        <v>4.8510271438773474E-4</v>
      </c>
    </row>
    <row r="413" spans="5:7" x14ac:dyDescent="0.2">
      <c r="E413" s="1025">
        <v>16000</v>
      </c>
      <c r="F413" s="1045">
        <f t="shared" si="15"/>
        <v>269</v>
      </c>
      <c r="G413" s="225">
        <f t="shared" si="14"/>
        <v>3.4613429753395397E-4</v>
      </c>
    </row>
    <row r="414" spans="5:7" x14ac:dyDescent="0.2">
      <c r="E414" s="1025">
        <v>18000</v>
      </c>
      <c r="F414" s="1045">
        <f t="shared" si="15"/>
        <v>13</v>
      </c>
      <c r="G414" s="225">
        <f t="shared" si="14"/>
        <v>1.6727679806473613E-5</v>
      </c>
    </row>
    <row r="415" spans="5:7" x14ac:dyDescent="0.2">
      <c r="E415" s="1025">
        <v>23000</v>
      </c>
      <c r="F415" s="1045">
        <f t="shared" si="15"/>
        <v>37</v>
      </c>
      <c r="G415" s="225">
        <f t="shared" si="14"/>
        <v>4.7609550218424897E-5</v>
      </c>
    </row>
    <row r="416" spans="5:7" x14ac:dyDescent="0.2">
      <c r="E416" s="1025">
        <v>30000</v>
      </c>
      <c r="F416" s="1045">
        <f t="shared" si="15"/>
        <v>38</v>
      </c>
      <c r="G416" s="225">
        <f t="shared" si="14"/>
        <v>4.8896294818922863E-5</v>
      </c>
    </row>
    <row r="417" spans="5:7" x14ac:dyDescent="0.2">
      <c r="E417" s="1025">
        <v>38000</v>
      </c>
      <c r="F417" s="1045">
        <f t="shared" si="15"/>
        <v>6</v>
      </c>
      <c r="G417" s="225">
        <f t="shared" si="14"/>
        <v>7.7204676029878217E-6</v>
      </c>
    </row>
    <row r="418" spans="5:7" x14ac:dyDescent="0.2">
      <c r="E418" s="1025">
        <v>60000</v>
      </c>
      <c r="F418" s="1045">
        <f t="shared" si="15"/>
        <v>48</v>
      </c>
      <c r="G418" s="225">
        <f t="shared" si="14"/>
        <v>6.1763740823902574E-5</v>
      </c>
    </row>
    <row r="419" spans="5:7" x14ac:dyDescent="0.2">
      <c r="E419" s="1025">
        <v>150000</v>
      </c>
      <c r="F419" s="1045">
        <f t="shared" si="15"/>
        <v>8</v>
      </c>
      <c r="G419" s="225">
        <f t="shared" si="14"/>
        <v>1.0293956803983761E-5</v>
      </c>
    </row>
    <row r="420" spans="5:7" x14ac:dyDescent="0.2">
      <c r="E420" s="1088" t="s">
        <v>23</v>
      </c>
      <c r="F420" s="1038">
        <f>SUM(F397:F419)</f>
        <v>777155</v>
      </c>
      <c r="G420" s="1089">
        <f>SUM(G396:G419)</f>
        <v>1.0000012867446004</v>
      </c>
    </row>
  </sheetData>
  <pageMargins left="0.7" right="0.7" top="0.75" bottom="0.75" header="0.3" footer="0.3"/>
  <pageSetup fitToHeight="2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22"/>
  <sheetViews>
    <sheetView workbookViewId="0">
      <pane ySplit="1" topLeftCell="A2" activePane="bottomLeft" state="frozen"/>
      <selection activeCell="C35" sqref="C35"/>
      <selection pane="bottomLeft" activeCell="C35" sqref="C35"/>
    </sheetView>
  </sheetViews>
  <sheetFormatPr defaultRowHeight="12.75" x14ac:dyDescent="0.2"/>
  <cols>
    <col min="1" max="1" width="20.42578125" style="1025" customWidth="1"/>
    <col min="2" max="2" width="10.5703125" style="1025" customWidth="1"/>
    <col min="3" max="3" width="14.7109375" style="1025" bestFit="1" customWidth="1"/>
    <col min="4" max="4" width="16.85546875" style="1025" bestFit="1" customWidth="1"/>
    <col min="5" max="5" width="31.28515625" style="1025" bestFit="1" customWidth="1"/>
    <col min="6" max="6" width="9.42578125" style="1025" customWidth="1"/>
    <col min="7" max="16384" width="9.140625" style="1025"/>
  </cols>
  <sheetData>
    <row r="1" spans="1:6" x14ac:dyDescent="0.2">
      <c r="A1" s="1065" t="s">
        <v>445</v>
      </c>
      <c r="B1" s="1065" t="s">
        <v>1856</v>
      </c>
      <c r="C1" s="1065" t="s">
        <v>1859</v>
      </c>
      <c r="D1" s="1065" t="s">
        <v>1860</v>
      </c>
      <c r="E1" s="1065" t="s">
        <v>1861</v>
      </c>
      <c r="F1" s="1065" t="s">
        <v>1862</v>
      </c>
    </row>
    <row r="2" spans="1:6" x14ac:dyDescent="0.2">
      <c r="A2" s="1025" t="str">
        <f>C2&amp;" "&amp;E2&amp;" "&amp;B2</f>
        <v>41G-C2 175 AMR</v>
      </c>
      <c r="B2" s="1025" t="str">
        <f>IF(OR($D2="CellNet",$D2="Metretek"),"AMR","")</f>
        <v>AMR</v>
      </c>
      <c r="C2" s="1025" t="s">
        <v>907</v>
      </c>
      <c r="D2" s="1025" t="s">
        <v>1863</v>
      </c>
      <c r="E2" s="1025">
        <v>175</v>
      </c>
      <c r="F2" s="1025">
        <v>1</v>
      </c>
    </row>
    <row r="3" spans="1:6" x14ac:dyDescent="0.2">
      <c r="A3" s="1025" t="str">
        <f t="shared" ref="A3:A22" si="0">C3&amp;" "&amp;E3&amp;" "&amp;B3</f>
        <v>41G-C2 250 AMR</v>
      </c>
      <c r="B3" s="1025" t="str">
        <f t="shared" ref="B3:B22" si="1">IF(OR($D3="CellNet",$D3="Metretek"),"AMR","")</f>
        <v>AMR</v>
      </c>
      <c r="C3" s="1025" t="s">
        <v>907</v>
      </c>
      <c r="D3" s="1025" t="s">
        <v>1863</v>
      </c>
      <c r="E3" s="1025">
        <v>250</v>
      </c>
      <c r="F3" s="1025">
        <v>2</v>
      </c>
    </row>
    <row r="4" spans="1:6" x14ac:dyDescent="0.2">
      <c r="A4" s="1025" t="str">
        <f t="shared" si="0"/>
        <v>41G-C2 275 AMR</v>
      </c>
      <c r="B4" s="1025" t="str">
        <f t="shared" si="1"/>
        <v>AMR</v>
      </c>
      <c r="C4" s="1025" t="s">
        <v>907</v>
      </c>
      <c r="D4" s="1025" t="s">
        <v>1863</v>
      </c>
      <c r="E4" s="1025">
        <v>275</v>
      </c>
      <c r="F4" s="1025">
        <v>1</v>
      </c>
    </row>
    <row r="5" spans="1:6" x14ac:dyDescent="0.2">
      <c r="A5" s="1025" t="str">
        <f t="shared" si="0"/>
        <v>41G-C2 425 AMR</v>
      </c>
      <c r="B5" s="1025" t="str">
        <f t="shared" si="1"/>
        <v>AMR</v>
      </c>
      <c r="C5" s="1025" t="s">
        <v>907</v>
      </c>
      <c r="D5" s="1025" t="s">
        <v>1863</v>
      </c>
      <c r="E5" s="1025">
        <v>425</v>
      </c>
      <c r="F5" s="1025">
        <v>26</v>
      </c>
    </row>
    <row r="6" spans="1:6" x14ac:dyDescent="0.2">
      <c r="A6" s="1025" t="str">
        <f t="shared" si="0"/>
        <v>41G-C2 800 AMR</v>
      </c>
      <c r="B6" s="1025" t="str">
        <f t="shared" si="1"/>
        <v>AMR</v>
      </c>
      <c r="C6" s="1025" t="s">
        <v>907</v>
      </c>
      <c r="D6" s="1025" t="s">
        <v>1863</v>
      </c>
      <c r="E6" s="1025">
        <v>800</v>
      </c>
      <c r="F6" s="1025">
        <v>5</v>
      </c>
    </row>
    <row r="7" spans="1:6" x14ac:dyDescent="0.2">
      <c r="A7" s="1025" t="str">
        <f t="shared" si="0"/>
        <v>41G-C2 1000 AMR</v>
      </c>
      <c r="B7" s="1025" t="str">
        <f t="shared" si="1"/>
        <v>AMR</v>
      </c>
      <c r="C7" s="1025" t="s">
        <v>907</v>
      </c>
      <c r="D7" s="1025" t="s">
        <v>1863</v>
      </c>
      <c r="E7" s="1025">
        <v>1000</v>
      </c>
      <c r="F7" s="1025">
        <v>330</v>
      </c>
    </row>
    <row r="8" spans="1:6" x14ac:dyDescent="0.2">
      <c r="A8" s="1025" t="str">
        <f t="shared" si="0"/>
        <v>41G-C2 1400 AMR</v>
      </c>
      <c r="B8" s="1025" t="str">
        <f t="shared" si="1"/>
        <v>AMR</v>
      </c>
      <c r="C8" s="1025" t="s">
        <v>907</v>
      </c>
      <c r="D8" s="1025" t="s">
        <v>1863</v>
      </c>
      <c r="E8" s="1025">
        <v>1400</v>
      </c>
      <c r="F8" s="1025">
        <v>23</v>
      </c>
    </row>
    <row r="9" spans="1:6" x14ac:dyDescent="0.2">
      <c r="A9" s="1025" t="str">
        <f t="shared" si="0"/>
        <v>41G-C2 2300 AMR</v>
      </c>
      <c r="B9" s="1025" t="str">
        <f t="shared" si="1"/>
        <v>AMR</v>
      </c>
      <c r="C9" s="1025" t="s">
        <v>907</v>
      </c>
      <c r="D9" s="1025" t="s">
        <v>1863</v>
      </c>
      <c r="E9" s="1025">
        <v>2300</v>
      </c>
      <c r="F9" s="1025">
        <v>24</v>
      </c>
    </row>
    <row r="10" spans="1:6" x14ac:dyDescent="0.2">
      <c r="A10" s="1025" t="str">
        <f t="shared" si="0"/>
        <v>41G-C2 3000 AMR</v>
      </c>
      <c r="B10" s="1025" t="str">
        <f t="shared" si="1"/>
        <v>AMR</v>
      </c>
      <c r="C10" s="1025" t="s">
        <v>907</v>
      </c>
      <c r="D10" s="1025" t="s">
        <v>1863</v>
      </c>
      <c r="E10" s="1025">
        <v>3000</v>
      </c>
      <c r="F10" s="1025">
        <v>19</v>
      </c>
    </row>
    <row r="11" spans="1:6" x14ac:dyDescent="0.2">
      <c r="A11" s="1025" t="str">
        <f t="shared" si="0"/>
        <v>41G-C2 5000 AMR</v>
      </c>
      <c r="B11" s="1025" t="str">
        <f t="shared" si="1"/>
        <v>AMR</v>
      </c>
      <c r="C11" s="1025" t="s">
        <v>907</v>
      </c>
      <c r="D11" s="1025" t="s">
        <v>1863</v>
      </c>
      <c r="E11" s="1025">
        <v>5000</v>
      </c>
      <c r="F11" s="1025">
        <v>30</v>
      </c>
    </row>
    <row r="12" spans="1:6" x14ac:dyDescent="0.2">
      <c r="A12" s="1025" t="str">
        <f t="shared" si="0"/>
        <v>41G-C2 7000 AMR</v>
      </c>
      <c r="B12" s="1025" t="str">
        <f t="shared" si="1"/>
        <v>AMR</v>
      </c>
      <c r="C12" s="1025" t="s">
        <v>907</v>
      </c>
      <c r="D12" s="1025" t="s">
        <v>1863</v>
      </c>
      <c r="E12" s="1025">
        <v>7000</v>
      </c>
      <c r="F12" s="1025">
        <v>2</v>
      </c>
    </row>
    <row r="13" spans="1:6" x14ac:dyDescent="0.2">
      <c r="A13" s="1025" t="str">
        <f t="shared" si="0"/>
        <v>41G-C2 11000 AMR</v>
      </c>
      <c r="B13" s="1025" t="str">
        <f t="shared" si="1"/>
        <v>AMR</v>
      </c>
      <c r="C13" s="1025" t="s">
        <v>907</v>
      </c>
      <c r="D13" s="1025" t="s">
        <v>1863</v>
      </c>
      <c r="E13" s="1025">
        <v>11000</v>
      </c>
      <c r="F13" s="1025">
        <v>2</v>
      </c>
    </row>
    <row r="14" spans="1:6" x14ac:dyDescent="0.2">
      <c r="A14" s="1025" t="str">
        <f t="shared" si="0"/>
        <v xml:space="preserve">41G-C2 1000 </v>
      </c>
      <c r="B14" s="1025" t="str">
        <f t="shared" si="1"/>
        <v/>
      </c>
      <c r="C14" s="1025" t="s">
        <v>907</v>
      </c>
      <c r="E14" s="1025">
        <v>1000</v>
      </c>
      <c r="F14" s="1025">
        <v>1</v>
      </c>
    </row>
    <row r="15" spans="1:6" x14ac:dyDescent="0.2">
      <c r="A15" s="1025" t="str">
        <f t="shared" si="0"/>
        <v xml:space="preserve">41G-C2 2300 </v>
      </c>
      <c r="B15" s="1025" t="str">
        <f t="shared" si="1"/>
        <v/>
      </c>
      <c r="C15" s="1025" t="s">
        <v>907</v>
      </c>
      <c r="E15" s="1025">
        <v>2300</v>
      </c>
      <c r="F15" s="1025">
        <v>1</v>
      </c>
    </row>
    <row r="16" spans="1:6" x14ac:dyDescent="0.2">
      <c r="A16" s="1025" t="str">
        <f t="shared" si="0"/>
        <v xml:space="preserve">41G-C2 3000 </v>
      </c>
      <c r="B16" s="1025" t="str">
        <f t="shared" si="1"/>
        <v/>
      </c>
      <c r="C16" s="1025" t="s">
        <v>907</v>
      </c>
      <c r="E16" s="1025">
        <v>3000</v>
      </c>
      <c r="F16" s="1025">
        <v>2</v>
      </c>
    </row>
    <row r="17" spans="1:6" x14ac:dyDescent="0.2">
      <c r="A17" s="1025" t="str">
        <f t="shared" si="0"/>
        <v xml:space="preserve">41G-C2 5000 </v>
      </c>
      <c r="B17" s="1025" t="str">
        <f t="shared" si="1"/>
        <v/>
      </c>
      <c r="C17" s="1025" t="s">
        <v>907</v>
      </c>
      <c r="E17" s="1025">
        <v>5000</v>
      </c>
      <c r="F17" s="1025">
        <v>5</v>
      </c>
    </row>
    <row r="18" spans="1:6" x14ac:dyDescent="0.2">
      <c r="A18" s="1025" t="str">
        <f t="shared" si="0"/>
        <v>41G-I2 1000 AMR</v>
      </c>
      <c r="B18" s="1025" t="str">
        <f t="shared" si="1"/>
        <v>AMR</v>
      </c>
      <c r="C18" s="1025" t="s">
        <v>918</v>
      </c>
      <c r="D18" s="1025" t="s">
        <v>1863</v>
      </c>
      <c r="E18" s="1025">
        <v>1000</v>
      </c>
      <c r="F18" s="1025">
        <v>4</v>
      </c>
    </row>
    <row r="19" spans="1:6" x14ac:dyDescent="0.2">
      <c r="A19" s="1025" t="str">
        <f t="shared" si="0"/>
        <v>41G-I2 1400 AMR</v>
      </c>
      <c r="B19" s="1025" t="str">
        <f t="shared" si="1"/>
        <v>AMR</v>
      </c>
      <c r="C19" s="1025" t="s">
        <v>918</v>
      </c>
      <c r="D19" s="1025" t="s">
        <v>1863</v>
      </c>
      <c r="E19" s="1025">
        <v>1400</v>
      </c>
      <c r="F19" s="1025">
        <v>1</v>
      </c>
    </row>
    <row r="20" spans="1:6" x14ac:dyDescent="0.2">
      <c r="A20" s="1025" t="str">
        <f t="shared" si="0"/>
        <v>41G-I2 5000 AMR</v>
      </c>
      <c r="B20" s="1025" t="str">
        <f t="shared" si="1"/>
        <v>AMR</v>
      </c>
      <c r="C20" s="1025" t="s">
        <v>918</v>
      </c>
      <c r="D20" s="1025" t="s">
        <v>1863</v>
      </c>
      <c r="E20" s="1025">
        <v>5000</v>
      </c>
      <c r="F20" s="1025">
        <v>1</v>
      </c>
    </row>
    <row r="21" spans="1:6" x14ac:dyDescent="0.2">
      <c r="A21" s="1025" t="str">
        <f t="shared" si="0"/>
        <v>41G-I2 7000 AMR</v>
      </c>
      <c r="B21" s="1025" t="str">
        <f t="shared" si="1"/>
        <v>AMR</v>
      </c>
      <c r="C21" s="1025" t="s">
        <v>918</v>
      </c>
      <c r="D21" s="1025" t="s">
        <v>1863</v>
      </c>
      <c r="E21" s="1025">
        <v>7000</v>
      </c>
      <c r="F21" s="1025">
        <v>1</v>
      </c>
    </row>
    <row r="22" spans="1:6" x14ac:dyDescent="0.2">
      <c r="A22" s="1025" t="str">
        <f t="shared" si="0"/>
        <v xml:space="preserve">41G-I2 7000 </v>
      </c>
      <c r="B22" s="1025" t="str">
        <f t="shared" si="1"/>
        <v/>
      </c>
      <c r="C22" s="1025" t="s">
        <v>918</v>
      </c>
      <c r="E22" s="1025">
        <v>7000</v>
      </c>
      <c r="F22" s="1025">
        <v>1</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22"/>
  <sheetViews>
    <sheetView workbookViewId="0">
      <pane ySplit="1" topLeftCell="A2" activePane="bottomLeft" state="frozen"/>
      <selection activeCell="C35" sqref="C35"/>
      <selection pane="bottomLeft" activeCell="C35" sqref="C35"/>
    </sheetView>
  </sheetViews>
  <sheetFormatPr defaultRowHeight="12.75" x14ac:dyDescent="0.2"/>
  <cols>
    <col min="1" max="1" width="20.42578125" style="1025" customWidth="1"/>
    <col min="2" max="2" width="10.5703125" style="1025" customWidth="1"/>
    <col min="3" max="3" width="14.7109375" style="1025" bestFit="1" customWidth="1"/>
    <col min="4" max="4" width="16.85546875" style="1025" bestFit="1" customWidth="1"/>
    <col min="5" max="5" width="31.28515625" style="1025" bestFit="1" customWidth="1"/>
    <col min="6" max="6" width="9.42578125" style="1025" customWidth="1"/>
    <col min="7" max="16384" width="9.140625" style="1025"/>
  </cols>
  <sheetData>
    <row r="1" spans="1:6" x14ac:dyDescent="0.2">
      <c r="A1" s="1065" t="s">
        <v>445</v>
      </c>
      <c r="B1" s="1065" t="s">
        <v>1856</v>
      </c>
      <c r="C1" s="1065" t="s">
        <v>1859</v>
      </c>
      <c r="D1" s="1065" t="s">
        <v>1860</v>
      </c>
      <c r="E1" s="1065" t="s">
        <v>1861</v>
      </c>
      <c r="F1" s="1065" t="s">
        <v>1862</v>
      </c>
    </row>
    <row r="2" spans="1:6" x14ac:dyDescent="0.2">
      <c r="A2" s="1025" t="str">
        <f t="shared" ref="A2:A22" si="0">C2&amp;" "&amp;E2&amp;" "&amp;B2</f>
        <v>31G-C 175 AMR</v>
      </c>
      <c r="B2" s="1025" t="str">
        <f t="shared" ref="B2:B22" si="1">IF(OR($D2="CellNet",$D2="Metretek"),"AMR","")</f>
        <v>AMR</v>
      </c>
      <c r="C2" s="1025" t="s">
        <v>901</v>
      </c>
      <c r="D2" s="1025" t="s">
        <v>1863</v>
      </c>
      <c r="E2" s="1025">
        <v>175</v>
      </c>
      <c r="F2" s="1025">
        <v>1</v>
      </c>
    </row>
    <row r="3" spans="1:6" x14ac:dyDescent="0.2">
      <c r="A3" s="1025" t="str">
        <f t="shared" si="0"/>
        <v>31G-C 250 AMR</v>
      </c>
      <c r="B3" s="1025" t="str">
        <f t="shared" si="1"/>
        <v>AMR</v>
      </c>
      <c r="C3" s="1025" t="s">
        <v>901</v>
      </c>
      <c r="D3" s="1025" t="s">
        <v>1863</v>
      </c>
      <c r="E3" s="1025">
        <v>250</v>
      </c>
      <c r="F3" s="1025">
        <v>2</v>
      </c>
    </row>
    <row r="4" spans="1:6" x14ac:dyDescent="0.2">
      <c r="A4" s="1025" t="str">
        <f t="shared" si="0"/>
        <v>31G-C 275 AMR</v>
      </c>
      <c r="B4" s="1025" t="str">
        <f t="shared" si="1"/>
        <v>AMR</v>
      </c>
      <c r="C4" s="1025" t="s">
        <v>901</v>
      </c>
      <c r="D4" s="1025" t="s">
        <v>1863</v>
      </c>
      <c r="E4" s="1025">
        <v>275</v>
      </c>
      <c r="F4" s="1025">
        <v>1</v>
      </c>
    </row>
    <row r="5" spans="1:6" x14ac:dyDescent="0.2">
      <c r="A5" s="1025" t="str">
        <f t="shared" si="0"/>
        <v>31G-C 425 AMR</v>
      </c>
      <c r="B5" s="1025" t="str">
        <f t="shared" si="1"/>
        <v>AMR</v>
      </c>
      <c r="C5" s="1025" t="s">
        <v>901</v>
      </c>
      <c r="D5" s="1025" t="s">
        <v>1863</v>
      </c>
      <c r="E5" s="1025">
        <v>425</v>
      </c>
      <c r="F5" s="1025">
        <v>26</v>
      </c>
    </row>
    <row r="6" spans="1:6" x14ac:dyDescent="0.2">
      <c r="A6" s="1025" t="str">
        <f t="shared" si="0"/>
        <v>31G-C 800 AMR</v>
      </c>
      <c r="B6" s="1025" t="str">
        <f t="shared" si="1"/>
        <v>AMR</v>
      </c>
      <c r="C6" s="1025" t="s">
        <v>901</v>
      </c>
      <c r="D6" s="1025" t="s">
        <v>1863</v>
      </c>
      <c r="E6" s="1025">
        <v>800</v>
      </c>
      <c r="F6" s="1025">
        <v>5</v>
      </c>
    </row>
    <row r="7" spans="1:6" x14ac:dyDescent="0.2">
      <c r="A7" s="1025" t="str">
        <f t="shared" si="0"/>
        <v>31G-C 1000 AMR</v>
      </c>
      <c r="B7" s="1025" t="str">
        <f t="shared" si="1"/>
        <v>AMR</v>
      </c>
      <c r="C7" s="1025" t="s">
        <v>901</v>
      </c>
      <c r="D7" s="1025" t="s">
        <v>1863</v>
      </c>
      <c r="E7" s="1025">
        <v>1000</v>
      </c>
      <c r="F7" s="1025">
        <v>330</v>
      </c>
    </row>
    <row r="8" spans="1:6" x14ac:dyDescent="0.2">
      <c r="A8" s="1025" t="str">
        <f t="shared" si="0"/>
        <v>31G-C 1400 AMR</v>
      </c>
      <c r="B8" s="1025" t="str">
        <f t="shared" si="1"/>
        <v>AMR</v>
      </c>
      <c r="C8" s="1025" t="s">
        <v>901</v>
      </c>
      <c r="D8" s="1025" t="s">
        <v>1863</v>
      </c>
      <c r="E8" s="1025">
        <v>1400</v>
      </c>
      <c r="F8" s="1025">
        <v>23</v>
      </c>
    </row>
    <row r="9" spans="1:6" x14ac:dyDescent="0.2">
      <c r="A9" s="1025" t="str">
        <f t="shared" si="0"/>
        <v>31G-C 2300 AMR</v>
      </c>
      <c r="B9" s="1025" t="str">
        <f t="shared" si="1"/>
        <v>AMR</v>
      </c>
      <c r="C9" s="1025" t="s">
        <v>901</v>
      </c>
      <c r="D9" s="1025" t="s">
        <v>1863</v>
      </c>
      <c r="E9" s="1025">
        <v>2300</v>
      </c>
      <c r="F9" s="1025">
        <v>24</v>
      </c>
    </row>
    <row r="10" spans="1:6" x14ac:dyDescent="0.2">
      <c r="A10" s="1025" t="str">
        <f t="shared" si="0"/>
        <v>31G-C 3000 AMR</v>
      </c>
      <c r="B10" s="1025" t="str">
        <f t="shared" si="1"/>
        <v>AMR</v>
      </c>
      <c r="C10" s="1025" t="s">
        <v>901</v>
      </c>
      <c r="D10" s="1025" t="s">
        <v>1863</v>
      </c>
      <c r="E10" s="1025">
        <v>3000</v>
      </c>
      <c r="F10" s="1025">
        <v>19</v>
      </c>
    </row>
    <row r="11" spans="1:6" x14ac:dyDescent="0.2">
      <c r="A11" s="1025" t="str">
        <f t="shared" si="0"/>
        <v>31G-C 5000 AMR</v>
      </c>
      <c r="B11" s="1025" t="str">
        <f t="shared" si="1"/>
        <v>AMR</v>
      </c>
      <c r="C11" s="1025" t="s">
        <v>901</v>
      </c>
      <c r="D11" s="1025" t="s">
        <v>1863</v>
      </c>
      <c r="E11" s="1025">
        <v>5000</v>
      </c>
      <c r="F11" s="1025">
        <v>30</v>
      </c>
    </row>
    <row r="12" spans="1:6" x14ac:dyDescent="0.2">
      <c r="A12" s="1025" t="str">
        <f t="shared" si="0"/>
        <v>31G-C 7000 AMR</v>
      </c>
      <c r="B12" s="1025" t="str">
        <f t="shared" si="1"/>
        <v>AMR</v>
      </c>
      <c r="C12" s="1025" t="s">
        <v>901</v>
      </c>
      <c r="D12" s="1025" t="s">
        <v>1863</v>
      </c>
      <c r="E12" s="1025">
        <v>7000</v>
      </c>
      <c r="F12" s="1025">
        <v>2</v>
      </c>
    </row>
    <row r="13" spans="1:6" x14ac:dyDescent="0.2">
      <c r="A13" s="1025" t="str">
        <f t="shared" si="0"/>
        <v>31G-C 11000 AMR</v>
      </c>
      <c r="B13" s="1025" t="str">
        <f t="shared" si="1"/>
        <v>AMR</v>
      </c>
      <c r="C13" s="1025" t="s">
        <v>901</v>
      </c>
      <c r="D13" s="1025" t="s">
        <v>1863</v>
      </c>
      <c r="E13" s="1025">
        <v>11000</v>
      </c>
      <c r="F13" s="1025">
        <v>2</v>
      </c>
    </row>
    <row r="14" spans="1:6" x14ac:dyDescent="0.2">
      <c r="A14" s="1025" t="str">
        <f t="shared" si="0"/>
        <v xml:space="preserve">31G-C 1000 </v>
      </c>
      <c r="B14" s="1025" t="str">
        <f t="shared" si="1"/>
        <v/>
      </c>
      <c r="C14" s="1025" t="s">
        <v>901</v>
      </c>
      <c r="E14" s="1025">
        <v>1000</v>
      </c>
      <c r="F14" s="1025">
        <v>1</v>
      </c>
    </row>
    <row r="15" spans="1:6" x14ac:dyDescent="0.2">
      <c r="A15" s="1025" t="str">
        <f t="shared" si="0"/>
        <v xml:space="preserve">31G-C 2300 </v>
      </c>
      <c r="B15" s="1025" t="str">
        <f t="shared" si="1"/>
        <v/>
      </c>
      <c r="C15" s="1025" t="s">
        <v>901</v>
      </c>
      <c r="E15" s="1025">
        <v>2300</v>
      </c>
      <c r="F15" s="1025">
        <v>1</v>
      </c>
    </row>
    <row r="16" spans="1:6" x14ac:dyDescent="0.2">
      <c r="A16" s="1025" t="str">
        <f t="shared" si="0"/>
        <v xml:space="preserve">31G-C 3000 </v>
      </c>
      <c r="B16" s="1025" t="str">
        <f t="shared" si="1"/>
        <v/>
      </c>
      <c r="C16" s="1025" t="s">
        <v>901</v>
      </c>
      <c r="E16" s="1025">
        <v>3000</v>
      </c>
      <c r="F16" s="1025">
        <v>2</v>
      </c>
    </row>
    <row r="17" spans="1:6" x14ac:dyDescent="0.2">
      <c r="A17" s="1025" t="str">
        <f t="shared" si="0"/>
        <v xml:space="preserve">31G-C 5000 </v>
      </c>
      <c r="B17" s="1025" t="str">
        <f t="shared" si="1"/>
        <v/>
      </c>
      <c r="C17" s="1025" t="s">
        <v>901</v>
      </c>
      <c r="E17" s="1025">
        <v>5000</v>
      </c>
      <c r="F17" s="1025">
        <v>5</v>
      </c>
    </row>
    <row r="18" spans="1:6" x14ac:dyDescent="0.2">
      <c r="A18" s="1025" t="str">
        <f t="shared" si="0"/>
        <v>31G-I 1000 AMR</v>
      </c>
      <c r="B18" s="1025" t="str">
        <f t="shared" si="1"/>
        <v>AMR</v>
      </c>
      <c r="C18" s="1025" t="s">
        <v>915</v>
      </c>
      <c r="D18" s="1025" t="s">
        <v>1863</v>
      </c>
      <c r="E18" s="1025">
        <v>1000</v>
      </c>
      <c r="F18" s="1025">
        <v>4</v>
      </c>
    </row>
    <row r="19" spans="1:6" x14ac:dyDescent="0.2">
      <c r="A19" s="1025" t="str">
        <f t="shared" si="0"/>
        <v>31G-I 1400 AMR</v>
      </c>
      <c r="B19" s="1025" t="str">
        <f t="shared" si="1"/>
        <v>AMR</v>
      </c>
      <c r="C19" s="1025" t="s">
        <v>915</v>
      </c>
      <c r="D19" s="1025" t="s">
        <v>1863</v>
      </c>
      <c r="E19" s="1025">
        <v>1400</v>
      </c>
      <c r="F19" s="1025">
        <v>1</v>
      </c>
    </row>
    <row r="20" spans="1:6" x14ac:dyDescent="0.2">
      <c r="A20" s="1025" t="str">
        <f t="shared" si="0"/>
        <v>31G-I 5000 AMR</v>
      </c>
      <c r="B20" s="1025" t="str">
        <f t="shared" si="1"/>
        <v>AMR</v>
      </c>
      <c r="C20" s="1025" t="s">
        <v>915</v>
      </c>
      <c r="D20" s="1025" t="s">
        <v>1863</v>
      </c>
      <c r="E20" s="1025">
        <v>5000</v>
      </c>
      <c r="F20" s="1025">
        <v>1</v>
      </c>
    </row>
    <row r="21" spans="1:6" x14ac:dyDescent="0.2">
      <c r="A21" s="1025" t="str">
        <f t="shared" si="0"/>
        <v>31G-I 7000 AMR</v>
      </c>
      <c r="B21" s="1025" t="str">
        <f t="shared" si="1"/>
        <v>AMR</v>
      </c>
      <c r="C21" s="1025" t="s">
        <v>915</v>
      </c>
      <c r="D21" s="1025" t="s">
        <v>1863</v>
      </c>
      <c r="E21" s="1025">
        <v>7000</v>
      </c>
      <c r="F21" s="1025">
        <v>1</v>
      </c>
    </row>
    <row r="22" spans="1:6" x14ac:dyDescent="0.2">
      <c r="A22" s="1025" t="str">
        <f t="shared" si="0"/>
        <v xml:space="preserve">31G-I 7000 </v>
      </c>
      <c r="B22" s="1025" t="str">
        <f t="shared" si="1"/>
        <v/>
      </c>
      <c r="C22" s="1025" t="s">
        <v>915</v>
      </c>
      <c r="E22" s="1025">
        <v>7000</v>
      </c>
      <c r="F22" s="1025">
        <v>1</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3:H294"/>
  <sheetViews>
    <sheetView zoomScaleSheetLayoutView="100" workbookViewId="0">
      <selection activeCell="C35" sqref="C35"/>
    </sheetView>
  </sheetViews>
  <sheetFormatPr defaultRowHeight="11.25" x14ac:dyDescent="0.2"/>
  <cols>
    <col min="1" max="5" width="9.140625" style="1090"/>
    <col min="6" max="6" width="9.140625" style="1090" bestFit="1" customWidth="1"/>
    <col min="7" max="7" width="14" style="1090" customWidth="1"/>
    <col min="8" max="8" width="16.7109375" style="1090" customWidth="1"/>
    <col min="9" max="16384" width="9.140625" style="1090"/>
  </cols>
  <sheetData>
    <row r="3" spans="1:8" ht="14.25" customHeight="1" x14ac:dyDescent="0.2"/>
    <row r="4" spans="1:8" x14ac:dyDescent="0.2">
      <c r="A4" s="1091">
        <v>250</v>
      </c>
      <c r="B4" s="1092"/>
      <c r="C4" s="1093"/>
      <c r="D4" s="1094"/>
      <c r="E4" s="1094"/>
      <c r="F4" s="1095"/>
      <c r="G4" s="1094"/>
      <c r="H4" s="1093"/>
    </row>
    <row r="5" spans="1:8" x14ac:dyDescent="0.2">
      <c r="A5" s="1096" t="s">
        <v>1864</v>
      </c>
      <c r="B5" s="1092"/>
      <c r="C5" s="1097" t="s">
        <v>3</v>
      </c>
      <c r="D5" s="1094"/>
      <c r="E5" s="1098" t="s">
        <v>1865</v>
      </c>
      <c r="F5" s="1098" t="s">
        <v>1866</v>
      </c>
      <c r="G5" s="1095" t="s">
        <v>1867</v>
      </c>
      <c r="H5" s="1093"/>
    </row>
    <row r="6" spans="1:8" x14ac:dyDescent="0.2">
      <c r="A6" s="1099"/>
      <c r="B6" s="1092"/>
      <c r="C6" s="1093"/>
      <c r="D6" s="1094"/>
      <c r="E6" s="1094"/>
      <c r="F6" s="1095"/>
      <c r="G6" s="1094"/>
      <c r="H6" s="1093"/>
    </row>
    <row r="7" spans="1:8" x14ac:dyDescent="0.2">
      <c r="A7" s="1096" t="s">
        <v>1868</v>
      </c>
      <c r="B7" s="1092"/>
      <c r="C7" s="1093"/>
      <c r="D7" s="1094"/>
      <c r="E7" s="1098">
        <v>1</v>
      </c>
      <c r="F7" s="1095">
        <v>50.14</v>
      </c>
      <c r="G7" s="1100">
        <f>ROUND(+F7,0)</f>
        <v>50</v>
      </c>
      <c r="H7" s="1093"/>
    </row>
    <row r="8" spans="1:8" x14ac:dyDescent="0.2">
      <c r="A8" s="1096" t="s">
        <v>1869</v>
      </c>
      <c r="B8" s="1092"/>
      <c r="C8" s="1093"/>
      <c r="D8" s="1094"/>
      <c r="E8" s="1098">
        <v>1</v>
      </c>
      <c r="F8" s="1095">
        <v>23.1</v>
      </c>
      <c r="G8" s="1100">
        <f>ROUND(+F8,0)</f>
        <v>23</v>
      </c>
      <c r="H8" s="1093"/>
    </row>
    <row r="9" spans="1:8" x14ac:dyDescent="0.2">
      <c r="A9" s="1096" t="s">
        <v>1870</v>
      </c>
      <c r="B9" s="1092"/>
      <c r="C9" s="1093"/>
      <c r="D9" s="1094"/>
      <c r="E9" s="1094"/>
      <c r="F9" s="1101">
        <v>9.0999999999999998E-2</v>
      </c>
      <c r="G9" s="1100">
        <f>ROUND(+G7*F9,2)</f>
        <v>4.55</v>
      </c>
      <c r="H9" s="1093"/>
    </row>
    <row r="10" spans="1:8" x14ac:dyDescent="0.2">
      <c r="A10" s="1096" t="s">
        <v>1871</v>
      </c>
      <c r="B10" s="1092"/>
      <c r="C10" s="1093"/>
      <c r="D10" s="1094"/>
      <c r="E10" s="1098"/>
      <c r="F10" s="1101">
        <v>7.4999999999999997E-2</v>
      </c>
      <c r="G10" s="1100">
        <v>2</v>
      </c>
      <c r="H10" s="1093"/>
    </row>
    <row r="11" spans="1:8" x14ac:dyDescent="0.2">
      <c r="A11" s="1096" t="s">
        <v>1872</v>
      </c>
      <c r="B11" s="1092"/>
      <c r="C11" s="1097"/>
      <c r="D11" s="1094"/>
      <c r="E11" s="1098">
        <v>1</v>
      </c>
      <c r="F11" s="1095">
        <v>36.17</v>
      </c>
      <c r="G11" s="1100">
        <f>ROUND(+F11,2)</f>
        <v>36.17</v>
      </c>
      <c r="H11" s="1093"/>
    </row>
    <row r="12" spans="1:8" x14ac:dyDescent="0.2">
      <c r="A12" s="1099"/>
      <c r="B12" s="1092"/>
      <c r="C12" s="1093"/>
      <c r="D12" s="1094"/>
      <c r="E12" s="1094"/>
      <c r="F12" s="1094"/>
      <c r="G12" s="1100" t="s">
        <v>1873</v>
      </c>
      <c r="H12" s="1093"/>
    </row>
    <row r="13" spans="1:8" x14ac:dyDescent="0.2">
      <c r="A13" s="1099"/>
      <c r="B13" s="1092"/>
      <c r="C13" s="1093"/>
      <c r="D13" s="1094"/>
      <c r="E13" s="1094"/>
      <c r="F13" s="1094"/>
      <c r="G13" s="1100">
        <f>ROUND(SUM(G4:G11),2)</f>
        <v>115.72</v>
      </c>
      <c r="H13" s="1093"/>
    </row>
    <row r="14" spans="1:8" x14ac:dyDescent="0.2">
      <c r="A14" s="1096" t="s">
        <v>1874</v>
      </c>
      <c r="B14" s="1092"/>
      <c r="C14" s="1093"/>
      <c r="D14" s="1094"/>
      <c r="E14" s="1094"/>
      <c r="F14" s="1101">
        <v>0.16</v>
      </c>
      <c r="G14" s="1100">
        <f>ROUND(G13*F14,2)</f>
        <v>18.52</v>
      </c>
      <c r="H14" s="1093"/>
    </row>
    <row r="15" spans="1:8" x14ac:dyDescent="0.2">
      <c r="A15" s="1099"/>
      <c r="B15" s="1092"/>
      <c r="C15" s="1093"/>
      <c r="D15" s="1094"/>
      <c r="E15" s="1094"/>
      <c r="F15" s="1094"/>
      <c r="G15" s="1100" t="s">
        <v>1873</v>
      </c>
      <c r="H15" s="1093"/>
    </row>
    <row r="16" spans="1:8" x14ac:dyDescent="0.2">
      <c r="A16" s="1099"/>
      <c r="B16" s="1092"/>
      <c r="C16" s="1093"/>
      <c r="D16" s="1094"/>
      <c r="E16" s="1094"/>
      <c r="F16" s="1098" t="s">
        <v>1875</v>
      </c>
      <c r="G16" s="1102">
        <f>SUM(G13:G14)</f>
        <v>134.24</v>
      </c>
      <c r="H16" s="1093"/>
    </row>
    <row r="17" spans="1:8" x14ac:dyDescent="0.2">
      <c r="A17" s="1099"/>
      <c r="B17" s="1092"/>
      <c r="C17" s="1093"/>
      <c r="D17" s="1094"/>
      <c r="E17" s="1094"/>
      <c r="F17" s="1094"/>
      <c r="G17" s="1098" t="s">
        <v>1876</v>
      </c>
      <c r="H17" s="1093"/>
    </row>
    <row r="18" spans="1:8" x14ac:dyDescent="0.2">
      <c r="A18" s="1099"/>
      <c r="B18" s="1092"/>
      <c r="C18" s="1093"/>
      <c r="D18" s="1094"/>
      <c r="E18" s="1094"/>
      <c r="F18" s="1094"/>
      <c r="G18" s="1098"/>
      <c r="H18" s="1093"/>
    </row>
    <row r="19" spans="1:8" x14ac:dyDescent="0.2">
      <c r="A19" s="1091" t="s">
        <v>1877</v>
      </c>
      <c r="B19" s="1092"/>
      <c r="C19" s="1093"/>
      <c r="D19" s="1094"/>
      <c r="E19" s="1094"/>
      <c r="F19" s="1095"/>
      <c r="G19" s="1094"/>
      <c r="H19" s="1093"/>
    </row>
    <row r="20" spans="1:8" x14ac:dyDescent="0.2">
      <c r="A20" s="1096" t="s">
        <v>1864</v>
      </c>
      <c r="B20" s="1092"/>
      <c r="C20" s="1097" t="s">
        <v>3</v>
      </c>
      <c r="D20" s="1094"/>
      <c r="E20" s="1098" t="s">
        <v>1865</v>
      </c>
      <c r="F20" s="1098" t="s">
        <v>1866</v>
      </c>
      <c r="G20" s="1095" t="s">
        <v>1867</v>
      </c>
      <c r="H20" s="1093"/>
    </row>
    <row r="21" spans="1:8" x14ac:dyDescent="0.2">
      <c r="A21" s="1099"/>
      <c r="B21" s="1092"/>
      <c r="C21" s="1093"/>
      <c r="D21" s="1094"/>
      <c r="E21" s="1094"/>
      <c r="F21" s="1095"/>
      <c r="G21" s="1094"/>
      <c r="H21" s="1093"/>
    </row>
    <row r="22" spans="1:8" x14ac:dyDescent="0.2">
      <c r="A22" s="1103" t="s">
        <v>1878</v>
      </c>
      <c r="B22" s="1104"/>
      <c r="C22" s="1105"/>
      <c r="D22" s="1106"/>
      <c r="E22" s="1107">
        <v>1</v>
      </c>
      <c r="F22" s="1108">
        <v>63.92</v>
      </c>
      <c r="G22" s="1109">
        <f>ROUND(+F22,0)</f>
        <v>64</v>
      </c>
      <c r="H22" s="1093"/>
    </row>
    <row r="23" spans="1:8" x14ac:dyDescent="0.2">
      <c r="A23" s="1103" t="s">
        <v>1869</v>
      </c>
      <c r="B23" s="1104"/>
      <c r="C23" s="1105"/>
      <c r="D23" s="1106"/>
      <c r="E23" s="1107">
        <v>1</v>
      </c>
      <c r="F23" s="1108">
        <v>23.1</v>
      </c>
      <c r="G23" s="1110">
        <f>ROUND(+F23,0)</f>
        <v>23</v>
      </c>
      <c r="H23" s="1093"/>
    </row>
    <row r="24" spans="1:8" x14ac:dyDescent="0.2">
      <c r="A24" s="1103" t="s">
        <v>1879</v>
      </c>
      <c r="B24" s="1104"/>
      <c r="C24" s="1105"/>
      <c r="D24" s="1106"/>
      <c r="E24" s="1107">
        <v>1</v>
      </c>
      <c r="F24" s="1111">
        <v>25.09</v>
      </c>
      <c r="G24" s="1109">
        <f>ROUND(+F24,0)</f>
        <v>25</v>
      </c>
      <c r="H24" s="1093"/>
    </row>
    <row r="25" spans="1:8" x14ac:dyDescent="0.2">
      <c r="A25" s="1103" t="s">
        <v>1880</v>
      </c>
      <c r="B25" s="1104"/>
      <c r="C25" s="1105"/>
      <c r="D25" s="1106"/>
      <c r="E25" s="1107"/>
      <c r="F25" s="1112">
        <v>9.0999999999999998E-2</v>
      </c>
      <c r="G25" s="1110">
        <f>ROUND(+G24*F25,2)</f>
        <v>2.2799999999999998</v>
      </c>
      <c r="H25" s="1093"/>
    </row>
    <row r="26" spans="1:8" x14ac:dyDescent="0.2">
      <c r="A26" s="1096" t="s">
        <v>1870</v>
      </c>
      <c r="B26" s="1092"/>
      <c r="C26" s="1093"/>
      <c r="D26" s="1094"/>
      <c r="E26" s="1094"/>
      <c r="F26" s="1101">
        <v>9.0999999999999998E-2</v>
      </c>
      <c r="G26" s="1100">
        <f>ROUND(+G22*F26,2)</f>
        <v>5.82</v>
      </c>
      <c r="H26" s="1093"/>
    </row>
    <row r="27" spans="1:8" x14ac:dyDescent="0.2">
      <c r="A27" s="1096" t="s">
        <v>1871</v>
      </c>
      <c r="B27" s="1092"/>
      <c r="C27" s="1093"/>
      <c r="D27" s="1094"/>
      <c r="E27" s="1098"/>
      <c r="F27" s="1101">
        <v>7.4999999999999997E-2</v>
      </c>
      <c r="G27" s="1100">
        <v>2</v>
      </c>
      <c r="H27" s="1093"/>
    </row>
    <row r="28" spans="1:8" x14ac:dyDescent="0.2">
      <c r="A28" s="1096" t="s">
        <v>1872</v>
      </c>
      <c r="B28" s="1092"/>
      <c r="C28" s="1097"/>
      <c r="D28" s="1094"/>
      <c r="E28" s="1098">
        <v>1</v>
      </c>
      <c r="F28" s="1095">
        <v>36.17</v>
      </c>
      <c r="G28" s="1100">
        <f>ROUND(+F28,2)</f>
        <v>36.17</v>
      </c>
      <c r="H28" s="1093"/>
    </row>
    <row r="29" spans="1:8" x14ac:dyDescent="0.2">
      <c r="A29" s="1099"/>
      <c r="B29" s="1092"/>
      <c r="C29" s="1093"/>
      <c r="D29" s="1094"/>
      <c r="E29" s="1094"/>
      <c r="F29" s="1094"/>
      <c r="G29" s="1100" t="s">
        <v>1873</v>
      </c>
      <c r="H29" s="1093"/>
    </row>
    <row r="30" spans="1:8" x14ac:dyDescent="0.2">
      <c r="A30" s="1099"/>
      <c r="B30" s="1092"/>
      <c r="C30" s="1093"/>
      <c r="D30" s="1094"/>
      <c r="E30" s="1094"/>
      <c r="F30" s="1094"/>
      <c r="G30" s="1100">
        <f>ROUND(SUM(G19:G28),2)</f>
        <v>158.27000000000001</v>
      </c>
      <c r="H30" s="1093"/>
    </row>
    <row r="31" spans="1:8" x14ac:dyDescent="0.2">
      <c r="A31" s="1096" t="s">
        <v>1874</v>
      </c>
      <c r="B31" s="1092"/>
      <c r="C31" s="1093"/>
      <c r="D31" s="1094"/>
      <c r="E31" s="1094"/>
      <c r="F31" s="1101">
        <v>0.16</v>
      </c>
      <c r="G31" s="1100">
        <f>ROUND(G30*F31,2)</f>
        <v>25.32</v>
      </c>
      <c r="H31" s="1093"/>
    </row>
    <row r="32" spans="1:8" x14ac:dyDescent="0.2">
      <c r="A32" s="1099"/>
      <c r="B32" s="1092"/>
      <c r="C32" s="1093"/>
      <c r="D32" s="1094"/>
      <c r="E32" s="1094"/>
      <c r="F32" s="1094"/>
      <c r="G32" s="1100" t="s">
        <v>1873</v>
      </c>
      <c r="H32" s="1093"/>
    </row>
    <row r="33" spans="1:8" x14ac:dyDescent="0.2">
      <c r="A33" s="1099"/>
      <c r="B33" s="1092"/>
      <c r="C33" s="1093"/>
      <c r="D33" s="1094"/>
      <c r="E33" s="1094"/>
      <c r="F33" s="1098" t="s">
        <v>1875</v>
      </c>
      <c r="G33" s="1109">
        <f>SUM(G30:G31)</f>
        <v>183.59</v>
      </c>
      <c r="H33" s="1093"/>
    </row>
    <row r="34" spans="1:8" x14ac:dyDescent="0.2">
      <c r="A34" s="1099"/>
      <c r="B34" s="1092"/>
      <c r="C34" s="1093"/>
      <c r="D34" s="1094"/>
      <c r="E34" s="1094"/>
      <c r="F34" s="1094"/>
      <c r="G34" s="1098" t="s">
        <v>1876</v>
      </c>
      <c r="H34" s="1093"/>
    </row>
    <row r="35" spans="1:8" x14ac:dyDescent="0.2">
      <c r="A35" s="1091">
        <v>425</v>
      </c>
      <c r="B35" s="1092"/>
      <c r="C35" s="1093"/>
      <c r="D35" s="1094"/>
      <c r="E35" s="1094"/>
      <c r="F35" s="1095"/>
      <c r="G35" s="1094"/>
      <c r="H35" s="1093"/>
    </row>
    <row r="36" spans="1:8" x14ac:dyDescent="0.2">
      <c r="A36" s="1096" t="s">
        <v>1864</v>
      </c>
      <c r="B36" s="1092"/>
      <c r="C36" s="1097" t="s">
        <v>3</v>
      </c>
      <c r="D36" s="1094"/>
      <c r="E36" s="1098" t="s">
        <v>1865</v>
      </c>
      <c r="F36" s="1098" t="s">
        <v>1866</v>
      </c>
      <c r="G36" s="1095" t="s">
        <v>1867</v>
      </c>
      <c r="H36" s="1093"/>
    </row>
    <row r="37" spans="1:8" x14ac:dyDescent="0.2">
      <c r="A37" s="1099"/>
      <c r="B37" s="1092"/>
      <c r="C37" s="1093"/>
      <c r="D37" s="1094"/>
      <c r="E37" s="1094"/>
      <c r="F37" s="1095"/>
      <c r="G37" s="1094"/>
      <c r="H37" s="1093"/>
    </row>
    <row r="38" spans="1:8" x14ac:dyDescent="0.2">
      <c r="A38" s="1096" t="s">
        <v>1881</v>
      </c>
      <c r="B38" s="1092"/>
      <c r="C38" s="1093"/>
      <c r="D38" s="1094"/>
      <c r="E38" s="1098">
        <v>1</v>
      </c>
      <c r="F38" s="1095">
        <v>130.32</v>
      </c>
      <c r="G38" s="1100">
        <f>ROUND(+F38,0)</f>
        <v>130</v>
      </c>
      <c r="H38" s="1093"/>
    </row>
    <row r="39" spans="1:8" x14ac:dyDescent="0.2">
      <c r="A39" s="1096" t="s">
        <v>1882</v>
      </c>
      <c r="B39" s="1092"/>
      <c r="C39" s="1093"/>
      <c r="D39" s="1094"/>
      <c r="E39" s="1098">
        <v>1</v>
      </c>
      <c r="F39" s="1095">
        <v>23.1</v>
      </c>
      <c r="G39" s="1100">
        <f>ROUND(+F39,0)</f>
        <v>23</v>
      </c>
      <c r="H39" s="1093"/>
    </row>
    <row r="40" spans="1:8" x14ac:dyDescent="0.2">
      <c r="A40" s="1096" t="s">
        <v>1870</v>
      </c>
      <c r="B40" s="1092"/>
      <c r="C40" s="1093"/>
      <c r="D40" s="1094"/>
      <c r="E40" s="1094"/>
      <c r="F40" s="1101">
        <v>9.0999999999999998E-2</v>
      </c>
      <c r="G40" s="1100">
        <f>ROUND(+G38*F40,2)</f>
        <v>11.83</v>
      </c>
      <c r="H40" s="1093"/>
    </row>
    <row r="41" spans="1:8" x14ac:dyDescent="0.2">
      <c r="A41" s="1096" t="s">
        <v>1871</v>
      </c>
      <c r="B41" s="1092"/>
      <c r="C41" s="1093"/>
      <c r="D41" s="1094"/>
      <c r="E41" s="1098"/>
      <c r="F41" s="1101">
        <v>7.4999999999999997E-2</v>
      </c>
      <c r="G41" s="1100">
        <v>2</v>
      </c>
      <c r="H41" s="1093"/>
    </row>
    <row r="42" spans="1:8" x14ac:dyDescent="0.2">
      <c r="A42" s="1096" t="s">
        <v>1872</v>
      </c>
      <c r="B42" s="1092"/>
      <c r="C42" s="1097"/>
      <c r="D42" s="1094"/>
      <c r="E42" s="1098">
        <v>1</v>
      </c>
      <c r="F42" s="1095">
        <v>36.17</v>
      </c>
      <c r="G42" s="1100">
        <f>ROUND(+F42,2)</f>
        <v>36.17</v>
      </c>
      <c r="H42" s="1093"/>
    </row>
    <row r="43" spans="1:8" x14ac:dyDescent="0.2">
      <c r="A43" s="1099"/>
      <c r="B43" s="1092"/>
      <c r="C43" s="1093"/>
      <c r="D43" s="1094"/>
      <c r="E43" s="1094"/>
      <c r="F43" s="1094"/>
      <c r="G43" s="1100" t="s">
        <v>1873</v>
      </c>
      <c r="H43" s="1093"/>
    </row>
    <row r="44" spans="1:8" x14ac:dyDescent="0.2">
      <c r="A44" s="1099"/>
      <c r="B44" s="1092"/>
      <c r="C44" s="1093"/>
      <c r="D44" s="1094"/>
      <c r="E44" s="1094"/>
      <c r="F44" s="1094"/>
      <c r="G44" s="1100">
        <f>ROUND(SUM(G35:G42),2)</f>
        <v>203</v>
      </c>
      <c r="H44" s="1093"/>
    </row>
    <row r="45" spans="1:8" x14ac:dyDescent="0.2">
      <c r="A45" s="1096" t="s">
        <v>1874</v>
      </c>
      <c r="B45" s="1092"/>
      <c r="C45" s="1093"/>
      <c r="D45" s="1094"/>
      <c r="E45" s="1094"/>
      <c r="F45" s="1101">
        <v>0.16</v>
      </c>
      <c r="G45" s="1100">
        <f>ROUND(G44*F45,2)</f>
        <v>32.479999999999997</v>
      </c>
      <c r="H45" s="1093"/>
    </row>
    <row r="46" spans="1:8" x14ac:dyDescent="0.2">
      <c r="A46" s="1099"/>
      <c r="B46" s="1092"/>
      <c r="C46" s="1093"/>
      <c r="D46" s="1094"/>
      <c r="E46" s="1094"/>
      <c r="F46" s="1094"/>
      <c r="G46" s="1100" t="s">
        <v>1873</v>
      </c>
      <c r="H46" s="1093"/>
    </row>
    <row r="47" spans="1:8" x14ac:dyDescent="0.2">
      <c r="A47" s="1099"/>
      <c r="B47" s="1092"/>
      <c r="C47" s="1093"/>
      <c r="D47" s="1094"/>
      <c r="E47" s="1094"/>
      <c r="F47" s="1098" t="s">
        <v>1875</v>
      </c>
      <c r="G47" s="1113">
        <f>SUM(G44:G45)</f>
        <v>235.48</v>
      </c>
      <c r="H47" s="1093"/>
    </row>
    <row r="48" spans="1:8" x14ac:dyDescent="0.2">
      <c r="A48" s="1099"/>
      <c r="B48" s="1092"/>
      <c r="C48" s="1093"/>
      <c r="D48" s="1094"/>
      <c r="E48" s="1094"/>
      <c r="F48" s="1094"/>
      <c r="G48" s="1098" t="s">
        <v>1876</v>
      </c>
      <c r="H48" s="1093"/>
    </row>
    <row r="49" spans="1:8" x14ac:dyDescent="0.2">
      <c r="A49" s="1099"/>
      <c r="B49" s="1092"/>
      <c r="C49" s="1093"/>
      <c r="D49" s="1094"/>
      <c r="E49" s="1094"/>
      <c r="F49" s="1094"/>
      <c r="G49" s="1098"/>
      <c r="H49" s="1093"/>
    </row>
    <row r="50" spans="1:8" x14ac:dyDescent="0.2">
      <c r="A50" s="1091" t="s">
        <v>1883</v>
      </c>
      <c r="B50" s="1092"/>
      <c r="C50" s="1093"/>
      <c r="D50" s="1094"/>
      <c r="E50" s="1094"/>
      <c r="F50" s="1095"/>
      <c r="G50" s="1094"/>
      <c r="H50" s="1093"/>
    </row>
    <row r="51" spans="1:8" x14ac:dyDescent="0.2">
      <c r="A51" s="1096" t="s">
        <v>1864</v>
      </c>
      <c r="B51" s="1092"/>
      <c r="C51" s="1097" t="s">
        <v>3</v>
      </c>
      <c r="D51" s="1094"/>
      <c r="E51" s="1098" t="s">
        <v>1865</v>
      </c>
      <c r="F51" s="1098" t="s">
        <v>1866</v>
      </c>
      <c r="G51" s="1095" t="s">
        <v>1867</v>
      </c>
      <c r="H51" s="1093"/>
    </row>
    <row r="52" spans="1:8" x14ac:dyDescent="0.2">
      <c r="A52" s="1099"/>
      <c r="B52" s="1092"/>
      <c r="C52" s="1093"/>
      <c r="D52" s="1094"/>
      <c r="E52" s="1094"/>
      <c r="F52" s="1095"/>
      <c r="G52" s="1094"/>
      <c r="H52" s="1093"/>
    </row>
    <row r="53" spans="1:8" x14ac:dyDescent="0.2">
      <c r="A53" s="1096" t="s">
        <v>1884</v>
      </c>
      <c r="B53" s="1092"/>
      <c r="C53" s="1093"/>
      <c r="D53" s="1094"/>
      <c r="E53" s="1098">
        <v>1</v>
      </c>
      <c r="F53" s="1095">
        <v>160.99</v>
      </c>
      <c r="G53" s="1113">
        <f>ROUND(+F53,0)</f>
        <v>161</v>
      </c>
      <c r="H53" s="1093"/>
    </row>
    <row r="54" spans="1:8" x14ac:dyDescent="0.2">
      <c r="A54" s="1096" t="s">
        <v>1882</v>
      </c>
      <c r="B54" s="1092"/>
      <c r="C54" s="1093"/>
      <c r="D54" s="1094"/>
      <c r="E54" s="1098">
        <v>1</v>
      </c>
      <c r="F54" s="1095">
        <v>23.1</v>
      </c>
      <c r="G54" s="1100">
        <f>ROUND(+F54,0)</f>
        <v>23</v>
      </c>
      <c r="H54" s="1093"/>
    </row>
    <row r="55" spans="1:8" x14ac:dyDescent="0.2">
      <c r="A55" s="1103" t="s">
        <v>1885</v>
      </c>
      <c r="B55" s="1104"/>
      <c r="C55" s="1105"/>
      <c r="D55" s="1106"/>
      <c r="E55" s="1107">
        <v>1</v>
      </c>
      <c r="F55" s="1111">
        <v>181</v>
      </c>
      <c r="G55" s="1109">
        <f>ROUND(+F55,0)</f>
        <v>181</v>
      </c>
      <c r="H55" s="1093"/>
    </row>
    <row r="56" spans="1:8" x14ac:dyDescent="0.2">
      <c r="A56" s="1103" t="s">
        <v>1886</v>
      </c>
      <c r="B56" s="1104"/>
      <c r="C56" s="1105"/>
      <c r="D56" s="1106"/>
      <c r="E56" s="1107"/>
      <c r="F56" s="1112">
        <v>9.0999999999999998E-2</v>
      </c>
      <c r="G56" s="1110">
        <f>ROUND(+G55*F56,2)</f>
        <v>16.47</v>
      </c>
      <c r="H56" s="1093"/>
    </row>
    <row r="57" spans="1:8" x14ac:dyDescent="0.2">
      <c r="A57" s="1096" t="s">
        <v>1870</v>
      </c>
      <c r="B57" s="1092"/>
      <c r="C57" s="1093"/>
      <c r="D57" s="1094"/>
      <c r="E57" s="1094"/>
      <c r="F57" s="1101">
        <v>9.0999999999999998E-2</v>
      </c>
      <c r="G57" s="1100">
        <f>ROUND(+G53*F57,2)</f>
        <v>14.65</v>
      </c>
      <c r="H57" s="1093"/>
    </row>
    <row r="58" spans="1:8" x14ac:dyDescent="0.2">
      <c r="A58" s="1096" t="s">
        <v>1871</v>
      </c>
      <c r="B58" s="1092"/>
      <c r="C58" s="1093"/>
      <c r="D58" s="1094"/>
      <c r="E58" s="1098"/>
      <c r="F58" s="1101">
        <v>7.4999999999999997E-2</v>
      </c>
      <c r="G58" s="1100">
        <v>2</v>
      </c>
      <c r="H58" s="1093"/>
    </row>
    <row r="59" spans="1:8" x14ac:dyDescent="0.2">
      <c r="A59" s="1096" t="s">
        <v>1872</v>
      </c>
      <c r="B59" s="1092"/>
      <c r="C59" s="1097"/>
      <c r="D59" s="1094"/>
      <c r="E59" s="1098">
        <v>1</v>
      </c>
      <c r="F59" s="1095">
        <v>36.17</v>
      </c>
      <c r="G59" s="1100">
        <f>ROUND(+F59,2)</f>
        <v>36.17</v>
      </c>
      <c r="H59" s="1093"/>
    </row>
    <row r="60" spans="1:8" x14ac:dyDescent="0.2">
      <c r="A60" s="1099"/>
      <c r="B60" s="1092"/>
      <c r="C60" s="1093"/>
      <c r="D60" s="1094"/>
      <c r="E60" s="1094"/>
      <c r="F60" s="1094"/>
      <c r="G60" s="1100" t="s">
        <v>1873</v>
      </c>
      <c r="H60" s="1093"/>
    </row>
    <row r="61" spans="1:8" x14ac:dyDescent="0.2">
      <c r="A61" s="1099"/>
      <c r="B61" s="1092"/>
      <c r="C61" s="1093"/>
      <c r="D61" s="1094"/>
      <c r="E61" s="1094"/>
      <c r="F61" s="1094"/>
      <c r="G61" s="1098">
        <f>ROUND(SUM(G50:G59),2)</f>
        <v>434.29</v>
      </c>
      <c r="H61" s="1093"/>
    </row>
    <row r="62" spans="1:8" x14ac:dyDescent="0.2">
      <c r="A62" s="1096" t="s">
        <v>1874</v>
      </c>
      <c r="B62" s="1092"/>
      <c r="C62" s="1093"/>
      <c r="D62" s="1094"/>
      <c r="E62" s="1094"/>
      <c r="F62" s="1101">
        <v>0.16</v>
      </c>
      <c r="G62" s="1100">
        <f>ROUND(G61*F62,2)</f>
        <v>69.489999999999995</v>
      </c>
      <c r="H62" s="1093"/>
    </row>
    <row r="63" spans="1:8" x14ac:dyDescent="0.2">
      <c r="A63" s="1099"/>
      <c r="B63" s="1092"/>
      <c r="C63" s="1093"/>
      <c r="D63" s="1094"/>
      <c r="E63" s="1094"/>
      <c r="F63" s="1094"/>
      <c r="G63" s="1100" t="s">
        <v>1873</v>
      </c>
      <c r="H63" s="1093"/>
    </row>
    <row r="64" spans="1:8" x14ac:dyDescent="0.2">
      <c r="A64" s="1099"/>
      <c r="B64" s="1092"/>
      <c r="C64" s="1093"/>
      <c r="D64" s="1094"/>
      <c r="E64" s="1094"/>
      <c r="F64" s="1098" t="s">
        <v>1875</v>
      </c>
      <c r="G64" s="1109">
        <f>SUM(G61:G62)</f>
        <v>503.78000000000003</v>
      </c>
      <c r="H64" s="1093"/>
    </row>
    <row r="65" spans="1:8" x14ac:dyDescent="0.2">
      <c r="A65" s="1099"/>
      <c r="B65" s="1092"/>
      <c r="C65" s="1093"/>
      <c r="D65" s="1094"/>
      <c r="E65" s="1094"/>
      <c r="F65" s="1094"/>
      <c r="G65" s="1098" t="s">
        <v>1876</v>
      </c>
      <c r="H65" s="1093"/>
    </row>
    <row r="66" spans="1:8" x14ac:dyDescent="0.2">
      <c r="A66" s="1091"/>
      <c r="B66" s="1092"/>
      <c r="C66" s="1093"/>
      <c r="D66" s="1094"/>
      <c r="E66" s="1094"/>
      <c r="F66" s="1095"/>
      <c r="G66" s="1094"/>
      <c r="H66" s="1093"/>
    </row>
    <row r="67" spans="1:8" x14ac:dyDescent="0.2">
      <c r="A67" s="1091">
        <v>1000</v>
      </c>
      <c r="B67" s="1092"/>
      <c r="C67" s="1093"/>
      <c r="D67" s="1094"/>
      <c r="E67" s="1094"/>
      <c r="F67" s="1095"/>
      <c r="G67" s="1094"/>
      <c r="H67" s="1093"/>
    </row>
    <row r="68" spans="1:8" x14ac:dyDescent="0.2">
      <c r="A68" s="1096" t="s">
        <v>1864</v>
      </c>
      <c r="B68" s="1092"/>
      <c r="C68" s="1097" t="s">
        <v>3</v>
      </c>
      <c r="D68" s="1094"/>
      <c r="E68" s="1098" t="s">
        <v>1865</v>
      </c>
      <c r="F68" s="1098" t="s">
        <v>1866</v>
      </c>
      <c r="G68" s="1095" t="s">
        <v>1867</v>
      </c>
      <c r="H68" s="1093"/>
    </row>
    <row r="69" spans="1:8" x14ac:dyDescent="0.2">
      <c r="A69" s="1099"/>
      <c r="B69" s="1092"/>
      <c r="C69" s="1093"/>
      <c r="D69" s="1094"/>
      <c r="E69" s="1094"/>
      <c r="F69" s="1095"/>
      <c r="G69" s="1094"/>
      <c r="H69" s="1093"/>
    </row>
    <row r="70" spans="1:8" x14ac:dyDescent="0.2">
      <c r="A70" s="1096" t="s">
        <v>1887</v>
      </c>
      <c r="B70" s="1092"/>
      <c r="C70" s="1093"/>
      <c r="D70" s="1094"/>
      <c r="E70" s="1098">
        <v>1</v>
      </c>
      <c r="F70" s="1095">
        <v>739.72</v>
      </c>
      <c r="G70" s="1100">
        <f>ROUND(+F70,0)</f>
        <v>740</v>
      </c>
      <c r="H70" s="1093"/>
    </row>
    <row r="71" spans="1:8" x14ac:dyDescent="0.2">
      <c r="A71" s="1096" t="s">
        <v>1882</v>
      </c>
      <c r="B71" s="1092"/>
      <c r="C71" s="1093"/>
      <c r="D71" s="1094"/>
      <c r="E71" s="1098">
        <v>1</v>
      </c>
      <c r="F71" s="1095">
        <v>109</v>
      </c>
      <c r="G71" s="1100">
        <f>ROUND(+F71,0)</f>
        <v>109</v>
      </c>
      <c r="H71" s="1093"/>
    </row>
    <row r="72" spans="1:8" x14ac:dyDescent="0.2">
      <c r="A72" s="1096" t="s">
        <v>1870</v>
      </c>
      <c r="B72" s="1092"/>
      <c r="C72" s="1093"/>
      <c r="D72" s="1094"/>
      <c r="E72" s="1094"/>
      <c r="F72" s="1101">
        <v>9.0999999999999998E-2</v>
      </c>
      <c r="G72" s="1100">
        <f>ROUND(+G70*F72,2)</f>
        <v>67.34</v>
      </c>
      <c r="H72" s="1093"/>
    </row>
    <row r="73" spans="1:8" x14ac:dyDescent="0.2">
      <c r="A73" s="1096" t="s">
        <v>1871</v>
      </c>
      <c r="B73" s="1092"/>
      <c r="C73" s="1093"/>
      <c r="D73" s="1094"/>
      <c r="E73" s="1098"/>
      <c r="F73" s="1101">
        <v>7.4999999999999997E-2</v>
      </c>
      <c r="G73" s="1100">
        <v>0</v>
      </c>
      <c r="H73" s="1093"/>
    </row>
    <row r="74" spans="1:8" x14ac:dyDescent="0.2">
      <c r="A74" s="1096" t="s">
        <v>1872</v>
      </c>
      <c r="B74" s="1092"/>
      <c r="C74" s="1097"/>
      <c r="D74" s="1094"/>
      <c r="E74" s="1098">
        <v>1</v>
      </c>
      <c r="F74" s="1095">
        <v>36.17</v>
      </c>
      <c r="G74" s="1100">
        <f>ROUND(+F74,2)</f>
        <v>36.17</v>
      </c>
      <c r="H74" s="1093"/>
    </row>
    <row r="75" spans="1:8" x14ac:dyDescent="0.2">
      <c r="A75" s="1099"/>
      <c r="B75" s="1092"/>
      <c r="C75" s="1093"/>
      <c r="D75" s="1094"/>
      <c r="E75" s="1094"/>
      <c r="F75" s="1094"/>
      <c r="G75" s="1100" t="s">
        <v>1873</v>
      </c>
      <c r="H75" s="1093"/>
    </row>
    <row r="76" spans="1:8" x14ac:dyDescent="0.2">
      <c r="A76" s="1099"/>
      <c r="B76" s="1092"/>
      <c r="C76" s="1093"/>
      <c r="D76" s="1094"/>
      <c r="E76" s="1094"/>
      <c r="F76" s="1094"/>
      <c r="G76" s="1100">
        <f>ROUND(SUM(G67:G74),2)</f>
        <v>952.51</v>
      </c>
      <c r="H76" s="1093"/>
    </row>
    <row r="77" spans="1:8" x14ac:dyDescent="0.2">
      <c r="A77" s="1096" t="s">
        <v>1874</v>
      </c>
      <c r="B77" s="1092"/>
      <c r="C77" s="1093"/>
      <c r="D77" s="1094"/>
      <c r="E77" s="1094"/>
      <c r="F77" s="1101">
        <v>0.16</v>
      </c>
      <c r="G77" s="1100">
        <f>ROUND(G76*F77,2)</f>
        <v>152.4</v>
      </c>
      <c r="H77" s="1093"/>
    </row>
    <row r="78" spans="1:8" x14ac:dyDescent="0.2">
      <c r="A78" s="1099"/>
      <c r="B78" s="1092"/>
      <c r="C78" s="1093"/>
      <c r="D78" s="1094"/>
      <c r="E78" s="1094"/>
      <c r="F78" s="1094"/>
      <c r="G78" s="1100" t="s">
        <v>1873</v>
      </c>
      <c r="H78" s="1093"/>
    </row>
    <row r="79" spans="1:8" x14ac:dyDescent="0.2">
      <c r="A79" s="1099"/>
      <c r="B79" s="1092"/>
      <c r="C79" s="1093"/>
      <c r="D79" s="1094"/>
      <c r="E79" s="1094"/>
      <c r="F79" s="1098" t="s">
        <v>1875</v>
      </c>
      <c r="G79" s="1113">
        <f>SUM(G76:G77)</f>
        <v>1104.9100000000001</v>
      </c>
      <c r="H79" s="1093"/>
    </row>
    <row r="80" spans="1:8" x14ac:dyDescent="0.2">
      <c r="A80" s="1099"/>
      <c r="B80" s="1092"/>
      <c r="C80" s="1093"/>
      <c r="D80" s="1094"/>
      <c r="E80" s="1094"/>
      <c r="F80" s="1094"/>
      <c r="G80" s="1098" t="s">
        <v>1876</v>
      </c>
      <c r="H80" s="1093"/>
    </row>
    <row r="81" spans="1:8" x14ac:dyDescent="0.2">
      <c r="A81" s="1099"/>
      <c r="B81" s="1092"/>
      <c r="C81" s="1093"/>
      <c r="D81" s="1094"/>
      <c r="E81" s="1094"/>
      <c r="F81" s="1094"/>
      <c r="G81" s="1100"/>
      <c r="H81" s="1093"/>
    </row>
    <row r="82" spans="1:8" x14ac:dyDescent="0.2">
      <c r="A82" s="1091" t="s">
        <v>1888</v>
      </c>
      <c r="B82" s="1092"/>
      <c r="C82" s="1093"/>
      <c r="D82" s="1094"/>
      <c r="E82" s="1094"/>
      <c r="F82" s="1095"/>
      <c r="G82" s="1094"/>
      <c r="H82" s="1093"/>
    </row>
    <row r="83" spans="1:8" x14ac:dyDescent="0.2">
      <c r="A83" s="1096" t="s">
        <v>1864</v>
      </c>
      <c r="B83" s="1092"/>
      <c r="C83" s="1097" t="s">
        <v>3</v>
      </c>
      <c r="D83" s="1094"/>
      <c r="E83" s="1098" t="s">
        <v>1865</v>
      </c>
      <c r="F83" s="1098" t="s">
        <v>1866</v>
      </c>
      <c r="G83" s="1095" t="s">
        <v>1867</v>
      </c>
      <c r="H83" s="1093"/>
    </row>
    <row r="84" spans="1:8" x14ac:dyDescent="0.2">
      <c r="A84" s="1099"/>
      <c r="B84" s="1092"/>
      <c r="C84" s="1093"/>
      <c r="D84" s="1094"/>
      <c r="E84" s="1094"/>
      <c r="F84" s="1095"/>
      <c r="G84" s="1094"/>
      <c r="H84" s="1093"/>
    </row>
    <row r="85" spans="1:8" x14ac:dyDescent="0.2">
      <c r="A85" s="1096" t="s">
        <v>1889</v>
      </c>
      <c r="B85" s="1092"/>
      <c r="C85" s="1093"/>
      <c r="D85" s="1094"/>
      <c r="E85" s="1098">
        <v>1</v>
      </c>
      <c r="F85" s="1095">
        <v>845.01</v>
      </c>
      <c r="G85" s="1109">
        <f>ROUND(+F85,0)</f>
        <v>845</v>
      </c>
      <c r="H85" s="1093"/>
    </row>
    <row r="86" spans="1:8" x14ac:dyDescent="0.2">
      <c r="A86" s="1096" t="s">
        <v>1882</v>
      </c>
      <c r="B86" s="1092"/>
      <c r="C86" s="1093"/>
      <c r="D86" s="1094"/>
      <c r="E86" s="1098">
        <v>1</v>
      </c>
      <c r="F86" s="1095">
        <v>109</v>
      </c>
      <c r="G86" s="1110">
        <f>ROUND(+F86,0)</f>
        <v>109</v>
      </c>
      <c r="H86" s="1093"/>
    </row>
    <row r="87" spans="1:8" x14ac:dyDescent="0.2">
      <c r="A87" s="1103" t="s">
        <v>1890</v>
      </c>
      <c r="B87" s="1104"/>
      <c r="C87" s="1105"/>
      <c r="D87" s="1106"/>
      <c r="E87" s="1107">
        <v>1</v>
      </c>
      <c r="F87" s="1111">
        <v>165</v>
      </c>
      <c r="G87" s="1109">
        <f>ROUND(+F87,0)</f>
        <v>165</v>
      </c>
      <c r="H87" s="1093"/>
    </row>
    <row r="88" spans="1:8" x14ac:dyDescent="0.2">
      <c r="A88" s="1103" t="s">
        <v>1886</v>
      </c>
      <c r="B88" s="1104"/>
      <c r="C88" s="1105"/>
      <c r="D88" s="1106"/>
      <c r="E88" s="1107"/>
      <c r="F88" s="1112">
        <v>9.0999999999999998E-2</v>
      </c>
      <c r="G88" s="1110">
        <f>ROUND(+G87*F88,2)</f>
        <v>15.02</v>
      </c>
      <c r="H88" s="1093"/>
    </row>
    <row r="89" spans="1:8" x14ac:dyDescent="0.2">
      <c r="A89" s="1096" t="s">
        <v>1870</v>
      </c>
      <c r="B89" s="1092"/>
      <c r="C89" s="1093"/>
      <c r="D89" s="1094"/>
      <c r="E89" s="1094"/>
      <c r="F89" s="1101">
        <v>9.0999999999999998E-2</v>
      </c>
      <c r="G89" s="1100">
        <f>ROUND(+G85*F89,2)</f>
        <v>76.900000000000006</v>
      </c>
      <c r="H89" s="1093"/>
    </row>
    <row r="90" spans="1:8" x14ac:dyDescent="0.2">
      <c r="A90" s="1096" t="s">
        <v>1871</v>
      </c>
      <c r="B90" s="1092"/>
      <c r="C90" s="1093"/>
      <c r="D90" s="1094"/>
      <c r="E90" s="1098"/>
      <c r="F90" s="1101">
        <v>7.4999999999999997E-2</v>
      </c>
      <c r="G90" s="1100">
        <v>0</v>
      </c>
      <c r="H90" s="1093"/>
    </row>
    <row r="91" spans="1:8" x14ac:dyDescent="0.2">
      <c r="A91" s="1096" t="s">
        <v>1872</v>
      </c>
      <c r="B91" s="1092"/>
      <c r="C91" s="1097"/>
      <c r="D91" s="1094"/>
      <c r="E91" s="1098">
        <v>1</v>
      </c>
      <c r="F91" s="1095">
        <v>36.17</v>
      </c>
      <c r="G91" s="1100">
        <f>ROUND(+F91,2)</f>
        <v>36.17</v>
      </c>
      <c r="H91" s="1093"/>
    </row>
    <row r="92" spans="1:8" x14ac:dyDescent="0.2">
      <c r="A92" s="1099"/>
      <c r="B92" s="1092"/>
      <c r="C92" s="1093"/>
      <c r="D92" s="1094"/>
      <c r="E92" s="1094"/>
      <c r="F92" s="1094"/>
      <c r="G92" s="1100" t="s">
        <v>1873</v>
      </c>
      <c r="H92" s="1093"/>
    </row>
    <row r="93" spans="1:8" x14ac:dyDescent="0.2">
      <c r="A93" s="1099"/>
      <c r="B93" s="1092"/>
      <c r="C93" s="1093"/>
      <c r="D93" s="1094"/>
      <c r="E93" s="1094"/>
      <c r="F93" s="1094"/>
      <c r="G93" s="1100">
        <f>ROUND(SUM(G82:G91),2)</f>
        <v>1247.0899999999999</v>
      </c>
      <c r="H93" s="1093"/>
    </row>
    <row r="94" spans="1:8" x14ac:dyDescent="0.2">
      <c r="A94" s="1096" t="s">
        <v>1874</v>
      </c>
      <c r="B94" s="1092"/>
      <c r="C94" s="1093"/>
      <c r="D94" s="1094"/>
      <c r="E94" s="1094"/>
      <c r="F94" s="1101">
        <v>0.16</v>
      </c>
      <c r="G94" s="1100">
        <f>ROUND(G93*F94,2)</f>
        <v>199.53</v>
      </c>
      <c r="H94" s="1093"/>
    </row>
    <row r="95" spans="1:8" x14ac:dyDescent="0.2">
      <c r="A95" s="1099"/>
      <c r="B95" s="1092"/>
      <c r="C95" s="1093"/>
      <c r="D95" s="1094"/>
      <c r="E95" s="1094"/>
      <c r="F95" s="1094"/>
      <c r="G95" s="1100" t="s">
        <v>1873</v>
      </c>
      <c r="H95" s="1093"/>
    </row>
    <row r="96" spans="1:8" x14ac:dyDescent="0.2">
      <c r="A96" s="1099"/>
      <c r="B96" s="1092"/>
      <c r="C96" s="1093"/>
      <c r="D96" s="1094"/>
      <c r="E96" s="1094"/>
      <c r="F96" s="1098" t="s">
        <v>1875</v>
      </c>
      <c r="G96" s="1109">
        <f>SUM(G93:G94)</f>
        <v>1446.62</v>
      </c>
      <c r="H96" s="1093"/>
    </row>
    <row r="97" spans="1:8" x14ac:dyDescent="0.2">
      <c r="A97" s="1099"/>
      <c r="B97" s="1092"/>
      <c r="C97" s="1093"/>
      <c r="D97" s="1094"/>
      <c r="E97" s="1094"/>
      <c r="F97" s="1094"/>
      <c r="G97" s="1098" t="s">
        <v>1876</v>
      </c>
      <c r="H97" s="1093"/>
    </row>
    <row r="98" spans="1:8" x14ac:dyDescent="0.2">
      <c r="A98" s="1099"/>
      <c r="B98" s="1092"/>
      <c r="C98" s="1093"/>
      <c r="D98" s="1094"/>
      <c r="E98" s="1094"/>
      <c r="F98" s="1098"/>
      <c r="G98" s="1100"/>
      <c r="H98" s="1093"/>
    </row>
    <row r="99" spans="1:8" x14ac:dyDescent="0.2">
      <c r="A99" s="1091">
        <v>1400</v>
      </c>
      <c r="B99" s="1092"/>
      <c r="C99" s="1093"/>
      <c r="D99" s="1094"/>
      <c r="E99" s="1094"/>
      <c r="F99" s="1095"/>
      <c r="G99" s="1094"/>
      <c r="H99" s="1093"/>
    </row>
    <row r="100" spans="1:8" x14ac:dyDescent="0.2">
      <c r="A100" s="1096" t="s">
        <v>1864</v>
      </c>
      <c r="B100" s="1092"/>
      <c r="C100" s="1097" t="s">
        <v>3</v>
      </c>
      <c r="D100" s="1094"/>
      <c r="E100" s="1098" t="s">
        <v>1865</v>
      </c>
      <c r="F100" s="1098" t="s">
        <v>1866</v>
      </c>
      <c r="G100" s="1095" t="s">
        <v>1867</v>
      </c>
      <c r="H100" s="1093"/>
    </row>
    <row r="101" spans="1:8" x14ac:dyDescent="0.2">
      <c r="A101" s="1099"/>
      <c r="B101" s="1092"/>
      <c r="C101" s="1093"/>
      <c r="D101" s="1094"/>
      <c r="E101" s="1094"/>
      <c r="F101" s="1095"/>
      <c r="G101" s="1094"/>
      <c r="H101" s="1093"/>
    </row>
    <row r="102" spans="1:8" x14ac:dyDescent="0.2">
      <c r="A102" s="1096" t="s">
        <v>1891</v>
      </c>
      <c r="B102" s="1092"/>
      <c r="C102" s="1093"/>
      <c r="D102" s="1094"/>
      <c r="E102" s="1098">
        <v>1</v>
      </c>
      <c r="F102" s="1095">
        <v>1668.37</v>
      </c>
      <c r="G102" s="1100">
        <f>ROUND(+F102,0)</f>
        <v>1668</v>
      </c>
      <c r="H102" s="1093"/>
    </row>
    <row r="103" spans="1:8" x14ac:dyDescent="0.2">
      <c r="A103" s="1096" t="s">
        <v>1882</v>
      </c>
      <c r="B103" s="1092"/>
      <c r="C103" s="1093"/>
      <c r="D103" s="1094"/>
      <c r="E103" s="1098">
        <v>1</v>
      </c>
      <c r="F103" s="1095">
        <v>191</v>
      </c>
      <c r="G103" s="1100">
        <f>ROUND(+F103,0)</f>
        <v>191</v>
      </c>
      <c r="H103" s="1093"/>
    </row>
    <row r="104" spans="1:8" x14ac:dyDescent="0.2">
      <c r="A104" s="1096" t="s">
        <v>1870</v>
      </c>
      <c r="B104" s="1092"/>
      <c r="C104" s="1093"/>
      <c r="D104" s="1094"/>
      <c r="E104" s="1094"/>
      <c r="F104" s="1101">
        <v>9.0999999999999998E-2</v>
      </c>
      <c r="G104" s="1100">
        <f>ROUND(+G102*F104,2)</f>
        <v>151.79</v>
      </c>
      <c r="H104" s="1093"/>
    </row>
    <row r="105" spans="1:8" x14ac:dyDescent="0.2">
      <c r="A105" s="1096" t="s">
        <v>1871</v>
      </c>
      <c r="B105" s="1092"/>
      <c r="C105" s="1093"/>
      <c r="D105" s="1094"/>
      <c r="E105" s="1098"/>
      <c r="F105" s="1101">
        <v>7.4999999999999997E-2</v>
      </c>
      <c r="G105" s="1100">
        <v>2</v>
      </c>
      <c r="H105" s="1093"/>
    </row>
    <row r="106" spans="1:8" x14ac:dyDescent="0.2">
      <c r="A106" s="1096" t="s">
        <v>1872</v>
      </c>
      <c r="B106" s="1092"/>
      <c r="C106" s="1097"/>
      <c r="D106" s="1094"/>
      <c r="E106" s="1098">
        <v>1</v>
      </c>
      <c r="F106" s="1095">
        <v>38.75</v>
      </c>
      <c r="G106" s="1100">
        <f>ROUND(+F106,2)</f>
        <v>38.75</v>
      </c>
      <c r="H106" s="1093"/>
    </row>
    <row r="107" spans="1:8" x14ac:dyDescent="0.2">
      <c r="A107" s="1099"/>
      <c r="B107" s="1092"/>
      <c r="C107" s="1093"/>
      <c r="D107" s="1094"/>
      <c r="E107" s="1094"/>
      <c r="F107" s="1094"/>
      <c r="G107" s="1100" t="s">
        <v>1873</v>
      </c>
      <c r="H107" s="1093"/>
    </row>
    <row r="108" spans="1:8" x14ac:dyDescent="0.2">
      <c r="A108" s="1099"/>
      <c r="B108" s="1092"/>
      <c r="C108" s="1093"/>
      <c r="D108" s="1094"/>
      <c r="E108" s="1094"/>
      <c r="F108" s="1094"/>
      <c r="G108" s="1100">
        <f>ROUND(SUM(G99:G106),2)</f>
        <v>2051.54</v>
      </c>
      <c r="H108" s="1093"/>
    </row>
    <row r="109" spans="1:8" x14ac:dyDescent="0.2">
      <c r="A109" s="1096" t="s">
        <v>1874</v>
      </c>
      <c r="B109" s="1092"/>
      <c r="C109" s="1093"/>
      <c r="D109" s="1094"/>
      <c r="E109" s="1094"/>
      <c r="F109" s="1101">
        <v>0.16</v>
      </c>
      <c r="G109" s="1100">
        <f>ROUND(G108*F109,2)</f>
        <v>328.25</v>
      </c>
      <c r="H109" s="1093"/>
    </row>
    <row r="110" spans="1:8" x14ac:dyDescent="0.2">
      <c r="A110" s="1099"/>
      <c r="B110" s="1092"/>
      <c r="C110" s="1093"/>
      <c r="D110" s="1094"/>
      <c r="E110" s="1094"/>
      <c r="F110" s="1094"/>
      <c r="G110" s="1100" t="s">
        <v>1873</v>
      </c>
      <c r="H110" s="1093"/>
    </row>
    <row r="111" spans="1:8" x14ac:dyDescent="0.2">
      <c r="A111" s="1099"/>
      <c r="B111" s="1092"/>
      <c r="C111" s="1093"/>
      <c r="D111" s="1094"/>
      <c r="E111" s="1094"/>
      <c r="F111" s="1098" t="s">
        <v>1875</v>
      </c>
      <c r="G111" s="1100">
        <f>SUM(G108:G109)</f>
        <v>2379.79</v>
      </c>
      <c r="H111" s="1093"/>
    </row>
    <row r="112" spans="1:8" x14ac:dyDescent="0.2">
      <c r="A112" s="1099"/>
      <c r="B112" s="1092"/>
      <c r="C112" s="1093"/>
      <c r="D112" s="1094"/>
      <c r="E112" s="1094"/>
      <c r="F112" s="1094"/>
      <c r="G112" s="1098" t="s">
        <v>1876</v>
      </c>
      <c r="H112" s="1093"/>
    </row>
    <row r="113" spans="1:8" x14ac:dyDescent="0.2">
      <c r="A113" s="1099"/>
      <c r="B113" s="1097"/>
      <c r="C113" s="1093"/>
      <c r="D113" s="1094"/>
      <c r="E113" s="1094"/>
      <c r="F113" s="1094"/>
      <c r="G113" s="1100"/>
      <c r="H113" s="1093"/>
    </row>
    <row r="114" spans="1:8" x14ac:dyDescent="0.2">
      <c r="A114" s="1091">
        <v>2300</v>
      </c>
      <c r="B114" s="1092"/>
      <c r="C114" s="1093"/>
      <c r="D114" s="1094"/>
      <c r="E114" s="1094"/>
      <c r="F114" s="1095"/>
      <c r="G114" s="1094"/>
      <c r="H114" s="1093"/>
    </row>
    <row r="115" spans="1:8" x14ac:dyDescent="0.2">
      <c r="A115" s="1096" t="s">
        <v>1864</v>
      </c>
      <c r="B115" s="1092"/>
      <c r="C115" s="1097" t="s">
        <v>3</v>
      </c>
      <c r="D115" s="1094"/>
      <c r="E115" s="1098" t="s">
        <v>1865</v>
      </c>
      <c r="F115" s="1098" t="s">
        <v>1866</v>
      </c>
      <c r="G115" s="1095" t="s">
        <v>1867</v>
      </c>
      <c r="H115" s="1093"/>
    </row>
    <row r="116" spans="1:8" x14ac:dyDescent="0.2">
      <c r="A116" s="1099"/>
      <c r="B116" s="1092"/>
      <c r="C116" s="1093"/>
      <c r="D116" s="1094"/>
      <c r="E116" s="1094"/>
      <c r="F116" s="1095"/>
      <c r="G116" s="1094"/>
      <c r="H116" s="1093"/>
    </row>
    <row r="117" spans="1:8" x14ac:dyDescent="0.2">
      <c r="A117" s="1096" t="s">
        <v>1892</v>
      </c>
      <c r="B117" s="1092"/>
      <c r="C117" s="1093"/>
      <c r="D117" s="1094"/>
      <c r="E117" s="1098">
        <v>1</v>
      </c>
      <c r="F117" s="1095">
        <v>2621.56</v>
      </c>
      <c r="G117" s="1100">
        <f>ROUND(+F117,0)</f>
        <v>2622</v>
      </c>
      <c r="H117" s="1093"/>
    </row>
    <row r="118" spans="1:8" x14ac:dyDescent="0.2">
      <c r="A118" s="1096" t="s">
        <v>1882</v>
      </c>
      <c r="B118" s="1092"/>
      <c r="C118" s="1093"/>
      <c r="D118" s="1094"/>
      <c r="E118" s="1098">
        <v>1</v>
      </c>
      <c r="F118" s="1095">
        <v>191</v>
      </c>
      <c r="G118" s="1100">
        <f>ROUND(+F118,0)</f>
        <v>191</v>
      </c>
      <c r="H118" s="1093"/>
    </row>
    <row r="119" spans="1:8" x14ac:dyDescent="0.2">
      <c r="A119" s="1096" t="s">
        <v>1870</v>
      </c>
      <c r="B119" s="1092"/>
      <c r="C119" s="1093"/>
      <c r="D119" s="1094"/>
      <c r="E119" s="1094"/>
      <c r="F119" s="1101">
        <v>9.0999999999999998E-2</v>
      </c>
      <c r="G119" s="1100">
        <f>ROUND(+G117*F119,2)</f>
        <v>238.6</v>
      </c>
      <c r="H119" s="1093"/>
    </row>
    <row r="120" spans="1:8" x14ac:dyDescent="0.2">
      <c r="A120" s="1096" t="s">
        <v>1871</v>
      </c>
      <c r="B120" s="1092"/>
      <c r="C120" s="1093"/>
      <c r="D120" s="1094"/>
      <c r="E120" s="1098"/>
      <c r="F120" s="1101">
        <v>7.4999999999999997E-2</v>
      </c>
      <c r="G120" s="1100">
        <v>2</v>
      </c>
      <c r="H120" s="1093"/>
    </row>
    <row r="121" spans="1:8" x14ac:dyDescent="0.2">
      <c r="A121" s="1096" t="s">
        <v>1872</v>
      </c>
      <c r="B121" s="1092"/>
      <c r="C121" s="1097"/>
      <c r="D121" s="1094"/>
      <c r="E121" s="1098">
        <v>1</v>
      </c>
      <c r="F121" s="1095">
        <v>38.75</v>
      </c>
      <c r="G121" s="1100">
        <f>ROUND(+F121,2)</f>
        <v>38.75</v>
      </c>
      <c r="H121" s="1093"/>
    </row>
    <row r="122" spans="1:8" x14ac:dyDescent="0.2">
      <c r="A122" s="1099"/>
      <c r="B122" s="1092"/>
      <c r="C122" s="1093"/>
      <c r="D122" s="1094"/>
      <c r="E122" s="1094"/>
      <c r="F122" s="1094"/>
      <c r="G122" s="1100" t="s">
        <v>1873</v>
      </c>
      <c r="H122" s="1093"/>
    </row>
    <row r="123" spans="1:8" x14ac:dyDescent="0.2">
      <c r="A123" s="1099"/>
      <c r="B123" s="1092"/>
      <c r="C123" s="1093"/>
      <c r="D123" s="1094"/>
      <c r="E123" s="1094"/>
      <c r="F123" s="1094"/>
      <c r="G123" s="1100">
        <f>ROUND(SUM(G114:G121),2)</f>
        <v>3092.35</v>
      </c>
      <c r="H123" s="1093"/>
    </row>
    <row r="124" spans="1:8" x14ac:dyDescent="0.2">
      <c r="A124" s="1096" t="s">
        <v>1874</v>
      </c>
      <c r="B124" s="1092"/>
      <c r="C124" s="1093"/>
      <c r="D124" s="1094"/>
      <c r="E124" s="1094"/>
      <c r="F124" s="1101">
        <v>0.16</v>
      </c>
      <c r="G124" s="1100">
        <f>ROUND(G123*F124,2)</f>
        <v>494.78</v>
      </c>
      <c r="H124" s="1093"/>
    </row>
    <row r="125" spans="1:8" x14ac:dyDescent="0.2">
      <c r="A125" s="1099"/>
      <c r="B125" s="1092"/>
      <c r="C125" s="1093"/>
      <c r="D125" s="1094"/>
      <c r="E125" s="1094"/>
      <c r="F125" s="1094"/>
      <c r="G125" s="1100" t="s">
        <v>1873</v>
      </c>
      <c r="H125" s="1093"/>
    </row>
    <row r="126" spans="1:8" x14ac:dyDescent="0.2">
      <c r="A126" s="1099"/>
      <c r="B126" s="1092"/>
      <c r="C126" s="1093"/>
      <c r="D126" s="1094"/>
      <c r="E126" s="1094"/>
      <c r="F126" s="1098" t="s">
        <v>1875</v>
      </c>
      <c r="G126" s="1100">
        <f>SUM(G123:G124)</f>
        <v>3587.13</v>
      </c>
      <c r="H126" s="1093"/>
    </row>
    <row r="127" spans="1:8" x14ac:dyDescent="0.2">
      <c r="A127" s="1099"/>
      <c r="B127" s="1092"/>
      <c r="C127" s="1093"/>
      <c r="D127" s="1094"/>
      <c r="E127" s="1094"/>
      <c r="F127" s="1094"/>
      <c r="G127" s="1098" t="s">
        <v>1876</v>
      </c>
      <c r="H127" s="1093"/>
    </row>
    <row r="128" spans="1:8" x14ac:dyDescent="0.2">
      <c r="A128" s="1099"/>
      <c r="B128" s="1092"/>
      <c r="C128" s="1093"/>
      <c r="D128" s="1094"/>
      <c r="E128" s="1094"/>
      <c r="F128" s="1094"/>
      <c r="G128" s="1094"/>
      <c r="H128" s="1093"/>
    </row>
    <row r="129" spans="1:8" x14ac:dyDescent="0.2">
      <c r="A129" s="1091">
        <v>3000</v>
      </c>
      <c r="B129" s="1092"/>
      <c r="C129" s="1093"/>
      <c r="D129" s="1094"/>
      <c r="E129" s="1094"/>
      <c r="F129" s="1095"/>
      <c r="G129" s="1094"/>
      <c r="H129" s="1093"/>
    </row>
    <row r="130" spans="1:8" x14ac:dyDescent="0.2">
      <c r="A130" s="1096" t="s">
        <v>1864</v>
      </c>
      <c r="B130" s="1092"/>
      <c r="C130" s="1097" t="s">
        <v>3</v>
      </c>
      <c r="D130" s="1094"/>
      <c r="E130" s="1098" t="s">
        <v>1865</v>
      </c>
      <c r="F130" s="1098" t="s">
        <v>1866</v>
      </c>
      <c r="G130" s="1095" t="s">
        <v>1867</v>
      </c>
      <c r="H130" s="1093"/>
    </row>
    <row r="131" spans="1:8" x14ac:dyDescent="0.2">
      <c r="A131" s="1099"/>
      <c r="B131" s="1092"/>
      <c r="C131" s="1093"/>
      <c r="D131" s="1094"/>
      <c r="E131" s="1094"/>
      <c r="F131" s="1095"/>
      <c r="G131" s="1094"/>
      <c r="H131" s="1093"/>
    </row>
    <row r="132" spans="1:8" x14ac:dyDescent="0.2">
      <c r="A132" s="1096" t="s">
        <v>1893</v>
      </c>
      <c r="B132" s="1092"/>
      <c r="C132" s="1093"/>
      <c r="D132" s="1094"/>
      <c r="E132" s="1098">
        <v>1</v>
      </c>
      <c r="F132" s="1095">
        <v>1176.1400000000001</v>
      </c>
      <c r="G132" s="1100">
        <f>ROUND(+F132,0)</f>
        <v>1176</v>
      </c>
      <c r="H132" s="1093"/>
    </row>
    <row r="133" spans="1:8" x14ac:dyDescent="0.2">
      <c r="A133" s="1096" t="s">
        <v>1882</v>
      </c>
      <c r="B133" s="1092"/>
      <c r="C133" s="1093"/>
      <c r="D133" s="1094"/>
      <c r="E133" s="1098">
        <v>1</v>
      </c>
      <c r="F133" s="1095">
        <v>1323.86</v>
      </c>
      <c r="G133" s="1100">
        <f>ROUND(+F133,0)</f>
        <v>1324</v>
      </c>
      <c r="H133" s="1093"/>
    </row>
    <row r="134" spans="1:8" x14ac:dyDescent="0.2">
      <c r="A134" s="1096" t="s">
        <v>1870</v>
      </c>
      <c r="B134" s="1092"/>
      <c r="C134" s="1093"/>
      <c r="D134" s="1094"/>
      <c r="E134" s="1094"/>
      <c r="F134" s="1101">
        <v>9.0999999999999998E-2</v>
      </c>
      <c r="G134" s="1100">
        <f>ROUND(+G132*F134,2)</f>
        <v>107.02</v>
      </c>
      <c r="H134" s="1093"/>
    </row>
    <row r="135" spans="1:8" x14ac:dyDescent="0.2">
      <c r="A135" s="1096" t="s">
        <v>1871</v>
      </c>
      <c r="B135" s="1092"/>
      <c r="C135" s="1093"/>
      <c r="D135" s="1094"/>
      <c r="E135" s="1098"/>
      <c r="F135" s="1101">
        <v>7.4999999999999997E-2</v>
      </c>
      <c r="G135" s="1100">
        <v>13</v>
      </c>
      <c r="H135" s="1093"/>
    </row>
    <row r="136" spans="1:8" x14ac:dyDescent="0.2">
      <c r="A136" s="1096" t="s">
        <v>1872</v>
      </c>
      <c r="B136" s="1092"/>
      <c r="C136" s="1097"/>
      <c r="D136" s="1094"/>
      <c r="E136" s="1098">
        <v>1</v>
      </c>
      <c r="F136" s="1095">
        <v>316.35000000000002</v>
      </c>
      <c r="G136" s="1100">
        <f>ROUND(+F136,2)</f>
        <v>316.35000000000002</v>
      </c>
      <c r="H136" s="1093"/>
    </row>
    <row r="137" spans="1:8" x14ac:dyDescent="0.2">
      <c r="A137" s="1099"/>
      <c r="B137" s="1092"/>
      <c r="C137" s="1093"/>
      <c r="D137" s="1094"/>
      <c r="E137" s="1094"/>
      <c r="F137" s="1094"/>
      <c r="G137" s="1100" t="s">
        <v>1873</v>
      </c>
      <c r="H137" s="1093"/>
    </row>
    <row r="138" spans="1:8" x14ac:dyDescent="0.2">
      <c r="A138" s="1099"/>
      <c r="B138" s="1092"/>
      <c r="C138" s="1093"/>
      <c r="D138" s="1094"/>
      <c r="E138" s="1094"/>
      <c r="F138" s="1094"/>
      <c r="G138" s="1100">
        <f>ROUND(SUM(G129:G136),2)</f>
        <v>2936.37</v>
      </c>
      <c r="H138" s="1093"/>
    </row>
    <row r="139" spans="1:8" x14ac:dyDescent="0.2">
      <c r="A139" s="1096" t="s">
        <v>1874</v>
      </c>
      <c r="B139" s="1092"/>
      <c r="C139" s="1093"/>
      <c r="D139" s="1094"/>
      <c r="E139" s="1094"/>
      <c r="F139" s="1101">
        <v>0.16</v>
      </c>
      <c r="G139" s="1100">
        <f>ROUND(G138*F139,2)</f>
        <v>469.82</v>
      </c>
      <c r="H139" s="1093"/>
    </row>
    <row r="140" spans="1:8" x14ac:dyDescent="0.2">
      <c r="A140" s="1099"/>
      <c r="B140" s="1092"/>
      <c r="C140" s="1093"/>
      <c r="D140" s="1094"/>
      <c r="E140" s="1094"/>
      <c r="F140" s="1094"/>
      <c r="G140" s="1100" t="s">
        <v>1873</v>
      </c>
      <c r="H140" s="1093"/>
    </row>
    <row r="141" spans="1:8" x14ac:dyDescent="0.2">
      <c r="A141" s="1099"/>
      <c r="B141" s="1092"/>
      <c r="C141" s="1093"/>
      <c r="D141" s="1094"/>
      <c r="E141" s="1094"/>
      <c r="F141" s="1098" t="s">
        <v>1875</v>
      </c>
      <c r="G141" s="1100">
        <f>SUM(G138:G139)</f>
        <v>3406.19</v>
      </c>
      <c r="H141" s="1093"/>
    </row>
    <row r="142" spans="1:8" x14ac:dyDescent="0.2">
      <c r="A142" s="1099"/>
      <c r="B142" s="1092"/>
      <c r="C142" s="1093"/>
      <c r="D142" s="1094"/>
      <c r="E142" s="1094"/>
      <c r="F142" s="1094"/>
      <c r="G142" s="1098" t="s">
        <v>1876</v>
      </c>
      <c r="H142" s="1093"/>
    </row>
    <row r="143" spans="1:8" x14ac:dyDescent="0.2">
      <c r="A143" s="1099"/>
      <c r="B143" s="1092"/>
      <c r="C143" s="1093"/>
      <c r="D143" s="1094"/>
      <c r="E143" s="1094"/>
      <c r="F143" s="1094"/>
      <c r="G143" s="1100"/>
      <c r="H143" s="1093"/>
    </row>
    <row r="144" spans="1:8" x14ac:dyDescent="0.2">
      <c r="A144" s="1091">
        <v>5000</v>
      </c>
      <c r="B144" s="1092"/>
      <c r="C144" s="1093"/>
      <c r="D144" s="1094"/>
      <c r="E144" s="1094"/>
      <c r="F144" s="1095"/>
      <c r="G144" s="1094"/>
      <c r="H144" s="1093"/>
    </row>
    <row r="145" spans="1:8" x14ac:dyDescent="0.2">
      <c r="A145" s="1096" t="s">
        <v>1864</v>
      </c>
      <c r="B145" s="1092"/>
      <c r="C145" s="1097" t="s">
        <v>3</v>
      </c>
      <c r="D145" s="1094"/>
      <c r="E145" s="1098" t="s">
        <v>1865</v>
      </c>
      <c r="F145" s="1098" t="s">
        <v>1866</v>
      </c>
      <c r="G145" s="1095" t="s">
        <v>1867</v>
      </c>
      <c r="H145" s="1093"/>
    </row>
    <row r="146" spans="1:8" x14ac:dyDescent="0.2">
      <c r="A146" s="1099"/>
      <c r="B146" s="1092"/>
      <c r="C146" s="1093"/>
      <c r="D146" s="1094"/>
      <c r="E146" s="1094"/>
      <c r="F146" s="1095"/>
      <c r="G146" s="1094"/>
      <c r="H146" s="1093"/>
    </row>
    <row r="147" spans="1:8" x14ac:dyDescent="0.2">
      <c r="A147" s="1096" t="s">
        <v>1894</v>
      </c>
      <c r="B147" s="1092"/>
      <c r="C147" s="1093"/>
      <c r="D147" s="1094"/>
      <c r="E147" s="1098">
        <v>1</v>
      </c>
      <c r="F147" s="1095">
        <v>1651.73</v>
      </c>
      <c r="G147" s="1100">
        <f>ROUND(+F147,0)</f>
        <v>1652</v>
      </c>
      <c r="H147" s="1093"/>
    </row>
    <row r="148" spans="1:8" x14ac:dyDescent="0.2">
      <c r="A148" s="1096" t="s">
        <v>1882</v>
      </c>
      <c r="B148" s="1092"/>
      <c r="C148" s="1093"/>
      <c r="D148" s="1094"/>
      <c r="E148" s="1098">
        <v>1</v>
      </c>
      <c r="F148" s="1095">
        <v>848.27</v>
      </c>
      <c r="G148" s="1100">
        <f>ROUND(+F148,0)</f>
        <v>848</v>
      </c>
      <c r="H148" s="1093"/>
    </row>
    <row r="149" spans="1:8" x14ac:dyDescent="0.2">
      <c r="A149" s="1096" t="s">
        <v>1870</v>
      </c>
      <c r="B149" s="1092"/>
      <c r="C149" s="1093"/>
      <c r="D149" s="1094"/>
      <c r="E149" s="1094"/>
      <c r="F149" s="1101">
        <v>9.0999999999999998E-2</v>
      </c>
      <c r="G149" s="1100">
        <f>ROUND(+G147*F149,2)</f>
        <v>150.33000000000001</v>
      </c>
      <c r="H149" s="1093"/>
    </row>
    <row r="150" spans="1:8" x14ac:dyDescent="0.2">
      <c r="A150" s="1096" t="s">
        <v>1871</v>
      </c>
      <c r="B150" s="1092"/>
      <c r="C150" s="1093"/>
      <c r="D150" s="1094"/>
      <c r="E150" s="1098"/>
      <c r="F150" s="1101">
        <v>7.4999999999999997E-2</v>
      </c>
      <c r="G150" s="1100">
        <v>13</v>
      </c>
      <c r="H150" s="1093"/>
    </row>
    <row r="151" spans="1:8" x14ac:dyDescent="0.2">
      <c r="A151" s="1096" t="s">
        <v>1872</v>
      </c>
      <c r="B151" s="1092"/>
      <c r="C151" s="1097"/>
      <c r="D151" s="1094"/>
      <c r="E151" s="1098">
        <v>1</v>
      </c>
      <c r="F151" s="1095">
        <v>316.35000000000002</v>
      </c>
      <c r="G151" s="1100">
        <f>ROUND(+F151,2)</f>
        <v>316.35000000000002</v>
      </c>
    </row>
    <row r="152" spans="1:8" x14ac:dyDescent="0.2">
      <c r="A152" s="1099"/>
      <c r="B152" s="1092"/>
      <c r="C152" s="1093"/>
      <c r="D152" s="1094"/>
      <c r="E152" s="1094"/>
      <c r="F152" s="1094"/>
      <c r="G152" s="1100" t="s">
        <v>1873</v>
      </c>
    </row>
    <row r="153" spans="1:8" x14ac:dyDescent="0.2">
      <c r="A153" s="1099"/>
      <c r="B153" s="1092"/>
      <c r="C153" s="1093"/>
      <c r="D153" s="1094"/>
      <c r="E153" s="1094"/>
      <c r="F153" s="1094"/>
      <c r="G153" s="1100">
        <f>ROUND(SUM(G144:G151),2)</f>
        <v>2979.68</v>
      </c>
    </row>
    <row r="154" spans="1:8" x14ac:dyDescent="0.2">
      <c r="A154" s="1096" t="s">
        <v>1874</v>
      </c>
      <c r="B154" s="1092"/>
      <c r="C154" s="1093"/>
      <c r="D154" s="1094"/>
      <c r="E154" s="1094"/>
      <c r="F154" s="1101">
        <v>0.16</v>
      </c>
      <c r="G154" s="1100">
        <f>ROUND(G153*F154,2)</f>
        <v>476.75</v>
      </c>
    </row>
    <row r="155" spans="1:8" x14ac:dyDescent="0.2">
      <c r="A155" s="1099"/>
      <c r="B155" s="1092"/>
      <c r="C155" s="1093"/>
      <c r="D155" s="1094"/>
      <c r="E155" s="1094"/>
      <c r="F155" s="1094"/>
      <c r="G155" s="1100" t="s">
        <v>1873</v>
      </c>
    </row>
    <row r="156" spans="1:8" x14ac:dyDescent="0.2">
      <c r="A156" s="1099"/>
      <c r="B156" s="1092"/>
      <c r="C156" s="1093"/>
      <c r="D156" s="1094"/>
      <c r="E156" s="1094"/>
      <c r="F156" s="1098" t="s">
        <v>1875</v>
      </c>
      <c r="G156" s="1100">
        <f>SUM(G153:G154)</f>
        <v>3456.43</v>
      </c>
    </row>
    <row r="157" spans="1:8" x14ac:dyDescent="0.2">
      <c r="A157" s="1099"/>
      <c r="B157" s="1092"/>
      <c r="C157" s="1093"/>
      <c r="D157" s="1094"/>
      <c r="E157" s="1094"/>
      <c r="F157" s="1094"/>
      <c r="G157" s="1098" t="s">
        <v>1876</v>
      </c>
    </row>
    <row r="158" spans="1:8" x14ac:dyDescent="0.2">
      <c r="A158" s="1099"/>
      <c r="B158" s="1092"/>
      <c r="C158" s="1093"/>
      <c r="D158" s="1094"/>
      <c r="E158" s="1094"/>
      <c r="F158" s="1094"/>
      <c r="G158" s="1098"/>
    </row>
    <row r="159" spans="1:8" x14ac:dyDescent="0.2">
      <c r="A159" s="1099"/>
      <c r="B159" s="1092"/>
      <c r="C159" s="1093"/>
      <c r="D159" s="1094"/>
      <c r="E159" s="1094"/>
      <c r="F159" s="1094"/>
      <c r="G159" s="1098"/>
    </row>
    <row r="161" spans="1:7" x14ac:dyDescent="0.2">
      <c r="A161" s="1091">
        <v>7000</v>
      </c>
      <c r="B161" s="1092"/>
      <c r="C161" s="1093"/>
      <c r="D161" s="1094"/>
      <c r="E161" s="1094"/>
      <c r="F161" s="1095"/>
      <c r="G161" s="1094"/>
    </row>
    <row r="162" spans="1:7" x14ac:dyDescent="0.2">
      <c r="A162" s="1096" t="s">
        <v>1864</v>
      </c>
      <c r="B162" s="1092"/>
      <c r="C162" s="1097" t="s">
        <v>3</v>
      </c>
      <c r="D162" s="1094"/>
      <c r="E162" s="1098" t="s">
        <v>1865</v>
      </c>
      <c r="F162" s="1098" t="s">
        <v>1866</v>
      </c>
      <c r="G162" s="1095" t="s">
        <v>1867</v>
      </c>
    </row>
    <row r="163" spans="1:7" x14ac:dyDescent="0.2">
      <c r="A163" s="1099"/>
      <c r="B163" s="1092"/>
      <c r="C163" s="1093"/>
      <c r="D163" s="1094"/>
      <c r="E163" s="1094"/>
      <c r="F163" s="1095"/>
      <c r="G163" s="1094"/>
    </row>
    <row r="164" spans="1:7" x14ac:dyDescent="0.2">
      <c r="A164" s="1096" t="s">
        <v>1895</v>
      </c>
      <c r="B164" s="1092"/>
      <c r="C164" s="1093"/>
      <c r="D164" s="1094"/>
      <c r="E164" s="1098">
        <v>1</v>
      </c>
      <c r="F164" s="1095">
        <v>1671.01</v>
      </c>
      <c r="G164" s="1100">
        <f>ROUND(+F164,0)</f>
        <v>1671</v>
      </c>
    </row>
    <row r="165" spans="1:7" x14ac:dyDescent="0.2">
      <c r="A165" s="1096" t="s">
        <v>1882</v>
      </c>
      <c r="B165" s="1092"/>
      <c r="C165" s="1093"/>
      <c r="D165" s="1094"/>
      <c r="E165" s="1098">
        <v>1</v>
      </c>
      <c r="F165" s="1095">
        <v>828.99</v>
      </c>
      <c r="G165" s="1100">
        <f>ROUND(+F165,0)</f>
        <v>829</v>
      </c>
    </row>
    <row r="166" spans="1:7" x14ac:dyDescent="0.2">
      <c r="A166" s="1096" t="s">
        <v>1870</v>
      </c>
      <c r="B166" s="1092"/>
      <c r="C166" s="1093"/>
      <c r="D166" s="1094"/>
      <c r="E166" s="1094"/>
      <c r="F166" s="1101">
        <v>9.0999999999999998E-2</v>
      </c>
      <c r="G166" s="1100">
        <f>ROUND(+G164*F166,2)</f>
        <v>152.06</v>
      </c>
    </row>
    <row r="167" spans="1:7" x14ac:dyDescent="0.2">
      <c r="A167" s="1096" t="s">
        <v>1871</v>
      </c>
      <c r="B167" s="1092"/>
      <c r="C167" s="1093"/>
      <c r="D167" s="1094"/>
      <c r="E167" s="1098"/>
      <c r="F167" s="1101">
        <v>7.4999999999999997E-2</v>
      </c>
      <c r="G167" s="1100">
        <v>13</v>
      </c>
    </row>
    <row r="168" spans="1:7" x14ac:dyDescent="0.2">
      <c r="A168" s="1096" t="s">
        <v>1872</v>
      </c>
      <c r="B168" s="1092"/>
      <c r="C168" s="1097"/>
      <c r="D168" s="1094"/>
      <c r="E168" s="1098">
        <v>1</v>
      </c>
      <c r="F168" s="1095">
        <v>316.35000000000002</v>
      </c>
      <c r="G168" s="1100">
        <f>ROUND(+F168,2)</f>
        <v>316.35000000000002</v>
      </c>
    </row>
    <row r="169" spans="1:7" x14ac:dyDescent="0.2">
      <c r="A169" s="1099"/>
      <c r="B169" s="1092"/>
      <c r="C169" s="1093"/>
      <c r="D169" s="1094"/>
      <c r="E169" s="1094"/>
      <c r="F169" s="1094"/>
      <c r="G169" s="1100" t="s">
        <v>1873</v>
      </c>
    </row>
    <row r="170" spans="1:7" x14ac:dyDescent="0.2">
      <c r="A170" s="1099"/>
      <c r="B170" s="1092"/>
      <c r="C170" s="1093"/>
      <c r="D170" s="1094"/>
      <c r="E170" s="1094"/>
      <c r="F170" s="1094"/>
      <c r="G170" s="1100">
        <f>ROUND(SUM(G161:G168),2)</f>
        <v>2981.41</v>
      </c>
    </row>
    <row r="171" spans="1:7" x14ac:dyDescent="0.2">
      <c r="A171" s="1096" t="s">
        <v>1874</v>
      </c>
      <c r="B171" s="1092"/>
      <c r="C171" s="1093"/>
      <c r="D171" s="1094"/>
      <c r="E171" s="1094"/>
      <c r="F171" s="1101">
        <v>0.16</v>
      </c>
      <c r="G171" s="1100">
        <f>ROUND(G170*F171,2)</f>
        <v>477.03</v>
      </c>
    </row>
    <row r="172" spans="1:7" x14ac:dyDescent="0.2">
      <c r="A172" s="1099"/>
      <c r="B172" s="1092"/>
      <c r="C172" s="1093"/>
      <c r="D172" s="1094"/>
      <c r="E172" s="1094"/>
      <c r="F172" s="1094"/>
      <c r="G172" s="1100" t="s">
        <v>1873</v>
      </c>
    </row>
    <row r="173" spans="1:7" x14ac:dyDescent="0.2">
      <c r="A173" s="1099"/>
      <c r="B173" s="1092"/>
      <c r="C173" s="1093"/>
      <c r="D173" s="1094"/>
      <c r="E173" s="1094"/>
      <c r="F173" s="1098" t="s">
        <v>1875</v>
      </c>
      <c r="G173" s="1100">
        <f>SUM(G170:G171)</f>
        <v>3458.4399999999996</v>
      </c>
    </row>
    <row r="174" spans="1:7" x14ac:dyDescent="0.2">
      <c r="A174" s="1099"/>
      <c r="B174" s="1092"/>
      <c r="C174" s="1093"/>
      <c r="D174" s="1094"/>
      <c r="E174" s="1094"/>
      <c r="F174" s="1094"/>
      <c r="G174" s="1098" t="s">
        <v>1876</v>
      </c>
    </row>
    <row r="176" spans="1:7" x14ac:dyDescent="0.2">
      <c r="A176" s="1091">
        <v>11000</v>
      </c>
      <c r="B176" s="1092"/>
      <c r="C176" s="1093"/>
      <c r="D176" s="1094"/>
      <c r="E176" s="1094"/>
      <c r="F176" s="1095"/>
      <c r="G176" s="1094"/>
    </row>
    <row r="177" spans="1:7" x14ac:dyDescent="0.2">
      <c r="A177" s="1096" t="s">
        <v>1864</v>
      </c>
      <c r="B177" s="1092"/>
      <c r="C177" s="1097" t="s">
        <v>3</v>
      </c>
      <c r="D177" s="1094"/>
      <c r="E177" s="1098" t="s">
        <v>1865</v>
      </c>
      <c r="F177" s="1098" t="s">
        <v>1866</v>
      </c>
      <c r="G177" s="1095" t="s">
        <v>1867</v>
      </c>
    </row>
    <row r="178" spans="1:7" x14ac:dyDescent="0.2">
      <c r="A178" s="1099"/>
      <c r="B178" s="1092"/>
      <c r="C178" s="1093"/>
      <c r="D178" s="1094"/>
      <c r="E178" s="1094"/>
      <c r="F178" s="1095"/>
      <c r="G178" s="1094"/>
    </row>
    <row r="179" spans="1:7" x14ac:dyDescent="0.2">
      <c r="A179" s="1096" t="s">
        <v>1896</v>
      </c>
      <c r="B179" s="1092"/>
      <c r="C179" s="1093"/>
      <c r="D179" s="1094"/>
      <c r="E179" s="1098">
        <v>1</v>
      </c>
      <c r="F179" s="1095">
        <v>1947.73</v>
      </c>
      <c r="G179" s="1100">
        <f>ROUND(+F179,0)</f>
        <v>1948</v>
      </c>
    </row>
    <row r="180" spans="1:7" x14ac:dyDescent="0.2">
      <c r="A180" s="1096" t="s">
        <v>1882</v>
      </c>
      <c r="B180" s="1092"/>
      <c r="C180" s="1093"/>
      <c r="D180" s="1094"/>
      <c r="E180" s="1098">
        <v>1</v>
      </c>
      <c r="F180" s="1095">
        <v>1152.27</v>
      </c>
      <c r="G180" s="1100">
        <f>ROUND(+F180,0)</f>
        <v>1152</v>
      </c>
    </row>
    <row r="181" spans="1:7" x14ac:dyDescent="0.2">
      <c r="A181" s="1096" t="s">
        <v>1870</v>
      </c>
      <c r="B181" s="1092"/>
      <c r="C181" s="1093"/>
      <c r="D181" s="1094"/>
      <c r="E181" s="1094"/>
      <c r="F181" s="1101">
        <v>9.0999999999999998E-2</v>
      </c>
      <c r="G181" s="1100">
        <f>ROUND(+G179*F181,2)</f>
        <v>177.27</v>
      </c>
    </row>
    <row r="182" spans="1:7" x14ac:dyDescent="0.2">
      <c r="A182" s="1096" t="s">
        <v>1871</v>
      </c>
      <c r="B182" s="1092"/>
      <c r="C182" s="1093"/>
      <c r="D182" s="1094"/>
      <c r="E182" s="1098"/>
      <c r="F182" s="1101">
        <v>7.4999999999999997E-2</v>
      </c>
      <c r="G182" s="1100">
        <v>75</v>
      </c>
    </row>
    <row r="183" spans="1:7" x14ac:dyDescent="0.2">
      <c r="A183" s="1096" t="s">
        <v>1872</v>
      </c>
      <c r="B183" s="1092"/>
      <c r="C183" s="1097"/>
      <c r="D183" s="1094"/>
      <c r="E183" s="1098">
        <v>1</v>
      </c>
      <c r="F183" s="1095">
        <v>1678.0699999999997</v>
      </c>
      <c r="G183" s="1100">
        <f>ROUND(+F183,2)</f>
        <v>1678.07</v>
      </c>
    </row>
    <row r="184" spans="1:7" x14ac:dyDescent="0.2">
      <c r="A184" s="1099"/>
      <c r="B184" s="1092"/>
      <c r="C184" s="1093"/>
      <c r="D184" s="1094"/>
      <c r="E184" s="1094"/>
      <c r="F184" s="1094"/>
      <c r="G184" s="1100" t="s">
        <v>1873</v>
      </c>
    </row>
    <row r="185" spans="1:7" x14ac:dyDescent="0.2">
      <c r="A185" s="1099"/>
      <c r="B185" s="1092"/>
      <c r="C185" s="1093"/>
      <c r="D185" s="1094"/>
      <c r="E185" s="1094"/>
      <c r="F185" s="1094"/>
      <c r="G185" s="1100">
        <f>ROUND(SUM(G176:G183),2)</f>
        <v>5030.34</v>
      </c>
    </row>
    <row r="186" spans="1:7" x14ac:dyDescent="0.2">
      <c r="A186" s="1096" t="s">
        <v>1874</v>
      </c>
      <c r="B186" s="1092"/>
      <c r="C186" s="1093"/>
      <c r="D186" s="1094"/>
      <c r="E186" s="1094"/>
      <c r="F186" s="1101">
        <v>0.16</v>
      </c>
      <c r="G186" s="1100">
        <f>ROUND(G185*F186,2)</f>
        <v>804.85</v>
      </c>
    </row>
    <row r="187" spans="1:7" x14ac:dyDescent="0.2">
      <c r="A187" s="1099"/>
      <c r="B187" s="1092"/>
      <c r="C187" s="1093"/>
      <c r="D187" s="1094"/>
      <c r="E187" s="1094"/>
      <c r="F187" s="1094"/>
      <c r="G187" s="1100" t="s">
        <v>1873</v>
      </c>
    </row>
    <row r="188" spans="1:7" x14ac:dyDescent="0.2">
      <c r="A188" s="1099"/>
      <c r="B188" s="1092"/>
      <c r="C188" s="1093"/>
      <c r="D188" s="1094"/>
      <c r="E188" s="1094"/>
      <c r="F188" s="1098" t="s">
        <v>1875</v>
      </c>
      <c r="G188" s="1100">
        <f>SUM(G185:G186)</f>
        <v>5835.1900000000005</v>
      </c>
    </row>
    <row r="189" spans="1:7" x14ac:dyDescent="0.2">
      <c r="A189" s="1099"/>
      <c r="B189" s="1092"/>
      <c r="C189" s="1093"/>
      <c r="D189" s="1094"/>
      <c r="E189" s="1094"/>
      <c r="F189" s="1094"/>
      <c r="G189" s="1098" t="s">
        <v>1876</v>
      </c>
    </row>
    <row r="191" spans="1:7" x14ac:dyDescent="0.2">
      <c r="A191" s="1091">
        <v>16000</v>
      </c>
      <c r="B191" s="1092"/>
      <c r="C191" s="1093"/>
      <c r="D191" s="1094"/>
      <c r="E191" s="1094"/>
      <c r="F191" s="1095"/>
      <c r="G191" s="1094"/>
    </row>
    <row r="192" spans="1:7" x14ac:dyDescent="0.2">
      <c r="A192" s="1096" t="s">
        <v>1864</v>
      </c>
      <c r="B192" s="1092"/>
      <c r="C192" s="1097" t="s">
        <v>3</v>
      </c>
      <c r="D192" s="1094"/>
      <c r="E192" s="1098" t="s">
        <v>1865</v>
      </c>
      <c r="F192" s="1098" t="s">
        <v>1866</v>
      </c>
      <c r="G192" s="1095" t="s">
        <v>1867</v>
      </c>
    </row>
    <row r="193" spans="1:7" x14ac:dyDescent="0.2">
      <c r="A193" s="1099"/>
      <c r="B193" s="1092"/>
      <c r="C193" s="1093"/>
      <c r="D193" s="1094"/>
      <c r="E193" s="1094"/>
      <c r="F193" s="1095"/>
      <c r="G193" s="1094"/>
    </row>
    <row r="194" spans="1:7" x14ac:dyDescent="0.2">
      <c r="A194" s="1096" t="s">
        <v>1897</v>
      </c>
      <c r="B194" s="1092"/>
      <c r="C194" s="1093"/>
      <c r="D194" s="1094"/>
      <c r="E194" s="1098">
        <v>1</v>
      </c>
      <c r="F194" s="1095">
        <v>2650.32</v>
      </c>
      <c r="G194" s="1100">
        <f>ROUND(+F194,0)</f>
        <v>2650</v>
      </c>
    </row>
    <row r="195" spans="1:7" x14ac:dyDescent="0.2">
      <c r="A195" s="1096" t="s">
        <v>1882</v>
      </c>
      <c r="B195" s="1092"/>
      <c r="C195" s="1093"/>
      <c r="D195" s="1094"/>
      <c r="E195" s="1098">
        <v>1</v>
      </c>
      <c r="F195" s="1095">
        <v>3100</v>
      </c>
      <c r="G195" s="1100">
        <f>ROUND(+F195,0)</f>
        <v>3100</v>
      </c>
    </row>
    <row r="196" spans="1:7" x14ac:dyDescent="0.2">
      <c r="A196" s="1096" t="s">
        <v>1870</v>
      </c>
      <c r="B196" s="1092"/>
      <c r="C196" s="1093"/>
      <c r="D196" s="1094"/>
      <c r="E196" s="1094"/>
      <c r="F196" s="1101">
        <v>9.0999999999999998E-2</v>
      </c>
      <c r="G196" s="1100">
        <f>ROUND(+G194*F196,2)</f>
        <v>241.15</v>
      </c>
    </row>
    <row r="197" spans="1:7" x14ac:dyDescent="0.2">
      <c r="A197" s="1096" t="s">
        <v>1871</v>
      </c>
      <c r="B197" s="1092"/>
      <c r="C197" s="1093"/>
      <c r="D197" s="1094"/>
      <c r="E197" s="1098"/>
      <c r="F197" s="1101">
        <v>7.4999999999999997E-2</v>
      </c>
      <c r="G197" s="1100">
        <v>75</v>
      </c>
    </row>
    <row r="198" spans="1:7" x14ac:dyDescent="0.2">
      <c r="A198" s="1096" t="s">
        <v>1872</v>
      </c>
      <c r="B198" s="1092"/>
      <c r="C198" s="1097"/>
      <c r="D198" s="1094"/>
      <c r="E198" s="1098">
        <v>1</v>
      </c>
      <c r="F198" s="1095">
        <v>1678.0699999999997</v>
      </c>
      <c r="G198" s="1100">
        <f>ROUND(+F198,2)</f>
        <v>1678.07</v>
      </c>
    </row>
    <row r="199" spans="1:7" x14ac:dyDescent="0.2">
      <c r="A199" s="1099"/>
      <c r="B199" s="1092"/>
      <c r="C199" s="1093"/>
      <c r="D199" s="1094"/>
      <c r="E199" s="1094"/>
      <c r="F199" s="1094"/>
      <c r="G199" s="1100" t="s">
        <v>1873</v>
      </c>
    </row>
    <row r="200" spans="1:7" x14ac:dyDescent="0.2">
      <c r="A200" s="1099"/>
      <c r="B200" s="1092"/>
      <c r="C200" s="1093"/>
      <c r="D200" s="1094"/>
      <c r="E200" s="1094"/>
      <c r="F200" s="1094"/>
      <c r="G200" s="1100">
        <f>ROUND(SUM(G191:G198),2)</f>
        <v>7744.22</v>
      </c>
    </row>
    <row r="201" spans="1:7" x14ac:dyDescent="0.2">
      <c r="A201" s="1096" t="s">
        <v>1874</v>
      </c>
      <c r="B201" s="1092"/>
      <c r="C201" s="1093"/>
      <c r="D201" s="1094"/>
      <c r="E201" s="1094"/>
      <c r="F201" s="1101">
        <v>0.16</v>
      </c>
      <c r="G201" s="1100">
        <f>ROUND(G200*F201,2)</f>
        <v>1239.08</v>
      </c>
    </row>
    <row r="202" spans="1:7" x14ac:dyDescent="0.2">
      <c r="A202" s="1099"/>
      <c r="B202" s="1092"/>
      <c r="C202" s="1093"/>
      <c r="D202" s="1094"/>
      <c r="E202" s="1094"/>
      <c r="F202" s="1094"/>
      <c r="G202" s="1100" t="s">
        <v>1873</v>
      </c>
    </row>
    <row r="203" spans="1:7" x14ac:dyDescent="0.2">
      <c r="A203" s="1099"/>
      <c r="B203" s="1092"/>
      <c r="C203" s="1093"/>
      <c r="D203" s="1094"/>
      <c r="E203" s="1094"/>
      <c r="F203" s="1098" t="s">
        <v>1875</v>
      </c>
      <c r="G203" s="1100">
        <f>SUM(G200:G201)</f>
        <v>8983.2999999999993</v>
      </c>
    </row>
    <row r="204" spans="1:7" x14ac:dyDescent="0.2">
      <c r="A204" s="1099"/>
      <c r="B204" s="1092"/>
      <c r="C204" s="1093"/>
      <c r="D204" s="1094"/>
      <c r="E204" s="1094"/>
      <c r="F204" s="1094"/>
      <c r="G204" s="1098" t="s">
        <v>1876</v>
      </c>
    </row>
    <row r="206" spans="1:7" x14ac:dyDescent="0.2">
      <c r="A206" s="1091">
        <v>18000</v>
      </c>
      <c r="B206" s="1092"/>
      <c r="C206" s="1093"/>
      <c r="D206" s="1094"/>
      <c r="E206" s="1094"/>
      <c r="F206" s="1095"/>
      <c r="G206" s="1094"/>
    </row>
    <row r="207" spans="1:7" x14ac:dyDescent="0.2">
      <c r="A207" s="1096" t="s">
        <v>1864</v>
      </c>
      <c r="B207" s="1092"/>
      <c r="C207" s="1097" t="s">
        <v>3</v>
      </c>
      <c r="D207" s="1094"/>
      <c r="E207" s="1098" t="s">
        <v>1865</v>
      </c>
      <c r="F207" s="1098" t="s">
        <v>1866</v>
      </c>
      <c r="G207" s="1095" t="s">
        <v>1867</v>
      </c>
    </row>
    <row r="208" spans="1:7" x14ac:dyDescent="0.2">
      <c r="A208" s="1099"/>
      <c r="B208" s="1092"/>
      <c r="C208" s="1093"/>
      <c r="D208" s="1094"/>
      <c r="E208" s="1094"/>
      <c r="F208" s="1095"/>
      <c r="G208" s="1094"/>
    </row>
    <row r="209" spans="1:7" x14ac:dyDescent="0.2">
      <c r="A209" s="1096" t="s">
        <v>1898</v>
      </c>
      <c r="B209" s="1092"/>
      <c r="C209" s="1093"/>
      <c r="D209" s="1094"/>
      <c r="E209" s="1098">
        <v>1</v>
      </c>
      <c r="F209" s="1095">
        <v>2198.73</v>
      </c>
      <c r="G209" s="1100">
        <f>ROUND(+F209,0)</f>
        <v>2199</v>
      </c>
    </row>
    <row r="210" spans="1:7" x14ac:dyDescent="0.2">
      <c r="A210" s="1096" t="s">
        <v>1882</v>
      </c>
      <c r="B210" s="1092"/>
      <c r="C210" s="1093"/>
      <c r="D210" s="1094"/>
      <c r="E210" s="1098">
        <v>1</v>
      </c>
      <c r="F210" s="1095">
        <v>3100</v>
      </c>
      <c r="G210" s="1100">
        <f>ROUND(+F210,0)</f>
        <v>3100</v>
      </c>
    </row>
    <row r="211" spans="1:7" x14ac:dyDescent="0.2">
      <c r="A211" s="1096" t="s">
        <v>1870</v>
      </c>
      <c r="B211" s="1092"/>
      <c r="C211" s="1093"/>
      <c r="D211" s="1094"/>
      <c r="E211" s="1094"/>
      <c r="F211" s="1101">
        <v>9.0999999999999998E-2</v>
      </c>
      <c r="G211" s="1100">
        <f>ROUND(+G209*F211,2)</f>
        <v>200.11</v>
      </c>
    </row>
    <row r="212" spans="1:7" x14ac:dyDescent="0.2">
      <c r="A212" s="1096" t="s">
        <v>1871</v>
      </c>
      <c r="B212" s="1092"/>
      <c r="C212" s="1093"/>
      <c r="D212" s="1094"/>
      <c r="E212" s="1098"/>
      <c r="F212" s="1101">
        <v>7.4999999999999997E-2</v>
      </c>
      <c r="G212" s="1100">
        <v>75</v>
      </c>
    </row>
    <row r="213" spans="1:7" x14ac:dyDescent="0.2">
      <c r="A213" s="1096" t="s">
        <v>1872</v>
      </c>
      <c r="B213" s="1092"/>
      <c r="C213" s="1097"/>
      <c r="D213" s="1094"/>
      <c r="E213" s="1098">
        <v>1</v>
      </c>
      <c r="F213" s="1095">
        <v>1678.0699999999997</v>
      </c>
      <c r="G213" s="1100">
        <f>ROUND(+F213,2)</f>
        <v>1678.07</v>
      </c>
    </row>
    <row r="214" spans="1:7" x14ac:dyDescent="0.2">
      <c r="A214" s="1099"/>
      <c r="B214" s="1092"/>
      <c r="C214" s="1093"/>
      <c r="D214" s="1094"/>
      <c r="E214" s="1094"/>
      <c r="F214" s="1094"/>
      <c r="G214" s="1100" t="s">
        <v>1873</v>
      </c>
    </row>
    <row r="215" spans="1:7" x14ac:dyDescent="0.2">
      <c r="A215" s="1099"/>
      <c r="B215" s="1092"/>
      <c r="C215" s="1093"/>
      <c r="D215" s="1094"/>
      <c r="E215" s="1094"/>
      <c r="F215" s="1094"/>
      <c r="G215" s="1100">
        <f>ROUND(SUM(G206:G213),2)</f>
        <v>7252.18</v>
      </c>
    </row>
    <row r="216" spans="1:7" x14ac:dyDescent="0.2">
      <c r="A216" s="1096" t="s">
        <v>1874</v>
      </c>
      <c r="B216" s="1092"/>
      <c r="C216" s="1093"/>
      <c r="D216" s="1094"/>
      <c r="E216" s="1094"/>
      <c r="F216" s="1101">
        <v>0.16</v>
      </c>
      <c r="G216" s="1100">
        <f>ROUND(G215*F216,2)</f>
        <v>1160.3499999999999</v>
      </c>
    </row>
    <row r="217" spans="1:7" x14ac:dyDescent="0.2">
      <c r="A217" s="1099"/>
      <c r="B217" s="1092"/>
      <c r="C217" s="1093"/>
      <c r="D217" s="1094"/>
      <c r="E217" s="1094"/>
      <c r="F217" s="1094"/>
      <c r="G217" s="1100" t="s">
        <v>1873</v>
      </c>
    </row>
    <row r="218" spans="1:7" x14ac:dyDescent="0.2">
      <c r="A218" s="1099"/>
      <c r="B218" s="1092"/>
      <c r="C218" s="1093"/>
      <c r="D218" s="1094"/>
      <c r="E218" s="1094"/>
      <c r="F218" s="1098" t="s">
        <v>1875</v>
      </c>
      <c r="G218" s="1100">
        <f>SUM(G215:G216)</f>
        <v>8412.5300000000007</v>
      </c>
    </row>
    <row r="219" spans="1:7" x14ac:dyDescent="0.2">
      <c r="A219" s="1099"/>
      <c r="B219" s="1092"/>
      <c r="C219" s="1093"/>
      <c r="D219" s="1094"/>
      <c r="E219" s="1094"/>
      <c r="F219" s="1094"/>
      <c r="G219" s="1098" t="s">
        <v>1876</v>
      </c>
    </row>
    <row r="220" spans="1:7" x14ac:dyDescent="0.2">
      <c r="A220" s="1091">
        <v>23000</v>
      </c>
      <c r="B220" s="1092"/>
      <c r="C220" s="1093"/>
      <c r="D220" s="1094"/>
      <c r="E220" s="1094"/>
      <c r="F220" s="1095"/>
      <c r="G220" s="1094"/>
    </row>
    <row r="221" spans="1:7" x14ac:dyDescent="0.2">
      <c r="A221" s="1096" t="s">
        <v>1864</v>
      </c>
      <c r="B221" s="1092"/>
      <c r="C221" s="1097" t="s">
        <v>3</v>
      </c>
      <c r="D221" s="1094"/>
      <c r="E221" s="1098" t="s">
        <v>1865</v>
      </c>
      <c r="F221" s="1098" t="s">
        <v>1866</v>
      </c>
      <c r="G221" s="1095" t="s">
        <v>1867</v>
      </c>
    </row>
    <row r="222" spans="1:7" x14ac:dyDescent="0.2">
      <c r="A222" s="1099"/>
      <c r="B222" s="1092"/>
      <c r="C222" s="1093"/>
      <c r="D222" s="1094"/>
      <c r="E222" s="1094"/>
      <c r="F222" s="1095"/>
      <c r="G222" s="1094"/>
    </row>
    <row r="223" spans="1:7" x14ac:dyDescent="0.2">
      <c r="A223" s="1096" t="s">
        <v>1899</v>
      </c>
      <c r="B223" s="1092"/>
      <c r="C223" s="1093"/>
      <c r="D223" s="1094"/>
      <c r="E223" s="1098">
        <v>1</v>
      </c>
      <c r="F223" s="1095">
        <v>2978.32</v>
      </c>
      <c r="G223" s="1100">
        <f>ROUND(+F223,0)</f>
        <v>2978</v>
      </c>
    </row>
    <row r="224" spans="1:7" x14ac:dyDescent="0.2">
      <c r="A224" s="1096" t="s">
        <v>1882</v>
      </c>
      <c r="B224" s="1092"/>
      <c r="C224" s="1093"/>
      <c r="D224" s="1094"/>
      <c r="E224" s="1098">
        <v>1</v>
      </c>
      <c r="F224" s="1095">
        <v>13000</v>
      </c>
      <c r="G224" s="1100">
        <f>ROUND(+F224,0)</f>
        <v>13000</v>
      </c>
    </row>
    <row r="225" spans="1:7" x14ac:dyDescent="0.2">
      <c r="A225" s="1096" t="s">
        <v>1870</v>
      </c>
      <c r="B225" s="1092"/>
      <c r="C225" s="1093"/>
      <c r="D225" s="1094"/>
      <c r="E225" s="1094"/>
      <c r="F225" s="1101">
        <v>9.0999999999999998E-2</v>
      </c>
      <c r="G225" s="1100">
        <f>ROUND(+G223*F225,2)</f>
        <v>271</v>
      </c>
    </row>
    <row r="226" spans="1:7" x14ac:dyDescent="0.2">
      <c r="A226" s="1096" t="s">
        <v>1871</v>
      </c>
      <c r="B226" s="1092"/>
      <c r="C226" s="1093"/>
      <c r="D226" s="1094"/>
      <c r="E226" s="1098"/>
      <c r="F226" s="1101">
        <v>7.4999999999999997E-2</v>
      </c>
      <c r="G226" s="1100">
        <v>75</v>
      </c>
    </row>
    <row r="227" spans="1:7" x14ac:dyDescent="0.2">
      <c r="A227" s="1096" t="s">
        <v>1872</v>
      </c>
      <c r="B227" s="1092"/>
      <c r="C227" s="1097"/>
      <c r="D227" s="1094"/>
      <c r="E227" s="1098">
        <v>1</v>
      </c>
      <c r="F227" s="1095">
        <v>1678.0699999999997</v>
      </c>
      <c r="G227" s="1100">
        <f>ROUND(+F227,2)</f>
        <v>1678.07</v>
      </c>
    </row>
    <row r="228" spans="1:7" x14ac:dyDescent="0.2">
      <c r="A228" s="1099"/>
      <c r="B228" s="1092"/>
      <c r="C228" s="1093"/>
      <c r="D228" s="1094"/>
      <c r="E228" s="1094"/>
      <c r="F228" s="1094"/>
      <c r="G228" s="1100" t="s">
        <v>1873</v>
      </c>
    </row>
    <row r="229" spans="1:7" x14ac:dyDescent="0.2">
      <c r="A229" s="1099"/>
      <c r="B229" s="1092"/>
      <c r="C229" s="1093"/>
      <c r="D229" s="1094"/>
      <c r="E229" s="1094"/>
      <c r="F229" s="1094"/>
      <c r="G229" s="1100">
        <f>ROUND(SUM(G220:G227),2)</f>
        <v>18002.07</v>
      </c>
    </row>
    <row r="230" spans="1:7" x14ac:dyDescent="0.2">
      <c r="A230" s="1096" t="s">
        <v>1874</v>
      </c>
      <c r="B230" s="1092"/>
      <c r="C230" s="1093"/>
      <c r="D230" s="1094"/>
      <c r="E230" s="1094"/>
      <c r="F230" s="1101">
        <v>0.16</v>
      </c>
      <c r="G230" s="1100">
        <f>ROUND(G229*F230,2)</f>
        <v>2880.33</v>
      </c>
    </row>
    <row r="231" spans="1:7" x14ac:dyDescent="0.2">
      <c r="A231" s="1099"/>
      <c r="B231" s="1092"/>
      <c r="C231" s="1093"/>
      <c r="D231" s="1094"/>
      <c r="E231" s="1094"/>
      <c r="F231" s="1094"/>
      <c r="G231" s="1100" t="s">
        <v>1873</v>
      </c>
    </row>
    <row r="232" spans="1:7" x14ac:dyDescent="0.2">
      <c r="A232" s="1099"/>
      <c r="B232" s="1092"/>
      <c r="C232" s="1093"/>
      <c r="D232" s="1094"/>
      <c r="E232" s="1094"/>
      <c r="F232" s="1098" t="s">
        <v>1875</v>
      </c>
      <c r="G232" s="1100">
        <f>SUM(G229:G230)</f>
        <v>20882.400000000001</v>
      </c>
    </row>
    <row r="233" spans="1:7" x14ac:dyDescent="0.2">
      <c r="A233" s="1099"/>
      <c r="B233" s="1092"/>
      <c r="C233" s="1093"/>
      <c r="D233" s="1094"/>
      <c r="E233" s="1094"/>
      <c r="F233" s="1094"/>
      <c r="G233" s="1098" t="s">
        <v>1876</v>
      </c>
    </row>
    <row r="235" spans="1:7" x14ac:dyDescent="0.2">
      <c r="A235" s="1091">
        <v>30000</v>
      </c>
      <c r="B235" s="1092"/>
      <c r="C235" s="1093"/>
      <c r="D235" s="1094"/>
      <c r="E235" s="1094"/>
      <c r="F235" s="1095"/>
      <c r="G235" s="1094"/>
    </row>
    <row r="236" spans="1:7" x14ac:dyDescent="0.2">
      <c r="A236" s="1096" t="s">
        <v>1864</v>
      </c>
      <c r="B236" s="1092"/>
      <c r="C236" s="1097" t="s">
        <v>3</v>
      </c>
      <c r="D236" s="1094"/>
      <c r="E236" s="1098" t="s">
        <v>1865</v>
      </c>
      <c r="F236" s="1098" t="s">
        <v>1866</v>
      </c>
      <c r="G236" s="1095" t="s">
        <v>1867</v>
      </c>
    </row>
    <row r="237" spans="1:7" x14ac:dyDescent="0.2">
      <c r="A237" s="1099"/>
      <c r="B237" s="1092"/>
      <c r="C237" s="1093"/>
      <c r="D237" s="1094"/>
      <c r="E237" s="1094"/>
      <c r="F237" s="1095"/>
      <c r="G237" s="1094"/>
    </row>
    <row r="238" spans="1:7" x14ac:dyDescent="0.2">
      <c r="A238" s="1096" t="s">
        <v>1900</v>
      </c>
      <c r="B238" s="1092"/>
      <c r="C238" s="1093"/>
      <c r="D238" s="1094"/>
      <c r="E238" s="1098">
        <v>1</v>
      </c>
      <c r="F238" s="1095">
        <v>2943.97</v>
      </c>
      <c r="G238" s="1100">
        <f>ROUND(+F238,0)</f>
        <v>2944</v>
      </c>
    </row>
    <row r="239" spans="1:7" x14ac:dyDescent="0.2">
      <c r="A239" s="1096" t="s">
        <v>1882</v>
      </c>
      <c r="B239" s="1092"/>
      <c r="C239" s="1093"/>
      <c r="D239" s="1094"/>
      <c r="E239" s="1098">
        <v>1</v>
      </c>
      <c r="F239" s="1095">
        <v>13000</v>
      </c>
      <c r="G239" s="1100">
        <f>ROUND(+F239,0)</f>
        <v>13000</v>
      </c>
    </row>
    <row r="240" spans="1:7" x14ac:dyDescent="0.2">
      <c r="A240" s="1096" t="s">
        <v>1870</v>
      </c>
      <c r="B240" s="1092"/>
      <c r="C240" s="1093"/>
      <c r="D240" s="1094"/>
      <c r="E240" s="1094"/>
      <c r="F240" s="1101">
        <v>9.0999999999999998E-2</v>
      </c>
      <c r="G240" s="1100">
        <f>ROUND(+G238*F240,2)</f>
        <v>267.89999999999998</v>
      </c>
    </row>
    <row r="241" spans="1:7" x14ac:dyDescent="0.2">
      <c r="A241" s="1096" t="s">
        <v>1871</v>
      </c>
      <c r="B241" s="1092"/>
      <c r="C241" s="1093"/>
      <c r="D241" s="1094"/>
      <c r="E241" s="1098"/>
      <c r="F241" s="1101">
        <v>7.4999999999999997E-2</v>
      </c>
      <c r="G241" s="1100">
        <v>75</v>
      </c>
    </row>
    <row r="242" spans="1:7" x14ac:dyDescent="0.2">
      <c r="A242" s="1096" t="s">
        <v>1872</v>
      </c>
      <c r="B242" s="1092"/>
      <c r="C242" s="1097"/>
      <c r="D242" s="1094"/>
      <c r="E242" s="1098">
        <v>1</v>
      </c>
      <c r="F242" s="1095">
        <v>7988.42</v>
      </c>
      <c r="G242" s="1100">
        <f>ROUND(+F242,2)</f>
        <v>7988.42</v>
      </c>
    </row>
    <row r="243" spans="1:7" x14ac:dyDescent="0.2">
      <c r="A243" s="1099"/>
      <c r="B243" s="1092"/>
      <c r="C243" s="1093"/>
      <c r="D243" s="1094"/>
      <c r="E243" s="1094"/>
      <c r="F243" s="1094"/>
      <c r="G243" s="1100" t="s">
        <v>1873</v>
      </c>
    </row>
    <row r="244" spans="1:7" x14ac:dyDescent="0.2">
      <c r="A244" s="1099"/>
      <c r="B244" s="1092"/>
      <c r="C244" s="1093"/>
      <c r="D244" s="1094"/>
      <c r="E244" s="1094"/>
      <c r="F244" s="1094"/>
      <c r="G244" s="1100">
        <f>ROUND(SUM(G235:G242),2)</f>
        <v>24275.32</v>
      </c>
    </row>
    <row r="245" spans="1:7" x14ac:dyDescent="0.2">
      <c r="A245" s="1096" t="s">
        <v>1874</v>
      </c>
      <c r="B245" s="1092"/>
      <c r="C245" s="1093"/>
      <c r="D245" s="1094"/>
      <c r="E245" s="1094"/>
      <c r="F245" s="1101">
        <v>0.16</v>
      </c>
      <c r="G245" s="1100">
        <f>ROUND(G244*F245,2)</f>
        <v>3884.05</v>
      </c>
    </row>
    <row r="246" spans="1:7" x14ac:dyDescent="0.2">
      <c r="A246" s="1099"/>
      <c r="B246" s="1092"/>
      <c r="C246" s="1093"/>
      <c r="D246" s="1094"/>
      <c r="E246" s="1094"/>
      <c r="F246" s="1094"/>
      <c r="G246" s="1100" t="s">
        <v>1873</v>
      </c>
    </row>
    <row r="247" spans="1:7" x14ac:dyDescent="0.2">
      <c r="A247" s="1099"/>
      <c r="B247" s="1092"/>
      <c r="C247" s="1093"/>
      <c r="D247" s="1094"/>
      <c r="E247" s="1094"/>
      <c r="F247" s="1098" t="s">
        <v>1875</v>
      </c>
      <c r="G247" s="1100">
        <f>SUM(G244:G245)</f>
        <v>28159.37</v>
      </c>
    </row>
    <row r="248" spans="1:7" x14ac:dyDescent="0.2">
      <c r="A248" s="1099"/>
      <c r="B248" s="1092"/>
      <c r="C248" s="1093"/>
      <c r="D248" s="1094"/>
      <c r="E248" s="1094"/>
      <c r="F248" s="1094"/>
      <c r="G248" s="1098" t="s">
        <v>1876</v>
      </c>
    </row>
    <row r="249" spans="1:7" x14ac:dyDescent="0.2">
      <c r="A249" s="1091">
        <v>38000</v>
      </c>
      <c r="B249" s="1092"/>
      <c r="C249" s="1093"/>
      <c r="D249" s="1094"/>
      <c r="E249" s="1094"/>
      <c r="F249" s="1095"/>
      <c r="G249" s="1094"/>
    </row>
    <row r="250" spans="1:7" x14ac:dyDescent="0.2">
      <c r="A250" s="1096" t="s">
        <v>1864</v>
      </c>
      <c r="B250" s="1092"/>
      <c r="C250" s="1097" t="s">
        <v>3</v>
      </c>
      <c r="D250" s="1094"/>
      <c r="E250" s="1098" t="s">
        <v>1865</v>
      </c>
      <c r="F250" s="1098" t="s">
        <v>1866</v>
      </c>
      <c r="G250" s="1095" t="s">
        <v>1867</v>
      </c>
    </row>
    <row r="251" spans="1:7" x14ac:dyDescent="0.2">
      <c r="A251" s="1099"/>
      <c r="B251" s="1092"/>
      <c r="C251" s="1093"/>
      <c r="D251" s="1094"/>
      <c r="E251" s="1094"/>
      <c r="F251" s="1095"/>
      <c r="G251" s="1094"/>
    </row>
    <row r="252" spans="1:7" x14ac:dyDescent="0.2">
      <c r="A252" s="1096" t="s">
        <v>1901</v>
      </c>
      <c r="B252" s="1092"/>
      <c r="C252" s="1093"/>
      <c r="D252" s="1094"/>
      <c r="E252" s="1098">
        <v>1</v>
      </c>
      <c r="F252" s="1095">
        <v>3125.26</v>
      </c>
      <c r="G252" s="1100">
        <f>ROUND(+F252,0)</f>
        <v>3125</v>
      </c>
    </row>
    <row r="253" spans="1:7" x14ac:dyDescent="0.2">
      <c r="A253" s="1096" t="s">
        <v>1882</v>
      </c>
      <c r="B253" s="1092"/>
      <c r="C253" s="1093"/>
      <c r="D253" s="1094"/>
      <c r="E253" s="1098">
        <v>1</v>
      </c>
      <c r="F253" s="1095">
        <v>13000</v>
      </c>
      <c r="G253" s="1100">
        <f>ROUND(+F253,0)</f>
        <v>13000</v>
      </c>
    </row>
    <row r="254" spans="1:7" x14ac:dyDescent="0.2">
      <c r="A254" s="1096" t="s">
        <v>1870</v>
      </c>
      <c r="B254" s="1092"/>
      <c r="C254" s="1093"/>
      <c r="D254" s="1094"/>
      <c r="E254" s="1094"/>
      <c r="F254" s="1101">
        <v>9.0999999999999998E-2</v>
      </c>
      <c r="G254" s="1100">
        <f>ROUND(+G252*F254,2)</f>
        <v>284.38</v>
      </c>
    </row>
    <row r="255" spans="1:7" x14ac:dyDescent="0.2">
      <c r="A255" s="1096" t="s">
        <v>1871</v>
      </c>
      <c r="B255" s="1092"/>
      <c r="C255" s="1093"/>
      <c r="D255" s="1094"/>
      <c r="E255" s="1098"/>
      <c r="F255" s="1101">
        <v>7.4999999999999997E-2</v>
      </c>
      <c r="G255" s="1100">
        <v>363</v>
      </c>
    </row>
    <row r="256" spans="1:7" x14ac:dyDescent="0.2">
      <c r="A256" s="1096" t="s">
        <v>1872</v>
      </c>
      <c r="B256" s="1092"/>
      <c r="C256" s="1097"/>
      <c r="D256" s="1094"/>
      <c r="E256" s="1098">
        <v>1</v>
      </c>
      <c r="F256" s="1095">
        <v>7988.42</v>
      </c>
      <c r="G256" s="1100">
        <f>ROUND(+F256,2)</f>
        <v>7988.42</v>
      </c>
    </row>
    <row r="257" spans="1:7" x14ac:dyDescent="0.2">
      <c r="A257" s="1099"/>
      <c r="B257" s="1092"/>
      <c r="C257" s="1093"/>
      <c r="D257" s="1094"/>
      <c r="E257" s="1094"/>
      <c r="F257" s="1094"/>
      <c r="G257" s="1100" t="s">
        <v>1873</v>
      </c>
    </row>
    <row r="258" spans="1:7" x14ac:dyDescent="0.2">
      <c r="A258" s="1099"/>
      <c r="B258" s="1092"/>
      <c r="C258" s="1093"/>
      <c r="D258" s="1094"/>
      <c r="E258" s="1094"/>
      <c r="F258" s="1094"/>
      <c r="G258" s="1100">
        <f>ROUND(SUM(G249:G256),2)</f>
        <v>24760.799999999999</v>
      </c>
    </row>
    <row r="259" spans="1:7" x14ac:dyDescent="0.2">
      <c r="A259" s="1096" t="s">
        <v>1874</v>
      </c>
      <c r="B259" s="1092"/>
      <c r="C259" s="1093"/>
      <c r="D259" s="1094"/>
      <c r="E259" s="1094"/>
      <c r="F259" s="1101">
        <v>0.16</v>
      </c>
      <c r="G259" s="1100">
        <f>ROUND(G258*F259,2)</f>
        <v>3961.73</v>
      </c>
    </row>
    <row r="260" spans="1:7" x14ac:dyDescent="0.2">
      <c r="A260" s="1099"/>
      <c r="B260" s="1092"/>
      <c r="C260" s="1093"/>
      <c r="D260" s="1094"/>
      <c r="E260" s="1094"/>
      <c r="F260" s="1094"/>
      <c r="G260" s="1100" t="s">
        <v>1873</v>
      </c>
    </row>
    <row r="261" spans="1:7" x14ac:dyDescent="0.2">
      <c r="A261" s="1099"/>
      <c r="B261" s="1092"/>
      <c r="C261" s="1093"/>
      <c r="D261" s="1094"/>
      <c r="E261" s="1094"/>
      <c r="F261" s="1098" t="s">
        <v>1875</v>
      </c>
      <c r="G261" s="1100">
        <f>SUM(G258:G259)</f>
        <v>28722.53</v>
      </c>
    </row>
    <row r="262" spans="1:7" x14ac:dyDescent="0.2">
      <c r="A262" s="1099"/>
      <c r="B262" s="1092"/>
      <c r="C262" s="1093"/>
      <c r="D262" s="1094"/>
      <c r="E262" s="1094"/>
      <c r="F262" s="1094"/>
      <c r="G262" s="1098" t="s">
        <v>1876</v>
      </c>
    </row>
    <row r="264" spans="1:7" x14ac:dyDescent="0.2">
      <c r="A264" s="1091">
        <v>60000</v>
      </c>
      <c r="B264" s="1092"/>
      <c r="C264" s="1093"/>
      <c r="D264" s="1094"/>
      <c r="E264" s="1094"/>
      <c r="F264" s="1095"/>
      <c r="G264" s="1094"/>
    </row>
    <row r="265" spans="1:7" x14ac:dyDescent="0.2">
      <c r="A265" s="1096" t="s">
        <v>1864</v>
      </c>
      <c r="B265" s="1092"/>
      <c r="C265" s="1097" t="s">
        <v>3</v>
      </c>
      <c r="D265" s="1094"/>
      <c r="E265" s="1098" t="s">
        <v>1865</v>
      </c>
      <c r="F265" s="1098" t="s">
        <v>1866</v>
      </c>
      <c r="G265" s="1095" t="s">
        <v>1867</v>
      </c>
    </row>
    <row r="266" spans="1:7" x14ac:dyDescent="0.2">
      <c r="A266" s="1099"/>
      <c r="B266" s="1092"/>
      <c r="C266" s="1093"/>
      <c r="D266" s="1094"/>
      <c r="E266" s="1094"/>
      <c r="F266" s="1095"/>
      <c r="G266" s="1094"/>
    </row>
    <row r="267" spans="1:7" x14ac:dyDescent="0.2">
      <c r="A267" s="1096" t="s">
        <v>1902</v>
      </c>
      <c r="B267" s="1092"/>
      <c r="C267" s="1093"/>
      <c r="D267" s="1094"/>
      <c r="E267" s="1098">
        <v>1</v>
      </c>
      <c r="F267" s="1095">
        <v>4731.6499999999996</v>
      </c>
      <c r="G267" s="1100">
        <f>ROUND(+F267,0)</f>
        <v>4732</v>
      </c>
    </row>
    <row r="268" spans="1:7" x14ac:dyDescent="0.2">
      <c r="A268" s="1096" t="s">
        <v>1882</v>
      </c>
      <c r="B268" s="1092"/>
      <c r="C268" s="1093"/>
      <c r="D268" s="1094"/>
      <c r="E268" s="1098">
        <v>1</v>
      </c>
      <c r="F268" s="1095">
        <v>13000</v>
      </c>
      <c r="G268" s="1100">
        <f>ROUND(+F268,0)</f>
        <v>13000</v>
      </c>
    </row>
    <row r="269" spans="1:7" x14ac:dyDescent="0.2">
      <c r="A269" s="1096" t="s">
        <v>1903</v>
      </c>
      <c r="B269" s="1092"/>
      <c r="C269" s="1093"/>
      <c r="D269" s="1094"/>
      <c r="E269" s="1098">
        <v>1</v>
      </c>
      <c r="F269" s="1095">
        <v>5000</v>
      </c>
      <c r="G269" s="1100">
        <f>ROUND(+F269,0)</f>
        <v>5000</v>
      </c>
    </row>
    <row r="270" spans="1:7" x14ac:dyDescent="0.2">
      <c r="A270" s="1096" t="s">
        <v>1870</v>
      </c>
      <c r="B270" s="1092"/>
      <c r="C270" s="1093"/>
      <c r="D270" s="1094"/>
      <c r="E270" s="1094"/>
      <c r="F270" s="1101">
        <v>9.0999999999999998E-2</v>
      </c>
      <c r="G270" s="1100">
        <f>ROUND(+G267*F270,2)</f>
        <v>430.61</v>
      </c>
    </row>
    <row r="271" spans="1:7" x14ac:dyDescent="0.2">
      <c r="A271" s="1096" t="s">
        <v>1871</v>
      </c>
      <c r="B271" s="1092"/>
      <c r="C271" s="1093"/>
      <c r="D271" s="1094"/>
      <c r="E271" s="1098"/>
      <c r="F271" s="1101">
        <v>7.4999999999999997E-2</v>
      </c>
      <c r="G271" s="1100">
        <v>363</v>
      </c>
    </row>
    <row r="272" spans="1:7" x14ac:dyDescent="0.2">
      <c r="A272" s="1096" t="s">
        <v>1872</v>
      </c>
      <c r="B272" s="1092"/>
      <c r="C272" s="1097"/>
      <c r="D272" s="1094"/>
      <c r="E272" s="1098">
        <v>1</v>
      </c>
      <c r="F272" s="1095">
        <v>7988.42</v>
      </c>
      <c r="G272" s="1100">
        <f>ROUND(+F272,2)</f>
        <v>7988.42</v>
      </c>
    </row>
    <row r="273" spans="1:7" x14ac:dyDescent="0.2">
      <c r="A273" s="1099"/>
      <c r="B273" s="1092"/>
      <c r="C273" s="1093"/>
      <c r="D273" s="1094"/>
      <c r="E273" s="1094"/>
      <c r="F273" s="1094"/>
      <c r="G273" s="1100" t="s">
        <v>1873</v>
      </c>
    </row>
    <row r="274" spans="1:7" x14ac:dyDescent="0.2">
      <c r="A274" s="1099"/>
      <c r="B274" s="1092"/>
      <c r="C274" s="1093"/>
      <c r="D274" s="1094"/>
      <c r="E274" s="1094"/>
      <c r="F274" s="1094"/>
      <c r="G274" s="1100">
        <f>ROUND(SUM(G264:G272),2)</f>
        <v>31514.03</v>
      </c>
    </row>
    <row r="275" spans="1:7" x14ac:dyDescent="0.2">
      <c r="A275" s="1096" t="s">
        <v>1874</v>
      </c>
      <c r="B275" s="1092"/>
      <c r="C275" s="1093"/>
      <c r="D275" s="1094"/>
      <c r="E275" s="1094"/>
      <c r="F275" s="1101">
        <v>0.16</v>
      </c>
      <c r="G275" s="1100">
        <f>ROUND(G274*F275,2)</f>
        <v>5042.24</v>
      </c>
    </row>
    <row r="276" spans="1:7" x14ac:dyDescent="0.2">
      <c r="A276" s="1099"/>
      <c r="B276" s="1092"/>
      <c r="C276" s="1093"/>
      <c r="D276" s="1094"/>
      <c r="E276" s="1094"/>
      <c r="F276" s="1094"/>
      <c r="G276" s="1100" t="s">
        <v>1873</v>
      </c>
    </row>
    <row r="277" spans="1:7" x14ac:dyDescent="0.2">
      <c r="A277" s="1099"/>
      <c r="B277" s="1092"/>
      <c r="C277" s="1093"/>
      <c r="D277" s="1094"/>
      <c r="E277" s="1094"/>
      <c r="F277" s="1098" t="s">
        <v>1875</v>
      </c>
      <c r="G277" s="1100">
        <f>SUM(G274:G275)</f>
        <v>36556.269999999997</v>
      </c>
    </row>
    <row r="278" spans="1:7" x14ac:dyDescent="0.2">
      <c r="A278" s="1099"/>
      <c r="B278" s="1092"/>
      <c r="C278" s="1093"/>
      <c r="D278" s="1094"/>
      <c r="E278" s="1094"/>
      <c r="F278" s="1094"/>
      <c r="G278" s="1098" t="s">
        <v>1876</v>
      </c>
    </row>
    <row r="280" spans="1:7" x14ac:dyDescent="0.2">
      <c r="A280" s="1091">
        <v>150000</v>
      </c>
      <c r="B280" s="1092"/>
      <c r="C280" s="1093"/>
      <c r="D280" s="1094"/>
      <c r="E280" s="1094"/>
      <c r="F280" s="1095"/>
      <c r="G280" s="1094"/>
    </row>
    <row r="281" spans="1:7" x14ac:dyDescent="0.2">
      <c r="A281" s="1096" t="s">
        <v>1864</v>
      </c>
      <c r="B281" s="1092"/>
      <c r="C281" s="1097" t="s">
        <v>3</v>
      </c>
      <c r="D281" s="1094"/>
      <c r="E281" s="1098" t="s">
        <v>1865</v>
      </c>
      <c r="F281" s="1098" t="s">
        <v>1866</v>
      </c>
      <c r="G281" s="1095" t="s">
        <v>1867</v>
      </c>
    </row>
    <row r="282" spans="1:7" x14ac:dyDescent="0.2">
      <c r="A282" s="1099"/>
      <c r="B282" s="1092"/>
      <c r="C282" s="1093"/>
      <c r="D282" s="1094"/>
      <c r="E282" s="1094"/>
      <c r="F282" s="1095"/>
      <c r="G282" s="1094"/>
    </row>
    <row r="283" spans="1:7" x14ac:dyDescent="0.2">
      <c r="A283" s="1096" t="s">
        <v>1904</v>
      </c>
      <c r="B283" s="1092"/>
      <c r="C283" s="1093"/>
      <c r="D283" s="1094"/>
      <c r="E283" s="1098">
        <v>1</v>
      </c>
      <c r="F283" s="1095">
        <v>11529.44</v>
      </c>
      <c r="G283" s="1100">
        <f>ROUND(+F283,0)</f>
        <v>11529</v>
      </c>
    </row>
    <row r="284" spans="1:7" x14ac:dyDescent="0.2">
      <c r="A284" s="1096" t="s">
        <v>1882</v>
      </c>
      <c r="B284" s="1092"/>
      <c r="C284" s="1093"/>
      <c r="D284" s="1094"/>
      <c r="E284" s="1098">
        <v>1</v>
      </c>
      <c r="F284" s="1095">
        <v>13000</v>
      </c>
      <c r="G284" s="1100">
        <f>ROUND(+F284,0)</f>
        <v>13000</v>
      </c>
    </row>
    <row r="285" spans="1:7" x14ac:dyDescent="0.2">
      <c r="A285" s="1096" t="s">
        <v>1903</v>
      </c>
      <c r="B285" s="1092"/>
      <c r="C285" s="1093"/>
      <c r="D285" s="1094"/>
      <c r="E285" s="1098">
        <v>1</v>
      </c>
      <c r="F285" s="1095">
        <v>5000</v>
      </c>
      <c r="G285" s="1100">
        <f>ROUND(+F285,0)</f>
        <v>5000</v>
      </c>
    </row>
    <row r="286" spans="1:7" x14ac:dyDescent="0.2">
      <c r="A286" s="1096" t="s">
        <v>1870</v>
      </c>
      <c r="B286" s="1092"/>
      <c r="C286" s="1093"/>
      <c r="D286" s="1094"/>
      <c r="E286" s="1094"/>
      <c r="F286" s="1101">
        <v>9.0999999999999998E-2</v>
      </c>
      <c r="G286" s="1100">
        <f>ROUND(+G283*F286,2)</f>
        <v>1049.1400000000001</v>
      </c>
    </row>
    <row r="287" spans="1:7" x14ac:dyDescent="0.2">
      <c r="A287" s="1096" t="s">
        <v>1871</v>
      </c>
      <c r="B287" s="1092"/>
      <c r="C287" s="1093"/>
      <c r="D287" s="1094"/>
      <c r="E287" s="1098"/>
      <c r="F287" s="1101">
        <v>7.4999999999999997E-2</v>
      </c>
      <c r="G287" s="1100">
        <v>363</v>
      </c>
    </row>
    <row r="288" spans="1:7" x14ac:dyDescent="0.2">
      <c r="A288" s="1096" t="s">
        <v>1872</v>
      </c>
      <c r="B288" s="1092"/>
      <c r="C288" s="1097"/>
      <c r="D288" s="1094"/>
      <c r="E288" s="1098">
        <v>1</v>
      </c>
      <c r="F288" s="1095">
        <v>7988.42</v>
      </c>
      <c r="G288" s="1100">
        <f>ROUND(+F288,2)</f>
        <v>7988.42</v>
      </c>
    </row>
    <row r="289" spans="1:7" x14ac:dyDescent="0.2">
      <c r="A289" s="1099"/>
      <c r="B289" s="1092"/>
      <c r="C289" s="1093"/>
      <c r="D289" s="1094"/>
      <c r="E289" s="1094"/>
      <c r="F289" s="1094"/>
      <c r="G289" s="1100" t="s">
        <v>1873</v>
      </c>
    </row>
    <row r="290" spans="1:7" x14ac:dyDescent="0.2">
      <c r="A290" s="1099"/>
      <c r="B290" s="1092"/>
      <c r="C290" s="1093"/>
      <c r="D290" s="1094"/>
      <c r="E290" s="1094"/>
      <c r="F290" s="1094"/>
      <c r="G290" s="1100">
        <f>ROUND(SUM(G280:G288),2)</f>
        <v>38929.56</v>
      </c>
    </row>
    <row r="291" spans="1:7" x14ac:dyDescent="0.2">
      <c r="A291" s="1096" t="s">
        <v>1874</v>
      </c>
      <c r="B291" s="1092"/>
      <c r="C291" s="1093"/>
      <c r="D291" s="1094"/>
      <c r="E291" s="1094"/>
      <c r="F291" s="1101">
        <v>0.16</v>
      </c>
      <c r="G291" s="1100">
        <f>ROUND(G290*F291,2)</f>
        <v>6228.73</v>
      </c>
    </row>
    <row r="292" spans="1:7" x14ac:dyDescent="0.2">
      <c r="A292" s="1099"/>
      <c r="B292" s="1092"/>
      <c r="C292" s="1093"/>
      <c r="D292" s="1094"/>
      <c r="E292" s="1094"/>
      <c r="F292" s="1094"/>
      <c r="G292" s="1100" t="s">
        <v>1873</v>
      </c>
    </row>
    <row r="293" spans="1:7" x14ac:dyDescent="0.2">
      <c r="A293" s="1099"/>
      <c r="B293" s="1092"/>
      <c r="C293" s="1093"/>
      <c r="D293" s="1094"/>
      <c r="E293" s="1094"/>
      <c r="F293" s="1098" t="s">
        <v>1875</v>
      </c>
      <c r="G293" s="1100">
        <f>SUM(G290:G291)</f>
        <v>45158.289999999994</v>
      </c>
    </row>
    <row r="294" spans="1:7" x14ac:dyDescent="0.2">
      <c r="A294" s="1099"/>
      <c r="B294" s="1092"/>
      <c r="C294" s="1093"/>
      <c r="D294" s="1094"/>
      <c r="E294" s="1094"/>
      <c r="F294" s="1094"/>
      <c r="G294" s="1098" t="s">
        <v>1876</v>
      </c>
    </row>
  </sheetData>
  <pageMargins left="0.7" right="0.7" top="0.75" bottom="0.75" header="0.3" footer="0.3"/>
  <pageSetup orientation="portrait" r:id="rId1"/>
  <rowBreaks count="3" manualBreakCount="3">
    <brk id="80" max="6" man="1"/>
    <brk id="157" max="6" man="1"/>
    <brk id="234" max="6" man="1"/>
  </rowBreaks>
  <drawing r:id="rId2"/>
  <legacyDrawing r:id="rId3"/>
  <oleObjects>
    <mc:AlternateContent xmlns:mc="http://schemas.openxmlformats.org/markup-compatibility/2006">
      <mc:Choice Requires="x14">
        <oleObject progId="Word.Document.8" shapeId="95233" r:id="rId4">
          <objectPr defaultSize="0" autoPict="0" r:id="rId5">
            <anchor moveWithCells="1">
              <from>
                <xdr:col>0</xdr:col>
                <xdr:colOff>19050</xdr:colOff>
                <xdr:row>0</xdr:row>
                <xdr:rowOff>28575</xdr:rowOff>
              </from>
              <to>
                <xdr:col>4</xdr:col>
                <xdr:colOff>466725</xdr:colOff>
                <xdr:row>2</xdr:row>
                <xdr:rowOff>123825</xdr:rowOff>
              </to>
            </anchor>
          </objectPr>
        </oleObject>
      </mc:Choice>
      <mc:Fallback>
        <oleObject progId="Word.Document.8" shapeId="95233" r:id="rId4"/>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T35"/>
  <sheetViews>
    <sheetView workbookViewId="0">
      <selection activeCell="C35" sqref="C35"/>
    </sheetView>
  </sheetViews>
  <sheetFormatPr defaultRowHeight="12.75" x14ac:dyDescent="0.2"/>
  <cols>
    <col min="1" max="1" width="9.28515625" style="1025" bestFit="1" customWidth="1"/>
    <col min="2" max="2" width="11.5703125" style="1025" bestFit="1" customWidth="1"/>
    <col min="3" max="3" width="10" style="1025" bestFit="1" customWidth="1"/>
    <col min="4" max="4" width="10.42578125" style="1025" bestFit="1" customWidth="1"/>
    <col min="5" max="5" width="10.85546875" style="1025" bestFit="1" customWidth="1"/>
    <col min="6" max="6" width="10" style="1025" bestFit="1" customWidth="1"/>
    <col min="7" max="7" width="10.42578125" style="1025" bestFit="1" customWidth="1"/>
    <col min="8" max="8" width="12.5703125" style="1025" bestFit="1" customWidth="1"/>
    <col min="9" max="9" width="9.140625" style="1080"/>
    <col min="10" max="10" width="10.28515625" style="1080" bestFit="1" customWidth="1"/>
    <col min="11" max="20" width="9.140625" style="1080"/>
    <col min="21" max="16384" width="9.140625" style="1025"/>
  </cols>
  <sheetData>
    <row r="1" spans="1:8" x14ac:dyDescent="0.2">
      <c r="A1" s="1048" t="s">
        <v>70</v>
      </c>
    </row>
    <row r="2" spans="1:8" x14ac:dyDescent="0.2">
      <c r="A2" s="1048" t="s">
        <v>187</v>
      </c>
    </row>
    <row r="3" spans="1:8" x14ac:dyDescent="0.2">
      <c r="A3" s="1048" t="s">
        <v>1905</v>
      </c>
    </row>
    <row r="4" spans="1:8" x14ac:dyDescent="0.2">
      <c r="A4" s="1048" t="s">
        <v>681</v>
      </c>
    </row>
    <row r="6" spans="1:8" x14ac:dyDescent="0.2">
      <c r="A6" s="1048"/>
      <c r="B6" s="1886" t="s">
        <v>1906</v>
      </c>
      <c r="C6" s="1886"/>
      <c r="D6" s="1886"/>
      <c r="E6" s="1887" t="s">
        <v>1907</v>
      </c>
      <c r="F6" s="1886"/>
      <c r="G6" s="1888"/>
      <c r="H6" s="1048"/>
    </row>
    <row r="7" spans="1:8" x14ac:dyDescent="0.2">
      <c r="A7" s="1114" t="s">
        <v>1908</v>
      </c>
      <c r="B7" s="1115" t="s">
        <v>1908</v>
      </c>
      <c r="C7" s="1115" t="s">
        <v>1909</v>
      </c>
      <c r="D7" s="1115" t="s">
        <v>1910</v>
      </c>
      <c r="E7" s="1116" t="s">
        <v>1908</v>
      </c>
      <c r="F7" s="1115" t="s">
        <v>1909</v>
      </c>
      <c r="G7" s="1117" t="s">
        <v>1910</v>
      </c>
      <c r="H7" s="1118" t="s">
        <v>1911</v>
      </c>
    </row>
    <row r="8" spans="1:8" x14ac:dyDescent="0.2">
      <c r="A8" s="1119" t="s">
        <v>444</v>
      </c>
      <c r="B8" s="1119" t="s">
        <v>740</v>
      </c>
      <c r="C8" s="1119" t="s">
        <v>740</v>
      </c>
      <c r="D8" s="1119" t="s">
        <v>740</v>
      </c>
      <c r="E8" s="1120" t="s">
        <v>740</v>
      </c>
      <c r="F8" s="1119" t="s">
        <v>740</v>
      </c>
      <c r="G8" s="1121" t="s">
        <v>740</v>
      </c>
      <c r="H8" s="1122" t="s">
        <v>740</v>
      </c>
    </row>
    <row r="9" spans="1:8" x14ac:dyDescent="0.2">
      <c r="A9" s="1036">
        <v>150</v>
      </c>
      <c r="B9" s="1073">
        <f t="shared" ref="B9:B19" si="0">D9-C9</f>
        <v>141.83000000000001</v>
      </c>
      <c r="C9" s="1123">
        <f>36*1.16</f>
        <v>41.76</v>
      </c>
      <c r="D9" s="1124">
        <f>'JKP-8.5 - Cost Data'!G$33</f>
        <v>183.59</v>
      </c>
      <c r="E9" s="1073">
        <f t="shared" ref="E9:E19" si="1">G9-F9</f>
        <v>92.480000000000018</v>
      </c>
      <c r="F9" s="1123">
        <f>36*1.16</f>
        <v>41.76</v>
      </c>
      <c r="G9" s="1124">
        <f>'JKP-8.5 - Cost Data'!G$16</f>
        <v>134.24</v>
      </c>
    </row>
    <row r="10" spans="1:8" x14ac:dyDescent="0.2">
      <c r="A10" s="1036">
        <v>175</v>
      </c>
      <c r="B10" s="1073">
        <f t="shared" si="0"/>
        <v>141.83000000000001</v>
      </c>
      <c r="C10" s="1123">
        <f t="shared" ref="C10:C19" si="2">36*1.16</f>
        <v>41.76</v>
      </c>
      <c r="D10" s="1124">
        <f>'JKP-8.5 - Cost Data'!G$33</f>
        <v>183.59</v>
      </c>
      <c r="E10" s="1073">
        <f t="shared" si="1"/>
        <v>92.480000000000018</v>
      </c>
      <c r="F10" s="1123">
        <f t="shared" ref="F10:F19" si="3">36*1.16</f>
        <v>41.76</v>
      </c>
      <c r="G10" s="1124">
        <f>'JKP-8.5 - Cost Data'!G$16</f>
        <v>134.24</v>
      </c>
    </row>
    <row r="11" spans="1:8" x14ac:dyDescent="0.2">
      <c r="A11" s="1036">
        <v>200</v>
      </c>
      <c r="B11" s="1073">
        <f t="shared" si="0"/>
        <v>141.83000000000001</v>
      </c>
      <c r="C11" s="1123">
        <f t="shared" si="2"/>
        <v>41.76</v>
      </c>
      <c r="D11" s="1124">
        <f>'JKP-8.5 - Cost Data'!G$33</f>
        <v>183.59</v>
      </c>
      <c r="E11" s="1073">
        <f t="shared" si="1"/>
        <v>92.480000000000018</v>
      </c>
      <c r="F11" s="1123">
        <f t="shared" si="3"/>
        <v>41.76</v>
      </c>
      <c r="G11" s="1124">
        <f>'JKP-8.5 - Cost Data'!G$16</f>
        <v>134.24</v>
      </c>
    </row>
    <row r="12" spans="1:8" x14ac:dyDescent="0.2">
      <c r="A12" s="1036">
        <v>225</v>
      </c>
      <c r="B12" s="1073">
        <f t="shared" si="0"/>
        <v>141.83000000000001</v>
      </c>
      <c r="C12" s="1123">
        <f t="shared" si="2"/>
        <v>41.76</v>
      </c>
      <c r="D12" s="1124">
        <f>'JKP-8.5 - Cost Data'!G$33</f>
        <v>183.59</v>
      </c>
      <c r="E12" s="1073">
        <f t="shared" si="1"/>
        <v>92.480000000000018</v>
      </c>
      <c r="F12" s="1123">
        <f t="shared" si="3"/>
        <v>41.76</v>
      </c>
      <c r="G12" s="1124">
        <f>'JKP-8.5 - Cost Data'!G$16</f>
        <v>134.24</v>
      </c>
    </row>
    <row r="13" spans="1:8" x14ac:dyDescent="0.2">
      <c r="A13" s="1036">
        <v>250</v>
      </c>
      <c r="B13" s="1073">
        <f t="shared" si="0"/>
        <v>141.83000000000001</v>
      </c>
      <c r="C13" s="1123">
        <f t="shared" si="2"/>
        <v>41.76</v>
      </c>
      <c r="D13" s="1124">
        <f>'JKP-8.5 - Cost Data'!G$33</f>
        <v>183.59</v>
      </c>
      <c r="E13" s="1073">
        <f t="shared" si="1"/>
        <v>92.480000000000018</v>
      </c>
      <c r="F13" s="1123">
        <f t="shared" si="3"/>
        <v>41.76</v>
      </c>
      <c r="G13" s="1124">
        <f>'JKP-8.5 - Cost Data'!G$16</f>
        <v>134.24</v>
      </c>
    </row>
    <row r="14" spans="1:8" x14ac:dyDescent="0.2">
      <c r="A14" s="1036">
        <v>275</v>
      </c>
      <c r="B14" s="1073">
        <f t="shared" si="0"/>
        <v>141.83000000000001</v>
      </c>
      <c r="C14" s="1123">
        <f t="shared" si="2"/>
        <v>41.76</v>
      </c>
      <c r="D14" s="1124">
        <f>'JKP-8.5 - Cost Data'!G$33</f>
        <v>183.59</v>
      </c>
      <c r="E14" s="1073">
        <f t="shared" si="1"/>
        <v>92.480000000000018</v>
      </c>
      <c r="F14" s="1123">
        <f t="shared" si="3"/>
        <v>41.76</v>
      </c>
      <c r="G14" s="1124">
        <f>'JKP-8.5 - Cost Data'!G$16</f>
        <v>134.24</v>
      </c>
    </row>
    <row r="15" spans="1:8" x14ac:dyDescent="0.2">
      <c r="A15" s="1036">
        <v>400</v>
      </c>
      <c r="B15" s="1073">
        <f t="shared" si="0"/>
        <v>462.02000000000004</v>
      </c>
      <c r="C15" s="1123">
        <f t="shared" si="2"/>
        <v>41.76</v>
      </c>
      <c r="D15" s="1124">
        <f>'JKP-8.5 - Cost Data'!G$64</f>
        <v>503.78000000000003</v>
      </c>
      <c r="E15" s="1073">
        <f t="shared" si="1"/>
        <v>193.72</v>
      </c>
      <c r="F15" s="1123">
        <f t="shared" si="3"/>
        <v>41.76</v>
      </c>
      <c r="G15" s="1124">
        <f>'JKP-8.5 - Cost Data'!G$47</f>
        <v>235.48</v>
      </c>
    </row>
    <row r="16" spans="1:8" x14ac:dyDescent="0.2">
      <c r="A16" s="1036">
        <v>425</v>
      </c>
      <c r="B16" s="1073">
        <f t="shared" si="0"/>
        <v>462.02000000000004</v>
      </c>
      <c r="C16" s="1123">
        <f t="shared" si="2"/>
        <v>41.76</v>
      </c>
      <c r="D16" s="1124">
        <f>'JKP-8.5 - Cost Data'!G$64</f>
        <v>503.78000000000003</v>
      </c>
      <c r="E16" s="1073">
        <f t="shared" si="1"/>
        <v>193.72</v>
      </c>
      <c r="F16" s="1123">
        <f t="shared" si="3"/>
        <v>41.76</v>
      </c>
      <c r="G16" s="1124">
        <f>'JKP-8.5 - Cost Data'!G$47</f>
        <v>235.48</v>
      </c>
    </row>
    <row r="17" spans="1:8" x14ac:dyDescent="0.2">
      <c r="A17" s="1036">
        <v>750</v>
      </c>
      <c r="B17" s="1073">
        <f t="shared" si="0"/>
        <v>1404.86</v>
      </c>
      <c r="C17" s="1123">
        <f t="shared" si="2"/>
        <v>41.76</v>
      </c>
      <c r="D17" s="1124">
        <f>'JKP-8.5 - Cost Data'!G$96</f>
        <v>1446.62</v>
      </c>
      <c r="E17" s="1073">
        <f t="shared" si="1"/>
        <v>1063.1500000000001</v>
      </c>
      <c r="F17" s="1123">
        <f t="shared" si="3"/>
        <v>41.76</v>
      </c>
      <c r="G17" s="1124">
        <f>'JKP-8.5 - Cost Data'!G$79</f>
        <v>1104.9100000000001</v>
      </c>
    </row>
    <row r="18" spans="1:8" x14ac:dyDescent="0.2">
      <c r="A18" s="1036">
        <v>800</v>
      </c>
      <c r="B18" s="1073">
        <f t="shared" si="0"/>
        <v>1404.86</v>
      </c>
      <c r="C18" s="1123">
        <f t="shared" si="2"/>
        <v>41.76</v>
      </c>
      <c r="D18" s="1124">
        <f>'JKP-8.5 - Cost Data'!G$96</f>
        <v>1446.62</v>
      </c>
      <c r="E18" s="1073">
        <f t="shared" si="1"/>
        <v>1063.1500000000001</v>
      </c>
      <c r="F18" s="1123">
        <f t="shared" si="3"/>
        <v>41.76</v>
      </c>
      <c r="G18" s="1124">
        <f>'JKP-8.5 - Cost Data'!G$79</f>
        <v>1104.9100000000001</v>
      </c>
    </row>
    <row r="19" spans="1:8" x14ac:dyDescent="0.2">
      <c r="A19" s="1042">
        <v>1000</v>
      </c>
      <c r="B19" s="1073">
        <f t="shared" si="0"/>
        <v>1404.86</v>
      </c>
      <c r="C19" s="1123">
        <f t="shared" si="2"/>
        <v>41.76</v>
      </c>
      <c r="D19" s="1124">
        <f>'JKP-8.5 - Cost Data'!G$96</f>
        <v>1446.62</v>
      </c>
      <c r="E19" s="1073">
        <f t="shared" si="1"/>
        <v>1063.1500000000001</v>
      </c>
      <c r="F19" s="1123">
        <f t="shared" si="3"/>
        <v>41.76</v>
      </c>
      <c r="G19" s="1124">
        <f>'JKP-8.5 - Cost Data'!G$79</f>
        <v>1104.9100000000001</v>
      </c>
    </row>
    <row r="20" spans="1:8" x14ac:dyDescent="0.2">
      <c r="A20" s="1042">
        <v>1400</v>
      </c>
      <c r="H20" s="1125">
        <f>'JKP-8.5 - Cost Data'!G111</f>
        <v>2379.79</v>
      </c>
    </row>
    <row r="21" spans="1:8" x14ac:dyDescent="0.2">
      <c r="A21" s="1036">
        <v>2300</v>
      </c>
      <c r="H21" s="1125">
        <f>'JKP-8.5 - Cost Data'!G126</f>
        <v>3587.13</v>
      </c>
    </row>
    <row r="22" spans="1:8" x14ac:dyDescent="0.2">
      <c r="A22" s="1036">
        <v>3000</v>
      </c>
      <c r="H22" s="1125">
        <f>'JKP-8.5 - Cost Data'!G141</f>
        <v>3406.19</v>
      </c>
    </row>
    <row r="23" spans="1:8" x14ac:dyDescent="0.2">
      <c r="A23" s="1036">
        <v>5000</v>
      </c>
      <c r="H23" s="1125">
        <f>'JKP-8.5 - Cost Data'!G156</f>
        <v>3456.43</v>
      </c>
    </row>
    <row r="24" spans="1:8" x14ac:dyDescent="0.2">
      <c r="A24" s="1036">
        <v>7000</v>
      </c>
      <c r="H24" s="1125">
        <f>'JKP-8.5 - Cost Data'!G173</f>
        <v>3458.4399999999996</v>
      </c>
    </row>
    <row r="25" spans="1:8" x14ac:dyDescent="0.2">
      <c r="A25" s="1036">
        <v>11000</v>
      </c>
      <c r="H25" s="1125">
        <f>'JKP-8.5 - Cost Data'!G188</f>
        <v>5835.1900000000005</v>
      </c>
    </row>
    <row r="26" spans="1:8" x14ac:dyDescent="0.2">
      <c r="A26" s="1036">
        <v>16000</v>
      </c>
      <c r="H26" s="1125">
        <f>'JKP-8.5 - Cost Data'!G203</f>
        <v>8983.2999999999993</v>
      </c>
    </row>
    <row r="27" spans="1:8" x14ac:dyDescent="0.2">
      <c r="A27" s="1036">
        <v>18000</v>
      </c>
      <c r="H27" s="1125">
        <f>'JKP-8.5 - Cost Data'!G218</f>
        <v>8412.5300000000007</v>
      </c>
    </row>
    <row r="28" spans="1:8" x14ac:dyDescent="0.2">
      <c r="A28" s="1036">
        <v>23000</v>
      </c>
      <c r="H28" s="1125">
        <f>'JKP-8.5 - Cost Data'!G232</f>
        <v>20882.400000000001</v>
      </c>
    </row>
    <row r="29" spans="1:8" x14ac:dyDescent="0.2">
      <c r="A29" s="1036">
        <v>30000</v>
      </c>
      <c r="H29" s="1125">
        <f>'JKP-8.5 - Cost Data'!G247</f>
        <v>28159.37</v>
      </c>
    </row>
    <row r="30" spans="1:8" x14ac:dyDescent="0.2">
      <c r="A30" s="1036">
        <v>38000</v>
      </c>
      <c r="H30" s="1125">
        <f>'JKP-8.5 - Cost Data'!G261</f>
        <v>28722.53</v>
      </c>
    </row>
    <row r="31" spans="1:8" x14ac:dyDescent="0.2">
      <c r="A31" s="1036">
        <v>60000</v>
      </c>
      <c r="H31" s="1125">
        <f>'JKP-8.5 - Cost Data'!G277</f>
        <v>36556.269999999997</v>
      </c>
    </row>
    <row r="32" spans="1:8" x14ac:dyDescent="0.2">
      <c r="A32" s="1036">
        <v>100000</v>
      </c>
      <c r="H32" s="1125">
        <f>'JKP-8.5 - Cost Data'!G277</f>
        <v>36556.269999999997</v>
      </c>
    </row>
    <row r="33" spans="1:8" x14ac:dyDescent="0.2">
      <c r="A33" s="1036">
        <v>150000</v>
      </c>
      <c r="H33" s="1125">
        <f>'JKP-8.5 - Cost Data'!G293</f>
        <v>45158.289999999994</v>
      </c>
    </row>
    <row r="35" spans="1:8" x14ac:dyDescent="0.2">
      <c r="A35" s="1048" t="s">
        <v>1912</v>
      </c>
    </row>
  </sheetData>
  <mergeCells count="2">
    <mergeCell ref="B6:D6"/>
    <mergeCell ref="E6:G6"/>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W265"/>
  <sheetViews>
    <sheetView workbookViewId="0">
      <pane ySplit="7" topLeftCell="A122" activePane="bottomLeft" state="frozen"/>
      <selection activeCell="C35" sqref="C35"/>
      <selection pane="bottomLeft" activeCell="C35" sqref="C35"/>
    </sheetView>
  </sheetViews>
  <sheetFormatPr defaultRowHeight="12.75" x14ac:dyDescent="0.2"/>
  <cols>
    <col min="1" max="1" width="17.140625" style="1025" customWidth="1"/>
    <col min="2" max="2" width="16" style="1025" customWidth="1"/>
    <col min="3" max="3" width="9.140625" style="1025"/>
    <col min="4" max="4" width="9.140625" style="1140"/>
    <col min="5" max="5" width="9.140625" style="1025"/>
    <col min="6" max="6" width="9.85546875" style="1025" bestFit="1" customWidth="1"/>
    <col min="7" max="8" width="9.140625" style="1025"/>
    <col min="9" max="9" width="10.42578125" style="1025" customWidth="1"/>
    <col min="10" max="10" width="10.28515625" style="1025" customWidth="1"/>
    <col min="11" max="12" width="9.140625" style="1025"/>
    <col min="13" max="14" width="9.85546875" style="1025" bestFit="1" customWidth="1"/>
    <col min="15" max="17" width="11.7109375" style="1025" customWidth="1"/>
    <col min="18" max="23" width="10.7109375" style="1025" customWidth="1"/>
    <col min="24" max="16384" width="9.140625" style="1025"/>
  </cols>
  <sheetData>
    <row r="1" spans="1:23" x14ac:dyDescent="0.2">
      <c r="A1" s="1083" t="s">
        <v>70</v>
      </c>
      <c r="C1" s="1126"/>
      <c r="D1" s="1126"/>
      <c r="E1" s="1127"/>
    </row>
    <row r="2" spans="1:23" x14ac:dyDescent="0.2">
      <c r="A2" s="1048" t="s">
        <v>187</v>
      </c>
      <c r="C2" s="1126"/>
      <c r="D2" s="1126"/>
      <c r="E2" s="1127"/>
    </row>
    <row r="3" spans="1:23" x14ac:dyDescent="0.2">
      <c r="A3" s="1083" t="s">
        <v>1905</v>
      </c>
      <c r="C3" s="1126"/>
      <c r="D3" s="1126"/>
      <c r="E3" s="1127"/>
    </row>
    <row r="4" spans="1:23" x14ac:dyDescent="0.2">
      <c r="A4" s="1083" t="s">
        <v>1913</v>
      </c>
      <c r="C4" s="1126"/>
      <c r="D4" s="1126"/>
      <c r="E4" s="1127"/>
    </row>
    <row r="5" spans="1:23" x14ac:dyDescent="0.2">
      <c r="C5" s="1126"/>
      <c r="D5" s="1126"/>
      <c r="E5" s="1127"/>
    </row>
    <row r="6" spans="1:23" x14ac:dyDescent="0.2">
      <c r="A6" s="1128" t="s">
        <v>1856</v>
      </c>
      <c r="B6" s="1128" t="s">
        <v>1338</v>
      </c>
      <c r="C6" s="1128" t="s">
        <v>1844</v>
      </c>
      <c r="D6" s="1129" t="s">
        <v>83</v>
      </c>
      <c r="E6" s="1130"/>
      <c r="F6" s="1131" t="s">
        <v>413</v>
      </c>
      <c r="G6" s="1131"/>
      <c r="H6" s="1132"/>
      <c r="I6" s="1890" t="s">
        <v>1914</v>
      </c>
      <c r="J6" s="1891"/>
      <c r="K6" s="1890" t="s">
        <v>1915</v>
      </c>
      <c r="L6" s="1891"/>
      <c r="M6" s="1890" t="s">
        <v>1916</v>
      </c>
      <c r="N6" s="1891"/>
      <c r="O6" s="1890" t="s">
        <v>1917</v>
      </c>
      <c r="P6" s="1889"/>
      <c r="Q6" s="1891"/>
      <c r="R6" s="1890" t="s">
        <v>1918</v>
      </c>
      <c r="S6" s="1889"/>
      <c r="T6" s="1891"/>
      <c r="U6" s="1889" t="s">
        <v>1919</v>
      </c>
      <c r="V6" s="1889"/>
      <c r="W6" s="1889"/>
    </row>
    <row r="7" spans="1:23" x14ac:dyDescent="0.2">
      <c r="A7" s="1133" t="s">
        <v>445</v>
      </c>
      <c r="B7" s="1133" t="s">
        <v>445</v>
      </c>
      <c r="C7" s="1133" t="s">
        <v>445</v>
      </c>
      <c r="D7" s="1134" t="s">
        <v>25</v>
      </c>
      <c r="E7" s="1134" t="s">
        <v>1920</v>
      </c>
      <c r="F7" s="1135" t="s">
        <v>1856</v>
      </c>
      <c r="G7" s="1135" t="s">
        <v>1338</v>
      </c>
      <c r="H7" s="1136" t="s">
        <v>23</v>
      </c>
      <c r="I7" s="1137" t="s">
        <v>1856</v>
      </c>
      <c r="J7" s="1138" t="s">
        <v>1338</v>
      </c>
      <c r="K7" s="1139" t="s">
        <v>1856</v>
      </c>
      <c r="L7" s="1136" t="s">
        <v>1338</v>
      </c>
      <c r="M7" s="1137" t="s">
        <v>1856</v>
      </c>
      <c r="N7" s="1138" t="s">
        <v>1338</v>
      </c>
      <c r="O7" s="1137" t="s">
        <v>1856</v>
      </c>
      <c r="P7" s="1133" t="s">
        <v>1338</v>
      </c>
      <c r="Q7" s="1138" t="s">
        <v>23</v>
      </c>
      <c r="R7" s="1137" t="s">
        <v>1856</v>
      </c>
      <c r="S7" s="1133" t="s">
        <v>1338</v>
      </c>
      <c r="T7" s="1138" t="s">
        <v>23</v>
      </c>
      <c r="U7" s="1133" t="s">
        <v>1856</v>
      </c>
      <c r="V7" s="1133" t="s">
        <v>1338</v>
      </c>
      <c r="W7" s="1133" t="s">
        <v>23</v>
      </c>
    </row>
    <row r="8" spans="1:23" x14ac:dyDescent="0.2">
      <c r="A8" s="1140" t="str">
        <f>D8&amp;" "&amp;E8&amp;" "&amp;$A$6</f>
        <v>23G 175 AMR</v>
      </c>
      <c r="B8" s="1140" t="str">
        <f>D8&amp;" "&amp;E8&amp;" "&amp;$G$5</f>
        <v xml:space="preserve">23G 175 </v>
      </c>
      <c r="C8" s="1140" t="s">
        <v>930</v>
      </c>
      <c r="D8" s="1140" t="s">
        <v>930</v>
      </c>
      <c r="E8" s="1140">
        <v>175</v>
      </c>
      <c r="F8" s="1141">
        <f>SUMIF('JKP-8.5 - CNSMREQP_GASMTRCTR'!$A$2:$A$391,'JKP-8.5 - Total Costs'!A8,'JKP-8.5 - CNSMREQP_GASMTRCTR'!$F$2:$F$391)-SUMIF('JKP-8.5 - Migrated From'!$A$2:$A$22,'JKP-8.5 - Total Costs'!A8,'JKP-8.5 - Migrated From'!$F$2:$F$22)+SUMIF('JKP-8.5 - Migrated To'!$A$2:$A$22,'JKP-8.5 - Total Costs'!A8,'JKP-8.5 - Migrated To'!$F$2:$F$22)</f>
        <v>96601</v>
      </c>
      <c r="G8" s="1141">
        <f>SUMIF('JKP-8.5 - CNSMREQP_GASMTRCTR'!$A$2:$A$391,'JKP-8.5 - Total Costs'!B8,'JKP-8.5 - CNSMREQP_GASMTRCTR'!$F$2:$F$391)-SUMIF('JKP-8.5 - Migrated From'!$A$2:$A$22,'JKP-8.5 - Total Costs'!B8,'JKP-8.5 - Migrated From'!$F$2:$F$22)+SUMIF('JKP-8.5 - Migrated To'!$A$2:$A$22,'JKP-8.5 - Total Costs'!B8,'JKP-8.5 - Migrated To'!$F$2:$F$22)</f>
        <v>37</v>
      </c>
      <c r="H8" s="1142">
        <f>F8+G8</f>
        <v>96638</v>
      </c>
      <c r="I8" s="1143">
        <f>VLOOKUP($E8,'JKP-8.5 - Unit Costs'!$A$9:$H$33,2,FALSE)</f>
        <v>141.83000000000001</v>
      </c>
      <c r="J8" s="1143">
        <f>VLOOKUP($E8,'JKP-8.5 - Unit Costs'!$A$9:$H$33,5,FALSE)</f>
        <v>92.480000000000018</v>
      </c>
      <c r="K8" s="1143">
        <f>VLOOKUP($E8,'JKP-8.5 - Unit Costs'!$A$9:$H$33,3,FALSE)</f>
        <v>41.76</v>
      </c>
      <c r="L8" s="1143">
        <f>VLOOKUP($E8,'JKP-8.5 - Unit Costs'!$A$9:$H$33,6,FALSE)</f>
        <v>41.76</v>
      </c>
      <c r="M8" s="1143">
        <f>VLOOKUP($E8,'JKP-8.5 - Unit Costs'!$A$9:$H$33,8,FALSE)</f>
        <v>0</v>
      </c>
      <c r="N8" s="1143">
        <f>VLOOKUP($E8,'JKP-8.5 - Unit Costs'!$A$9:$H$33,8,FALSE)</f>
        <v>0</v>
      </c>
      <c r="O8" s="1144">
        <f>I8*F8</f>
        <v>13700919.830000002</v>
      </c>
      <c r="P8" s="1144">
        <f>J8*G8</f>
        <v>3421.7600000000007</v>
      </c>
      <c r="Q8" s="1144">
        <f>P8+O8</f>
        <v>13704341.590000002</v>
      </c>
      <c r="R8" s="1144">
        <f>K8*F8</f>
        <v>4034057.76</v>
      </c>
      <c r="S8" s="1144">
        <f>L8*G8</f>
        <v>1545.12</v>
      </c>
      <c r="T8" s="1144">
        <f>S8+R8</f>
        <v>4035602.88</v>
      </c>
      <c r="U8" s="1144">
        <f>M8*F8</f>
        <v>0</v>
      </c>
      <c r="V8" s="1144">
        <f>N8*G8</f>
        <v>0</v>
      </c>
      <c r="W8" s="1145">
        <f>V8+U8</f>
        <v>0</v>
      </c>
    </row>
    <row r="9" spans="1:23" x14ac:dyDescent="0.2">
      <c r="A9" s="1140" t="str">
        <f t="shared" ref="A9:A72" si="0">D9&amp;" "&amp;E9&amp;" "&amp;$A$6</f>
        <v>23G 200 AMR</v>
      </c>
      <c r="B9" s="1140" t="str">
        <f t="shared" ref="B9:B72" si="1">D9&amp;" "&amp;E9&amp;" "&amp;$G$5</f>
        <v xml:space="preserve">23G 200 </v>
      </c>
      <c r="C9" s="1140" t="s">
        <v>930</v>
      </c>
      <c r="D9" s="1140" t="s">
        <v>930</v>
      </c>
      <c r="E9" s="1140">
        <v>200</v>
      </c>
      <c r="F9" s="1141">
        <f>SUMIF('JKP-8.5 - CNSMREQP_GASMTRCTR'!$A$2:$A$391,'JKP-8.5 - Total Costs'!A9,'JKP-8.5 - CNSMREQP_GASMTRCTR'!$F$2:$F$391)-SUMIF('JKP-8.5 - Migrated From'!$A$2:$A$22,'JKP-8.5 - Total Costs'!A9,'JKP-8.5 - Migrated From'!$F$2:$F$22)+SUMIF('JKP-8.5 - Migrated To'!$A$2:$A$22,'JKP-8.5 - Total Costs'!A9,'JKP-8.5 - Migrated To'!$F$2:$F$22)</f>
        <v>20114</v>
      </c>
      <c r="G9" s="1141">
        <f>SUMIF('JKP-8.5 - CNSMREQP_GASMTRCTR'!$A$2:$A$391,'JKP-8.5 - Total Costs'!B9,'JKP-8.5 - CNSMREQP_GASMTRCTR'!$F$2:$F$391)-SUMIF('JKP-8.5 - Migrated From'!$A$2:$A$22,'JKP-8.5 - Total Costs'!B9,'JKP-8.5 - Migrated From'!$F$2:$F$22)+SUMIF('JKP-8.5 - Migrated To'!$A$2:$A$22,'JKP-8.5 - Total Costs'!B9,'JKP-8.5 - Migrated To'!$F$2:$F$22)</f>
        <v>39</v>
      </c>
      <c r="H9" s="1142">
        <f t="shared" ref="H9:H72" si="2">F9+G9</f>
        <v>20153</v>
      </c>
      <c r="I9" s="1143">
        <f>VLOOKUP($E9,'JKP-8.5 - Unit Costs'!$A$9:$H$33,2,FALSE)</f>
        <v>141.83000000000001</v>
      </c>
      <c r="J9" s="1143">
        <f>VLOOKUP($E9,'JKP-8.5 - Unit Costs'!$A$9:$H$33,5,FALSE)</f>
        <v>92.480000000000018</v>
      </c>
      <c r="K9" s="1143">
        <f>VLOOKUP($E9,'JKP-8.5 - Unit Costs'!$A$9:$H$33,3,FALSE)</f>
        <v>41.76</v>
      </c>
      <c r="L9" s="1143">
        <f>VLOOKUP($E9,'JKP-8.5 - Unit Costs'!$A$9:$H$33,6,FALSE)</f>
        <v>41.76</v>
      </c>
      <c r="M9" s="1143">
        <f>VLOOKUP($E9,'JKP-8.5 - Unit Costs'!$A$9:$H$33,8,FALSE)</f>
        <v>0</v>
      </c>
      <c r="N9" s="1143">
        <f>VLOOKUP($E9,'JKP-8.5 - Unit Costs'!$A$9:$H$33,8,FALSE)</f>
        <v>0</v>
      </c>
      <c r="O9" s="1144">
        <f t="shared" ref="O9:P72" si="3">I9*F9</f>
        <v>2852768.62</v>
      </c>
      <c r="P9" s="1144">
        <f t="shared" si="3"/>
        <v>3606.7200000000007</v>
      </c>
      <c r="Q9" s="1144">
        <f t="shared" ref="Q9:Q72" si="4">P9+O9</f>
        <v>2856375.3400000003</v>
      </c>
      <c r="R9" s="1144">
        <f t="shared" ref="R9:S72" si="5">K9*F9</f>
        <v>839960.64</v>
      </c>
      <c r="S9" s="1144">
        <f t="shared" si="5"/>
        <v>1628.6399999999999</v>
      </c>
      <c r="T9" s="1144">
        <f t="shared" ref="T9:T72" si="6">S9+R9</f>
        <v>841589.28</v>
      </c>
      <c r="U9" s="1144">
        <f t="shared" ref="U9:V72" si="7">M9*F9</f>
        <v>0</v>
      </c>
      <c r="V9" s="1144">
        <f t="shared" si="7"/>
        <v>0</v>
      </c>
      <c r="W9" s="1145">
        <f t="shared" ref="W9:W72" si="8">V9+U9</f>
        <v>0</v>
      </c>
    </row>
    <row r="10" spans="1:23" x14ac:dyDescent="0.2">
      <c r="A10" s="1140" t="str">
        <f t="shared" si="0"/>
        <v>23G 225 AMR</v>
      </c>
      <c r="B10" s="1140" t="str">
        <f t="shared" si="1"/>
        <v xml:space="preserve">23G 225 </v>
      </c>
      <c r="C10" s="1140" t="s">
        <v>930</v>
      </c>
      <c r="D10" s="1140" t="s">
        <v>930</v>
      </c>
      <c r="E10" s="1140">
        <v>225</v>
      </c>
      <c r="F10" s="1141">
        <f>SUMIF('JKP-8.5 - CNSMREQP_GASMTRCTR'!$A$2:$A$391,'JKP-8.5 - Total Costs'!A10,'JKP-8.5 - CNSMREQP_GASMTRCTR'!$F$2:$F$391)-SUMIF('JKP-8.5 - Migrated From'!$A$2:$A$22,'JKP-8.5 - Total Costs'!A10,'JKP-8.5 - Migrated From'!$F$2:$F$22)+SUMIF('JKP-8.5 - Migrated To'!$A$2:$A$22,'JKP-8.5 - Total Costs'!A10,'JKP-8.5 - Migrated To'!$F$2:$F$22)</f>
        <v>17</v>
      </c>
      <c r="G10" s="1141">
        <f>SUMIF('JKP-8.5 - CNSMREQP_GASMTRCTR'!$A$2:$A$391,'JKP-8.5 - Total Costs'!B10,'JKP-8.5 - CNSMREQP_GASMTRCTR'!$F$2:$F$391)-SUMIF('JKP-8.5 - Migrated From'!$A$2:$A$22,'JKP-8.5 - Total Costs'!B10,'JKP-8.5 - Migrated From'!$F$2:$F$22)+SUMIF('JKP-8.5 - Migrated To'!$A$2:$A$22,'JKP-8.5 - Total Costs'!B10,'JKP-8.5 - Migrated To'!$F$2:$F$22)</f>
        <v>0</v>
      </c>
      <c r="H10" s="1142">
        <f t="shared" si="2"/>
        <v>17</v>
      </c>
      <c r="I10" s="1143">
        <f>VLOOKUP($E10,'JKP-8.5 - Unit Costs'!$A$9:$H$33,2,FALSE)</f>
        <v>141.83000000000001</v>
      </c>
      <c r="J10" s="1143">
        <f>VLOOKUP($E10,'JKP-8.5 - Unit Costs'!$A$9:$H$33,5,FALSE)</f>
        <v>92.480000000000018</v>
      </c>
      <c r="K10" s="1143">
        <f>VLOOKUP($E10,'JKP-8.5 - Unit Costs'!$A$9:$H$33,3,FALSE)</f>
        <v>41.76</v>
      </c>
      <c r="L10" s="1143">
        <f>VLOOKUP($E10,'JKP-8.5 - Unit Costs'!$A$9:$H$33,6,FALSE)</f>
        <v>41.76</v>
      </c>
      <c r="M10" s="1143">
        <f>VLOOKUP($E10,'JKP-8.5 - Unit Costs'!$A$9:$H$33,8,FALSE)</f>
        <v>0</v>
      </c>
      <c r="N10" s="1143">
        <f>VLOOKUP($E10,'JKP-8.5 - Unit Costs'!$A$9:$H$33,8,FALSE)</f>
        <v>0</v>
      </c>
      <c r="O10" s="1144">
        <f t="shared" si="3"/>
        <v>2411.11</v>
      </c>
      <c r="P10" s="1144">
        <f t="shared" si="3"/>
        <v>0</v>
      </c>
      <c r="Q10" s="1144">
        <f t="shared" si="4"/>
        <v>2411.11</v>
      </c>
      <c r="R10" s="1144">
        <f t="shared" si="5"/>
        <v>709.92</v>
      </c>
      <c r="S10" s="1144">
        <f t="shared" si="5"/>
        <v>0</v>
      </c>
      <c r="T10" s="1144">
        <f t="shared" si="6"/>
        <v>709.92</v>
      </c>
      <c r="U10" s="1144">
        <f t="shared" si="7"/>
        <v>0</v>
      </c>
      <c r="V10" s="1144">
        <f t="shared" si="7"/>
        <v>0</v>
      </c>
      <c r="W10" s="1145">
        <f t="shared" si="8"/>
        <v>0</v>
      </c>
    </row>
    <row r="11" spans="1:23" x14ac:dyDescent="0.2">
      <c r="A11" s="1140" t="str">
        <f t="shared" si="0"/>
        <v>23G 250 AMR</v>
      </c>
      <c r="B11" s="1140" t="str">
        <f t="shared" si="1"/>
        <v xml:space="preserve">23G 250 </v>
      </c>
      <c r="C11" s="1140" t="s">
        <v>930</v>
      </c>
      <c r="D11" s="1140" t="s">
        <v>930</v>
      </c>
      <c r="E11" s="1140">
        <v>250</v>
      </c>
      <c r="F11" s="1141">
        <f>SUMIF('JKP-8.5 - CNSMREQP_GASMTRCTR'!$A$2:$A$391,'JKP-8.5 - Total Costs'!A11,'JKP-8.5 - CNSMREQP_GASMTRCTR'!$F$2:$F$391)-SUMIF('JKP-8.5 - Migrated From'!$A$2:$A$22,'JKP-8.5 - Total Costs'!A11,'JKP-8.5 - Migrated From'!$F$2:$F$22)+SUMIF('JKP-8.5 - Migrated To'!$A$2:$A$22,'JKP-8.5 - Total Costs'!A11,'JKP-8.5 - Migrated To'!$F$2:$F$22)</f>
        <v>531691</v>
      </c>
      <c r="G11" s="1141">
        <f>SUMIF('JKP-8.5 - CNSMREQP_GASMTRCTR'!$A$2:$A$391,'JKP-8.5 - Total Costs'!B11,'JKP-8.5 - CNSMREQP_GASMTRCTR'!$F$2:$F$391)-SUMIF('JKP-8.5 - Migrated From'!$A$2:$A$22,'JKP-8.5 - Total Costs'!B11,'JKP-8.5 - Migrated From'!$F$2:$F$22)+SUMIF('JKP-8.5 - Migrated To'!$A$2:$A$22,'JKP-8.5 - Total Costs'!B11,'JKP-8.5 - Migrated To'!$F$2:$F$22)</f>
        <v>88</v>
      </c>
      <c r="H11" s="1142">
        <f t="shared" si="2"/>
        <v>531779</v>
      </c>
      <c r="I11" s="1143">
        <f>VLOOKUP($E11,'JKP-8.5 - Unit Costs'!$A$9:$H$33,2,FALSE)</f>
        <v>141.83000000000001</v>
      </c>
      <c r="J11" s="1143">
        <f>VLOOKUP($E11,'JKP-8.5 - Unit Costs'!$A$9:$H$33,5,FALSE)</f>
        <v>92.480000000000018</v>
      </c>
      <c r="K11" s="1143">
        <f>VLOOKUP($E11,'JKP-8.5 - Unit Costs'!$A$9:$H$33,3,FALSE)</f>
        <v>41.76</v>
      </c>
      <c r="L11" s="1143">
        <f>VLOOKUP($E11,'JKP-8.5 - Unit Costs'!$A$9:$H$33,6,FALSE)</f>
        <v>41.76</v>
      </c>
      <c r="M11" s="1143">
        <f>VLOOKUP($E11,'JKP-8.5 - Unit Costs'!$A$9:$H$33,8,FALSE)</f>
        <v>0</v>
      </c>
      <c r="N11" s="1143">
        <f>VLOOKUP($E11,'JKP-8.5 - Unit Costs'!$A$9:$H$33,8,FALSE)</f>
        <v>0</v>
      </c>
      <c r="O11" s="1144">
        <f t="shared" si="3"/>
        <v>75409734.530000001</v>
      </c>
      <c r="P11" s="1144">
        <f t="shared" si="3"/>
        <v>8138.2400000000016</v>
      </c>
      <c r="Q11" s="1144">
        <f t="shared" si="4"/>
        <v>75417872.769999996</v>
      </c>
      <c r="R11" s="1144">
        <f t="shared" si="5"/>
        <v>22203416.16</v>
      </c>
      <c r="S11" s="1144">
        <f t="shared" si="5"/>
        <v>3674.8799999999997</v>
      </c>
      <c r="T11" s="1144">
        <f t="shared" si="6"/>
        <v>22207091.039999999</v>
      </c>
      <c r="U11" s="1144">
        <f t="shared" si="7"/>
        <v>0</v>
      </c>
      <c r="V11" s="1144">
        <f t="shared" si="7"/>
        <v>0</v>
      </c>
      <c r="W11" s="1145">
        <f t="shared" si="8"/>
        <v>0</v>
      </c>
    </row>
    <row r="12" spans="1:23" x14ac:dyDescent="0.2">
      <c r="A12" s="1140" t="str">
        <f t="shared" si="0"/>
        <v>23G 275 AMR</v>
      </c>
      <c r="B12" s="1140" t="str">
        <f t="shared" si="1"/>
        <v xml:space="preserve">23G 275 </v>
      </c>
      <c r="C12" s="1140" t="s">
        <v>930</v>
      </c>
      <c r="D12" s="1140" t="s">
        <v>930</v>
      </c>
      <c r="E12" s="1140">
        <v>275</v>
      </c>
      <c r="F12" s="1141">
        <f>SUMIF('JKP-8.5 - CNSMREQP_GASMTRCTR'!$A$2:$A$391,'JKP-8.5 - Total Costs'!A12,'JKP-8.5 - CNSMREQP_GASMTRCTR'!$F$2:$F$391)-SUMIF('JKP-8.5 - Migrated From'!$A$2:$A$22,'JKP-8.5 - Total Costs'!A12,'JKP-8.5 - Migrated From'!$F$2:$F$22)+SUMIF('JKP-8.5 - Migrated To'!$A$2:$A$22,'JKP-8.5 - Total Costs'!A12,'JKP-8.5 - Migrated To'!$F$2:$F$22)</f>
        <v>36577</v>
      </c>
      <c r="G12" s="1141">
        <f>SUMIF('JKP-8.5 - CNSMREQP_GASMTRCTR'!$A$2:$A$391,'JKP-8.5 - Total Costs'!B12,'JKP-8.5 - CNSMREQP_GASMTRCTR'!$F$2:$F$391)-SUMIF('JKP-8.5 - Migrated From'!$A$2:$A$22,'JKP-8.5 - Total Costs'!B12,'JKP-8.5 - Migrated From'!$F$2:$F$22)+SUMIF('JKP-8.5 - Migrated To'!$A$2:$A$22,'JKP-8.5 - Total Costs'!B12,'JKP-8.5 - Migrated To'!$F$2:$F$22)</f>
        <v>9</v>
      </c>
      <c r="H12" s="1142">
        <f t="shared" si="2"/>
        <v>36586</v>
      </c>
      <c r="I12" s="1143">
        <f>VLOOKUP($E12,'JKP-8.5 - Unit Costs'!$A$9:$H$33,2,FALSE)</f>
        <v>141.83000000000001</v>
      </c>
      <c r="J12" s="1143">
        <f>VLOOKUP($E12,'JKP-8.5 - Unit Costs'!$A$9:$H$33,5,FALSE)</f>
        <v>92.480000000000018</v>
      </c>
      <c r="K12" s="1143">
        <f>VLOOKUP($E12,'JKP-8.5 - Unit Costs'!$A$9:$H$33,3,FALSE)</f>
        <v>41.76</v>
      </c>
      <c r="L12" s="1143">
        <f>VLOOKUP($E12,'JKP-8.5 - Unit Costs'!$A$9:$H$33,6,FALSE)</f>
        <v>41.76</v>
      </c>
      <c r="M12" s="1143">
        <f>VLOOKUP($E12,'JKP-8.5 - Unit Costs'!$A$9:$H$33,8,FALSE)</f>
        <v>0</v>
      </c>
      <c r="N12" s="1143">
        <f>VLOOKUP($E12,'JKP-8.5 - Unit Costs'!$A$9:$H$33,8,FALSE)</f>
        <v>0</v>
      </c>
      <c r="O12" s="1144">
        <f t="shared" si="3"/>
        <v>5187715.91</v>
      </c>
      <c r="P12" s="1144">
        <f t="shared" si="3"/>
        <v>832.32000000000016</v>
      </c>
      <c r="Q12" s="1144">
        <f t="shared" si="4"/>
        <v>5188548.2300000004</v>
      </c>
      <c r="R12" s="1144">
        <f t="shared" si="5"/>
        <v>1527455.52</v>
      </c>
      <c r="S12" s="1144">
        <f t="shared" si="5"/>
        <v>375.84</v>
      </c>
      <c r="T12" s="1144">
        <f t="shared" si="6"/>
        <v>1527831.36</v>
      </c>
      <c r="U12" s="1144">
        <f t="shared" si="7"/>
        <v>0</v>
      </c>
      <c r="V12" s="1144">
        <f t="shared" si="7"/>
        <v>0</v>
      </c>
      <c r="W12" s="1145">
        <f t="shared" si="8"/>
        <v>0</v>
      </c>
    </row>
    <row r="13" spans="1:23" x14ac:dyDescent="0.2">
      <c r="A13" s="1140" t="str">
        <f t="shared" si="0"/>
        <v>23G 400 AMR</v>
      </c>
      <c r="B13" s="1140" t="str">
        <f t="shared" si="1"/>
        <v xml:space="preserve">23G 400 </v>
      </c>
      <c r="C13" s="1140" t="s">
        <v>930</v>
      </c>
      <c r="D13" s="1140" t="s">
        <v>930</v>
      </c>
      <c r="E13" s="1140">
        <v>400</v>
      </c>
      <c r="F13" s="1141">
        <f>SUMIF('JKP-8.5 - CNSMREQP_GASMTRCTR'!$A$2:$A$391,'JKP-8.5 - Total Costs'!A13,'JKP-8.5 - CNSMREQP_GASMTRCTR'!$F$2:$F$391)-SUMIF('JKP-8.5 - Migrated From'!$A$2:$A$22,'JKP-8.5 - Total Costs'!A13,'JKP-8.5 - Migrated From'!$F$2:$F$22)+SUMIF('JKP-8.5 - Migrated To'!$A$2:$A$22,'JKP-8.5 - Total Costs'!A13,'JKP-8.5 - Migrated To'!$F$2:$F$22)</f>
        <v>6</v>
      </c>
      <c r="G13" s="1141">
        <f>SUMIF('JKP-8.5 - CNSMREQP_GASMTRCTR'!$A$2:$A$391,'JKP-8.5 - Total Costs'!B13,'JKP-8.5 - CNSMREQP_GASMTRCTR'!$F$2:$F$391)-SUMIF('JKP-8.5 - Migrated From'!$A$2:$A$22,'JKP-8.5 - Total Costs'!B13,'JKP-8.5 - Migrated From'!$F$2:$F$22)+SUMIF('JKP-8.5 - Migrated To'!$A$2:$A$22,'JKP-8.5 - Total Costs'!B13,'JKP-8.5 - Migrated To'!$F$2:$F$22)</f>
        <v>0</v>
      </c>
      <c r="H13" s="1142">
        <f t="shared" si="2"/>
        <v>6</v>
      </c>
      <c r="I13" s="1143">
        <f>VLOOKUP($E13,'JKP-8.5 - Unit Costs'!$A$9:$H$33,2,FALSE)</f>
        <v>462.02000000000004</v>
      </c>
      <c r="J13" s="1143">
        <f>VLOOKUP($E13,'JKP-8.5 - Unit Costs'!$A$9:$H$33,5,FALSE)</f>
        <v>193.72</v>
      </c>
      <c r="K13" s="1143">
        <f>VLOOKUP($E13,'JKP-8.5 - Unit Costs'!$A$9:$H$33,3,FALSE)</f>
        <v>41.76</v>
      </c>
      <c r="L13" s="1143">
        <f>VLOOKUP($E13,'JKP-8.5 - Unit Costs'!$A$9:$H$33,6,FALSE)</f>
        <v>41.76</v>
      </c>
      <c r="M13" s="1143">
        <f>VLOOKUP($E13,'JKP-8.5 - Unit Costs'!$A$9:$H$33,8,FALSE)</f>
        <v>0</v>
      </c>
      <c r="N13" s="1143">
        <f>VLOOKUP($E13,'JKP-8.5 - Unit Costs'!$A$9:$H$33,8,FALSE)</f>
        <v>0</v>
      </c>
      <c r="O13" s="1144">
        <f t="shared" si="3"/>
        <v>2772.1200000000003</v>
      </c>
      <c r="P13" s="1144">
        <f t="shared" si="3"/>
        <v>0</v>
      </c>
      <c r="Q13" s="1144">
        <f t="shared" si="4"/>
        <v>2772.1200000000003</v>
      </c>
      <c r="R13" s="1144">
        <f t="shared" si="5"/>
        <v>250.56</v>
      </c>
      <c r="S13" s="1144">
        <f t="shared" si="5"/>
        <v>0</v>
      </c>
      <c r="T13" s="1144">
        <f t="shared" si="6"/>
        <v>250.56</v>
      </c>
      <c r="U13" s="1144">
        <f t="shared" si="7"/>
        <v>0</v>
      </c>
      <c r="V13" s="1144">
        <f t="shared" si="7"/>
        <v>0</v>
      </c>
      <c r="W13" s="1145">
        <f t="shared" si="8"/>
        <v>0</v>
      </c>
    </row>
    <row r="14" spans="1:23" x14ac:dyDescent="0.2">
      <c r="A14" s="1140" t="str">
        <f t="shared" si="0"/>
        <v>23G 425 AMR</v>
      </c>
      <c r="B14" s="1140" t="str">
        <f t="shared" si="1"/>
        <v xml:space="preserve">23G 425 </v>
      </c>
      <c r="C14" s="1140" t="s">
        <v>930</v>
      </c>
      <c r="D14" s="1140" t="s">
        <v>930</v>
      </c>
      <c r="E14" s="1140">
        <v>425</v>
      </c>
      <c r="F14" s="1141">
        <f>SUMIF('JKP-8.5 - CNSMREQP_GASMTRCTR'!$A$2:$A$391,'JKP-8.5 - Total Costs'!A14,'JKP-8.5 - CNSMREQP_GASMTRCTR'!$F$2:$F$391)-SUMIF('JKP-8.5 - Migrated From'!$A$2:$A$22,'JKP-8.5 - Total Costs'!A14,'JKP-8.5 - Migrated From'!$F$2:$F$22)+SUMIF('JKP-8.5 - Migrated To'!$A$2:$A$22,'JKP-8.5 - Total Costs'!A14,'JKP-8.5 - Migrated To'!$F$2:$F$22)</f>
        <v>17097</v>
      </c>
      <c r="G14" s="1141">
        <f>SUMIF('JKP-8.5 - CNSMREQP_GASMTRCTR'!$A$2:$A$391,'JKP-8.5 - Total Costs'!B14,'JKP-8.5 - CNSMREQP_GASMTRCTR'!$F$2:$F$391)-SUMIF('JKP-8.5 - Migrated From'!$A$2:$A$22,'JKP-8.5 - Total Costs'!B14,'JKP-8.5 - Migrated From'!$F$2:$F$22)+SUMIF('JKP-8.5 - Migrated To'!$A$2:$A$22,'JKP-8.5 - Total Costs'!B14,'JKP-8.5 - Migrated To'!$F$2:$F$22)</f>
        <v>4</v>
      </c>
      <c r="H14" s="1142">
        <f t="shared" si="2"/>
        <v>17101</v>
      </c>
      <c r="I14" s="1143">
        <f>VLOOKUP($E14,'JKP-8.5 - Unit Costs'!$A$9:$H$33,2,FALSE)</f>
        <v>462.02000000000004</v>
      </c>
      <c r="J14" s="1143">
        <f>VLOOKUP($E14,'JKP-8.5 - Unit Costs'!$A$9:$H$33,5,FALSE)</f>
        <v>193.72</v>
      </c>
      <c r="K14" s="1143">
        <f>VLOOKUP($E14,'JKP-8.5 - Unit Costs'!$A$9:$H$33,3,FALSE)</f>
        <v>41.76</v>
      </c>
      <c r="L14" s="1143">
        <f>VLOOKUP($E14,'JKP-8.5 - Unit Costs'!$A$9:$H$33,6,FALSE)</f>
        <v>41.76</v>
      </c>
      <c r="M14" s="1143">
        <f>VLOOKUP($E14,'JKP-8.5 - Unit Costs'!$A$9:$H$33,8,FALSE)</f>
        <v>0</v>
      </c>
      <c r="N14" s="1143">
        <f>VLOOKUP($E14,'JKP-8.5 - Unit Costs'!$A$9:$H$33,8,FALSE)</f>
        <v>0</v>
      </c>
      <c r="O14" s="1144">
        <f t="shared" si="3"/>
        <v>7899155.9400000004</v>
      </c>
      <c r="P14" s="1144">
        <f t="shared" si="3"/>
        <v>774.88</v>
      </c>
      <c r="Q14" s="1144">
        <f t="shared" si="4"/>
        <v>7899930.8200000003</v>
      </c>
      <c r="R14" s="1144">
        <f t="shared" si="5"/>
        <v>713970.72</v>
      </c>
      <c r="S14" s="1144">
        <f t="shared" si="5"/>
        <v>167.04</v>
      </c>
      <c r="T14" s="1144">
        <f t="shared" si="6"/>
        <v>714137.76</v>
      </c>
      <c r="U14" s="1144">
        <f t="shared" si="7"/>
        <v>0</v>
      </c>
      <c r="V14" s="1144">
        <f t="shared" si="7"/>
        <v>0</v>
      </c>
      <c r="W14" s="1145">
        <f t="shared" si="8"/>
        <v>0</v>
      </c>
    </row>
    <row r="15" spans="1:23" x14ac:dyDescent="0.2">
      <c r="A15" s="1140" t="str">
        <f t="shared" si="0"/>
        <v>23G 750 AMR</v>
      </c>
      <c r="B15" s="1140" t="str">
        <f t="shared" si="1"/>
        <v xml:space="preserve">23G 750 </v>
      </c>
      <c r="C15" s="1140" t="s">
        <v>930</v>
      </c>
      <c r="D15" s="1140" t="s">
        <v>930</v>
      </c>
      <c r="E15" s="1140">
        <v>750</v>
      </c>
      <c r="F15" s="1141">
        <f>SUMIF('JKP-8.5 - CNSMREQP_GASMTRCTR'!$A$2:$A$391,'JKP-8.5 - Total Costs'!A15,'JKP-8.5 - CNSMREQP_GASMTRCTR'!$F$2:$F$391)-SUMIF('JKP-8.5 - Migrated From'!$A$2:$A$22,'JKP-8.5 - Total Costs'!A15,'JKP-8.5 - Migrated From'!$F$2:$F$22)+SUMIF('JKP-8.5 - Migrated To'!$A$2:$A$22,'JKP-8.5 - Total Costs'!A15,'JKP-8.5 - Migrated To'!$F$2:$F$22)</f>
        <v>2</v>
      </c>
      <c r="G15" s="1141">
        <f>SUMIF('JKP-8.5 - CNSMREQP_GASMTRCTR'!$A$2:$A$391,'JKP-8.5 - Total Costs'!B15,'JKP-8.5 - CNSMREQP_GASMTRCTR'!$F$2:$F$391)-SUMIF('JKP-8.5 - Migrated From'!$A$2:$A$22,'JKP-8.5 - Total Costs'!B15,'JKP-8.5 - Migrated From'!$F$2:$F$22)+SUMIF('JKP-8.5 - Migrated To'!$A$2:$A$22,'JKP-8.5 - Total Costs'!B15,'JKP-8.5 - Migrated To'!$F$2:$F$22)</f>
        <v>0</v>
      </c>
      <c r="H15" s="1142">
        <f t="shared" si="2"/>
        <v>2</v>
      </c>
      <c r="I15" s="1143">
        <f>VLOOKUP($E15,'JKP-8.5 - Unit Costs'!$A$9:$H$33,2,FALSE)</f>
        <v>1404.86</v>
      </c>
      <c r="J15" s="1143">
        <f>VLOOKUP($E15,'JKP-8.5 - Unit Costs'!$A$9:$H$33,5,FALSE)</f>
        <v>1063.1500000000001</v>
      </c>
      <c r="K15" s="1143">
        <f>VLOOKUP($E15,'JKP-8.5 - Unit Costs'!$A$9:$H$33,3,FALSE)</f>
        <v>41.76</v>
      </c>
      <c r="L15" s="1143">
        <f>VLOOKUP($E15,'JKP-8.5 - Unit Costs'!$A$9:$H$33,6,FALSE)</f>
        <v>41.76</v>
      </c>
      <c r="M15" s="1143">
        <f>VLOOKUP($E15,'JKP-8.5 - Unit Costs'!$A$9:$H$33,8,FALSE)</f>
        <v>0</v>
      </c>
      <c r="N15" s="1143">
        <f>VLOOKUP($E15,'JKP-8.5 - Unit Costs'!$A$9:$H$33,8,FALSE)</f>
        <v>0</v>
      </c>
      <c r="O15" s="1144">
        <f t="shared" si="3"/>
        <v>2809.72</v>
      </c>
      <c r="P15" s="1144">
        <f t="shared" si="3"/>
        <v>0</v>
      </c>
      <c r="Q15" s="1144">
        <f t="shared" si="4"/>
        <v>2809.72</v>
      </c>
      <c r="R15" s="1144">
        <f t="shared" si="5"/>
        <v>83.52</v>
      </c>
      <c r="S15" s="1144">
        <f t="shared" si="5"/>
        <v>0</v>
      </c>
      <c r="T15" s="1144">
        <f t="shared" si="6"/>
        <v>83.52</v>
      </c>
      <c r="U15" s="1144">
        <f t="shared" si="7"/>
        <v>0</v>
      </c>
      <c r="V15" s="1144">
        <f t="shared" si="7"/>
        <v>0</v>
      </c>
      <c r="W15" s="1145">
        <f t="shared" si="8"/>
        <v>0</v>
      </c>
    </row>
    <row r="16" spans="1:23" x14ac:dyDescent="0.2">
      <c r="A16" s="1140" t="str">
        <f t="shared" si="0"/>
        <v>23G 800 AMR</v>
      </c>
      <c r="B16" s="1140" t="str">
        <f t="shared" si="1"/>
        <v xml:space="preserve">23G 800 </v>
      </c>
      <c r="C16" s="1140" t="s">
        <v>930</v>
      </c>
      <c r="D16" s="1140" t="s">
        <v>930</v>
      </c>
      <c r="E16" s="1140">
        <v>800</v>
      </c>
      <c r="F16" s="1141">
        <f>SUMIF('JKP-8.5 - CNSMREQP_GASMTRCTR'!$A$2:$A$391,'JKP-8.5 - Total Costs'!A16,'JKP-8.5 - CNSMREQP_GASMTRCTR'!$F$2:$F$391)-SUMIF('JKP-8.5 - Migrated From'!$A$2:$A$22,'JKP-8.5 - Total Costs'!A16,'JKP-8.5 - Migrated From'!$F$2:$F$22)+SUMIF('JKP-8.5 - Migrated To'!$A$2:$A$22,'JKP-8.5 - Total Costs'!A16,'JKP-8.5 - Migrated To'!$F$2:$F$22)</f>
        <v>47</v>
      </c>
      <c r="G16" s="1141">
        <f>SUMIF('JKP-8.5 - CNSMREQP_GASMTRCTR'!$A$2:$A$391,'JKP-8.5 - Total Costs'!B16,'JKP-8.5 - CNSMREQP_GASMTRCTR'!$F$2:$F$391)-SUMIF('JKP-8.5 - Migrated From'!$A$2:$A$22,'JKP-8.5 - Total Costs'!B16,'JKP-8.5 - Migrated From'!$F$2:$F$22)+SUMIF('JKP-8.5 - Migrated To'!$A$2:$A$22,'JKP-8.5 - Total Costs'!B16,'JKP-8.5 - Migrated To'!$F$2:$F$22)</f>
        <v>2</v>
      </c>
      <c r="H16" s="1142">
        <f t="shared" si="2"/>
        <v>49</v>
      </c>
      <c r="I16" s="1143">
        <f>VLOOKUP($E16,'JKP-8.5 - Unit Costs'!$A$9:$H$33,2,FALSE)</f>
        <v>1404.86</v>
      </c>
      <c r="J16" s="1143">
        <f>VLOOKUP($E16,'JKP-8.5 - Unit Costs'!$A$9:$H$33,5,FALSE)</f>
        <v>1063.1500000000001</v>
      </c>
      <c r="K16" s="1143">
        <f>VLOOKUP($E16,'JKP-8.5 - Unit Costs'!$A$9:$H$33,3,FALSE)</f>
        <v>41.76</v>
      </c>
      <c r="L16" s="1143">
        <f>VLOOKUP($E16,'JKP-8.5 - Unit Costs'!$A$9:$H$33,6,FALSE)</f>
        <v>41.76</v>
      </c>
      <c r="M16" s="1143">
        <f>VLOOKUP($E16,'JKP-8.5 - Unit Costs'!$A$9:$H$33,8,FALSE)</f>
        <v>0</v>
      </c>
      <c r="N16" s="1143">
        <f>VLOOKUP($E16,'JKP-8.5 - Unit Costs'!$A$9:$H$33,8,FALSE)</f>
        <v>0</v>
      </c>
      <c r="O16" s="1144">
        <f t="shared" si="3"/>
        <v>66028.42</v>
      </c>
      <c r="P16" s="1144">
        <f t="shared" si="3"/>
        <v>2126.3000000000002</v>
      </c>
      <c r="Q16" s="1144">
        <f t="shared" si="4"/>
        <v>68154.720000000001</v>
      </c>
      <c r="R16" s="1144">
        <f t="shared" si="5"/>
        <v>1962.7199999999998</v>
      </c>
      <c r="S16" s="1144">
        <f t="shared" si="5"/>
        <v>83.52</v>
      </c>
      <c r="T16" s="1144">
        <f t="shared" si="6"/>
        <v>2046.2399999999998</v>
      </c>
      <c r="U16" s="1144">
        <f t="shared" si="7"/>
        <v>0</v>
      </c>
      <c r="V16" s="1144">
        <f t="shared" si="7"/>
        <v>0</v>
      </c>
      <c r="W16" s="1145">
        <f t="shared" si="8"/>
        <v>0</v>
      </c>
    </row>
    <row r="17" spans="1:23" x14ac:dyDescent="0.2">
      <c r="A17" s="1140" t="str">
        <f t="shared" si="0"/>
        <v>23G 1000 AMR</v>
      </c>
      <c r="B17" s="1140" t="str">
        <f t="shared" si="1"/>
        <v xml:space="preserve">23G 1000 </v>
      </c>
      <c r="C17" s="1140" t="s">
        <v>930</v>
      </c>
      <c r="D17" s="1140" t="s">
        <v>930</v>
      </c>
      <c r="E17" s="1140">
        <v>1000</v>
      </c>
      <c r="F17" s="1141">
        <f>SUMIF('JKP-8.5 - CNSMREQP_GASMTRCTR'!$A$2:$A$391,'JKP-8.5 - Total Costs'!A17,'JKP-8.5 - CNSMREQP_GASMTRCTR'!$F$2:$F$391)-SUMIF('JKP-8.5 - Migrated From'!$A$2:$A$22,'JKP-8.5 - Total Costs'!A17,'JKP-8.5 - Migrated From'!$F$2:$F$22)+SUMIF('JKP-8.5 - Migrated To'!$A$2:$A$22,'JKP-8.5 - Total Costs'!A17,'JKP-8.5 - Migrated To'!$F$2:$F$22)</f>
        <v>3229</v>
      </c>
      <c r="G17" s="1141">
        <f>SUMIF('JKP-8.5 - CNSMREQP_GASMTRCTR'!$A$2:$A$391,'JKP-8.5 - Total Costs'!B17,'JKP-8.5 - CNSMREQP_GASMTRCTR'!$F$2:$F$391)-SUMIF('JKP-8.5 - Migrated From'!$A$2:$A$22,'JKP-8.5 - Total Costs'!B17,'JKP-8.5 - Migrated From'!$F$2:$F$22)+SUMIF('JKP-8.5 - Migrated To'!$A$2:$A$22,'JKP-8.5 - Total Costs'!B17,'JKP-8.5 - Migrated To'!$F$2:$F$22)</f>
        <v>20</v>
      </c>
      <c r="H17" s="1142">
        <f t="shared" si="2"/>
        <v>3249</v>
      </c>
      <c r="I17" s="1143">
        <f>VLOOKUP($E17,'JKP-8.5 - Unit Costs'!$A$9:$H$33,2,FALSE)</f>
        <v>1404.86</v>
      </c>
      <c r="J17" s="1143">
        <f>VLOOKUP($E17,'JKP-8.5 - Unit Costs'!$A$9:$H$33,5,FALSE)</f>
        <v>1063.1500000000001</v>
      </c>
      <c r="K17" s="1143">
        <f>VLOOKUP($E17,'JKP-8.5 - Unit Costs'!$A$9:$H$33,3,FALSE)</f>
        <v>41.76</v>
      </c>
      <c r="L17" s="1143">
        <f>VLOOKUP($E17,'JKP-8.5 - Unit Costs'!$A$9:$H$33,6,FALSE)</f>
        <v>41.76</v>
      </c>
      <c r="M17" s="1143">
        <f>VLOOKUP($E17,'JKP-8.5 - Unit Costs'!$A$9:$H$33,8,FALSE)</f>
        <v>0</v>
      </c>
      <c r="N17" s="1143">
        <f>VLOOKUP($E17,'JKP-8.5 - Unit Costs'!$A$9:$H$33,8,FALSE)</f>
        <v>0</v>
      </c>
      <c r="O17" s="1144">
        <f t="shared" si="3"/>
        <v>4536292.9399999995</v>
      </c>
      <c r="P17" s="1144">
        <f t="shared" si="3"/>
        <v>21263</v>
      </c>
      <c r="Q17" s="1144">
        <f t="shared" si="4"/>
        <v>4557555.9399999995</v>
      </c>
      <c r="R17" s="1144">
        <f t="shared" si="5"/>
        <v>134843.03999999998</v>
      </c>
      <c r="S17" s="1144">
        <f t="shared" si="5"/>
        <v>835.19999999999993</v>
      </c>
      <c r="T17" s="1144">
        <f t="shared" si="6"/>
        <v>135678.24</v>
      </c>
      <c r="U17" s="1144">
        <f t="shared" si="7"/>
        <v>0</v>
      </c>
      <c r="V17" s="1144">
        <f t="shared" si="7"/>
        <v>0</v>
      </c>
      <c r="W17" s="1145">
        <f t="shared" si="8"/>
        <v>0</v>
      </c>
    </row>
    <row r="18" spans="1:23" x14ac:dyDescent="0.2">
      <c r="A18" s="1140" t="str">
        <f t="shared" si="0"/>
        <v>23G 1400 AMR</v>
      </c>
      <c r="B18" s="1140" t="str">
        <f t="shared" si="1"/>
        <v xml:space="preserve">23G 1400 </v>
      </c>
      <c r="C18" s="1140" t="s">
        <v>930</v>
      </c>
      <c r="D18" s="1140" t="s">
        <v>930</v>
      </c>
      <c r="E18" s="1140">
        <v>1400</v>
      </c>
      <c r="F18" s="1141">
        <f>SUMIF('JKP-8.5 - CNSMREQP_GASMTRCTR'!$A$2:$A$391,'JKP-8.5 - Total Costs'!A18,'JKP-8.5 - CNSMREQP_GASMTRCTR'!$F$2:$F$391)-SUMIF('JKP-8.5 - Migrated From'!$A$2:$A$22,'JKP-8.5 - Total Costs'!A18,'JKP-8.5 - Migrated From'!$F$2:$F$22)+SUMIF('JKP-8.5 - Migrated To'!$A$2:$A$22,'JKP-8.5 - Total Costs'!A18,'JKP-8.5 - Migrated To'!$F$2:$F$22)</f>
        <v>2</v>
      </c>
      <c r="G18" s="1141">
        <f>SUMIF('JKP-8.5 - CNSMREQP_GASMTRCTR'!$A$2:$A$391,'JKP-8.5 - Total Costs'!B18,'JKP-8.5 - CNSMREQP_GASMTRCTR'!$F$2:$F$391)-SUMIF('JKP-8.5 - Migrated From'!$A$2:$A$22,'JKP-8.5 - Total Costs'!B18,'JKP-8.5 - Migrated From'!$F$2:$F$22)+SUMIF('JKP-8.5 - Migrated To'!$A$2:$A$22,'JKP-8.5 - Total Costs'!B18,'JKP-8.5 - Migrated To'!$F$2:$F$22)</f>
        <v>4</v>
      </c>
      <c r="H18" s="1142">
        <f t="shared" si="2"/>
        <v>6</v>
      </c>
      <c r="I18" s="1143">
        <f>VLOOKUP($E18,'JKP-8.5 - Unit Costs'!$A$9:$H$33,2,FALSE)</f>
        <v>0</v>
      </c>
      <c r="J18" s="1143">
        <f>VLOOKUP($E18,'JKP-8.5 - Unit Costs'!$A$9:$H$33,5,FALSE)</f>
        <v>0</v>
      </c>
      <c r="K18" s="1143">
        <f>VLOOKUP($E18,'JKP-8.5 - Unit Costs'!$A$9:$H$33,3,FALSE)</f>
        <v>0</v>
      </c>
      <c r="L18" s="1143">
        <f>VLOOKUP($E18,'JKP-8.5 - Unit Costs'!$A$9:$H$33,6,FALSE)</f>
        <v>0</v>
      </c>
      <c r="M18" s="1143">
        <f>VLOOKUP($E18,'JKP-8.5 - Unit Costs'!$A$9:$H$33,8,FALSE)</f>
        <v>2379.79</v>
      </c>
      <c r="N18" s="1143">
        <f>VLOOKUP($E18,'JKP-8.5 - Unit Costs'!$A$9:$H$33,8,FALSE)</f>
        <v>2379.79</v>
      </c>
      <c r="O18" s="1144">
        <f t="shared" si="3"/>
        <v>0</v>
      </c>
      <c r="P18" s="1144">
        <f t="shared" si="3"/>
        <v>0</v>
      </c>
      <c r="Q18" s="1144">
        <f t="shared" si="4"/>
        <v>0</v>
      </c>
      <c r="R18" s="1144">
        <f t="shared" si="5"/>
        <v>0</v>
      </c>
      <c r="S18" s="1144">
        <f t="shared" si="5"/>
        <v>0</v>
      </c>
      <c r="T18" s="1144">
        <f t="shared" si="6"/>
        <v>0</v>
      </c>
      <c r="U18" s="1144">
        <f t="shared" si="7"/>
        <v>4759.58</v>
      </c>
      <c r="V18" s="1144">
        <f t="shared" si="7"/>
        <v>9519.16</v>
      </c>
      <c r="W18" s="1145">
        <f t="shared" si="8"/>
        <v>14278.74</v>
      </c>
    </row>
    <row r="19" spans="1:23" x14ac:dyDescent="0.2">
      <c r="A19" s="1140" t="str">
        <f t="shared" si="0"/>
        <v>23G 2300 AMR</v>
      </c>
      <c r="B19" s="1140" t="str">
        <f t="shared" si="1"/>
        <v xml:space="preserve">23G 2300 </v>
      </c>
      <c r="C19" s="1140" t="s">
        <v>930</v>
      </c>
      <c r="D19" s="1140" t="s">
        <v>930</v>
      </c>
      <c r="E19" s="1140">
        <v>2300</v>
      </c>
      <c r="F19" s="1141">
        <f>SUMIF('JKP-8.5 - CNSMREQP_GASMTRCTR'!$A$2:$A$391,'JKP-8.5 - Total Costs'!A19,'JKP-8.5 - CNSMREQP_GASMTRCTR'!$F$2:$F$391)-SUMIF('JKP-8.5 - Migrated From'!$A$2:$A$22,'JKP-8.5 - Total Costs'!A19,'JKP-8.5 - Migrated From'!$F$2:$F$22)+SUMIF('JKP-8.5 - Migrated To'!$A$2:$A$22,'JKP-8.5 - Total Costs'!A19,'JKP-8.5 - Migrated To'!$F$2:$F$22)</f>
        <v>5</v>
      </c>
      <c r="G19" s="1141">
        <f>SUMIF('JKP-8.5 - CNSMREQP_GASMTRCTR'!$A$2:$A$391,'JKP-8.5 - Total Costs'!B19,'JKP-8.5 - CNSMREQP_GASMTRCTR'!$F$2:$F$391)-SUMIF('JKP-8.5 - Migrated From'!$A$2:$A$22,'JKP-8.5 - Total Costs'!B19,'JKP-8.5 - Migrated From'!$F$2:$F$22)+SUMIF('JKP-8.5 - Migrated To'!$A$2:$A$22,'JKP-8.5 - Total Costs'!B19,'JKP-8.5 - Migrated To'!$F$2:$F$22)</f>
        <v>1</v>
      </c>
      <c r="H19" s="1142">
        <f t="shared" si="2"/>
        <v>6</v>
      </c>
      <c r="I19" s="1143">
        <f>VLOOKUP($E19,'JKP-8.5 - Unit Costs'!$A$9:$H$33,2,FALSE)</f>
        <v>0</v>
      </c>
      <c r="J19" s="1143">
        <f>VLOOKUP($E19,'JKP-8.5 - Unit Costs'!$A$9:$H$33,5,FALSE)</f>
        <v>0</v>
      </c>
      <c r="K19" s="1143">
        <f>VLOOKUP($E19,'JKP-8.5 - Unit Costs'!$A$9:$H$33,3,FALSE)</f>
        <v>0</v>
      </c>
      <c r="L19" s="1143">
        <f>VLOOKUP($E19,'JKP-8.5 - Unit Costs'!$A$9:$H$33,6,FALSE)</f>
        <v>0</v>
      </c>
      <c r="M19" s="1143">
        <f>VLOOKUP($E19,'JKP-8.5 - Unit Costs'!$A$9:$H$33,8,FALSE)</f>
        <v>3587.13</v>
      </c>
      <c r="N19" s="1143">
        <f>VLOOKUP($E19,'JKP-8.5 - Unit Costs'!$A$9:$H$33,8,FALSE)</f>
        <v>3587.13</v>
      </c>
      <c r="O19" s="1144">
        <f t="shared" si="3"/>
        <v>0</v>
      </c>
      <c r="P19" s="1144">
        <f t="shared" si="3"/>
        <v>0</v>
      </c>
      <c r="Q19" s="1144">
        <f t="shared" si="4"/>
        <v>0</v>
      </c>
      <c r="R19" s="1144">
        <f t="shared" si="5"/>
        <v>0</v>
      </c>
      <c r="S19" s="1144">
        <f t="shared" si="5"/>
        <v>0</v>
      </c>
      <c r="T19" s="1144">
        <f t="shared" si="6"/>
        <v>0</v>
      </c>
      <c r="U19" s="1144">
        <f t="shared" si="7"/>
        <v>17935.650000000001</v>
      </c>
      <c r="V19" s="1144">
        <f t="shared" si="7"/>
        <v>3587.13</v>
      </c>
      <c r="W19" s="1145">
        <f t="shared" si="8"/>
        <v>21522.780000000002</v>
      </c>
    </row>
    <row r="20" spans="1:23" x14ac:dyDescent="0.2">
      <c r="A20" s="1140" t="str">
        <f t="shared" si="0"/>
        <v>23G 3000 AMR</v>
      </c>
      <c r="B20" s="1140" t="str">
        <f t="shared" si="1"/>
        <v xml:space="preserve">23G 3000 </v>
      </c>
      <c r="C20" s="1140" t="s">
        <v>930</v>
      </c>
      <c r="D20" s="1140" t="s">
        <v>930</v>
      </c>
      <c r="E20" s="1140">
        <v>3000</v>
      </c>
      <c r="F20" s="1141">
        <f>SUMIF('JKP-8.5 - CNSMREQP_GASMTRCTR'!$A$2:$A$391,'JKP-8.5 - Total Costs'!A20,'JKP-8.5 - CNSMREQP_GASMTRCTR'!$F$2:$F$391)-SUMIF('JKP-8.5 - Migrated From'!$A$2:$A$22,'JKP-8.5 - Total Costs'!A20,'JKP-8.5 - Migrated From'!$F$2:$F$22)+SUMIF('JKP-8.5 - Migrated To'!$A$2:$A$22,'JKP-8.5 - Total Costs'!A20,'JKP-8.5 - Migrated To'!$F$2:$F$22)</f>
        <v>10</v>
      </c>
      <c r="G20" s="1141">
        <f>SUMIF('JKP-8.5 - CNSMREQP_GASMTRCTR'!$A$2:$A$391,'JKP-8.5 - Total Costs'!B20,'JKP-8.5 - CNSMREQP_GASMTRCTR'!$F$2:$F$391)-SUMIF('JKP-8.5 - Migrated From'!$A$2:$A$22,'JKP-8.5 - Total Costs'!B20,'JKP-8.5 - Migrated From'!$F$2:$F$22)+SUMIF('JKP-8.5 - Migrated To'!$A$2:$A$22,'JKP-8.5 - Total Costs'!B20,'JKP-8.5 - Migrated To'!$F$2:$F$22)</f>
        <v>3</v>
      </c>
      <c r="H20" s="1142">
        <f t="shared" si="2"/>
        <v>13</v>
      </c>
      <c r="I20" s="1143">
        <f>VLOOKUP($E20,'JKP-8.5 - Unit Costs'!$A$9:$H$33,2,FALSE)</f>
        <v>0</v>
      </c>
      <c r="J20" s="1143">
        <f>VLOOKUP($E20,'JKP-8.5 - Unit Costs'!$A$9:$H$33,5,FALSE)</f>
        <v>0</v>
      </c>
      <c r="K20" s="1143">
        <f>VLOOKUP($E20,'JKP-8.5 - Unit Costs'!$A$9:$H$33,3,FALSE)</f>
        <v>0</v>
      </c>
      <c r="L20" s="1143">
        <f>VLOOKUP($E20,'JKP-8.5 - Unit Costs'!$A$9:$H$33,6,FALSE)</f>
        <v>0</v>
      </c>
      <c r="M20" s="1143">
        <f>VLOOKUP($E20,'JKP-8.5 - Unit Costs'!$A$9:$H$33,8,FALSE)</f>
        <v>3406.19</v>
      </c>
      <c r="N20" s="1143">
        <f>VLOOKUP($E20,'JKP-8.5 - Unit Costs'!$A$9:$H$33,8,FALSE)</f>
        <v>3406.19</v>
      </c>
      <c r="O20" s="1144">
        <f t="shared" si="3"/>
        <v>0</v>
      </c>
      <c r="P20" s="1144">
        <f t="shared" si="3"/>
        <v>0</v>
      </c>
      <c r="Q20" s="1144">
        <f t="shared" si="4"/>
        <v>0</v>
      </c>
      <c r="R20" s="1144">
        <f t="shared" si="5"/>
        <v>0</v>
      </c>
      <c r="S20" s="1144">
        <f t="shared" si="5"/>
        <v>0</v>
      </c>
      <c r="T20" s="1144">
        <f t="shared" si="6"/>
        <v>0</v>
      </c>
      <c r="U20" s="1144">
        <f t="shared" si="7"/>
        <v>34061.9</v>
      </c>
      <c r="V20" s="1144">
        <f t="shared" si="7"/>
        <v>10218.57</v>
      </c>
      <c r="W20" s="1145">
        <f t="shared" si="8"/>
        <v>44280.47</v>
      </c>
    </row>
    <row r="21" spans="1:23" x14ac:dyDescent="0.2">
      <c r="A21" s="1140" t="str">
        <f t="shared" si="0"/>
        <v>23G 5000 AMR</v>
      </c>
      <c r="B21" s="1140" t="str">
        <f t="shared" si="1"/>
        <v xml:space="preserve">23G 5000 </v>
      </c>
      <c r="C21" s="1140" t="s">
        <v>930</v>
      </c>
      <c r="D21" s="1140" t="s">
        <v>930</v>
      </c>
      <c r="E21" s="1140">
        <v>5000</v>
      </c>
      <c r="F21" s="1141">
        <f>SUMIF('JKP-8.5 - CNSMREQP_GASMTRCTR'!$A$2:$A$391,'JKP-8.5 - Total Costs'!A21,'JKP-8.5 - CNSMREQP_GASMTRCTR'!$F$2:$F$391)-SUMIF('JKP-8.5 - Migrated From'!$A$2:$A$22,'JKP-8.5 - Total Costs'!A21,'JKP-8.5 - Migrated From'!$F$2:$F$22)+SUMIF('JKP-8.5 - Migrated To'!$A$2:$A$22,'JKP-8.5 - Total Costs'!A21,'JKP-8.5 - Migrated To'!$F$2:$F$22)</f>
        <v>4</v>
      </c>
      <c r="G21" s="1141">
        <f>SUMIF('JKP-8.5 - CNSMREQP_GASMTRCTR'!$A$2:$A$391,'JKP-8.5 - Total Costs'!B21,'JKP-8.5 - CNSMREQP_GASMTRCTR'!$F$2:$F$391)-SUMIF('JKP-8.5 - Migrated From'!$A$2:$A$22,'JKP-8.5 - Total Costs'!B21,'JKP-8.5 - Migrated From'!$F$2:$F$22)+SUMIF('JKP-8.5 - Migrated To'!$A$2:$A$22,'JKP-8.5 - Total Costs'!B21,'JKP-8.5 - Migrated To'!$F$2:$F$22)</f>
        <v>0</v>
      </c>
      <c r="H21" s="1142">
        <f t="shared" si="2"/>
        <v>4</v>
      </c>
      <c r="I21" s="1143">
        <f>VLOOKUP($E21,'JKP-8.5 - Unit Costs'!$A$9:$H$33,2,FALSE)</f>
        <v>0</v>
      </c>
      <c r="J21" s="1143">
        <f>VLOOKUP($E21,'JKP-8.5 - Unit Costs'!$A$9:$H$33,5,FALSE)</f>
        <v>0</v>
      </c>
      <c r="K21" s="1143">
        <f>VLOOKUP($E21,'JKP-8.5 - Unit Costs'!$A$9:$H$33,3,FALSE)</f>
        <v>0</v>
      </c>
      <c r="L21" s="1143">
        <f>VLOOKUP($E21,'JKP-8.5 - Unit Costs'!$A$9:$H$33,6,FALSE)</f>
        <v>0</v>
      </c>
      <c r="M21" s="1143">
        <f>VLOOKUP($E21,'JKP-8.5 - Unit Costs'!$A$9:$H$33,8,FALSE)</f>
        <v>3456.43</v>
      </c>
      <c r="N21" s="1143">
        <f>VLOOKUP($E21,'JKP-8.5 - Unit Costs'!$A$9:$H$33,8,FALSE)</f>
        <v>3456.43</v>
      </c>
      <c r="O21" s="1144">
        <f t="shared" si="3"/>
        <v>0</v>
      </c>
      <c r="P21" s="1144">
        <f t="shared" si="3"/>
        <v>0</v>
      </c>
      <c r="Q21" s="1144">
        <f t="shared" si="4"/>
        <v>0</v>
      </c>
      <c r="R21" s="1144">
        <f t="shared" si="5"/>
        <v>0</v>
      </c>
      <c r="S21" s="1144">
        <f t="shared" si="5"/>
        <v>0</v>
      </c>
      <c r="T21" s="1144">
        <f t="shared" si="6"/>
        <v>0</v>
      </c>
      <c r="U21" s="1144">
        <f t="shared" si="7"/>
        <v>13825.72</v>
      </c>
      <c r="V21" s="1144">
        <f t="shared" si="7"/>
        <v>0</v>
      </c>
      <c r="W21" s="1145">
        <f t="shared" si="8"/>
        <v>13825.72</v>
      </c>
    </row>
    <row r="22" spans="1:23" x14ac:dyDescent="0.2">
      <c r="A22" s="1140" t="str">
        <f t="shared" si="0"/>
        <v>23G 7000 AMR</v>
      </c>
      <c r="B22" s="1140" t="str">
        <f t="shared" si="1"/>
        <v xml:space="preserve">23G 7000 </v>
      </c>
      <c r="C22" s="1140" t="s">
        <v>930</v>
      </c>
      <c r="D22" s="1140" t="s">
        <v>930</v>
      </c>
      <c r="E22" s="1140">
        <v>7000</v>
      </c>
      <c r="F22" s="1141">
        <f>SUMIF('JKP-8.5 - CNSMREQP_GASMTRCTR'!$A$2:$A$391,'JKP-8.5 - Total Costs'!A22,'JKP-8.5 - CNSMREQP_GASMTRCTR'!$F$2:$F$391)-SUMIF('JKP-8.5 - Migrated From'!$A$2:$A$22,'JKP-8.5 - Total Costs'!A22,'JKP-8.5 - Migrated From'!$F$2:$F$22)+SUMIF('JKP-8.5 - Migrated To'!$A$2:$A$22,'JKP-8.5 - Total Costs'!A22,'JKP-8.5 - Migrated To'!$F$2:$F$22)</f>
        <v>1</v>
      </c>
      <c r="G22" s="1141">
        <f>SUMIF('JKP-8.5 - CNSMREQP_GASMTRCTR'!$A$2:$A$391,'JKP-8.5 - Total Costs'!B22,'JKP-8.5 - CNSMREQP_GASMTRCTR'!$F$2:$F$391)-SUMIF('JKP-8.5 - Migrated From'!$A$2:$A$22,'JKP-8.5 - Total Costs'!B22,'JKP-8.5 - Migrated From'!$F$2:$F$22)+SUMIF('JKP-8.5 - Migrated To'!$A$2:$A$22,'JKP-8.5 - Total Costs'!B22,'JKP-8.5 - Migrated To'!$F$2:$F$22)</f>
        <v>0</v>
      </c>
      <c r="H22" s="1142">
        <f t="shared" si="2"/>
        <v>1</v>
      </c>
      <c r="I22" s="1143">
        <f>VLOOKUP($E22,'JKP-8.5 - Unit Costs'!$A$9:$H$33,2,FALSE)</f>
        <v>0</v>
      </c>
      <c r="J22" s="1143">
        <f>VLOOKUP($E22,'JKP-8.5 - Unit Costs'!$A$9:$H$33,5,FALSE)</f>
        <v>0</v>
      </c>
      <c r="K22" s="1143">
        <f>VLOOKUP($E22,'JKP-8.5 - Unit Costs'!$A$9:$H$33,3,FALSE)</f>
        <v>0</v>
      </c>
      <c r="L22" s="1143">
        <f>VLOOKUP($E22,'JKP-8.5 - Unit Costs'!$A$9:$H$33,6,FALSE)</f>
        <v>0</v>
      </c>
      <c r="M22" s="1143">
        <f>VLOOKUP($E22,'JKP-8.5 - Unit Costs'!$A$9:$H$33,8,FALSE)</f>
        <v>3458.4399999999996</v>
      </c>
      <c r="N22" s="1143">
        <f>VLOOKUP($E22,'JKP-8.5 - Unit Costs'!$A$9:$H$33,8,FALSE)</f>
        <v>3458.4399999999996</v>
      </c>
      <c r="O22" s="1144">
        <f t="shared" si="3"/>
        <v>0</v>
      </c>
      <c r="P22" s="1144">
        <f t="shared" si="3"/>
        <v>0</v>
      </c>
      <c r="Q22" s="1144">
        <f t="shared" si="4"/>
        <v>0</v>
      </c>
      <c r="R22" s="1144">
        <f t="shared" si="5"/>
        <v>0</v>
      </c>
      <c r="S22" s="1144">
        <f t="shared" si="5"/>
        <v>0</v>
      </c>
      <c r="T22" s="1144">
        <f t="shared" si="6"/>
        <v>0</v>
      </c>
      <c r="U22" s="1144">
        <f t="shared" si="7"/>
        <v>3458.4399999999996</v>
      </c>
      <c r="V22" s="1144">
        <f t="shared" si="7"/>
        <v>0</v>
      </c>
      <c r="W22" s="1145">
        <f t="shared" si="8"/>
        <v>3458.4399999999996</v>
      </c>
    </row>
    <row r="23" spans="1:23" x14ac:dyDescent="0.2">
      <c r="A23" s="1140" t="str">
        <f t="shared" si="0"/>
        <v>23G-ND 175 AMR</v>
      </c>
      <c r="B23" s="1140" t="str">
        <f t="shared" si="1"/>
        <v xml:space="preserve">23G-ND 175 </v>
      </c>
      <c r="C23" s="1140" t="s">
        <v>930</v>
      </c>
      <c r="D23" s="1140" t="s">
        <v>931</v>
      </c>
      <c r="E23" s="1140">
        <v>175</v>
      </c>
      <c r="F23" s="1141">
        <f>SUMIF('JKP-8.5 - CNSMREQP_GASMTRCTR'!$A$2:$A$391,'JKP-8.5 - Total Costs'!A23,'JKP-8.5 - CNSMREQP_GASMTRCTR'!$F$2:$F$391)-SUMIF('JKP-8.5 - Migrated From'!$A$2:$A$22,'JKP-8.5 - Total Costs'!A23,'JKP-8.5 - Migrated From'!$F$2:$F$22)+SUMIF('JKP-8.5 - Migrated To'!$A$2:$A$22,'JKP-8.5 - Total Costs'!A23,'JKP-8.5 - Migrated To'!$F$2:$F$22)</f>
        <v>12</v>
      </c>
      <c r="G23" s="1141">
        <f>SUMIF('JKP-8.5 - CNSMREQP_GASMTRCTR'!$A$2:$A$391,'JKP-8.5 - Total Costs'!B23,'JKP-8.5 - CNSMREQP_GASMTRCTR'!$F$2:$F$391)-SUMIF('JKP-8.5 - Migrated From'!$A$2:$A$22,'JKP-8.5 - Total Costs'!B23,'JKP-8.5 - Migrated From'!$F$2:$F$22)+SUMIF('JKP-8.5 - Migrated To'!$A$2:$A$22,'JKP-8.5 - Total Costs'!B23,'JKP-8.5 - Migrated To'!$F$2:$F$22)</f>
        <v>0</v>
      </c>
      <c r="H23" s="1142">
        <f t="shared" si="2"/>
        <v>12</v>
      </c>
      <c r="I23" s="1143">
        <f>VLOOKUP($E23,'JKP-8.5 - Unit Costs'!$A$9:$H$33,2,FALSE)</f>
        <v>141.83000000000001</v>
      </c>
      <c r="J23" s="1143">
        <f>VLOOKUP($E23,'JKP-8.5 - Unit Costs'!$A$9:$H$33,5,FALSE)</f>
        <v>92.480000000000018</v>
      </c>
      <c r="K23" s="1143">
        <f>VLOOKUP($E23,'JKP-8.5 - Unit Costs'!$A$9:$H$33,3,FALSE)</f>
        <v>41.76</v>
      </c>
      <c r="L23" s="1143">
        <f>VLOOKUP($E23,'JKP-8.5 - Unit Costs'!$A$9:$H$33,6,FALSE)</f>
        <v>41.76</v>
      </c>
      <c r="M23" s="1143">
        <f>VLOOKUP($E23,'JKP-8.5 - Unit Costs'!$A$9:$H$33,8,FALSE)</f>
        <v>0</v>
      </c>
      <c r="N23" s="1143">
        <f>VLOOKUP($E23,'JKP-8.5 - Unit Costs'!$A$9:$H$33,8,FALSE)</f>
        <v>0</v>
      </c>
      <c r="O23" s="1144">
        <f t="shared" si="3"/>
        <v>1701.96</v>
      </c>
      <c r="P23" s="1144">
        <f t="shared" si="3"/>
        <v>0</v>
      </c>
      <c r="Q23" s="1144">
        <f t="shared" si="4"/>
        <v>1701.96</v>
      </c>
      <c r="R23" s="1144">
        <f t="shared" si="5"/>
        <v>501.12</v>
      </c>
      <c r="S23" s="1144">
        <f t="shared" si="5"/>
        <v>0</v>
      </c>
      <c r="T23" s="1144">
        <f t="shared" si="6"/>
        <v>501.12</v>
      </c>
      <c r="U23" s="1144">
        <f t="shared" si="7"/>
        <v>0</v>
      </c>
      <c r="V23" s="1144">
        <f t="shared" si="7"/>
        <v>0</v>
      </c>
      <c r="W23" s="1145">
        <f t="shared" si="8"/>
        <v>0</v>
      </c>
    </row>
    <row r="24" spans="1:23" x14ac:dyDescent="0.2">
      <c r="A24" s="1140" t="str">
        <f t="shared" si="0"/>
        <v>23G-ND 200 AMR</v>
      </c>
      <c r="B24" s="1140" t="str">
        <f t="shared" si="1"/>
        <v xml:space="preserve">23G-ND 200 </v>
      </c>
      <c r="C24" s="1140" t="s">
        <v>930</v>
      </c>
      <c r="D24" s="1140" t="s">
        <v>931</v>
      </c>
      <c r="E24" s="1140">
        <v>200</v>
      </c>
      <c r="F24" s="1141">
        <f>SUMIF('JKP-8.5 - CNSMREQP_GASMTRCTR'!$A$2:$A$391,'JKP-8.5 - Total Costs'!A24,'JKP-8.5 - CNSMREQP_GASMTRCTR'!$F$2:$F$391)-SUMIF('JKP-8.5 - Migrated From'!$A$2:$A$22,'JKP-8.5 - Total Costs'!A24,'JKP-8.5 - Migrated From'!$F$2:$F$22)+SUMIF('JKP-8.5 - Migrated To'!$A$2:$A$22,'JKP-8.5 - Total Costs'!A24,'JKP-8.5 - Migrated To'!$F$2:$F$22)</f>
        <v>6</v>
      </c>
      <c r="G24" s="1141">
        <f>SUMIF('JKP-8.5 - CNSMREQP_GASMTRCTR'!$A$2:$A$391,'JKP-8.5 - Total Costs'!B24,'JKP-8.5 - CNSMREQP_GASMTRCTR'!$F$2:$F$391)-SUMIF('JKP-8.5 - Migrated From'!$A$2:$A$22,'JKP-8.5 - Total Costs'!B24,'JKP-8.5 - Migrated From'!$F$2:$F$22)+SUMIF('JKP-8.5 - Migrated To'!$A$2:$A$22,'JKP-8.5 - Total Costs'!B24,'JKP-8.5 - Migrated To'!$F$2:$F$22)</f>
        <v>0</v>
      </c>
      <c r="H24" s="1142">
        <f t="shared" si="2"/>
        <v>6</v>
      </c>
      <c r="I24" s="1143">
        <f>VLOOKUP($E24,'JKP-8.5 - Unit Costs'!$A$9:$H$33,2,FALSE)</f>
        <v>141.83000000000001</v>
      </c>
      <c r="J24" s="1143">
        <f>VLOOKUP($E24,'JKP-8.5 - Unit Costs'!$A$9:$H$33,5,FALSE)</f>
        <v>92.480000000000018</v>
      </c>
      <c r="K24" s="1143">
        <f>VLOOKUP($E24,'JKP-8.5 - Unit Costs'!$A$9:$H$33,3,FALSE)</f>
        <v>41.76</v>
      </c>
      <c r="L24" s="1143">
        <f>VLOOKUP($E24,'JKP-8.5 - Unit Costs'!$A$9:$H$33,6,FALSE)</f>
        <v>41.76</v>
      </c>
      <c r="M24" s="1143">
        <f>VLOOKUP($E24,'JKP-8.5 - Unit Costs'!$A$9:$H$33,8,FALSE)</f>
        <v>0</v>
      </c>
      <c r="N24" s="1143">
        <f>VLOOKUP($E24,'JKP-8.5 - Unit Costs'!$A$9:$H$33,8,FALSE)</f>
        <v>0</v>
      </c>
      <c r="O24" s="1144">
        <f t="shared" si="3"/>
        <v>850.98</v>
      </c>
      <c r="P24" s="1144">
        <f t="shared" si="3"/>
        <v>0</v>
      </c>
      <c r="Q24" s="1144">
        <f t="shared" si="4"/>
        <v>850.98</v>
      </c>
      <c r="R24" s="1144">
        <f t="shared" si="5"/>
        <v>250.56</v>
      </c>
      <c r="S24" s="1144">
        <f t="shared" si="5"/>
        <v>0</v>
      </c>
      <c r="T24" s="1144">
        <f t="shared" si="6"/>
        <v>250.56</v>
      </c>
      <c r="U24" s="1144">
        <f t="shared" si="7"/>
        <v>0</v>
      </c>
      <c r="V24" s="1144">
        <f t="shared" si="7"/>
        <v>0</v>
      </c>
      <c r="W24" s="1145">
        <f t="shared" si="8"/>
        <v>0</v>
      </c>
    </row>
    <row r="25" spans="1:23" x14ac:dyDescent="0.2">
      <c r="A25" s="1140" t="str">
        <f t="shared" si="0"/>
        <v>23G-ND 250 AMR</v>
      </c>
      <c r="B25" s="1140" t="str">
        <f t="shared" si="1"/>
        <v xml:space="preserve">23G-ND 250 </v>
      </c>
      <c r="C25" s="1140" t="s">
        <v>930</v>
      </c>
      <c r="D25" s="1140" t="s">
        <v>931</v>
      </c>
      <c r="E25" s="1140">
        <v>250</v>
      </c>
      <c r="F25" s="1141">
        <f>SUMIF('JKP-8.5 - CNSMREQP_GASMTRCTR'!$A$2:$A$391,'JKP-8.5 - Total Costs'!A25,'JKP-8.5 - CNSMREQP_GASMTRCTR'!$F$2:$F$391)-SUMIF('JKP-8.5 - Migrated From'!$A$2:$A$22,'JKP-8.5 - Total Costs'!A25,'JKP-8.5 - Migrated From'!$F$2:$F$22)+SUMIF('JKP-8.5 - Migrated To'!$A$2:$A$22,'JKP-8.5 - Total Costs'!A25,'JKP-8.5 - Migrated To'!$F$2:$F$22)</f>
        <v>621</v>
      </c>
      <c r="G25" s="1141">
        <f>SUMIF('JKP-8.5 - CNSMREQP_GASMTRCTR'!$A$2:$A$391,'JKP-8.5 - Total Costs'!B25,'JKP-8.5 - CNSMREQP_GASMTRCTR'!$F$2:$F$391)-SUMIF('JKP-8.5 - Migrated From'!$A$2:$A$22,'JKP-8.5 - Total Costs'!B25,'JKP-8.5 - Migrated From'!$F$2:$F$22)+SUMIF('JKP-8.5 - Migrated To'!$A$2:$A$22,'JKP-8.5 - Total Costs'!B25,'JKP-8.5 - Migrated To'!$F$2:$F$22)</f>
        <v>0</v>
      </c>
      <c r="H25" s="1142">
        <f t="shared" si="2"/>
        <v>621</v>
      </c>
      <c r="I25" s="1143">
        <f>VLOOKUP($E25,'JKP-8.5 - Unit Costs'!$A$9:$H$33,2,FALSE)</f>
        <v>141.83000000000001</v>
      </c>
      <c r="J25" s="1143">
        <f>VLOOKUP($E25,'JKP-8.5 - Unit Costs'!$A$9:$H$33,5,FALSE)</f>
        <v>92.480000000000018</v>
      </c>
      <c r="K25" s="1143">
        <f>VLOOKUP($E25,'JKP-8.5 - Unit Costs'!$A$9:$H$33,3,FALSE)</f>
        <v>41.76</v>
      </c>
      <c r="L25" s="1143">
        <f>VLOOKUP($E25,'JKP-8.5 - Unit Costs'!$A$9:$H$33,6,FALSE)</f>
        <v>41.76</v>
      </c>
      <c r="M25" s="1143">
        <f>VLOOKUP($E25,'JKP-8.5 - Unit Costs'!$A$9:$H$33,8,FALSE)</f>
        <v>0</v>
      </c>
      <c r="N25" s="1143">
        <f>VLOOKUP($E25,'JKP-8.5 - Unit Costs'!$A$9:$H$33,8,FALSE)</f>
        <v>0</v>
      </c>
      <c r="O25" s="1144">
        <f t="shared" si="3"/>
        <v>88076.430000000008</v>
      </c>
      <c r="P25" s="1144">
        <f t="shared" si="3"/>
        <v>0</v>
      </c>
      <c r="Q25" s="1144">
        <f t="shared" si="4"/>
        <v>88076.430000000008</v>
      </c>
      <c r="R25" s="1144">
        <f t="shared" si="5"/>
        <v>25932.959999999999</v>
      </c>
      <c r="S25" s="1144">
        <f t="shared" si="5"/>
        <v>0</v>
      </c>
      <c r="T25" s="1144">
        <f t="shared" si="6"/>
        <v>25932.959999999999</v>
      </c>
      <c r="U25" s="1144">
        <f t="shared" si="7"/>
        <v>0</v>
      </c>
      <c r="V25" s="1144">
        <f t="shared" si="7"/>
        <v>0</v>
      </c>
      <c r="W25" s="1145">
        <f t="shared" si="8"/>
        <v>0</v>
      </c>
    </row>
    <row r="26" spans="1:23" x14ac:dyDescent="0.2">
      <c r="A26" s="1140" t="str">
        <f t="shared" si="0"/>
        <v>23G-ND 275 AMR</v>
      </c>
      <c r="B26" s="1140" t="str">
        <f t="shared" si="1"/>
        <v xml:space="preserve">23G-ND 275 </v>
      </c>
      <c r="C26" s="1140" t="s">
        <v>930</v>
      </c>
      <c r="D26" s="1140" t="s">
        <v>931</v>
      </c>
      <c r="E26" s="1140">
        <v>275</v>
      </c>
      <c r="F26" s="1141">
        <f>SUMIF('JKP-8.5 - CNSMREQP_GASMTRCTR'!$A$2:$A$391,'JKP-8.5 - Total Costs'!A26,'JKP-8.5 - CNSMREQP_GASMTRCTR'!$F$2:$F$391)-SUMIF('JKP-8.5 - Migrated From'!$A$2:$A$22,'JKP-8.5 - Total Costs'!A26,'JKP-8.5 - Migrated From'!$F$2:$F$22)+SUMIF('JKP-8.5 - Migrated To'!$A$2:$A$22,'JKP-8.5 - Total Costs'!A26,'JKP-8.5 - Migrated To'!$F$2:$F$22)</f>
        <v>9</v>
      </c>
      <c r="G26" s="1141">
        <f>SUMIF('JKP-8.5 - CNSMREQP_GASMTRCTR'!$A$2:$A$391,'JKP-8.5 - Total Costs'!B26,'JKP-8.5 - CNSMREQP_GASMTRCTR'!$F$2:$F$391)-SUMIF('JKP-8.5 - Migrated From'!$A$2:$A$22,'JKP-8.5 - Total Costs'!B26,'JKP-8.5 - Migrated From'!$F$2:$F$22)+SUMIF('JKP-8.5 - Migrated To'!$A$2:$A$22,'JKP-8.5 - Total Costs'!B26,'JKP-8.5 - Migrated To'!$F$2:$F$22)</f>
        <v>0</v>
      </c>
      <c r="H26" s="1142">
        <f t="shared" si="2"/>
        <v>9</v>
      </c>
      <c r="I26" s="1143">
        <f>VLOOKUP($E26,'JKP-8.5 - Unit Costs'!$A$9:$H$33,2,FALSE)</f>
        <v>141.83000000000001</v>
      </c>
      <c r="J26" s="1143">
        <f>VLOOKUP($E26,'JKP-8.5 - Unit Costs'!$A$9:$H$33,5,FALSE)</f>
        <v>92.480000000000018</v>
      </c>
      <c r="K26" s="1143">
        <f>VLOOKUP($E26,'JKP-8.5 - Unit Costs'!$A$9:$H$33,3,FALSE)</f>
        <v>41.76</v>
      </c>
      <c r="L26" s="1143">
        <f>VLOOKUP($E26,'JKP-8.5 - Unit Costs'!$A$9:$H$33,6,FALSE)</f>
        <v>41.76</v>
      </c>
      <c r="M26" s="1143">
        <f>VLOOKUP($E26,'JKP-8.5 - Unit Costs'!$A$9:$H$33,8,FALSE)</f>
        <v>0</v>
      </c>
      <c r="N26" s="1143">
        <f>VLOOKUP($E26,'JKP-8.5 - Unit Costs'!$A$9:$H$33,8,FALSE)</f>
        <v>0</v>
      </c>
      <c r="O26" s="1144">
        <f t="shared" si="3"/>
        <v>1276.47</v>
      </c>
      <c r="P26" s="1144">
        <f t="shared" si="3"/>
        <v>0</v>
      </c>
      <c r="Q26" s="1144">
        <f t="shared" si="4"/>
        <v>1276.47</v>
      </c>
      <c r="R26" s="1144">
        <f t="shared" si="5"/>
        <v>375.84</v>
      </c>
      <c r="S26" s="1144">
        <f t="shared" si="5"/>
        <v>0</v>
      </c>
      <c r="T26" s="1144">
        <f t="shared" si="6"/>
        <v>375.84</v>
      </c>
      <c r="U26" s="1144">
        <f t="shared" si="7"/>
        <v>0</v>
      </c>
      <c r="V26" s="1144">
        <f t="shared" si="7"/>
        <v>0</v>
      </c>
      <c r="W26" s="1145">
        <f t="shared" si="8"/>
        <v>0</v>
      </c>
    </row>
    <row r="27" spans="1:23" x14ac:dyDescent="0.2">
      <c r="A27" s="1140" t="str">
        <f t="shared" si="0"/>
        <v>23G-ND 425 AMR</v>
      </c>
      <c r="B27" s="1140" t="str">
        <f t="shared" si="1"/>
        <v xml:space="preserve">23G-ND 425 </v>
      </c>
      <c r="C27" s="1140" t="s">
        <v>930</v>
      </c>
      <c r="D27" s="1140" t="s">
        <v>931</v>
      </c>
      <c r="E27" s="1140">
        <v>425</v>
      </c>
      <c r="F27" s="1141">
        <f>SUMIF('JKP-8.5 - CNSMREQP_GASMTRCTR'!$A$2:$A$391,'JKP-8.5 - Total Costs'!A27,'JKP-8.5 - CNSMREQP_GASMTRCTR'!$F$2:$F$391)-SUMIF('JKP-8.5 - Migrated From'!$A$2:$A$22,'JKP-8.5 - Total Costs'!A27,'JKP-8.5 - Migrated From'!$F$2:$F$22)+SUMIF('JKP-8.5 - Migrated To'!$A$2:$A$22,'JKP-8.5 - Total Costs'!A27,'JKP-8.5 - Migrated To'!$F$2:$F$22)</f>
        <v>57</v>
      </c>
      <c r="G27" s="1141">
        <f>SUMIF('JKP-8.5 - CNSMREQP_GASMTRCTR'!$A$2:$A$391,'JKP-8.5 - Total Costs'!B27,'JKP-8.5 - CNSMREQP_GASMTRCTR'!$F$2:$F$391)-SUMIF('JKP-8.5 - Migrated From'!$A$2:$A$22,'JKP-8.5 - Total Costs'!B27,'JKP-8.5 - Migrated From'!$F$2:$F$22)+SUMIF('JKP-8.5 - Migrated To'!$A$2:$A$22,'JKP-8.5 - Total Costs'!B27,'JKP-8.5 - Migrated To'!$F$2:$F$22)</f>
        <v>0</v>
      </c>
      <c r="H27" s="1142">
        <f t="shared" si="2"/>
        <v>57</v>
      </c>
      <c r="I27" s="1143">
        <f>VLOOKUP($E27,'JKP-8.5 - Unit Costs'!$A$9:$H$33,2,FALSE)</f>
        <v>462.02000000000004</v>
      </c>
      <c r="J27" s="1143">
        <f>VLOOKUP($E27,'JKP-8.5 - Unit Costs'!$A$9:$H$33,5,FALSE)</f>
        <v>193.72</v>
      </c>
      <c r="K27" s="1143">
        <f>VLOOKUP($E27,'JKP-8.5 - Unit Costs'!$A$9:$H$33,3,FALSE)</f>
        <v>41.76</v>
      </c>
      <c r="L27" s="1143">
        <f>VLOOKUP($E27,'JKP-8.5 - Unit Costs'!$A$9:$H$33,6,FALSE)</f>
        <v>41.76</v>
      </c>
      <c r="M27" s="1143">
        <f>VLOOKUP($E27,'JKP-8.5 - Unit Costs'!$A$9:$H$33,8,FALSE)</f>
        <v>0</v>
      </c>
      <c r="N27" s="1143">
        <f>VLOOKUP($E27,'JKP-8.5 - Unit Costs'!$A$9:$H$33,8,FALSE)</f>
        <v>0</v>
      </c>
      <c r="O27" s="1144">
        <f t="shared" si="3"/>
        <v>26335.140000000003</v>
      </c>
      <c r="P27" s="1144">
        <f t="shared" si="3"/>
        <v>0</v>
      </c>
      <c r="Q27" s="1144">
        <f t="shared" si="4"/>
        <v>26335.140000000003</v>
      </c>
      <c r="R27" s="1144">
        <f t="shared" si="5"/>
        <v>2380.3199999999997</v>
      </c>
      <c r="S27" s="1144">
        <f t="shared" si="5"/>
        <v>0</v>
      </c>
      <c r="T27" s="1144">
        <f t="shared" si="6"/>
        <v>2380.3199999999997</v>
      </c>
      <c r="U27" s="1144">
        <f t="shared" si="7"/>
        <v>0</v>
      </c>
      <c r="V27" s="1144">
        <f t="shared" si="7"/>
        <v>0</v>
      </c>
      <c r="W27" s="1145">
        <f t="shared" si="8"/>
        <v>0</v>
      </c>
    </row>
    <row r="28" spans="1:23" x14ac:dyDescent="0.2">
      <c r="A28" s="1140" t="str">
        <f t="shared" si="0"/>
        <v>23G-ND 1000 AMR</v>
      </c>
      <c r="B28" s="1140" t="str">
        <f t="shared" si="1"/>
        <v xml:space="preserve">23G-ND 1000 </v>
      </c>
      <c r="C28" s="1140" t="s">
        <v>930</v>
      </c>
      <c r="D28" s="1140" t="s">
        <v>931</v>
      </c>
      <c r="E28" s="1140">
        <v>1000</v>
      </c>
      <c r="F28" s="1141">
        <f>SUMIF('JKP-8.5 - CNSMREQP_GASMTRCTR'!$A$2:$A$391,'JKP-8.5 - Total Costs'!A28,'JKP-8.5 - CNSMREQP_GASMTRCTR'!$F$2:$F$391)-SUMIF('JKP-8.5 - Migrated From'!$A$2:$A$22,'JKP-8.5 - Total Costs'!A28,'JKP-8.5 - Migrated From'!$F$2:$F$22)+SUMIF('JKP-8.5 - Migrated To'!$A$2:$A$22,'JKP-8.5 - Total Costs'!A28,'JKP-8.5 - Migrated To'!$F$2:$F$22)</f>
        <v>8</v>
      </c>
      <c r="G28" s="1141">
        <f>SUMIF('JKP-8.5 - CNSMREQP_GASMTRCTR'!$A$2:$A$391,'JKP-8.5 - Total Costs'!B28,'JKP-8.5 - CNSMREQP_GASMTRCTR'!$F$2:$F$391)-SUMIF('JKP-8.5 - Migrated From'!$A$2:$A$22,'JKP-8.5 - Total Costs'!B28,'JKP-8.5 - Migrated From'!$F$2:$F$22)+SUMIF('JKP-8.5 - Migrated To'!$A$2:$A$22,'JKP-8.5 - Total Costs'!B28,'JKP-8.5 - Migrated To'!$F$2:$F$22)</f>
        <v>0</v>
      </c>
      <c r="H28" s="1142">
        <f t="shared" si="2"/>
        <v>8</v>
      </c>
      <c r="I28" s="1143">
        <f>VLOOKUP($E28,'JKP-8.5 - Unit Costs'!$A$9:$H$33,2,FALSE)</f>
        <v>1404.86</v>
      </c>
      <c r="J28" s="1143">
        <f>VLOOKUP($E28,'JKP-8.5 - Unit Costs'!$A$9:$H$33,5,FALSE)</f>
        <v>1063.1500000000001</v>
      </c>
      <c r="K28" s="1143">
        <f>VLOOKUP($E28,'JKP-8.5 - Unit Costs'!$A$9:$H$33,3,FALSE)</f>
        <v>41.76</v>
      </c>
      <c r="L28" s="1143">
        <f>VLOOKUP($E28,'JKP-8.5 - Unit Costs'!$A$9:$H$33,6,FALSE)</f>
        <v>41.76</v>
      </c>
      <c r="M28" s="1143">
        <f>VLOOKUP($E28,'JKP-8.5 - Unit Costs'!$A$9:$H$33,8,FALSE)</f>
        <v>0</v>
      </c>
      <c r="N28" s="1143">
        <f>VLOOKUP($E28,'JKP-8.5 - Unit Costs'!$A$9:$H$33,8,FALSE)</f>
        <v>0</v>
      </c>
      <c r="O28" s="1144">
        <f t="shared" si="3"/>
        <v>11238.88</v>
      </c>
      <c r="P28" s="1144">
        <f t="shared" si="3"/>
        <v>0</v>
      </c>
      <c r="Q28" s="1144">
        <f t="shared" si="4"/>
        <v>11238.88</v>
      </c>
      <c r="R28" s="1144">
        <f t="shared" si="5"/>
        <v>334.08</v>
      </c>
      <c r="S28" s="1144">
        <f t="shared" si="5"/>
        <v>0</v>
      </c>
      <c r="T28" s="1144">
        <f t="shared" si="6"/>
        <v>334.08</v>
      </c>
      <c r="U28" s="1144">
        <f t="shared" si="7"/>
        <v>0</v>
      </c>
      <c r="V28" s="1144">
        <f t="shared" si="7"/>
        <v>0</v>
      </c>
      <c r="W28" s="1145">
        <f t="shared" si="8"/>
        <v>0</v>
      </c>
    </row>
    <row r="29" spans="1:23" x14ac:dyDescent="0.2">
      <c r="A29" s="1140" t="str">
        <f t="shared" si="0"/>
        <v>23G-NK 175 AMR</v>
      </c>
      <c r="B29" s="1140" t="str">
        <f t="shared" si="1"/>
        <v xml:space="preserve">23G-NK 175 </v>
      </c>
      <c r="C29" s="1140" t="s">
        <v>930</v>
      </c>
      <c r="D29" s="1140" t="s">
        <v>932</v>
      </c>
      <c r="E29" s="1140">
        <v>175</v>
      </c>
      <c r="F29" s="1141">
        <f>SUMIF('JKP-8.5 - CNSMREQP_GASMTRCTR'!$A$2:$A$391,'JKP-8.5 - Total Costs'!A29,'JKP-8.5 - CNSMREQP_GASMTRCTR'!$F$2:$F$391)-SUMIF('JKP-8.5 - Migrated From'!$A$2:$A$22,'JKP-8.5 - Total Costs'!A29,'JKP-8.5 - Migrated From'!$F$2:$F$22)+SUMIF('JKP-8.5 - Migrated To'!$A$2:$A$22,'JKP-8.5 - Total Costs'!A29,'JKP-8.5 - Migrated To'!$F$2:$F$22)</f>
        <v>34</v>
      </c>
      <c r="G29" s="1141">
        <f>SUMIF('JKP-8.5 - CNSMREQP_GASMTRCTR'!$A$2:$A$391,'JKP-8.5 - Total Costs'!B29,'JKP-8.5 - CNSMREQP_GASMTRCTR'!$F$2:$F$391)-SUMIF('JKP-8.5 - Migrated From'!$A$2:$A$22,'JKP-8.5 - Total Costs'!B29,'JKP-8.5 - Migrated From'!$F$2:$F$22)+SUMIF('JKP-8.5 - Migrated To'!$A$2:$A$22,'JKP-8.5 - Total Costs'!B29,'JKP-8.5 - Migrated To'!$F$2:$F$22)</f>
        <v>0</v>
      </c>
      <c r="H29" s="1142">
        <f t="shared" si="2"/>
        <v>34</v>
      </c>
      <c r="I29" s="1143">
        <f>VLOOKUP($E29,'JKP-8.5 - Unit Costs'!$A$9:$H$33,2,FALSE)</f>
        <v>141.83000000000001</v>
      </c>
      <c r="J29" s="1143">
        <f>VLOOKUP($E29,'JKP-8.5 - Unit Costs'!$A$9:$H$33,5,FALSE)</f>
        <v>92.480000000000018</v>
      </c>
      <c r="K29" s="1143">
        <f>VLOOKUP($E29,'JKP-8.5 - Unit Costs'!$A$9:$H$33,3,FALSE)</f>
        <v>41.76</v>
      </c>
      <c r="L29" s="1143">
        <f>VLOOKUP($E29,'JKP-8.5 - Unit Costs'!$A$9:$H$33,6,FALSE)</f>
        <v>41.76</v>
      </c>
      <c r="M29" s="1143">
        <f>VLOOKUP($E29,'JKP-8.5 - Unit Costs'!$A$9:$H$33,8,FALSE)</f>
        <v>0</v>
      </c>
      <c r="N29" s="1143">
        <f>VLOOKUP($E29,'JKP-8.5 - Unit Costs'!$A$9:$H$33,8,FALSE)</f>
        <v>0</v>
      </c>
      <c r="O29" s="1144">
        <f t="shared" si="3"/>
        <v>4822.22</v>
      </c>
      <c r="P29" s="1144">
        <f t="shared" si="3"/>
        <v>0</v>
      </c>
      <c r="Q29" s="1144">
        <f t="shared" si="4"/>
        <v>4822.22</v>
      </c>
      <c r="R29" s="1144">
        <f t="shared" si="5"/>
        <v>1419.84</v>
      </c>
      <c r="S29" s="1144">
        <f t="shared" si="5"/>
        <v>0</v>
      </c>
      <c r="T29" s="1144">
        <f t="shared" si="6"/>
        <v>1419.84</v>
      </c>
      <c r="U29" s="1144">
        <f t="shared" si="7"/>
        <v>0</v>
      </c>
      <c r="V29" s="1144">
        <f t="shared" si="7"/>
        <v>0</v>
      </c>
      <c r="W29" s="1145">
        <f t="shared" si="8"/>
        <v>0</v>
      </c>
    </row>
    <row r="30" spans="1:23" x14ac:dyDescent="0.2">
      <c r="A30" s="1140" t="str">
        <f t="shared" si="0"/>
        <v>23G-NK 250 AMR</v>
      </c>
      <c r="B30" s="1140" t="str">
        <f t="shared" si="1"/>
        <v xml:space="preserve">23G-NK 250 </v>
      </c>
      <c r="C30" s="1140" t="s">
        <v>930</v>
      </c>
      <c r="D30" s="1140" t="s">
        <v>932</v>
      </c>
      <c r="E30" s="1140">
        <v>250</v>
      </c>
      <c r="F30" s="1141">
        <f>SUMIF('JKP-8.5 - CNSMREQP_GASMTRCTR'!$A$2:$A$391,'JKP-8.5 - Total Costs'!A30,'JKP-8.5 - CNSMREQP_GASMTRCTR'!$F$2:$F$391)-SUMIF('JKP-8.5 - Migrated From'!$A$2:$A$22,'JKP-8.5 - Total Costs'!A30,'JKP-8.5 - Migrated From'!$F$2:$F$22)+SUMIF('JKP-8.5 - Migrated To'!$A$2:$A$22,'JKP-8.5 - Total Costs'!A30,'JKP-8.5 - Migrated To'!$F$2:$F$22)</f>
        <v>628</v>
      </c>
      <c r="G30" s="1141">
        <f>SUMIF('JKP-8.5 - CNSMREQP_GASMTRCTR'!$A$2:$A$391,'JKP-8.5 - Total Costs'!B30,'JKP-8.5 - CNSMREQP_GASMTRCTR'!$F$2:$F$391)-SUMIF('JKP-8.5 - Migrated From'!$A$2:$A$22,'JKP-8.5 - Total Costs'!B30,'JKP-8.5 - Migrated From'!$F$2:$F$22)+SUMIF('JKP-8.5 - Migrated To'!$A$2:$A$22,'JKP-8.5 - Total Costs'!B30,'JKP-8.5 - Migrated To'!$F$2:$F$22)</f>
        <v>0</v>
      </c>
      <c r="H30" s="1142">
        <f t="shared" si="2"/>
        <v>628</v>
      </c>
      <c r="I30" s="1143">
        <f>VLOOKUP($E30,'JKP-8.5 - Unit Costs'!$A$9:$H$33,2,FALSE)</f>
        <v>141.83000000000001</v>
      </c>
      <c r="J30" s="1143">
        <f>VLOOKUP($E30,'JKP-8.5 - Unit Costs'!$A$9:$H$33,5,FALSE)</f>
        <v>92.480000000000018</v>
      </c>
      <c r="K30" s="1143">
        <f>VLOOKUP($E30,'JKP-8.5 - Unit Costs'!$A$9:$H$33,3,FALSE)</f>
        <v>41.76</v>
      </c>
      <c r="L30" s="1143">
        <f>VLOOKUP($E30,'JKP-8.5 - Unit Costs'!$A$9:$H$33,6,FALSE)</f>
        <v>41.76</v>
      </c>
      <c r="M30" s="1143">
        <f>VLOOKUP($E30,'JKP-8.5 - Unit Costs'!$A$9:$H$33,8,FALSE)</f>
        <v>0</v>
      </c>
      <c r="N30" s="1143">
        <f>VLOOKUP($E30,'JKP-8.5 - Unit Costs'!$A$9:$H$33,8,FALSE)</f>
        <v>0</v>
      </c>
      <c r="O30" s="1144">
        <f t="shared" si="3"/>
        <v>89069.24</v>
      </c>
      <c r="P30" s="1144">
        <f t="shared" si="3"/>
        <v>0</v>
      </c>
      <c r="Q30" s="1144">
        <f t="shared" si="4"/>
        <v>89069.24</v>
      </c>
      <c r="R30" s="1144">
        <f t="shared" si="5"/>
        <v>26225.279999999999</v>
      </c>
      <c r="S30" s="1144">
        <f t="shared" si="5"/>
        <v>0</v>
      </c>
      <c r="T30" s="1144">
        <f t="shared" si="6"/>
        <v>26225.279999999999</v>
      </c>
      <c r="U30" s="1144">
        <f t="shared" si="7"/>
        <v>0</v>
      </c>
      <c r="V30" s="1144">
        <f t="shared" si="7"/>
        <v>0</v>
      </c>
      <c r="W30" s="1145">
        <f t="shared" si="8"/>
        <v>0</v>
      </c>
    </row>
    <row r="31" spans="1:23" x14ac:dyDescent="0.2">
      <c r="A31" s="1140" t="str">
        <f t="shared" si="0"/>
        <v>23G-NK 275 AMR</v>
      </c>
      <c r="B31" s="1140" t="str">
        <f t="shared" si="1"/>
        <v xml:space="preserve">23G-NK 275 </v>
      </c>
      <c r="C31" s="1140" t="s">
        <v>930</v>
      </c>
      <c r="D31" s="1140" t="s">
        <v>932</v>
      </c>
      <c r="E31" s="1140">
        <v>275</v>
      </c>
      <c r="F31" s="1141">
        <f>SUMIF('JKP-8.5 - CNSMREQP_GASMTRCTR'!$A$2:$A$391,'JKP-8.5 - Total Costs'!A31,'JKP-8.5 - CNSMREQP_GASMTRCTR'!$F$2:$F$391)-SUMIF('JKP-8.5 - Migrated From'!$A$2:$A$22,'JKP-8.5 - Total Costs'!A31,'JKP-8.5 - Migrated From'!$F$2:$F$22)+SUMIF('JKP-8.5 - Migrated To'!$A$2:$A$22,'JKP-8.5 - Total Costs'!A31,'JKP-8.5 - Migrated To'!$F$2:$F$22)</f>
        <v>1</v>
      </c>
      <c r="G31" s="1141">
        <f>SUMIF('JKP-8.5 - CNSMREQP_GASMTRCTR'!$A$2:$A$391,'JKP-8.5 - Total Costs'!B31,'JKP-8.5 - CNSMREQP_GASMTRCTR'!$F$2:$F$391)-SUMIF('JKP-8.5 - Migrated From'!$A$2:$A$22,'JKP-8.5 - Total Costs'!B31,'JKP-8.5 - Migrated From'!$F$2:$F$22)+SUMIF('JKP-8.5 - Migrated To'!$A$2:$A$22,'JKP-8.5 - Total Costs'!B31,'JKP-8.5 - Migrated To'!$F$2:$F$22)</f>
        <v>0</v>
      </c>
      <c r="H31" s="1142">
        <f t="shared" si="2"/>
        <v>1</v>
      </c>
      <c r="I31" s="1143">
        <f>VLOOKUP($E31,'JKP-8.5 - Unit Costs'!$A$9:$H$33,2,FALSE)</f>
        <v>141.83000000000001</v>
      </c>
      <c r="J31" s="1143">
        <f>VLOOKUP($E31,'JKP-8.5 - Unit Costs'!$A$9:$H$33,5,FALSE)</f>
        <v>92.480000000000018</v>
      </c>
      <c r="K31" s="1143">
        <f>VLOOKUP($E31,'JKP-8.5 - Unit Costs'!$A$9:$H$33,3,FALSE)</f>
        <v>41.76</v>
      </c>
      <c r="L31" s="1143">
        <f>VLOOKUP($E31,'JKP-8.5 - Unit Costs'!$A$9:$H$33,6,FALSE)</f>
        <v>41.76</v>
      </c>
      <c r="M31" s="1143">
        <f>VLOOKUP($E31,'JKP-8.5 - Unit Costs'!$A$9:$H$33,8,FALSE)</f>
        <v>0</v>
      </c>
      <c r="N31" s="1143">
        <f>VLOOKUP($E31,'JKP-8.5 - Unit Costs'!$A$9:$H$33,8,FALSE)</f>
        <v>0</v>
      </c>
      <c r="O31" s="1144">
        <f t="shared" si="3"/>
        <v>141.83000000000001</v>
      </c>
      <c r="P31" s="1144">
        <f t="shared" si="3"/>
        <v>0</v>
      </c>
      <c r="Q31" s="1144">
        <f t="shared" si="4"/>
        <v>141.83000000000001</v>
      </c>
      <c r="R31" s="1144">
        <f t="shared" si="5"/>
        <v>41.76</v>
      </c>
      <c r="S31" s="1144">
        <f t="shared" si="5"/>
        <v>0</v>
      </c>
      <c r="T31" s="1144">
        <f t="shared" si="6"/>
        <v>41.76</v>
      </c>
      <c r="U31" s="1144">
        <f t="shared" si="7"/>
        <v>0</v>
      </c>
      <c r="V31" s="1144">
        <f t="shared" si="7"/>
        <v>0</v>
      </c>
      <c r="W31" s="1145">
        <f t="shared" si="8"/>
        <v>0</v>
      </c>
    </row>
    <row r="32" spans="1:23" x14ac:dyDescent="0.2">
      <c r="A32" s="1140" t="str">
        <f t="shared" si="0"/>
        <v>23G-NK 425 AMR</v>
      </c>
      <c r="B32" s="1140" t="str">
        <f t="shared" si="1"/>
        <v xml:space="preserve">23G-NK 425 </v>
      </c>
      <c r="C32" s="1140" t="s">
        <v>930</v>
      </c>
      <c r="D32" s="1140" t="s">
        <v>932</v>
      </c>
      <c r="E32" s="1140">
        <v>425</v>
      </c>
      <c r="F32" s="1141">
        <f>SUMIF('JKP-8.5 - CNSMREQP_GASMTRCTR'!$A$2:$A$391,'JKP-8.5 - Total Costs'!A32,'JKP-8.5 - CNSMREQP_GASMTRCTR'!$F$2:$F$391)-SUMIF('JKP-8.5 - Migrated From'!$A$2:$A$22,'JKP-8.5 - Total Costs'!A32,'JKP-8.5 - Migrated From'!$F$2:$F$22)+SUMIF('JKP-8.5 - Migrated To'!$A$2:$A$22,'JKP-8.5 - Total Costs'!A32,'JKP-8.5 - Migrated To'!$F$2:$F$22)</f>
        <v>28</v>
      </c>
      <c r="G32" s="1141">
        <f>SUMIF('JKP-8.5 - CNSMREQP_GASMTRCTR'!$A$2:$A$391,'JKP-8.5 - Total Costs'!B32,'JKP-8.5 - CNSMREQP_GASMTRCTR'!$F$2:$F$391)-SUMIF('JKP-8.5 - Migrated From'!$A$2:$A$22,'JKP-8.5 - Total Costs'!B32,'JKP-8.5 - Migrated From'!$F$2:$F$22)+SUMIF('JKP-8.5 - Migrated To'!$A$2:$A$22,'JKP-8.5 - Total Costs'!B32,'JKP-8.5 - Migrated To'!$F$2:$F$22)</f>
        <v>0</v>
      </c>
      <c r="H32" s="1142">
        <f t="shared" si="2"/>
        <v>28</v>
      </c>
      <c r="I32" s="1143">
        <f>VLOOKUP($E32,'JKP-8.5 - Unit Costs'!$A$9:$H$33,2,FALSE)</f>
        <v>462.02000000000004</v>
      </c>
      <c r="J32" s="1143">
        <f>VLOOKUP($E32,'JKP-8.5 - Unit Costs'!$A$9:$H$33,5,FALSE)</f>
        <v>193.72</v>
      </c>
      <c r="K32" s="1143">
        <f>VLOOKUP($E32,'JKP-8.5 - Unit Costs'!$A$9:$H$33,3,FALSE)</f>
        <v>41.76</v>
      </c>
      <c r="L32" s="1143">
        <f>VLOOKUP($E32,'JKP-8.5 - Unit Costs'!$A$9:$H$33,6,FALSE)</f>
        <v>41.76</v>
      </c>
      <c r="M32" s="1143">
        <f>VLOOKUP($E32,'JKP-8.5 - Unit Costs'!$A$9:$H$33,8,FALSE)</f>
        <v>0</v>
      </c>
      <c r="N32" s="1143">
        <f>VLOOKUP($E32,'JKP-8.5 - Unit Costs'!$A$9:$H$33,8,FALSE)</f>
        <v>0</v>
      </c>
      <c r="O32" s="1144">
        <f t="shared" si="3"/>
        <v>12936.560000000001</v>
      </c>
      <c r="P32" s="1144">
        <f t="shared" si="3"/>
        <v>0</v>
      </c>
      <c r="Q32" s="1144">
        <f t="shared" si="4"/>
        <v>12936.560000000001</v>
      </c>
      <c r="R32" s="1144">
        <f t="shared" si="5"/>
        <v>1169.28</v>
      </c>
      <c r="S32" s="1144">
        <f t="shared" si="5"/>
        <v>0</v>
      </c>
      <c r="T32" s="1144">
        <f t="shared" si="6"/>
        <v>1169.28</v>
      </c>
      <c r="U32" s="1144">
        <f t="shared" si="7"/>
        <v>0</v>
      </c>
      <c r="V32" s="1144">
        <f t="shared" si="7"/>
        <v>0</v>
      </c>
      <c r="W32" s="1145">
        <f t="shared" si="8"/>
        <v>0</v>
      </c>
    </row>
    <row r="33" spans="1:23" x14ac:dyDescent="0.2">
      <c r="A33" s="1140" t="str">
        <f t="shared" si="0"/>
        <v>23G-NK 1000 AMR</v>
      </c>
      <c r="B33" s="1140" t="str">
        <f t="shared" si="1"/>
        <v xml:space="preserve">23G-NK 1000 </v>
      </c>
      <c r="C33" s="1140" t="s">
        <v>930</v>
      </c>
      <c r="D33" s="1140" t="s">
        <v>932</v>
      </c>
      <c r="E33" s="1140">
        <v>1000</v>
      </c>
      <c r="F33" s="1141">
        <f>SUMIF('JKP-8.5 - CNSMREQP_GASMTRCTR'!$A$2:$A$391,'JKP-8.5 - Total Costs'!A33,'JKP-8.5 - CNSMREQP_GASMTRCTR'!$F$2:$F$391)-SUMIF('JKP-8.5 - Migrated From'!$A$2:$A$22,'JKP-8.5 - Total Costs'!A33,'JKP-8.5 - Migrated From'!$F$2:$F$22)+SUMIF('JKP-8.5 - Migrated To'!$A$2:$A$22,'JKP-8.5 - Total Costs'!A33,'JKP-8.5 - Migrated To'!$F$2:$F$22)</f>
        <v>7</v>
      </c>
      <c r="G33" s="1141">
        <f>SUMIF('JKP-8.5 - CNSMREQP_GASMTRCTR'!$A$2:$A$391,'JKP-8.5 - Total Costs'!B33,'JKP-8.5 - CNSMREQP_GASMTRCTR'!$F$2:$F$391)-SUMIF('JKP-8.5 - Migrated From'!$A$2:$A$22,'JKP-8.5 - Total Costs'!B33,'JKP-8.5 - Migrated From'!$F$2:$F$22)+SUMIF('JKP-8.5 - Migrated To'!$A$2:$A$22,'JKP-8.5 - Total Costs'!B33,'JKP-8.5 - Migrated To'!$F$2:$F$22)</f>
        <v>0</v>
      </c>
      <c r="H33" s="1142">
        <f t="shared" si="2"/>
        <v>7</v>
      </c>
      <c r="I33" s="1143">
        <f>VLOOKUP($E33,'JKP-8.5 - Unit Costs'!$A$9:$H$33,2,FALSE)</f>
        <v>1404.86</v>
      </c>
      <c r="J33" s="1143">
        <f>VLOOKUP($E33,'JKP-8.5 - Unit Costs'!$A$9:$H$33,5,FALSE)</f>
        <v>1063.1500000000001</v>
      </c>
      <c r="K33" s="1143">
        <f>VLOOKUP($E33,'JKP-8.5 - Unit Costs'!$A$9:$H$33,3,FALSE)</f>
        <v>41.76</v>
      </c>
      <c r="L33" s="1143">
        <f>VLOOKUP($E33,'JKP-8.5 - Unit Costs'!$A$9:$H$33,6,FALSE)</f>
        <v>41.76</v>
      </c>
      <c r="M33" s="1143">
        <f>VLOOKUP($E33,'JKP-8.5 - Unit Costs'!$A$9:$H$33,8,FALSE)</f>
        <v>0</v>
      </c>
      <c r="N33" s="1143">
        <f>VLOOKUP($E33,'JKP-8.5 - Unit Costs'!$A$9:$H$33,8,FALSE)</f>
        <v>0</v>
      </c>
      <c r="O33" s="1144">
        <f t="shared" si="3"/>
        <v>9834.0199999999986</v>
      </c>
      <c r="P33" s="1144">
        <f t="shared" si="3"/>
        <v>0</v>
      </c>
      <c r="Q33" s="1144">
        <f t="shared" si="4"/>
        <v>9834.0199999999986</v>
      </c>
      <c r="R33" s="1144">
        <f t="shared" si="5"/>
        <v>292.32</v>
      </c>
      <c r="S33" s="1144">
        <f t="shared" si="5"/>
        <v>0</v>
      </c>
      <c r="T33" s="1144">
        <f t="shared" si="6"/>
        <v>292.32</v>
      </c>
      <c r="U33" s="1144">
        <f t="shared" si="7"/>
        <v>0</v>
      </c>
      <c r="V33" s="1144">
        <f t="shared" si="7"/>
        <v>0</v>
      </c>
      <c r="W33" s="1145">
        <f t="shared" si="8"/>
        <v>0</v>
      </c>
    </row>
    <row r="34" spans="1:23" x14ac:dyDescent="0.2">
      <c r="A34" s="1140" t="str">
        <f t="shared" si="0"/>
        <v>23G-NR 175 AMR</v>
      </c>
      <c r="B34" s="1140" t="str">
        <f t="shared" si="1"/>
        <v xml:space="preserve">23G-NR 175 </v>
      </c>
      <c r="C34" s="1140" t="s">
        <v>930</v>
      </c>
      <c r="D34" s="1140" t="s">
        <v>933</v>
      </c>
      <c r="E34" s="1140">
        <v>175</v>
      </c>
      <c r="F34" s="1141">
        <f>SUMIF('JKP-8.5 - CNSMREQP_GASMTRCTR'!$A$2:$A$391,'JKP-8.5 - Total Costs'!A34,'JKP-8.5 - CNSMREQP_GASMTRCTR'!$F$2:$F$391)-SUMIF('JKP-8.5 - Migrated From'!$A$2:$A$22,'JKP-8.5 - Total Costs'!A34,'JKP-8.5 - Migrated From'!$F$2:$F$22)+SUMIF('JKP-8.5 - Migrated To'!$A$2:$A$22,'JKP-8.5 - Total Costs'!A34,'JKP-8.5 - Migrated To'!$F$2:$F$22)</f>
        <v>121</v>
      </c>
      <c r="G34" s="1141">
        <f>SUMIF('JKP-8.5 - CNSMREQP_GASMTRCTR'!$A$2:$A$391,'JKP-8.5 - Total Costs'!B34,'JKP-8.5 - CNSMREQP_GASMTRCTR'!$F$2:$F$391)-SUMIF('JKP-8.5 - Migrated From'!$A$2:$A$22,'JKP-8.5 - Total Costs'!B34,'JKP-8.5 - Migrated From'!$F$2:$F$22)+SUMIF('JKP-8.5 - Migrated To'!$A$2:$A$22,'JKP-8.5 - Total Costs'!B34,'JKP-8.5 - Migrated To'!$F$2:$F$22)</f>
        <v>0</v>
      </c>
      <c r="H34" s="1142">
        <f t="shared" si="2"/>
        <v>121</v>
      </c>
      <c r="I34" s="1143">
        <f>VLOOKUP($E34,'JKP-8.5 - Unit Costs'!$A$9:$H$33,2,FALSE)</f>
        <v>141.83000000000001</v>
      </c>
      <c r="J34" s="1143">
        <f>VLOOKUP($E34,'JKP-8.5 - Unit Costs'!$A$9:$H$33,5,FALSE)</f>
        <v>92.480000000000018</v>
      </c>
      <c r="K34" s="1143">
        <f>VLOOKUP($E34,'JKP-8.5 - Unit Costs'!$A$9:$H$33,3,FALSE)</f>
        <v>41.76</v>
      </c>
      <c r="L34" s="1143">
        <f>VLOOKUP($E34,'JKP-8.5 - Unit Costs'!$A$9:$H$33,6,FALSE)</f>
        <v>41.76</v>
      </c>
      <c r="M34" s="1143">
        <f>VLOOKUP($E34,'JKP-8.5 - Unit Costs'!$A$9:$H$33,8,FALSE)</f>
        <v>0</v>
      </c>
      <c r="N34" s="1143">
        <f>VLOOKUP($E34,'JKP-8.5 - Unit Costs'!$A$9:$H$33,8,FALSE)</f>
        <v>0</v>
      </c>
      <c r="O34" s="1144">
        <f t="shared" si="3"/>
        <v>17161.43</v>
      </c>
      <c r="P34" s="1144">
        <f t="shared" si="3"/>
        <v>0</v>
      </c>
      <c r="Q34" s="1144">
        <f t="shared" si="4"/>
        <v>17161.43</v>
      </c>
      <c r="R34" s="1144">
        <f t="shared" si="5"/>
        <v>5052.96</v>
      </c>
      <c r="S34" s="1144">
        <f t="shared" si="5"/>
        <v>0</v>
      </c>
      <c r="T34" s="1144">
        <f t="shared" si="6"/>
        <v>5052.96</v>
      </c>
      <c r="U34" s="1144">
        <f t="shared" si="7"/>
        <v>0</v>
      </c>
      <c r="V34" s="1144">
        <f t="shared" si="7"/>
        <v>0</v>
      </c>
      <c r="W34" s="1145">
        <f t="shared" si="8"/>
        <v>0</v>
      </c>
    </row>
    <row r="35" spans="1:23" x14ac:dyDescent="0.2">
      <c r="A35" s="1140" t="str">
        <f t="shared" si="0"/>
        <v>23G-NR 200 AMR</v>
      </c>
      <c r="B35" s="1140" t="str">
        <f t="shared" si="1"/>
        <v xml:space="preserve">23G-NR 200 </v>
      </c>
      <c r="C35" s="1140" t="s">
        <v>930</v>
      </c>
      <c r="D35" s="1140" t="s">
        <v>933</v>
      </c>
      <c r="E35" s="1140">
        <v>200</v>
      </c>
      <c r="F35" s="1141">
        <f>SUMIF('JKP-8.5 - CNSMREQP_GASMTRCTR'!$A$2:$A$391,'JKP-8.5 - Total Costs'!A35,'JKP-8.5 - CNSMREQP_GASMTRCTR'!$F$2:$F$391)-SUMIF('JKP-8.5 - Migrated From'!$A$2:$A$22,'JKP-8.5 - Total Costs'!A35,'JKP-8.5 - Migrated From'!$F$2:$F$22)+SUMIF('JKP-8.5 - Migrated To'!$A$2:$A$22,'JKP-8.5 - Total Costs'!A35,'JKP-8.5 - Migrated To'!$F$2:$F$22)</f>
        <v>30</v>
      </c>
      <c r="G35" s="1141">
        <f>SUMIF('JKP-8.5 - CNSMREQP_GASMTRCTR'!$A$2:$A$391,'JKP-8.5 - Total Costs'!B35,'JKP-8.5 - CNSMREQP_GASMTRCTR'!$F$2:$F$391)-SUMIF('JKP-8.5 - Migrated From'!$A$2:$A$22,'JKP-8.5 - Total Costs'!B35,'JKP-8.5 - Migrated From'!$F$2:$F$22)+SUMIF('JKP-8.5 - Migrated To'!$A$2:$A$22,'JKP-8.5 - Total Costs'!B35,'JKP-8.5 - Migrated To'!$F$2:$F$22)</f>
        <v>0</v>
      </c>
      <c r="H35" s="1142">
        <f t="shared" si="2"/>
        <v>30</v>
      </c>
      <c r="I35" s="1143">
        <f>VLOOKUP($E35,'JKP-8.5 - Unit Costs'!$A$9:$H$33,2,FALSE)</f>
        <v>141.83000000000001</v>
      </c>
      <c r="J35" s="1143">
        <f>VLOOKUP($E35,'JKP-8.5 - Unit Costs'!$A$9:$H$33,5,FALSE)</f>
        <v>92.480000000000018</v>
      </c>
      <c r="K35" s="1143">
        <f>VLOOKUP($E35,'JKP-8.5 - Unit Costs'!$A$9:$H$33,3,FALSE)</f>
        <v>41.76</v>
      </c>
      <c r="L35" s="1143">
        <f>VLOOKUP($E35,'JKP-8.5 - Unit Costs'!$A$9:$H$33,6,FALSE)</f>
        <v>41.76</v>
      </c>
      <c r="M35" s="1143">
        <f>VLOOKUP($E35,'JKP-8.5 - Unit Costs'!$A$9:$H$33,8,FALSE)</f>
        <v>0</v>
      </c>
      <c r="N35" s="1143">
        <f>VLOOKUP($E35,'JKP-8.5 - Unit Costs'!$A$9:$H$33,8,FALSE)</f>
        <v>0</v>
      </c>
      <c r="O35" s="1144">
        <f t="shared" si="3"/>
        <v>4254.9000000000005</v>
      </c>
      <c r="P35" s="1144">
        <f t="shared" si="3"/>
        <v>0</v>
      </c>
      <c r="Q35" s="1144">
        <f t="shared" si="4"/>
        <v>4254.9000000000005</v>
      </c>
      <c r="R35" s="1144">
        <f t="shared" si="5"/>
        <v>1252.8</v>
      </c>
      <c r="S35" s="1144">
        <f t="shared" si="5"/>
        <v>0</v>
      </c>
      <c r="T35" s="1144">
        <f t="shared" si="6"/>
        <v>1252.8</v>
      </c>
      <c r="U35" s="1144">
        <f t="shared" si="7"/>
        <v>0</v>
      </c>
      <c r="V35" s="1144">
        <f t="shared" si="7"/>
        <v>0</v>
      </c>
      <c r="W35" s="1145">
        <f t="shared" si="8"/>
        <v>0</v>
      </c>
    </row>
    <row r="36" spans="1:23" x14ac:dyDescent="0.2">
      <c r="A36" s="1140" t="str">
        <f t="shared" si="0"/>
        <v>23G-NR 225 AMR</v>
      </c>
      <c r="B36" s="1140" t="str">
        <f t="shared" si="1"/>
        <v xml:space="preserve">23G-NR 225 </v>
      </c>
      <c r="C36" s="1140" t="s">
        <v>930</v>
      </c>
      <c r="D36" s="1140" t="s">
        <v>933</v>
      </c>
      <c r="E36" s="1140">
        <v>225</v>
      </c>
      <c r="F36" s="1141">
        <f>SUMIF('JKP-8.5 - CNSMREQP_GASMTRCTR'!$A$2:$A$391,'JKP-8.5 - Total Costs'!A36,'JKP-8.5 - CNSMREQP_GASMTRCTR'!$F$2:$F$391)-SUMIF('JKP-8.5 - Migrated From'!$A$2:$A$22,'JKP-8.5 - Total Costs'!A36,'JKP-8.5 - Migrated From'!$F$2:$F$22)+SUMIF('JKP-8.5 - Migrated To'!$A$2:$A$22,'JKP-8.5 - Total Costs'!A36,'JKP-8.5 - Migrated To'!$F$2:$F$22)</f>
        <v>1</v>
      </c>
      <c r="G36" s="1141">
        <f>SUMIF('JKP-8.5 - CNSMREQP_GASMTRCTR'!$A$2:$A$391,'JKP-8.5 - Total Costs'!B36,'JKP-8.5 - CNSMREQP_GASMTRCTR'!$F$2:$F$391)-SUMIF('JKP-8.5 - Migrated From'!$A$2:$A$22,'JKP-8.5 - Total Costs'!B36,'JKP-8.5 - Migrated From'!$F$2:$F$22)+SUMIF('JKP-8.5 - Migrated To'!$A$2:$A$22,'JKP-8.5 - Total Costs'!B36,'JKP-8.5 - Migrated To'!$F$2:$F$22)</f>
        <v>0</v>
      </c>
      <c r="H36" s="1142">
        <f t="shared" si="2"/>
        <v>1</v>
      </c>
      <c r="I36" s="1143">
        <f>VLOOKUP($E36,'JKP-8.5 - Unit Costs'!$A$9:$H$33,2,FALSE)</f>
        <v>141.83000000000001</v>
      </c>
      <c r="J36" s="1143">
        <f>VLOOKUP($E36,'JKP-8.5 - Unit Costs'!$A$9:$H$33,5,FALSE)</f>
        <v>92.480000000000018</v>
      </c>
      <c r="K36" s="1143">
        <f>VLOOKUP($E36,'JKP-8.5 - Unit Costs'!$A$9:$H$33,3,FALSE)</f>
        <v>41.76</v>
      </c>
      <c r="L36" s="1143">
        <f>VLOOKUP($E36,'JKP-8.5 - Unit Costs'!$A$9:$H$33,6,FALSE)</f>
        <v>41.76</v>
      </c>
      <c r="M36" s="1143">
        <f>VLOOKUP($E36,'JKP-8.5 - Unit Costs'!$A$9:$H$33,8,FALSE)</f>
        <v>0</v>
      </c>
      <c r="N36" s="1143">
        <f>VLOOKUP($E36,'JKP-8.5 - Unit Costs'!$A$9:$H$33,8,FALSE)</f>
        <v>0</v>
      </c>
      <c r="O36" s="1144">
        <f t="shared" si="3"/>
        <v>141.83000000000001</v>
      </c>
      <c r="P36" s="1144">
        <f t="shared" si="3"/>
        <v>0</v>
      </c>
      <c r="Q36" s="1144">
        <f t="shared" si="4"/>
        <v>141.83000000000001</v>
      </c>
      <c r="R36" s="1144">
        <f t="shared" si="5"/>
        <v>41.76</v>
      </c>
      <c r="S36" s="1144">
        <f t="shared" si="5"/>
        <v>0</v>
      </c>
      <c r="T36" s="1144">
        <f t="shared" si="6"/>
        <v>41.76</v>
      </c>
      <c r="U36" s="1144">
        <f t="shared" si="7"/>
        <v>0</v>
      </c>
      <c r="V36" s="1144">
        <f t="shared" si="7"/>
        <v>0</v>
      </c>
      <c r="W36" s="1145">
        <f t="shared" si="8"/>
        <v>0</v>
      </c>
    </row>
    <row r="37" spans="1:23" x14ac:dyDescent="0.2">
      <c r="A37" s="1140" t="str">
        <f t="shared" si="0"/>
        <v>23G-NR 250 AMR</v>
      </c>
      <c r="B37" s="1140" t="str">
        <f t="shared" si="1"/>
        <v xml:space="preserve">23G-NR 250 </v>
      </c>
      <c r="C37" s="1140" t="s">
        <v>930</v>
      </c>
      <c r="D37" s="1140" t="s">
        <v>933</v>
      </c>
      <c r="E37" s="1140">
        <v>250</v>
      </c>
      <c r="F37" s="1141">
        <f>SUMIF('JKP-8.5 - CNSMREQP_GASMTRCTR'!$A$2:$A$391,'JKP-8.5 - Total Costs'!A37,'JKP-8.5 - CNSMREQP_GASMTRCTR'!$F$2:$F$391)-SUMIF('JKP-8.5 - Migrated From'!$A$2:$A$22,'JKP-8.5 - Total Costs'!A37,'JKP-8.5 - Migrated From'!$F$2:$F$22)+SUMIF('JKP-8.5 - Migrated To'!$A$2:$A$22,'JKP-8.5 - Total Costs'!A37,'JKP-8.5 - Migrated To'!$F$2:$F$22)</f>
        <v>5680</v>
      </c>
      <c r="G37" s="1141">
        <f>SUMIF('JKP-8.5 - CNSMREQP_GASMTRCTR'!$A$2:$A$391,'JKP-8.5 - Total Costs'!B37,'JKP-8.5 - CNSMREQP_GASMTRCTR'!$F$2:$F$391)-SUMIF('JKP-8.5 - Migrated From'!$A$2:$A$22,'JKP-8.5 - Total Costs'!B37,'JKP-8.5 - Migrated From'!$F$2:$F$22)+SUMIF('JKP-8.5 - Migrated To'!$A$2:$A$22,'JKP-8.5 - Total Costs'!B37,'JKP-8.5 - Migrated To'!$F$2:$F$22)</f>
        <v>1</v>
      </c>
      <c r="H37" s="1142">
        <f t="shared" si="2"/>
        <v>5681</v>
      </c>
      <c r="I37" s="1143">
        <f>VLOOKUP($E37,'JKP-8.5 - Unit Costs'!$A$9:$H$33,2,FALSE)</f>
        <v>141.83000000000001</v>
      </c>
      <c r="J37" s="1143">
        <f>VLOOKUP($E37,'JKP-8.5 - Unit Costs'!$A$9:$H$33,5,FALSE)</f>
        <v>92.480000000000018</v>
      </c>
      <c r="K37" s="1143">
        <f>VLOOKUP($E37,'JKP-8.5 - Unit Costs'!$A$9:$H$33,3,FALSE)</f>
        <v>41.76</v>
      </c>
      <c r="L37" s="1143">
        <f>VLOOKUP($E37,'JKP-8.5 - Unit Costs'!$A$9:$H$33,6,FALSE)</f>
        <v>41.76</v>
      </c>
      <c r="M37" s="1143">
        <f>VLOOKUP($E37,'JKP-8.5 - Unit Costs'!$A$9:$H$33,8,FALSE)</f>
        <v>0</v>
      </c>
      <c r="N37" s="1143">
        <f>VLOOKUP($E37,'JKP-8.5 - Unit Costs'!$A$9:$H$33,8,FALSE)</f>
        <v>0</v>
      </c>
      <c r="O37" s="1144">
        <f t="shared" si="3"/>
        <v>805594.4</v>
      </c>
      <c r="P37" s="1144">
        <f t="shared" si="3"/>
        <v>92.480000000000018</v>
      </c>
      <c r="Q37" s="1144">
        <f t="shared" si="4"/>
        <v>805686.88</v>
      </c>
      <c r="R37" s="1144">
        <f t="shared" si="5"/>
        <v>237196.79999999999</v>
      </c>
      <c r="S37" s="1144">
        <f t="shared" si="5"/>
        <v>41.76</v>
      </c>
      <c r="T37" s="1144">
        <f t="shared" si="6"/>
        <v>237238.56</v>
      </c>
      <c r="U37" s="1144">
        <f t="shared" si="7"/>
        <v>0</v>
      </c>
      <c r="V37" s="1144">
        <f t="shared" si="7"/>
        <v>0</v>
      </c>
      <c r="W37" s="1145">
        <f t="shared" si="8"/>
        <v>0</v>
      </c>
    </row>
    <row r="38" spans="1:23" x14ac:dyDescent="0.2">
      <c r="A38" s="1140" t="str">
        <f t="shared" si="0"/>
        <v>23G-NR 275 AMR</v>
      </c>
      <c r="B38" s="1140" t="str">
        <f t="shared" si="1"/>
        <v xml:space="preserve">23G-NR 275 </v>
      </c>
      <c r="C38" s="1140" t="s">
        <v>930</v>
      </c>
      <c r="D38" s="1140" t="s">
        <v>933</v>
      </c>
      <c r="E38" s="1140">
        <v>275</v>
      </c>
      <c r="F38" s="1141">
        <f>SUMIF('JKP-8.5 - CNSMREQP_GASMTRCTR'!$A$2:$A$391,'JKP-8.5 - Total Costs'!A38,'JKP-8.5 - CNSMREQP_GASMTRCTR'!$F$2:$F$391)-SUMIF('JKP-8.5 - Migrated From'!$A$2:$A$22,'JKP-8.5 - Total Costs'!A38,'JKP-8.5 - Migrated From'!$F$2:$F$22)+SUMIF('JKP-8.5 - Migrated To'!$A$2:$A$22,'JKP-8.5 - Total Costs'!A38,'JKP-8.5 - Migrated To'!$F$2:$F$22)</f>
        <v>33</v>
      </c>
      <c r="G38" s="1141">
        <f>SUMIF('JKP-8.5 - CNSMREQP_GASMTRCTR'!$A$2:$A$391,'JKP-8.5 - Total Costs'!B38,'JKP-8.5 - CNSMREQP_GASMTRCTR'!$F$2:$F$391)-SUMIF('JKP-8.5 - Migrated From'!$A$2:$A$22,'JKP-8.5 - Total Costs'!B38,'JKP-8.5 - Migrated From'!$F$2:$F$22)+SUMIF('JKP-8.5 - Migrated To'!$A$2:$A$22,'JKP-8.5 - Total Costs'!B38,'JKP-8.5 - Migrated To'!$F$2:$F$22)</f>
        <v>0</v>
      </c>
      <c r="H38" s="1142">
        <f t="shared" si="2"/>
        <v>33</v>
      </c>
      <c r="I38" s="1143">
        <f>VLOOKUP($E38,'JKP-8.5 - Unit Costs'!$A$9:$H$33,2,FALSE)</f>
        <v>141.83000000000001</v>
      </c>
      <c r="J38" s="1143">
        <f>VLOOKUP($E38,'JKP-8.5 - Unit Costs'!$A$9:$H$33,5,FALSE)</f>
        <v>92.480000000000018</v>
      </c>
      <c r="K38" s="1143">
        <f>VLOOKUP($E38,'JKP-8.5 - Unit Costs'!$A$9:$H$33,3,FALSE)</f>
        <v>41.76</v>
      </c>
      <c r="L38" s="1143">
        <f>VLOOKUP($E38,'JKP-8.5 - Unit Costs'!$A$9:$H$33,6,FALSE)</f>
        <v>41.76</v>
      </c>
      <c r="M38" s="1143">
        <f>VLOOKUP($E38,'JKP-8.5 - Unit Costs'!$A$9:$H$33,8,FALSE)</f>
        <v>0</v>
      </c>
      <c r="N38" s="1143">
        <f>VLOOKUP($E38,'JKP-8.5 - Unit Costs'!$A$9:$H$33,8,FALSE)</f>
        <v>0</v>
      </c>
      <c r="O38" s="1144">
        <f t="shared" si="3"/>
        <v>4680.3900000000003</v>
      </c>
      <c r="P38" s="1144">
        <f t="shared" si="3"/>
        <v>0</v>
      </c>
      <c r="Q38" s="1144">
        <f t="shared" si="4"/>
        <v>4680.3900000000003</v>
      </c>
      <c r="R38" s="1144">
        <f t="shared" si="5"/>
        <v>1378.08</v>
      </c>
      <c r="S38" s="1144">
        <f t="shared" si="5"/>
        <v>0</v>
      </c>
      <c r="T38" s="1144">
        <f t="shared" si="6"/>
        <v>1378.08</v>
      </c>
      <c r="U38" s="1144">
        <f t="shared" si="7"/>
        <v>0</v>
      </c>
      <c r="V38" s="1144">
        <f t="shared" si="7"/>
        <v>0</v>
      </c>
      <c r="W38" s="1145">
        <f t="shared" si="8"/>
        <v>0</v>
      </c>
    </row>
    <row r="39" spans="1:23" x14ac:dyDescent="0.2">
      <c r="A39" s="1140" t="str">
        <f t="shared" si="0"/>
        <v>23G-NR 425 AMR</v>
      </c>
      <c r="B39" s="1140" t="str">
        <f t="shared" si="1"/>
        <v xml:space="preserve">23G-NR 425 </v>
      </c>
      <c r="C39" s="1140" t="s">
        <v>930</v>
      </c>
      <c r="D39" s="1140" t="s">
        <v>933</v>
      </c>
      <c r="E39" s="1140">
        <v>425</v>
      </c>
      <c r="F39" s="1141">
        <f>SUMIF('JKP-8.5 - CNSMREQP_GASMTRCTR'!$A$2:$A$391,'JKP-8.5 - Total Costs'!A39,'JKP-8.5 - CNSMREQP_GASMTRCTR'!$F$2:$F$391)-SUMIF('JKP-8.5 - Migrated From'!$A$2:$A$22,'JKP-8.5 - Total Costs'!A39,'JKP-8.5 - Migrated From'!$F$2:$F$22)+SUMIF('JKP-8.5 - Migrated To'!$A$2:$A$22,'JKP-8.5 - Total Costs'!A39,'JKP-8.5 - Migrated To'!$F$2:$F$22)</f>
        <v>266</v>
      </c>
      <c r="G39" s="1141">
        <f>SUMIF('JKP-8.5 - CNSMREQP_GASMTRCTR'!$A$2:$A$391,'JKP-8.5 - Total Costs'!B39,'JKP-8.5 - CNSMREQP_GASMTRCTR'!$F$2:$F$391)-SUMIF('JKP-8.5 - Migrated From'!$A$2:$A$22,'JKP-8.5 - Total Costs'!B39,'JKP-8.5 - Migrated From'!$F$2:$F$22)+SUMIF('JKP-8.5 - Migrated To'!$A$2:$A$22,'JKP-8.5 - Total Costs'!B39,'JKP-8.5 - Migrated To'!$F$2:$F$22)</f>
        <v>0</v>
      </c>
      <c r="H39" s="1142">
        <f t="shared" si="2"/>
        <v>266</v>
      </c>
      <c r="I39" s="1143">
        <f>VLOOKUP($E39,'JKP-8.5 - Unit Costs'!$A$9:$H$33,2,FALSE)</f>
        <v>462.02000000000004</v>
      </c>
      <c r="J39" s="1143">
        <f>VLOOKUP($E39,'JKP-8.5 - Unit Costs'!$A$9:$H$33,5,FALSE)</f>
        <v>193.72</v>
      </c>
      <c r="K39" s="1143">
        <f>VLOOKUP($E39,'JKP-8.5 - Unit Costs'!$A$9:$H$33,3,FALSE)</f>
        <v>41.76</v>
      </c>
      <c r="L39" s="1143">
        <f>VLOOKUP($E39,'JKP-8.5 - Unit Costs'!$A$9:$H$33,6,FALSE)</f>
        <v>41.76</v>
      </c>
      <c r="M39" s="1143">
        <f>VLOOKUP($E39,'JKP-8.5 - Unit Costs'!$A$9:$H$33,8,FALSE)</f>
        <v>0</v>
      </c>
      <c r="N39" s="1143">
        <f>VLOOKUP($E39,'JKP-8.5 - Unit Costs'!$A$9:$H$33,8,FALSE)</f>
        <v>0</v>
      </c>
      <c r="O39" s="1144">
        <f t="shared" si="3"/>
        <v>122897.32</v>
      </c>
      <c r="P39" s="1144">
        <f t="shared" si="3"/>
        <v>0</v>
      </c>
      <c r="Q39" s="1144">
        <f t="shared" si="4"/>
        <v>122897.32</v>
      </c>
      <c r="R39" s="1144">
        <f t="shared" si="5"/>
        <v>11108.16</v>
      </c>
      <c r="S39" s="1144">
        <f t="shared" si="5"/>
        <v>0</v>
      </c>
      <c r="T39" s="1144">
        <f t="shared" si="6"/>
        <v>11108.16</v>
      </c>
      <c r="U39" s="1144">
        <f t="shared" si="7"/>
        <v>0</v>
      </c>
      <c r="V39" s="1144">
        <f t="shared" si="7"/>
        <v>0</v>
      </c>
      <c r="W39" s="1145">
        <f t="shared" si="8"/>
        <v>0</v>
      </c>
    </row>
    <row r="40" spans="1:23" x14ac:dyDescent="0.2">
      <c r="A40" s="1140" t="str">
        <f t="shared" si="0"/>
        <v>23G-NR 1000 AMR</v>
      </c>
      <c r="B40" s="1140" t="str">
        <f t="shared" si="1"/>
        <v xml:space="preserve">23G-NR 1000 </v>
      </c>
      <c r="C40" s="1140" t="s">
        <v>930</v>
      </c>
      <c r="D40" s="1140" t="s">
        <v>933</v>
      </c>
      <c r="E40" s="1140">
        <v>1000</v>
      </c>
      <c r="F40" s="1141">
        <f>SUMIF('JKP-8.5 - CNSMREQP_GASMTRCTR'!$A$2:$A$391,'JKP-8.5 - Total Costs'!A40,'JKP-8.5 - CNSMREQP_GASMTRCTR'!$F$2:$F$391)-SUMIF('JKP-8.5 - Migrated From'!$A$2:$A$22,'JKP-8.5 - Total Costs'!A40,'JKP-8.5 - Migrated From'!$F$2:$F$22)+SUMIF('JKP-8.5 - Migrated To'!$A$2:$A$22,'JKP-8.5 - Total Costs'!A40,'JKP-8.5 - Migrated To'!$F$2:$F$22)</f>
        <v>48</v>
      </c>
      <c r="G40" s="1141">
        <f>SUMIF('JKP-8.5 - CNSMREQP_GASMTRCTR'!$A$2:$A$391,'JKP-8.5 - Total Costs'!B40,'JKP-8.5 - CNSMREQP_GASMTRCTR'!$F$2:$F$391)-SUMIF('JKP-8.5 - Migrated From'!$A$2:$A$22,'JKP-8.5 - Total Costs'!B40,'JKP-8.5 - Migrated From'!$F$2:$F$22)+SUMIF('JKP-8.5 - Migrated To'!$A$2:$A$22,'JKP-8.5 - Total Costs'!B40,'JKP-8.5 - Migrated To'!$F$2:$F$22)</f>
        <v>2</v>
      </c>
      <c r="H40" s="1142">
        <f t="shared" si="2"/>
        <v>50</v>
      </c>
      <c r="I40" s="1143">
        <f>VLOOKUP($E40,'JKP-8.5 - Unit Costs'!$A$9:$H$33,2,FALSE)</f>
        <v>1404.86</v>
      </c>
      <c r="J40" s="1143">
        <f>VLOOKUP($E40,'JKP-8.5 - Unit Costs'!$A$9:$H$33,5,FALSE)</f>
        <v>1063.1500000000001</v>
      </c>
      <c r="K40" s="1143">
        <f>VLOOKUP($E40,'JKP-8.5 - Unit Costs'!$A$9:$H$33,3,FALSE)</f>
        <v>41.76</v>
      </c>
      <c r="L40" s="1143">
        <f>VLOOKUP($E40,'JKP-8.5 - Unit Costs'!$A$9:$H$33,6,FALSE)</f>
        <v>41.76</v>
      </c>
      <c r="M40" s="1143">
        <f>VLOOKUP($E40,'JKP-8.5 - Unit Costs'!$A$9:$H$33,8,FALSE)</f>
        <v>0</v>
      </c>
      <c r="N40" s="1143">
        <f>VLOOKUP($E40,'JKP-8.5 - Unit Costs'!$A$9:$H$33,8,FALSE)</f>
        <v>0</v>
      </c>
      <c r="O40" s="1144">
        <f t="shared" si="3"/>
        <v>67433.279999999999</v>
      </c>
      <c r="P40" s="1144">
        <f t="shared" si="3"/>
        <v>2126.3000000000002</v>
      </c>
      <c r="Q40" s="1144">
        <f t="shared" si="4"/>
        <v>69559.58</v>
      </c>
      <c r="R40" s="1144">
        <f t="shared" si="5"/>
        <v>2004.48</v>
      </c>
      <c r="S40" s="1144">
        <f t="shared" si="5"/>
        <v>83.52</v>
      </c>
      <c r="T40" s="1144">
        <f t="shared" si="6"/>
        <v>2088</v>
      </c>
      <c r="U40" s="1144">
        <f t="shared" si="7"/>
        <v>0</v>
      </c>
      <c r="V40" s="1144">
        <f t="shared" si="7"/>
        <v>0</v>
      </c>
      <c r="W40" s="1145">
        <f t="shared" si="8"/>
        <v>0</v>
      </c>
    </row>
    <row r="41" spans="1:23" x14ac:dyDescent="0.2">
      <c r="A41" s="1140" t="str">
        <f t="shared" si="0"/>
        <v>23G-NR 3000 AMR</v>
      </c>
      <c r="B41" s="1140" t="str">
        <f t="shared" si="1"/>
        <v xml:space="preserve">23G-NR 3000 </v>
      </c>
      <c r="C41" s="1140" t="s">
        <v>930</v>
      </c>
      <c r="D41" s="1140" t="s">
        <v>933</v>
      </c>
      <c r="E41" s="1140">
        <v>3000</v>
      </c>
      <c r="F41" s="1141">
        <f>SUMIF('JKP-8.5 - CNSMREQP_GASMTRCTR'!$A$2:$A$391,'JKP-8.5 - Total Costs'!A41,'JKP-8.5 - CNSMREQP_GASMTRCTR'!$F$2:$F$391)-SUMIF('JKP-8.5 - Migrated From'!$A$2:$A$22,'JKP-8.5 - Total Costs'!A41,'JKP-8.5 - Migrated From'!$F$2:$F$22)+SUMIF('JKP-8.5 - Migrated To'!$A$2:$A$22,'JKP-8.5 - Total Costs'!A41,'JKP-8.5 - Migrated To'!$F$2:$F$22)</f>
        <v>2</v>
      </c>
      <c r="G41" s="1141">
        <f>SUMIF('JKP-8.5 - CNSMREQP_GASMTRCTR'!$A$2:$A$391,'JKP-8.5 - Total Costs'!B41,'JKP-8.5 - CNSMREQP_GASMTRCTR'!$F$2:$F$391)-SUMIF('JKP-8.5 - Migrated From'!$A$2:$A$22,'JKP-8.5 - Total Costs'!B41,'JKP-8.5 - Migrated From'!$F$2:$F$22)+SUMIF('JKP-8.5 - Migrated To'!$A$2:$A$22,'JKP-8.5 - Total Costs'!B41,'JKP-8.5 - Migrated To'!$F$2:$F$22)</f>
        <v>1</v>
      </c>
      <c r="H41" s="1142">
        <f t="shared" si="2"/>
        <v>3</v>
      </c>
      <c r="I41" s="1143">
        <f>VLOOKUP($E41,'JKP-8.5 - Unit Costs'!$A$9:$H$33,2,FALSE)</f>
        <v>0</v>
      </c>
      <c r="J41" s="1143">
        <f>VLOOKUP($E41,'JKP-8.5 - Unit Costs'!$A$9:$H$33,5,FALSE)</f>
        <v>0</v>
      </c>
      <c r="K41" s="1143">
        <f>VLOOKUP($E41,'JKP-8.5 - Unit Costs'!$A$9:$H$33,3,FALSE)</f>
        <v>0</v>
      </c>
      <c r="L41" s="1143">
        <f>VLOOKUP($E41,'JKP-8.5 - Unit Costs'!$A$9:$H$33,6,FALSE)</f>
        <v>0</v>
      </c>
      <c r="M41" s="1143">
        <f>VLOOKUP($E41,'JKP-8.5 - Unit Costs'!$A$9:$H$33,8,FALSE)</f>
        <v>3406.19</v>
      </c>
      <c r="N41" s="1143">
        <f>VLOOKUP($E41,'JKP-8.5 - Unit Costs'!$A$9:$H$33,8,FALSE)</f>
        <v>3406.19</v>
      </c>
      <c r="O41" s="1144">
        <f t="shared" si="3"/>
        <v>0</v>
      </c>
      <c r="P41" s="1144">
        <f t="shared" si="3"/>
        <v>0</v>
      </c>
      <c r="Q41" s="1144">
        <f t="shared" si="4"/>
        <v>0</v>
      </c>
      <c r="R41" s="1144">
        <f t="shared" si="5"/>
        <v>0</v>
      </c>
      <c r="S41" s="1144">
        <f t="shared" si="5"/>
        <v>0</v>
      </c>
      <c r="T41" s="1144">
        <f t="shared" si="6"/>
        <v>0</v>
      </c>
      <c r="U41" s="1144">
        <f t="shared" si="7"/>
        <v>6812.38</v>
      </c>
      <c r="V41" s="1144">
        <f t="shared" si="7"/>
        <v>3406.19</v>
      </c>
      <c r="W41" s="1145">
        <f t="shared" si="8"/>
        <v>10218.57</v>
      </c>
    </row>
    <row r="42" spans="1:23" x14ac:dyDescent="0.2">
      <c r="A42" s="1140" t="str">
        <f t="shared" si="0"/>
        <v>23G-NS 175 AMR</v>
      </c>
      <c r="B42" s="1140" t="str">
        <f t="shared" si="1"/>
        <v xml:space="preserve">23G-NS 175 </v>
      </c>
      <c r="C42" s="1140" t="s">
        <v>930</v>
      </c>
      <c r="D42" s="1140" t="s">
        <v>934</v>
      </c>
      <c r="E42" s="1140">
        <v>175</v>
      </c>
      <c r="F42" s="1141">
        <f>SUMIF('JKP-8.5 - CNSMREQP_GASMTRCTR'!$A$2:$A$391,'JKP-8.5 - Total Costs'!A42,'JKP-8.5 - CNSMREQP_GASMTRCTR'!$F$2:$F$391)-SUMIF('JKP-8.5 - Migrated From'!$A$2:$A$22,'JKP-8.5 - Total Costs'!A42,'JKP-8.5 - Migrated From'!$F$2:$F$22)+SUMIF('JKP-8.5 - Migrated To'!$A$2:$A$22,'JKP-8.5 - Total Costs'!A42,'JKP-8.5 - Migrated To'!$F$2:$F$22)</f>
        <v>2</v>
      </c>
      <c r="G42" s="1141">
        <f>SUMIF('JKP-8.5 - CNSMREQP_GASMTRCTR'!$A$2:$A$391,'JKP-8.5 - Total Costs'!B42,'JKP-8.5 - CNSMREQP_GASMTRCTR'!$F$2:$F$391)-SUMIF('JKP-8.5 - Migrated From'!$A$2:$A$22,'JKP-8.5 - Total Costs'!B42,'JKP-8.5 - Migrated From'!$F$2:$F$22)+SUMIF('JKP-8.5 - Migrated To'!$A$2:$A$22,'JKP-8.5 - Total Costs'!B42,'JKP-8.5 - Migrated To'!$F$2:$F$22)</f>
        <v>0</v>
      </c>
      <c r="H42" s="1142">
        <f t="shared" si="2"/>
        <v>2</v>
      </c>
      <c r="I42" s="1143">
        <f>VLOOKUP($E42,'JKP-8.5 - Unit Costs'!$A$9:$H$33,2,FALSE)</f>
        <v>141.83000000000001</v>
      </c>
      <c r="J42" s="1143">
        <f>VLOOKUP($E42,'JKP-8.5 - Unit Costs'!$A$9:$H$33,5,FALSE)</f>
        <v>92.480000000000018</v>
      </c>
      <c r="K42" s="1143">
        <f>VLOOKUP($E42,'JKP-8.5 - Unit Costs'!$A$9:$H$33,3,FALSE)</f>
        <v>41.76</v>
      </c>
      <c r="L42" s="1143">
        <f>VLOOKUP($E42,'JKP-8.5 - Unit Costs'!$A$9:$H$33,6,FALSE)</f>
        <v>41.76</v>
      </c>
      <c r="M42" s="1143">
        <f>VLOOKUP($E42,'JKP-8.5 - Unit Costs'!$A$9:$H$33,8,FALSE)</f>
        <v>0</v>
      </c>
      <c r="N42" s="1143">
        <f>VLOOKUP($E42,'JKP-8.5 - Unit Costs'!$A$9:$H$33,8,FALSE)</f>
        <v>0</v>
      </c>
      <c r="O42" s="1144">
        <f t="shared" si="3"/>
        <v>283.66000000000003</v>
      </c>
      <c r="P42" s="1144">
        <f t="shared" si="3"/>
        <v>0</v>
      </c>
      <c r="Q42" s="1144">
        <f t="shared" si="4"/>
        <v>283.66000000000003</v>
      </c>
      <c r="R42" s="1144">
        <f t="shared" si="5"/>
        <v>83.52</v>
      </c>
      <c r="S42" s="1144">
        <f t="shared" si="5"/>
        <v>0</v>
      </c>
      <c r="T42" s="1144">
        <f t="shared" si="6"/>
        <v>83.52</v>
      </c>
      <c r="U42" s="1144">
        <f t="shared" si="7"/>
        <v>0</v>
      </c>
      <c r="V42" s="1144">
        <f t="shared" si="7"/>
        <v>0</v>
      </c>
      <c r="W42" s="1145">
        <f t="shared" si="8"/>
        <v>0</v>
      </c>
    </row>
    <row r="43" spans="1:23" x14ac:dyDescent="0.2">
      <c r="A43" s="1140" t="str">
        <f t="shared" si="0"/>
        <v>23G-NS 250 AMR</v>
      </c>
      <c r="B43" s="1140" t="str">
        <f t="shared" si="1"/>
        <v xml:space="preserve">23G-NS 250 </v>
      </c>
      <c r="C43" s="1140" t="s">
        <v>930</v>
      </c>
      <c r="D43" s="1140" t="s">
        <v>934</v>
      </c>
      <c r="E43" s="1140">
        <v>250</v>
      </c>
      <c r="F43" s="1141">
        <f>SUMIF('JKP-8.5 - CNSMREQP_GASMTRCTR'!$A$2:$A$391,'JKP-8.5 - Total Costs'!A43,'JKP-8.5 - CNSMREQP_GASMTRCTR'!$F$2:$F$391)-SUMIF('JKP-8.5 - Migrated From'!$A$2:$A$22,'JKP-8.5 - Total Costs'!A43,'JKP-8.5 - Migrated From'!$F$2:$F$22)+SUMIF('JKP-8.5 - Migrated To'!$A$2:$A$22,'JKP-8.5 - Total Costs'!A43,'JKP-8.5 - Migrated To'!$F$2:$F$22)</f>
        <v>38</v>
      </c>
      <c r="G43" s="1141">
        <f>SUMIF('JKP-8.5 - CNSMREQP_GASMTRCTR'!$A$2:$A$391,'JKP-8.5 - Total Costs'!B43,'JKP-8.5 - CNSMREQP_GASMTRCTR'!$F$2:$F$391)-SUMIF('JKP-8.5 - Migrated From'!$A$2:$A$22,'JKP-8.5 - Total Costs'!B43,'JKP-8.5 - Migrated From'!$F$2:$F$22)+SUMIF('JKP-8.5 - Migrated To'!$A$2:$A$22,'JKP-8.5 - Total Costs'!B43,'JKP-8.5 - Migrated To'!$F$2:$F$22)</f>
        <v>0</v>
      </c>
      <c r="H43" s="1142">
        <f t="shared" si="2"/>
        <v>38</v>
      </c>
      <c r="I43" s="1143">
        <f>VLOOKUP($E43,'JKP-8.5 - Unit Costs'!$A$9:$H$33,2,FALSE)</f>
        <v>141.83000000000001</v>
      </c>
      <c r="J43" s="1143">
        <f>VLOOKUP($E43,'JKP-8.5 - Unit Costs'!$A$9:$H$33,5,FALSE)</f>
        <v>92.480000000000018</v>
      </c>
      <c r="K43" s="1143">
        <f>VLOOKUP($E43,'JKP-8.5 - Unit Costs'!$A$9:$H$33,3,FALSE)</f>
        <v>41.76</v>
      </c>
      <c r="L43" s="1143">
        <f>VLOOKUP($E43,'JKP-8.5 - Unit Costs'!$A$9:$H$33,6,FALSE)</f>
        <v>41.76</v>
      </c>
      <c r="M43" s="1143">
        <f>VLOOKUP($E43,'JKP-8.5 - Unit Costs'!$A$9:$H$33,8,FALSE)</f>
        <v>0</v>
      </c>
      <c r="N43" s="1143">
        <f>VLOOKUP($E43,'JKP-8.5 - Unit Costs'!$A$9:$H$33,8,FALSE)</f>
        <v>0</v>
      </c>
      <c r="O43" s="1144">
        <f t="shared" si="3"/>
        <v>5389.5400000000009</v>
      </c>
      <c r="P43" s="1144">
        <f t="shared" si="3"/>
        <v>0</v>
      </c>
      <c r="Q43" s="1144">
        <f t="shared" si="4"/>
        <v>5389.5400000000009</v>
      </c>
      <c r="R43" s="1144">
        <f t="shared" si="5"/>
        <v>1586.8799999999999</v>
      </c>
      <c r="S43" s="1144">
        <f t="shared" si="5"/>
        <v>0</v>
      </c>
      <c r="T43" s="1144">
        <f t="shared" si="6"/>
        <v>1586.8799999999999</v>
      </c>
      <c r="U43" s="1144">
        <f t="shared" si="7"/>
        <v>0</v>
      </c>
      <c r="V43" s="1144">
        <f t="shared" si="7"/>
        <v>0</v>
      </c>
      <c r="W43" s="1145">
        <f t="shared" si="8"/>
        <v>0</v>
      </c>
    </row>
    <row r="44" spans="1:23" x14ac:dyDescent="0.2">
      <c r="A44" s="1140" t="str">
        <f t="shared" si="0"/>
        <v>23G-NS 425 AMR</v>
      </c>
      <c r="B44" s="1140" t="str">
        <f t="shared" si="1"/>
        <v xml:space="preserve">23G-NS 425 </v>
      </c>
      <c r="C44" s="1140" t="s">
        <v>930</v>
      </c>
      <c r="D44" s="1140" t="s">
        <v>934</v>
      </c>
      <c r="E44" s="1140">
        <v>425</v>
      </c>
      <c r="F44" s="1141">
        <f>SUMIF('JKP-8.5 - CNSMREQP_GASMTRCTR'!$A$2:$A$391,'JKP-8.5 - Total Costs'!A44,'JKP-8.5 - CNSMREQP_GASMTRCTR'!$F$2:$F$391)-SUMIF('JKP-8.5 - Migrated From'!$A$2:$A$22,'JKP-8.5 - Total Costs'!A44,'JKP-8.5 - Migrated From'!$F$2:$F$22)+SUMIF('JKP-8.5 - Migrated To'!$A$2:$A$22,'JKP-8.5 - Total Costs'!A44,'JKP-8.5 - Migrated To'!$F$2:$F$22)</f>
        <v>173</v>
      </c>
      <c r="G44" s="1141">
        <f>SUMIF('JKP-8.5 - CNSMREQP_GASMTRCTR'!$A$2:$A$391,'JKP-8.5 - Total Costs'!B44,'JKP-8.5 - CNSMREQP_GASMTRCTR'!$F$2:$F$391)-SUMIF('JKP-8.5 - Migrated From'!$A$2:$A$22,'JKP-8.5 - Total Costs'!B44,'JKP-8.5 - Migrated From'!$F$2:$F$22)+SUMIF('JKP-8.5 - Migrated To'!$A$2:$A$22,'JKP-8.5 - Total Costs'!B44,'JKP-8.5 - Migrated To'!$F$2:$F$22)</f>
        <v>0</v>
      </c>
      <c r="H44" s="1142">
        <f t="shared" si="2"/>
        <v>173</v>
      </c>
      <c r="I44" s="1143">
        <f>VLOOKUP($E44,'JKP-8.5 - Unit Costs'!$A$9:$H$33,2,FALSE)</f>
        <v>462.02000000000004</v>
      </c>
      <c r="J44" s="1143">
        <f>VLOOKUP($E44,'JKP-8.5 - Unit Costs'!$A$9:$H$33,5,FALSE)</f>
        <v>193.72</v>
      </c>
      <c r="K44" s="1143">
        <f>VLOOKUP($E44,'JKP-8.5 - Unit Costs'!$A$9:$H$33,3,FALSE)</f>
        <v>41.76</v>
      </c>
      <c r="L44" s="1143">
        <f>VLOOKUP($E44,'JKP-8.5 - Unit Costs'!$A$9:$H$33,6,FALSE)</f>
        <v>41.76</v>
      </c>
      <c r="M44" s="1143">
        <f>VLOOKUP($E44,'JKP-8.5 - Unit Costs'!$A$9:$H$33,8,FALSE)</f>
        <v>0</v>
      </c>
      <c r="N44" s="1143">
        <f>VLOOKUP($E44,'JKP-8.5 - Unit Costs'!$A$9:$H$33,8,FALSE)</f>
        <v>0</v>
      </c>
      <c r="O44" s="1144">
        <f t="shared" si="3"/>
        <v>79929.460000000006</v>
      </c>
      <c r="P44" s="1144">
        <f t="shared" si="3"/>
        <v>0</v>
      </c>
      <c r="Q44" s="1144">
        <f t="shared" si="4"/>
        <v>79929.460000000006</v>
      </c>
      <c r="R44" s="1144">
        <f t="shared" si="5"/>
        <v>7224.48</v>
      </c>
      <c r="S44" s="1144">
        <f t="shared" si="5"/>
        <v>0</v>
      </c>
      <c r="T44" s="1144">
        <f t="shared" si="6"/>
        <v>7224.48</v>
      </c>
      <c r="U44" s="1144">
        <f t="shared" si="7"/>
        <v>0</v>
      </c>
      <c r="V44" s="1144">
        <f t="shared" si="7"/>
        <v>0</v>
      </c>
      <c r="W44" s="1145">
        <f t="shared" si="8"/>
        <v>0</v>
      </c>
    </row>
    <row r="45" spans="1:23" x14ac:dyDescent="0.2">
      <c r="A45" s="1140" t="str">
        <f t="shared" si="0"/>
        <v>23G-NS 800 AMR</v>
      </c>
      <c r="B45" s="1140" t="str">
        <f t="shared" si="1"/>
        <v xml:space="preserve">23G-NS 800 </v>
      </c>
      <c r="C45" s="1140" t="s">
        <v>930</v>
      </c>
      <c r="D45" s="1140" t="s">
        <v>934</v>
      </c>
      <c r="E45" s="1140">
        <v>800</v>
      </c>
      <c r="F45" s="1141">
        <f>SUMIF('JKP-8.5 - CNSMREQP_GASMTRCTR'!$A$2:$A$391,'JKP-8.5 - Total Costs'!A45,'JKP-8.5 - CNSMREQP_GASMTRCTR'!$F$2:$F$391)-SUMIF('JKP-8.5 - Migrated From'!$A$2:$A$22,'JKP-8.5 - Total Costs'!A45,'JKP-8.5 - Migrated From'!$F$2:$F$22)+SUMIF('JKP-8.5 - Migrated To'!$A$2:$A$22,'JKP-8.5 - Total Costs'!A45,'JKP-8.5 - Migrated To'!$F$2:$F$22)</f>
        <v>1</v>
      </c>
      <c r="G45" s="1141">
        <f>SUMIF('JKP-8.5 - CNSMREQP_GASMTRCTR'!$A$2:$A$391,'JKP-8.5 - Total Costs'!B45,'JKP-8.5 - CNSMREQP_GASMTRCTR'!$F$2:$F$391)-SUMIF('JKP-8.5 - Migrated From'!$A$2:$A$22,'JKP-8.5 - Total Costs'!B45,'JKP-8.5 - Migrated From'!$F$2:$F$22)+SUMIF('JKP-8.5 - Migrated To'!$A$2:$A$22,'JKP-8.5 - Total Costs'!B45,'JKP-8.5 - Migrated To'!$F$2:$F$22)</f>
        <v>0</v>
      </c>
      <c r="H45" s="1142">
        <f t="shared" si="2"/>
        <v>1</v>
      </c>
      <c r="I45" s="1143">
        <f>VLOOKUP($E45,'JKP-8.5 - Unit Costs'!$A$9:$H$33,2,FALSE)</f>
        <v>1404.86</v>
      </c>
      <c r="J45" s="1143">
        <f>VLOOKUP($E45,'JKP-8.5 - Unit Costs'!$A$9:$H$33,5,FALSE)</f>
        <v>1063.1500000000001</v>
      </c>
      <c r="K45" s="1143">
        <f>VLOOKUP($E45,'JKP-8.5 - Unit Costs'!$A$9:$H$33,3,FALSE)</f>
        <v>41.76</v>
      </c>
      <c r="L45" s="1143">
        <f>VLOOKUP($E45,'JKP-8.5 - Unit Costs'!$A$9:$H$33,6,FALSE)</f>
        <v>41.76</v>
      </c>
      <c r="M45" s="1143">
        <f>VLOOKUP($E45,'JKP-8.5 - Unit Costs'!$A$9:$H$33,8,FALSE)</f>
        <v>0</v>
      </c>
      <c r="N45" s="1143">
        <f>VLOOKUP($E45,'JKP-8.5 - Unit Costs'!$A$9:$H$33,8,FALSE)</f>
        <v>0</v>
      </c>
      <c r="O45" s="1144">
        <f t="shared" si="3"/>
        <v>1404.86</v>
      </c>
      <c r="P45" s="1144">
        <f t="shared" si="3"/>
        <v>0</v>
      </c>
      <c r="Q45" s="1144">
        <f t="shared" si="4"/>
        <v>1404.86</v>
      </c>
      <c r="R45" s="1144">
        <f t="shared" si="5"/>
        <v>41.76</v>
      </c>
      <c r="S45" s="1144">
        <f t="shared" si="5"/>
        <v>0</v>
      </c>
      <c r="T45" s="1144">
        <f t="shared" si="6"/>
        <v>41.76</v>
      </c>
      <c r="U45" s="1144">
        <f t="shared" si="7"/>
        <v>0</v>
      </c>
      <c r="V45" s="1144">
        <f t="shared" si="7"/>
        <v>0</v>
      </c>
      <c r="W45" s="1145">
        <f t="shared" si="8"/>
        <v>0</v>
      </c>
    </row>
    <row r="46" spans="1:23" x14ac:dyDescent="0.2">
      <c r="A46" s="1140" t="str">
        <f t="shared" si="0"/>
        <v>23G-NS 1000 AMR</v>
      </c>
      <c r="B46" s="1140" t="str">
        <f t="shared" si="1"/>
        <v xml:space="preserve">23G-NS 1000 </v>
      </c>
      <c r="C46" s="1126" t="s">
        <v>930</v>
      </c>
      <c r="D46" s="1126" t="s">
        <v>934</v>
      </c>
      <c r="E46" s="1126">
        <v>1000</v>
      </c>
      <c r="F46" s="1141">
        <f>SUMIF('JKP-8.5 - CNSMREQP_GASMTRCTR'!$A$2:$A$391,'JKP-8.5 - Total Costs'!A46,'JKP-8.5 - CNSMREQP_GASMTRCTR'!$F$2:$F$391)-SUMIF('JKP-8.5 - Migrated From'!$A$2:$A$22,'JKP-8.5 - Total Costs'!A46,'JKP-8.5 - Migrated From'!$F$2:$F$22)+SUMIF('JKP-8.5 - Migrated To'!$A$2:$A$22,'JKP-8.5 - Total Costs'!A46,'JKP-8.5 - Migrated To'!$F$2:$F$22)</f>
        <v>71</v>
      </c>
      <c r="G46" s="1141">
        <f>SUMIF('JKP-8.5 - CNSMREQP_GASMTRCTR'!$A$2:$A$391,'JKP-8.5 - Total Costs'!B46,'JKP-8.5 - CNSMREQP_GASMTRCTR'!$F$2:$F$391)-SUMIF('JKP-8.5 - Migrated From'!$A$2:$A$22,'JKP-8.5 - Total Costs'!B46,'JKP-8.5 - Migrated From'!$F$2:$F$22)+SUMIF('JKP-8.5 - Migrated To'!$A$2:$A$22,'JKP-8.5 - Total Costs'!B46,'JKP-8.5 - Migrated To'!$F$2:$F$22)</f>
        <v>2</v>
      </c>
      <c r="H46" s="1142">
        <f t="shared" si="2"/>
        <v>73</v>
      </c>
      <c r="I46" s="1143">
        <f>VLOOKUP($E46,'JKP-8.5 - Unit Costs'!$A$9:$H$33,2,FALSE)</f>
        <v>1404.86</v>
      </c>
      <c r="J46" s="1143">
        <f>VLOOKUP($E46,'JKP-8.5 - Unit Costs'!$A$9:$H$33,5,FALSE)</f>
        <v>1063.1500000000001</v>
      </c>
      <c r="K46" s="1143">
        <f>VLOOKUP($E46,'JKP-8.5 - Unit Costs'!$A$9:$H$33,3,FALSE)</f>
        <v>41.76</v>
      </c>
      <c r="L46" s="1143">
        <f>VLOOKUP($E46,'JKP-8.5 - Unit Costs'!$A$9:$H$33,6,FALSE)</f>
        <v>41.76</v>
      </c>
      <c r="M46" s="1143">
        <f>VLOOKUP($E46,'JKP-8.5 - Unit Costs'!$A$9:$H$33,8,FALSE)</f>
        <v>0</v>
      </c>
      <c r="N46" s="1143">
        <f>VLOOKUP($E46,'JKP-8.5 - Unit Costs'!$A$9:$H$33,8,FALSE)</f>
        <v>0</v>
      </c>
      <c r="O46" s="1144">
        <f t="shared" si="3"/>
        <v>99745.06</v>
      </c>
      <c r="P46" s="1144">
        <f t="shared" si="3"/>
        <v>2126.3000000000002</v>
      </c>
      <c r="Q46" s="1144">
        <f t="shared" si="4"/>
        <v>101871.36</v>
      </c>
      <c r="R46" s="1144">
        <f t="shared" si="5"/>
        <v>2964.96</v>
      </c>
      <c r="S46" s="1144">
        <f t="shared" si="5"/>
        <v>83.52</v>
      </c>
      <c r="T46" s="1144">
        <f t="shared" si="6"/>
        <v>3048.48</v>
      </c>
      <c r="U46" s="1144">
        <f t="shared" si="7"/>
        <v>0</v>
      </c>
      <c r="V46" s="1144">
        <f t="shared" si="7"/>
        <v>0</v>
      </c>
      <c r="W46" s="1145">
        <f t="shared" si="8"/>
        <v>0</v>
      </c>
    </row>
    <row r="47" spans="1:23" x14ac:dyDescent="0.2">
      <c r="A47" s="1140" t="str">
        <f t="shared" si="0"/>
        <v>31G-C 175 AMR</v>
      </c>
      <c r="B47" s="1140" t="str">
        <f t="shared" si="1"/>
        <v xml:space="preserve">31G-C 175 </v>
      </c>
      <c r="C47" s="1140" t="s">
        <v>1854</v>
      </c>
      <c r="D47" s="1140" t="s">
        <v>901</v>
      </c>
      <c r="E47" s="1140">
        <v>175</v>
      </c>
      <c r="F47" s="1141">
        <f>SUMIF('JKP-8.5 - CNSMREQP_GASMTRCTR'!$A$2:$A$391,'JKP-8.5 - Total Costs'!A47,'JKP-8.5 - CNSMREQP_GASMTRCTR'!$F$2:$F$391)-SUMIF('JKP-8.5 - Migrated From'!$A$2:$A$22,'JKP-8.5 - Total Costs'!A47,'JKP-8.5 - Migrated From'!$F$2:$F$22)+SUMIF('JKP-8.5 - Migrated To'!$A$2:$A$22,'JKP-8.5 - Total Costs'!A47,'JKP-8.5 - Migrated To'!$F$2:$F$22)</f>
        <v>3478</v>
      </c>
      <c r="G47" s="1141">
        <f>SUMIF('JKP-8.5 - CNSMREQP_GASMTRCTR'!$A$2:$A$391,'JKP-8.5 - Total Costs'!B47,'JKP-8.5 - CNSMREQP_GASMTRCTR'!$F$2:$F$391)-SUMIF('JKP-8.5 - Migrated From'!$A$2:$A$22,'JKP-8.5 - Total Costs'!B47,'JKP-8.5 - Migrated From'!$F$2:$F$22)+SUMIF('JKP-8.5 - Migrated To'!$A$2:$A$22,'JKP-8.5 - Total Costs'!B47,'JKP-8.5 - Migrated To'!$F$2:$F$22)</f>
        <v>9</v>
      </c>
      <c r="H47" s="1142">
        <f t="shared" si="2"/>
        <v>3487</v>
      </c>
      <c r="I47" s="1143">
        <f>VLOOKUP($E47,'JKP-8.5 - Unit Costs'!$A$9:$H$33,2,FALSE)</f>
        <v>141.83000000000001</v>
      </c>
      <c r="J47" s="1143">
        <f>VLOOKUP($E47,'JKP-8.5 - Unit Costs'!$A$9:$H$33,5,FALSE)</f>
        <v>92.480000000000018</v>
      </c>
      <c r="K47" s="1143">
        <f>VLOOKUP($E47,'JKP-8.5 - Unit Costs'!$A$9:$H$33,3,FALSE)</f>
        <v>41.76</v>
      </c>
      <c r="L47" s="1143">
        <f>VLOOKUP($E47,'JKP-8.5 - Unit Costs'!$A$9:$H$33,6,FALSE)</f>
        <v>41.76</v>
      </c>
      <c r="M47" s="1143">
        <f>VLOOKUP($E47,'JKP-8.5 - Unit Costs'!$A$9:$H$33,8,FALSE)</f>
        <v>0</v>
      </c>
      <c r="N47" s="1143">
        <f>VLOOKUP($E47,'JKP-8.5 - Unit Costs'!$A$9:$H$33,8,FALSE)</f>
        <v>0</v>
      </c>
      <c r="O47" s="1144">
        <f t="shared" si="3"/>
        <v>493284.74000000005</v>
      </c>
      <c r="P47" s="1144">
        <f t="shared" si="3"/>
        <v>832.32000000000016</v>
      </c>
      <c r="Q47" s="1144">
        <f t="shared" si="4"/>
        <v>494117.06000000006</v>
      </c>
      <c r="R47" s="1144">
        <f t="shared" si="5"/>
        <v>145241.28</v>
      </c>
      <c r="S47" s="1144">
        <f t="shared" si="5"/>
        <v>375.84</v>
      </c>
      <c r="T47" s="1144">
        <f t="shared" si="6"/>
        <v>145617.12</v>
      </c>
      <c r="U47" s="1144">
        <f t="shared" si="7"/>
        <v>0</v>
      </c>
      <c r="V47" s="1144">
        <f t="shared" si="7"/>
        <v>0</v>
      </c>
      <c r="W47" s="1145">
        <f t="shared" si="8"/>
        <v>0</v>
      </c>
    </row>
    <row r="48" spans="1:23" x14ac:dyDescent="0.2">
      <c r="A48" s="1140" t="str">
        <f t="shared" si="0"/>
        <v>31G-C 200 AMR</v>
      </c>
      <c r="B48" s="1140" t="str">
        <f t="shared" si="1"/>
        <v xml:space="preserve">31G-C 200 </v>
      </c>
      <c r="C48" s="1140" t="s">
        <v>1854</v>
      </c>
      <c r="D48" s="1140" t="s">
        <v>901</v>
      </c>
      <c r="E48" s="1140">
        <v>200</v>
      </c>
      <c r="F48" s="1141">
        <f>SUMIF('JKP-8.5 - CNSMREQP_GASMTRCTR'!$A$2:$A$391,'JKP-8.5 - Total Costs'!A48,'JKP-8.5 - CNSMREQP_GASMTRCTR'!$F$2:$F$391)-SUMIF('JKP-8.5 - Migrated From'!$A$2:$A$22,'JKP-8.5 - Total Costs'!A48,'JKP-8.5 - Migrated From'!$F$2:$F$22)+SUMIF('JKP-8.5 - Migrated To'!$A$2:$A$22,'JKP-8.5 - Total Costs'!A48,'JKP-8.5 - Migrated To'!$F$2:$F$22)</f>
        <v>912</v>
      </c>
      <c r="G48" s="1141">
        <f>SUMIF('JKP-8.5 - CNSMREQP_GASMTRCTR'!$A$2:$A$391,'JKP-8.5 - Total Costs'!B48,'JKP-8.5 - CNSMREQP_GASMTRCTR'!$F$2:$F$391)-SUMIF('JKP-8.5 - Migrated From'!$A$2:$A$22,'JKP-8.5 - Total Costs'!B48,'JKP-8.5 - Migrated From'!$F$2:$F$22)+SUMIF('JKP-8.5 - Migrated To'!$A$2:$A$22,'JKP-8.5 - Total Costs'!B48,'JKP-8.5 - Migrated To'!$F$2:$F$22)</f>
        <v>1</v>
      </c>
      <c r="H48" s="1142">
        <f t="shared" si="2"/>
        <v>913</v>
      </c>
      <c r="I48" s="1143">
        <f>VLOOKUP($E48,'JKP-8.5 - Unit Costs'!$A$9:$H$33,2,FALSE)</f>
        <v>141.83000000000001</v>
      </c>
      <c r="J48" s="1143">
        <f>VLOOKUP($E48,'JKP-8.5 - Unit Costs'!$A$9:$H$33,5,FALSE)</f>
        <v>92.480000000000018</v>
      </c>
      <c r="K48" s="1143">
        <f>VLOOKUP($E48,'JKP-8.5 - Unit Costs'!$A$9:$H$33,3,FALSE)</f>
        <v>41.76</v>
      </c>
      <c r="L48" s="1143">
        <f>VLOOKUP($E48,'JKP-8.5 - Unit Costs'!$A$9:$H$33,6,FALSE)</f>
        <v>41.76</v>
      </c>
      <c r="M48" s="1143">
        <f>VLOOKUP($E48,'JKP-8.5 - Unit Costs'!$A$9:$H$33,8,FALSE)</f>
        <v>0</v>
      </c>
      <c r="N48" s="1143">
        <f>VLOOKUP($E48,'JKP-8.5 - Unit Costs'!$A$9:$H$33,8,FALSE)</f>
        <v>0</v>
      </c>
      <c r="O48" s="1144">
        <f t="shared" si="3"/>
        <v>129348.96</v>
      </c>
      <c r="P48" s="1144">
        <f t="shared" si="3"/>
        <v>92.480000000000018</v>
      </c>
      <c r="Q48" s="1144">
        <f t="shared" si="4"/>
        <v>129441.44</v>
      </c>
      <c r="R48" s="1144">
        <f t="shared" si="5"/>
        <v>38085.119999999995</v>
      </c>
      <c r="S48" s="1144">
        <f t="shared" si="5"/>
        <v>41.76</v>
      </c>
      <c r="T48" s="1144">
        <f t="shared" si="6"/>
        <v>38126.879999999997</v>
      </c>
      <c r="U48" s="1144">
        <f t="shared" si="7"/>
        <v>0</v>
      </c>
      <c r="V48" s="1144">
        <f t="shared" si="7"/>
        <v>0</v>
      </c>
      <c r="W48" s="1145">
        <f t="shared" si="8"/>
        <v>0</v>
      </c>
    </row>
    <row r="49" spans="1:23" x14ac:dyDescent="0.2">
      <c r="A49" s="1140" t="str">
        <f t="shared" si="0"/>
        <v>31G-C 250 AMR</v>
      </c>
      <c r="B49" s="1140" t="str">
        <f t="shared" si="1"/>
        <v xml:space="preserve">31G-C 250 </v>
      </c>
      <c r="C49" s="1140" t="s">
        <v>1854</v>
      </c>
      <c r="D49" s="1140" t="s">
        <v>901</v>
      </c>
      <c r="E49" s="1140">
        <v>250</v>
      </c>
      <c r="F49" s="1141">
        <f>SUMIF('JKP-8.5 - CNSMREQP_GASMTRCTR'!$A$2:$A$391,'JKP-8.5 - Total Costs'!A49,'JKP-8.5 - CNSMREQP_GASMTRCTR'!$F$2:$F$391)-SUMIF('JKP-8.5 - Migrated From'!$A$2:$A$22,'JKP-8.5 - Total Costs'!A49,'JKP-8.5 - Migrated From'!$F$2:$F$22)+SUMIF('JKP-8.5 - Migrated To'!$A$2:$A$22,'JKP-8.5 - Total Costs'!A49,'JKP-8.5 - Migrated To'!$F$2:$F$22)</f>
        <v>23602</v>
      </c>
      <c r="G49" s="1141">
        <f>SUMIF('JKP-8.5 - CNSMREQP_GASMTRCTR'!$A$2:$A$391,'JKP-8.5 - Total Costs'!B49,'JKP-8.5 - CNSMREQP_GASMTRCTR'!$F$2:$F$391)-SUMIF('JKP-8.5 - Migrated From'!$A$2:$A$22,'JKP-8.5 - Total Costs'!B49,'JKP-8.5 - Migrated From'!$F$2:$F$22)+SUMIF('JKP-8.5 - Migrated To'!$A$2:$A$22,'JKP-8.5 - Total Costs'!B49,'JKP-8.5 - Migrated To'!$F$2:$F$22)</f>
        <v>15</v>
      </c>
      <c r="H49" s="1142">
        <f t="shared" si="2"/>
        <v>23617</v>
      </c>
      <c r="I49" s="1143">
        <f>VLOOKUP($E49,'JKP-8.5 - Unit Costs'!$A$9:$H$33,2,FALSE)</f>
        <v>141.83000000000001</v>
      </c>
      <c r="J49" s="1143">
        <f>VLOOKUP($E49,'JKP-8.5 - Unit Costs'!$A$9:$H$33,5,FALSE)</f>
        <v>92.480000000000018</v>
      </c>
      <c r="K49" s="1143">
        <f>VLOOKUP($E49,'JKP-8.5 - Unit Costs'!$A$9:$H$33,3,FALSE)</f>
        <v>41.76</v>
      </c>
      <c r="L49" s="1143">
        <f>VLOOKUP($E49,'JKP-8.5 - Unit Costs'!$A$9:$H$33,6,FALSE)</f>
        <v>41.76</v>
      </c>
      <c r="M49" s="1143">
        <f>VLOOKUP($E49,'JKP-8.5 - Unit Costs'!$A$9:$H$33,8,FALSE)</f>
        <v>0</v>
      </c>
      <c r="N49" s="1143">
        <f>VLOOKUP($E49,'JKP-8.5 - Unit Costs'!$A$9:$H$33,8,FALSE)</f>
        <v>0</v>
      </c>
      <c r="O49" s="1144">
        <f t="shared" si="3"/>
        <v>3347471.66</v>
      </c>
      <c r="P49" s="1144">
        <f t="shared" si="3"/>
        <v>1387.2000000000003</v>
      </c>
      <c r="Q49" s="1144">
        <f t="shared" si="4"/>
        <v>3348858.8600000003</v>
      </c>
      <c r="R49" s="1144">
        <f t="shared" si="5"/>
        <v>985619.5199999999</v>
      </c>
      <c r="S49" s="1144">
        <f t="shared" si="5"/>
        <v>626.4</v>
      </c>
      <c r="T49" s="1144">
        <f t="shared" si="6"/>
        <v>986245.91999999993</v>
      </c>
      <c r="U49" s="1144">
        <f t="shared" si="7"/>
        <v>0</v>
      </c>
      <c r="V49" s="1144">
        <f t="shared" si="7"/>
        <v>0</v>
      </c>
      <c r="W49" s="1145">
        <f t="shared" si="8"/>
        <v>0</v>
      </c>
    </row>
    <row r="50" spans="1:23" x14ac:dyDescent="0.2">
      <c r="A50" s="1140" t="str">
        <f t="shared" si="0"/>
        <v>31G-C 275 AMR</v>
      </c>
      <c r="B50" s="1140" t="str">
        <f t="shared" si="1"/>
        <v xml:space="preserve">31G-C 275 </v>
      </c>
      <c r="C50" s="1140" t="s">
        <v>1854</v>
      </c>
      <c r="D50" s="1140" t="s">
        <v>901</v>
      </c>
      <c r="E50" s="1140">
        <v>275</v>
      </c>
      <c r="F50" s="1141">
        <f>SUMIF('JKP-8.5 - CNSMREQP_GASMTRCTR'!$A$2:$A$391,'JKP-8.5 - Total Costs'!A50,'JKP-8.5 - CNSMREQP_GASMTRCTR'!$F$2:$F$391)-SUMIF('JKP-8.5 - Migrated From'!$A$2:$A$22,'JKP-8.5 - Total Costs'!A50,'JKP-8.5 - Migrated From'!$F$2:$F$22)+SUMIF('JKP-8.5 - Migrated To'!$A$2:$A$22,'JKP-8.5 - Total Costs'!A50,'JKP-8.5 - Migrated To'!$F$2:$F$22)</f>
        <v>1920</v>
      </c>
      <c r="G50" s="1141">
        <f>SUMIF('JKP-8.5 - CNSMREQP_GASMTRCTR'!$A$2:$A$391,'JKP-8.5 - Total Costs'!B50,'JKP-8.5 - CNSMREQP_GASMTRCTR'!$F$2:$F$391)-SUMIF('JKP-8.5 - Migrated From'!$A$2:$A$22,'JKP-8.5 - Total Costs'!B50,'JKP-8.5 - Migrated From'!$F$2:$F$22)+SUMIF('JKP-8.5 - Migrated To'!$A$2:$A$22,'JKP-8.5 - Total Costs'!B50,'JKP-8.5 - Migrated To'!$F$2:$F$22)</f>
        <v>1</v>
      </c>
      <c r="H50" s="1142">
        <f t="shared" si="2"/>
        <v>1921</v>
      </c>
      <c r="I50" s="1143">
        <f>VLOOKUP($E50,'JKP-8.5 - Unit Costs'!$A$9:$H$33,2,FALSE)</f>
        <v>141.83000000000001</v>
      </c>
      <c r="J50" s="1143">
        <f>VLOOKUP($E50,'JKP-8.5 - Unit Costs'!$A$9:$H$33,5,FALSE)</f>
        <v>92.480000000000018</v>
      </c>
      <c r="K50" s="1143">
        <f>VLOOKUP($E50,'JKP-8.5 - Unit Costs'!$A$9:$H$33,3,FALSE)</f>
        <v>41.76</v>
      </c>
      <c r="L50" s="1143">
        <f>VLOOKUP($E50,'JKP-8.5 - Unit Costs'!$A$9:$H$33,6,FALSE)</f>
        <v>41.76</v>
      </c>
      <c r="M50" s="1143">
        <f>VLOOKUP($E50,'JKP-8.5 - Unit Costs'!$A$9:$H$33,8,FALSE)</f>
        <v>0</v>
      </c>
      <c r="N50" s="1143">
        <f>VLOOKUP($E50,'JKP-8.5 - Unit Costs'!$A$9:$H$33,8,FALSE)</f>
        <v>0</v>
      </c>
      <c r="O50" s="1144">
        <f t="shared" si="3"/>
        <v>272313.60000000003</v>
      </c>
      <c r="P50" s="1144">
        <f t="shared" si="3"/>
        <v>92.480000000000018</v>
      </c>
      <c r="Q50" s="1144">
        <f t="shared" si="4"/>
        <v>272406.08</v>
      </c>
      <c r="R50" s="1144">
        <f t="shared" si="5"/>
        <v>80179.199999999997</v>
      </c>
      <c r="S50" s="1144">
        <f t="shared" si="5"/>
        <v>41.76</v>
      </c>
      <c r="T50" s="1144">
        <f t="shared" si="6"/>
        <v>80220.959999999992</v>
      </c>
      <c r="U50" s="1144">
        <f t="shared" si="7"/>
        <v>0</v>
      </c>
      <c r="V50" s="1144">
        <f t="shared" si="7"/>
        <v>0</v>
      </c>
      <c r="W50" s="1145">
        <f t="shared" si="8"/>
        <v>0</v>
      </c>
    </row>
    <row r="51" spans="1:23" x14ac:dyDescent="0.2">
      <c r="A51" s="1140" t="str">
        <f t="shared" si="0"/>
        <v>31G-C 400 AMR</v>
      </c>
      <c r="B51" s="1140" t="str">
        <f t="shared" si="1"/>
        <v xml:space="preserve">31G-C 400 </v>
      </c>
      <c r="C51" s="1140" t="s">
        <v>1854</v>
      </c>
      <c r="D51" s="1140" t="s">
        <v>901</v>
      </c>
      <c r="E51" s="1140">
        <v>400</v>
      </c>
      <c r="F51" s="1141">
        <f>SUMIF('JKP-8.5 - CNSMREQP_GASMTRCTR'!$A$2:$A$391,'JKP-8.5 - Total Costs'!A51,'JKP-8.5 - CNSMREQP_GASMTRCTR'!$F$2:$F$391)-SUMIF('JKP-8.5 - Migrated From'!$A$2:$A$22,'JKP-8.5 - Total Costs'!A51,'JKP-8.5 - Migrated From'!$F$2:$F$22)+SUMIF('JKP-8.5 - Migrated To'!$A$2:$A$22,'JKP-8.5 - Total Costs'!A51,'JKP-8.5 - Migrated To'!$F$2:$F$22)</f>
        <v>2</v>
      </c>
      <c r="G51" s="1141">
        <f>SUMIF('JKP-8.5 - CNSMREQP_GASMTRCTR'!$A$2:$A$391,'JKP-8.5 - Total Costs'!B51,'JKP-8.5 - CNSMREQP_GASMTRCTR'!$F$2:$F$391)-SUMIF('JKP-8.5 - Migrated From'!$A$2:$A$22,'JKP-8.5 - Total Costs'!B51,'JKP-8.5 - Migrated From'!$F$2:$F$22)+SUMIF('JKP-8.5 - Migrated To'!$A$2:$A$22,'JKP-8.5 - Total Costs'!B51,'JKP-8.5 - Migrated To'!$F$2:$F$22)</f>
        <v>0</v>
      </c>
      <c r="H51" s="1142">
        <f t="shared" si="2"/>
        <v>2</v>
      </c>
      <c r="I51" s="1143">
        <f>VLOOKUP($E51,'JKP-8.5 - Unit Costs'!$A$9:$H$33,2,FALSE)</f>
        <v>462.02000000000004</v>
      </c>
      <c r="J51" s="1143">
        <f>VLOOKUP($E51,'JKP-8.5 - Unit Costs'!$A$9:$H$33,5,FALSE)</f>
        <v>193.72</v>
      </c>
      <c r="K51" s="1143">
        <f>VLOOKUP($E51,'JKP-8.5 - Unit Costs'!$A$9:$H$33,3,FALSE)</f>
        <v>41.76</v>
      </c>
      <c r="L51" s="1143">
        <f>VLOOKUP($E51,'JKP-8.5 - Unit Costs'!$A$9:$H$33,6,FALSE)</f>
        <v>41.76</v>
      </c>
      <c r="M51" s="1143">
        <f>VLOOKUP($E51,'JKP-8.5 - Unit Costs'!$A$9:$H$33,8,FALSE)</f>
        <v>0</v>
      </c>
      <c r="N51" s="1143">
        <f>VLOOKUP($E51,'JKP-8.5 - Unit Costs'!$A$9:$H$33,8,FALSE)</f>
        <v>0</v>
      </c>
      <c r="O51" s="1144">
        <f t="shared" si="3"/>
        <v>924.04000000000008</v>
      </c>
      <c r="P51" s="1144">
        <f t="shared" si="3"/>
        <v>0</v>
      </c>
      <c r="Q51" s="1144">
        <f t="shared" si="4"/>
        <v>924.04000000000008</v>
      </c>
      <c r="R51" s="1144">
        <f t="shared" si="5"/>
        <v>83.52</v>
      </c>
      <c r="S51" s="1144">
        <f t="shared" si="5"/>
        <v>0</v>
      </c>
      <c r="T51" s="1144">
        <f t="shared" si="6"/>
        <v>83.52</v>
      </c>
      <c r="U51" s="1144">
        <f t="shared" si="7"/>
        <v>0</v>
      </c>
      <c r="V51" s="1144">
        <f t="shared" si="7"/>
        <v>0</v>
      </c>
      <c r="W51" s="1145">
        <f t="shared" si="8"/>
        <v>0</v>
      </c>
    </row>
    <row r="52" spans="1:23" x14ac:dyDescent="0.2">
      <c r="A52" s="1140" t="str">
        <f t="shared" si="0"/>
        <v>31G-C 425 AMR</v>
      </c>
      <c r="B52" s="1140" t="str">
        <f t="shared" si="1"/>
        <v xml:space="preserve">31G-C 425 </v>
      </c>
      <c r="C52" s="1140" t="s">
        <v>1854</v>
      </c>
      <c r="D52" s="1140" t="s">
        <v>901</v>
      </c>
      <c r="E52" s="1140">
        <v>425</v>
      </c>
      <c r="F52" s="1141">
        <f>SUMIF('JKP-8.5 - CNSMREQP_GASMTRCTR'!$A$2:$A$391,'JKP-8.5 - Total Costs'!A52,'JKP-8.5 - CNSMREQP_GASMTRCTR'!$F$2:$F$391)-SUMIF('JKP-8.5 - Migrated From'!$A$2:$A$22,'JKP-8.5 - Total Costs'!A52,'JKP-8.5 - Migrated From'!$F$2:$F$22)+SUMIF('JKP-8.5 - Migrated To'!$A$2:$A$22,'JKP-8.5 - Total Costs'!A52,'JKP-8.5 - Migrated To'!$F$2:$F$22)</f>
        <v>9547</v>
      </c>
      <c r="G52" s="1141">
        <f>SUMIF('JKP-8.5 - CNSMREQP_GASMTRCTR'!$A$2:$A$391,'JKP-8.5 - Total Costs'!B52,'JKP-8.5 - CNSMREQP_GASMTRCTR'!$F$2:$F$391)-SUMIF('JKP-8.5 - Migrated From'!$A$2:$A$22,'JKP-8.5 - Total Costs'!B52,'JKP-8.5 - Migrated From'!$F$2:$F$22)+SUMIF('JKP-8.5 - Migrated To'!$A$2:$A$22,'JKP-8.5 - Total Costs'!B52,'JKP-8.5 - Migrated To'!$F$2:$F$22)</f>
        <v>0</v>
      </c>
      <c r="H52" s="1142">
        <f t="shared" si="2"/>
        <v>9547</v>
      </c>
      <c r="I52" s="1143">
        <f>VLOOKUP($E52,'JKP-8.5 - Unit Costs'!$A$9:$H$33,2,FALSE)</f>
        <v>462.02000000000004</v>
      </c>
      <c r="J52" s="1143">
        <f>VLOOKUP($E52,'JKP-8.5 - Unit Costs'!$A$9:$H$33,5,FALSE)</f>
        <v>193.72</v>
      </c>
      <c r="K52" s="1143">
        <f>VLOOKUP($E52,'JKP-8.5 - Unit Costs'!$A$9:$H$33,3,FALSE)</f>
        <v>41.76</v>
      </c>
      <c r="L52" s="1143">
        <f>VLOOKUP($E52,'JKP-8.5 - Unit Costs'!$A$9:$H$33,6,FALSE)</f>
        <v>41.76</v>
      </c>
      <c r="M52" s="1143">
        <f>VLOOKUP($E52,'JKP-8.5 - Unit Costs'!$A$9:$H$33,8,FALSE)</f>
        <v>0</v>
      </c>
      <c r="N52" s="1143">
        <f>VLOOKUP($E52,'JKP-8.5 - Unit Costs'!$A$9:$H$33,8,FALSE)</f>
        <v>0</v>
      </c>
      <c r="O52" s="1144">
        <f t="shared" si="3"/>
        <v>4410904.9400000004</v>
      </c>
      <c r="P52" s="1144">
        <f t="shared" si="3"/>
        <v>0</v>
      </c>
      <c r="Q52" s="1144">
        <f t="shared" si="4"/>
        <v>4410904.9400000004</v>
      </c>
      <c r="R52" s="1144">
        <f t="shared" si="5"/>
        <v>398682.72</v>
      </c>
      <c r="S52" s="1144">
        <f t="shared" si="5"/>
        <v>0</v>
      </c>
      <c r="T52" s="1144">
        <f t="shared" si="6"/>
        <v>398682.72</v>
      </c>
      <c r="U52" s="1144">
        <f t="shared" si="7"/>
        <v>0</v>
      </c>
      <c r="V52" s="1144">
        <f t="shared" si="7"/>
        <v>0</v>
      </c>
      <c r="W52" s="1145">
        <f t="shared" si="8"/>
        <v>0</v>
      </c>
    </row>
    <row r="53" spans="1:23" x14ac:dyDescent="0.2">
      <c r="A53" s="1140" t="str">
        <f t="shared" si="0"/>
        <v>31G-C 750 AMR</v>
      </c>
      <c r="B53" s="1140" t="str">
        <f t="shared" si="1"/>
        <v xml:space="preserve">31G-C 750 </v>
      </c>
      <c r="C53" s="1140" t="s">
        <v>1854</v>
      </c>
      <c r="D53" s="1140" t="s">
        <v>901</v>
      </c>
      <c r="E53" s="1140">
        <v>750</v>
      </c>
      <c r="F53" s="1141">
        <f>SUMIF('JKP-8.5 - CNSMREQP_GASMTRCTR'!$A$2:$A$391,'JKP-8.5 - Total Costs'!A53,'JKP-8.5 - CNSMREQP_GASMTRCTR'!$F$2:$F$391)-SUMIF('JKP-8.5 - Migrated From'!$A$2:$A$22,'JKP-8.5 - Total Costs'!A53,'JKP-8.5 - Migrated From'!$F$2:$F$22)+SUMIF('JKP-8.5 - Migrated To'!$A$2:$A$22,'JKP-8.5 - Total Costs'!A53,'JKP-8.5 - Migrated To'!$F$2:$F$22)</f>
        <v>9</v>
      </c>
      <c r="G53" s="1141">
        <f>SUMIF('JKP-8.5 - CNSMREQP_GASMTRCTR'!$A$2:$A$391,'JKP-8.5 - Total Costs'!B53,'JKP-8.5 - CNSMREQP_GASMTRCTR'!$F$2:$F$391)-SUMIF('JKP-8.5 - Migrated From'!$A$2:$A$22,'JKP-8.5 - Total Costs'!B53,'JKP-8.5 - Migrated From'!$F$2:$F$22)+SUMIF('JKP-8.5 - Migrated To'!$A$2:$A$22,'JKP-8.5 - Total Costs'!B53,'JKP-8.5 - Migrated To'!$F$2:$F$22)</f>
        <v>0</v>
      </c>
      <c r="H53" s="1142">
        <f t="shared" si="2"/>
        <v>9</v>
      </c>
      <c r="I53" s="1143">
        <f>VLOOKUP($E53,'JKP-8.5 - Unit Costs'!$A$9:$H$33,2,FALSE)</f>
        <v>1404.86</v>
      </c>
      <c r="J53" s="1143">
        <f>VLOOKUP($E53,'JKP-8.5 - Unit Costs'!$A$9:$H$33,5,FALSE)</f>
        <v>1063.1500000000001</v>
      </c>
      <c r="K53" s="1143">
        <f>VLOOKUP($E53,'JKP-8.5 - Unit Costs'!$A$9:$H$33,3,FALSE)</f>
        <v>41.76</v>
      </c>
      <c r="L53" s="1143">
        <f>VLOOKUP($E53,'JKP-8.5 - Unit Costs'!$A$9:$H$33,6,FALSE)</f>
        <v>41.76</v>
      </c>
      <c r="M53" s="1143">
        <f>VLOOKUP($E53,'JKP-8.5 - Unit Costs'!$A$9:$H$33,8,FALSE)</f>
        <v>0</v>
      </c>
      <c r="N53" s="1143">
        <f>VLOOKUP($E53,'JKP-8.5 - Unit Costs'!$A$9:$H$33,8,FALSE)</f>
        <v>0</v>
      </c>
      <c r="O53" s="1144">
        <f t="shared" si="3"/>
        <v>12643.74</v>
      </c>
      <c r="P53" s="1144">
        <f t="shared" si="3"/>
        <v>0</v>
      </c>
      <c r="Q53" s="1144">
        <f t="shared" si="4"/>
        <v>12643.74</v>
      </c>
      <c r="R53" s="1144">
        <f t="shared" si="5"/>
        <v>375.84</v>
      </c>
      <c r="S53" s="1144">
        <f t="shared" si="5"/>
        <v>0</v>
      </c>
      <c r="T53" s="1144">
        <f t="shared" si="6"/>
        <v>375.84</v>
      </c>
      <c r="U53" s="1144">
        <f t="shared" si="7"/>
        <v>0</v>
      </c>
      <c r="V53" s="1144">
        <f t="shared" si="7"/>
        <v>0</v>
      </c>
      <c r="W53" s="1145">
        <f t="shared" si="8"/>
        <v>0</v>
      </c>
    </row>
    <row r="54" spans="1:23" x14ac:dyDescent="0.2">
      <c r="A54" s="1140" t="str">
        <f t="shared" si="0"/>
        <v>31G-C 800 AMR</v>
      </c>
      <c r="B54" s="1140" t="str">
        <f t="shared" si="1"/>
        <v xml:space="preserve">31G-C 800 </v>
      </c>
      <c r="C54" s="1140" t="s">
        <v>1854</v>
      </c>
      <c r="D54" s="1140" t="s">
        <v>901</v>
      </c>
      <c r="E54" s="1140">
        <v>800</v>
      </c>
      <c r="F54" s="1141">
        <f>SUMIF('JKP-8.5 - CNSMREQP_GASMTRCTR'!$A$2:$A$391,'JKP-8.5 - Total Costs'!A54,'JKP-8.5 - CNSMREQP_GASMTRCTR'!$F$2:$F$391)-SUMIF('JKP-8.5 - Migrated From'!$A$2:$A$22,'JKP-8.5 - Total Costs'!A54,'JKP-8.5 - Migrated From'!$F$2:$F$22)+SUMIF('JKP-8.5 - Migrated To'!$A$2:$A$22,'JKP-8.5 - Total Costs'!A54,'JKP-8.5 - Migrated To'!$F$2:$F$22)</f>
        <v>176</v>
      </c>
      <c r="G54" s="1141">
        <f>SUMIF('JKP-8.5 - CNSMREQP_GASMTRCTR'!$A$2:$A$391,'JKP-8.5 - Total Costs'!B54,'JKP-8.5 - CNSMREQP_GASMTRCTR'!$F$2:$F$391)-SUMIF('JKP-8.5 - Migrated From'!$A$2:$A$22,'JKP-8.5 - Total Costs'!B54,'JKP-8.5 - Migrated From'!$F$2:$F$22)+SUMIF('JKP-8.5 - Migrated To'!$A$2:$A$22,'JKP-8.5 - Total Costs'!B54,'JKP-8.5 - Migrated To'!$F$2:$F$22)</f>
        <v>4</v>
      </c>
      <c r="H54" s="1142">
        <f t="shared" si="2"/>
        <v>180</v>
      </c>
      <c r="I54" s="1143">
        <f>VLOOKUP($E54,'JKP-8.5 - Unit Costs'!$A$9:$H$33,2,FALSE)</f>
        <v>1404.86</v>
      </c>
      <c r="J54" s="1143">
        <f>VLOOKUP($E54,'JKP-8.5 - Unit Costs'!$A$9:$H$33,5,FALSE)</f>
        <v>1063.1500000000001</v>
      </c>
      <c r="K54" s="1143">
        <f>VLOOKUP($E54,'JKP-8.5 - Unit Costs'!$A$9:$H$33,3,FALSE)</f>
        <v>41.76</v>
      </c>
      <c r="L54" s="1143">
        <f>VLOOKUP($E54,'JKP-8.5 - Unit Costs'!$A$9:$H$33,6,FALSE)</f>
        <v>41.76</v>
      </c>
      <c r="M54" s="1143">
        <f>VLOOKUP($E54,'JKP-8.5 - Unit Costs'!$A$9:$H$33,8,FALSE)</f>
        <v>0</v>
      </c>
      <c r="N54" s="1143">
        <f>VLOOKUP($E54,'JKP-8.5 - Unit Costs'!$A$9:$H$33,8,FALSE)</f>
        <v>0</v>
      </c>
      <c r="O54" s="1144">
        <f t="shared" si="3"/>
        <v>247255.36</v>
      </c>
      <c r="P54" s="1144">
        <f t="shared" si="3"/>
        <v>4252.6000000000004</v>
      </c>
      <c r="Q54" s="1144">
        <f t="shared" si="4"/>
        <v>251507.96</v>
      </c>
      <c r="R54" s="1144">
        <f t="shared" si="5"/>
        <v>7349.7599999999993</v>
      </c>
      <c r="S54" s="1144">
        <f t="shared" si="5"/>
        <v>167.04</v>
      </c>
      <c r="T54" s="1144">
        <f t="shared" si="6"/>
        <v>7516.7999999999993</v>
      </c>
      <c r="U54" s="1144">
        <f t="shared" si="7"/>
        <v>0</v>
      </c>
      <c r="V54" s="1144">
        <f t="shared" si="7"/>
        <v>0</v>
      </c>
      <c r="W54" s="1145">
        <f t="shared" si="8"/>
        <v>0</v>
      </c>
    </row>
    <row r="55" spans="1:23" x14ac:dyDescent="0.2">
      <c r="A55" s="1140" t="str">
        <f t="shared" si="0"/>
        <v>31G-C 1000 AMR</v>
      </c>
      <c r="B55" s="1140" t="str">
        <f t="shared" si="1"/>
        <v xml:space="preserve">31G-C 1000 </v>
      </c>
      <c r="C55" s="1140" t="s">
        <v>1854</v>
      </c>
      <c r="D55" s="1140" t="s">
        <v>901</v>
      </c>
      <c r="E55" s="1140">
        <v>1000</v>
      </c>
      <c r="F55" s="1141">
        <f>SUMIF('JKP-8.5 - CNSMREQP_GASMTRCTR'!$A$2:$A$391,'JKP-8.5 - Total Costs'!A55,'JKP-8.5 - CNSMREQP_GASMTRCTR'!$F$2:$F$391)-SUMIF('JKP-8.5 - Migrated From'!$A$2:$A$22,'JKP-8.5 - Total Costs'!A55,'JKP-8.5 - Migrated From'!$F$2:$F$22)+SUMIF('JKP-8.5 - Migrated To'!$A$2:$A$22,'JKP-8.5 - Total Costs'!A55,'JKP-8.5 - Migrated To'!$F$2:$F$22)</f>
        <v>15031</v>
      </c>
      <c r="G55" s="1141">
        <f>SUMIF('JKP-8.5 - CNSMREQP_GASMTRCTR'!$A$2:$A$391,'JKP-8.5 - Total Costs'!B55,'JKP-8.5 - CNSMREQP_GASMTRCTR'!$F$2:$F$391)-SUMIF('JKP-8.5 - Migrated From'!$A$2:$A$22,'JKP-8.5 - Total Costs'!B55,'JKP-8.5 - Migrated From'!$F$2:$F$22)+SUMIF('JKP-8.5 - Migrated To'!$A$2:$A$22,'JKP-8.5 - Total Costs'!B55,'JKP-8.5 - Migrated To'!$F$2:$F$22)</f>
        <v>303</v>
      </c>
      <c r="H55" s="1142">
        <f t="shared" si="2"/>
        <v>15334</v>
      </c>
      <c r="I55" s="1143">
        <f>VLOOKUP($E55,'JKP-8.5 - Unit Costs'!$A$9:$H$33,2,FALSE)</f>
        <v>1404.86</v>
      </c>
      <c r="J55" s="1143">
        <f>VLOOKUP($E55,'JKP-8.5 - Unit Costs'!$A$9:$H$33,5,FALSE)</f>
        <v>1063.1500000000001</v>
      </c>
      <c r="K55" s="1143">
        <f>VLOOKUP($E55,'JKP-8.5 - Unit Costs'!$A$9:$H$33,3,FALSE)</f>
        <v>41.76</v>
      </c>
      <c r="L55" s="1143">
        <f>VLOOKUP($E55,'JKP-8.5 - Unit Costs'!$A$9:$H$33,6,FALSE)</f>
        <v>41.76</v>
      </c>
      <c r="M55" s="1143">
        <f>VLOOKUP($E55,'JKP-8.5 - Unit Costs'!$A$9:$H$33,8,FALSE)</f>
        <v>0</v>
      </c>
      <c r="N55" s="1143">
        <f>VLOOKUP($E55,'JKP-8.5 - Unit Costs'!$A$9:$H$33,8,FALSE)</f>
        <v>0</v>
      </c>
      <c r="O55" s="1144">
        <f t="shared" si="3"/>
        <v>21116450.66</v>
      </c>
      <c r="P55" s="1144">
        <f t="shared" si="3"/>
        <v>322134.45</v>
      </c>
      <c r="Q55" s="1144">
        <f t="shared" si="4"/>
        <v>21438585.109999999</v>
      </c>
      <c r="R55" s="1144">
        <f t="shared" si="5"/>
        <v>627694.55999999994</v>
      </c>
      <c r="S55" s="1144">
        <f t="shared" si="5"/>
        <v>12653.279999999999</v>
      </c>
      <c r="T55" s="1144">
        <f t="shared" si="6"/>
        <v>640347.84</v>
      </c>
      <c r="U55" s="1144">
        <f t="shared" si="7"/>
        <v>0</v>
      </c>
      <c r="V55" s="1144">
        <f t="shared" si="7"/>
        <v>0</v>
      </c>
      <c r="W55" s="1145">
        <f t="shared" si="8"/>
        <v>0</v>
      </c>
    </row>
    <row r="56" spans="1:23" x14ac:dyDescent="0.2">
      <c r="A56" s="1140" t="str">
        <f t="shared" si="0"/>
        <v>31G-C 1400 AMR</v>
      </c>
      <c r="B56" s="1140" t="str">
        <f t="shared" si="1"/>
        <v xml:space="preserve">31G-C 1400 </v>
      </c>
      <c r="C56" s="1140" t="s">
        <v>1854</v>
      </c>
      <c r="D56" s="1140" t="s">
        <v>901</v>
      </c>
      <c r="E56" s="1140">
        <v>1400</v>
      </c>
      <c r="F56" s="1141">
        <f>SUMIF('JKP-8.5 - CNSMREQP_GASMTRCTR'!$A$2:$A$391,'JKP-8.5 - Total Costs'!A56,'JKP-8.5 - CNSMREQP_GASMTRCTR'!$F$2:$F$391)-SUMIF('JKP-8.5 - Migrated From'!$A$2:$A$22,'JKP-8.5 - Total Costs'!A56,'JKP-8.5 - Migrated From'!$F$2:$F$22)+SUMIF('JKP-8.5 - Migrated To'!$A$2:$A$22,'JKP-8.5 - Total Costs'!A56,'JKP-8.5 - Migrated To'!$F$2:$F$22)</f>
        <v>413</v>
      </c>
      <c r="G56" s="1141">
        <f>SUMIF('JKP-8.5 - CNSMREQP_GASMTRCTR'!$A$2:$A$391,'JKP-8.5 - Total Costs'!B56,'JKP-8.5 - CNSMREQP_GASMTRCTR'!$F$2:$F$391)-SUMIF('JKP-8.5 - Migrated From'!$A$2:$A$22,'JKP-8.5 - Total Costs'!B56,'JKP-8.5 - Migrated From'!$F$2:$F$22)+SUMIF('JKP-8.5 - Migrated To'!$A$2:$A$22,'JKP-8.5 - Total Costs'!B56,'JKP-8.5 - Migrated To'!$F$2:$F$22)</f>
        <v>25</v>
      </c>
      <c r="H56" s="1142">
        <f t="shared" si="2"/>
        <v>438</v>
      </c>
      <c r="I56" s="1143">
        <f>VLOOKUP($E56,'JKP-8.5 - Unit Costs'!$A$9:$H$33,2,FALSE)</f>
        <v>0</v>
      </c>
      <c r="J56" s="1143">
        <f>VLOOKUP($E56,'JKP-8.5 - Unit Costs'!$A$9:$H$33,5,FALSE)</f>
        <v>0</v>
      </c>
      <c r="K56" s="1143">
        <f>VLOOKUP($E56,'JKP-8.5 - Unit Costs'!$A$9:$H$33,3,FALSE)</f>
        <v>0</v>
      </c>
      <c r="L56" s="1143">
        <f>VLOOKUP($E56,'JKP-8.5 - Unit Costs'!$A$9:$H$33,6,FALSE)</f>
        <v>0</v>
      </c>
      <c r="M56" s="1143">
        <f>VLOOKUP($E56,'JKP-8.5 - Unit Costs'!$A$9:$H$33,8,FALSE)</f>
        <v>2379.79</v>
      </c>
      <c r="N56" s="1143">
        <f>VLOOKUP($E56,'JKP-8.5 - Unit Costs'!$A$9:$H$33,8,FALSE)</f>
        <v>2379.79</v>
      </c>
      <c r="O56" s="1144">
        <f t="shared" si="3"/>
        <v>0</v>
      </c>
      <c r="P56" s="1144">
        <f t="shared" si="3"/>
        <v>0</v>
      </c>
      <c r="Q56" s="1144">
        <f t="shared" si="4"/>
        <v>0</v>
      </c>
      <c r="R56" s="1144">
        <f t="shared" si="5"/>
        <v>0</v>
      </c>
      <c r="S56" s="1144">
        <f t="shared" si="5"/>
        <v>0</v>
      </c>
      <c r="T56" s="1144">
        <f t="shared" si="6"/>
        <v>0</v>
      </c>
      <c r="U56" s="1144">
        <f t="shared" si="7"/>
        <v>982853.27</v>
      </c>
      <c r="V56" s="1144">
        <f t="shared" si="7"/>
        <v>59494.75</v>
      </c>
      <c r="W56" s="1145">
        <f t="shared" si="8"/>
        <v>1042348.02</v>
      </c>
    </row>
    <row r="57" spans="1:23" x14ac:dyDescent="0.2">
      <c r="A57" s="1140" t="str">
        <f t="shared" si="0"/>
        <v>31G-C 2300 AMR</v>
      </c>
      <c r="B57" s="1140" t="str">
        <f t="shared" si="1"/>
        <v xml:space="preserve">31G-C 2300 </v>
      </c>
      <c r="C57" s="1140" t="s">
        <v>1854</v>
      </c>
      <c r="D57" s="1140" t="s">
        <v>901</v>
      </c>
      <c r="E57" s="1140">
        <v>2300</v>
      </c>
      <c r="F57" s="1141">
        <f>SUMIF('JKP-8.5 - CNSMREQP_GASMTRCTR'!$A$2:$A$391,'JKP-8.5 - Total Costs'!A57,'JKP-8.5 - CNSMREQP_GASMTRCTR'!$F$2:$F$391)-SUMIF('JKP-8.5 - Migrated From'!$A$2:$A$22,'JKP-8.5 - Total Costs'!A57,'JKP-8.5 - Migrated From'!$F$2:$F$22)+SUMIF('JKP-8.5 - Migrated To'!$A$2:$A$22,'JKP-8.5 - Total Costs'!A57,'JKP-8.5 - Migrated To'!$F$2:$F$22)</f>
        <v>376</v>
      </c>
      <c r="G57" s="1141">
        <f>SUMIF('JKP-8.5 - CNSMREQP_GASMTRCTR'!$A$2:$A$391,'JKP-8.5 - Total Costs'!B57,'JKP-8.5 - CNSMREQP_GASMTRCTR'!$F$2:$F$391)-SUMIF('JKP-8.5 - Migrated From'!$A$2:$A$22,'JKP-8.5 - Total Costs'!B57,'JKP-8.5 - Migrated From'!$F$2:$F$22)+SUMIF('JKP-8.5 - Migrated To'!$A$2:$A$22,'JKP-8.5 - Total Costs'!B57,'JKP-8.5 - Migrated To'!$F$2:$F$22)</f>
        <v>32</v>
      </c>
      <c r="H57" s="1142">
        <f t="shared" si="2"/>
        <v>408</v>
      </c>
      <c r="I57" s="1143">
        <f>VLOOKUP($E57,'JKP-8.5 - Unit Costs'!$A$9:$H$33,2,FALSE)</f>
        <v>0</v>
      </c>
      <c r="J57" s="1143">
        <f>VLOOKUP($E57,'JKP-8.5 - Unit Costs'!$A$9:$H$33,5,FALSE)</f>
        <v>0</v>
      </c>
      <c r="K57" s="1143">
        <f>VLOOKUP($E57,'JKP-8.5 - Unit Costs'!$A$9:$H$33,3,FALSE)</f>
        <v>0</v>
      </c>
      <c r="L57" s="1143">
        <f>VLOOKUP($E57,'JKP-8.5 - Unit Costs'!$A$9:$H$33,6,FALSE)</f>
        <v>0</v>
      </c>
      <c r="M57" s="1143">
        <f>VLOOKUP($E57,'JKP-8.5 - Unit Costs'!$A$9:$H$33,8,FALSE)</f>
        <v>3587.13</v>
      </c>
      <c r="N57" s="1143">
        <f>VLOOKUP($E57,'JKP-8.5 - Unit Costs'!$A$9:$H$33,8,FALSE)</f>
        <v>3587.13</v>
      </c>
      <c r="O57" s="1144">
        <f t="shared" si="3"/>
        <v>0</v>
      </c>
      <c r="P57" s="1144">
        <f t="shared" si="3"/>
        <v>0</v>
      </c>
      <c r="Q57" s="1144">
        <f t="shared" si="4"/>
        <v>0</v>
      </c>
      <c r="R57" s="1144">
        <f t="shared" si="5"/>
        <v>0</v>
      </c>
      <c r="S57" s="1144">
        <f t="shared" si="5"/>
        <v>0</v>
      </c>
      <c r="T57" s="1144">
        <f t="shared" si="6"/>
        <v>0</v>
      </c>
      <c r="U57" s="1144">
        <f t="shared" si="7"/>
        <v>1348760.8800000001</v>
      </c>
      <c r="V57" s="1144">
        <f t="shared" si="7"/>
        <v>114788.16</v>
      </c>
      <c r="W57" s="1145">
        <f t="shared" si="8"/>
        <v>1463549.04</v>
      </c>
    </row>
    <row r="58" spans="1:23" x14ac:dyDescent="0.2">
      <c r="A58" s="1140" t="str">
        <f t="shared" si="0"/>
        <v>31G-C 3000 AMR</v>
      </c>
      <c r="B58" s="1140" t="str">
        <f t="shared" si="1"/>
        <v xml:space="preserve">31G-C 3000 </v>
      </c>
      <c r="C58" s="1140" t="s">
        <v>1854</v>
      </c>
      <c r="D58" s="1140" t="s">
        <v>901</v>
      </c>
      <c r="E58" s="1140">
        <v>3000</v>
      </c>
      <c r="F58" s="1141">
        <f>SUMIF('JKP-8.5 - CNSMREQP_GASMTRCTR'!$A$2:$A$391,'JKP-8.5 - Total Costs'!A58,'JKP-8.5 - CNSMREQP_GASMTRCTR'!$F$2:$F$391)-SUMIF('JKP-8.5 - Migrated From'!$A$2:$A$22,'JKP-8.5 - Total Costs'!A58,'JKP-8.5 - Migrated From'!$F$2:$F$22)+SUMIF('JKP-8.5 - Migrated To'!$A$2:$A$22,'JKP-8.5 - Total Costs'!A58,'JKP-8.5 - Migrated To'!$F$2:$F$22)</f>
        <v>634</v>
      </c>
      <c r="G58" s="1141">
        <f>SUMIF('JKP-8.5 - CNSMREQP_GASMTRCTR'!$A$2:$A$391,'JKP-8.5 - Total Costs'!B58,'JKP-8.5 - CNSMREQP_GASMTRCTR'!$F$2:$F$391)-SUMIF('JKP-8.5 - Migrated From'!$A$2:$A$22,'JKP-8.5 - Total Costs'!B58,'JKP-8.5 - Migrated From'!$F$2:$F$22)+SUMIF('JKP-8.5 - Migrated To'!$A$2:$A$22,'JKP-8.5 - Total Costs'!B58,'JKP-8.5 - Migrated To'!$F$2:$F$22)</f>
        <v>179</v>
      </c>
      <c r="H58" s="1142">
        <f t="shared" si="2"/>
        <v>813</v>
      </c>
      <c r="I58" s="1143">
        <f>VLOOKUP($E58,'JKP-8.5 - Unit Costs'!$A$9:$H$33,2,FALSE)</f>
        <v>0</v>
      </c>
      <c r="J58" s="1143">
        <f>VLOOKUP($E58,'JKP-8.5 - Unit Costs'!$A$9:$H$33,5,FALSE)</f>
        <v>0</v>
      </c>
      <c r="K58" s="1143">
        <f>VLOOKUP($E58,'JKP-8.5 - Unit Costs'!$A$9:$H$33,3,FALSE)</f>
        <v>0</v>
      </c>
      <c r="L58" s="1143">
        <f>VLOOKUP($E58,'JKP-8.5 - Unit Costs'!$A$9:$H$33,6,FALSE)</f>
        <v>0</v>
      </c>
      <c r="M58" s="1143">
        <f>VLOOKUP($E58,'JKP-8.5 - Unit Costs'!$A$9:$H$33,8,FALSE)</f>
        <v>3406.19</v>
      </c>
      <c r="N58" s="1143">
        <f>VLOOKUP($E58,'JKP-8.5 - Unit Costs'!$A$9:$H$33,8,FALSE)</f>
        <v>3406.19</v>
      </c>
      <c r="O58" s="1144">
        <f t="shared" si="3"/>
        <v>0</v>
      </c>
      <c r="P58" s="1144">
        <f t="shared" si="3"/>
        <v>0</v>
      </c>
      <c r="Q58" s="1144">
        <f t="shared" si="4"/>
        <v>0</v>
      </c>
      <c r="R58" s="1144">
        <f t="shared" si="5"/>
        <v>0</v>
      </c>
      <c r="S58" s="1144">
        <f t="shared" si="5"/>
        <v>0</v>
      </c>
      <c r="T58" s="1144">
        <f t="shared" si="6"/>
        <v>0</v>
      </c>
      <c r="U58" s="1144">
        <f t="shared" si="7"/>
        <v>2159524.46</v>
      </c>
      <c r="V58" s="1144">
        <f t="shared" si="7"/>
        <v>609708.01</v>
      </c>
      <c r="W58" s="1145">
        <f t="shared" si="8"/>
        <v>2769232.4699999997</v>
      </c>
    </row>
    <row r="59" spans="1:23" x14ac:dyDescent="0.2">
      <c r="A59" s="1140" t="str">
        <f t="shared" si="0"/>
        <v>31G-C 5000 AMR</v>
      </c>
      <c r="B59" s="1140" t="str">
        <f t="shared" si="1"/>
        <v xml:space="preserve">31G-C 5000 </v>
      </c>
      <c r="C59" s="1140" t="s">
        <v>1854</v>
      </c>
      <c r="D59" s="1140" t="s">
        <v>901</v>
      </c>
      <c r="E59" s="1140">
        <v>5000</v>
      </c>
      <c r="F59" s="1141">
        <f>SUMIF('JKP-8.5 - CNSMREQP_GASMTRCTR'!$A$2:$A$391,'JKP-8.5 - Total Costs'!A59,'JKP-8.5 - CNSMREQP_GASMTRCTR'!$F$2:$F$391)-SUMIF('JKP-8.5 - Migrated From'!$A$2:$A$22,'JKP-8.5 - Total Costs'!A59,'JKP-8.5 - Migrated From'!$F$2:$F$22)+SUMIF('JKP-8.5 - Migrated To'!$A$2:$A$22,'JKP-8.5 - Total Costs'!A59,'JKP-8.5 - Migrated To'!$F$2:$F$22)</f>
        <v>645</v>
      </c>
      <c r="G59" s="1141">
        <f>SUMIF('JKP-8.5 - CNSMREQP_GASMTRCTR'!$A$2:$A$391,'JKP-8.5 - Total Costs'!B59,'JKP-8.5 - CNSMREQP_GASMTRCTR'!$F$2:$F$391)-SUMIF('JKP-8.5 - Migrated From'!$A$2:$A$22,'JKP-8.5 - Total Costs'!B59,'JKP-8.5 - Migrated From'!$F$2:$F$22)+SUMIF('JKP-8.5 - Migrated To'!$A$2:$A$22,'JKP-8.5 - Total Costs'!B59,'JKP-8.5 - Migrated To'!$F$2:$F$22)</f>
        <v>136</v>
      </c>
      <c r="H59" s="1142">
        <f t="shared" si="2"/>
        <v>781</v>
      </c>
      <c r="I59" s="1143">
        <f>VLOOKUP($E59,'JKP-8.5 - Unit Costs'!$A$9:$H$33,2,FALSE)</f>
        <v>0</v>
      </c>
      <c r="J59" s="1143">
        <f>VLOOKUP($E59,'JKP-8.5 - Unit Costs'!$A$9:$H$33,5,FALSE)</f>
        <v>0</v>
      </c>
      <c r="K59" s="1143">
        <f>VLOOKUP($E59,'JKP-8.5 - Unit Costs'!$A$9:$H$33,3,FALSE)</f>
        <v>0</v>
      </c>
      <c r="L59" s="1143">
        <f>VLOOKUP($E59,'JKP-8.5 - Unit Costs'!$A$9:$H$33,6,FALSE)</f>
        <v>0</v>
      </c>
      <c r="M59" s="1143">
        <f>VLOOKUP($E59,'JKP-8.5 - Unit Costs'!$A$9:$H$33,8,FALSE)</f>
        <v>3456.43</v>
      </c>
      <c r="N59" s="1143">
        <f>VLOOKUP($E59,'JKP-8.5 - Unit Costs'!$A$9:$H$33,8,FALSE)</f>
        <v>3456.43</v>
      </c>
      <c r="O59" s="1144">
        <f t="shared" si="3"/>
        <v>0</v>
      </c>
      <c r="P59" s="1144">
        <f t="shared" si="3"/>
        <v>0</v>
      </c>
      <c r="Q59" s="1144">
        <f t="shared" si="4"/>
        <v>0</v>
      </c>
      <c r="R59" s="1144">
        <f t="shared" si="5"/>
        <v>0</v>
      </c>
      <c r="S59" s="1144">
        <f t="shared" si="5"/>
        <v>0</v>
      </c>
      <c r="T59" s="1144">
        <f t="shared" si="6"/>
        <v>0</v>
      </c>
      <c r="U59" s="1144">
        <f t="shared" si="7"/>
        <v>2229397.35</v>
      </c>
      <c r="V59" s="1144">
        <f t="shared" si="7"/>
        <v>470074.48</v>
      </c>
      <c r="W59" s="1145">
        <f t="shared" si="8"/>
        <v>2699471.83</v>
      </c>
    </row>
    <row r="60" spans="1:23" x14ac:dyDescent="0.2">
      <c r="A60" s="1140" t="str">
        <f t="shared" si="0"/>
        <v>31G-C 7000 AMR</v>
      </c>
      <c r="B60" s="1140" t="str">
        <f t="shared" si="1"/>
        <v xml:space="preserve">31G-C 7000 </v>
      </c>
      <c r="C60" s="1140" t="s">
        <v>1854</v>
      </c>
      <c r="D60" s="1140" t="s">
        <v>901</v>
      </c>
      <c r="E60" s="1140">
        <v>7000</v>
      </c>
      <c r="F60" s="1141">
        <f>SUMIF('JKP-8.5 - CNSMREQP_GASMTRCTR'!$A$2:$A$391,'JKP-8.5 - Total Costs'!A60,'JKP-8.5 - CNSMREQP_GASMTRCTR'!$F$2:$F$391)-SUMIF('JKP-8.5 - Migrated From'!$A$2:$A$22,'JKP-8.5 - Total Costs'!A60,'JKP-8.5 - Migrated From'!$F$2:$F$22)+SUMIF('JKP-8.5 - Migrated To'!$A$2:$A$22,'JKP-8.5 - Total Costs'!A60,'JKP-8.5 - Migrated To'!$F$2:$F$22)</f>
        <v>145</v>
      </c>
      <c r="G60" s="1141">
        <f>SUMIF('JKP-8.5 - CNSMREQP_GASMTRCTR'!$A$2:$A$391,'JKP-8.5 - Total Costs'!B60,'JKP-8.5 - CNSMREQP_GASMTRCTR'!$F$2:$F$391)-SUMIF('JKP-8.5 - Migrated From'!$A$2:$A$22,'JKP-8.5 - Total Costs'!B60,'JKP-8.5 - Migrated From'!$F$2:$F$22)+SUMIF('JKP-8.5 - Migrated To'!$A$2:$A$22,'JKP-8.5 - Total Costs'!B60,'JKP-8.5 - Migrated To'!$F$2:$F$22)</f>
        <v>66</v>
      </c>
      <c r="H60" s="1142">
        <f t="shared" si="2"/>
        <v>211</v>
      </c>
      <c r="I60" s="1143">
        <f>VLOOKUP($E60,'JKP-8.5 - Unit Costs'!$A$9:$H$33,2,FALSE)</f>
        <v>0</v>
      </c>
      <c r="J60" s="1143">
        <f>VLOOKUP($E60,'JKP-8.5 - Unit Costs'!$A$9:$H$33,5,FALSE)</f>
        <v>0</v>
      </c>
      <c r="K60" s="1143">
        <f>VLOOKUP($E60,'JKP-8.5 - Unit Costs'!$A$9:$H$33,3,FALSE)</f>
        <v>0</v>
      </c>
      <c r="L60" s="1143">
        <f>VLOOKUP($E60,'JKP-8.5 - Unit Costs'!$A$9:$H$33,6,FALSE)</f>
        <v>0</v>
      </c>
      <c r="M60" s="1143">
        <f>VLOOKUP($E60,'JKP-8.5 - Unit Costs'!$A$9:$H$33,8,FALSE)</f>
        <v>3458.4399999999996</v>
      </c>
      <c r="N60" s="1143">
        <f>VLOOKUP($E60,'JKP-8.5 - Unit Costs'!$A$9:$H$33,8,FALSE)</f>
        <v>3458.4399999999996</v>
      </c>
      <c r="O60" s="1144">
        <f t="shared" si="3"/>
        <v>0</v>
      </c>
      <c r="P60" s="1144">
        <f t="shared" si="3"/>
        <v>0</v>
      </c>
      <c r="Q60" s="1144">
        <f t="shared" si="4"/>
        <v>0</v>
      </c>
      <c r="R60" s="1144">
        <f t="shared" si="5"/>
        <v>0</v>
      </c>
      <c r="S60" s="1144">
        <f t="shared" si="5"/>
        <v>0</v>
      </c>
      <c r="T60" s="1144">
        <f t="shared" si="6"/>
        <v>0</v>
      </c>
      <c r="U60" s="1144">
        <f t="shared" si="7"/>
        <v>501473.79999999993</v>
      </c>
      <c r="V60" s="1144">
        <f t="shared" si="7"/>
        <v>228257.03999999998</v>
      </c>
      <c r="W60" s="1145">
        <f t="shared" si="8"/>
        <v>729730.83999999985</v>
      </c>
    </row>
    <row r="61" spans="1:23" x14ac:dyDescent="0.2">
      <c r="A61" s="1140" t="str">
        <f t="shared" si="0"/>
        <v>31G-C 11000 AMR</v>
      </c>
      <c r="B61" s="1140" t="str">
        <f t="shared" si="1"/>
        <v xml:space="preserve">31G-C 11000 </v>
      </c>
      <c r="C61" s="1140" t="s">
        <v>1854</v>
      </c>
      <c r="D61" s="1140" t="s">
        <v>901</v>
      </c>
      <c r="E61" s="1140">
        <v>11000</v>
      </c>
      <c r="F61" s="1141">
        <f>SUMIF('JKP-8.5 - CNSMREQP_GASMTRCTR'!$A$2:$A$391,'JKP-8.5 - Total Costs'!A61,'JKP-8.5 - CNSMREQP_GASMTRCTR'!$F$2:$F$391)-SUMIF('JKP-8.5 - Migrated From'!$A$2:$A$22,'JKP-8.5 - Total Costs'!A61,'JKP-8.5 - Migrated From'!$F$2:$F$22)+SUMIF('JKP-8.5 - Migrated To'!$A$2:$A$22,'JKP-8.5 - Total Costs'!A61,'JKP-8.5 - Migrated To'!$F$2:$F$22)</f>
        <v>11</v>
      </c>
      <c r="G61" s="1141">
        <f>SUMIF('JKP-8.5 - CNSMREQP_GASMTRCTR'!$A$2:$A$391,'JKP-8.5 - Total Costs'!B61,'JKP-8.5 - CNSMREQP_GASMTRCTR'!$F$2:$F$391)-SUMIF('JKP-8.5 - Migrated From'!$A$2:$A$22,'JKP-8.5 - Total Costs'!B61,'JKP-8.5 - Migrated From'!$F$2:$F$22)+SUMIF('JKP-8.5 - Migrated To'!$A$2:$A$22,'JKP-8.5 - Total Costs'!B61,'JKP-8.5 - Migrated To'!$F$2:$F$22)</f>
        <v>155</v>
      </c>
      <c r="H61" s="1142">
        <f t="shared" si="2"/>
        <v>166</v>
      </c>
      <c r="I61" s="1143">
        <f>VLOOKUP($E61,'JKP-8.5 - Unit Costs'!$A$9:$H$33,2,FALSE)</f>
        <v>0</v>
      </c>
      <c r="J61" s="1143">
        <f>VLOOKUP($E61,'JKP-8.5 - Unit Costs'!$A$9:$H$33,5,FALSE)</f>
        <v>0</v>
      </c>
      <c r="K61" s="1143">
        <f>VLOOKUP($E61,'JKP-8.5 - Unit Costs'!$A$9:$H$33,3,FALSE)</f>
        <v>0</v>
      </c>
      <c r="L61" s="1143">
        <f>VLOOKUP($E61,'JKP-8.5 - Unit Costs'!$A$9:$H$33,6,FALSE)</f>
        <v>0</v>
      </c>
      <c r="M61" s="1143">
        <f>VLOOKUP($E61,'JKP-8.5 - Unit Costs'!$A$9:$H$33,8,FALSE)</f>
        <v>5835.1900000000005</v>
      </c>
      <c r="N61" s="1143">
        <f>VLOOKUP($E61,'JKP-8.5 - Unit Costs'!$A$9:$H$33,8,FALSE)</f>
        <v>5835.1900000000005</v>
      </c>
      <c r="O61" s="1144">
        <f t="shared" si="3"/>
        <v>0</v>
      </c>
      <c r="P61" s="1144">
        <f t="shared" si="3"/>
        <v>0</v>
      </c>
      <c r="Q61" s="1144">
        <f t="shared" si="4"/>
        <v>0</v>
      </c>
      <c r="R61" s="1144">
        <f t="shared" si="5"/>
        <v>0</v>
      </c>
      <c r="S61" s="1144">
        <f t="shared" si="5"/>
        <v>0</v>
      </c>
      <c r="T61" s="1144">
        <f t="shared" si="6"/>
        <v>0</v>
      </c>
      <c r="U61" s="1144">
        <f t="shared" si="7"/>
        <v>64187.090000000004</v>
      </c>
      <c r="V61" s="1144">
        <f t="shared" si="7"/>
        <v>904454.45000000007</v>
      </c>
      <c r="W61" s="1145">
        <f t="shared" si="8"/>
        <v>968641.54</v>
      </c>
    </row>
    <row r="62" spans="1:23" x14ac:dyDescent="0.2">
      <c r="A62" s="1140" t="str">
        <f t="shared" si="0"/>
        <v>31G-C 16000 AMR</v>
      </c>
      <c r="B62" s="1140" t="str">
        <f t="shared" si="1"/>
        <v xml:space="preserve">31G-C 16000 </v>
      </c>
      <c r="C62" s="1140" t="s">
        <v>1854</v>
      </c>
      <c r="D62" s="1140" t="s">
        <v>901</v>
      </c>
      <c r="E62" s="1140">
        <v>16000</v>
      </c>
      <c r="F62" s="1141">
        <f>SUMIF('JKP-8.5 - CNSMREQP_GASMTRCTR'!$A$2:$A$391,'JKP-8.5 - Total Costs'!A62,'JKP-8.5 - CNSMREQP_GASMTRCTR'!$F$2:$F$391)-SUMIF('JKP-8.5 - Migrated From'!$A$2:$A$22,'JKP-8.5 - Total Costs'!A62,'JKP-8.5 - Migrated From'!$F$2:$F$22)+SUMIF('JKP-8.5 - Migrated To'!$A$2:$A$22,'JKP-8.5 - Total Costs'!A62,'JKP-8.5 - Migrated To'!$F$2:$F$22)</f>
        <v>2</v>
      </c>
      <c r="G62" s="1141">
        <f>SUMIF('JKP-8.5 - CNSMREQP_GASMTRCTR'!$A$2:$A$391,'JKP-8.5 - Total Costs'!B62,'JKP-8.5 - CNSMREQP_GASMTRCTR'!$F$2:$F$391)-SUMIF('JKP-8.5 - Migrated From'!$A$2:$A$22,'JKP-8.5 - Total Costs'!B62,'JKP-8.5 - Migrated From'!$F$2:$F$22)+SUMIF('JKP-8.5 - Migrated To'!$A$2:$A$22,'JKP-8.5 - Total Costs'!B62,'JKP-8.5 - Migrated To'!$F$2:$F$22)</f>
        <v>91</v>
      </c>
      <c r="H62" s="1142">
        <f t="shared" si="2"/>
        <v>93</v>
      </c>
      <c r="I62" s="1143">
        <f>VLOOKUP($E62,'JKP-8.5 - Unit Costs'!$A$9:$H$33,2,FALSE)</f>
        <v>0</v>
      </c>
      <c r="J62" s="1143">
        <f>VLOOKUP($E62,'JKP-8.5 - Unit Costs'!$A$9:$H$33,5,FALSE)</f>
        <v>0</v>
      </c>
      <c r="K62" s="1143">
        <f>VLOOKUP($E62,'JKP-8.5 - Unit Costs'!$A$9:$H$33,3,FALSE)</f>
        <v>0</v>
      </c>
      <c r="L62" s="1143">
        <f>VLOOKUP($E62,'JKP-8.5 - Unit Costs'!$A$9:$H$33,6,FALSE)</f>
        <v>0</v>
      </c>
      <c r="M62" s="1143">
        <f>VLOOKUP($E62,'JKP-8.5 - Unit Costs'!$A$9:$H$33,8,FALSE)</f>
        <v>8983.2999999999993</v>
      </c>
      <c r="N62" s="1143">
        <f>VLOOKUP($E62,'JKP-8.5 - Unit Costs'!$A$9:$H$33,8,FALSE)</f>
        <v>8983.2999999999993</v>
      </c>
      <c r="O62" s="1144">
        <f t="shared" si="3"/>
        <v>0</v>
      </c>
      <c r="P62" s="1144">
        <f t="shared" si="3"/>
        <v>0</v>
      </c>
      <c r="Q62" s="1144">
        <f t="shared" si="4"/>
        <v>0</v>
      </c>
      <c r="R62" s="1144">
        <f t="shared" si="5"/>
        <v>0</v>
      </c>
      <c r="S62" s="1144">
        <f t="shared" si="5"/>
        <v>0</v>
      </c>
      <c r="T62" s="1144">
        <f t="shared" si="6"/>
        <v>0</v>
      </c>
      <c r="U62" s="1144">
        <f t="shared" si="7"/>
        <v>17966.599999999999</v>
      </c>
      <c r="V62" s="1144">
        <f t="shared" si="7"/>
        <v>817480.29999999993</v>
      </c>
      <c r="W62" s="1145">
        <f t="shared" si="8"/>
        <v>835446.89999999991</v>
      </c>
    </row>
    <row r="63" spans="1:23" x14ac:dyDescent="0.2">
      <c r="A63" s="1140" t="str">
        <f t="shared" si="0"/>
        <v>31G-C 18000 AMR</v>
      </c>
      <c r="B63" s="1140" t="str">
        <f t="shared" si="1"/>
        <v xml:space="preserve">31G-C 18000 </v>
      </c>
      <c r="C63" s="1140" t="s">
        <v>1854</v>
      </c>
      <c r="D63" s="1140" t="s">
        <v>901</v>
      </c>
      <c r="E63" s="1140">
        <v>18000</v>
      </c>
      <c r="F63" s="1141">
        <f>SUMIF('JKP-8.5 - CNSMREQP_GASMTRCTR'!$A$2:$A$391,'JKP-8.5 - Total Costs'!A63,'JKP-8.5 - CNSMREQP_GASMTRCTR'!$F$2:$F$391)-SUMIF('JKP-8.5 - Migrated From'!$A$2:$A$22,'JKP-8.5 - Total Costs'!A63,'JKP-8.5 - Migrated From'!$F$2:$F$22)+SUMIF('JKP-8.5 - Migrated To'!$A$2:$A$22,'JKP-8.5 - Total Costs'!A63,'JKP-8.5 - Migrated To'!$F$2:$F$22)</f>
        <v>0</v>
      </c>
      <c r="G63" s="1141">
        <f>SUMIF('JKP-8.5 - CNSMREQP_GASMTRCTR'!$A$2:$A$391,'JKP-8.5 - Total Costs'!B63,'JKP-8.5 - CNSMREQP_GASMTRCTR'!$F$2:$F$391)-SUMIF('JKP-8.5 - Migrated From'!$A$2:$A$22,'JKP-8.5 - Total Costs'!B63,'JKP-8.5 - Migrated From'!$F$2:$F$22)+SUMIF('JKP-8.5 - Migrated To'!$A$2:$A$22,'JKP-8.5 - Total Costs'!B63,'JKP-8.5 - Migrated To'!$F$2:$F$22)</f>
        <v>4</v>
      </c>
      <c r="H63" s="1142">
        <f t="shared" si="2"/>
        <v>4</v>
      </c>
      <c r="I63" s="1143">
        <f>VLOOKUP($E63,'JKP-8.5 - Unit Costs'!$A$9:$H$33,2,FALSE)</f>
        <v>0</v>
      </c>
      <c r="J63" s="1143">
        <f>VLOOKUP($E63,'JKP-8.5 - Unit Costs'!$A$9:$H$33,5,FALSE)</f>
        <v>0</v>
      </c>
      <c r="K63" s="1143">
        <f>VLOOKUP($E63,'JKP-8.5 - Unit Costs'!$A$9:$H$33,3,FALSE)</f>
        <v>0</v>
      </c>
      <c r="L63" s="1143">
        <f>VLOOKUP($E63,'JKP-8.5 - Unit Costs'!$A$9:$H$33,6,FALSE)</f>
        <v>0</v>
      </c>
      <c r="M63" s="1143">
        <f>VLOOKUP($E63,'JKP-8.5 - Unit Costs'!$A$9:$H$33,8,FALSE)</f>
        <v>8412.5300000000007</v>
      </c>
      <c r="N63" s="1143">
        <f>VLOOKUP($E63,'JKP-8.5 - Unit Costs'!$A$9:$H$33,8,FALSE)</f>
        <v>8412.5300000000007</v>
      </c>
      <c r="O63" s="1144">
        <f t="shared" si="3"/>
        <v>0</v>
      </c>
      <c r="P63" s="1144">
        <f t="shared" si="3"/>
        <v>0</v>
      </c>
      <c r="Q63" s="1144">
        <f t="shared" si="4"/>
        <v>0</v>
      </c>
      <c r="R63" s="1144">
        <f t="shared" si="5"/>
        <v>0</v>
      </c>
      <c r="S63" s="1144">
        <f t="shared" si="5"/>
        <v>0</v>
      </c>
      <c r="T63" s="1144">
        <f t="shared" si="6"/>
        <v>0</v>
      </c>
      <c r="U63" s="1144">
        <f t="shared" si="7"/>
        <v>0</v>
      </c>
      <c r="V63" s="1144">
        <f t="shared" si="7"/>
        <v>33650.120000000003</v>
      </c>
      <c r="W63" s="1145">
        <f t="shared" si="8"/>
        <v>33650.120000000003</v>
      </c>
    </row>
    <row r="64" spans="1:23" x14ac:dyDescent="0.2">
      <c r="A64" s="1140" t="str">
        <f t="shared" si="0"/>
        <v>31G-C 23000 AMR</v>
      </c>
      <c r="B64" s="1140" t="str">
        <f t="shared" si="1"/>
        <v xml:space="preserve">31G-C 23000 </v>
      </c>
      <c r="C64" s="1140" t="s">
        <v>1854</v>
      </c>
      <c r="D64" s="1140" t="s">
        <v>901</v>
      </c>
      <c r="E64" s="1140">
        <v>23000</v>
      </c>
      <c r="F64" s="1141">
        <f>SUMIF('JKP-8.5 - CNSMREQP_GASMTRCTR'!$A$2:$A$391,'JKP-8.5 - Total Costs'!A64,'JKP-8.5 - CNSMREQP_GASMTRCTR'!$F$2:$F$391)-SUMIF('JKP-8.5 - Migrated From'!$A$2:$A$22,'JKP-8.5 - Total Costs'!A64,'JKP-8.5 - Migrated From'!$F$2:$F$22)+SUMIF('JKP-8.5 - Migrated To'!$A$2:$A$22,'JKP-8.5 - Total Costs'!A64,'JKP-8.5 - Migrated To'!$F$2:$F$22)</f>
        <v>0</v>
      </c>
      <c r="G64" s="1141">
        <f>SUMIF('JKP-8.5 - CNSMREQP_GASMTRCTR'!$A$2:$A$391,'JKP-8.5 - Total Costs'!B64,'JKP-8.5 - CNSMREQP_GASMTRCTR'!$F$2:$F$391)-SUMIF('JKP-8.5 - Migrated From'!$A$2:$A$22,'JKP-8.5 - Total Costs'!B64,'JKP-8.5 - Migrated From'!$F$2:$F$22)+SUMIF('JKP-8.5 - Migrated To'!$A$2:$A$22,'JKP-8.5 - Total Costs'!B64,'JKP-8.5 - Migrated To'!$F$2:$F$22)</f>
        <v>4</v>
      </c>
      <c r="H64" s="1142">
        <f t="shared" si="2"/>
        <v>4</v>
      </c>
      <c r="I64" s="1143">
        <f>VLOOKUP($E64,'JKP-8.5 - Unit Costs'!$A$9:$H$33,2,FALSE)</f>
        <v>0</v>
      </c>
      <c r="J64" s="1143">
        <f>VLOOKUP($E64,'JKP-8.5 - Unit Costs'!$A$9:$H$33,5,FALSE)</f>
        <v>0</v>
      </c>
      <c r="K64" s="1143">
        <f>VLOOKUP($E64,'JKP-8.5 - Unit Costs'!$A$9:$H$33,3,FALSE)</f>
        <v>0</v>
      </c>
      <c r="L64" s="1143">
        <f>VLOOKUP($E64,'JKP-8.5 - Unit Costs'!$A$9:$H$33,6,FALSE)</f>
        <v>0</v>
      </c>
      <c r="M64" s="1143">
        <f>VLOOKUP($E64,'JKP-8.5 - Unit Costs'!$A$9:$H$33,8,FALSE)</f>
        <v>20882.400000000001</v>
      </c>
      <c r="N64" s="1143">
        <f>VLOOKUP($E64,'JKP-8.5 - Unit Costs'!$A$9:$H$33,8,FALSE)</f>
        <v>20882.400000000001</v>
      </c>
      <c r="O64" s="1144">
        <f t="shared" si="3"/>
        <v>0</v>
      </c>
      <c r="P64" s="1144">
        <f t="shared" si="3"/>
        <v>0</v>
      </c>
      <c r="Q64" s="1144">
        <f t="shared" si="4"/>
        <v>0</v>
      </c>
      <c r="R64" s="1144">
        <f t="shared" si="5"/>
        <v>0</v>
      </c>
      <c r="S64" s="1144">
        <f t="shared" si="5"/>
        <v>0</v>
      </c>
      <c r="T64" s="1144">
        <f t="shared" si="6"/>
        <v>0</v>
      </c>
      <c r="U64" s="1144">
        <f t="shared" si="7"/>
        <v>0</v>
      </c>
      <c r="V64" s="1144">
        <f t="shared" si="7"/>
        <v>83529.600000000006</v>
      </c>
      <c r="W64" s="1145">
        <f t="shared" si="8"/>
        <v>83529.600000000006</v>
      </c>
    </row>
    <row r="65" spans="1:23" x14ac:dyDescent="0.2">
      <c r="A65" s="1140" t="str">
        <f t="shared" si="0"/>
        <v>31G-C 30000 AMR</v>
      </c>
      <c r="B65" s="1140" t="str">
        <f t="shared" si="1"/>
        <v xml:space="preserve">31G-C 30000 </v>
      </c>
      <c r="C65" s="1140" t="s">
        <v>1854</v>
      </c>
      <c r="D65" s="1140" t="s">
        <v>901</v>
      </c>
      <c r="E65" s="1140">
        <v>30000</v>
      </c>
      <c r="F65" s="1141">
        <f>SUMIF('JKP-8.5 - CNSMREQP_GASMTRCTR'!$A$2:$A$391,'JKP-8.5 - Total Costs'!A65,'JKP-8.5 - CNSMREQP_GASMTRCTR'!$F$2:$F$391)-SUMIF('JKP-8.5 - Migrated From'!$A$2:$A$22,'JKP-8.5 - Total Costs'!A65,'JKP-8.5 - Migrated From'!$F$2:$F$22)+SUMIF('JKP-8.5 - Migrated To'!$A$2:$A$22,'JKP-8.5 - Total Costs'!A65,'JKP-8.5 - Migrated To'!$F$2:$F$22)</f>
        <v>0</v>
      </c>
      <c r="G65" s="1141">
        <f>SUMIF('JKP-8.5 - CNSMREQP_GASMTRCTR'!$A$2:$A$391,'JKP-8.5 - Total Costs'!B65,'JKP-8.5 - CNSMREQP_GASMTRCTR'!$F$2:$F$391)-SUMIF('JKP-8.5 - Migrated From'!$A$2:$A$22,'JKP-8.5 - Total Costs'!B65,'JKP-8.5 - Migrated From'!$F$2:$F$22)+SUMIF('JKP-8.5 - Migrated To'!$A$2:$A$22,'JKP-8.5 - Total Costs'!B65,'JKP-8.5 - Migrated To'!$F$2:$F$22)</f>
        <v>4</v>
      </c>
      <c r="H65" s="1142">
        <f t="shared" si="2"/>
        <v>4</v>
      </c>
      <c r="I65" s="1143">
        <f>VLOOKUP($E65,'JKP-8.5 - Unit Costs'!$A$9:$H$33,2,FALSE)</f>
        <v>0</v>
      </c>
      <c r="J65" s="1143">
        <f>VLOOKUP($E65,'JKP-8.5 - Unit Costs'!$A$9:$H$33,5,FALSE)</f>
        <v>0</v>
      </c>
      <c r="K65" s="1143">
        <f>VLOOKUP($E65,'JKP-8.5 - Unit Costs'!$A$9:$H$33,3,FALSE)</f>
        <v>0</v>
      </c>
      <c r="L65" s="1143">
        <f>VLOOKUP($E65,'JKP-8.5 - Unit Costs'!$A$9:$H$33,6,FALSE)</f>
        <v>0</v>
      </c>
      <c r="M65" s="1143">
        <f>VLOOKUP($E65,'JKP-8.5 - Unit Costs'!$A$9:$H$33,8,FALSE)</f>
        <v>28159.37</v>
      </c>
      <c r="N65" s="1143">
        <f>VLOOKUP($E65,'JKP-8.5 - Unit Costs'!$A$9:$H$33,8,FALSE)</f>
        <v>28159.37</v>
      </c>
      <c r="O65" s="1144">
        <f t="shared" si="3"/>
        <v>0</v>
      </c>
      <c r="P65" s="1144">
        <f t="shared" si="3"/>
        <v>0</v>
      </c>
      <c r="Q65" s="1144">
        <f t="shared" si="4"/>
        <v>0</v>
      </c>
      <c r="R65" s="1144">
        <f t="shared" si="5"/>
        <v>0</v>
      </c>
      <c r="S65" s="1144">
        <f t="shared" si="5"/>
        <v>0</v>
      </c>
      <c r="T65" s="1144">
        <f t="shared" si="6"/>
        <v>0</v>
      </c>
      <c r="U65" s="1144">
        <f t="shared" si="7"/>
        <v>0</v>
      </c>
      <c r="V65" s="1144">
        <f t="shared" si="7"/>
        <v>112637.48</v>
      </c>
      <c r="W65" s="1145">
        <f t="shared" si="8"/>
        <v>112637.48</v>
      </c>
    </row>
    <row r="66" spans="1:23" x14ac:dyDescent="0.2">
      <c r="A66" s="1140" t="str">
        <f t="shared" si="0"/>
        <v>31G-C 60000 AMR</v>
      </c>
      <c r="B66" s="1140" t="str">
        <f t="shared" si="1"/>
        <v xml:space="preserve">31G-C 60000 </v>
      </c>
      <c r="C66" s="1140" t="s">
        <v>1854</v>
      </c>
      <c r="D66" s="1140" t="s">
        <v>901</v>
      </c>
      <c r="E66" s="1140">
        <v>60000</v>
      </c>
      <c r="F66" s="1141">
        <f>SUMIF('JKP-8.5 - CNSMREQP_GASMTRCTR'!$A$2:$A$391,'JKP-8.5 - Total Costs'!A66,'JKP-8.5 - CNSMREQP_GASMTRCTR'!$F$2:$F$391)-SUMIF('JKP-8.5 - Migrated From'!$A$2:$A$22,'JKP-8.5 - Total Costs'!A66,'JKP-8.5 - Migrated From'!$F$2:$F$22)+SUMIF('JKP-8.5 - Migrated To'!$A$2:$A$22,'JKP-8.5 - Total Costs'!A66,'JKP-8.5 - Migrated To'!$F$2:$F$22)</f>
        <v>0</v>
      </c>
      <c r="G66" s="1141">
        <f>SUMIF('JKP-8.5 - CNSMREQP_GASMTRCTR'!$A$2:$A$391,'JKP-8.5 - Total Costs'!B66,'JKP-8.5 - CNSMREQP_GASMTRCTR'!$F$2:$F$391)-SUMIF('JKP-8.5 - Migrated From'!$A$2:$A$22,'JKP-8.5 - Total Costs'!B66,'JKP-8.5 - Migrated From'!$F$2:$F$22)+SUMIF('JKP-8.5 - Migrated To'!$A$2:$A$22,'JKP-8.5 - Total Costs'!B66,'JKP-8.5 - Migrated To'!$F$2:$F$22)</f>
        <v>2</v>
      </c>
      <c r="H66" s="1142">
        <f t="shared" si="2"/>
        <v>2</v>
      </c>
      <c r="I66" s="1143">
        <f>VLOOKUP($E66,'JKP-8.5 - Unit Costs'!$A$9:$H$33,2,FALSE)</f>
        <v>0</v>
      </c>
      <c r="J66" s="1143">
        <f>VLOOKUP($E66,'JKP-8.5 - Unit Costs'!$A$9:$H$33,5,FALSE)</f>
        <v>0</v>
      </c>
      <c r="K66" s="1143">
        <f>VLOOKUP($E66,'JKP-8.5 - Unit Costs'!$A$9:$H$33,3,FALSE)</f>
        <v>0</v>
      </c>
      <c r="L66" s="1143">
        <f>VLOOKUP($E66,'JKP-8.5 - Unit Costs'!$A$9:$H$33,6,FALSE)</f>
        <v>0</v>
      </c>
      <c r="M66" s="1143">
        <f>VLOOKUP($E66,'JKP-8.5 - Unit Costs'!$A$9:$H$33,8,FALSE)</f>
        <v>36556.269999999997</v>
      </c>
      <c r="N66" s="1143">
        <f>VLOOKUP($E66,'JKP-8.5 - Unit Costs'!$A$9:$H$33,8,FALSE)</f>
        <v>36556.269999999997</v>
      </c>
      <c r="O66" s="1144">
        <f t="shared" si="3"/>
        <v>0</v>
      </c>
      <c r="P66" s="1144">
        <f t="shared" si="3"/>
        <v>0</v>
      </c>
      <c r="Q66" s="1144">
        <f t="shared" si="4"/>
        <v>0</v>
      </c>
      <c r="R66" s="1144">
        <f t="shared" si="5"/>
        <v>0</v>
      </c>
      <c r="S66" s="1144">
        <f t="shared" si="5"/>
        <v>0</v>
      </c>
      <c r="T66" s="1144">
        <f t="shared" si="6"/>
        <v>0</v>
      </c>
      <c r="U66" s="1144">
        <f t="shared" si="7"/>
        <v>0</v>
      </c>
      <c r="V66" s="1144">
        <f t="shared" si="7"/>
        <v>73112.539999999994</v>
      </c>
      <c r="W66" s="1145">
        <f t="shared" si="8"/>
        <v>73112.539999999994</v>
      </c>
    </row>
    <row r="67" spans="1:23" x14ac:dyDescent="0.2">
      <c r="A67" s="1140" t="str">
        <f t="shared" si="0"/>
        <v>31G-C 100000 AMR</v>
      </c>
      <c r="B67" s="1140" t="str">
        <f t="shared" si="1"/>
        <v xml:space="preserve">31G-C 100000 </v>
      </c>
      <c r="C67" s="1140" t="s">
        <v>1854</v>
      </c>
      <c r="D67" s="1140" t="s">
        <v>901</v>
      </c>
      <c r="E67" s="1140">
        <v>100000</v>
      </c>
      <c r="F67" s="1141">
        <f>SUMIF('JKP-8.5 - CNSMREQP_GASMTRCTR'!$A$2:$A$391,'JKP-8.5 - Total Costs'!A67,'JKP-8.5 - CNSMREQP_GASMTRCTR'!$F$2:$F$391)-SUMIF('JKP-8.5 - Migrated From'!$A$2:$A$22,'JKP-8.5 - Total Costs'!A67,'JKP-8.5 - Migrated From'!$F$2:$F$22)+SUMIF('JKP-8.5 - Migrated To'!$A$2:$A$22,'JKP-8.5 - Total Costs'!A67,'JKP-8.5 - Migrated To'!$F$2:$F$22)</f>
        <v>0</v>
      </c>
      <c r="G67" s="1141">
        <f>SUMIF('JKP-8.5 - CNSMREQP_GASMTRCTR'!$A$2:$A$391,'JKP-8.5 - Total Costs'!B67,'JKP-8.5 - CNSMREQP_GASMTRCTR'!$F$2:$F$391)-SUMIF('JKP-8.5 - Migrated From'!$A$2:$A$22,'JKP-8.5 - Total Costs'!B67,'JKP-8.5 - Migrated From'!$F$2:$F$22)+SUMIF('JKP-8.5 - Migrated To'!$A$2:$A$22,'JKP-8.5 - Total Costs'!B67,'JKP-8.5 - Migrated To'!$F$2:$F$22)</f>
        <v>1</v>
      </c>
      <c r="H67" s="1142">
        <f t="shared" si="2"/>
        <v>1</v>
      </c>
      <c r="I67" s="1143">
        <f>VLOOKUP($E67,'JKP-8.5 - Unit Costs'!$A$9:$H$33,2,FALSE)</f>
        <v>0</v>
      </c>
      <c r="J67" s="1143">
        <f>VLOOKUP($E67,'JKP-8.5 - Unit Costs'!$A$9:$H$33,5,FALSE)</f>
        <v>0</v>
      </c>
      <c r="K67" s="1143">
        <f>VLOOKUP($E67,'JKP-8.5 - Unit Costs'!$A$9:$H$33,3,FALSE)</f>
        <v>0</v>
      </c>
      <c r="L67" s="1143">
        <f>VLOOKUP($E67,'JKP-8.5 - Unit Costs'!$A$9:$H$33,6,FALSE)</f>
        <v>0</v>
      </c>
      <c r="M67" s="1143">
        <f>VLOOKUP($E67,'JKP-8.5 - Unit Costs'!$A$9:$H$33,8,FALSE)</f>
        <v>36556.269999999997</v>
      </c>
      <c r="N67" s="1143">
        <f>VLOOKUP($E67,'JKP-8.5 - Unit Costs'!$A$9:$H$33,8,FALSE)</f>
        <v>36556.269999999997</v>
      </c>
      <c r="O67" s="1144">
        <f t="shared" si="3"/>
        <v>0</v>
      </c>
      <c r="P67" s="1144">
        <f t="shared" si="3"/>
        <v>0</v>
      </c>
      <c r="Q67" s="1144">
        <f t="shared" si="4"/>
        <v>0</v>
      </c>
      <c r="R67" s="1144">
        <f t="shared" si="5"/>
        <v>0</v>
      </c>
      <c r="S67" s="1144">
        <f t="shared" si="5"/>
        <v>0</v>
      </c>
      <c r="T67" s="1144">
        <f t="shared" si="6"/>
        <v>0</v>
      </c>
      <c r="U67" s="1144">
        <f t="shared" si="7"/>
        <v>0</v>
      </c>
      <c r="V67" s="1144">
        <f t="shared" si="7"/>
        <v>36556.269999999997</v>
      </c>
      <c r="W67" s="1145">
        <f t="shared" si="8"/>
        <v>36556.269999999997</v>
      </c>
    </row>
    <row r="68" spans="1:23" x14ac:dyDescent="0.2">
      <c r="A68" s="1140" t="str">
        <f t="shared" si="0"/>
        <v>31G-C-ND 175 AMR</v>
      </c>
      <c r="B68" s="1140" t="str">
        <f t="shared" si="1"/>
        <v xml:space="preserve">31G-C-ND 175 </v>
      </c>
      <c r="C68" s="1140" t="s">
        <v>1854</v>
      </c>
      <c r="D68" s="1140" t="s">
        <v>902</v>
      </c>
      <c r="E68" s="1140">
        <v>175</v>
      </c>
      <c r="F68" s="1141">
        <f>SUMIF('JKP-8.5 - CNSMREQP_GASMTRCTR'!$A$2:$A$391,'JKP-8.5 - Total Costs'!A68,'JKP-8.5 - CNSMREQP_GASMTRCTR'!$F$2:$F$391)-SUMIF('JKP-8.5 - Migrated From'!$A$2:$A$22,'JKP-8.5 - Total Costs'!A68,'JKP-8.5 - Migrated From'!$F$2:$F$22)+SUMIF('JKP-8.5 - Migrated To'!$A$2:$A$22,'JKP-8.5 - Total Costs'!A68,'JKP-8.5 - Migrated To'!$F$2:$F$22)</f>
        <v>1</v>
      </c>
      <c r="G68" s="1141">
        <f>SUMIF('JKP-8.5 - CNSMREQP_GASMTRCTR'!$A$2:$A$391,'JKP-8.5 - Total Costs'!B68,'JKP-8.5 - CNSMREQP_GASMTRCTR'!$F$2:$F$391)-SUMIF('JKP-8.5 - Migrated From'!$A$2:$A$22,'JKP-8.5 - Total Costs'!B68,'JKP-8.5 - Migrated From'!$F$2:$F$22)+SUMIF('JKP-8.5 - Migrated To'!$A$2:$A$22,'JKP-8.5 - Total Costs'!B68,'JKP-8.5 - Migrated To'!$F$2:$F$22)</f>
        <v>0</v>
      </c>
      <c r="H68" s="1142">
        <f t="shared" si="2"/>
        <v>1</v>
      </c>
      <c r="I68" s="1143">
        <f>VLOOKUP($E68,'JKP-8.5 - Unit Costs'!$A$9:$H$33,2,FALSE)</f>
        <v>141.83000000000001</v>
      </c>
      <c r="J68" s="1143">
        <f>VLOOKUP($E68,'JKP-8.5 - Unit Costs'!$A$9:$H$33,5,FALSE)</f>
        <v>92.480000000000018</v>
      </c>
      <c r="K68" s="1143">
        <f>VLOOKUP($E68,'JKP-8.5 - Unit Costs'!$A$9:$H$33,3,FALSE)</f>
        <v>41.76</v>
      </c>
      <c r="L68" s="1143">
        <f>VLOOKUP($E68,'JKP-8.5 - Unit Costs'!$A$9:$H$33,6,FALSE)</f>
        <v>41.76</v>
      </c>
      <c r="M68" s="1143">
        <f>VLOOKUP($E68,'JKP-8.5 - Unit Costs'!$A$9:$H$33,8,FALSE)</f>
        <v>0</v>
      </c>
      <c r="N68" s="1143">
        <f>VLOOKUP($E68,'JKP-8.5 - Unit Costs'!$A$9:$H$33,8,FALSE)</f>
        <v>0</v>
      </c>
      <c r="O68" s="1144">
        <f t="shared" si="3"/>
        <v>141.83000000000001</v>
      </c>
      <c r="P68" s="1144">
        <f t="shared" si="3"/>
        <v>0</v>
      </c>
      <c r="Q68" s="1144">
        <f t="shared" si="4"/>
        <v>141.83000000000001</v>
      </c>
      <c r="R68" s="1144">
        <f t="shared" si="5"/>
        <v>41.76</v>
      </c>
      <c r="S68" s="1144">
        <f t="shared" si="5"/>
        <v>0</v>
      </c>
      <c r="T68" s="1144">
        <f t="shared" si="6"/>
        <v>41.76</v>
      </c>
      <c r="U68" s="1144">
        <f t="shared" si="7"/>
        <v>0</v>
      </c>
      <c r="V68" s="1144">
        <f t="shared" si="7"/>
        <v>0</v>
      </c>
      <c r="W68" s="1145">
        <f t="shared" si="8"/>
        <v>0</v>
      </c>
    </row>
    <row r="69" spans="1:23" x14ac:dyDescent="0.2">
      <c r="A69" s="1140" t="str">
        <f t="shared" si="0"/>
        <v>31G-C-ND 250 AMR</v>
      </c>
      <c r="B69" s="1140" t="str">
        <f t="shared" si="1"/>
        <v xml:space="preserve">31G-C-ND 250 </v>
      </c>
      <c r="C69" s="1140" t="s">
        <v>1854</v>
      </c>
      <c r="D69" s="1140" t="s">
        <v>902</v>
      </c>
      <c r="E69" s="1140">
        <v>250</v>
      </c>
      <c r="F69" s="1141">
        <f>SUMIF('JKP-8.5 - CNSMREQP_GASMTRCTR'!$A$2:$A$391,'JKP-8.5 - Total Costs'!A69,'JKP-8.5 - CNSMREQP_GASMTRCTR'!$F$2:$F$391)-SUMIF('JKP-8.5 - Migrated From'!$A$2:$A$22,'JKP-8.5 - Total Costs'!A69,'JKP-8.5 - Migrated From'!$F$2:$F$22)+SUMIF('JKP-8.5 - Migrated To'!$A$2:$A$22,'JKP-8.5 - Total Costs'!A69,'JKP-8.5 - Migrated To'!$F$2:$F$22)</f>
        <v>8</v>
      </c>
      <c r="G69" s="1141">
        <f>SUMIF('JKP-8.5 - CNSMREQP_GASMTRCTR'!$A$2:$A$391,'JKP-8.5 - Total Costs'!B69,'JKP-8.5 - CNSMREQP_GASMTRCTR'!$F$2:$F$391)-SUMIF('JKP-8.5 - Migrated From'!$A$2:$A$22,'JKP-8.5 - Total Costs'!B69,'JKP-8.5 - Migrated From'!$F$2:$F$22)+SUMIF('JKP-8.5 - Migrated To'!$A$2:$A$22,'JKP-8.5 - Total Costs'!B69,'JKP-8.5 - Migrated To'!$F$2:$F$22)</f>
        <v>0</v>
      </c>
      <c r="H69" s="1142">
        <f t="shared" si="2"/>
        <v>8</v>
      </c>
      <c r="I69" s="1143">
        <f>VLOOKUP($E69,'JKP-8.5 - Unit Costs'!$A$9:$H$33,2,FALSE)</f>
        <v>141.83000000000001</v>
      </c>
      <c r="J69" s="1143">
        <f>VLOOKUP($E69,'JKP-8.5 - Unit Costs'!$A$9:$H$33,5,FALSE)</f>
        <v>92.480000000000018</v>
      </c>
      <c r="K69" s="1143">
        <f>VLOOKUP($E69,'JKP-8.5 - Unit Costs'!$A$9:$H$33,3,FALSE)</f>
        <v>41.76</v>
      </c>
      <c r="L69" s="1143">
        <f>VLOOKUP($E69,'JKP-8.5 - Unit Costs'!$A$9:$H$33,6,FALSE)</f>
        <v>41.76</v>
      </c>
      <c r="M69" s="1143">
        <f>VLOOKUP($E69,'JKP-8.5 - Unit Costs'!$A$9:$H$33,8,FALSE)</f>
        <v>0</v>
      </c>
      <c r="N69" s="1143">
        <f>VLOOKUP($E69,'JKP-8.5 - Unit Costs'!$A$9:$H$33,8,FALSE)</f>
        <v>0</v>
      </c>
      <c r="O69" s="1144">
        <f t="shared" si="3"/>
        <v>1134.6400000000001</v>
      </c>
      <c r="P69" s="1144">
        <f t="shared" si="3"/>
        <v>0</v>
      </c>
      <c r="Q69" s="1144">
        <f t="shared" si="4"/>
        <v>1134.6400000000001</v>
      </c>
      <c r="R69" s="1144">
        <f t="shared" si="5"/>
        <v>334.08</v>
      </c>
      <c r="S69" s="1144">
        <f t="shared" si="5"/>
        <v>0</v>
      </c>
      <c r="T69" s="1144">
        <f t="shared" si="6"/>
        <v>334.08</v>
      </c>
      <c r="U69" s="1144">
        <f t="shared" si="7"/>
        <v>0</v>
      </c>
      <c r="V69" s="1144">
        <f t="shared" si="7"/>
        <v>0</v>
      </c>
      <c r="W69" s="1145">
        <f t="shared" si="8"/>
        <v>0</v>
      </c>
    </row>
    <row r="70" spans="1:23" x14ac:dyDescent="0.2">
      <c r="A70" s="1140" t="str">
        <f t="shared" si="0"/>
        <v>31G-C-ND 425 AMR</v>
      </c>
      <c r="B70" s="1140" t="str">
        <f t="shared" si="1"/>
        <v xml:space="preserve">31G-C-ND 425 </v>
      </c>
      <c r="C70" s="1140" t="s">
        <v>1854</v>
      </c>
      <c r="D70" s="1140" t="s">
        <v>902</v>
      </c>
      <c r="E70" s="1140">
        <v>425</v>
      </c>
      <c r="F70" s="1141">
        <f>SUMIF('JKP-8.5 - CNSMREQP_GASMTRCTR'!$A$2:$A$391,'JKP-8.5 - Total Costs'!A70,'JKP-8.5 - CNSMREQP_GASMTRCTR'!$F$2:$F$391)-SUMIF('JKP-8.5 - Migrated From'!$A$2:$A$22,'JKP-8.5 - Total Costs'!A70,'JKP-8.5 - Migrated From'!$F$2:$F$22)+SUMIF('JKP-8.5 - Migrated To'!$A$2:$A$22,'JKP-8.5 - Total Costs'!A70,'JKP-8.5 - Migrated To'!$F$2:$F$22)</f>
        <v>4</v>
      </c>
      <c r="G70" s="1141">
        <f>SUMIF('JKP-8.5 - CNSMREQP_GASMTRCTR'!$A$2:$A$391,'JKP-8.5 - Total Costs'!B70,'JKP-8.5 - CNSMREQP_GASMTRCTR'!$F$2:$F$391)-SUMIF('JKP-8.5 - Migrated From'!$A$2:$A$22,'JKP-8.5 - Total Costs'!B70,'JKP-8.5 - Migrated From'!$F$2:$F$22)+SUMIF('JKP-8.5 - Migrated To'!$A$2:$A$22,'JKP-8.5 - Total Costs'!B70,'JKP-8.5 - Migrated To'!$F$2:$F$22)</f>
        <v>0</v>
      </c>
      <c r="H70" s="1142">
        <f t="shared" si="2"/>
        <v>4</v>
      </c>
      <c r="I70" s="1143">
        <f>VLOOKUP($E70,'JKP-8.5 - Unit Costs'!$A$9:$H$33,2,FALSE)</f>
        <v>462.02000000000004</v>
      </c>
      <c r="J70" s="1143">
        <f>VLOOKUP($E70,'JKP-8.5 - Unit Costs'!$A$9:$H$33,5,FALSE)</f>
        <v>193.72</v>
      </c>
      <c r="K70" s="1143">
        <f>VLOOKUP($E70,'JKP-8.5 - Unit Costs'!$A$9:$H$33,3,FALSE)</f>
        <v>41.76</v>
      </c>
      <c r="L70" s="1143">
        <f>VLOOKUP($E70,'JKP-8.5 - Unit Costs'!$A$9:$H$33,6,FALSE)</f>
        <v>41.76</v>
      </c>
      <c r="M70" s="1143">
        <f>VLOOKUP($E70,'JKP-8.5 - Unit Costs'!$A$9:$H$33,8,FALSE)</f>
        <v>0</v>
      </c>
      <c r="N70" s="1143">
        <f>VLOOKUP($E70,'JKP-8.5 - Unit Costs'!$A$9:$H$33,8,FALSE)</f>
        <v>0</v>
      </c>
      <c r="O70" s="1144">
        <f t="shared" si="3"/>
        <v>1848.0800000000002</v>
      </c>
      <c r="P70" s="1144">
        <f t="shared" si="3"/>
        <v>0</v>
      </c>
      <c r="Q70" s="1144">
        <f t="shared" si="4"/>
        <v>1848.0800000000002</v>
      </c>
      <c r="R70" s="1144">
        <f t="shared" si="5"/>
        <v>167.04</v>
      </c>
      <c r="S70" s="1144">
        <f t="shared" si="5"/>
        <v>0</v>
      </c>
      <c r="T70" s="1144">
        <f t="shared" si="6"/>
        <v>167.04</v>
      </c>
      <c r="U70" s="1144">
        <f t="shared" si="7"/>
        <v>0</v>
      </c>
      <c r="V70" s="1144">
        <f t="shared" si="7"/>
        <v>0</v>
      </c>
      <c r="W70" s="1145">
        <f t="shared" si="8"/>
        <v>0</v>
      </c>
    </row>
    <row r="71" spans="1:23" x14ac:dyDescent="0.2">
      <c r="A71" s="1140" t="str">
        <f t="shared" si="0"/>
        <v>31G-C-ND 1000 AMR</v>
      </c>
      <c r="B71" s="1140" t="str">
        <f t="shared" si="1"/>
        <v xml:space="preserve">31G-C-ND 1000 </v>
      </c>
      <c r="C71" s="1140" t="s">
        <v>1854</v>
      </c>
      <c r="D71" s="1140" t="s">
        <v>902</v>
      </c>
      <c r="E71" s="1140">
        <v>1000</v>
      </c>
      <c r="F71" s="1141">
        <f>SUMIF('JKP-8.5 - CNSMREQP_GASMTRCTR'!$A$2:$A$391,'JKP-8.5 - Total Costs'!A71,'JKP-8.5 - CNSMREQP_GASMTRCTR'!$F$2:$F$391)-SUMIF('JKP-8.5 - Migrated From'!$A$2:$A$22,'JKP-8.5 - Total Costs'!A71,'JKP-8.5 - Migrated From'!$F$2:$F$22)+SUMIF('JKP-8.5 - Migrated To'!$A$2:$A$22,'JKP-8.5 - Total Costs'!A71,'JKP-8.5 - Migrated To'!$F$2:$F$22)</f>
        <v>1</v>
      </c>
      <c r="G71" s="1141">
        <f>SUMIF('JKP-8.5 - CNSMREQP_GASMTRCTR'!$A$2:$A$391,'JKP-8.5 - Total Costs'!B71,'JKP-8.5 - CNSMREQP_GASMTRCTR'!$F$2:$F$391)-SUMIF('JKP-8.5 - Migrated From'!$A$2:$A$22,'JKP-8.5 - Total Costs'!B71,'JKP-8.5 - Migrated From'!$F$2:$F$22)+SUMIF('JKP-8.5 - Migrated To'!$A$2:$A$22,'JKP-8.5 - Total Costs'!B71,'JKP-8.5 - Migrated To'!$F$2:$F$22)</f>
        <v>1</v>
      </c>
      <c r="H71" s="1142">
        <f t="shared" si="2"/>
        <v>2</v>
      </c>
      <c r="I71" s="1143">
        <f>VLOOKUP($E71,'JKP-8.5 - Unit Costs'!$A$9:$H$33,2,FALSE)</f>
        <v>1404.86</v>
      </c>
      <c r="J71" s="1143">
        <f>VLOOKUP($E71,'JKP-8.5 - Unit Costs'!$A$9:$H$33,5,FALSE)</f>
        <v>1063.1500000000001</v>
      </c>
      <c r="K71" s="1143">
        <f>VLOOKUP($E71,'JKP-8.5 - Unit Costs'!$A$9:$H$33,3,FALSE)</f>
        <v>41.76</v>
      </c>
      <c r="L71" s="1143">
        <f>VLOOKUP($E71,'JKP-8.5 - Unit Costs'!$A$9:$H$33,6,FALSE)</f>
        <v>41.76</v>
      </c>
      <c r="M71" s="1143">
        <f>VLOOKUP($E71,'JKP-8.5 - Unit Costs'!$A$9:$H$33,8,FALSE)</f>
        <v>0</v>
      </c>
      <c r="N71" s="1143">
        <f>VLOOKUP($E71,'JKP-8.5 - Unit Costs'!$A$9:$H$33,8,FALSE)</f>
        <v>0</v>
      </c>
      <c r="O71" s="1144">
        <f t="shared" si="3"/>
        <v>1404.86</v>
      </c>
      <c r="P71" s="1144">
        <f t="shared" si="3"/>
        <v>1063.1500000000001</v>
      </c>
      <c r="Q71" s="1144">
        <f t="shared" si="4"/>
        <v>2468.0100000000002</v>
      </c>
      <c r="R71" s="1144">
        <f t="shared" si="5"/>
        <v>41.76</v>
      </c>
      <c r="S71" s="1144">
        <f t="shared" si="5"/>
        <v>41.76</v>
      </c>
      <c r="T71" s="1144">
        <f t="shared" si="6"/>
        <v>83.52</v>
      </c>
      <c r="U71" s="1144">
        <f t="shared" si="7"/>
        <v>0</v>
      </c>
      <c r="V71" s="1144">
        <f t="shared" si="7"/>
        <v>0</v>
      </c>
      <c r="W71" s="1145">
        <f t="shared" si="8"/>
        <v>0</v>
      </c>
    </row>
    <row r="72" spans="1:23" x14ac:dyDescent="0.2">
      <c r="A72" s="1140" t="str">
        <f t="shared" si="0"/>
        <v>31G-C-NK 175 AMR</v>
      </c>
      <c r="B72" s="1140" t="str">
        <f t="shared" si="1"/>
        <v xml:space="preserve">31G-C-NK 175 </v>
      </c>
      <c r="C72" s="1140" t="s">
        <v>1854</v>
      </c>
      <c r="D72" s="1140" t="s">
        <v>903</v>
      </c>
      <c r="E72" s="1140">
        <v>175</v>
      </c>
      <c r="F72" s="1141">
        <f>SUMIF('JKP-8.5 - CNSMREQP_GASMTRCTR'!$A$2:$A$391,'JKP-8.5 - Total Costs'!A72,'JKP-8.5 - CNSMREQP_GASMTRCTR'!$F$2:$F$391)-SUMIF('JKP-8.5 - Migrated From'!$A$2:$A$22,'JKP-8.5 - Total Costs'!A72,'JKP-8.5 - Migrated From'!$F$2:$F$22)+SUMIF('JKP-8.5 - Migrated To'!$A$2:$A$22,'JKP-8.5 - Total Costs'!A72,'JKP-8.5 - Migrated To'!$F$2:$F$22)</f>
        <v>1</v>
      </c>
      <c r="G72" s="1141">
        <f>SUMIF('JKP-8.5 - CNSMREQP_GASMTRCTR'!$A$2:$A$391,'JKP-8.5 - Total Costs'!B72,'JKP-8.5 - CNSMREQP_GASMTRCTR'!$F$2:$F$391)-SUMIF('JKP-8.5 - Migrated From'!$A$2:$A$22,'JKP-8.5 - Total Costs'!B72,'JKP-8.5 - Migrated From'!$F$2:$F$22)+SUMIF('JKP-8.5 - Migrated To'!$A$2:$A$22,'JKP-8.5 - Total Costs'!B72,'JKP-8.5 - Migrated To'!$F$2:$F$22)</f>
        <v>0</v>
      </c>
      <c r="H72" s="1142">
        <f t="shared" si="2"/>
        <v>1</v>
      </c>
      <c r="I72" s="1143">
        <f>VLOOKUP($E72,'JKP-8.5 - Unit Costs'!$A$9:$H$33,2,FALSE)</f>
        <v>141.83000000000001</v>
      </c>
      <c r="J72" s="1143">
        <f>VLOOKUP($E72,'JKP-8.5 - Unit Costs'!$A$9:$H$33,5,FALSE)</f>
        <v>92.480000000000018</v>
      </c>
      <c r="K72" s="1143">
        <f>VLOOKUP($E72,'JKP-8.5 - Unit Costs'!$A$9:$H$33,3,FALSE)</f>
        <v>41.76</v>
      </c>
      <c r="L72" s="1143">
        <f>VLOOKUP($E72,'JKP-8.5 - Unit Costs'!$A$9:$H$33,6,FALSE)</f>
        <v>41.76</v>
      </c>
      <c r="M72" s="1143">
        <f>VLOOKUP($E72,'JKP-8.5 - Unit Costs'!$A$9:$H$33,8,FALSE)</f>
        <v>0</v>
      </c>
      <c r="N72" s="1143">
        <f>VLOOKUP($E72,'JKP-8.5 - Unit Costs'!$A$9:$H$33,8,FALSE)</f>
        <v>0</v>
      </c>
      <c r="O72" s="1144">
        <f t="shared" si="3"/>
        <v>141.83000000000001</v>
      </c>
      <c r="P72" s="1144">
        <f t="shared" si="3"/>
        <v>0</v>
      </c>
      <c r="Q72" s="1144">
        <f t="shared" si="4"/>
        <v>141.83000000000001</v>
      </c>
      <c r="R72" s="1144">
        <f t="shared" si="5"/>
        <v>41.76</v>
      </c>
      <c r="S72" s="1144">
        <f t="shared" si="5"/>
        <v>0</v>
      </c>
      <c r="T72" s="1144">
        <f t="shared" si="6"/>
        <v>41.76</v>
      </c>
      <c r="U72" s="1144">
        <f t="shared" si="7"/>
        <v>0</v>
      </c>
      <c r="V72" s="1144">
        <f t="shared" si="7"/>
        <v>0</v>
      </c>
      <c r="W72" s="1145">
        <f t="shared" si="8"/>
        <v>0</v>
      </c>
    </row>
    <row r="73" spans="1:23" x14ac:dyDescent="0.2">
      <c r="A73" s="1140" t="str">
        <f t="shared" ref="A73:A136" si="9">D73&amp;" "&amp;E73&amp;" "&amp;$A$6</f>
        <v>31G-C-NK 200 AMR</v>
      </c>
      <c r="B73" s="1140" t="str">
        <f t="shared" ref="B73:B136" si="10">D73&amp;" "&amp;E73&amp;" "&amp;$G$5</f>
        <v xml:space="preserve">31G-C-NK 200 </v>
      </c>
      <c r="C73" s="1140" t="s">
        <v>1854</v>
      </c>
      <c r="D73" s="1140" t="s">
        <v>903</v>
      </c>
      <c r="E73" s="1140">
        <v>200</v>
      </c>
      <c r="F73" s="1141">
        <f>SUMIF('JKP-8.5 - CNSMREQP_GASMTRCTR'!$A$2:$A$391,'JKP-8.5 - Total Costs'!A73,'JKP-8.5 - CNSMREQP_GASMTRCTR'!$F$2:$F$391)-SUMIF('JKP-8.5 - Migrated From'!$A$2:$A$22,'JKP-8.5 - Total Costs'!A73,'JKP-8.5 - Migrated From'!$F$2:$F$22)+SUMIF('JKP-8.5 - Migrated To'!$A$2:$A$22,'JKP-8.5 - Total Costs'!A73,'JKP-8.5 - Migrated To'!$F$2:$F$22)</f>
        <v>1</v>
      </c>
      <c r="G73" s="1141">
        <f>SUMIF('JKP-8.5 - CNSMREQP_GASMTRCTR'!$A$2:$A$391,'JKP-8.5 - Total Costs'!B73,'JKP-8.5 - CNSMREQP_GASMTRCTR'!$F$2:$F$391)-SUMIF('JKP-8.5 - Migrated From'!$A$2:$A$22,'JKP-8.5 - Total Costs'!B73,'JKP-8.5 - Migrated From'!$F$2:$F$22)+SUMIF('JKP-8.5 - Migrated To'!$A$2:$A$22,'JKP-8.5 - Total Costs'!B73,'JKP-8.5 - Migrated To'!$F$2:$F$22)</f>
        <v>0</v>
      </c>
      <c r="H73" s="1142">
        <f t="shared" ref="H73:H136" si="11">F73+G73</f>
        <v>1</v>
      </c>
      <c r="I73" s="1143">
        <f>VLOOKUP($E73,'JKP-8.5 - Unit Costs'!$A$9:$H$33,2,FALSE)</f>
        <v>141.83000000000001</v>
      </c>
      <c r="J73" s="1143">
        <f>VLOOKUP($E73,'JKP-8.5 - Unit Costs'!$A$9:$H$33,5,FALSE)</f>
        <v>92.480000000000018</v>
      </c>
      <c r="K73" s="1143">
        <f>VLOOKUP($E73,'JKP-8.5 - Unit Costs'!$A$9:$H$33,3,FALSE)</f>
        <v>41.76</v>
      </c>
      <c r="L73" s="1143">
        <f>VLOOKUP($E73,'JKP-8.5 - Unit Costs'!$A$9:$H$33,6,FALSE)</f>
        <v>41.76</v>
      </c>
      <c r="M73" s="1143">
        <f>VLOOKUP($E73,'JKP-8.5 - Unit Costs'!$A$9:$H$33,8,FALSE)</f>
        <v>0</v>
      </c>
      <c r="N73" s="1143">
        <f>VLOOKUP($E73,'JKP-8.5 - Unit Costs'!$A$9:$H$33,8,FALSE)</f>
        <v>0</v>
      </c>
      <c r="O73" s="1144">
        <f t="shared" ref="O73:P136" si="12">I73*F73</f>
        <v>141.83000000000001</v>
      </c>
      <c r="P73" s="1144">
        <f t="shared" si="12"/>
        <v>0</v>
      </c>
      <c r="Q73" s="1144">
        <f t="shared" ref="Q73:Q136" si="13">P73+O73</f>
        <v>141.83000000000001</v>
      </c>
      <c r="R73" s="1144">
        <f t="shared" ref="R73:S136" si="14">K73*F73</f>
        <v>41.76</v>
      </c>
      <c r="S73" s="1144">
        <f t="shared" si="14"/>
        <v>0</v>
      </c>
      <c r="T73" s="1144">
        <f t="shared" ref="T73:T136" si="15">S73+R73</f>
        <v>41.76</v>
      </c>
      <c r="U73" s="1144">
        <f t="shared" ref="U73:V136" si="16">M73*F73</f>
        <v>0</v>
      </c>
      <c r="V73" s="1144">
        <f t="shared" si="16"/>
        <v>0</v>
      </c>
      <c r="W73" s="1145">
        <f t="shared" ref="W73:W136" si="17">V73+U73</f>
        <v>0</v>
      </c>
    </row>
    <row r="74" spans="1:23" x14ac:dyDescent="0.2">
      <c r="A74" s="1140" t="str">
        <f t="shared" si="9"/>
        <v>31G-C-NK 250 AMR</v>
      </c>
      <c r="B74" s="1140" t="str">
        <f t="shared" si="10"/>
        <v xml:space="preserve">31G-C-NK 250 </v>
      </c>
      <c r="C74" s="1140" t="s">
        <v>1854</v>
      </c>
      <c r="D74" s="1140" t="s">
        <v>903</v>
      </c>
      <c r="E74" s="1140">
        <v>250</v>
      </c>
      <c r="F74" s="1141">
        <f>SUMIF('JKP-8.5 - CNSMREQP_GASMTRCTR'!$A$2:$A$391,'JKP-8.5 - Total Costs'!A74,'JKP-8.5 - CNSMREQP_GASMTRCTR'!$F$2:$F$391)-SUMIF('JKP-8.5 - Migrated From'!$A$2:$A$22,'JKP-8.5 - Total Costs'!A74,'JKP-8.5 - Migrated From'!$F$2:$F$22)+SUMIF('JKP-8.5 - Migrated To'!$A$2:$A$22,'JKP-8.5 - Total Costs'!A74,'JKP-8.5 - Migrated To'!$F$2:$F$22)</f>
        <v>47</v>
      </c>
      <c r="G74" s="1141">
        <f>SUMIF('JKP-8.5 - CNSMREQP_GASMTRCTR'!$A$2:$A$391,'JKP-8.5 - Total Costs'!B74,'JKP-8.5 - CNSMREQP_GASMTRCTR'!$F$2:$F$391)-SUMIF('JKP-8.5 - Migrated From'!$A$2:$A$22,'JKP-8.5 - Total Costs'!B74,'JKP-8.5 - Migrated From'!$F$2:$F$22)+SUMIF('JKP-8.5 - Migrated To'!$A$2:$A$22,'JKP-8.5 - Total Costs'!B74,'JKP-8.5 - Migrated To'!$F$2:$F$22)</f>
        <v>0</v>
      </c>
      <c r="H74" s="1142">
        <f t="shared" si="11"/>
        <v>47</v>
      </c>
      <c r="I74" s="1143">
        <f>VLOOKUP($E74,'JKP-8.5 - Unit Costs'!$A$9:$H$33,2,FALSE)</f>
        <v>141.83000000000001</v>
      </c>
      <c r="J74" s="1143">
        <f>VLOOKUP($E74,'JKP-8.5 - Unit Costs'!$A$9:$H$33,5,FALSE)</f>
        <v>92.480000000000018</v>
      </c>
      <c r="K74" s="1143">
        <f>VLOOKUP($E74,'JKP-8.5 - Unit Costs'!$A$9:$H$33,3,FALSE)</f>
        <v>41.76</v>
      </c>
      <c r="L74" s="1143">
        <f>VLOOKUP($E74,'JKP-8.5 - Unit Costs'!$A$9:$H$33,6,FALSE)</f>
        <v>41.76</v>
      </c>
      <c r="M74" s="1143">
        <f>VLOOKUP($E74,'JKP-8.5 - Unit Costs'!$A$9:$H$33,8,FALSE)</f>
        <v>0</v>
      </c>
      <c r="N74" s="1143">
        <f>VLOOKUP($E74,'JKP-8.5 - Unit Costs'!$A$9:$H$33,8,FALSE)</f>
        <v>0</v>
      </c>
      <c r="O74" s="1144">
        <f t="shared" si="12"/>
        <v>6666.01</v>
      </c>
      <c r="P74" s="1144">
        <f t="shared" si="12"/>
        <v>0</v>
      </c>
      <c r="Q74" s="1144">
        <f t="shared" si="13"/>
        <v>6666.01</v>
      </c>
      <c r="R74" s="1144">
        <f t="shared" si="14"/>
        <v>1962.7199999999998</v>
      </c>
      <c r="S74" s="1144">
        <f t="shared" si="14"/>
        <v>0</v>
      </c>
      <c r="T74" s="1144">
        <f t="shared" si="15"/>
        <v>1962.7199999999998</v>
      </c>
      <c r="U74" s="1144">
        <f t="shared" si="16"/>
        <v>0</v>
      </c>
      <c r="V74" s="1144">
        <f t="shared" si="16"/>
        <v>0</v>
      </c>
      <c r="W74" s="1145">
        <f t="shared" si="17"/>
        <v>0</v>
      </c>
    </row>
    <row r="75" spans="1:23" x14ac:dyDescent="0.2">
      <c r="A75" s="1140" t="str">
        <f t="shared" si="9"/>
        <v>31G-C-NK 425 AMR</v>
      </c>
      <c r="B75" s="1140" t="str">
        <f t="shared" si="10"/>
        <v xml:space="preserve">31G-C-NK 425 </v>
      </c>
      <c r="C75" s="1140" t="s">
        <v>1854</v>
      </c>
      <c r="D75" s="1140" t="s">
        <v>903</v>
      </c>
      <c r="E75" s="1140">
        <v>425</v>
      </c>
      <c r="F75" s="1141">
        <f>SUMIF('JKP-8.5 - CNSMREQP_GASMTRCTR'!$A$2:$A$391,'JKP-8.5 - Total Costs'!A75,'JKP-8.5 - CNSMREQP_GASMTRCTR'!$F$2:$F$391)-SUMIF('JKP-8.5 - Migrated From'!$A$2:$A$22,'JKP-8.5 - Total Costs'!A75,'JKP-8.5 - Migrated From'!$F$2:$F$22)+SUMIF('JKP-8.5 - Migrated To'!$A$2:$A$22,'JKP-8.5 - Total Costs'!A75,'JKP-8.5 - Migrated To'!$F$2:$F$22)</f>
        <v>19</v>
      </c>
      <c r="G75" s="1141">
        <f>SUMIF('JKP-8.5 - CNSMREQP_GASMTRCTR'!$A$2:$A$391,'JKP-8.5 - Total Costs'!B75,'JKP-8.5 - CNSMREQP_GASMTRCTR'!$F$2:$F$391)-SUMIF('JKP-8.5 - Migrated From'!$A$2:$A$22,'JKP-8.5 - Total Costs'!B75,'JKP-8.5 - Migrated From'!$F$2:$F$22)+SUMIF('JKP-8.5 - Migrated To'!$A$2:$A$22,'JKP-8.5 - Total Costs'!B75,'JKP-8.5 - Migrated To'!$F$2:$F$22)</f>
        <v>0</v>
      </c>
      <c r="H75" s="1142">
        <f t="shared" si="11"/>
        <v>19</v>
      </c>
      <c r="I75" s="1143">
        <f>VLOOKUP($E75,'JKP-8.5 - Unit Costs'!$A$9:$H$33,2,FALSE)</f>
        <v>462.02000000000004</v>
      </c>
      <c r="J75" s="1143">
        <f>VLOOKUP($E75,'JKP-8.5 - Unit Costs'!$A$9:$H$33,5,FALSE)</f>
        <v>193.72</v>
      </c>
      <c r="K75" s="1143">
        <f>VLOOKUP($E75,'JKP-8.5 - Unit Costs'!$A$9:$H$33,3,FALSE)</f>
        <v>41.76</v>
      </c>
      <c r="L75" s="1143">
        <f>VLOOKUP($E75,'JKP-8.5 - Unit Costs'!$A$9:$H$33,6,FALSE)</f>
        <v>41.76</v>
      </c>
      <c r="M75" s="1143">
        <f>VLOOKUP($E75,'JKP-8.5 - Unit Costs'!$A$9:$H$33,8,FALSE)</f>
        <v>0</v>
      </c>
      <c r="N75" s="1143">
        <f>VLOOKUP($E75,'JKP-8.5 - Unit Costs'!$A$9:$H$33,8,FALSE)</f>
        <v>0</v>
      </c>
      <c r="O75" s="1144">
        <f t="shared" si="12"/>
        <v>8778.380000000001</v>
      </c>
      <c r="P75" s="1144">
        <f t="shared" si="12"/>
        <v>0</v>
      </c>
      <c r="Q75" s="1144">
        <f t="shared" si="13"/>
        <v>8778.380000000001</v>
      </c>
      <c r="R75" s="1144">
        <f t="shared" si="14"/>
        <v>793.43999999999994</v>
      </c>
      <c r="S75" s="1144">
        <f t="shared" si="14"/>
        <v>0</v>
      </c>
      <c r="T75" s="1144">
        <f t="shared" si="15"/>
        <v>793.43999999999994</v>
      </c>
      <c r="U75" s="1144">
        <f t="shared" si="16"/>
        <v>0</v>
      </c>
      <c r="V75" s="1144">
        <f t="shared" si="16"/>
        <v>0</v>
      </c>
      <c r="W75" s="1145">
        <f t="shared" si="17"/>
        <v>0</v>
      </c>
    </row>
    <row r="76" spans="1:23" x14ac:dyDescent="0.2">
      <c r="A76" s="1140" t="str">
        <f t="shared" si="9"/>
        <v>31G-C-NK 1000 AMR</v>
      </c>
      <c r="B76" s="1140" t="str">
        <f t="shared" si="10"/>
        <v xml:space="preserve">31G-C-NK 1000 </v>
      </c>
      <c r="C76" s="1140" t="s">
        <v>1854</v>
      </c>
      <c r="D76" s="1140" t="s">
        <v>903</v>
      </c>
      <c r="E76" s="1140">
        <v>1000</v>
      </c>
      <c r="F76" s="1141">
        <f>SUMIF('JKP-8.5 - CNSMREQP_GASMTRCTR'!$A$2:$A$391,'JKP-8.5 - Total Costs'!A76,'JKP-8.5 - CNSMREQP_GASMTRCTR'!$F$2:$F$391)-SUMIF('JKP-8.5 - Migrated From'!$A$2:$A$22,'JKP-8.5 - Total Costs'!A76,'JKP-8.5 - Migrated From'!$F$2:$F$22)+SUMIF('JKP-8.5 - Migrated To'!$A$2:$A$22,'JKP-8.5 - Total Costs'!A76,'JKP-8.5 - Migrated To'!$F$2:$F$22)</f>
        <v>19</v>
      </c>
      <c r="G76" s="1141">
        <f>SUMIF('JKP-8.5 - CNSMREQP_GASMTRCTR'!$A$2:$A$391,'JKP-8.5 - Total Costs'!B76,'JKP-8.5 - CNSMREQP_GASMTRCTR'!$F$2:$F$391)-SUMIF('JKP-8.5 - Migrated From'!$A$2:$A$22,'JKP-8.5 - Total Costs'!B76,'JKP-8.5 - Migrated From'!$F$2:$F$22)+SUMIF('JKP-8.5 - Migrated To'!$A$2:$A$22,'JKP-8.5 - Total Costs'!B76,'JKP-8.5 - Migrated To'!$F$2:$F$22)</f>
        <v>6</v>
      </c>
      <c r="H76" s="1142">
        <f t="shared" si="11"/>
        <v>25</v>
      </c>
      <c r="I76" s="1143">
        <f>VLOOKUP($E76,'JKP-8.5 - Unit Costs'!$A$9:$H$33,2,FALSE)</f>
        <v>1404.86</v>
      </c>
      <c r="J76" s="1143">
        <f>VLOOKUP($E76,'JKP-8.5 - Unit Costs'!$A$9:$H$33,5,FALSE)</f>
        <v>1063.1500000000001</v>
      </c>
      <c r="K76" s="1143">
        <f>VLOOKUP($E76,'JKP-8.5 - Unit Costs'!$A$9:$H$33,3,FALSE)</f>
        <v>41.76</v>
      </c>
      <c r="L76" s="1143">
        <f>VLOOKUP($E76,'JKP-8.5 - Unit Costs'!$A$9:$H$33,6,FALSE)</f>
        <v>41.76</v>
      </c>
      <c r="M76" s="1143">
        <f>VLOOKUP($E76,'JKP-8.5 - Unit Costs'!$A$9:$H$33,8,FALSE)</f>
        <v>0</v>
      </c>
      <c r="N76" s="1143">
        <f>VLOOKUP($E76,'JKP-8.5 - Unit Costs'!$A$9:$H$33,8,FALSE)</f>
        <v>0</v>
      </c>
      <c r="O76" s="1144">
        <f t="shared" si="12"/>
        <v>26692.339999999997</v>
      </c>
      <c r="P76" s="1144">
        <f t="shared" si="12"/>
        <v>6378.9000000000005</v>
      </c>
      <c r="Q76" s="1144">
        <f t="shared" si="13"/>
        <v>33071.24</v>
      </c>
      <c r="R76" s="1144">
        <f t="shared" si="14"/>
        <v>793.43999999999994</v>
      </c>
      <c r="S76" s="1144">
        <f t="shared" si="14"/>
        <v>250.56</v>
      </c>
      <c r="T76" s="1144">
        <f t="shared" si="15"/>
        <v>1044</v>
      </c>
      <c r="U76" s="1144">
        <f t="shared" si="16"/>
        <v>0</v>
      </c>
      <c r="V76" s="1144">
        <f t="shared" si="16"/>
        <v>0</v>
      </c>
      <c r="W76" s="1145">
        <f t="shared" si="17"/>
        <v>0</v>
      </c>
    </row>
    <row r="77" spans="1:23" x14ac:dyDescent="0.2">
      <c r="A77" s="1140" t="str">
        <f t="shared" si="9"/>
        <v>31G-C-NK 2300 AMR</v>
      </c>
      <c r="B77" s="1140" t="str">
        <f t="shared" si="10"/>
        <v xml:space="preserve">31G-C-NK 2300 </v>
      </c>
      <c r="C77" s="1140" t="s">
        <v>1854</v>
      </c>
      <c r="D77" s="1140" t="s">
        <v>903</v>
      </c>
      <c r="E77" s="1140">
        <v>2300</v>
      </c>
      <c r="F77" s="1141">
        <f>SUMIF('JKP-8.5 - CNSMREQP_GASMTRCTR'!$A$2:$A$391,'JKP-8.5 - Total Costs'!A77,'JKP-8.5 - CNSMREQP_GASMTRCTR'!$F$2:$F$391)-SUMIF('JKP-8.5 - Migrated From'!$A$2:$A$22,'JKP-8.5 - Total Costs'!A77,'JKP-8.5 - Migrated From'!$F$2:$F$22)+SUMIF('JKP-8.5 - Migrated To'!$A$2:$A$22,'JKP-8.5 - Total Costs'!A77,'JKP-8.5 - Migrated To'!$F$2:$F$22)</f>
        <v>2</v>
      </c>
      <c r="G77" s="1141">
        <f>SUMIF('JKP-8.5 - CNSMREQP_GASMTRCTR'!$A$2:$A$391,'JKP-8.5 - Total Costs'!B77,'JKP-8.5 - CNSMREQP_GASMTRCTR'!$F$2:$F$391)-SUMIF('JKP-8.5 - Migrated From'!$A$2:$A$22,'JKP-8.5 - Total Costs'!B77,'JKP-8.5 - Migrated From'!$F$2:$F$22)+SUMIF('JKP-8.5 - Migrated To'!$A$2:$A$22,'JKP-8.5 - Total Costs'!B77,'JKP-8.5 - Migrated To'!$F$2:$F$22)</f>
        <v>0</v>
      </c>
      <c r="H77" s="1142">
        <f t="shared" si="11"/>
        <v>2</v>
      </c>
      <c r="I77" s="1143">
        <f>VLOOKUP($E77,'JKP-8.5 - Unit Costs'!$A$9:$H$33,2,FALSE)</f>
        <v>0</v>
      </c>
      <c r="J77" s="1143">
        <f>VLOOKUP($E77,'JKP-8.5 - Unit Costs'!$A$9:$H$33,5,FALSE)</f>
        <v>0</v>
      </c>
      <c r="K77" s="1143">
        <f>VLOOKUP($E77,'JKP-8.5 - Unit Costs'!$A$9:$H$33,3,FALSE)</f>
        <v>0</v>
      </c>
      <c r="L77" s="1143">
        <f>VLOOKUP($E77,'JKP-8.5 - Unit Costs'!$A$9:$H$33,6,FALSE)</f>
        <v>0</v>
      </c>
      <c r="M77" s="1143">
        <f>VLOOKUP($E77,'JKP-8.5 - Unit Costs'!$A$9:$H$33,8,FALSE)</f>
        <v>3587.13</v>
      </c>
      <c r="N77" s="1143">
        <f>VLOOKUP($E77,'JKP-8.5 - Unit Costs'!$A$9:$H$33,8,FALSE)</f>
        <v>3587.13</v>
      </c>
      <c r="O77" s="1144">
        <f t="shared" si="12"/>
        <v>0</v>
      </c>
      <c r="P77" s="1144">
        <f t="shared" si="12"/>
        <v>0</v>
      </c>
      <c r="Q77" s="1144">
        <f t="shared" si="13"/>
        <v>0</v>
      </c>
      <c r="R77" s="1144">
        <f t="shared" si="14"/>
        <v>0</v>
      </c>
      <c r="S77" s="1144">
        <f t="shared" si="14"/>
        <v>0</v>
      </c>
      <c r="T77" s="1144">
        <f t="shared" si="15"/>
        <v>0</v>
      </c>
      <c r="U77" s="1144">
        <f t="shared" si="16"/>
        <v>7174.26</v>
      </c>
      <c r="V77" s="1144">
        <f t="shared" si="16"/>
        <v>0</v>
      </c>
      <c r="W77" s="1145">
        <f t="shared" si="17"/>
        <v>7174.26</v>
      </c>
    </row>
    <row r="78" spans="1:23" x14ac:dyDescent="0.2">
      <c r="A78" s="1140" t="str">
        <f t="shared" si="9"/>
        <v>31G-C-NK 11000 AMR</v>
      </c>
      <c r="B78" s="1140" t="str">
        <f t="shared" si="10"/>
        <v xml:space="preserve">31G-C-NK 11000 </v>
      </c>
      <c r="C78" s="1140" t="s">
        <v>1854</v>
      </c>
      <c r="D78" s="1140" t="s">
        <v>903</v>
      </c>
      <c r="E78" s="1140">
        <v>11000</v>
      </c>
      <c r="F78" s="1141">
        <f>SUMIF('JKP-8.5 - CNSMREQP_GASMTRCTR'!$A$2:$A$391,'JKP-8.5 - Total Costs'!A78,'JKP-8.5 - CNSMREQP_GASMTRCTR'!$F$2:$F$391)-SUMIF('JKP-8.5 - Migrated From'!$A$2:$A$22,'JKP-8.5 - Total Costs'!A78,'JKP-8.5 - Migrated From'!$F$2:$F$22)+SUMIF('JKP-8.5 - Migrated To'!$A$2:$A$22,'JKP-8.5 - Total Costs'!A78,'JKP-8.5 - Migrated To'!$F$2:$F$22)</f>
        <v>0</v>
      </c>
      <c r="G78" s="1141">
        <f>SUMIF('JKP-8.5 - CNSMREQP_GASMTRCTR'!$A$2:$A$391,'JKP-8.5 - Total Costs'!B78,'JKP-8.5 - CNSMREQP_GASMTRCTR'!$F$2:$F$391)-SUMIF('JKP-8.5 - Migrated From'!$A$2:$A$22,'JKP-8.5 - Total Costs'!B78,'JKP-8.5 - Migrated From'!$F$2:$F$22)+SUMIF('JKP-8.5 - Migrated To'!$A$2:$A$22,'JKP-8.5 - Total Costs'!B78,'JKP-8.5 - Migrated To'!$F$2:$F$22)</f>
        <v>1</v>
      </c>
      <c r="H78" s="1142">
        <f t="shared" si="11"/>
        <v>1</v>
      </c>
      <c r="I78" s="1143">
        <f>VLOOKUP($E78,'JKP-8.5 - Unit Costs'!$A$9:$H$33,2,FALSE)</f>
        <v>0</v>
      </c>
      <c r="J78" s="1143">
        <f>VLOOKUP($E78,'JKP-8.5 - Unit Costs'!$A$9:$H$33,5,FALSE)</f>
        <v>0</v>
      </c>
      <c r="K78" s="1143">
        <f>VLOOKUP($E78,'JKP-8.5 - Unit Costs'!$A$9:$H$33,3,FALSE)</f>
        <v>0</v>
      </c>
      <c r="L78" s="1143">
        <f>VLOOKUP($E78,'JKP-8.5 - Unit Costs'!$A$9:$H$33,6,FALSE)</f>
        <v>0</v>
      </c>
      <c r="M78" s="1143">
        <f>VLOOKUP($E78,'JKP-8.5 - Unit Costs'!$A$9:$H$33,8,FALSE)</f>
        <v>5835.1900000000005</v>
      </c>
      <c r="N78" s="1143">
        <f>VLOOKUP($E78,'JKP-8.5 - Unit Costs'!$A$9:$H$33,8,FALSE)</f>
        <v>5835.1900000000005</v>
      </c>
      <c r="O78" s="1144">
        <f t="shared" si="12"/>
        <v>0</v>
      </c>
      <c r="P78" s="1144">
        <f t="shared" si="12"/>
        <v>0</v>
      </c>
      <c r="Q78" s="1144">
        <f t="shared" si="13"/>
        <v>0</v>
      </c>
      <c r="R78" s="1144">
        <f t="shared" si="14"/>
        <v>0</v>
      </c>
      <c r="S78" s="1144">
        <f t="shared" si="14"/>
        <v>0</v>
      </c>
      <c r="T78" s="1144">
        <f t="shared" si="15"/>
        <v>0</v>
      </c>
      <c r="U78" s="1144">
        <f t="shared" si="16"/>
        <v>0</v>
      </c>
      <c r="V78" s="1144">
        <f t="shared" si="16"/>
        <v>5835.1900000000005</v>
      </c>
      <c r="W78" s="1145">
        <f t="shared" si="17"/>
        <v>5835.1900000000005</v>
      </c>
    </row>
    <row r="79" spans="1:23" x14ac:dyDescent="0.2">
      <c r="A79" s="1140" t="str">
        <f t="shared" si="9"/>
        <v>31G-C-NK 16000 AMR</v>
      </c>
      <c r="B79" s="1140" t="str">
        <f t="shared" si="10"/>
        <v xml:space="preserve">31G-C-NK 16000 </v>
      </c>
      <c r="C79" s="1140" t="s">
        <v>1854</v>
      </c>
      <c r="D79" s="1140" t="s">
        <v>903</v>
      </c>
      <c r="E79" s="1140">
        <v>16000</v>
      </c>
      <c r="F79" s="1141">
        <f>SUMIF('JKP-8.5 - CNSMREQP_GASMTRCTR'!$A$2:$A$391,'JKP-8.5 - Total Costs'!A79,'JKP-8.5 - CNSMREQP_GASMTRCTR'!$F$2:$F$391)-SUMIF('JKP-8.5 - Migrated From'!$A$2:$A$22,'JKP-8.5 - Total Costs'!A79,'JKP-8.5 - Migrated From'!$F$2:$F$22)+SUMIF('JKP-8.5 - Migrated To'!$A$2:$A$22,'JKP-8.5 - Total Costs'!A79,'JKP-8.5 - Migrated To'!$F$2:$F$22)</f>
        <v>0</v>
      </c>
      <c r="G79" s="1141">
        <f>SUMIF('JKP-8.5 - CNSMREQP_GASMTRCTR'!$A$2:$A$391,'JKP-8.5 - Total Costs'!B79,'JKP-8.5 - CNSMREQP_GASMTRCTR'!$F$2:$F$391)-SUMIF('JKP-8.5 - Migrated From'!$A$2:$A$22,'JKP-8.5 - Total Costs'!B79,'JKP-8.5 - Migrated From'!$F$2:$F$22)+SUMIF('JKP-8.5 - Migrated To'!$A$2:$A$22,'JKP-8.5 - Total Costs'!B79,'JKP-8.5 - Migrated To'!$F$2:$F$22)</f>
        <v>1</v>
      </c>
      <c r="H79" s="1142">
        <f t="shared" si="11"/>
        <v>1</v>
      </c>
      <c r="I79" s="1143">
        <f>VLOOKUP($E79,'JKP-8.5 - Unit Costs'!$A$9:$H$33,2,FALSE)</f>
        <v>0</v>
      </c>
      <c r="J79" s="1143">
        <f>VLOOKUP($E79,'JKP-8.5 - Unit Costs'!$A$9:$H$33,5,FALSE)</f>
        <v>0</v>
      </c>
      <c r="K79" s="1143">
        <f>VLOOKUP($E79,'JKP-8.5 - Unit Costs'!$A$9:$H$33,3,FALSE)</f>
        <v>0</v>
      </c>
      <c r="L79" s="1143">
        <f>VLOOKUP($E79,'JKP-8.5 - Unit Costs'!$A$9:$H$33,6,FALSE)</f>
        <v>0</v>
      </c>
      <c r="M79" s="1143">
        <f>VLOOKUP($E79,'JKP-8.5 - Unit Costs'!$A$9:$H$33,8,FALSE)</f>
        <v>8983.2999999999993</v>
      </c>
      <c r="N79" s="1143">
        <f>VLOOKUP($E79,'JKP-8.5 - Unit Costs'!$A$9:$H$33,8,FALSE)</f>
        <v>8983.2999999999993</v>
      </c>
      <c r="O79" s="1144">
        <f t="shared" si="12"/>
        <v>0</v>
      </c>
      <c r="P79" s="1144">
        <f t="shared" si="12"/>
        <v>0</v>
      </c>
      <c r="Q79" s="1144">
        <f t="shared" si="13"/>
        <v>0</v>
      </c>
      <c r="R79" s="1144">
        <f t="shared" si="14"/>
        <v>0</v>
      </c>
      <c r="S79" s="1144">
        <f t="shared" si="14"/>
        <v>0</v>
      </c>
      <c r="T79" s="1144">
        <f t="shared" si="15"/>
        <v>0</v>
      </c>
      <c r="U79" s="1144">
        <f t="shared" si="16"/>
        <v>0</v>
      </c>
      <c r="V79" s="1144">
        <f t="shared" si="16"/>
        <v>8983.2999999999993</v>
      </c>
      <c r="W79" s="1145">
        <f t="shared" si="17"/>
        <v>8983.2999999999993</v>
      </c>
    </row>
    <row r="80" spans="1:23" x14ac:dyDescent="0.2">
      <c r="A80" s="1140" t="str">
        <f t="shared" si="9"/>
        <v>31G-C-NR 175 AMR</v>
      </c>
      <c r="B80" s="1140" t="str">
        <f t="shared" si="10"/>
        <v xml:space="preserve">31G-C-NR 175 </v>
      </c>
      <c r="C80" s="1140" t="s">
        <v>1854</v>
      </c>
      <c r="D80" s="1140" t="s">
        <v>904</v>
      </c>
      <c r="E80" s="1140">
        <v>175</v>
      </c>
      <c r="F80" s="1141">
        <f>SUMIF('JKP-8.5 - CNSMREQP_GASMTRCTR'!$A$2:$A$391,'JKP-8.5 - Total Costs'!A80,'JKP-8.5 - CNSMREQP_GASMTRCTR'!$F$2:$F$391)-SUMIF('JKP-8.5 - Migrated From'!$A$2:$A$22,'JKP-8.5 - Total Costs'!A80,'JKP-8.5 - Migrated From'!$F$2:$F$22)+SUMIF('JKP-8.5 - Migrated To'!$A$2:$A$22,'JKP-8.5 - Total Costs'!A80,'JKP-8.5 - Migrated To'!$F$2:$F$22)</f>
        <v>3</v>
      </c>
      <c r="G80" s="1141">
        <f>SUMIF('JKP-8.5 - CNSMREQP_GASMTRCTR'!$A$2:$A$391,'JKP-8.5 - Total Costs'!B80,'JKP-8.5 - CNSMREQP_GASMTRCTR'!$F$2:$F$391)-SUMIF('JKP-8.5 - Migrated From'!$A$2:$A$22,'JKP-8.5 - Total Costs'!B80,'JKP-8.5 - Migrated From'!$F$2:$F$22)+SUMIF('JKP-8.5 - Migrated To'!$A$2:$A$22,'JKP-8.5 - Total Costs'!B80,'JKP-8.5 - Migrated To'!$F$2:$F$22)</f>
        <v>0</v>
      </c>
      <c r="H80" s="1142">
        <f t="shared" si="11"/>
        <v>3</v>
      </c>
      <c r="I80" s="1143">
        <f>VLOOKUP($E80,'JKP-8.5 - Unit Costs'!$A$9:$H$33,2,FALSE)</f>
        <v>141.83000000000001</v>
      </c>
      <c r="J80" s="1143">
        <f>VLOOKUP($E80,'JKP-8.5 - Unit Costs'!$A$9:$H$33,5,FALSE)</f>
        <v>92.480000000000018</v>
      </c>
      <c r="K80" s="1143">
        <f>VLOOKUP($E80,'JKP-8.5 - Unit Costs'!$A$9:$H$33,3,FALSE)</f>
        <v>41.76</v>
      </c>
      <c r="L80" s="1143">
        <f>VLOOKUP($E80,'JKP-8.5 - Unit Costs'!$A$9:$H$33,6,FALSE)</f>
        <v>41.76</v>
      </c>
      <c r="M80" s="1143">
        <f>VLOOKUP($E80,'JKP-8.5 - Unit Costs'!$A$9:$H$33,8,FALSE)</f>
        <v>0</v>
      </c>
      <c r="N80" s="1143">
        <f>VLOOKUP($E80,'JKP-8.5 - Unit Costs'!$A$9:$H$33,8,FALSE)</f>
        <v>0</v>
      </c>
      <c r="O80" s="1144">
        <f t="shared" si="12"/>
        <v>425.49</v>
      </c>
      <c r="P80" s="1144">
        <f t="shared" si="12"/>
        <v>0</v>
      </c>
      <c r="Q80" s="1144">
        <f t="shared" si="13"/>
        <v>425.49</v>
      </c>
      <c r="R80" s="1144">
        <f t="shared" si="14"/>
        <v>125.28</v>
      </c>
      <c r="S80" s="1144">
        <f t="shared" si="14"/>
        <v>0</v>
      </c>
      <c r="T80" s="1144">
        <f t="shared" si="15"/>
        <v>125.28</v>
      </c>
      <c r="U80" s="1144">
        <f t="shared" si="16"/>
        <v>0</v>
      </c>
      <c r="V80" s="1144">
        <f t="shared" si="16"/>
        <v>0</v>
      </c>
      <c r="W80" s="1145">
        <f t="shared" si="17"/>
        <v>0</v>
      </c>
    </row>
    <row r="81" spans="1:23" x14ac:dyDescent="0.2">
      <c r="A81" s="1140" t="str">
        <f t="shared" si="9"/>
        <v>31G-C-NR 250 AMR</v>
      </c>
      <c r="B81" s="1140" t="str">
        <f t="shared" si="10"/>
        <v xml:space="preserve">31G-C-NR 250 </v>
      </c>
      <c r="C81" s="1140" t="s">
        <v>1854</v>
      </c>
      <c r="D81" s="1140" t="s">
        <v>904</v>
      </c>
      <c r="E81" s="1140">
        <v>250</v>
      </c>
      <c r="F81" s="1141">
        <f>SUMIF('JKP-8.5 - CNSMREQP_GASMTRCTR'!$A$2:$A$391,'JKP-8.5 - Total Costs'!A81,'JKP-8.5 - CNSMREQP_GASMTRCTR'!$F$2:$F$391)-SUMIF('JKP-8.5 - Migrated From'!$A$2:$A$22,'JKP-8.5 - Total Costs'!A81,'JKP-8.5 - Migrated From'!$F$2:$F$22)+SUMIF('JKP-8.5 - Migrated To'!$A$2:$A$22,'JKP-8.5 - Total Costs'!A81,'JKP-8.5 - Migrated To'!$F$2:$F$22)</f>
        <v>147</v>
      </c>
      <c r="G81" s="1141">
        <f>SUMIF('JKP-8.5 - CNSMREQP_GASMTRCTR'!$A$2:$A$391,'JKP-8.5 - Total Costs'!B81,'JKP-8.5 - CNSMREQP_GASMTRCTR'!$F$2:$F$391)-SUMIF('JKP-8.5 - Migrated From'!$A$2:$A$22,'JKP-8.5 - Total Costs'!B81,'JKP-8.5 - Migrated From'!$F$2:$F$22)+SUMIF('JKP-8.5 - Migrated To'!$A$2:$A$22,'JKP-8.5 - Total Costs'!B81,'JKP-8.5 - Migrated To'!$F$2:$F$22)</f>
        <v>0</v>
      </c>
      <c r="H81" s="1142">
        <f t="shared" si="11"/>
        <v>147</v>
      </c>
      <c r="I81" s="1143">
        <f>VLOOKUP($E81,'JKP-8.5 - Unit Costs'!$A$9:$H$33,2,FALSE)</f>
        <v>141.83000000000001</v>
      </c>
      <c r="J81" s="1143">
        <f>VLOOKUP($E81,'JKP-8.5 - Unit Costs'!$A$9:$H$33,5,FALSE)</f>
        <v>92.480000000000018</v>
      </c>
      <c r="K81" s="1143">
        <f>VLOOKUP($E81,'JKP-8.5 - Unit Costs'!$A$9:$H$33,3,FALSE)</f>
        <v>41.76</v>
      </c>
      <c r="L81" s="1143">
        <f>VLOOKUP($E81,'JKP-8.5 - Unit Costs'!$A$9:$H$33,6,FALSE)</f>
        <v>41.76</v>
      </c>
      <c r="M81" s="1143">
        <f>VLOOKUP($E81,'JKP-8.5 - Unit Costs'!$A$9:$H$33,8,FALSE)</f>
        <v>0</v>
      </c>
      <c r="N81" s="1143">
        <f>VLOOKUP($E81,'JKP-8.5 - Unit Costs'!$A$9:$H$33,8,FALSE)</f>
        <v>0</v>
      </c>
      <c r="O81" s="1144">
        <f t="shared" si="12"/>
        <v>20849.010000000002</v>
      </c>
      <c r="P81" s="1144">
        <f t="shared" si="12"/>
        <v>0</v>
      </c>
      <c r="Q81" s="1144">
        <f t="shared" si="13"/>
        <v>20849.010000000002</v>
      </c>
      <c r="R81" s="1144">
        <f t="shared" si="14"/>
        <v>6138.7199999999993</v>
      </c>
      <c r="S81" s="1144">
        <f t="shared" si="14"/>
        <v>0</v>
      </c>
      <c r="T81" s="1144">
        <f t="shared" si="15"/>
        <v>6138.7199999999993</v>
      </c>
      <c r="U81" s="1144">
        <f t="shared" si="16"/>
        <v>0</v>
      </c>
      <c r="V81" s="1144">
        <f t="shared" si="16"/>
        <v>0</v>
      </c>
      <c r="W81" s="1145">
        <f t="shared" si="17"/>
        <v>0</v>
      </c>
    </row>
    <row r="82" spans="1:23" x14ac:dyDescent="0.2">
      <c r="A82" s="1140" t="str">
        <f t="shared" si="9"/>
        <v>31G-C-NR 275 AMR</v>
      </c>
      <c r="B82" s="1140" t="str">
        <f t="shared" si="10"/>
        <v xml:space="preserve">31G-C-NR 275 </v>
      </c>
      <c r="C82" s="1140" t="s">
        <v>1854</v>
      </c>
      <c r="D82" s="1140" t="s">
        <v>904</v>
      </c>
      <c r="E82" s="1140">
        <v>275</v>
      </c>
      <c r="F82" s="1141">
        <f>SUMIF('JKP-8.5 - CNSMREQP_GASMTRCTR'!$A$2:$A$391,'JKP-8.5 - Total Costs'!A82,'JKP-8.5 - CNSMREQP_GASMTRCTR'!$F$2:$F$391)-SUMIF('JKP-8.5 - Migrated From'!$A$2:$A$22,'JKP-8.5 - Total Costs'!A82,'JKP-8.5 - Migrated From'!$F$2:$F$22)+SUMIF('JKP-8.5 - Migrated To'!$A$2:$A$22,'JKP-8.5 - Total Costs'!A82,'JKP-8.5 - Migrated To'!$F$2:$F$22)</f>
        <v>2</v>
      </c>
      <c r="G82" s="1141">
        <f>SUMIF('JKP-8.5 - CNSMREQP_GASMTRCTR'!$A$2:$A$391,'JKP-8.5 - Total Costs'!B82,'JKP-8.5 - CNSMREQP_GASMTRCTR'!$F$2:$F$391)-SUMIF('JKP-8.5 - Migrated From'!$A$2:$A$22,'JKP-8.5 - Total Costs'!B82,'JKP-8.5 - Migrated From'!$F$2:$F$22)+SUMIF('JKP-8.5 - Migrated To'!$A$2:$A$22,'JKP-8.5 - Total Costs'!B82,'JKP-8.5 - Migrated To'!$F$2:$F$22)</f>
        <v>0</v>
      </c>
      <c r="H82" s="1142">
        <f t="shared" si="11"/>
        <v>2</v>
      </c>
      <c r="I82" s="1143">
        <f>VLOOKUP($E82,'JKP-8.5 - Unit Costs'!$A$9:$H$33,2,FALSE)</f>
        <v>141.83000000000001</v>
      </c>
      <c r="J82" s="1143">
        <f>VLOOKUP($E82,'JKP-8.5 - Unit Costs'!$A$9:$H$33,5,FALSE)</f>
        <v>92.480000000000018</v>
      </c>
      <c r="K82" s="1143">
        <f>VLOOKUP($E82,'JKP-8.5 - Unit Costs'!$A$9:$H$33,3,FALSE)</f>
        <v>41.76</v>
      </c>
      <c r="L82" s="1143">
        <f>VLOOKUP($E82,'JKP-8.5 - Unit Costs'!$A$9:$H$33,6,FALSE)</f>
        <v>41.76</v>
      </c>
      <c r="M82" s="1143">
        <f>VLOOKUP($E82,'JKP-8.5 - Unit Costs'!$A$9:$H$33,8,FALSE)</f>
        <v>0</v>
      </c>
      <c r="N82" s="1143">
        <f>VLOOKUP($E82,'JKP-8.5 - Unit Costs'!$A$9:$H$33,8,FALSE)</f>
        <v>0</v>
      </c>
      <c r="O82" s="1144">
        <f t="shared" si="12"/>
        <v>283.66000000000003</v>
      </c>
      <c r="P82" s="1144">
        <f t="shared" si="12"/>
        <v>0</v>
      </c>
      <c r="Q82" s="1144">
        <f t="shared" si="13"/>
        <v>283.66000000000003</v>
      </c>
      <c r="R82" s="1144">
        <f t="shared" si="14"/>
        <v>83.52</v>
      </c>
      <c r="S82" s="1144">
        <f t="shared" si="14"/>
        <v>0</v>
      </c>
      <c r="T82" s="1144">
        <f t="shared" si="15"/>
        <v>83.52</v>
      </c>
      <c r="U82" s="1144">
        <f t="shared" si="16"/>
        <v>0</v>
      </c>
      <c r="V82" s="1144">
        <f t="shared" si="16"/>
        <v>0</v>
      </c>
      <c r="W82" s="1145">
        <f t="shared" si="17"/>
        <v>0</v>
      </c>
    </row>
    <row r="83" spans="1:23" x14ac:dyDescent="0.2">
      <c r="A83" s="1140" t="str">
        <f t="shared" si="9"/>
        <v>31G-C-NR 425 AMR</v>
      </c>
      <c r="B83" s="1140" t="str">
        <f t="shared" si="10"/>
        <v xml:space="preserve">31G-C-NR 425 </v>
      </c>
      <c r="C83" s="1140" t="s">
        <v>1854</v>
      </c>
      <c r="D83" s="1140" t="s">
        <v>904</v>
      </c>
      <c r="E83" s="1140">
        <v>425</v>
      </c>
      <c r="F83" s="1141">
        <f>SUMIF('JKP-8.5 - CNSMREQP_GASMTRCTR'!$A$2:$A$391,'JKP-8.5 - Total Costs'!A83,'JKP-8.5 - CNSMREQP_GASMTRCTR'!$F$2:$F$391)-SUMIF('JKP-8.5 - Migrated From'!$A$2:$A$22,'JKP-8.5 - Total Costs'!A83,'JKP-8.5 - Migrated From'!$F$2:$F$22)+SUMIF('JKP-8.5 - Migrated To'!$A$2:$A$22,'JKP-8.5 - Total Costs'!A83,'JKP-8.5 - Migrated To'!$F$2:$F$22)</f>
        <v>44</v>
      </c>
      <c r="G83" s="1141">
        <f>SUMIF('JKP-8.5 - CNSMREQP_GASMTRCTR'!$A$2:$A$391,'JKP-8.5 - Total Costs'!B83,'JKP-8.5 - CNSMREQP_GASMTRCTR'!$F$2:$F$391)-SUMIF('JKP-8.5 - Migrated From'!$A$2:$A$22,'JKP-8.5 - Total Costs'!B83,'JKP-8.5 - Migrated From'!$F$2:$F$22)+SUMIF('JKP-8.5 - Migrated To'!$A$2:$A$22,'JKP-8.5 - Total Costs'!B83,'JKP-8.5 - Migrated To'!$F$2:$F$22)</f>
        <v>0</v>
      </c>
      <c r="H83" s="1142">
        <f t="shared" si="11"/>
        <v>44</v>
      </c>
      <c r="I83" s="1143">
        <f>VLOOKUP($E83,'JKP-8.5 - Unit Costs'!$A$9:$H$33,2,FALSE)</f>
        <v>462.02000000000004</v>
      </c>
      <c r="J83" s="1143">
        <f>VLOOKUP($E83,'JKP-8.5 - Unit Costs'!$A$9:$H$33,5,FALSE)</f>
        <v>193.72</v>
      </c>
      <c r="K83" s="1143">
        <f>VLOOKUP($E83,'JKP-8.5 - Unit Costs'!$A$9:$H$33,3,FALSE)</f>
        <v>41.76</v>
      </c>
      <c r="L83" s="1143">
        <f>VLOOKUP($E83,'JKP-8.5 - Unit Costs'!$A$9:$H$33,6,FALSE)</f>
        <v>41.76</v>
      </c>
      <c r="M83" s="1143">
        <f>VLOOKUP($E83,'JKP-8.5 - Unit Costs'!$A$9:$H$33,8,FALSE)</f>
        <v>0</v>
      </c>
      <c r="N83" s="1143">
        <f>VLOOKUP($E83,'JKP-8.5 - Unit Costs'!$A$9:$H$33,8,FALSE)</f>
        <v>0</v>
      </c>
      <c r="O83" s="1144">
        <f t="shared" si="12"/>
        <v>20328.88</v>
      </c>
      <c r="P83" s="1144">
        <f t="shared" si="12"/>
        <v>0</v>
      </c>
      <c r="Q83" s="1144">
        <f t="shared" si="13"/>
        <v>20328.88</v>
      </c>
      <c r="R83" s="1144">
        <f t="shared" si="14"/>
        <v>1837.4399999999998</v>
      </c>
      <c r="S83" s="1144">
        <f t="shared" si="14"/>
        <v>0</v>
      </c>
      <c r="T83" s="1144">
        <f t="shared" si="15"/>
        <v>1837.4399999999998</v>
      </c>
      <c r="U83" s="1144">
        <f t="shared" si="16"/>
        <v>0</v>
      </c>
      <c r="V83" s="1144">
        <f t="shared" si="16"/>
        <v>0</v>
      </c>
      <c r="W83" s="1145">
        <f t="shared" si="17"/>
        <v>0</v>
      </c>
    </row>
    <row r="84" spans="1:23" x14ac:dyDescent="0.2">
      <c r="A84" s="1140" t="str">
        <f t="shared" si="9"/>
        <v>31G-C-NR 1000 AMR</v>
      </c>
      <c r="B84" s="1140" t="str">
        <f t="shared" si="10"/>
        <v xml:space="preserve">31G-C-NR 1000 </v>
      </c>
      <c r="C84" s="1140" t="s">
        <v>1854</v>
      </c>
      <c r="D84" s="1140" t="s">
        <v>904</v>
      </c>
      <c r="E84" s="1140">
        <v>1000</v>
      </c>
      <c r="F84" s="1141">
        <f>SUMIF('JKP-8.5 - CNSMREQP_GASMTRCTR'!$A$2:$A$391,'JKP-8.5 - Total Costs'!A84,'JKP-8.5 - CNSMREQP_GASMTRCTR'!$F$2:$F$391)-SUMIF('JKP-8.5 - Migrated From'!$A$2:$A$22,'JKP-8.5 - Total Costs'!A84,'JKP-8.5 - Migrated From'!$F$2:$F$22)+SUMIF('JKP-8.5 - Migrated To'!$A$2:$A$22,'JKP-8.5 - Total Costs'!A84,'JKP-8.5 - Migrated To'!$F$2:$F$22)</f>
        <v>44</v>
      </c>
      <c r="G84" s="1141">
        <f>SUMIF('JKP-8.5 - CNSMREQP_GASMTRCTR'!$A$2:$A$391,'JKP-8.5 - Total Costs'!B84,'JKP-8.5 - CNSMREQP_GASMTRCTR'!$F$2:$F$391)-SUMIF('JKP-8.5 - Migrated From'!$A$2:$A$22,'JKP-8.5 - Total Costs'!B84,'JKP-8.5 - Migrated From'!$F$2:$F$22)+SUMIF('JKP-8.5 - Migrated To'!$A$2:$A$22,'JKP-8.5 - Total Costs'!B84,'JKP-8.5 - Migrated To'!$F$2:$F$22)</f>
        <v>5</v>
      </c>
      <c r="H84" s="1142">
        <f t="shared" si="11"/>
        <v>49</v>
      </c>
      <c r="I84" s="1143">
        <f>VLOOKUP($E84,'JKP-8.5 - Unit Costs'!$A$9:$H$33,2,FALSE)</f>
        <v>1404.86</v>
      </c>
      <c r="J84" s="1143">
        <f>VLOOKUP($E84,'JKP-8.5 - Unit Costs'!$A$9:$H$33,5,FALSE)</f>
        <v>1063.1500000000001</v>
      </c>
      <c r="K84" s="1143">
        <f>VLOOKUP($E84,'JKP-8.5 - Unit Costs'!$A$9:$H$33,3,FALSE)</f>
        <v>41.76</v>
      </c>
      <c r="L84" s="1143">
        <f>VLOOKUP($E84,'JKP-8.5 - Unit Costs'!$A$9:$H$33,6,FALSE)</f>
        <v>41.76</v>
      </c>
      <c r="M84" s="1143">
        <f>VLOOKUP($E84,'JKP-8.5 - Unit Costs'!$A$9:$H$33,8,FALSE)</f>
        <v>0</v>
      </c>
      <c r="N84" s="1143">
        <f>VLOOKUP($E84,'JKP-8.5 - Unit Costs'!$A$9:$H$33,8,FALSE)</f>
        <v>0</v>
      </c>
      <c r="O84" s="1144">
        <f t="shared" si="12"/>
        <v>61813.84</v>
      </c>
      <c r="P84" s="1144">
        <f t="shared" si="12"/>
        <v>5315.75</v>
      </c>
      <c r="Q84" s="1144">
        <f t="shared" si="13"/>
        <v>67129.59</v>
      </c>
      <c r="R84" s="1144">
        <f t="shared" si="14"/>
        <v>1837.4399999999998</v>
      </c>
      <c r="S84" s="1144">
        <f t="shared" si="14"/>
        <v>208.79999999999998</v>
      </c>
      <c r="T84" s="1144">
        <f t="shared" si="15"/>
        <v>2046.2399999999998</v>
      </c>
      <c r="U84" s="1144">
        <f t="shared" si="16"/>
        <v>0</v>
      </c>
      <c r="V84" s="1144">
        <f t="shared" si="16"/>
        <v>0</v>
      </c>
      <c r="W84" s="1145">
        <f t="shared" si="17"/>
        <v>0</v>
      </c>
    </row>
    <row r="85" spans="1:23" x14ac:dyDescent="0.2">
      <c r="A85" s="1140" t="str">
        <f t="shared" si="9"/>
        <v>31G-C-NR 3000 AMR</v>
      </c>
      <c r="B85" s="1140" t="str">
        <f t="shared" si="10"/>
        <v xml:space="preserve">31G-C-NR 3000 </v>
      </c>
      <c r="C85" s="1140" t="s">
        <v>1854</v>
      </c>
      <c r="D85" s="1140" t="s">
        <v>904</v>
      </c>
      <c r="E85" s="1140">
        <v>3000</v>
      </c>
      <c r="F85" s="1141">
        <f>SUMIF('JKP-8.5 - CNSMREQP_GASMTRCTR'!$A$2:$A$391,'JKP-8.5 - Total Costs'!A85,'JKP-8.5 - CNSMREQP_GASMTRCTR'!$F$2:$F$391)-SUMIF('JKP-8.5 - Migrated From'!$A$2:$A$22,'JKP-8.5 - Total Costs'!A85,'JKP-8.5 - Migrated From'!$F$2:$F$22)+SUMIF('JKP-8.5 - Migrated To'!$A$2:$A$22,'JKP-8.5 - Total Costs'!A85,'JKP-8.5 - Migrated To'!$F$2:$F$22)</f>
        <v>1</v>
      </c>
      <c r="G85" s="1141">
        <f>SUMIF('JKP-8.5 - CNSMREQP_GASMTRCTR'!$A$2:$A$391,'JKP-8.5 - Total Costs'!B85,'JKP-8.5 - CNSMREQP_GASMTRCTR'!$F$2:$F$391)-SUMIF('JKP-8.5 - Migrated From'!$A$2:$A$22,'JKP-8.5 - Total Costs'!B85,'JKP-8.5 - Migrated From'!$F$2:$F$22)+SUMIF('JKP-8.5 - Migrated To'!$A$2:$A$22,'JKP-8.5 - Total Costs'!B85,'JKP-8.5 - Migrated To'!$F$2:$F$22)</f>
        <v>0</v>
      </c>
      <c r="H85" s="1142">
        <f t="shared" si="11"/>
        <v>1</v>
      </c>
      <c r="I85" s="1143">
        <f>VLOOKUP($E85,'JKP-8.5 - Unit Costs'!$A$9:$H$33,2,FALSE)</f>
        <v>0</v>
      </c>
      <c r="J85" s="1143">
        <f>VLOOKUP($E85,'JKP-8.5 - Unit Costs'!$A$9:$H$33,5,FALSE)</f>
        <v>0</v>
      </c>
      <c r="K85" s="1143">
        <f>VLOOKUP($E85,'JKP-8.5 - Unit Costs'!$A$9:$H$33,3,FALSE)</f>
        <v>0</v>
      </c>
      <c r="L85" s="1143">
        <f>VLOOKUP($E85,'JKP-8.5 - Unit Costs'!$A$9:$H$33,6,FALSE)</f>
        <v>0</v>
      </c>
      <c r="M85" s="1143">
        <f>VLOOKUP($E85,'JKP-8.5 - Unit Costs'!$A$9:$H$33,8,FALSE)</f>
        <v>3406.19</v>
      </c>
      <c r="N85" s="1143">
        <f>VLOOKUP($E85,'JKP-8.5 - Unit Costs'!$A$9:$H$33,8,FALSE)</f>
        <v>3406.19</v>
      </c>
      <c r="O85" s="1144">
        <f t="shared" si="12"/>
        <v>0</v>
      </c>
      <c r="P85" s="1144">
        <f t="shared" si="12"/>
        <v>0</v>
      </c>
      <c r="Q85" s="1144">
        <f t="shared" si="13"/>
        <v>0</v>
      </c>
      <c r="R85" s="1144">
        <f t="shared" si="14"/>
        <v>0</v>
      </c>
      <c r="S85" s="1144">
        <f t="shared" si="14"/>
        <v>0</v>
      </c>
      <c r="T85" s="1144">
        <f t="shared" si="15"/>
        <v>0</v>
      </c>
      <c r="U85" s="1144">
        <f t="shared" si="16"/>
        <v>3406.19</v>
      </c>
      <c r="V85" s="1144">
        <f t="shared" si="16"/>
        <v>0</v>
      </c>
      <c r="W85" s="1145">
        <f t="shared" si="17"/>
        <v>3406.19</v>
      </c>
    </row>
    <row r="86" spans="1:23" x14ac:dyDescent="0.2">
      <c r="A86" s="1140" t="str">
        <f t="shared" si="9"/>
        <v>31G-C-NR 5000 AMR</v>
      </c>
      <c r="B86" s="1140" t="str">
        <f t="shared" si="10"/>
        <v xml:space="preserve">31G-C-NR 5000 </v>
      </c>
      <c r="C86" s="1140" t="s">
        <v>1854</v>
      </c>
      <c r="D86" s="1140" t="s">
        <v>904</v>
      </c>
      <c r="E86" s="1140">
        <v>5000</v>
      </c>
      <c r="F86" s="1141">
        <f>SUMIF('JKP-8.5 - CNSMREQP_GASMTRCTR'!$A$2:$A$391,'JKP-8.5 - Total Costs'!A86,'JKP-8.5 - CNSMREQP_GASMTRCTR'!$F$2:$F$391)-SUMIF('JKP-8.5 - Migrated From'!$A$2:$A$22,'JKP-8.5 - Total Costs'!A86,'JKP-8.5 - Migrated From'!$F$2:$F$22)+SUMIF('JKP-8.5 - Migrated To'!$A$2:$A$22,'JKP-8.5 - Total Costs'!A86,'JKP-8.5 - Migrated To'!$F$2:$F$22)</f>
        <v>1</v>
      </c>
      <c r="G86" s="1141">
        <f>SUMIF('JKP-8.5 - CNSMREQP_GASMTRCTR'!$A$2:$A$391,'JKP-8.5 - Total Costs'!B86,'JKP-8.5 - CNSMREQP_GASMTRCTR'!$F$2:$F$391)-SUMIF('JKP-8.5 - Migrated From'!$A$2:$A$22,'JKP-8.5 - Total Costs'!B86,'JKP-8.5 - Migrated From'!$F$2:$F$22)+SUMIF('JKP-8.5 - Migrated To'!$A$2:$A$22,'JKP-8.5 - Total Costs'!B86,'JKP-8.5 - Migrated To'!$F$2:$F$22)</f>
        <v>2</v>
      </c>
      <c r="H86" s="1142">
        <f t="shared" si="11"/>
        <v>3</v>
      </c>
      <c r="I86" s="1143">
        <f>VLOOKUP($E86,'JKP-8.5 - Unit Costs'!$A$9:$H$33,2,FALSE)</f>
        <v>0</v>
      </c>
      <c r="J86" s="1143">
        <f>VLOOKUP($E86,'JKP-8.5 - Unit Costs'!$A$9:$H$33,5,FALSE)</f>
        <v>0</v>
      </c>
      <c r="K86" s="1143">
        <f>VLOOKUP($E86,'JKP-8.5 - Unit Costs'!$A$9:$H$33,3,FALSE)</f>
        <v>0</v>
      </c>
      <c r="L86" s="1143">
        <f>VLOOKUP($E86,'JKP-8.5 - Unit Costs'!$A$9:$H$33,6,FALSE)</f>
        <v>0</v>
      </c>
      <c r="M86" s="1143">
        <f>VLOOKUP($E86,'JKP-8.5 - Unit Costs'!$A$9:$H$33,8,FALSE)</f>
        <v>3456.43</v>
      </c>
      <c r="N86" s="1143">
        <f>VLOOKUP($E86,'JKP-8.5 - Unit Costs'!$A$9:$H$33,8,FALSE)</f>
        <v>3456.43</v>
      </c>
      <c r="O86" s="1144">
        <f t="shared" si="12"/>
        <v>0</v>
      </c>
      <c r="P86" s="1144">
        <f t="shared" si="12"/>
        <v>0</v>
      </c>
      <c r="Q86" s="1144">
        <f t="shared" si="13"/>
        <v>0</v>
      </c>
      <c r="R86" s="1144">
        <f t="shared" si="14"/>
        <v>0</v>
      </c>
      <c r="S86" s="1144">
        <f t="shared" si="14"/>
        <v>0</v>
      </c>
      <c r="T86" s="1144">
        <f t="shared" si="15"/>
        <v>0</v>
      </c>
      <c r="U86" s="1144">
        <f t="shared" si="16"/>
        <v>3456.43</v>
      </c>
      <c r="V86" s="1144">
        <f t="shared" si="16"/>
        <v>6912.86</v>
      </c>
      <c r="W86" s="1145">
        <f t="shared" si="17"/>
        <v>10369.289999999999</v>
      </c>
    </row>
    <row r="87" spans="1:23" x14ac:dyDescent="0.2">
      <c r="A87" s="1140" t="str">
        <f t="shared" si="9"/>
        <v>31G-C-NS 250 AMR</v>
      </c>
      <c r="B87" s="1140" t="str">
        <f t="shared" si="10"/>
        <v xml:space="preserve">31G-C-NS 250 </v>
      </c>
      <c r="C87" s="1140" t="s">
        <v>1854</v>
      </c>
      <c r="D87" s="1140" t="s">
        <v>905</v>
      </c>
      <c r="E87" s="1140">
        <v>250</v>
      </c>
      <c r="F87" s="1141">
        <f>SUMIF('JKP-8.5 - CNSMREQP_GASMTRCTR'!$A$2:$A$391,'JKP-8.5 - Total Costs'!A87,'JKP-8.5 - CNSMREQP_GASMTRCTR'!$F$2:$F$391)-SUMIF('JKP-8.5 - Migrated From'!$A$2:$A$22,'JKP-8.5 - Total Costs'!A87,'JKP-8.5 - Migrated From'!$F$2:$F$22)+SUMIF('JKP-8.5 - Migrated To'!$A$2:$A$22,'JKP-8.5 - Total Costs'!A87,'JKP-8.5 - Migrated To'!$F$2:$F$22)</f>
        <v>2</v>
      </c>
      <c r="G87" s="1141">
        <f>SUMIF('JKP-8.5 - CNSMREQP_GASMTRCTR'!$A$2:$A$391,'JKP-8.5 - Total Costs'!B87,'JKP-8.5 - CNSMREQP_GASMTRCTR'!$F$2:$F$391)-SUMIF('JKP-8.5 - Migrated From'!$A$2:$A$22,'JKP-8.5 - Total Costs'!B87,'JKP-8.5 - Migrated From'!$F$2:$F$22)+SUMIF('JKP-8.5 - Migrated To'!$A$2:$A$22,'JKP-8.5 - Total Costs'!B87,'JKP-8.5 - Migrated To'!$F$2:$F$22)</f>
        <v>0</v>
      </c>
      <c r="H87" s="1142">
        <f t="shared" si="11"/>
        <v>2</v>
      </c>
      <c r="I87" s="1143">
        <f>VLOOKUP($E87,'JKP-8.5 - Unit Costs'!$A$9:$H$33,2,FALSE)</f>
        <v>141.83000000000001</v>
      </c>
      <c r="J87" s="1143">
        <f>VLOOKUP($E87,'JKP-8.5 - Unit Costs'!$A$9:$H$33,5,FALSE)</f>
        <v>92.480000000000018</v>
      </c>
      <c r="K87" s="1143">
        <f>VLOOKUP($E87,'JKP-8.5 - Unit Costs'!$A$9:$H$33,3,FALSE)</f>
        <v>41.76</v>
      </c>
      <c r="L87" s="1143">
        <f>VLOOKUP($E87,'JKP-8.5 - Unit Costs'!$A$9:$H$33,6,FALSE)</f>
        <v>41.76</v>
      </c>
      <c r="M87" s="1143">
        <f>VLOOKUP($E87,'JKP-8.5 - Unit Costs'!$A$9:$H$33,8,FALSE)</f>
        <v>0</v>
      </c>
      <c r="N87" s="1143">
        <f>VLOOKUP($E87,'JKP-8.5 - Unit Costs'!$A$9:$H$33,8,FALSE)</f>
        <v>0</v>
      </c>
      <c r="O87" s="1144">
        <f t="shared" si="12"/>
        <v>283.66000000000003</v>
      </c>
      <c r="P87" s="1144">
        <f t="shared" si="12"/>
        <v>0</v>
      </c>
      <c r="Q87" s="1144">
        <f t="shared" si="13"/>
        <v>283.66000000000003</v>
      </c>
      <c r="R87" s="1144">
        <f t="shared" si="14"/>
        <v>83.52</v>
      </c>
      <c r="S87" s="1144">
        <f t="shared" si="14"/>
        <v>0</v>
      </c>
      <c r="T87" s="1144">
        <f t="shared" si="15"/>
        <v>83.52</v>
      </c>
      <c r="U87" s="1144">
        <f t="shared" si="16"/>
        <v>0</v>
      </c>
      <c r="V87" s="1144">
        <f t="shared" si="16"/>
        <v>0</v>
      </c>
      <c r="W87" s="1145">
        <f t="shared" si="17"/>
        <v>0</v>
      </c>
    </row>
    <row r="88" spans="1:23" x14ac:dyDescent="0.2">
      <c r="A88" s="1140" t="str">
        <f t="shared" si="9"/>
        <v>31G-C-NS 425 AMR</v>
      </c>
      <c r="B88" s="1140" t="str">
        <f t="shared" si="10"/>
        <v xml:space="preserve">31G-C-NS 425 </v>
      </c>
      <c r="C88" s="1140" t="s">
        <v>1854</v>
      </c>
      <c r="D88" s="1140" t="s">
        <v>905</v>
      </c>
      <c r="E88" s="1140">
        <v>425</v>
      </c>
      <c r="F88" s="1141">
        <f>SUMIF('JKP-8.5 - CNSMREQP_GASMTRCTR'!$A$2:$A$391,'JKP-8.5 - Total Costs'!A88,'JKP-8.5 - CNSMREQP_GASMTRCTR'!$F$2:$F$391)-SUMIF('JKP-8.5 - Migrated From'!$A$2:$A$22,'JKP-8.5 - Total Costs'!A88,'JKP-8.5 - Migrated From'!$F$2:$F$22)+SUMIF('JKP-8.5 - Migrated To'!$A$2:$A$22,'JKP-8.5 - Total Costs'!A88,'JKP-8.5 - Migrated To'!$F$2:$F$22)</f>
        <v>2</v>
      </c>
      <c r="G88" s="1141">
        <f>SUMIF('JKP-8.5 - CNSMREQP_GASMTRCTR'!$A$2:$A$391,'JKP-8.5 - Total Costs'!B88,'JKP-8.5 - CNSMREQP_GASMTRCTR'!$F$2:$F$391)-SUMIF('JKP-8.5 - Migrated From'!$A$2:$A$22,'JKP-8.5 - Total Costs'!B88,'JKP-8.5 - Migrated From'!$F$2:$F$22)+SUMIF('JKP-8.5 - Migrated To'!$A$2:$A$22,'JKP-8.5 - Total Costs'!B88,'JKP-8.5 - Migrated To'!$F$2:$F$22)</f>
        <v>0</v>
      </c>
      <c r="H88" s="1142">
        <f t="shared" si="11"/>
        <v>2</v>
      </c>
      <c r="I88" s="1143">
        <f>VLOOKUP($E88,'JKP-8.5 - Unit Costs'!$A$9:$H$33,2,FALSE)</f>
        <v>462.02000000000004</v>
      </c>
      <c r="J88" s="1143">
        <f>VLOOKUP($E88,'JKP-8.5 - Unit Costs'!$A$9:$H$33,5,FALSE)</f>
        <v>193.72</v>
      </c>
      <c r="K88" s="1143">
        <f>VLOOKUP($E88,'JKP-8.5 - Unit Costs'!$A$9:$H$33,3,FALSE)</f>
        <v>41.76</v>
      </c>
      <c r="L88" s="1143">
        <f>VLOOKUP($E88,'JKP-8.5 - Unit Costs'!$A$9:$H$33,6,FALSE)</f>
        <v>41.76</v>
      </c>
      <c r="M88" s="1143">
        <f>VLOOKUP($E88,'JKP-8.5 - Unit Costs'!$A$9:$H$33,8,FALSE)</f>
        <v>0</v>
      </c>
      <c r="N88" s="1143">
        <f>VLOOKUP($E88,'JKP-8.5 - Unit Costs'!$A$9:$H$33,8,FALSE)</f>
        <v>0</v>
      </c>
      <c r="O88" s="1144">
        <f t="shared" si="12"/>
        <v>924.04000000000008</v>
      </c>
      <c r="P88" s="1144">
        <f t="shared" si="12"/>
        <v>0</v>
      </c>
      <c r="Q88" s="1144">
        <f t="shared" si="13"/>
        <v>924.04000000000008</v>
      </c>
      <c r="R88" s="1144">
        <f t="shared" si="14"/>
        <v>83.52</v>
      </c>
      <c r="S88" s="1144">
        <f t="shared" si="14"/>
        <v>0</v>
      </c>
      <c r="T88" s="1144">
        <f t="shared" si="15"/>
        <v>83.52</v>
      </c>
      <c r="U88" s="1144">
        <f t="shared" si="16"/>
        <v>0</v>
      </c>
      <c r="V88" s="1144">
        <f t="shared" si="16"/>
        <v>0</v>
      </c>
      <c r="W88" s="1145">
        <f t="shared" si="17"/>
        <v>0</v>
      </c>
    </row>
    <row r="89" spans="1:23" x14ac:dyDescent="0.2">
      <c r="A89" s="1140" t="str">
        <f t="shared" si="9"/>
        <v>31G-C-NS 1000 AMR</v>
      </c>
      <c r="B89" s="1140" t="str">
        <f t="shared" si="10"/>
        <v xml:space="preserve">31G-C-NS 1000 </v>
      </c>
      <c r="C89" s="1140" t="s">
        <v>1854</v>
      </c>
      <c r="D89" s="1140" t="s">
        <v>905</v>
      </c>
      <c r="E89" s="1140">
        <v>1000</v>
      </c>
      <c r="F89" s="1141">
        <f>SUMIF('JKP-8.5 - CNSMREQP_GASMTRCTR'!$A$2:$A$391,'JKP-8.5 - Total Costs'!A89,'JKP-8.5 - CNSMREQP_GASMTRCTR'!$F$2:$F$391)-SUMIF('JKP-8.5 - Migrated From'!$A$2:$A$22,'JKP-8.5 - Total Costs'!A89,'JKP-8.5 - Migrated From'!$F$2:$F$22)+SUMIF('JKP-8.5 - Migrated To'!$A$2:$A$22,'JKP-8.5 - Total Costs'!A89,'JKP-8.5 - Migrated To'!$F$2:$F$22)</f>
        <v>4</v>
      </c>
      <c r="G89" s="1141">
        <f>SUMIF('JKP-8.5 - CNSMREQP_GASMTRCTR'!$A$2:$A$391,'JKP-8.5 - Total Costs'!B89,'JKP-8.5 - CNSMREQP_GASMTRCTR'!$F$2:$F$391)-SUMIF('JKP-8.5 - Migrated From'!$A$2:$A$22,'JKP-8.5 - Total Costs'!B89,'JKP-8.5 - Migrated From'!$F$2:$F$22)+SUMIF('JKP-8.5 - Migrated To'!$A$2:$A$22,'JKP-8.5 - Total Costs'!B89,'JKP-8.5 - Migrated To'!$F$2:$F$22)</f>
        <v>1</v>
      </c>
      <c r="H89" s="1142">
        <f t="shared" si="11"/>
        <v>5</v>
      </c>
      <c r="I89" s="1143">
        <f>VLOOKUP($E89,'JKP-8.5 - Unit Costs'!$A$9:$H$33,2,FALSE)</f>
        <v>1404.86</v>
      </c>
      <c r="J89" s="1143">
        <f>VLOOKUP($E89,'JKP-8.5 - Unit Costs'!$A$9:$H$33,5,FALSE)</f>
        <v>1063.1500000000001</v>
      </c>
      <c r="K89" s="1143">
        <f>VLOOKUP($E89,'JKP-8.5 - Unit Costs'!$A$9:$H$33,3,FALSE)</f>
        <v>41.76</v>
      </c>
      <c r="L89" s="1143">
        <f>VLOOKUP($E89,'JKP-8.5 - Unit Costs'!$A$9:$H$33,6,FALSE)</f>
        <v>41.76</v>
      </c>
      <c r="M89" s="1143">
        <f>VLOOKUP($E89,'JKP-8.5 - Unit Costs'!$A$9:$H$33,8,FALSE)</f>
        <v>0</v>
      </c>
      <c r="N89" s="1143">
        <f>VLOOKUP($E89,'JKP-8.5 - Unit Costs'!$A$9:$H$33,8,FALSE)</f>
        <v>0</v>
      </c>
      <c r="O89" s="1144">
        <f t="shared" si="12"/>
        <v>5619.44</v>
      </c>
      <c r="P89" s="1144">
        <f t="shared" si="12"/>
        <v>1063.1500000000001</v>
      </c>
      <c r="Q89" s="1144">
        <f t="shared" si="13"/>
        <v>6682.59</v>
      </c>
      <c r="R89" s="1144">
        <f t="shared" si="14"/>
        <v>167.04</v>
      </c>
      <c r="S89" s="1144">
        <f t="shared" si="14"/>
        <v>41.76</v>
      </c>
      <c r="T89" s="1144">
        <f t="shared" si="15"/>
        <v>208.79999999999998</v>
      </c>
      <c r="U89" s="1144">
        <f t="shared" si="16"/>
        <v>0</v>
      </c>
      <c r="V89" s="1144">
        <f t="shared" si="16"/>
        <v>0</v>
      </c>
      <c r="W89" s="1145">
        <f t="shared" si="17"/>
        <v>0</v>
      </c>
    </row>
    <row r="90" spans="1:23" x14ac:dyDescent="0.2">
      <c r="A90" s="1140" t="str">
        <f t="shared" si="9"/>
        <v>31G-C-NS 3000 AMR</v>
      </c>
      <c r="B90" s="1140" t="str">
        <f t="shared" si="10"/>
        <v xml:space="preserve">31G-C-NS 3000 </v>
      </c>
      <c r="C90" s="1140" t="s">
        <v>1854</v>
      </c>
      <c r="D90" s="1140" t="s">
        <v>905</v>
      </c>
      <c r="E90" s="1140">
        <v>3000</v>
      </c>
      <c r="F90" s="1141">
        <f>SUMIF('JKP-8.5 - CNSMREQP_GASMTRCTR'!$A$2:$A$391,'JKP-8.5 - Total Costs'!A90,'JKP-8.5 - CNSMREQP_GASMTRCTR'!$F$2:$F$391)-SUMIF('JKP-8.5 - Migrated From'!$A$2:$A$22,'JKP-8.5 - Total Costs'!A90,'JKP-8.5 - Migrated From'!$F$2:$F$22)+SUMIF('JKP-8.5 - Migrated To'!$A$2:$A$22,'JKP-8.5 - Total Costs'!A90,'JKP-8.5 - Migrated To'!$F$2:$F$22)</f>
        <v>2</v>
      </c>
      <c r="G90" s="1141">
        <f>SUMIF('JKP-8.5 - CNSMREQP_GASMTRCTR'!$A$2:$A$391,'JKP-8.5 - Total Costs'!B90,'JKP-8.5 - CNSMREQP_GASMTRCTR'!$F$2:$F$391)-SUMIF('JKP-8.5 - Migrated From'!$A$2:$A$22,'JKP-8.5 - Total Costs'!B90,'JKP-8.5 - Migrated From'!$F$2:$F$22)+SUMIF('JKP-8.5 - Migrated To'!$A$2:$A$22,'JKP-8.5 - Total Costs'!B90,'JKP-8.5 - Migrated To'!$F$2:$F$22)</f>
        <v>1</v>
      </c>
      <c r="H90" s="1142">
        <f t="shared" si="11"/>
        <v>3</v>
      </c>
      <c r="I90" s="1143">
        <f>VLOOKUP($E90,'JKP-8.5 - Unit Costs'!$A$9:$H$33,2,FALSE)</f>
        <v>0</v>
      </c>
      <c r="J90" s="1143">
        <f>VLOOKUP($E90,'JKP-8.5 - Unit Costs'!$A$9:$H$33,5,FALSE)</f>
        <v>0</v>
      </c>
      <c r="K90" s="1143">
        <f>VLOOKUP($E90,'JKP-8.5 - Unit Costs'!$A$9:$H$33,3,FALSE)</f>
        <v>0</v>
      </c>
      <c r="L90" s="1143">
        <f>VLOOKUP($E90,'JKP-8.5 - Unit Costs'!$A$9:$H$33,6,FALSE)</f>
        <v>0</v>
      </c>
      <c r="M90" s="1143">
        <f>VLOOKUP($E90,'JKP-8.5 - Unit Costs'!$A$9:$H$33,8,FALSE)</f>
        <v>3406.19</v>
      </c>
      <c r="N90" s="1143">
        <f>VLOOKUP($E90,'JKP-8.5 - Unit Costs'!$A$9:$H$33,8,FALSE)</f>
        <v>3406.19</v>
      </c>
      <c r="O90" s="1144">
        <f t="shared" si="12"/>
        <v>0</v>
      </c>
      <c r="P90" s="1144">
        <f t="shared" si="12"/>
        <v>0</v>
      </c>
      <c r="Q90" s="1144">
        <f t="shared" si="13"/>
        <v>0</v>
      </c>
      <c r="R90" s="1144">
        <f t="shared" si="14"/>
        <v>0</v>
      </c>
      <c r="S90" s="1144">
        <f t="shared" si="14"/>
        <v>0</v>
      </c>
      <c r="T90" s="1144">
        <f t="shared" si="15"/>
        <v>0</v>
      </c>
      <c r="U90" s="1144">
        <f t="shared" si="16"/>
        <v>6812.38</v>
      </c>
      <c r="V90" s="1144">
        <f t="shared" si="16"/>
        <v>3406.19</v>
      </c>
      <c r="W90" s="1145">
        <f t="shared" si="17"/>
        <v>10218.57</v>
      </c>
    </row>
    <row r="91" spans="1:23" x14ac:dyDescent="0.2">
      <c r="A91" s="1140" t="str">
        <f t="shared" si="9"/>
        <v>31G-C-NS 5000 AMR</v>
      </c>
      <c r="B91" s="1140" t="str">
        <f t="shared" si="10"/>
        <v xml:space="preserve">31G-C-NS 5000 </v>
      </c>
      <c r="C91" s="1140" t="s">
        <v>1854</v>
      </c>
      <c r="D91" s="1140" t="s">
        <v>905</v>
      </c>
      <c r="E91" s="1140">
        <v>5000</v>
      </c>
      <c r="F91" s="1141">
        <f>SUMIF('JKP-8.5 - CNSMREQP_GASMTRCTR'!$A$2:$A$391,'JKP-8.5 - Total Costs'!A91,'JKP-8.5 - CNSMREQP_GASMTRCTR'!$F$2:$F$391)-SUMIF('JKP-8.5 - Migrated From'!$A$2:$A$22,'JKP-8.5 - Total Costs'!A91,'JKP-8.5 - Migrated From'!$F$2:$F$22)+SUMIF('JKP-8.5 - Migrated To'!$A$2:$A$22,'JKP-8.5 - Total Costs'!A91,'JKP-8.5 - Migrated To'!$F$2:$F$22)</f>
        <v>1</v>
      </c>
      <c r="G91" s="1141">
        <f>SUMIF('JKP-8.5 - CNSMREQP_GASMTRCTR'!$A$2:$A$391,'JKP-8.5 - Total Costs'!B91,'JKP-8.5 - CNSMREQP_GASMTRCTR'!$F$2:$F$391)-SUMIF('JKP-8.5 - Migrated From'!$A$2:$A$22,'JKP-8.5 - Total Costs'!B91,'JKP-8.5 - Migrated From'!$F$2:$F$22)+SUMIF('JKP-8.5 - Migrated To'!$A$2:$A$22,'JKP-8.5 - Total Costs'!B91,'JKP-8.5 - Migrated To'!$F$2:$F$22)</f>
        <v>0</v>
      </c>
      <c r="H91" s="1142">
        <f t="shared" si="11"/>
        <v>1</v>
      </c>
      <c r="I91" s="1143">
        <f>VLOOKUP($E91,'JKP-8.5 - Unit Costs'!$A$9:$H$33,2,FALSE)</f>
        <v>0</v>
      </c>
      <c r="J91" s="1143">
        <f>VLOOKUP($E91,'JKP-8.5 - Unit Costs'!$A$9:$H$33,5,FALSE)</f>
        <v>0</v>
      </c>
      <c r="K91" s="1143">
        <f>VLOOKUP($E91,'JKP-8.5 - Unit Costs'!$A$9:$H$33,3,FALSE)</f>
        <v>0</v>
      </c>
      <c r="L91" s="1143">
        <f>VLOOKUP($E91,'JKP-8.5 - Unit Costs'!$A$9:$H$33,6,FALSE)</f>
        <v>0</v>
      </c>
      <c r="M91" s="1143">
        <f>VLOOKUP($E91,'JKP-8.5 - Unit Costs'!$A$9:$H$33,8,FALSE)</f>
        <v>3456.43</v>
      </c>
      <c r="N91" s="1143">
        <f>VLOOKUP($E91,'JKP-8.5 - Unit Costs'!$A$9:$H$33,8,FALSE)</f>
        <v>3456.43</v>
      </c>
      <c r="O91" s="1144">
        <f t="shared" si="12"/>
        <v>0</v>
      </c>
      <c r="P91" s="1144">
        <f t="shared" si="12"/>
        <v>0</v>
      </c>
      <c r="Q91" s="1144">
        <f t="shared" si="13"/>
        <v>0</v>
      </c>
      <c r="R91" s="1144">
        <f t="shared" si="14"/>
        <v>0</v>
      </c>
      <c r="S91" s="1144">
        <f t="shared" si="14"/>
        <v>0</v>
      </c>
      <c r="T91" s="1144">
        <f t="shared" si="15"/>
        <v>0</v>
      </c>
      <c r="U91" s="1144">
        <f t="shared" si="16"/>
        <v>3456.43</v>
      </c>
      <c r="V91" s="1144">
        <f t="shared" si="16"/>
        <v>0</v>
      </c>
      <c r="W91" s="1145">
        <f t="shared" si="17"/>
        <v>3456.43</v>
      </c>
    </row>
    <row r="92" spans="1:23" x14ac:dyDescent="0.2">
      <c r="A92" s="1140" t="str">
        <f t="shared" si="9"/>
        <v>31G-C-NS 11000 AMR</v>
      </c>
      <c r="B92" s="1140" t="str">
        <f t="shared" si="10"/>
        <v xml:space="preserve">31G-C-NS 11000 </v>
      </c>
      <c r="C92" s="1140" t="s">
        <v>1854</v>
      </c>
      <c r="D92" s="1140" t="s">
        <v>905</v>
      </c>
      <c r="E92" s="1140">
        <v>11000</v>
      </c>
      <c r="F92" s="1141">
        <f>SUMIF('JKP-8.5 - CNSMREQP_GASMTRCTR'!$A$2:$A$391,'JKP-8.5 - Total Costs'!A92,'JKP-8.5 - CNSMREQP_GASMTRCTR'!$F$2:$F$391)-SUMIF('JKP-8.5 - Migrated From'!$A$2:$A$22,'JKP-8.5 - Total Costs'!A92,'JKP-8.5 - Migrated From'!$F$2:$F$22)+SUMIF('JKP-8.5 - Migrated To'!$A$2:$A$22,'JKP-8.5 - Total Costs'!A92,'JKP-8.5 - Migrated To'!$F$2:$F$22)</f>
        <v>0</v>
      </c>
      <c r="G92" s="1141">
        <f>SUMIF('JKP-8.5 - CNSMREQP_GASMTRCTR'!$A$2:$A$391,'JKP-8.5 - Total Costs'!B92,'JKP-8.5 - CNSMREQP_GASMTRCTR'!$F$2:$F$391)-SUMIF('JKP-8.5 - Migrated From'!$A$2:$A$22,'JKP-8.5 - Total Costs'!B92,'JKP-8.5 - Migrated From'!$F$2:$F$22)+SUMIF('JKP-8.5 - Migrated To'!$A$2:$A$22,'JKP-8.5 - Total Costs'!B92,'JKP-8.5 - Migrated To'!$F$2:$F$22)</f>
        <v>1</v>
      </c>
      <c r="H92" s="1142">
        <f t="shared" si="11"/>
        <v>1</v>
      </c>
      <c r="I92" s="1143">
        <f>VLOOKUP($E92,'JKP-8.5 - Unit Costs'!$A$9:$H$33,2,FALSE)</f>
        <v>0</v>
      </c>
      <c r="J92" s="1143">
        <f>VLOOKUP($E92,'JKP-8.5 - Unit Costs'!$A$9:$H$33,5,FALSE)</f>
        <v>0</v>
      </c>
      <c r="K92" s="1143">
        <f>VLOOKUP($E92,'JKP-8.5 - Unit Costs'!$A$9:$H$33,3,FALSE)</f>
        <v>0</v>
      </c>
      <c r="L92" s="1143">
        <f>VLOOKUP($E92,'JKP-8.5 - Unit Costs'!$A$9:$H$33,6,FALSE)</f>
        <v>0</v>
      </c>
      <c r="M92" s="1143">
        <f>VLOOKUP($E92,'JKP-8.5 - Unit Costs'!$A$9:$H$33,8,FALSE)</f>
        <v>5835.1900000000005</v>
      </c>
      <c r="N92" s="1143">
        <f>VLOOKUP($E92,'JKP-8.5 - Unit Costs'!$A$9:$H$33,8,FALSE)</f>
        <v>5835.1900000000005</v>
      </c>
      <c r="O92" s="1144">
        <f t="shared" si="12"/>
        <v>0</v>
      </c>
      <c r="P92" s="1144">
        <f t="shared" si="12"/>
        <v>0</v>
      </c>
      <c r="Q92" s="1144">
        <f t="shared" si="13"/>
        <v>0</v>
      </c>
      <c r="R92" s="1144">
        <f t="shared" si="14"/>
        <v>0</v>
      </c>
      <c r="S92" s="1144">
        <f t="shared" si="14"/>
        <v>0</v>
      </c>
      <c r="T92" s="1144">
        <f t="shared" si="15"/>
        <v>0</v>
      </c>
      <c r="U92" s="1144">
        <f t="shared" si="16"/>
        <v>0</v>
      </c>
      <c r="V92" s="1144">
        <f t="shared" si="16"/>
        <v>5835.1900000000005</v>
      </c>
      <c r="W92" s="1145">
        <f t="shared" si="17"/>
        <v>5835.1900000000005</v>
      </c>
    </row>
    <row r="93" spans="1:23" x14ac:dyDescent="0.2">
      <c r="A93" s="1140" t="str">
        <f t="shared" si="9"/>
        <v>31G-C-NS 16000 AMR</v>
      </c>
      <c r="B93" s="1140" t="str">
        <f t="shared" si="10"/>
        <v xml:space="preserve">31G-C-NS 16000 </v>
      </c>
      <c r="C93" s="1140" t="s">
        <v>1854</v>
      </c>
      <c r="D93" s="1140" t="s">
        <v>905</v>
      </c>
      <c r="E93" s="1140">
        <v>16000</v>
      </c>
      <c r="F93" s="1141">
        <f>SUMIF('JKP-8.5 - CNSMREQP_GASMTRCTR'!$A$2:$A$391,'JKP-8.5 - Total Costs'!A93,'JKP-8.5 - CNSMREQP_GASMTRCTR'!$F$2:$F$391)-SUMIF('JKP-8.5 - Migrated From'!$A$2:$A$22,'JKP-8.5 - Total Costs'!A93,'JKP-8.5 - Migrated From'!$F$2:$F$22)+SUMIF('JKP-8.5 - Migrated To'!$A$2:$A$22,'JKP-8.5 - Total Costs'!A93,'JKP-8.5 - Migrated To'!$F$2:$F$22)</f>
        <v>0</v>
      </c>
      <c r="G93" s="1141">
        <f>SUMIF('JKP-8.5 - CNSMREQP_GASMTRCTR'!$A$2:$A$391,'JKP-8.5 - Total Costs'!B93,'JKP-8.5 - CNSMREQP_GASMTRCTR'!$F$2:$F$391)-SUMIF('JKP-8.5 - Migrated From'!$A$2:$A$22,'JKP-8.5 - Total Costs'!B93,'JKP-8.5 - Migrated From'!$F$2:$F$22)+SUMIF('JKP-8.5 - Migrated To'!$A$2:$A$22,'JKP-8.5 - Total Costs'!B93,'JKP-8.5 - Migrated To'!$F$2:$F$22)</f>
        <v>1</v>
      </c>
      <c r="H93" s="1142">
        <f t="shared" si="11"/>
        <v>1</v>
      </c>
      <c r="I93" s="1143">
        <f>VLOOKUP($E93,'JKP-8.5 - Unit Costs'!$A$9:$H$33,2,FALSE)</f>
        <v>0</v>
      </c>
      <c r="J93" s="1143">
        <f>VLOOKUP($E93,'JKP-8.5 - Unit Costs'!$A$9:$H$33,5,FALSE)</f>
        <v>0</v>
      </c>
      <c r="K93" s="1143">
        <f>VLOOKUP($E93,'JKP-8.5 - Unit Costs'!$A$9:$H$33,3,FALSE)</f>
        <v>0</v>
      </c>
      <c r="L93" s="1143">
        <f>VLOOKUP($E93,'JKP-8.5 - Unit Costs'!$A$9:$H$33,6,FALSE)</f>
        <v>0</v>
      </c>
      <c r="M93" s="1143">
        <f>VLOOKUP($E93,'JKP-8.5 - Unit Costs'!$A$9:$H$33,8,FALSE)</f>
        <v>8983.2999999999993</v>
      </c>
      <c r="N93" s="1143">
        <f>VLOOKUP($E93,'JKP-8.5 - Unit Costs'!$A$9:$H$33,8,FALSE)</f>
        <v>8983.2999999999993</v>
      </c>
      <c r="O93" s="1144">
        <f t="shared" si="12"/>
        <v>0</v>
      </c>
      <c r="P93" s="1144">
        <f t="shared" si="12"/>
        <v>0</v>
      </c>
      <c r="Q93" s="1144">
        <f t="shared" si="13"/>
        <v>0</v>
      </c>
      <c r="R93" s="1144">
        <f t="shared" si="14"/>
        <v>0</v>
      </c>
      <c r="S93" s="1144">
        <f t="shared" si="14"/>
        <v>0</v>
      </c>
      <c r="T93" s="1144">
        <f t="shared" si="15"/>
        <v>0</v>
      </c>
      <c r="U93" s="1144">
        <f t="shared" si="16"/>
        <v>0</v>
      </c>
      <c r="V93" s="1144">
        <f t="shared" si="16"/>
        <v>8983.2999999999993</v>
      </c>
      <c r="W93" s="1145">
        <f t="shared" si="17"/>
        <v>8983.2999999999993</v>
      </c>
    </row>
    <row r="94" spans="1:23" x14ac:dyDescent="0.2">
      <c r="A94" s="1140" t="str">
        <f t="shared" si="9"/>
        <v>31G-I 175 AMR</v>
      </c>
      <c r="B94" s="1140" t="str">
        <f t="shared" si="10"/>
        <v xml:space="preserve">31G-I 175 </v>
      </c>
      <c r="C94" s="1140" t="s">
        <v>1854</v>
      </c>
      <c r="D94" s="1140" t="s">
        <v>915</v>
      </c>
      <c r="E94" s="1140">
        <v>175</v>
      </c>
      <c r="F94" s="1141">
        <f>SUMIF('JKP-8.5 - CNSMREQP_GASMTRCTR'!$A$2:$A$391,'JKP-8.5 - Total Costs'!A94,'JKP-8.5 - CNSMREQP_GASMTRCTR'!$F$2:$F$391)-SUMIF('JKP-8.5 - Migrated From'!$A$2:$A$22,'JKP-8.5 - Total Costs'!A94,'JKP-8.5 - Migrated From'!$F$2:$F$22)+SUMIF('JKP-8.5 - Migrated To'!$A$2:$A$22,'JKP-8.5 - Total Costs'!A94,'JKP-8.5 - Migrated To'!$F$2:$F$22)</f>
        <v>239</v>
      </c>
      <c r="G94" s="1141">
        <f>SUMIF('JKP-8.5 - CNSMREQP_GASMTRCTR'!$A$2:$A$391,'JKP-8.5 - Total Costs'!B94,'JKP-8.5 - CNSMREQP_GASMTRCTR'!$F$2:$F$391)-SUMIF('JKP-8.5 - Migrated From'!$A$2:$A$22,'JKP-8.5 - Total Costs'!B94,'JKP-8.5 - Migrated From'!$F$2:$F$22)+SUMIF('JKP-8.5 - Migrated To'!$A$2:$A$22,'JKP-8.5 - Total Costs'!B94,'JKP-8.5 - Migrated To'!$F$2:$F$22)</f>
        <v>0</v>
      </c>
      <c r="H94" s="1142">
        <f t="shared" si="11"/>
        <v>239</v>
      </c>
      <c r="I94" s="1143">
        <f>VLOOKUP($E94,'JKP-8.5 - Unit Costs'!$A$9:$H$33,2,FALSE)</f>
        <v>141.83000000000001</v>
      </c>
      <c r="J94" s="1143">
        <f>VLOOKUP($E94,'JKP-8.5 - Unit Costs'!$A$9:$H$33,5,FALSE)</f>
        <v>92.480000000000018</v>
      </c>
      <c r="K94" s="1143">
        <f>VLOOKUP($E94,'JKP-8.5 - Unit Costs'!$A$9:$H$33,3,FALSE)</f>
        <v>41.76</v>
      </c>
      <c r="L94" s="1143">
        <f>VLOOKUP($E94,'JKP-8.5 - Unit Costs'!$A$9:$H$33,6,FALSE)</f>
        <v>41.76</v>
      </c>
      <c r="M94" s="1143">
        <f>VLOOKUP($E94,'JKP-8.5 - Unit Costs'!$A$9:$H$33,8,FALSE)</f>
        <v>0</v>
      </c>
      <c r="N94" s="1143">
        <f>VLOOKUP($E94,'JKP-8.5 - Unit Costs'!$A$9:$H$33,8,FALSE)</f>
        <v>0</v>
      </c>
      <c r="O94" s="1144">
        <f t="shared" si="12"/>
        <v>33897.370000000003</v>
      </c>
      <c r="P94" s="1144">
        <f t="shared" si="12"/>
        <v>0</v>
      </c>
      <c r="Q94" s="1144">
        <f t="shared" si="13"/>
        <v>33897.370000000003</v>
      </c>
      <c r="R94" s="1144">
        <f t="shared" si="14"/>
        <v>9980.64</v>
      </c>
      <c r="S94" s="1144">
        <f t="shared" si="14"/>
        <v>0</v>
      </c>
      <c r="T94" s="1144">
        <f t="shared" si="15"/>
        <v>9980.64</v>
      </c>
      <c r="U94" s="1144">
        <f t="shared" si="16"/>
        <v>0</v>
      </c>
      <c r="V94" s="1144">
        <f t="shared" si="16"/>
        <v>0</v>
      </c>
      <c r="W94" s="1145">
        <f t="shared" si="17"/>
        <v>0</v>
      </c>
    </row>
    <row r="95" spans="1:23" x14ac:dyDescent="0.2">
      <c r="A95" s="1140" t="str">
        <f t="shared" si="9"/>
        <v>31G-I 200 AMR</v>
      </c>
      <c r="B95" s="1140" t="str">
        <f t="shared" si="10"/>
        <v xml:space="preserve">31G-I 200 </v>
      </c>
      <c r="C95" s="1140" t="s">
        <v>1854</v>
      </c>
      <c r="D95" s="1140" t="s">
        <v>915</v>
      </c>
      <c r="E95" s="1140">
        <v>200</v>
      </c>
      <c r="F95" s="1141">
        <f>SUMIF('JKP-8.5 - CNSMREQP_GASMTRCTR'!$A$2:$A$391,'JKP-8.5 - Total Costs'!A95,'JKP-8.5 - CNSMREQP_GASMTRCTR'!$F$2:$F$391)-SUMIF('JKP-8.5 - Migrated From'!$A$2:$A$22,'JKP-8.5 - Total Costs'!A95,'JKP-8.5 - Migrated From'!$F$2:$F$22)+SUMIF('JKP-8.5 - Migrated To'!$A$2:$A$22,'JKP-8.5 - Total Costs'!A95,'JKP-8.5 - Migrated To'!$F$2:$F$22)</f>
        <v>67</v>
      </c>
      <c r="G95" s="1141">
        <f>SUMIF('JKP-8.5 - CNSMREQP_GASMTRCTR'!$A$2:$A$391,'JKP-8.5 - Total Costs'!B95,'JKP-8.5 - CNSMREQP_GASMTRCTR'!$F$2:$F$391)-SUMIF('JKP-8.5 - Migrated From'!$A$2:$A$22,'JKP-8.5 - Total Costs'!B95,'JKP-8.5 - Migrated From'!$F$2:$F$22)+SUMIF('JKP-8.5 - Migrated To'!$A$2:$A$22,'JKP-8.5 - Total Costs'!B95,'JKP-8.5 - Migrated To'!$F$2:$F$22)</f>
        <v>0</v>
      </c>
      <c r="H95" s="1142">
        <f t="shared" si="11"/>
        <v>67</v>
      </c>
      <c r="I95" s="1143">
        <f>VLOOKUP($E95,'JKP-8.5 - Unit Costs'!$A$9:$H$33,2,FALSE)</f>
        <v>141.83000000000001</v>
      </c>
      <c r="J95" s="1143">
        <f>VLOOKUP($E95,'JKP-8.5 - Unit Costs'!$A$9:$H$33,5,FALSE)</f>
        <v>92.480000000000018</v>
      </c>
      <c r="K95" s="1143">
        <f>VLOOKUP($E95,'JKP-8.5 - Unit Costs'!$A$9:$H$33,3,FALSE)</f>
        <v>41.76</v>
      </c>
      <c r="L95" s="1143">
        <f>VLOOKUP($E95,'JKP-8.5 - Unit Costs'!$A$9:$H$33,6,FALSE)</f>
        <v>41.76</v>
      </c>
      <c r="M95" s="1143">
        <f>VLOOKUP($E95,'JKP-8.5 - Unit Costs'!$A$9:$H$33,8,FALSE)</f>
        <v>0</v>
      </c>
      <c r="N95" s="1143">
        <f>VLOOKUP($E95,'JKP-8.5 - Unit Costs'!$A$9:$H$33,8,FALSE)</f>
        <v>0</v>
      </c>
      <c r="O95" s="1144">
        <f t="shared" si="12"/>
        <v>9502.61</v>
      </c>
      <c r="P95" s="1144">
        <f t="shared" si="12"/>
        <v>0</v>
      </c>
      <c r="Q95" s="1144">
        <f t="shared" si="13"/>
        <v>9502.61</v>
      </c>
      <c r="R95" s="1144">
        <f t="shared" si="14"/>
        <v>2797.92</v>
      </c>
      <c r="S95" s="1144">
        <f t="shared" si="14"/>
        <v>0</v>
      </c>
      <c r="T95" s="1144">
        <f t="shared" si="15"/>
        <v>2797.92</v>
      </c>
      <c r="U95" s="1144">
        <f t="shared" si="16"/>
        <v>0</v>
      </c>
      <c r="V95" s="1144">
        <f t="shared" si="16"/>
        <v>0</v>
      </c>
      <c r="W95" s="1145">
        <f t="shared" si="17"/>
        <v>0</v>
      </c>
    </row>
    <row r="96" spans="1:23" x14ac:dyDescent="0.2">
      <c r="A96" s="1140" t="str">
        <f t="shared" si="9"/>
        <v>31G-I 250 AMR</v>
      </c>
      <c r="B96" s="1140" t="str">
        <f t="shared" si="10"/>
        <v xml:space="preserve">31G-I 250 </v>
      </c>
      <c r="C96" s="1140" t="s">
        <v>1854</v>
      </c>
      <c r="D96" s="1140" t="s">
        <v>915</v>
      </c>
      <c r="E96" s="1140">
        <v>250</v>
      </c>
      <c r="F96" s="1141">
        <f>SUMIF('JKP-8.5 - CNSMREQP_GASMTRCTR'!$A$2:$A$391,'JKP-8.5 - Total Costs'!A96,'JKP-8.5 - CNSMREQP_GASMTRCTR'!$F$2:$F$391)-SUMIF('JKP-8.5 - Migrated From'!$A$2:$A$22,'JKP-8.5 - Total Costs'!A96,'JKP-8.5 - Migrated From'!$F$2:$F$22)+SUMIF('JKP-8.5 - Migrated To'!$A$2:$A$22,'JKP-8.5 - Total Costs'!A96,'JKP-8.5 - Migrated To'!$F$2:$F$22)</f>
        <v>702</v>
      </c>
      <c r="G96" s="1141">
        <f>SUMIF('JKP-8.5 - CNSMREQP_GASMTRCTR'!$A$2:$A$391,'JKP-8.5 - Total Costs'!B96,'JKP-8.5 - CNSMREQP_GASMTRCTR'!$F$2:$F$391)-SUMIF('JKP-8.5 - Migrated From'!$A$2:$A$22,'JKP-8.5 - Total Costs'!B96,'JKP-8.5 - Migrated From'!$F$2:$F$22)+SUMIF('JKP-8.5 - Migrated To'!$A$2:$A$22,'JKP-8.5 - Total Costs'!B96,'JKP-8.5 - Migrated To'!$F$2:$F$22)</f>
        <v>0</v>
      </c>
      <c r="H96" s="1142">
        <f t="shared" si="11"/>
        <v>702</v>
      </c>
      <c r="I96" s="1143">
        <f>VLOOKUP($E96,'JKP-8.5 - Unit Costs'!$A$9:$H$33,2,FALSE)</f>
        <v>141.83000000000001</v>
      </c>
      <c r="J96" s="1143">
        <f>VLOOKUP($E96,'JKP-8.5 - Unit Costs'!$A$9:$H$33,5,FALSE)</f>
        <v>92.480000000000018</v>
      </c>
      <c r="K96" s="1143">
        <f>VLOOKUP($E96,'JKP-8.5 - Unit Costs'!$A$9:$H$33,3,FALSE)</f>
        <v>41.76</v>
      </c>
      <c r="L96" s="1143">
        <f>VLOOKUP($E96,'JKP-8.5 - Unit Costs'!$A$9:$H$33,6,FALSE)</f>
        <v>41.76</v>
      </c>
      <c r="M96" s="1143">
        <f>VLOOKUP($E96,'JKP-8.5 - Unit Costs'!$A$9:$H$33,8,FALSE)</f>
        <v>0</v>
      </c>
      <c r="N96" s="1143">
        <f>VLOOKUP($E96,'JKP-8.5 - Unit Costs'!$A$9:$H$33,8,FALSE)</f>
        <v>0</v>
      </c>
      <c r="O96" s="1144">
        <f t="shared" si="12"/>
        <v>99564.66</v>
      </c>
      <c r="P96" s="1144">
        <f t="shared" si="12"/>
        <v>0</v>
      </c>
      <c r="Q96" s="1144">
        <f t="shared" si="13"/>
        <v>99564.66</v>
      </c>
      <c r="R96" s="1144">
        <f t="shared" si="14"/>
        <v>29315.519999999997</v>
      </c>
      <c r="S96" s="1144">
        <f t="shared" si="14"/>
        <v>0</v>
      </c>
      <c r="T96" s="1144">
        <f t="shared" si="15"/>
        <v>29315.519999999997</v>
      </c>
      <c r="U96" s="1144">
        <f t="shared" si="16"/>
        <v>0</v>
      </c>
      <c r="V96" s="1144">
        <f t="shared" si="16"/>
        <v>0</v>
      </c>
      <c r="W96" s="1145">
        <f t="shared" si="17"/>
        <v>0</v>
      </c>
    </row>
    <row r="97" spans="1:23" x14ac:dyDescent="0.2">
      <c r="A97" s="1140" t="str">
        <f t="shared" si="9"/>
        <v>31G-I 275 AMR</v>
      </c>
      <c r="B97" s="1140" t="str">
        <f t="shared" si="10"/>
        <v xml:space="preserve">31G-I 275 </v>
      </c>
      <c r="C97" s="1140" t="s">
        <v>1854</v>
      </c>
      <c r="D97" s="1140" t="s">
        <v>915</v>
      </c>
      <c r="E97" s="1140">
        <v>275</v>
      </c>
      <c r="F97" s="1141">
        <f>SUMIF('JKP-8.5 - CNSMREQP_GASMTRCTR'!$A$2:$A$391,'JKP-8.5 - Total Costs'!A97,'JKP-8.5 - CNSMREQP_GASMTRCTR'!$F$2:$F$391)-SUMIF('JKP-8.5 - Migrated From'!$A$2:$A$22,'JKP-8.5 - Total Costs'!A97,'JKP-8.5 - Migrated From'!$F$2:$F$22)+SUMIF('JKP-8.5 - Migrated To'!$A$2:$A$22,'JKP-8.5 - Total Costs'!A97,'JKP-8.5 - Migrated To'!$F$2:$F$22)</f>
        <v>91</v>
      </c>
      <c r="G97" s="1141">
        <f>SUMIF('JKP-8.5 - CNSMREQP_GASMTRCTR'!$A$2:$A$391,'JKP-8.5 - Total Costs'!B97,'JKP-8.5 - CNSMREQP_GASMTRCTR'!$F$2:$F$391)-SUMIF('JKP-8.5 - Migrated From'!$A$2:$A$22,'JKP-8.5 - Total Costs'!B97,'JKP-8.5 - Migrated From'!$F$2:$F$22)+SUMIF('JKP-8.5 - Migrated To'!$A$2:$A$22,'JKP-8.5 - Total Costs'!B97,'JKP-8.5 - Migrated To'!$F$2:$F$22)</f>
        <v>0</v>
      </c>
      <c r="H97" s="1142">
        <f t="shared" si="11"/>
        <v>91</v>
      </c>
      <c r="I97" s="1143">
        <f>VLOOKUP($E97,'JKP-8.5 - Unit Costs'!$A$9:$H$33,2,FALSE)</f>
        <v>141.83000000000001</v>
      </c>
      <c r="J97" s="1143">
        <f>VLOOKUP($E97,'JKP-8.5 - Unit Costs'!$A$9:$H$33,5,FALSE)</f>
        <v>92.480000000000018</v>
      </c>
      <c r="K97" s="1143">
        <f>VLOOKUP($E97,'JKP-8.5 - Unit Costs'!$A$9:$H$33,3,FALSE)</f>
        <v>41.76</v>
      </c>
      <c r="L97" s="1143">
        <f>VLOOKUP($E97,'JKP-8.5 - Unit Costs'!$A$9:$H$33,6,FALSE)</f>
        <v>41.76</v>
      </c>
      <c r="M97" s="1143">
        <f>VLOOKUP($E97,'JKP-8.5 - Unit Costs'!$A$9:$H$33,8,FALSE)</f>
        <v>0</v>
      </c>
      <c r="N97" s="1143">
        <f>VLOOKUP($E97,'JKP-8.5 - Unit Costs'!$A$9:$H$33,8,FALSE)</f>
        <v>0</v>
      </c>
      <c r="O97" s="1144">
        <f t="shared" si="12"/>
        <v>12906.53</v>
      </c>
      <c r="P97" s="1144">
        <f t="shared" si="12"/>
        <v>0</v>
      </c>
      <c r="Q97" s="1144">
        <f t="shared" si="13"/>
        <v>12906.53</v>
      </c>
      <c r="R97" s="1144">
        <f t="shared" si="14"/>
        <v>3800.16</v>
      </c>
      <c r="S97" s="1144">
        <f t="shared" si="14"/>
        <v>0</v>
      </c>
      <c r="T97" s="1144">
        <f t="shared" si="15"/>
        <v>3800.16</v>
      </c>
      <c r="U97" s="1144">
        <f t="shared" si="16"/>
        <v>0</v>
      </c>
      <c r="V97" s="1144">
        <f t="shared" si="16"/>
        <v>0</v>
      </c>
      <c r="W97" s="1145">
        <f t="shared" si="17"/>
        <v>0</v>
      </c>
    </row>
    <row r="98" spans="1:23" x14ac:dyDescent="0.2">
      <c r="A98" s="1140" t="str">
        <f t="shared" si="9"/>
        <v>31G-I 425 AMR</v>
      </c>
      <c r="B98" s="1140" t="str">
        <f t="shared" si="10"/>
        <v xml:space="preserve">31G-I 425 </v>
      </c>
      <c r="C98" s="1140" t="s">
        <v>1854</v>
      </c>
      <c r="D98" s="1140" t="s">
        <v>915</v>
      </c>
      <c r="E98" s="1140">
        <v>425</v>
      </c>
      <c r="F98" s="1141">
        <f>SUMIF('JKP-8.5 - CNSMREQP_GASMTRCTR'!$A$2:$A$391,'JKP-8.5 - Total Costs'!A98,'JKP-8.5 - CNSMREQP_GASMTRCTR'!$F$2:$F$391)-SUMIF('JKP-8.5 - Migrated From'!$A$2:$A$22,'JKP-8.5 - Total Costs'!A98,'JKP-8.5 - Migrated From'!$F$2:$F$22)+SUMIF('JKP-8.5 - Migrated To'!$A$2:$A$22,'JKP-8.5 - Total Costs'!A98,'JKP-8.5 - Migrated To'!$F$2:$F$22)</f>
        <v>453</v>
      </c>
      <c r="G98" s="1141">
        <f>SUMIF('JKP-8.5 - CNSMREQP_GASMTRCTR'!$A$2:$A$391,'JKP-8.5 - Total Costs'!B98,'JKP-8.5 - CNSMREQP_GASMTRCTR'!$F$2:$F$391)-SUMIF('JKP-8.5 - Migrated From'!$A$2:$A$22,'JKP-8.5 - Total Costs'!B98,'JKP-8.5 - Migrated From'!$F$2:$F$22)+SUMIF('JKP-8.5 - Migrated To'!$A$2:$A$22,'JKP-8.5 - Total Costs'!B98,'JKP-8.5 - Migrated To'!$F$2:$F$22)</f>
        <v>0</v>
      </c>
      <c r="H98" s="1142">
        <f t="shared" si="11"/>
        <v>453</v>
      </c>
      <c r="I98" s="1143">
        <f>VLOOKUP($E98,'JKP-8.5 - Unit Costs'!$A$9:$H$33,2,FALSE)</f>
        <v>462.02000000000004</v>
      </c>
      <c r="J98" s="1143">
        <f>VLOOKUP($E98,'JKP-8.5 - Unit Costs'!$A$9:$H$33,5,FALSE)</f>
        <v>193.72</v>
      </c>
      <c r="K98" s="1143">
        <f>VLOOKUP($E98,'JKP-8.5 - Unit Costs'!$A$9:$H$33,3,FALSE)</f>
        <v>41.76</v>
      </c>
      <c r="L98" s="1143">
        <f>VLOOKUP($E98,'JKP-8.5 - Unit Costs'!$A$9:$H$33,6,FALSE)</f>
        <v>41.76</v>
      </c>
      <c r="M98" s="1143">
        <f>VLOOKUP($E98,'JKP-8.5 - Unit Costs'!$A$9:$H$33,8,FALSE)</f>
        <v>0</v>
      </c>
      <c r="N98" s="1143">
        <f>VLOOKUP($E98,'JKP-8.5 - Unit Costs'!$A$9:$H$33,8,FALSE)</f>
        <v>0</v>
      </c>
      <c r="O98" s="1144">
        <f t="shared" si="12"/>
        <v>209295.06000000003</v>
      </c>
      <c r="P98" s="1144">
        <f t="shared" si="12"/>
        <v>0</v>
      </c>
      <c r="Q98" s="1144">
        <f t="shared" si="13"/>
        <v>209295.06000000003</v>
      </c>
      <c r="R98" s="1144">
        <f t="shared" si="14"/>
        <v>18917.28</v>
      </c>
      <c r="S98" s="1144">
        <f t="shared" si="14"/>
        <v>0</v>
      </c>
      <c r="T98" s="1144">
        <f t="shared" si="15"/>
        <v>18917.28</v>
      </c>
      <c r="U98" s="1144">
        <f t="shared" si="16"/>
        <v>0</v>
      </c>
      <c r="V98" s="1144">
        <f t="shared" si="16"/>
        <v>0</v>
      </c>
      <c r="W98" s="1145">
        <f t="shared" si="17"/>
        <v>0</v>
      </c>
    </row>
    <row r="99" spans="1:23" x14ac:dyDescent="0.2">
      <c r="A99" s="1140" t="str">
        <f t="shared" si="9"/>
        <v>31G-I 750 AMR</v>
      </c>
      <c r="B99" s="1140" t="str">
        <f t="shared" si="10"/>
        <v xml:space="preserve">31G-I 750 </v>
      </c>
      <c r="C99" s="1140" t="s">
        <v>1854</v>
      </c>
      <c r="D99" s="1140" t="s">
        <v>915</v>
      </c>
      <c r="E99" s="1140">
        <v>750</v>
      </c>
      <c r="F99" s="1141">
        <f>SUMIF('JKP-8.5 - CNSMREQP_GASMTRCTR'!$A$2:$A$391,'JKP-8.5 - Total Costs'!A99,'JKP-8.5 - CNSMREQP_GASMTRCTR'!$F$2:$F$391)-SUMIF('JKP-8.5 - Migrated From'!$A$2:$A$22,'JKP-8.5 - Total Costs'!A99,'JKP-8.5 - Migrated From'!$F$2:$F$22)+SUMIF('JKP-8.5 - Migrated To'!$A$2:$A$22,'JKP-8.5 - Total Costs'!A99,'JKP-8.5 - Migrated To'!$F$2:$F$22)</f>
        <v>4</v>
      </c>
      <c r="G99" s="1141">
        <f>SUMIF('JKP-8.5 - CNSMREQP_GASMTRCTR'!$A$2:$A$391,'JKP-8.5 - Total Costs'!B99,'JKP-8.5 - CNSMREQP_GASMTRCTR'!$F$2:$F$391)-SUMIF('JKP-8.5 - Migrated From'!$A$2:$A$22,'JKP-8.5 - Total Costs'!B99,'JKP-8.5 - Migrated From'!$F$2:$F$22)+SUMIF('JKP-8.5 - Migrated To'!$A$2:$A$22,'JKP-8.5 - Total Costs'!B99,'JKP-8.5 - Migrated To'!$F$2:$F$22)</f>
        <v>0</v>
      </c>
      <c r="H99" s="1142">
        <f t="shared" si="11"/>
        <v>4</v>
      </c>
      <c r="I99" s="1143">
        <f>VLOOKUP($E99,'JKP-8.5 - Unit Costs'!$A$9:$H$33,2,FALSE)</f>
        <v>1404.86</v>
      </c>
      <c r="J99" s="1143">
        <f>VLOOKUP($E99,'JKP-8.5 - Unit Costs'!$A$9:$H$33,5,FALSE)</f>
        <v>1063.1500000000001</v>
      </c>
      <c r="K99" s="1143">
        <f>VLOOKUP($E99,'JKP-8.5 - Unit Costs'!$A$9:$H$33,3,FALSE)</f>
        <v>41.76</v>
      </c>
      <c r="L99" s="1143">
        <f>VLOOKUP($E99,'JKP-8.5 - Unit Costs'!$A$9:$H$33,6,FALSE)</f>
        <v>41.76</v>
      </c>
      <c r="M99" s="1143">
        <f>VLOOKUP($E99,'JKP-8.5 - Unit Costs'!$A$9:$H$33,8,FALSE)</f>
        <v>0</v>
      </c>
      <c r="N99" s="1143">
        <f>VLOOKUP($E99,'JKP-8.5 - Unit Costs'!$A$9:$H$33,8,FALSE)</f>
        <v>0</v>
      </c>
      <c r="O99" s="1144">
        <f t="shared" si="12"/>
        <v>5619.44</v>
      </c>
      <c r="P99" s="1144">
        <f t="shared" si="12"/>
        <v>0</v>
      </c>
      <c r="Q99" s="1144">
        <f t="shared" si="13"/>
        <v>5619.44</v>
      </c>
      <c r="R99" s="1144">
        <f t="shared" si="14"/>
        <v>167.04</v>
      </c>
      <c r="S99" s="1144">
        <f t="shared" si="14"/>
        <v>0</v>
      </c>
      <c r="T99" s="1144">
        <f t="shared" si="15"/>
        <v>167.04</v>
      </c>
      <c r="U99" s="1144">
        <f t="shared" si="16"/>
        <v>0</v>
      </c>
      <c r="V99" s="1144">
        <f t="shared" si="16"/>
        <v>0</v>
      </c>
      <c r="W99" s="1145">
        <f t="shared" si="17"/>
        <v>0</v>
      </c>
    </row>
    <row r="100" spans="1:23" x14ac:dyDescent="0.2">
      <c r="A100" s="1140" t="str">
        <f t="shared" si="9"/>
        <v>31G-I 800 AMR</v>
      </c>
      <c r="B100" s="1140" t="str">
        <f t="shared" si="10"/>
        <v xml:space="preserve">31G-I 800 </v>
      </c>
      <c r="C100" s="1140" t="s">
        <v>1854</v>
      </c>
      <c r="D100" s="1140" t="s">
        <v>915</v>
      </c>
      <c r="E100" s="1140">
        <v>800</v>
      </c>
      <c r="F100" s="1141">
        <f>SUMIF('JKP-8.5 - CNSMREQP_GASMTRCTR'!$A$2:$A$391,'JKP-8.5 - Total Costs'!A100,'JKP-8.5 - CNSMREQP_GASMTRCTR'!$F$2:$F$391)-SUMIF('JKP-8.5 - Migrated From'!$A$2:$A$22,'JKP-8.5 - Total Costs'!A100,'JKP-8.5 - Migrated From'!$F$2:$F$22)+SUMIF('JKP-8.5 - Migrated To'!$A$2:$A$22,'JKP-8.5 - Total Costs'!A100,'JKP-8.5 - Migrated To'!$F$2:$F$22)</f>
        <v>10</v>
      </c>
      <c r="G100" s="1141">
        <f>SUMIF('JKP-8.5 - CNSMREQP_GASMTRCTR'!$A$2:$A$391,'JKP-8.5 - Total Costs'!B100,'JKP-8.5 - CNSMREQP_GASMTRCTR'!$F$2:$F$391)-SUMIF('JKP-8.5 - Migrated From'!$A$2:$A$22,'JKP-8.5 - Total Costs'!B100,'JKP-8.5 - Migrated From'!$F$2:$F$22)+SUMIF('JKP-8.5 - Migrated To'!$A$2:$A$22,'JKP-8.5 - Total Costs'!B100,'JKP-8.5 - Migrated To'!$F$2:$F$22)</f>
        <v>0</v>
      </c>
      <c r="H100" s="1142">
        <f t="shared" si="11"/>
        <v>10</v>
      </c>
      <c r="I100" s="1143">
        <f>VLOOKUP($E100,'JKP-8.5 - Unit Costs'!$A$9:$H$33,2,FALSE)</f>
        <v>1404.86</v>
      </c>
      <c r="J100" s="1143">
        <f>VLOOKUP($E100,'JKP-8.5 - Unit Costs'!$A$9:$H$33,5,FALSE)</f>
        <v>1063.1500000000001</v>
      </c>
      <c r="K100" s="1143">
        <f>VLOOKUP($E100,'JKP-8.5 - Unit Costs'!$A$9:$H$33,3,FALSE)</f>
        <v>41.76</v>
      </c>
      <c r="L100" s="1143">
        <f>VLOOKUP($E100,'JKP-8.5 - Unit Costs'!$A$9:$H$33,6,FALSE)</f>
        <v>41.76</v>
      </c>
      <c r="M100" s="1143">
        <f>VLOOKUP($E100,'JKP-8.5 - Unit Costs'!$A$9:$H$33,8,FALSE)</f>
        <v>0</v>
      </c>
      <c r="N100" s="1143">
        <f>VLOOKUP($E100,'JKP-8.5 - Unit Costs'!$A$9:$H$33,8,FALSE)</f>
        <v>0</v>
      </c>
      <c r="O100" s="1144">
        <f t="shared" si="12"/>
        <v>14048.599999999999</v>
      </c>
      <c r="P100" s="1144">
        <f t="shared" si="12"/>
        <v>0</v>
      </c>
      <c r="Q100" s="1144">
        <f t="shared" si="13"/>
        <v>14048.599999999999</v>
      </c>
      <c r="R100" s="1144">
        <f t="shared" si="14"/>
        <v>417.59999999999997</v>
      </c>
      <c r="S100" s="1144">
        <f t="shared" si="14"/>
        <v>0</v>
      </c>
      <c r="T100" s="1144">
        <f t="shared" si="15"/>
        <v>417.59999999999997</v>
      </c>
      <c r="U100" s="1144">
        <f t="shared" si="16"/>
        <v>0</v>
      </c>
      <c r="V100" s="1144">
        <f t="shared" si="16"/>
        <v>0</v>
      </c>
      <c r="W100" s="1145">
        <f t="shared" si="17"/>
        <v>0</v>
      </c>
    </row>
    <row r="101" spans="1:23" x14ac:dyDescent="0.2">
      <c r="A101" s="1140" t="str">
        <f t="shared" si="9"/>
        <v>31G-I 1000 AMR</v>
      </c>
      <c r="B101" s="1140" t="str">
        <f t="shared" si="10"/>
        <v xml:space="preserve">31G-I 1000 </v>
      </c>
      <c r="C101" s="1140" t="s">
        <v>1854</v>
      </c>
      <c r="D101" s="1140" t="s">
        <v>915</v>
      </c>
      <c r="E101" s="1140">
        <v>1000</v>
      </c>
      <c r="F101" s="1141">
        <f>SUMIF('JKP-8.5 - CNSMREQP_GASMTRCTR'!$A$2:$A$391,'JKP-8.5 - Total Costs'!A101,'JKP-8.5 - CNSMREQP_GASMTRCTR'!$F$2:$F$391)-SUMIF('JKP-8.5 - Migrated From'!$A$2:$A$22,'JKP-8.5 - Total Costs'!A101,'JKP-8.5 - Migrated From'!$F$2:$F$22)+SUMIF('JKP-8.5 - Migrated To'!$A$2:$A$22,'JKP-8.5 - Total Costs'!A101,'JKP-8.5 - Migrated To'!$F$2:$F$22)</f>
        <v>818</v>
      </c>
      <c r="G101" s="1141">
        <f>SUMIF('JKP-8.5 - CNSMREQP_GASMTRCTR'!$A$2:$A$391,'JKP-8.5 - Total Costs'!B101,'JKP-8.5 - CNSMREQP_GASMTRCTR'!$F$2:$F$391)-SUMIF('JKP-8.5 - Migrated From'!$A$2:$A$22,'JKP-8.5 - Total Costs'!B101,'JKP-8.5 - Migrated From'!$F$2:$F$22)+SUMIF('JKP-8.5 - Migrated To'!$A$2:$A$22,'JKP-8.5 - Total Costs'!B101,'JKP-8.5 - Migrated To'!$F$2:$F$22)</f>
        <v>3</v>
      </c>
      <c r="H101" s="1142">
        <f t="shared" si="11"/>
        <v>821</v>
      </c>
      <c r="I101" s="1143">
        <f>VLOOKUP($E101,'JKP-8.5 - Unit Costs'!$A$9:$H$33,2,FALSE)</f>
        <v>1404.86</v>
      </c>
      <c r="J101" s="1143">
        <f>VLOOKUP($E101,'JKP-8.5 - Unit Costs'!$A$9:$H$33,5,FALSE)</f>
        <v>1063.1500000000001</v>
      </c>
      <c r="K101" s="1143">
        <f>VLOOKUP($E101,'JKP-8.5 - Unit Costs'!$A$9:$H$33,3,FALSE)</f>
        <v>41.76</v>
      </c>
      <c r="L101" s="1143">
        <f>VLOOKUP($E101,'JKP-8.5 - Unit Costs'!$A$9:$H$33,6,FALSE)</f>
        <v>41.76</v>
      </c>
      <c r="M101" s="1143">
        <f>VLOOKUP($E101,'JKP-8.5 - Unit Costs'!$A$9:$H$33,8,FALSE)</f>
        <v>0</v>
      </c>
      <c r="N101" s="1143">
        <f>VLOOKUP($E101,'JKP-8.5 - Unit Costs'!$A$9:$H$33,8,FALSE)</f>
        <v>0</v>
      </c>
      <c r="O101" s="1144">
        <f t="shared" si="12"/>
        <v>1149175.48</v>
      </c>
      <c r="P101" s="1144">
        <f t="shared" si="12"/>
        <v>3189.4500000000003</v>
      </c>
      <c r="Q101" s="1144">
        <f t="shared" si="13"/>
        <v>1152364.93</v>
      </c>
      <c r="R101" s="1144">
        <f t="shared" si="14"/>
        <v>34159.68</v>
      </c>
      <c r="S101" s="1144">
        <f t="shared" si="14"/>
        <v>125.28</v>
      </c>
      <c r="T101" s="1144">
        <f t="shared" si="15"/>
        <v>34284.959999999999</v>
      </c>
      <c r="U101" s="1144">
        <f t="shared" si="16"/>
        <v>0</v>
      </c>
      <c r="V101" s="1144">
        <f t="shared" si="16"/>
        <v>0</v>
      </c>
      <c r="W101" s="1145">
        <f t="shared" si="17"/>
        <v>0</v>
      </c>
    </row>
    <row r="102" spans="1:23" x14ac:dyDescent="0.2">
      <c r="A102" s="1140" t="str">
        <f t="shared" si="9"/>
        <v>31G-I 1400 AMR</v>
      </c>
      <c r="B102" s="1140" t="str">
        <f t="shared" si="10"/>
        <v xml:space="preserve">31G-I 1400 </v>
      </c>
      <c r="C102" s="1140" t="s">
        <v>1854</v>
      </c>
      <c r="D102" s="1140" t="s">
        <v>915</v>
      </c>
      <c r="E102" s="1140">
        <v>1400</v>
      </c>
      <c r="F102" s="1141">
        <f>SUMIF('JKP-8.5 - CNSMREQP_GASMTRCTR'!$A$2:$A$391,'JKP-8.5 - Total Costs'!A102,'JKP-8.5 - CNSMREQP_GASMTRCTR'!$F$2:$F$391)-SUMIF('JKP-8.5 - Migrated From'!$A$2:$A$22,'JKP-8.5 - Total Costs'!A102,'JKP-8.5 - Migrated From'!$F$2:$F$22)+SUMIF('JKP-8.5 - Migrated To'!$A$2:$A$22,'JKP-8.5 - Total Costs'!A102,'JKP-8.5 - Migrated To'!$F$2:$F$22)</f>
        <v>48</v>
      </c>
      <c r="G102" s="1141">
        <f>SUMIF('JKP-8.5 - CNSMREQP_GASMTRCTR'!$A$2:$A$391,'JKP-8.5 - Total Costs'!B102,'JKP-8.5 - CNSMREQP_GASMTRCTR'!$F$2:$F$391)-SUMIF('JKP-8.5 - Migrated From'!$A$2:$A$22,'JKP-8.5 - Total Costs'!B102,'JKP-8.5 - Migrated From'!$F$2:$F$22)+SUMIF('JKP-8.5 - Migrated To'!$A$2:$A$22,'JKP-8.5 - Total Costs'!B102,'JKP-8.5 - Migrated To'!$F$2:$F$22)</f>
        <v>5</v>
      </c>
      <c r="H102" s="1142">
        <f t="shared" si="11"/>
        <v>53</v>
      </c>
      <c r="I102" s="1143">
        <f>VLOOKUP($E102,'JKP-8.5 - Unit Costs'!$A$9:$H$33,2,FALSE)</f>
        <v>0</v>
      </c>
      <c r="J102" s="1143">
        <f>VLOOKUP($E102,'JKP-8.5 - Unit Costs'!$A$9:$H$33,5,FALSE)</f>
        <v>0</v>
      </c>
      <c r="K102" s="1143">
        <f>VLOOKUP($E102,'JKP-8.5 - Unit Costs'!$A$9:$H$33,3,FALSE)</f>
        <v>0</v>
      </c>
      <c r="L102" s="1143">
        <f>VLOOKUP($E102,'JKP-8.5 - Unit Costs'!$A$9:$H$33,6,FALSE)</f>
        <v>0</v>
      </c>
      <c r="M102" s="1143">
        <f>VLOOKUP($E102,'JKP-8.5 - Unit Costs'!$A$9:$H$33,8,FALSE)</f>
        <v>2379.79</v>
      </c>
      <c r="N102" s="1143">
        <f>VLOOKUP($E102,'JKP-8.5 - Unit Costs'!$A$9:$H$33,8,FALSE)</f>
        <v>2379.79</v>
      </c>
      <c r="O102" s="1144">
        <f t="shared" si="12"/>
        <v>0</v>
      </c>
      <c r="P102" s="1144">
        <f t="shared" si="12"/>
        <v>0</v>
      </c>
      <c r="Q102" s="1144">
        <f t="shared" si="13"/>
        <v>0</v>
      </c>
      <c r="R102" s="1144">
        <f t="shared" si="14"/>
        <v>0</v>
      </c>
      <c r="S102" s="1144">
        <f t="shared" si="14"/>
        <v>0</v>
      </c>
      <c r="T102" s="1144">
        <f t="shared" si="15"/>
        <v>0</v>
      </c>
      <c r="U102" s="1144">
        <f t="shared" si="16"/>
        <v>114229.92</v>
      </c>
      <c r="V102" s="1144">
        <f t="shared" si="16"/>
        <v>11898.95</v>
      </c>
      <c r="W102" s="1145">
        <f t="shared" si="17"/>
        <v>126128.87</v>
      </c>
    </row>
    <row r="103" spans="1:23" x14ac:dyDescent="0.2">
      <c r="A103" s="1140" t="str">
        <f t="shared" si="9"/>
        <v>31G-I 2300 AMR</v>
      </c>
      <c r="B103" s="1140" t="str">
        <f t="shared" si="10"/>
        <v xml:space="preserve">31G-I 2300 </v>
      </c>
      <c r="C103" s="1140" t="s">
        <v>1854</v>
      </c>
      <c r="D103" s="1140" t="s">
        <v>915</v>
      </c>
      <c r="E103" s="1140">
        <v>2300</v>
      </c>
      <c r="F103" s="1141">
        <f>SUMIF('JKP-8.5 - CNSMREQP_GASMTRCTR'!$A$2:$A$391,'JKP-8.5 - Total Costs'!A103,'JKP-8.5 - CNSMREQP_GASMTRCTR'!$F$2:$F$391)-SUMIF('JKP-8.5 - Migrated From'!$A$2:$A$22,'JKP-8.5 - Total Costs'!A103,'JKP-8.5 - Migrated From'!$F$2:$F$22)+SUMIF('JKP-8.5 - Migrated To'!$A$2:$A$22,'JKP-8.5 - Total Costs'!A103,'JKP-8.5 - Migrated To'!$F$2:$F$22)</f>
        <v>57</v>
      </c>
      <c r="G103" s="1141">
        <f>SUMIF('JKP-8.5 - CNSMREQP_GASMTRCTR'!$A$2:$A$391,'JKP-8.5 - Total Costs'!B103,'JKP-8.5 - CNSMREQP_GASMTRCTR'!$F$2:$F$391)-SUMIF('JKP-8.5 - Migrated From'!$A$2:$A$22,'JKP-8.5 - Total Costs'!B103,'JKP-8.5 - Migrated From'!$F$2:$F$22)+SUMIF('JKP-8.5 - Migrated To'!$A$2:$A$22,'JKP-8.5 - Total Costs'!B103,'JKP-8.5 - Migrated To'!$F$2:$F$22)</f>
        <v>7</v>
      </c>
      <c r="H103" s="1142">
        <f t="shared" si="11"/>
        <v>64</v>
      </c>
      <c r="I103" s="1143">
        <f>VLOOKUP($E103,'JKP-8.5 - Unit Costs'!$A$9:$H$33,2,FALSE)</f>
        <v>0</v>
      </c>
      <c r="J103" s="1143">
        <f>VLOOKUP($E103,'JKP-8.5 - Unit Costs'!$A$9:$H$33,5,FALSE)</f>
        <v>0</v>
      </c>
      <c r="K103" s="1143">
        <f>VLOOKUP($E103,'JKP-8.5 - Unit Costs'!$A$9:$H$33,3,FALSE)</f>
        <v>0</v>
      </c>
      <c r="L103" s="1143">
        <f>VLOOKUP($E103,'JKP-8.5 - Unit Costs'!$A$9:$H$33,6,FALSE)</f>
        <v>0</v>
      </c>
      <c r="M103" s="1143">
        <f>VLOOKUP($E103,'JKP-8.5 - Unit Costs'!$A$9:$H$33,8,FALSE)</f>
        <v>3587.13</v>
      </c>
      <c r="N103" s="1143">
        <f>VLOOKUP($E103,'JKP-8.5 - Unit Costs'!$A$9:$H$33,8,FALSE)</f>
        <v>3587.13</v>
      </c>
      <c r="O103" s="1144">
        <f t="shared" si="12"/>
        <v>0</v>
      </c>
      <c r="P103" s="1144">
        <f t="shared" si="12"/>
        <v>0</v>
      </c>
      <c r="Q103" s="1144">
        <f t="shared" si="13"/>
        <v>0</v>
      </c>
      <c r="R103" s="1144">
        <f t="shared" si="14"/>
        <v>0</v>
      </c>
      <c r="S103" s="1144">
        <f t="shared" si="14"/>
        <v>0</v>
      </c>
      <c r="T103" s="1144">
        <f t="shared" si="15"/>
        <v>0</v>
      </c>
      <c r="U103" s="1144">
        <f t="shared" si="16"/>
        <v>204466.41</v>
      </c>
      <c r="V103" s="1144">
        <f t="shared" si="16"/>
        <v>25109.91</v>
      </c>
      <c r="W103" s="1145">
        <f t="shared" si="17"/>
        <v>229576.32000000001</v>
      </c>
    </row>
    <row r="104" spans="1:23" x14ac:dyDescent="0.2">
      <c r="A104" s="1140" t="str">
        <f t="shared" si="9"/>
        <v>31G-I 3000 AMR</v>
      </c>
      <c r="B104" s="1140" t="str">
        <f t="shared" si="10"/>
        <v xml:space="preserve">31G-I 3000 </v>
      </c>
      <c r="C104" s="1140" t="s">
        <v>1854</v>
      </c>
      <c r="D104" s="1140" t="s">
        <v>915</v>
      </c>
      <c r="E104" s="1140">
        <v>3000</v>
      </c>
      <c r="F104" s="1141">
        <f>SUMIF('JKP-8.5 - CNSMREQP_GASMTRCTR'!$A$2:$A$391,'JKP-8.5 - Total Costs'!A104,'JKP-8.5 - CNSMREQP_GASMTRCTR'!$F$2:$F$391)-SUMIF('JKP-8.5 - Migrated From'!$A$2:$A$22,'JKP-8.5 - Total Costs'!A104,'JKP-8.5 - Migrated From'!$F$2:$F$22)+SUMIF('JKP-8.5 - Migrated To'!$A$2:$A$22,'JKP-8.5 - Total Costs'!A104,'JKP-8.5 - Migrated To'!$F$2:$F$22)</f>
        <v>52</v>
      </c>
      <c r="G104" s="1141">
        <f>SUMIF('JKP-8.5 - CNSMREQP_GASMTRCTR'!$A$2:$A$391,'JKP-8.5 - Total Costs'!B104,'JKP-8.5 - CNSMREQP_GASMTRCTR'!$F$2:$F$391)-SUMIF('JKP-8.5 - Migrated From'!$A$2:$A$22,'JKP-8.5 - Total Costs'!B104,'JKP-8.5 - Migrated From'!$F$2:$F$22)+SUMIF('JKP-8.5 - Migrated To'!$A$2:$A$22,'JKP-8.5 - Total Costs'!B104,'JKP-8.5 - Migrated To'!$F$2:$F$22)</f>
        <v>10</v>
      </c>
      <c r="H104" s="1142">
        <f t="shared" si="11"/>
        <v>62</v>
      </c>
      <c r="I104" s="1143">
        <f>VLOOKUP($E104,'JKP-8.5 - Unit Costs'!$A$9:$H$33,2,FALSE)</f>
        <v>0</v>
      </c>
      <c r="J104" s="1143">
        <f>VLOOKUP($E104,'JKP-8.5 - Unit Costs'!$A$9:$H$33,5,FALSE)</f>
        <v>0</v>
      </c>
      <c r="K104" s="1143">
        <f>VLOOKUP($E104,'JKP-8.5 - Unit Costs'!$A$9:$H$33,3,FALSE)</f>
        <v>0</v>
      </c>
      <c r="L104" s="1143">
        <f>VLOOKUP($E104,'JKP-8.5 - Unit Costs'!$A$9:$H$33,6,FALSE)</f>
        <v>0</v>
      </c>
      <c r="M104" s="1143">
        <f>VLOOKUP($E104,'JKP-8.5 - Unit Costs'!$A$9:$H$33,8,FALSE)</f>
        <v>3406.19</v>
      </c>
      <c r="N104" s="1143">
        <f>VLOOKUP($E104,'JKP-8.5 - Unit Costs'!$A$9:$H$33,8,FALSE)</f>
        <v>3406.19</v>
      </c>
      <c r="O104" s="1144">
        <f t="shared" si="12"/>
        <v>0</v>
      </c>
      <c r="P104" s="1144">
        <f t="shared" si="12"/>
        <v>0</v>
      </c>
      <c r="Q104" s="1144">
        <f t="shared" si="13"/>
        <v>0</v>
      </c>
      <c r="R104" s="1144">
        <f t="shared" si="14"/>
        <v>0</v>
      </c>
      <c r="S104" s="1144">
        <f t="shared" si="14"/>
        <v>0</v>
      </c>
      <c r="T104" s="1144">
        <f t="shared" si="15"/>
        <v>0</v>
      </c>
      <c r="U104" s="1144">
        <f t="shared" si="16"/>
        <v>177121.88</v>
      </c>
      <c r="V104" s="1144">
        <f t="shared" si="16"/>
        <v>34061.9</v>
      </c>
      <c r="W104" s="1145">
        <f t="shared" si="17"/>
        <v>211183.78</v>
      </c>
    </row>
    <row r="105" spans="1:23" x14ac:dyDescent="0.2">
      <c r="A105" s="1140" t="str">
        <f t="shared" si="9"/>
        <v>31G-I 5000 AMR</v>
      </c>
      <c r="B105" s="1140" t="str">
        <f t="shared" si="10"/>
        <v xml:space="preserve">31G-I 5000 </v>
      </c>
      <c r="C105" s="1140" t="s">
        <v>1854</v>
      </c>
      <c r="D105" s="1140" t="s">
        <v>915</v>
      </c>
      <c r="E105" s="1140">
        <v>5000</v>
      </c>
      <c r="F105" s="1141">
        <f>SUMIF('JKP-8.5 - CNSMREQP_GASMTRCTR'!$A$2:$A$391,'JKP-8.5 - Total Costs'!A105,'JKP-8.5 - CNSMREQP_GASMTRCTR'!$F$2:$F$391)-SUMIF('JKP-8.5 - Migrated From'!$A$2:$A$22,'JKP-8.5 - Total Costs'!A105,'JKP-8.5 - Migrated From'!$F$2:$F$22)+SUMIF('JKP-8.5 - Migrated To'!$A$2:$A$22,'JKP-8.5 - Total Costs'!A105,'JKP-8.5 - Migrated To'!$F$2:$F$22)</f>
        <v>78</v>
      </c>
      <c r="G105" s="1141">
        <f>SUMIF('JKP-8.5 - CNSMREQP_GASMTRCTR'!$A$2:$A$391,'JKP-8.5 - Total Costs'!B105,'JKP-8.5 - CNSMREQP_GASMTRCTR'!$F$2:$F$391)-SUMIF('JKP-8.5 - Migrated From'!$A$2:$A$22,'JKP-8.5 - Total Costs'!B105,'JKP-8.5 - Migrated From'!$F$2:$F$22)+SUMIF('JKP-8.5 - Migrated To'!$A$2:$A$22,'JKP-8.5 - Total Costs'!B105,'JKP-8.5 - Migrated To'!$F$2:$F$22)</f>
        <v>10</v>
      </c>
      <c r="H105" s="1142">
        <f t="shared" si="11"/>
        <v>88</v>
      </c>
      <c r="I105" s="1143">
        <f>VLOOKUP($E105,'JKP-8.5 - Unit Costs'!$A$9:$H$33,2,FALSE)</f>
        <v>0</v>
      </c>
      <c r="J105" s="1143">
        <f>VLOOKUP($E105,'JKP-8.5 - Unit Costs'!$A$9:$H$33,5,FALSE)</f>
        <v>0</v>
      </c>
      <c r="K105" s="1143">
        <f>VLOOKUP($E105,'JKP-8.5 - Unit Costs'!$A$9:$H$33,3,FALSE)</f>
        <v>0</v>
      </c>
      <c r="L105" s="1143">
        <f>VLOOKUP($E105,'JKP-8.5 - Unit Costs'!$A$9:$H$33,6,FALSE)</f>
        <v>0</v>
      </c>
      <c r="M105" s="1143">
        <f>VLOOKUP($E105,'JKP-8.5 - Unit Costs'!$A$9:$H$33,8,FALSE)</f>
        <v>3456.43</v>
      </c>
      <c r="N105" s="1143">
        <f>VLOOKUP($E105,'JKP-8.5 - Unit Costs'!$A$9:$H$33,8,FALSE)</f>
        <v>3456.43</v>
      </c>
      <c r="O105" s="1144">
        <f t="shared" si="12"/>
        <v>0</v>
      </c>
      <c r="P105" s="1144">
        <f t="shared" si="12"/>
        <v>0</v>
      </c>
      <c r="Q105" s="1144">
        <f t="shared" si="13"/>
        <v>0</v>
      </c>
      <c r="R105" s="1144">
        <f t="shared" si="14"/>
        <v>0</v>
      </c>
      <c r="S105" s="1144">
        <f t="shared" si="14"/>
        <v>0</v>
      </c>
      <c r="T105" s="1144">
        <f t="shared" si="15"/>
        <v>0</v>
      </c>
      <c r="U105" s="1144">
        <f t="shared" si="16"/>
        <v>269601.53999999998</v>
      </c>
      <c r="V105" s="1144">
        <f t="shared" si="16"/>
        <v>34564.299999999996</v>
      </c>
      <c r="W105" s="1145">
        <f t="shared" si="17"/>
        <v>304165.83999999997</v>
      </c>
    </row>
    <row r="106" spans="1:23" x14ac:dyDescent="0.2">
      <c r="A106" s="1140" t="str">
        <f t="shared" si="9"/>
        <v>31G-I 7000 AMR</v>
      </c>
      <c r="B106" s="1140" t="str">
        <f t="shared" si="10"/>
        <v xml:space="preserve">31G-I 7000 </v>
      </c>
      <c r="C106" s="1140" t="s">
        <v>1854</v>
      </c>
      <c r="D106" s="1140" t="s">
        <v>915</v>
      </c>
      <c r="E106" s="1140">
        <v>7000</v>
      </c>
      <c r="F106" s="1141">
        <f>SUMIF('JKP-8.5 - CNSMREQP_GASMTRCTR'!$A$2:$A$391,'JKP-8.5 - Total Costs'!A106,'JKP-8.5 - CNSMREQP_GASMTRCTR'!$F$2:$F$391)-SUMIF('JKP-8.5 - Migrated From'!$A$2:$A$22,'JKP-8.5 - Total Costs'!A106,'JKP-8.5 - Migrated From'!$F$2:$F$22)+SUMIF('JKP-8.5 - Migrated To'!$A$2:$A$22,'JKP-8.5 - Total Costs'!A106,'JKP-8.5 - Migrated To'!$F$2:$F$22)</f>
        <v>23</v>
      </c>
      <c r="G106" s="1141">
        <f>SUMIF('JKP-8.5 - CNSMREQP_GASMTRCTR'!$A$2:$A$391,'JKP-8.5 - Total Costs'!B106,'JKP-8.5 - CNSMREQP_GASMTRCTR'!$F$2:$F$391)-SUMIF('JKP-8.5 - Migrated From'!$A$2:$A$22,'JKP-8.5 - Total Costs'!B106,'JKP-8.5 - Migrated From'!$F$2:$F$22)+SUMIF('JKP-8.5 - Migrated To'!$A$2:$A$22,'JKP-8.5 - Total Costs'!B106,'JKP-8.5 - Migrated To'!$F$2:$F$22)</f>
        <v>6</v>
      </c>
      <c r="H106" s="1142">
        <f t="shared" si="11"/>
        <v>29</v>
      </c>
      <c r="I106" s="1143">
        <f>VLOOKUP($E106,'JKP-8.5 - Unit Costs'!$A$9:$H$33,2,FALSE)</f>
        <v>0</v>
      </c>
      <c r="J106" s="1143">
        <f>VLOOKUP($E106,'JKP-8.5 - Unit Costs'!$A$9:$H$33,5,FALSE)</f>
        <v>0</v>
      </c>
      <c r="K106" s="1143">
        <f>VLOOKUP($E106,'JKP-8.5 - Unit Costs'!$A$9:$H$33,3,FALSE)</f>
        <v>0</v>
      </c>
      <c r="L106" s="1143">
        <f>VLOOKUP($E106,'JKP-8.5 - Unit Costs'!$A$9:$H$33,6,FALSE)</f>
        <v>0</v>
      </c>
      <c r="M106" s="1143">
        <f>VLOOKUP($E106,'JKP-8.5 - Unit Costs'!$A$9:$H$33,8,FALSE)</f>
        <v>3458.4399999999996</v>
      </c>
      <c r="N106" s="1143">
        <f>VLOOKUP($E106,'JKP-8.5 - Unit Costs'!$A$9:$H$33,8,FALSE)</f>
        <v>3458.4399999999996</v>
      </c>
      <c r="O106" s="1144">
        <f t="shared" si="12"/>
        <v>0</v>
      </c>
      <c r="P106" s="1144">
        <f t="shared" si="12"/>
        <v>0</v>
      </c>
      <c r="Q106" s="1144">
        <f t="shared" si="13"/>
        <v>0</v>
      </c>
      <c r="R106" s="1144">
        <f t="shared" si="14"/>
        <v>0</v>
      </c>
      <c r="S106" s="1144">
        <f t="shared" si="14"/>
        <v>0</v>
      </c>
      <c r="T106" s="1144">
        <f t="shared" si="15"/>
        <v>0</v>
      </c>
      <c r="U106" s="1144">
        <f t="shared" si="16"/>
        <v>79544.12</v>
      </c>
      <c r="V106" s="1144">
        <f t="shared" si="16"/>
        <v>20750.64</v>
      </c>
      <c r="W106" s="1145">
        <f t="shared" si="17"/>
        <v>100294.76</v>
      </c>
    </row>
    <row r="107" spans="1:23" x14ac:dyDescent="0.2">
      <c r="A107" s="1140" t="str">
        <f t="shared" si="9"/>
        <v>31G-I 11000 AMR</v>
      </c>
      <c r="B107" s="1140" t="str">
        <f t="shared" si="10"/>
        <v xml:space="preserve">31G-I 11000 </v>
      </c>
      <c r="C107" s="1140" t="s">
        <v>1854</v>
      </c>
      <c r="D107" s="1140" t="s">
        <v>915</v>
      </c>
      <c r="E107" s="1140">
        <v>11000</v>
      </c>
      <c r="F107" s="1141">
        <f>SUMIF('JKP-8.5 - CNSMREQP_GASMTRCTR'!$A$2:$A$391,'JKP-8.5 - Total Costs'!A107,'JKP-8.5 - CNSMREQP_GASMTRCTR'!$F$2:$F$391)-SUMIF('JKP-8.5 - Migrated From'!$A$2:$A$22,'JKP-8.5 - Total Costs'!A107,'JKP-8.5 - Migrated From'!$F$2:$F$22)+SUMIF('JKP-8.5 - Migrated To'!$A$2:$A$22,'JKP-8.5 - Total Costs'!A107,'JKP-8.5 - Migrated To'!$F$2:$F$22)</f>
        <v>5</v>
      </c>
      <c r="G107" s="1141">
        <f>SUMIF('JKP-8.5 - CNSMREQP_GASMTRCTR'!$A$2:$A$391,'JKP-8.5 - Total Costs'!B107,'JKP-8.5 - CNSMREQP_GASMTRCTR'!$F$2:$F$391)-SUMIF('JKP-8.5 - Migrated From'!$A$2:$A$22,'JKP-8.5 - Total Costs'!B107,'JKP-8.5 - Migrated From'!$F$2:$F$22)+SUMIF('JKP-8.5 - Migrated To'!$A$2:$A$22,'JKP-8.5 - Total Costs'!B107,'JKP-8.5 - Migrated To'!$F$2:$F$22)</f>
        <v>43</v>
      </c>
      <c r="H107" s="1142">
        <f t="shared" si="11"/>
        <v>48</v>
      </c>
      <c r="I107" s="1143">
        <f>VLOOKUP($E107,'JKP-8.5 - Unit Costs'!$A$9:$H$33,2,FALSE)</f>
        <v>0</v>
      </c>
      <c r="J107" s="1143">
        <f>VLOOKUP($E107,'JKP-8.5 - Unit Costs'!$A$9:$H$33,5,FALSE)</f>
        <v>0</v>
      </c>
      <c r="K107" s="1143">
        <f>VLOOKUP($E107,'JKP-8.5 - Unit Costs'!$A$9:$H$33,3,FALSE)</f>
        <v>0</v>
      </c>
      <c r="L107" s="1143">
        <f>VLOOKUP($E107,'JKP-8.5 - Unit Costs'!$A$9:$H$33,6,FALSE)</f>
        <v>0</v>
      </c>
      <c r="M107" s="1143">
        <f>VLOOKUP($E107,'JKP-8.5 - Unit Costs'!$A$9:$H$33,8,FALSE)</f>
        <v>5835.1900000000005</v>
      </c>
      <c r="N107" s="1143">
        <f>VLOOKUP($E107,'JKP-8.5 - Unit Costs'!$A$9:$H$33,8,FALSE)</f>
        <v>5835.1900000000005</v>
      </c>
      <c r="O107" s="1144">
        <f t="shared" si="12"/>
        <v>0</v>
      </c>
      <c r="P107" s="1144">
        <f t="shared" si="12"/>
        <v>0</v>
      </c>
      <c r="Q107" s="1144">
        <f t="shared" si="13"/>
        <v>0</v>
      </c>
      <c r="R107" s="1144">
        <f t="shared" si="14"/>
        <v>0</v>
      </c>
      <c r="S107" s="1144">
        <f t="shared" si="14"/>
        <v>0</v>
      </c>
      <c r="T107" s="1144">
        <f t="shared" si="15"/>
        <v>0</v>
      </c>
      <c r="U107" s="1144">
        <f t="shared" si="16"/>
        <v>29175.950000000004</v>
      </c>
      <c r="V107" s="1144">
        <f t="shared" si="16"/>
        <v>250913.17</v>
      </c>
      <c r="W107" s="1145">
        <f t="shared" si="17"/>
        <v>280089.12</v>
      </c>
    </row>
    <row r="108" spans="1:23" x14ac:dyDescent="0.2">
      <c r="A108" s="1140" t="str">
        <f t="shared" si="9"/>
        <v>31G-I 16000 AMR</v>
      </c>
      <c r="B108" s="1140" t="str">
        <f t="shared" si="10"/>
        <v xml:space="preserve">31G-I 16000 </v>
      </c>
      <c r="C108" s="1140" t="s">
        <v>1854</v>
      </c>
      <c r="D108" s="1140" t="s">
        <v>915</v>
      </c>
      <c r="E108" s="1140">
        <v>16000</v>
      </c>
      <c r="F108" s="1141">
        <f>SUMIF('JKP-8.5 - CNSMREQP_GASMTRCTR'!$A$2:$A$391,'JKP-8.5 - Total Costs'!A108,'JKP-8.5 - CNSMREQP_GASMTRCTR'!$F$2:$F$391)-SUMIF('JKP-8.5 - Migrated From'!$A$2:$A$22,'JKP-8.5 - Total Costs'!A108,'JKP-8.5 - Migrated From'!$F$2:$F$22)+SUMIF('JKP-8.5 - Migrated To'!$A$2:$A$22,'JKP-8.5 - Total Costs'!A108,'JKP-8.5 - Migrated To'!$F$2:$F$22)</f>
        <v>0</v>
      </c>
      <c r="G108" s="1141">
        <f>SUMIF('JKP-8.5 - CNSMREQP_GASMTRCTR'!$A$2:$A$391,'JKP-8.5 - Total Costs'!B108,'JKP-8.5 - CNSMREQP_GASMTRCTR'!$F$2:$F$391)-SUMIF('JKP-8.5 - Migrated From'!$A$2:$A$22,'JKP-8.5 - Total Costs'!B108,'JKP-8.5 - Migrated From'!$F$2:$F$22)+SUMIF('JKP-8.5 - Migrated To'!$A$2:$A$22,'JKP-8.5 - Total Costs'!B108,'JKP-8.5 - Migrated To'!$F$2:$F$22)</f>
        <v>17</v>
      </c>
      <c r="H108" s="1142">
        <f t="shared" si="11"/>
        <v>17</v>
      </c>
      <c r="I108" s="1143">
        <f>VLOOKUP($E108,'JKP-8.5 - Unit Costs'!$A$9:$H$33,2,FALSE)</f>
        <v>0</v>
      </c>
      <c r="J108" s="1143">
        <f>VLOOKUP($E108,'JKP-8.5 - Unit Costs'!$A$9:$H$33,5,FALSE)</f>
        <v>0</v>
      </c>
      <c r="K108" s="1143">
        <f>VLOOKUP($E108,'JKP-8.5 - Unit Costs'!$A$9:$H$33,3,FALSE)</f>
        <v>0</v>
      </c>
      <c r="L108" s="1143">
        <f>VLOOKUP($E108,'JKP-8.5 - Unit Costs'!$A$9:$H$33,6,FALSE)</f>
        <v>0</v>
      </c>
      <c r="M108" s="1143">
        <f>VLOOKUP($E108,'JKP-8.5 - Unit Costs'!$A$9:$H$33,8,FALSE)</f>
        <v>8983.2999999999993</v>
      </c>
      <c r="N108" s="1143">
        <f>VLOOKUP($E108,'JKP-8.5 - Unit Costs'!$A$9:$H$33,8,FALSE)</f>
        <v>8983.2999999999993</v>
      </c>
      <c r="O108" s="1144">
        <f t="shared" si="12"/>
        <v>0</v>
      </c>
      <c r="P108" s="1144">
        <f t="shared" si="12"/>
        <v>0</v>
      </c>
      <c r="Q108" s="1144">
        <f t="shared" si="13"/>
        <v>0</v>
      </c>
      <c r="R108" s="1144">
        <f t="shared" si="14"/>
        <v>0</v>
      </c>
      <c r="S108" s="1144">
        <f t="shared" si="14"/>
        <v>0</v>
      </c>
      <c r="T108" s="1144">
        <f t="shared" si="15"/>
        <v>0</v>
      </c>
      <c r="U108" s="1144">
        <f t="shared" si="16"/>
        <v>0</v>
      </c>
      <c r="V108" s="1144">
        <f t="shared" si="16"/>
        <v>152716.09999999998</v>
      </c>
      <c r="W108" s="1145">
        <f t="shared" si="17"/>
        <v>152716.09999999998</v>
      </c>
    </row>
    <row r="109" spans="1:23" x14ac:dyDescent="0.2">
      <c r="A109" s="1140" t="str">
        <f t="shared" si="9"/>
        <v>31G-I 30000 AMR</v>
      </c>
      <c r="B109" s="1140" t="str">
        <f t="shared" si="10"/>
        <v xml:space="preserve">31G-I 30000 </v>
      </c>
      <c r="C109" s="1140" t="s">
        <v>1854</v>
      </c>
      <c r="D109" s="1140" t="s">
        <v>915</v>
      </c>
      <c r="E109" s="1140">
        <v>30000</v>
      </c>
      <c r="F109" s="1141">
        <f>SUMIF('JKP-8.5 - CNSMREQP_GASMTRCTR'!$A$2:$A$391,'JKP-8.5 - Total Costs'!A109,'JKP-8.5 - CNSMREQP_GASMTRCTR'!$F$2:$F$391)-SUMIF('JKP-8.5 - Migrated From'!$A$2:$A$22,'JKP-8.5 - Total Costs'!A109,'JKP-8.5 - Migrated From'!$F$2:$F$22)+SUMIF('JKP-8.5 - Migrated To'!$A$2:$A$22,'JKP-8.5 - Total Costs'!A109,'JKP-8.5 - Migrated To'!$F$2:$F$22)</f>
        <v>0</v>
      </c>
      <c r="G109" s="1141">
        <f>SUMIF('JKP-8.5 - CNSMREQP_GASMTRCTR'!$A$2:$A$391,'JKP-8.5 - Total Costs'!B109,'JKP-8.5 - CNSMREQP_GASMTRCTR'!$F$2:$F$391)-SUMIF('JKP-8.5 - Migrated From'!$A$2:$A$22,'JKP-8.5 - Total Costs'!B109,'JKP-8.5 - Migrated From'!$F$2:$F$22)+SUMIF('JKP-8.5 - Migrated To'!$A$2:$A$22,'JKP-8.5 - Total Costs'!B109,'JKP-8.5 - Migrated To'!$F$2:$F$22)</f>
        <v>2</v>
      </c>
      <c r="H109" s="1142">
        <f t="shared" si="11"/>
        <v>2</v>
      </c>
      <c r="I109" s="1143">
        <f>VLOOKUP($E109,'JKP-8.5 - Unit Costs'!$A$9:$H$33,2,FALSE)</f>
        <v>0</v>
      </c>
      <c r="J109" s="1143">
        <f>VLOOKUP($E109,'JKP-8.5 - Unit Costs'!$A$9:$H$33,5,FALSE)</f>
        <v>0</v>
      </c>
      <c r="K109" s="1143">
        <f>VLOOKUP($E109,'JKP-8.5 - Unit Costs'!$A$9:$H$33,3,FALSE)</f>
        <v>0</v>
      </c>
      <c r="L109" s="1143">
        <f>VLOOKUP($E109,'JKP-8.5 - Unit Costs'!$A$9:$H$33,6,FALSE)</f>
        <v>0</v>
      </c>
      <c r="M109" s="1143">
        <f>VLOOKUP($E109,'JKP-8.5 - Unit Costs'!$A$9:$H$33,8,FALSE)</f>
        <v>28159.37</v>
      </c>
      <c r="N109" s="1143">
        <f>VLOOKUP($E109,'JKP-8.5 - Unit Costs'!$A$9:$H$33,8,FALSE)</f>
        <v>28159.37</v>
      </c>
      <c r="O109" s="1144">
        <f t="shared" si="12"/>
        <v>0</v>
      </c>
      <c r="P109" s="1144">
        <f t="shared" si="12"/>
        <v>0</v>
      </c>
      <c r="Q109" s="1144">
        <f t="shared" si="13"/>
        <v>0</v>
      </c>
      <c r="R109" s="1144">
        <f t="shared" si="14"/>
        <v>0</v>
      </c>
      <c r="S109" s="1144">
        <f t="shared" si="14"/>
        <v>0</v>
      </c>
      <c r="T109" s="1144">
        <f t="shared" si="15"/>
        <v>0</v>
      </c>
      <c r="U109" s="1144">
        <f t="shared" si="16"/>
        <v>0</v>
      </c>
      <c r="V109" s="1144">
        <f t="shared" si="16"/>
        <v>56318.74</v>
      </c>
      <c r="W109" s="1145">
        <f t="shared" si="17"/>
        <v>56318.74</v>
      </c>
    </row>
    <row r="110" spans="1:23" x14ac:dyDescent="0.2">
      <c r="A110" s="1140" t="str">
        <f t="shared" si="9"/>
        <v>31G-I 60000 AMR</v>
      </c>
      <c r="B110" s="1140" t="str">
        <f t="shared" si="10"/>
        <v xml:space="preserve">31G-I 60000 </v>
      </c>
      <c r="C110" s="1140" t="s">
        <v>1854</v>
      </c>
      <c r="D110" s="1140" t="s">
        <v>915</v>
      </c>
      <c r="E110" s="1140">
        <v>60000</v>
      </c>
      <c r="F110" s="1141">
        <f>SUMIF('JKP-8.5 - CNSMREQP_GASMTRCTR'!$A$2:$A$391,'JKP-8.5 - Total Costs'!A110,'JKP-8.5 - CNSMREQP_GASMTRCTR'!$F$2:$F$391)-SUMIF('JKP-8.5 - Migrated From'!$A$2:$A$22,'JKP-8.5 - Total Costs'!A110,'JKP-8.5 - Migrated From'!$F$2:$F$22)+SUMIF('JKP-8.5 - Migrated To'!$A$2:$A$22,'JKP-8.5 - Total Costs'!A110,'JKP-8.5 - Migrated To'!$F$2:$F$22)</f>
        <v>0</v>
      </c>
      <c r="G110" s="1141">
        <f>SUMIF('JKP-8.5 - CNSMREQP_GASMTRCTR'!$A$2:$A$391,'JKP-8.5 - Total Costs'!B110,'JKP-8.5 - CNSMREQP_GASMTRCTR'!$F$2:$F$391)-SUMIF('JKP-8.5 - Migrated From'!$A$2:$A$22,'JKP-8.5 - Total Costs'!B110,'JKP-8.5 - Migrated From'!$F$2:$F$22)+SUMIF('JKP-8.5 - Migrated To'!$A$2:$A$22,'JKP-8.5 - Total Costs'!B110,'JKP-8.5 - Migrated To'!$F$2:$F$22)</f>
        <v>1</v>
      </c>
      <c r="H110" s="1142">
        <f t="shared" si="11"/>
        <v>1</v>
      </c>
      <c r="I110" s="1143">
        <f>VLOOKUP($E110,'JKP-8.5 - Unit Costs'!$A$9:$H$33,2,FALSE)</f>
        <v>0</v>
      </c>
      <c r="J110" s="1143">
        <f>VLOOKUP($E110,'JKP-8.5 - Unit Costs'!$A$9:$H$33,5,FALSE)</f>
        <v>0</v>
      </c>
      <c r="K110" s="1143">
        <f>VLOOKUP($E110,'JKP-8.5 - Unit Costs'!$A$9:$H$33,3,FALSE)</f>
        <v>0</v>
      </c>
      <c r="L110" s="1143">
        <f>VLOOKUP($E110,'JKP-8.5 - Unit Costs'!$A$9:$H$33,6,FALSE)</f>
        <v>0</v>
      </c>
      <c r="M110" s="1143">
        <f>VLOOKUP($E110,'JKP-8.5 - Unit Costs'!$A$9:$H$33,8,FALSE)</f>
        <v>36556.269999999997</v>
      </c>
      <c r="N110" s="1143">
        <f>VLOOKUP($E110,'JKP-8.5 - Unit Costs'!$A$9:$H$33,8,FALSE)</f>
        <v>36556.269999999997</v>
      </c>
      <c r="O110" s="1144">
        <f t="shared" si="12"/>
        <v>0</v>
      </c>
      <c r="P110" s="1144">
        <f t="shared" si="12"/>
        <v>0</v>
      </c>
      <c r="Q110" s="1144">
        <f t="shared" si="13"/>
        <v>0</v>
      </c>
      <c r="R110" s="1144">
        <f t="shared" si="14"/>
        <v>0</v>
      </c>
      <c r="S110" s="1144">
        <f t="shared" si="14"/>
        <v>0</v>
      </c>
      <c r="T110" s="1144">
        <f t="shared" si="15"/>
        <v>0</v>
      </c>
      <c r="U110" s="1144">
        <f t="shared" si="16"/>
        <v>0</v>
      </c>
      <c r="V110" s="1144">
        <f t="shared" si="16"/>
        <v>36556.269999999997</v>
      </c>
      <c r="W110" s="1145">
        <f t="shared" si="17"/>
        <v>36556.269999999997</v>
      </c>
    </row>
    <row r="111" spans="1:23" x14ac:dyDescent="0.2">
      <c r="A111" s="1140" t="str">
        <f t="shared" si="9"/>
        <v>31G-I-NK 425 AMR</v>
      </c>
      <c r="B111" s="1140" t="str">
        <f t="shared" si="10"/>
        <v xml:space="preserve">31G-I-NK 425 </v>
      </c>
      <c r="C111" s="1140" t="s">
        <v>1854</v>
      </c>
      <c r="D111" s="1140" t="s">
        <v>916</v>
      </c>
      <c r="E111" s="1140">
        <v>425</v>
      </c>
      <c r="F111" s="1141">
        <f>SUMIF('JKP-8.5 - CNSMREQP_GASMTRCTR'!$A$2:$A$391,'JKP-8.5 - Total Costs'!A111,'JKP-8.5 - CNSMREQP_GASMTRCTR'!$F$2:$F$391)-SUMIF('JKP-8.5 - Migrated From'!$A$2:$A$22,'JKP-8.5 - Total Costs'!A111,'JKP-8.5 - Migrated From'!$F$2:$F$22)+SUMIF('JKP-8.5 - Migrated To'!$A$2:$A$22,'JKP-8.5 - Total Costs'!A111,'JKP-8.5 - Migrated To'!$F$2:$F$22)</f>
        <v>1</v>
      </c>
      <c r="G111" s="1141">
        <f>SUMIF('JKP-8.5 - CNSMREQP_GASMTRCTR'!$A$2:$A$391,'JKP-8.5 - Total Costs'!B111,'JKP-8.5 - CNSMREQP_GASMTRCTR'!$F$2:$F$391)-SUMIF('JKP-8.5 - Migrated From'!$A$2:$A$22,'JKP-8.5 - Total Costs'!B111,'JKP-8.5 - Migrated From'!$F$2:$F$22)+SUMIF('JKP-8.5 - Migrated To'!$A$2:$A$22,'JKP-8.5 - Total Costs'!B111,'JKP-8.5 - Migrated To'!$F$2:$F$22)</f>
        <v>0</v>
      </c>
      <c r="H111" s="1142">
        <f t="shared" si="11"/>
        <v>1</v>
      </c>
      <c r="I111" s="1143">
        <f>VLOOKUP($E111,'JKP-8.5 - Unit Costs'!$A$9:$H$33,2,FALSE)</f>
        <v>462.02000000000004</v>
      </c>
      <c r="J111" s="1143">
        <f>VLOOKUP($E111,'JKP-8.5 - Unit Costs'!$A$9:$H$33,5,FALSE)</f>
        <v>193.72</v>
      </c>
      <c r="K111" s="1143">
        <f>VLOOKUP($E111,'JKP-8.5 - Unit Costs'!$A$9:$H$33,3,FALSE)</f>
        <v>41.76</v>
      </c>
      <c r="L111" s="1143">
        <f>VLOOKUP($E111,'JKP-8.5 - Unit Costs'!$A$9:$H$33,6,FALSE)</f>
        <v>41.76</v>
      </c>
      <c r="M111" s="1143">
        <f>VLOOKUP($E111,'JKP-8.5 - Unit Costs'!$A$9:$H$33,8,FALSE)</f>
        <v>0</v>
      </c>
      <c r="N111" s="1143">
        <f>VLOOKUP($E111,'JKP-8.5 - Unit Costs'!$A$9:$H$33,8,FALSE)</f>
        <v>0</v>
      </c>
      <c r="O111" s="1144">
        <f t="shared" si="12"/>
        <v>462.02000000000004</v>
      </c>
      <c r="P111" s="1144">
        <f t="shared" si="12"/>
        <v>0</v>
      </c>
      <c r="Q111" s="1144">
        <f t="shared" si="13"/>
        <v>462.02000000000004</v>
      </c>
      <c r="R111" s="1144">
        <f t="shared" si="14"/>
        <v>41.76</v>
      </c>
      <c r="S111" s="1144">
        <f t="shared" si="14"/>
        <v>0</v>
      </c>
      <c r="T111" s="1144">
        <f t="shared" si="15"/>
        <v>41.76</v>
      </c>
      <c r="U111" s="1144">
        <f t="shared" si="16"/>
        <v>0</v>
      </c>
      <c r="V111" s="1144">
        <f t="shared" si="16"/>
        <v>0</v>
      </c>
      <c r="W111" s="1145">
        <f t="shared" si="17"/>
        <v>0</v>
      </c>
    </row>
    <row r="112" spans="1:23" x14ac:dyDescent="0.2">
      <c r="A112" s="1140" t="str">
        <f t="shared" si="9"/>
        <v>31G-I-NK 1400 AMR</v>
      </c>
      <c r="B112" s="1140" t="str">
        <f t="shared" si="10"/>
        <v xml:space="preserve">31G-I-NK 1400 </v>
      </c>
      <c r="C112" s="1140" t="s">
        <v>1854</v>
      </c>
      <c r="D112" s="1140" t="s">
        <v>916</v>
      </c>
      <c r="E112" s="1140">
        <v>1400</v>
      </c>
      <c r="F112" s="1141">
        <f>SUMIF('JKP-8.5 - CNSMREQP_GASMTRCTR'!$A$2:$A$391,'JKP-8.5 - Total Costs'!A112,'JKP-8.5 - CNSMREQP_GASMTRCTR'!$F$2:$F$391)-SUMIF('JKP-8.5 - Migrated From'!$A$2:$A$22,'JKP-8.5 - Total Costs'!A112,'JKP-8.5 - Migrated From'!$F$2:$F$22)+SUMIF('JKP-8.5 - Migrated To'!$A$2:$A$22,'JKP-8.5 - Total Costs'!A112,'JKP-8.5 - Migrated To'!$F$2:$F$22)</f>
        <v>1</v>
      </c>
      <c r="G112" s="1141">
        <f>SUMIF('JKP-8.5 - CNSMREQP_GASMTRCTR'!$A$2:$A$391,'JKP-8.5 - Total Costs'!B112,'JKP-8.5 - CNSMREQP_GASMTRCTR'!$F$2:$F$391)-SUMIF('JKP-8.5 - Migrated From'!$A$2:$A$22,'JKP-8.5 - Total Costs'!B112,'JKP-8.5 - Migrated From'!$F$2:$F$22)+SUMIF('JKP-8.5 - Migrated To'!$A$2:$A$22,'JKP-8.5 - Total Costs'!B112,'JKP-8.5 - Migrated To'!$F$2:$F$22)</f>
        <v>0</v>
      </c>
      <c r="H112" s="1142">
        <f t="shared" si="11"/>
        <v>1</v>
      </c>
      <c r="I112" s="1143">
        <f>VLOOKUP($E112,'JKP-8.5 - Unit Costs'!$A$9:$H$33,2,FALSE)</f>
        <v>0</v>
      </c>
      <c r="J112" s="1143">
        <f>VLOOKUP($E112,'JKP-8.5 - Unit Costs'!$A$9:$H$33,5,FALSE)</f>
        <v>0</v>
      </c>
      <c r="K112" s="1143">
        <f>VLOOKUP($E112,'JKP-8.5 - Unit Costs'!$A$9:$H$33,3,FALSE)</f>
        <v>0</v>
      </c>
      <c r="L112" s="1143">
        <f>VLOOKUP($E112,'JKP-8.5 - Unit Costs'!$A$9:$H$33,6,FALSE)</f>
        <v>0</v>
      </c>
      <c r="M112" s="1143">
        <f>VLOOKUP($E112,'JKP-8.5 - Unit Costs'!$A$9:$H$33,8,FALSE)</f>
        <v>2379.79</v>
      </c>
      <c r="N112" s="1143">
        <f>VLOOKUP($E112,'JKP-8.5 - Unit Costs'!$A$9:$H$33,8,FALSE)</f>
        <v>2379.79</v>
      </c>
      <c r="O112" s="1144">
        <f t="shared" si="12"/>
        <v>0</v>
      </c>
      <c r="P112" s="1144">
        <f t="shared" si="12"/>
        <v>0</v>
      </c>
      <c r="Q112" s="1144">
        <f t="shared" si="13"/>
        <v>0</v>
      </c>
      <c r="R112" s="1144">
        <f t="shared" si="14"/>
        <v>0</v>
      </c>
      <c r="S112" s="1144">
        <f t="shared" si="14"/>
        <v>0</v>
      </c>
      <c r="T112" s="1144">
        <f t="shared" si="15"/>
        <v>0</v>
      </c>
      <c r="U112" s="1144">
        <f t="shared" si="16"/>
        <v>2379.79</v>
      </c>
      <c r="V112" s="1144">
        <f t="shared" si="16"/>
        <v>0</v>
      </c>
      <c r="W112" s="1145">
        <f t="shared" si="17"/>
        <v>2379.79</v>
      </c>
    </row>
    <row r="113" spans="1:23" x14ac:dyDescent="0.2">
      <c r="A113" s="1140" t="str">
        <f t="shared" si="9"/>
        <v>31G-I-NR 425 AMR</v>
      </c>
      <c r="B113" s="1140" t="str">
        <f t="shared" si="10"/>
        <v xml:space="preserve">31G-I-NR 425 </v>
      </c>
      <c r="C113" s="1140" t="s">
        <v>1854</v>
      </c>
      <c r="D113" s="1140" t="s">
        <v>917</v>
      </c>
      <c r="E113" s="1140">
        <v>425</v>
      </c>
      <c r="F113" s="1141">
        <f>SUMIF('JKP-8.5 - CNSMREQP_GASMTRCTR'!$A$2:$A$391,'JKP-8.5 - Total Costs'!A113,'JKP-8.5 - CNSMREQP_GASMTRCTR'!$F$2:$F$391)-SUMIF('JKP-8.5 - Migrated From'!$A$2:$A$22,'JKP-8.5 - Total Costs'!A113,'JKP-8.5 - Migrated From'!$F$2:$F$22)+SUMIF('JKP-8.5 - Migrated To'!$A$2:$A$22,'JKP-8.5 - Total Costs'!A113,'JKP-8.5 - Migrated To'!$F$2:$F$22)</f>
        <v>2</v>
      </c>
      <c r="G113" s="1141">
        <f>SUMIF('JKP-8.5 - CNSMREQP_GASMTRCTR'!$A$2:$A$391,'JKP-8.5 - Total Costs'!B113,'JKP-8.5 - CNSMREQP_GASMTRCTR'!$F$2:$F$391)-SUMIF('JKP-8.5 - Migrated From'!$A$2:$A$22,'JKP-8.5 - Total Costs'!B113,'JKP-8.5 - Migrated From'!$F$2:$F$22)+SUMIF('JKP-8.5 - Migrated To'!$A$2:$A$22,'JKP-8.5 - Total Costs'!B113,'JKP-8.5 - Migrated To'!$F$2:$F$22)</f>
        <v>0</v>
      </c>
      <c r="H113" s="1142">
        <f t="shared" si="11"/>
        <v>2</v>
      </c>
      <c r="I113" s="1143">
        <f>VLOOKUP($E113,'JKP-8.5 - Unit Costs'!$A$9:$H$33,2,FALSE)</f>
        <v>462.02000000000004</v>
      </c>
      <c r="J113" s="1143">
        <f>VLOOKUP($E113,'JKP-8.5 - Unit Costs'!$A$9:$H$33,5,FALSE)</f>
        <v>193.72</v>
      </c>
      <c r="K113" s="1143">
        <f>VLOOKUP($E113,'JKP-8.5 - Unit Costs'!$A$9:$H$33,3,FALSE)</f>
        <v>41.76</v>
      </c>
      <c r="L113" s="1143">
        <f>VLOOKUP($E113,'JKP-8.5 - Unit Costs'!$A$9:$H$33,6,FALSE)</f>
        <v>41.76</v>
      </c>
      <c r="M113" s="1143">
        <f>VLOOKUP($E113,'JKP-8.5 - Unit Costs'!$A$9:$H$33,8,FALSE)</f>
        <v>0</v>
      </c>
      <c r="N113" s="1143">
        <f>VLOOKUP($E113,'JKP-8.5 - Unit Costs'!$A$9:$H$33,8,FALSE)</f>
        <v>0</v>
      </c>
      <c r="O113" s="1144">
        <f t="shared" si="12"/>
        <v>924.04000000000008</v>
      </c>
      <c r="P113" s="1144">
        <f t="shared" si="12"/>
        <v>0</v>
      </c>
      <c r="Q113" s="1144">
        <f t="shared" si="13"/>
        <v>924.04000000000008</v>
      </c>
      <c r="R113" s="1144">
        <f t="shared" si="14"/>
        <v>83.52</v>
      </c>
      <c r="S113" s="1144">
        <f t="shared" si="14"/>
        <v>0</v>
      </c>
      <c r="T113" s="1144">
        <f t="shared" si="15"/>
        <v>83.52</v>
      </c>
      <c r="U113" s="1144">
        <f t="shared" si="16"/>
        <v>0</v>
      </c>
      <c r="V113" s="1144">
        <f t="shared" si="16"/>
        <v>0</v>
      </c>
      <c r="W113" s="1145">
        <f t="shared" si="17"/>
        <v>0</v>
      </c>
    </row>
    <row r="114" spans="1:23" x14ac:dyDescent="0.2">
      <c r="A114" s="1140" t="str">
        <f t="shared" si="9"/>
        <v>31G-I-NR 1000 AMR</v>
      </c>
      <c r="B114" s="1140" t="str">
        <f t="shared" si="10"/>
        <v xml:space="preserve">31G-I-NR 1000 </v>
      </c>
      <c r="C114" s="1140" t="s">
        <v>1854</v>
      </c>
      <c r="D114" s="1140" t="s">
        <v>917</v>
      </c>
      <c r="E114" s="1140">
        <v>1000</v>
      </c>
      <c r="F114" s="1141">
        <f>SUMIF('JKP-8.5 - CNSMREQP_GASMTRCTR'!$A$2:$A$391,'JKP-8.5 - Total Costs'!A114,'JKP-8.5 - CNSMREQP_GASMTRCTR'!$F$2:$F$391)-SUMIF('JKP-8.5 - Migrated From'!$A$2:$A$22,'JKP-8.5 - Total Costs'!A114,'JKP-8.5 - Migrated From'!$F$2:$F$22)+SUMIF('JKP-8.5 - Migrated To'!$A$2:$A$22,'JKP-8.5 - Total Costs'!A114,'JKP-8.5 - Migrated To'!$F$2:$F$22)</f>
        <v>1</v>
      </c>
      <c r="G114" s="1141">
        <f>SUMIF('JKP-8.5 - CNSMREQP_GASMTRCTR'!$A$2:$A$391,'JKP-8.5 - Total Costs'!B114,'JKP-8.5 - CNSMREQP_GASMTRCTR'!$F$2:$F$391)-SUMIF('JKP-8.5 - Migrated From'!$A$2:$A$22,'JKP-8.5 - Total Costs'!B114,'JKP-8.5 - Migrated From'!$F$2:$F$22)+SUMIF('JKP-8.5 - Migrated To'!$A$2:$A$22,'JKP-8.5 - Total Costs'!B114,'JKP-8.5 - Migrated To'!$F$2:$F$22)</f>
        <v>0</v>
      </c>
      <c r="H114" s="1142">
        <f t="shared" si="11"/>
        <v>1</v>
      </c>
      <c r="I114" s="1143">
        <f>VLOOKUP($E114,'JKP-8.5 - Unit Costs'!$A$9:$H$33,2,FALSE)</f>
        <v>1404.86</v>
      </c>
      <c r="J114" s="1143">
        <f>VLOOKUP($E114,'JKP-8.5 - Unit Costs'!$A$9:$H$33,5,FALSE)</f>
        <v>1063.1500000000001</v>
      </c>
      <c r="K114" s="1143">
        <f>VLOOKUP($E114,'JKP-8.5 - Unit Costs'!$A$9:$H$33,3,FALSE)</f>
        <v>41.76</v>
      </c>
      <c r="L114" s="1143">
        <f>VLOOKUP($E114,'JKP-8.5 - Unit Costs'!$A$9:$H$33,6,FALSE)</f>
        <v>41.76</v>
      </c>
      <c r="M114" s="1143">
        <f>VLOOKUP($E114,'JKP-8.5 - Unit Costs'!$A$9:$H$33,8,FALSE)</f>
        <v>0</v>
      </c>
      <c r="N114" s="1143">
        <f>VLOOKUP($E114,'JKP-8.5 - Unit Costs'!$A$9:$H$33,8,FALSE)</f>
        <v>0</v>
      </c>
      <c r="O114" s="1144">
        <f t="shared" si="12"/>
        <v>1404.86</v>
      </c>
      <c r="P114" s="1144">
        <f t="shared" si="12"/>
        <v>0</v>
      </c>
      <c r="Q114" s="1144">
        <f t="shared" si="13"/>
        <v>1404.86</v>
      </c>
      <c r="R114" s="1144">
        <f t="shared" si="14"/>
        <v>41.76</v>
      </c>
      <c r="S114" s="1144">
        <f t="shared" si="14"/>
        <v>0</v>
      </c>
      <c r="T114" s="1144">
        <f t="shared" si="15"/>
        <v>41.76</v>
      </c>
      <c r="U114" s="1144">
        <f t="shared" si="16"/>
        <v>0</v>
      </c>
      <c r="V114" s="1144">
        <f t="shared" si="16"/>
        <v>0</v>
      </c>
      <c r="W114" s="1145">
        <f t="shared" si="17"/>
        <v>0</v>
      </c>
    </row>
    <row r="115" spans="1:23" x14ac:dyDescent="0.2">
      <c r="A115" s="1140" t="str">
        <f t="shared" si="9"/>
        <v>41G-C2 175 AMR</v>
      </c>
      <c r="B115" s="1140" t="str">
        <f t="shared" si="10"/>
        <v xml:space="preserve">41G-C2 175 </v>
      </c>
      <c r="C115" s="1140" t="s">
        <v>1855</v>
      </c>
      <c r="D115" s="1140" t="s">
        <v>907</v>
      </c>
      <c r="E115" s="1140">
        <v>175</v>
      </c>
      <c r="F115" s="1141">
        <f>SUMIF('JKP-8.5 - CNSMREQP_GASMTRCTR'!$A$2:$A$391,'JKP-8.5 - Total Costs'!A115,'JKP-8.5 - CNSMREQP_GASMTRCTR'!$F$2:$F$391)-SUMIF('JKP-8.5 - Migrated From'!$A$2:$A$22,'JKP-8.5 - Total Costs'!A115,'JKP-8.5 - Migrated From'!$F$2:$F$22)+SUMIF('JKP-8.5 - Migrated To'!$A$2:$A$22,'JKP-8.5 - Total Costs'!A115,'JKP-8.5 - Migrated To'!$F$2:$F$22)</f>
        <v>2</v>
      </c>
      <c r="G115" s="1141">
        <f>SUMIF('JKP-8.5 - CNSMREQP_GASMTRCTR'!$A$2:$A$391,'JKP-8.5 - Total Costs'!B115,'JKP-8.5 - CNSMREQP_GASMTRCTR'!$F$2:$F$391)-SUMIF('JKP-8.5 - Migrated From'!$A$2:$A$22,'JKP-8.5 - Total Costs'!B115,'JKP-8.5 - Migrated From'!$F$2:$F$22)+SUMIF('JKP-8.5 - Migrated To'!$A$2:$A$22,'JKP-8.5 - Total Costs'!B115,'JKP-8.5 - Migrated To'!$F$2:$F$22)</f>
        <v>1</v>
      </c>
      <c r="H115" s="1142">
        <f t="shared" si="11"/>
        <v>3</v>
      </c>
      <c r="I115" s="1143">
        <f>VLOOKUP($E115,'JKP-8.5 - Unit Costs'!$A$9:$H$33,2,FALSE)</f>
        <v>141.83000000000001</v>
      </c>
      <c r="J115" s="1143">
        <f>VLOOKUP($E115,'JKP-8.5 - Unit Costs'!$A$9:$H$33,5,FALSE)</f>
        <v>92.480000000000018</v>
      </c>
      <c r="K115" s="1143">
        <f>VLOOKUP($E115,'JKP-8.5 - Unit Costs'!$A$9:$H$33,3,FALSE)</f>
        <v>41.76</v>
      </c>
      <c r="L115" s="1143">
        <f>VLOOKUP($E115,'JKP-8.5 - Unit Costs'!$A$9:$H$33,6,FALSE)</f>
        <v>41.76</v>
      </c>
      <c r="M115" s="1143">
        <f>VLOOKUP($E115,'JKP-8.5 - Unit Costs'!$A$9:$H$33,8,FALSE)</f>
        <v>0</v>
      </c>
      <c r="N115" s="1143">
        <f>VLOOKUP($E115,'JKP-8.5 - Unit Costs'!$A$9:$H$33,8,FALSE)</f>
        <v>0</v>
      </c>
      <c r="O115" s="1144">
        <f t="shared" si="12"/>
        <v>283.66000000000003</v>
      </c>
      <c r="P115" s="1144">
        <f t="shared" si="12"/>
        <v>92.480000000000018</v>
      </c>
      <c r="Q115" s="1144">
        <f t="shared" si="13"/>
        <v>376.14000000000004</v>
      </c>
      <c r="R115" s="1144">
        <f t="shared" si="14"/>
        <v>83.52</v>
      </c>
      <c r="S115" s="1144">
        <f t="shared" si="14"/>
        <v>41.76</v>
      </c>
      <c r="T115" s="1144">
        <f t="shared" si="15"/>
        <v>125.28</v>
      </c>
      <c r="U115" s="1144">
        <f t="shared" si="16"/>
        <v>0</v>
      </c>
      <c r="V115" s="1144">
        <f t="shared" si="16"/>
        <v>0</v>
      </c>
      <c r="W115" s="1145">
        <f t="shared" si="17"/>
        <v>0</v>
      </c>
    </row>
    <row r="116" spans="1:23" x14ac:dyDescent="0.2">
      <c r="A116" s="1140" t="str">
        <f t="shared" si="9"/>
        <v>41G-C2 200 AMR</v>
      </c>
      <c r="B116" s="1140" t="str">
        <f t="shared" si="10"/>
        <v xml:space="preserve">41G-C2 200 </v>
      </c>
      <c r="C116" s="1140" t="s">
        <v>1855</v>
      </c>
      <c r="D116" s="1140" t="s">
        <v>907</v>
      </c>
      <c r="E116" s="1140">
        <v>200</v>
      </c>
      <c r="F116" s="1141">
        <f>SUMIF('JKP-8.5 - CNSMREQP_GASMTRCTR'!$A$2:$A$391,'JKP-8.5 - Total Costs'!A116,'JKP-8.5 - CNSMREQP_GASMTRCTR'!$F$2:$F$391)-SUMIF('JKP-8.5 - Migrated From'!$A$2:$A$22,'JKP-8.5 - Total Costs'!A116,'JKP-8.5 - Migrated From'!$F$2:$F$22)+SUMIF('JKP-8.5 - Migrated To'!$A$2:$A$22,'JKP-8.5 - Total Costs'!A116,'JKP-8.5 - Migrated To'!$F$2:$F$22)</f>
        <v>2</v>
      </c>
      <c r="G116" s="1141">
        <f>SUMIF('JKP-8.5 - CNSMREQP_GASMTRCTR'!$A$2:$A$391,'JKP-8.5 - Total Costs'!B116,'JKP-8.5 - CNSMREQP_GASMTRCTR'!$F$2:$F$391)-SUMIF('JKP-8.5 - Migrated From'!$A$2:$A$22,'JKP-8.5 - Total Costs'!B116,'JKP-8.5 - Migrated From'!$F$2:$F$22)+SUMIF('JKP-8.5 - Migrated To'!$A$2:$A$22,'JKP-8.5 - Total Costs'!B116,'JKP-8.5 - Migrated To'!$F$2:$F$22)</f>
        <v>0</v>
      </c>
      <c r="H116" s="1142">
        <f t="shared" si="11"/>
        <v>2</v>
      </c>
      <c r="I116" s="1143">
        <f>VLOOKUP($E116,'JKP-8.5 - Unit Costs'!$A$9:$H$33,2,FALSE)</f>
        <v>141.83000000000001</v>
      </c>
      <c r="J116" s="1143">
        <f>VLOOKUP($E116,'JKP-8.5 - Unit Costs'!$A$9:$H$33,5,FALSE)</f>
        <v>92.480000000000018</v>
      </c>
      <c r="K116" s="1143">
        <f>VLOOKUP($E116,'JKP-8.5 - Unit Costs'!$A$9:$H$33,3,FALSE)</f>
        <v>41.76</v>
      </c>
      <c r="L116" s="1143">
        <f>VLOOKUP($E116,'JKP-8.5 - Unit Costs'!$A$9:$H$33,6,FALSE)</f>
        <v>41.76</v>
      </c>
      <c r="M116" s="1143">
        <f>VLOOKUP($E116,'JKP-8.5 - Unit Costs'!$A$9:$H$33,8,FALSE)</f>
        <v>0</v>
      </c>
      <c r="N116" s="1143">
        <f>VLOOKUP($E116,'JKP-8.5 - Unit Costs'!$A$9:$H$33,8,FALSE)</f>
        <v>0</v>
      </c>
      <c r="O116" s="1144">
        <f t="shared" si="12"/>
        <v>283.66000000000003</v>
      </c>
      <c r="P116" s="1144">
        <f t="shared" si="12"/>
        <v>0</v>
      </c>
      <c r="Q116" s="1144">
        <f t="shared" si="13"/>
        <v>283.66000000000003</v>
      </c>
      <c r="R116" s="1144">
        <f t="shared" si="14"/>
        <v>83.52</v>
      </c>
      <c r="S116" s="1144">
        <f t="shared" si="14"/>
        <v>0</v>
      </c>
      <c r="T116" s="1144">
        <f t="shared" si="15"/>
        <v>83.52</v>
      </c>
      <c r="U116" s="1144">
        <f t="shared" si="16"/>
        <v>0</v>
      </c>
      <c r="V116" s="1144">
        <f t="shared" si="16"/>
        <v>0</v>
      </c>
      <c r="W116" s="1145">
        <f t="shared" si="17"/>
        <v>0</v>
      </c>
    </row>
    <row r="117" spans="1:23" x14ac:dyDescent="0.2">
      <c r="A117" s="1140" t="str">
        <f t="shared" si="9"/>
        <v>41G-C2 250 AMR</v>
      </c>
      <c r="B117" s="1140" t="str">
        <f t="shared" si="10"/>
        <v xml:space="preserve">41G-C2 250 </v>
      </c>
      <c r="C117" s="1140" t="s">
        <v>1855</v>
      </c>
      <c r="D117" s="1140" t="s">
        <v>907</v>
      </c>
      <c r="E117" s="1140">
        <v>250</v>
      </c>
      <c r="F117" s="1141">
        <f>SUMIF('JKP-8.5 - CNSMREQP_GASMTRCTR'!$A$2:$A$391,'JKP-8.5 - Total Costs'!A117,'JKP-8.5 - CNSMREQP_GASMTRCTR'!$F$2:$F$391)-SUMIF('JKP-8.5 - Migrated From'!$A$2:$A$22,'JKP-8.5 - Total Costs'!A117,'JKP-8.5 - Migrated From'!$F$2:$F$22)+SUMIF('JKP-8.5 - Migrated To'!$A$2:$A$22,'JKP-8.5 - Total Costs'!A117,'JKP-8.5 - Migrated To'!$F$2:$F$22)</f>
        <v>9</v>
      </c>
      <c r="G117" s="1141">
        <f>SUMIF('JKP-8.5 - CNSMREQP_GASMTRCTR'!$A$2:$A$391,'JKP-8.5 - Total Costs'!B117,'JKP-8.5 - CNSMREQP_GASMTRCTR'!$F$2:$F$391)-SUMIF('JKP-8.5 - Migrated From'!$A$2:$A$22,'JKP-8.5 - Total Costs'!B117,'JKP-8.5 - Migrated From'!$F$2:$F$22)+SUMIF('JKP-8.5 - Migrated To'!$A$2:$A$22,'JKP-8.5 - Total Costs'!B117,'JKP-8.5 - Migrated To'!$F$2:$F$22)</f>
        <v>0</v>
      </c>
      <c r="H117" s="1142">
        <f t="shared" si="11"/>
        <v>9</v>
      </c>
      <c r="I117" s="1143">
        <f>VLOOKUP($E117,'JKP-8.5 - Unit Costs'!$A$9:$H$33,2,FALSE)</f>
        <v>141.83000000000001</v>
      </c>
      <c r="J117" s="1143">
        <f>VLOOKUP($E117,'JKP-8.5 - Unit Costs'!$A$9:$H$33,5,FALSE)</f>
        <v>92.480000000000018</v>
      </c>
      <c r="K117" s="1143">
        <f>VLOOKUP($E117,'JKP-8.5 - Unit Costs'!$A$9:$H$33,3,FALSE)</f>
        <v>41.76</v>
      </c>
      <c r="L117" s="1143">
        <f>VLOOKUP($E117,'JKP-8.5 - Unit Costs'!$A$9:$H$33,6,FALSE)</f>
        <v>41.76</v>
      </c>
      <c r="M117" s="1143">
        <f>VLOOKUP($E117,'JKP-8.5 - Unit Costs'!$A$9:$H$33,8,FALSE)</f>
        <v>0</v>
      </c>
      <c r="N117" s="1143">
        <f>VLOOKUP($E117,'JKP-8.5 - Unit Costs'!$A$9:$H$33,8,FALSE)</f>
        <v>0</v>
      </c>
      <c r="O117" s="1144">
        <f t="shared" si="12"/>
        <v>1276.47</v>
      </c>
      <c r="P117" s="1144">
        <f t="shared" si="12"/>
        <v>0</v>
      </c>
      <c r="Q117" s="1144">
        <f t="shared" si="13"/>
        <v>1276.47</v>
      </c>
      <c r="R117" s="1144">
        <f t="shared" si="14"/>
        <v>375.84</v>
      </c>
      <c r="S117" s="1144">
        <f t="shared" si="14"/>
        <v>0</v>
      </c>
      <c r="T117" s="1144">
        <f t="shared" si="15"/>
        <v>375.84</v>
      </c>
      <c r="U117" s="1144">
        <f t="shared" si="16"/>
        <v>0</v>
      </c>
      <c r="V117" s="1144">
        <f t="shared" si="16"/>
        <v>0</v>
      </c>
      <c r="W117" s="1145">
        <f t="shared" si="17"/>
        <v>0</v>
      </c>
    </row>
    <row r="118" spans="1:23" x14ac:dyDescent="0.2">
      <c r="A118" s="1140" t="str">
        <f t="shared" si="9"/>
        <v>41G-C2 275 AMR</v>
      </c>
      <c r="B118" s="1140" t="str">
        <f t="shared" si="10"/>
        <v xml:space="preserve">41G-C2 275 </v>
      </c>
      <c r="C118" s="1140" t="s">
        <v>1855</v>
      </c>
      <c r="D118" s="1140" t="s">
        <v>907</v>
      </c>
      <c r="E118" s="1140">
        <v>275</v>
      </c>
      <c r="F118" s="1141">
        <f>SUMIF('JKP-8.5 - CNSMREQP_GASMTRCTR'!$A$2:$A$391,'JKP-8.5 - Total Costs'!A118,'JKP-8.5 - CNSMREQP_GASMTRCTR'!$F$2:$F$391)-SUMIF('JKP-8.5 - Migrated From'!$A$2:$A$22,'JKP-8.5 - Total Costs'!A118,'JKP-8.5 - Migrated From'!$F$2:$F$22)+SUMIF('JKP-8.5 - Migrated To'!$A$2:$A$22,'JKP-8.5 - Total Costs'!A118,'JKP-8.5 - Migrated To'!$F$2:$F$22)</f>
        <v>3</v>
      </c>
      <c r="G118" s="1141">
        <f>SUMIF('JKP-8.5 - CNSMREQP_GASMTRCTR'!$A$2:$A$391,'JKP-8.5 - Total Costs'!B118,'JKP-8.5 - CNSMREQP_GASMTRCTR'!$F$2:$F$391)-SUMIF('JKP-8.5 - Migrated From'!$A$2:$A$22,'JKP-8.5 - Total Costs'!B118,'JKP-8.5 - Migrated From'!$F$2:$F$22)+SUMIF('JKP-8.5 - Migrated To'!$A$2:$A$22,'JKP-8.5 - Total Costs'!B118,'JKP-8.5 - Migrated To'!$F$2:$F$22)</f>
        <v>0</v>
      </c>
      <c r="H118" s="1142">
        <f t="shared" si="11"/>
        <v>3</v>
      </c>
      <c r="I118" s="1143">
        <f>VLOOKUP($E118,'JKP-8.5 - Unit Costs'!$A$9:$H$33,2,FALSE)</f>
        <v>141.83000000000001</v>
      </c>
      <c r="J118" s="1143">
        <f>VLOOKUP($E118,'JKP-8.5 - Unit Costs'!$A$9:$H$33,5,FALSE)</f>
        <v>92.480000000000018</v>
      </c>
      <c r="K118" s="1143">
        <f>VLOOKUP($E118,'JKP-8.5 - Unit Costs'!$A$9:$H$33,3,FALSE)</f>
        <v>41.76</v>
      </c>
      <c r="L118" s="1143">
        <f>VLOOKUP($E118,'JKP-8.5 - Unit Costs'!$A$9:$H$33,6,FALSE)</f>
        <v>41.76</v>
      </c>
      <c r="M118" s="1143">
        <f>VLOOKUP($E118,'JKP-8.5 - Unit Costs'!$A$9:$H$33,8,FALSE)</f>
        <v>0</v>
      </c>
      <c r="N118" s="1143">
        <f>VLOOKUP($E118,'JKP-8.5 - Unit Costs'!$A$9:$H$33,8,FALSE)</f>
        <v>0</v>
      </c>
      <c r="O118" s="1144">
        <f t="shared" si="12"/>
        <v>425.49</v>
      </c>
      <c r="P118" s="1144">
        <f t="shared" si="12"/>
        <v>0</v>
      </c>
      <c r="Q118" s="1144">
        <f t="shared" si="13"/>
        <v>425.49</v>
      </c>
      <c r="R118" s="1144">
        <f t="shared" si="14"/>
        <v>125.28</v>
      </c>
      <c r="S118" s="1144">
        <f t="shared" si="14"/>
        <v>0</v>
      </c>
      <c r="T118" s="1144">
        <f t="shared" si="15"/>
        <v>125.28</v>
      </c>
      <c r="U118" s="1144">
        <f t="shared" si="16"/>
        <v>0</v>
      </c>
      <c r="V118" s="1144">
        <f t="shared" si="16"/>
        <v>0</v>
      </c>
      <c r="W118" s="1145">
        <f t="shared" si="17"/>
        <v>0</v>
      </c>
    </row>
    <row r="119" spans="1:23" x14ac:dyDescent="0.2">
      <c r="A119" s="1140" t="str">
        <f t="shared" si="9"/>
        <v>41G-C2 425 AMR</v>
      </c>
      <c r="B119" s="1140" t="str">
        <f t="shared" si="10"/>
        <v xml:space="preserve">41G-C2 425 </v>
      </c>
      <c r="C119" s="1140" t="s">
        <v>1855</v>
      </c>
      <c r="D119" s="1140" t="s">
        <v>907</v>
      </c>
      <c r="E119" s="1140">
        <v>425</v>
      </c>
      <c r="F119" s="1141">
        <f>SUMIF('JKP-8.5 - CNSMREQP_GASMTRCTR'!$A$2:$A$391,'JKP-8.5 - Total Costs'!A119,'JKP-8.5 - CNSMREQP_GASMTRCTR'!$F$2:$F$391)-SUMIF('JKP-8.5 - Migrated From'!$A$2:$A$22,'JKP-8.5 - Total Costs'!A119,'JKP-8.5 - Migrated From'!$F$2:$F$22)+SUMIF('JKP-8.5 - Migrated To'!$A$2:$A$22,'JKP-8.5 - Total Costs'!A119,'JKP-8.5 - Migrated To'!$F$2:$F$22)</f>
        <v>24</v>
      </c>
      <c r="G119" s="1141">
        <f>SUMIF('JKP-8.5 - CNSMREQP_GASMTRCTR'!$A$2:$A$391,'JKP-8.5 - Total Costs'!B119,'JKP-8.5 - CNSMREQP_GASMTRCTR'!$F$2:$F$391)-SUMIF('JKP-8.5 - Migrated From'!$A$2:$A$22,'JKP-8.5 - Total Costs'!B119,'JKP-8.5 - Migrated From'!$F$2:$F$22)+SUMIF('JKP-8.5 - Migrated To'!$A$2:$A$22,'JKP-8.5 - Total Costs'!B119,'JKP-8.5 - Migrated To'!$F$2:$F$22)</f>
        <v>1</v>
      </c>
      <c r="H119" s="1142">
        <f t="shared" si="11"/>
        <v>25</v>
      </c>
      <c r="I119" s="1143">
        <f>VLOOKUP($E119,'JKP-8.5 - Unit Costs'!$A$9:$H$33,2,FALSE)</f>
        <v>462.02000000000004</v>
      </c>
      <c r="J119" s="1143">
        <f>VLOOKUP($E119,'JKP-8.5 - Unit Costs'!$A$9:$H$33,5,FALSE)</f>
        <v>193.72</v>
      </c>
      <c r="K119" s="1143">
        <f>VLOOKUP($E119,'JKP-8.5 - Unit Costs'!$A$9:$H$33,3,FALSE)</f>
        <v>41.76</v>
      </c>
      <c r="L119" s="1143">
        <f>VLOOKUP($E119,'JKP-8.5 - Unit Costs'!$A$9:$H$33,6,FALSE)</f>
        <v>41.76</v>
      </c>
      <c r="M119" s="1143">
        <f>VLOOKUP($E119,'JKP-8.5 - Unit Costs'!$A$9:$H$33,8,FALSE)</f>
        <v>0</v>
      </c>
      <c r="N119" s="1143">
        <f>VLOOKUP($E119,'JKP-8.5 - Unit Costs'!$A$9:$H$33,8,FALSE)</f>
        <v>0</v>
      </c>
      <c r="O119" s="1144">
        <f t="shared" si="12"/>
        <v>11088.480000000001</v>
      </c>
      <c r="P119" s="1144">
        <f t="shared" si="12"/>
        <v>193.72</v>
      </c>
      <c r="Q119" s="1144">
        <f t="shared" si="13"/>
        <v>11282.2</v>
      </c>
      <c r="R119" s="1144">
        <f t="shared" si="14"/>
        <v>1002.24</v>
      </c>
      <c r="S119" s="1144">
        <f t="shared" si="14"/>
        <v>41.76</v>
      </c>
      <c r="T119" s="1144">
        <f t="shared" si="15"/>
        <v>1044</v>
      </c>
      <c r="U119" s="1144">
        <f t="shared" si="16"/>
        <v>0</v>
      </c>
      <c r="V119" s="1144">
        <f t="shared" si="16"/>
        <v>0</v>
      </c>
      <c r="W119" s="1145">
        <f t="shared" si="17"/>
        <v>0</v>
      </c>
    </row>
    <row r="120" spans="1:23" x14ac:dyDescent="0.2">
      <c r="A120" s="1140" t="str">
        <f t="shared" si="9"/>
        <v>41G-C2 750 AMR</v>
      </c>
      <c r="B120" s="1140" t="str">
        <f t="shared" si="10"/>
        <v xml:space="preserve">41G-C2 750 </v>
      </c>
      <c r="C120" s="1140" t="s">
        <v>1855</v>
      </c>
      <c r="D120" s="1140" t="s">
        <v>907</v>
      </c>
      <c r="E120" s="1140">
        <v>750</v>
      </c>
      <c r="F120" s="1141">
        <f>SUMIF('JKP-8.5 - CNSMREQP_GASMTRCTR'!$A$2:$A$391,'JKP-8.5 - Total Costs'!A120,'JKP-8.5 - CNSMREQP_GASMTRCTR'!$F$2:$F$391)-SUMIF('JKP-8.5 - Migrated From'!$A$2:$A$22,'JKP-8.5 - Total Costs'!A120,'JKP-8.5 - Migrated From'!$F$2:$F$22)+SUMIF('JKP-8.5 - Migrated To'!$A$2:$A$22,'JKP-8.5 - Total Costs'!A120,'JKP-8.5 - Migrated To'!$F$2:$F$22)</f>
        <v>1</v>
      </c>
      <c r="G120" s="1141">
        <f>SUMIF('JKP-8.5 - CNSMREQP_GASMTRCTR'!$A$2:$A$391,'JKP-8.5 - Total Costs'!B120,'JKP-8.5 - CNSMREQP_GASMTRCTR'!$F$2:$F$391)-SUMIF('JKP-8.5 - Migrated From'!$A$2:$A$22,'JKP-8.5 - Total Costs'!B120,'JKP-8.5 - Migrated From'!$F$2:$F$22)+SUMIF('JKP-8.5 - Migrated To'!$A$2:$A$22,'JKP-8.5 - Total Costs'!B120,'JKP-8.5 - Migrated To'!$F$2:$F$22)</f>
        <v>0</v>
      </c>
      <c r="H120" s="1142">
        <f t="shared" si="11"/>
        <v>1</v>
      </c>
      <c r="I120" s="1143">
        <f>VLOOKUP($E120,'JKP-8.5 - Unit Costs'!$A$9:$H$33,2,FALSE)</f>
        <v>1404.86</v>
      </c>
      <c r="J120" s="1143">
        <f>VLOOKUP($E120,'JKP-8.5 - Unit Costs'!$A$9:$H$33,5,FALSE)</f>
        <v>1063.1500000000001</v>
      </c>
      <c r="K120" s="1143">
        <f>VLOOKUP($E120,'JKP-8.5 - Unit Costs'!$A$9:$H$33,3,FALSE)</f>
        <v>41.76</v>
      </c>
      <c r="L120" s="1143">
        <f>VLOOKUP($E120,'JKP-8.5 - Unit Costs'!$A$9:$H$33,6,FALSE)</f>
        <v>41.76</v>
      </c>
      <c r="M120" s="1143">
        <f>VLOOKUP($E120,'JKP-8.5 - Unit Costs'!$A$9:$H$33,8,FALSE)</f>
        <v>0</v>
      </c>
      <c r="N120" s="1143">
        <f>VLOOKUP($E120,'JKP-8.5 - Unit Costs'!$A$9:$H$33,8,FALSE)</f>
        <v>0</v>
      </c>
      <c r="O120" s="1144">
        <f t="shared" si="12"/>
        <v>1404.86</v>
      </c>
      <c r="P120" s="1144">
        <f t="shared" si="12"/>
        <v>0</v>
      </c>
      <c r="Q120" s="1144">
        <f t="shared" si="13"/>
        <v>1404.86</v>
      </c>
      <c r="R120" s="1144">
        <f t="shared" si="14"/>
        <v>41.76</v>
      </c>
      <c r="S120" s="1144">
        <f t="shared" si="14"/>
        <v>0</v>
      </c>
      <c r="T120" s="1144">
        <f t="shared" si="15"/>
        <v>41.76</v>
      </c>
      <c r="U120" s="1144">
        <f t="shared" si="16"/>
        <v>0</v>
      </c>
      <c r="V120" s="1144">
        <f t="shared" si="16"/>
        <v>0</v>
      </c>
      <c r="W120" s="1145">
        <f t="shared" si="17"/>
        <v>0</v>
      </c>
    </row>
    <row r="121" spans="1:23" x14ac:dyDescent="0.2">
      <c r="A121" s="1140" t="str">
        <f t="shared" si="9"/>
        <v>41G-C2 800 AMR</v>
      </c>
      <c r="B121" s="1140" t="str">
        <f t="shared" si="10"/>
        <v xml:space="preserve">41G-C2 800 </v>
      </c>
      <c r="C121" s="1140" t="s">
        <v>1855</v>
      </c>
      <c r="D121" s="1140" t="s">
        <v>907</v>
      </c>
      <c r="E121" s="1140">
        <v>800</v>
      </c>
      <c r="F121" s="1141">
        <f>SUMIF('JKP-8.5 - CNSMREQP_GASMTRCTR'!$A$2:$A$391,'JKP-8.5 - Total Costs'!A121,'JKP-8.5 - CNSMREQP_GASMTRCTR'!$F$2:$F$391)-SUMIF('JKP-8.5 - Migrated From'!$A$2:$A$22,'JKP-8.5 - Total Costs'!A121,'JKP-8.5 - Migrated From'!$F$2:$F$22)+SUMIF('JKP-8.5 - Migrated To'!$A$2:$A$22,'JKP-8.5 - Total Costs'!A121,'JKP-8.5 - Migrated To'!$F$2:$F$22)</f>
        <v>6</v>
      </c>
      <c r="G121" s="1141">
        <f>SUMIF('JKP-8.5 - CNSMREQP_GASMTRCTR'!$A$2:$A$391,'JKP-8.5 - Total Costs'!B121,'JKP-8.5 - CNSMREQP_GASMTRCTR'!$F$2:$F$391)-SUMIF('JKP-8.5 - Migrated From'!$A$2:$A$22,'JKP-8.5 - Total Costs'!B121,'JKP-8.5 - Migrated From'!$F$2:$F$22)+SUMIF('JKP-8.5 - Migrated To'!$A$2:$A$22,'JKP-8.5 - Total Costs'!B121,'JKP-8.5 - Migrated To'!$F$2:$F$22)</f>
        <v>0</v>
      </c>
      <c r="H121" s="1142">
        <f t="shared" si="11"/>
        <v>6</v>
      </c>
      <c r="I121" s="1143">
        <f>VLOOKUP($E121,'JKP-8.5 - Unit Costs'!$A$9:$H$33,2,FALSE)</f>
        <v>1404.86</v>
      </c>
      <c r="J121" s="1143">
        <f>VLOOKUP($E121,'JKP-8.5 - Unit Costs'!$A$9:$H$33,5,FALSE)</f>
        <v>1063.1500000000001</v>
      </c>
      <c r="K121" s="1143">
        <f>VLOOKUP($E121,'JKP-8.5 - Unit Costs'!$A$9:$H$33,3,FALSE)</f>
        <v>41.76</v>
      </c>
      <c r="L121" s="1143">
        <f>VLOOKUP($E121,'JKP-8.5 - Unit Costs'!$A$9:$H$33,6,FALSE)</f>
        <v>41.76</v>
      </c>
      <c r="M121" s="1143">
        <f>VLOOKUP($E121,'JKP-8.5 - Unit Costs'!$A$9:$H$33,8,FALSE)</f>
        <v>0</v>
      </c>
      <c r="N121" s="1143">
        <f>VLOOKUP($E121,'JKP-8.5 - Unit Costs'!$A$9:$H$33,8,FALSE)</f>
        <v>0</v>
      </c>
      <c r="O121" s="1144">
        <f t="shared" si="12"/>
        <v>8429.16</v>
      </c>
      <c r="P121" s="1144">
        <f t="shared" si="12"/>
        <v>0</v>
      </c>
      <c r="Q121" s="1144">
        <f t="shared" si="13"/>
        <v>8429.16</v>
      </c>
      <c r="R121" s="1144">
        <f t="shared" si="14"/>
        <v>250.56</v>
      </c>
      <c r="S121" s="1144">
        <f t="shared" si="14"/>
        <v>0</v>
      </c>
      <c r="T121" s="1144">
        <f t="shared" si="15"/>
        <v>250.56</v>
      </c>
      <c r="U121" s="1144">
        <f t="shared" si="16"/>
        <v>0</v>
      </c>
      <c r="V121" s="1144">
        <f t="shared" si="16"/>
        <v>0</v>
      </c>
      <c r="W121" s="1145">
        <f t="shared" si="17"/>
        <v>0</v>
      </c>
    </row>
    <row r="122" spans="1:23" x14ac:dyDescent="0.2">
      <c r="A122" s="1140" t="str">
        <f t="shared" si="9"/>
        <v>41G-C2 1000 AMR</v>
      </c>
      <c r="B122" s="1140" t="str">
        <f t="shared" si="10"/>
        <v xml:space="preserve">41G-C2 1000 </v>
      </c>
      <c r="C122" s="1140" t="s">
        <v>1855</v>
      </c>
      <c r="D122" s="1140" t="s">
        <v>907</v>
      </c>
      <c r="E122" s="1140">
        <v>1000</v>
      </c>
      <c r="F122" s="1141">
        <f>SUMIF('JKP-8.5 - CNSMREQP_GASMTRCTR'!$A$2:$A$391,'JKP-8.5 - Total Costs'!A122,'JKP-8.5 - CNSMREQP_GASMTRCTR'!$F$2:$F$391)-SUMIF('JKP-8.5 - Migrated From'!$A$2:$A$22,'JKP-8.5 - Total Costs'!A122,'JKP-8.5 - Migrated From'!$F$2:$F$22)+SUMIF('JKP-8.5 - Migrated To'!$A$2:$A$22,'JKP-8.5 - Total Costs'!A122,'JKP-8.5 - Migrated To'!$F$2:$F$22)</f>
        <v>731</v>
      </c>
      <c r="G122" s="1141">
        <f>SUMIF('JKP-8.5 - CNSMREQP_GASMTRCTR'!$A$2:$A$391,'JKP-8.5 - Total Costs'!B122,'JKP-8.5 - CNSMREQP_GASMTRCTR'!$F$2:$F$391)-SUMIF('JKP-8.5 - Migrated From'!$A$2:$A$22,'JKP-8.5 - Total Costs'!B122,'JKP-8.5 - Migrated From'!$F$2:$F$22)+SUMIF('JKP-8.5 - Migrated To'!$A$2:$A$22,'JKP-8.5 - Total Costs'!B122,'JKP-8.5 - Migrated To'!$F$2:$F$22)</f>
        <v>2</v>
      </c>
      <c r="H122" s="1142">
        <f t="shared" si="11"/>
        <v>733</v>
      </c>
      <c r="I122" s="1143">
        <f>VLOOKUP($E122,'JKP-8.5 - Unit Costs'!$A$9:$H$33,2,FALSE)</f>
        <v>1404.86</v>
      </c>
      <c r="J122" s="1143">
        <f>VLOOKUP($E122,'JKP-8.5 - Unit Costs'!$A$9:$H$33,5,FALSE)</f>
        <v>1063.1500000000001</v>
      </c>
      <c r="K122" s="1143">
        <f>VLOOKUP($E122,'JKP-8.5 - Unit Costs'!$A$9:$H$33,3,FALSE)</f>
        <v>41.76</v>
      </c>
      <c r="L122" s="1143">
        <f>VLOOKUP($E122,'JKP-8.5 - Unit Costs'!$A$9:$H$33,6,FALSE)</f>
        <v>41.76</v>
      </c>
      <c r="M122" s="1143">
        <f>VLOOKUP($E122,'JKP-8.5 - Unit Costs'!$A$9:$H$33,8,FALSE)</f>
        <v>0</v>
      </c>
      <c r="N122" s="1143">
        <f>VLOOKUP($E122,'JKP-8.5 - Unit Costs'!$A$9:$H$33,8,FALSE)</f>
        <v>0</v>
      </c>
      <c r="O122" s="1144">
        <f t="shared" si="12"/>
        <v>1026952.6599999999</v>
      </c>
      <c r="P122" s="1144">
        <f t="shared" si="12"/>
        <v>2126.3000000000002</v>
      </c>
      <c r="Q122" s="1144">
        <f t="shared" si="13"/>
        <v>1029078.96</v>
      </c>
      <c r="R122" s="1144">
        <f t="shared" si="14"/>
        <v>30526.559999999998</v>
      </c>
      <c r="S122" s="1144">
        <f t="shared" si="14"/>
        <v>83.52</v>
      </c>
      <c r="T122" s="1144">
        <f t="shared" si="15"/>
        <v>30610.079999999998</v>
      </c>
      <c r="U122" s="1144">
        <f t="shared" si="16"/>
        <v>0</v>
      </c>
      <c r="V122" s="1144">
        <f t="shared" si="16"/>
        <v>0</v>
      </c>
      <c r="W122" s="1145">
        <f t="shared" si="17"/>
        <v>0</v>
      </c>
    </row>
    <row r="123" spans="1:23" x14ac:dyDescent="0.2">
      <c r="A123" s="1140" t="str">
        <f t="shared" si="9"/>
        <v>41G-C2 1400 AMR</v>
      </c>
      <c r="B123" s="1140" t="str">
        <f t="shared" si="10"/>
        <v xml:space="preserve">41G-C2 1400 </v>
      </c>
      <c r="C123" s="1140" t="s">
        <v>1855</v>
      </c>
      <c r="D123" s="1140" t="s">
        <v>907</v>
      </c>
      <c r="E123" s="1140">
        <v>1400</v>
      </c>
      <c r="F123" s="1141">
        <f>SUMIF('JKP-8.5 - CNSMREQP_GASMTRCTR'!$A$2:$A$391,'JKP-8.5 - Total Costs'!A123,'JKP-8.5 - CNSMREQP_GASMTRCTR'!$F$2:$F$391)-SUMIF('JKP-8.5 - Migrated From'!$A$2:$A$22,'JKP-8.5 - Total Costs'!A123,'JKP-8.5 - Migrated From'!$F$2:$F$22)+SUMIF('JKP-8.5 - Migrated To'!$A$2:$A$22,'JKP-8.5 - Total Costs'!A123,'JKP-8.5 - Migrated To'!$F$2:$F$22)</f>
        <v>87</v>
      </c>
      <c r="G123" s="1141">
        <f>SUMIF('JKP-8.5 - CNSMREQP_GASMTRCTR'!$A$2:$A$391,'JKP-8.5 - Total Costs'!B123,'JKP-8.5 - CNSMREQP_GASMTRCTR'!$F$2:$F$391)-SUMIF('JKP-8.5 - Migrated From'!$A$2:$A$22,'JKP-8.5 - Total Costs'!B123,'JKP-8.5 - Migrated From'!$F$2:$F$22)+SUMIF('JKP-8.5 - Migrated To'!$A$2:$A$22,'JKP-8.5 - Total Costs'!B123,'JKP-8.5 - Migrated To'!$F$2:$F$22)</f>
        <v>11</v>
      </c>
      <c r="H123" s="1142">
        <f t="shared" si="11"/>
        <v>98</v>
      </c>
      <c r="I123" s="1143">
        <f>VLOOKUP($E123,'JKP-8.5 - Unit Costs'!$A$9:$H$33,2,FALSE)</f>
        <v>0</v>
      </c>
      <c r="J123" s="1143">
        <f>VLOOKUP($E123,'JKP-8.5 - Unit Costs'!$A$9:$H$33,5,FALSE)</f>
        <v>0</v>
      </c>
      <c r="K123" s="1143">
        <f>VLOOKUP($E123,'JKP-8.5 - Unit Costs'!$A$9:$H$33,3,FALSE)</f>
        <v>0</v>
      </c>
      <c r="L123" s="1143">
        <f>VLOOKUP($E123,'JKP-8.5 - Unit Costs'!$A$9:$H$33,6,FALSE)</f>
        <v>0</v>
      </c>
      <c r="M123" s="1143">
        <f>VLOOKUP($E123,'JKP-8.5 - Unit Costs'!$A$9:$H$33,8,FALSE)</f>
        <v>2379.79</v>
      </c>
      <c r="N123" s="1143">
        <f>VLOOKUP($E123,'JKP-8.5 - Unit Costs'!$A$9:$H$33,8,FALSE)</f>
        <v>2379.79</v>
      </c>
      <c r="O123" s="1144">
        <f t="shared" si="12"/>
        <v>0</v>
      </c>
      <c r="P123" s="1144">
        <f t="shared" si="12"/>
        <v>0</v>
      </c>
      <c r="Q123" s="1144">
        <f t="shared" si="13"/>
        <v>0</v>
      </c>
      <c r="R123" s="1144">
        <f t="shared" si="14"/>
        <v>0</v>
      </c>
      <c r="S123" s="1144">
        <f t="shared" si="14"/>
        <v>0</v>
      </c>
      <c r="T123" s="1144">
        <f t="shared" si="15"/>
        <v>0</v>
      </c>
      <c r="U123" s="1144">
        <f t="shared" si="16"/>
        <v>207041.73</v>
      </c>
      <c r="V123" s="1144">
        <f t="shared" si="16"/>
        <v>26177.69</v>
      </c>
      <c r="W123" s="1145">
        <f t="shared" si="17"/>
        <v>233219.42</v>
      </c>
    </row>
    <row r="124" spans="1:23" x14ac:dyDescent="0.2">
      <c r="A124" s="1140" t="str">
        <f t="shared" si="9"/>
        <v>41G-C2 2300 AMR</v>
      </c>
      <c r="B124" s="1140" t="str">
        <f t="shared" si="10"/>
        <v xml:space="preserve">41G-C2 2300 </v>
      </c>
      <c r="C124" s="1140" t="s">
        <v>1855</v>
      </c>
      <c r="D124" s="1140" t="s">
        <v>907</v>
      </c>
      <c r="E124" s="1140">
        <v>2300</v>
      </c>
      <c r="F124" s="1141">
        <f>SUMIF('JKP-8.5 - CNSMREQP_GASMTRCTR'!$A$2:$A$391,'JKP-8.5 - Total Costs'!A124,'JKP-8.5 - CNSMREQP_GASMTRCTR'!$F$2:$F$391)-SUMIF('JKP-8.5 - Migrated From'!$A$2:$A$22,'JKP-8.5 - Total Costs'!A124,'JKP-8.5 - Migrated From'!$F$2:$F$22)+SUMIF('JKP-8.5 - Migrated To'!$A$2:$A$22,'JKP-8.5 - Total Costs'!A124,'JKP-8.5 - Migrated To'!$F$2:$F$22)</f>
        <v>154</v>
      </c>
      <c r="G124" s="1141">
        <f>SUMIF('JKP-8.5 - CNSMREQP_GASMTRCTR'!$A$2:$A$391,'JKP-8.5 - Total Costs'!B124,'JKP-8.5 - CNSMREQP_GASMTRCTR'!$F$2:$F$391)-SUMIF('JKP-8.5 - Migrated From'!$A$2:$A$22,'JKP-8.5 - Total Costs'!B124,'JKP-8.5 - Migrated From'!$F$2:$F$22)+SUMIF('JKP-8.5 - Migrated To'!$A$2:$A$22,'JKP-8.5 - Total Costs'!B124,'JKP-8.5 - Migrated To'!$F$2:$F$22)</f>
        <v>7</v>
      </c>
      <c r="H124" s="1142">
        <f t="shared" si="11"/>
        <v>161</v>
      </c>
      <c r="I124" s="1143">
        <f>VLOOKUP($E124,'JKP-8.5 - Unit Costs'!$A$9:$H$33,2,FALSE)</f>
        <v>0</v>
      </c>
      <c r="J124" s="1143">
        <f>VLOOKUP($E124,'JKP-8.5 - Unit Costs'!$A$9:$H$33,5,FALSE)</f>
        <v>0</v>
      </c>
      <c r="K124" s="1143">
        <f>VLOOKUP($E124,'JKP-8.5 - Unit Costs'!$A$9:$H$33,3,FALSE)</f>
        <v>0</v>
      </c>
      <c r="L124" s="1143">
        <f>VLOOKUP($E124,'JKP-8.5 - Unit Costs'!$A$9:$H$33,6,FALSE)</f>
        <v>0</v>
      </c>
      <c r="M124" s="1143">
        <f>VLOOKUP($E124,'JKP-8.5 - Unit Costs'!$A$9:$H$33,8,FALSE)</f>
        <v>3587.13</v>
      </c>
      <c r="N124" s="1143">
        <f>VLOOKUP($E124,'JKP-8.5 - Unit Costs'!$A$9:$H$33,8,FALSE)</f>
        <v>3587.13</v>
      </c>
      <c r="O124" s="1144">
        <f t="shared" si="12"/>
        <v>0</v>
      </c>
      <c r="P124" s="1144">
        <f t="shared" si="12"/>
        <v>0</v>
      </c>
      <c r="Q124" s="1144">
        <f t="shared" si="13"/>
        <v>0</v>
      </c>
      <c r="R124" s="1144">
        <f t="shared" si="14"/>
        <v>0</v>
      </c>
      <c r="S124" s="1144">
        <f t="shared" si="14"/>
        <v>0</v>
      </c>
      <c r="T124" s="1144">
        <f t="shared" si="15"/>
        <v>0</v>
      </c>
      <c r="U124" s="1144">
        <f t="shared" si="16"/>
        <v>552418.02</v>
      </c>
      <c r="V124" s="1144">
        <f t="shared" si="16"/>
        <v>25109.91</v>
      </c>
      <c r="W124" s="1145">
        <f t="shared" si="17"/>
        <v>577527.93000000005</v>
      </c>
    </row>
    <row r="125" spans="1:23" x14ac:dyDescent="0.2">
      <c r="A125" s="1140" t="str">
        <f t="shared" si="9"/>
        <v>41G-C2 3000 AMR</v>
      </c>
      <c r="B125" s="1140" t="str">
        <f t="shared" si="10"/>
        <v xml:space="preserve">41G-C2 3000 </v>
      </c>
      <c r="C125" s="1140" t="s">
        <v>1855</v>
      </c>
      <c r="D125" s="1140" t="s">
        <v>907</v>
      </c>
      <c r="E125" s="1140">
        <v>3000</v>
      </c>
      <c r="F125" s="1141">
        <f>SUMIF('JKP-8.5 - CNSMREQP_GASMTRCTR'!$A$2:$A$391,'JKP-8.5 - Total Costs'!A125,'JKP-8.5 - CNSMREQP_GASMTRCTR'!$F$2:$F$391)-SUMIF('JKP-8.5 - Migrated From'!$A$2:$A$22,'JKP-8.5 - Total Costs'!A125,'JKP-8.5 - Migrated From'!$F$2:$F$22)+SUMIF('JKP-8.5 - Migrated To'!$A$2:$A$22,'JKP-8.5 - Total Costs'!A125,'JKP-8.5 - Migrated To'!$F$2:$F$22)</f>
        <v>121</v>
      </c>
      <c r="G125" s="1141">
        <f>SUMIF('JKP-8.5 - CNSMREQP_GASMTRCTR'!$A$2:$A$391,'JKP-8.5 - Total Costs'!B125,'JKP-8.5 - CNSMREQP_GASMTRCTR'!$F$2:$F$391)-SUMIF('JKP-8.5 - Migrated From'!$A$2:$A$22,'JKP-8.5 - Total Costs'!B125,'JKP-8.5 - Migrated From'!$F$2:$F$22)+SUMIF('JKP-8.5 - Migrated To'!$A$2:$A$22,'JKP-8.5 - Total Costs'!B125,'JKP-8.5 - Migrated To'!$F$2:$F$22)</f>
        <v>19</v>
      </c>
      <c r="H125" s="1142">
        <f t="shared" si="11"/>
        <v>140</v>
      </c>
      <c r="I125" s="1143">
        <f>VLOOKUP($E125,'JKP-8.5 - Unit Costs'!$A$9:$H$33,2,FALSE)</f>
        <v>0</v>
      </c>
      <c r="J125" s="1143">
        <f>VLOOKUP($E125,'JKP-8.5 - Unit Costs'!$A$9:$H$33,5,FALSE)</f>
        <v>0</v>
      </c>
      <c r="K125" s="1143">
        <f>VLOOKUP($E125,'JKP-8.5 - Unit Costs'!$A$9:$H$33,3,FALSE)</f>
        <v>0</v>
      </c>
      <c r="L125" s="1143">
        <f>VLOOKUP($E125,'JKP-8.5 - Unit Costs'!$A$9:$H$33,6,FALSE)</f>
        <v>0</v>
      </c>
      <c r="M125" s="1143">
        <f>VLOOKUP($E125,'JKP-8.5 - Unit Costs'!$A$9:$H$33,8,FALSE)</f>
        <v>3406.19</v>
      </c>
      <c r="N125" s="1143">
        <f>VLOOKUP($E125,'JKP-8.5 - Unit Costs'!$A$9:$H$33,8,FALSE)</f>
        <v>3406.19</v>
      </c>
      <c r="O125" s="1144">
        <f t="shared" si="12"/>
        <v>0</v>
      </c>
      <c r="P125" s="1144">
        <f t="shared" si="12"/>
        <v>0</v>
      </c>
      <c r="Q125" s="1144">
        <f t="shared" si="13"/>
        <v>0</v>
      </c>
      <c r="R125" s="1144">
        <f t="shared" si="14"/>
        <v>0</v>
      </c>
      <c r="S125" s="1144">
        <f t="shared" si="14"/>
        <v>0</v>
      </c>
      <c r="T125" s="1144">
        <f t="shared" si="15"/>
        <v>0</v>
      </c>
      <c r="U125" s="1144">
        <f t="shared" si="16"/>
        <v>412148.99</v>
      </c>
      <c r="V125" s="1144">
        <f t="shared" si="16"/>
        <v>64717.61</v>
      </c>
      <c r="W125" s="1145">
        <f t="shared" si="17"/>
        <v>476866.6</v>
      </c>
    </row>
    <row r="126" spans="1:23" x14ac:dyDescent="0.2">
      <c r="A126" s="1140" t="str">
        <f t="shared" si="9"/>
        <v>41G-C2 5000 AMR</v>
      </c>
      <c r="B126" s="1140" t="str">
        <f t="shared" si="10"/>
        <v xml:space="preserve">41G-C2 5000 </v>
      </c>
      <c r="C126" s="1140" t="s">
        <v>1855</v>
      </c>
      <c r="D126" s="1140" t="s">
        <v>907</v>
      </c>
      <c r="E126" s="1140">
        <v>5000</v>
      </c>
      <c r="F126" s="1141">
        <f>SUMIF('JKP-8.5 - CNSMREQP_GASMTRCTR'!$A$2:$A$391,'JKP-8.5 - Total Costs'!A126,'JKP-8.5 - CNSMREQP_GASMTRCTR'!$F$2:$F$391)-SUMIF('JKP-8.5 - Migrated From'!$A$2:$A$22,'JKP-8.5 - Total Costs'!A126,'JKP-8.5 - Migrated From'!$F$2:$F$22)+SUMIF('JKP-8.5 - Migrated To'!$A$2:$A$22,'JKP-8.5 - Total Costs'!A126,'JKP-8.5 - Migrated To'!$F$2:$F$22)</f>
        <v>213</v>
      </c>
      <c r="G126" s="1141">
        <f>SUMIF('JKP-8.5 - CNSMREQP_GASMTRCTR'!$A$2:$A$391,'JKP-8.5 - Total Costs'!B126,'JKP-8.5 - CNSMREQP_GASMTRCTR'!$F$2:$F$391)-SUMIF('JKP-8.5 - Migrated From'!$A$2:$A$22,'JKP-8.5 - Total Costs'!B126,'JKP-8.5 - Migrated From'!$F$2:$F$22)+SUMIF('JKP-8.5 - Migrated To'!$A$2:$A$22,'JKP-8.5 - Total Costs'!B126,'JKP-8.5 - Migrated To'!$F$2:$F$22)</f>
        <v>35</v>
      </c>
      <c r="H126" s="1142">
        <f t="shared" si="11"/>
        <v>248</v>
      </c>
      <c r="I126" s="1143">
        <f>VLOOKUP($E126,'JKP-8.5 - Unit Costs'!$A$9:$H$33,2,FALSE)</f>
        <v>0</v>
      </c>
      <c r="J126" s="1143">
        <f>VLOOKUP($E126,'JKP-8.5 - Unit Costs'!$A$9:$H$33,5,FALSE)</f>
        <v>0</v>
      </c>
      <c r="K126" s="1143">
        <f>VLOOKUP($E126,'JKP-8.5 - Unit Costs'!$A$9:$H$33,3,FALSE)</f>
        <v>0</v>
      </c>
      <c r="L126" s="1143">
        <f>VLOOKUP($E126,'JKP-8.5 - Unit Costs'!$A$9:$H$33,6,FALSE)</f>
        <v>0</v>
      </c>
      <c r="M126" s="1143">
        <f>VLOOKUP($E126,'JKP-8.5 - Unit Costs'!$A$9:$H$33,8,FALSE)</f>
        <v>3456.43</v>
      </c>
      <c r="N126" s="1143">
        <f>VLOOKUP($E126,'JKP-8.5 - Unit Costs'!$A$9:$H$33,8,FALSE)</f>
        <v>3456.43</v>
      </c>
      <c r="O126" s="1144">
        <f t="shared" si="12"/>
        <v>0</v>
      </c>
      <c r="P126" s="1144">
        <f t="shared" si="12"/>
        <v>0</v>
      </c>
      <c r="Q126" s="1144">
        <f t="shared" si="13"/>
        <v>0</v>
      </c>
      <c r="R126" s="1144">
        <f t="shared" si="14"/>
        <v>0</v>
      </c>
      <c r="S126" s="1144">
        <f t="shared" si="14"/>
        <v>0</v>
      </c>
      <c r="T126" s="1144">
        <f t="shared" si="15"/>
        <v>0</v>
      </c>
      <c r="U126" s="1144">
        <f t="shared" si="16"/>
        <v>736219.59</v>
      </c>
      <c r="V126" s="1144">
        <f t="shared" si="16"/>
        <v>120975.04999999999</v>
      </c>
      <c r="W126" s="1145">
        <f t="shared" si="17"/>
        <v>857194.6399999999</v>
      </c>
    </row>
    <row r="127" spans="1:23" x14ac:dyDescent="0.2">
      <c r="A127" s="1140" t="str">
        <f t="shared" si="9"/>
        <v>41G-C2 7000 AMR</v>
      </c>
      <c r="B127" s="1140" t="str">
        <f t="shared" si="10"/>
        <v xml:space="preserve">41G-C2 7000 </v>
      </c>
      <c r="C127" s="1140" t="s">
        <v>1855</v>
      </c>
      <c r="D127" s="1140" t="s">
        <v>907</v>
      </c>
      <c r="E127" s="1140">
        <v>7000</v>
      </c>
      <c r="F127" s="1141">
        <f>SUMIF('JKP-8.5 - CNSMREQP_GASMTRCTR'!$A$2:$A$391,'JKP-8.5 - Total Costs'!A127,'JKP-8.5 - CNSMREQP_GASMTRCTR'!$F$2:$F$391)-SUMIF('JKP-8.5 - Migrated From'!$A$2:$A$22,'JKP-8.5 - Total Costs'!A127,'JKP-8.5 - Migrated From'!$F$2:$F$22)+SUMIF('JKP-8.5 - Migrated To'!$A$2:$A$22,'JKP-8.5 - Total Costs'!A127,'JKP-8.5 - Migrated To'!$F$2:$F$22)</f>
        <v>69</v>
      </c>
      <c r="G127" s="1141">
        <f>SUMIF('JKP-8.5 - CNSMREQP_GASMTRCTR'!$A$2:$A$391,'JKP-8.5 - Total Costs'!B127,'JKP-8.5 - CNSMREQP_GASMTRCTR'!$F$2:$F$391)-SUMIF('JKP-8.5 - Migrated From'!$A$2:$A$22,'JKP-8.5 - Total Costs'!B127,'JKP-8.5 - Migrated From'!$F$2:$F$22)+SUMIF('JKP-8.5 - Migrated To'!$A$2:$A$22,'JKP-8.5 - Total Costs'!B127,'JKP-8.5 - Migrated To'!$F$2:$F$22)</f>
        <v>13</v>
      </c>
      <c r="H127" s="1142">
        <f t="shared" si="11"/>
        <v>82</v>
      </c>
      <c r="I127" s="1143">
        <f>VLOOKUP($E127,'JKP-8.5 - Unit Costs'!$A$9:$H$33,2,FALSE)</f>
        <v>0</v>
      </c>
      <c r="J127" s="1143">
        <f>VLOOKUP($E127,'JKP-8.5 - Unit Costs'!$A$9:$H$33,5,FALSE)</f>
        <v>0</v>
      </c>
      <c r="K127" s="1143">
        <f>VLOOKUP($E127,'JKP-8.5 - Unit Costs'!$A$9:$H$33,3,FALSE)</f>
        <v>0</v>
      </c>
      <c r="L127" s="1143">
        <f>VLOOKUP($E127,'JKP-8.5 - Unit Costs'!$A$9:$H$33,6,FALSE)</f>
        <v>0</v>
      </c>
      <c r="M127" s="1143">
        <f>VLOOKUP($E127,'JKP-8.5 - Unit Costs'!$A$9:$H$33,8,FALSE)</f>
        <v>3458.4399999999996</v>
      </c>
      <c r="N127" s="1143">
        <f>VLOOKUP($E127,'JKP-8.5 - Unit Costs'!$A$9:$H$33,8,FALSE)</f>
        <v>3458.4399999999996</v>
      </c>
      <c r="O127" s="1144">
        <f t="shared" si="12"/>
        <v>0</v>
      </c>
      <c r="P127" s="1144">
        <f t="shared" si="12"/>
        <v>0</v>
      </c>
      <c r="Q127" s="1144">
        <f t="shared" si="13"/>
        <v>0</v>
      </c>
      <c r="R127" s="1144">
        <f t="shared" si="14"/>
        <v>0</v>
      </c>
      <c r="S127" s="1144">
        <f t="shared" si="14"/>
        <v>0</v>
      </c>
      <c r="T127" s="1144">
        <f t="shared" si="15"/>
        <v>0</v>
      </c>
      <c r="U127" s="1144">
        <f t="shared" si="16"/>
        <v>238632.36</v>
      </c>
      <c r="V127" s="1144">
        <f t="shared" si="16"/>
        <v>44959.719999999994</v>
      </c>
      <c r="W127" s="1145">
        <f t="shared" si="17"/>
        <v>283592.07999999996</v>
      </c>
    </row>
    <row r="128" spans="1:23" x14ac:dyDescent="0.2">
      <c r="A128" s="1140" t="str">
        <f t="shared" si="9"/>
        <v>41G-C2 11000 AMR</v>
      </c>
      <c r="B128" s="1140" t="str">
        <f t="shared" si="10"/>
        <v xml:space="preserve">41G-C2 11000 </v>
      </c>
      <c r="C128" s="1140" t="s">
        <v>1855</v>
      </c>
      <c r="D128" s="1140" t="s">
        <v>907</v>
      </c>
      <c r="E128" s="1140">
        <v>11000</v>
      </c>
      <c r="F128" s="1141">
        <f>SUMIF('JKP-8.5 - CNSMREQP_GASMTRCTR'!$A$2:$A$391,'JKP-8.5 - Total Costs'!A128,'JKP-8.5 - CNSMREQP_GASMTRCTR'!$F$2:$F$391)-SUMIF('JKP-8.5 - Migrated From'!$A$2:$A$22,'JKP-8.5 - Total Costs'!A128,'JKP-8.5 - Migrated From'!$F$2:$F$22)+SUMIF('JKP-8.5 - Migrated To'!$A$2:$A$22,'JKP-8.5 - Total Costs'!A128,'JKP-8.5 - Migrated To'!$F$2:$F$22)</f>
        <v>7</v>
      </c>
      <c r="G128" s="1141">
        <f>SUMIF('JKP-8.5 - CNSMREQP_GASMTRCTR'!$A$2:$A$391,'JKP-8.5 - Total Costs'!B128,'JKP-8.5 - CNSMREQP_GASMTRCTR'!$F$2:$F$391)-SUMIF('JKP-8.5 - Migrated From'!$A$2:$A$22,'JKP-8.5 - Total Costs'!B128,'JKP-8.5 - Migrated From'!$F$2:$F$22)+SUMIF('JKP-8.5 - Migrated To'!$A$2:$A$22,'JKP-8.5 - Total Costs'!B128,'JKP-8.5 - Migrated To'!$F$2:$F$22)</f>
        <v>84</v>
      </c>
      <c r="H128" s="1142">
        <f t="shared" si="11"/>
        <v>91</v>
      </c>
      <c r="I128" s="1143">
        <f>VLOOKUP($E128,'JKP-8.5 - Unit Costs'!$A$9:$H$33,2,FALSE)</f>
        <v>0</v>
      </c>
      <c r="J128" s="1143">
        <f>VLOOKUP($E128,'JKP-8.5 - Unit Costs'!$A$9:$H$33,5,FALSE)</f>
        <v>0</v>
      </c>
      <c r="K128" s="1143">
        <f>VLOOKUP($E128,'JKP-8.5 - Unit Costs'!$A$9:$H$33,3,FALSE)</f>
        <v>0</v>
      </c>
      <c r="L128" s="1143">
        <f>VLOOKUP($E128,'JKP-8.5 - Unit Costs'!$A$9:$H$33,6,FALSE)</f>
        <v>0</v>
      </c>
      <c r="M128" s="1143">
        <f>VLOOKUP($E128,'JKP-8.5 - Unit Costs'!$A$9:$H$33,8,FALSE)</f>
        <v>5835.1900000000005</v>
      </c>
      <c r="N128" s="1143">
        <f>VLOOKUP($E128,'JKP-8.5 - Unit Costs'!$A$9:$H$33,8,FALSE)</f>
        <v>5835.1900000000005</v>
      </c>
      <c r="O128" s="1144">
        <f t="shared" si="12"/>
        <v>0</v>
      </c>
      <c r="P128" s="1144">
        <f t="shared" si="12"/>
        <v>0</v>
      </c>
      <c r="Q128" s="1144">
        <f t="shared" si="13"/>
        <v>0</v>
      </c>
      <c r="R128" s="1144">
        <f t="shared" si="14"/>
        <v>0</v>
      </c>
      <c r="S128" s="1144">
        <f t="shared" si="14"/>
        <v>0</v>
      </c>
      <c r="T128" s="1144">
        <f t="shared" si="15"/>
        <v>0</v>
      </c>
      <c r="U128" s="1144">
        <f t="shared" si="16"/>
        <v>40846.33</v>
      </c>
      <c r="V128" s="1144">
        <f t="shared" si="16"/>
        <v>490155.96</v>
      </c>
      <c r="W128" s="1145">
        <f t="shared" si="17"/>
        <v>531002.29</v>
      </c>
    </row>
    <row r="129" spans="1:23" x14ac:dyDescent="0.2">
      <c r="A129" s="1140" t="str">
        <f t="shared" si="9"/>
        <v>41G-C2 16000 AMR</v>
      </c>
      <c r="B129" s="1140" t="str">
        <f t="shared" si="10"/>
        <v xml:space="preserve">41G-C2 16000 </v>
      </c>
      <c r="C129" s="1140" t="s">
        <v>1855</v>
      </c>
      <c r="D129" s="1140" t="s">
        <v>907</v>
      </c>
      <c r="E129" s="1140">
        <v>16000</v>
      </c>
      <c r="F129" s="1141">
        <f>SUMIF('JKP-8.5 - CNSMREQP_GASMTRCTR'!$A$2:$A$391,'JKP-8.5 - Total Costs'!A129,'JKP-8.5 - CNSMREQP_GASMTRCTR'!$F$2:$F$391)-SUMIF('JKP-8.5 - Migrated From'!$A$2:$A$22,'JKP-8.5 - Total Costs'!A129,'JKP-8.5 - Migrated From'!$F$2:$F$22)+SUMIF('JKP-8.5 - Migrated To'!$A$2:$A$22,'JKP-8.5 - Total Costs'!A129,'JKP-8.5 - Migrated To'!$F$2:$F$22)</f>
        <v>0</v>
      </c>
      <c r="G129" s="1141">
        <f>SUMIF('JKP-8.5 - CNSMREQP_GASMTRCTR'!$A$2:$A$391,'JKP-8.5 - Total Costs'!B129,'JKP-8.5 - CNSMREQP_GASMTRCTR'!$F$2:$F$391)-SUMIF('JKP-8.5 - Migrated From'!$A$2:$A$22,'JKP-8.5 - Total Costs'!B129,'JKP-8.5 - Migrated From'!$F$2:$F$22)+SUMIF('JKP-8.5 - Migrated To'!$A$2:$A$22,'JKP-8.5 - Total Costs'!B129,'JKP-8.5 - Migrated To'!$F$2:$F$22)</f>
        <v>62</v>
      </c>
      <c r="H129" s="1142">
        <f t="shared" si="11"/>
        <v>62</v>
      </c>
      <c r="I129" s="1143">
        <f>VLOOKUP($E129,'JKP-8.5 - Unit Costs'!$A$9:$H$33,2,FALSE)</f>
        <v>0</v>
      </c>
      <c r="J129" s="1143">
        <f>VLOOKUP($E129,'JKP-8.5 - Unit Costs'!$A$9:$H$33,5,FALSE)</f>
        <v>0</v>
      </c>
      <c r="K129" s="1143">
        <f>VLOOKUP($E129,'JKP-8.5 - Unit Costs'!$A$9:$H$33,3,FALSE)</f>
        <v>0</v>
      </c>
      <c r="L129" s="1143">
        <f>VLOOKUP($E129,'JKP-8.5 - Unit Costs'!$A$9:$H$33,6,FALSE)</f>
        <v>0</v>
      </c>
      <c r="M129" s="1143">
        <f>VLOOKUP($E129,'JKP-8.5 - Unit Costs'!$A$9:$H$33,8,FALSE)</f>
        <v>8983.2999999999993</v>
      </c>
      <c r="N129" s="1143">
        <f>VLOOKUP($E129,'JKP-8.5 - Unit Costs'!$A$9:$H$33,8,FALSE)</f>
        <v>8983.2999999999993</v>
      </c>
      <c r="O129" s="1144">
        <f t="shared" si="12"/>
        <v>0</v>
      </c>
      <c r="P129" s="1144">
        <f t="shared" si="12"/>
        <v>0</v>
      </c>
      <c r="Q129" s="1144">
        <f t="shared" si="13"/>
        <v>0</v>
      </c>
      <c r="R129" s="1144">
        <f t="shared" si="14"/>
        <v>0</v>
      </c>
      <c r="S129" s="1144">
        <f t="shared" si="14"/>
        <v>0</v>
      </c>
      <c r="T129" s="1144">
        <f t="shared" si="15"/>
        <v>0</v>
      </c>
      <c r="U129" s="1144">
        <f t="shared" si="16"/>
        <v>0</v>
      </c>
      <c r="V129" s="1144">
        <f t="shared" si="16"/>
        <v>556964.6</v>
      </c>
      <c r="W129" s="1145">
        <f t="shared" si="17"/>
        <v>556964.6</v>
      </c>
    </row>
    <row r="130" spans="1:23" x14ac:dyDescent="0.2">
      <c r="A130" s="1140" t="str">
        <f t="shared" si="9"/>
        <v>41G-C2 18000 AMR</v>
      </c>
      <c r="B130" s="1140" t="str">
        <f t="shared" si="10"/>
        <v xml:space="preserve">41G-C2 18000 </v>
      </c>
      <c r="C130" s="1140" t="s">
        <v>1855</v>
      </c>
      <c r="D130" s="1140" t="s">
        <v>907</v>
      </c>
      <c r="E130" s="1140">
        <v>18000</v>
      </c>
      <c r="F130" s="1141">
        <f>SUMIF('JKP-8.5 - CNSMREQP_GASMTRCTR'!$A$2:$A$391,'JKP-8.5 - Total Costs'!A130,'JKP-8.5 - CNSMREQP_GASMTRCTR'!$F$2:$F$391)-SUMIF('JKP-8.5 - Migrated From'!$A$2:$A$22,'JKP-8.5 - Total Costs'!A130,'JKP-8.5 - Migrated From'!$F$2:$F$22)+SUMIF('JKP-8.5 - Migrated To'!$A$2:$A$22,'JKP-8.5 - Total Costs'!A130,'JKP-8.5 - Migrated To'!$F$2:$F$22)</f>
        <v>0</v>
      </c>
      <c r="G130" s="1141">
        <f>SUMIF('JKP-8.5 - CNSMREQP_GASMTRCTR'!$A$2:$A$391,'JKP-8.5 - Total Costs'!B130,'JKP-8.5 - CNSMREQP_GASMTRCTR'!$F$2:$F$391)-SUMIF('JKP-8.5 - Migrated From'!$A$2:$A$22,'JKP-8.5 - Total Costs'!B130,'JKP-8.5 - Migrated From'!$F$2:$F$22)+SUMIF('JKP-8.5 - Migrated To'!$A$2:$A$22,'JKP-8.5 - Total Costs'!B130,'JKP-8.5 - Migrated To'!$F$2:$F$22)</f>
        <v>2</v>
      </c>
      <c r="H130" s="1142">
        <f t="shared" si="11"/>
        <v>2</v>
      </c>
      <c r="I130" s="1143">
        <f>VLOOKUP($E130,'JKP-8.5 - Unit Costs'!$A$9:$H$33,2,FALSE)</f>
        <v>0</v>
      </c>
      <c r="J130" s="1143">
        <f>VLOOKUP($E130,'JKP-8.5 - Unit Costs'!$A$9:$H$33,5,FALSE)</f>
        <v>0</v>
      </c>
      <c r="K130" s="1143">
        <f>VLOOKUP($E130,'JKP-8.5 - Unit Costs'!$A$9:$H$33,3,FALSE)</f>
        <v>0</v>
      </c>
      <c r="L130" s="1143">
        <f>VLOOKUP($E130,'JKP-8.5 - Unit Costs'!$A$9:$H$33,6,FALSE)</f>
        <v>0</v>
      </c>
      <c r="M130" s="1143">
        <f>VLOOKUP($E130,'JKP-8.5 - Unit Costs'!$A$9:$H$33,8,FALSE)</f>
        <v>8412.5300000000007</v>
      </c>
      <c r="N130" s="1143">
        <f>VLOOKUP($E130,'JKP-8.5 - Unit Costs'!$A$9:$H$33,8,FALSE)</f>
        <v>8412.5300000000007</v>
      </c>
      <c r="O130" s="1144">
        <f t="shared" si="12"/>
        <v>0</v>
      </c>
      <c r="P130" s="1144">
        <f t="shared" si="12"/>
        <v>0</v>
      </c>
      <c r="Q130" s="1144">
        <f t="shared" si="13"/>
        <v>0</v>
      </c>
      <c r="R130" s="1144">
        <f t="shared" si="14"/>
        <v>0</v>
      </c>
      <c r="S130" s="1144">
        <f t="shared" si="14"/>
        <v>0</v>
      </c>
      <c r="T130" s="1144">
        <f t="shared" si="15"/>
        <v>0</v>
      </c>
      <c r="U130" s="1144">
        <f t="shared" si="16"/>
        <v>0</v>
      </c>
      <c r="V130" s="1144">
        <f t="shared" si="16"/>
        <v>16825.060000000001</v>
      </c>
      <c r="W130" s="1145">
        <f t="shared" si="17"/>
        <v>16825.060000000001</v>
      </c>
    </row>
    <row r="131" spans="1:23" x14ac:dyDescent="0.2">
      <c r="A131" s="1140" t="str">
        <f t="shared" si="9"/>
        <v>41G-C2 23000 AMR</v>
      </c>
      <c r="B131" s="1140" t="str">
        <f t="shared" si="10"/>
        <v xml:space="preserve">41G-C2 23000 </v>
      </c>
      <c r="C131" s="1140" t="s">
        <v>1855</v>
      </c>
      <c r="D131" s="1140" t="s">
        <v>907</v>
      </c>
      <c r="E131" s="1140">
        <v>23000</v>
      </c>
      <c r="F131" s="1141">
        <f>SUMIF('JKP-8.5 - CNSMREQP_GASMTRCTR'!$A$2:$A$391,'JKP-8.5 - Total Costs'!A131,'JKP-8.5 - CNSMREQP_GASMTRCTR'!$F$2:$F$391)-SUMIF('JKP-8.5 - Migrated From'!$A$2:$A$22,'JKP-8.5 - Total Costs'!A131,'JKP-8.5 - Migrated From'!$F$2:$F$22)+SUMIF('JKP-8.5 - Migrated To'!$A$2:$A$22,'JKP-8.5 - Total Costs'!A131,'JKP-8.5 - Migrated To'!$F$2:$F$22)</f>
        <v>0</v>
      </c>
      <c r="G131" s="1141">
        <f>SUMIF('JKP-8.5 - CNSMREQP_GASMTRCTR'!$A$2:$A$391,'JKP-8.5 - Total Costs'!B131,'JKP-8.5 - CNSMREQP_GASMTRCTR'!$F$2:$F$391)-SUMIF('JKP-8.5 - Migrated From'!$A$2:$A$22,'JKP-8.5 - Total Costs'!B131,'JKP-8.5 - Migrated From'!$F$2:$F$22)+SUMIF('JKP-8.5 - Migrated To'!$A$2:$A$22,'JKP-8.5 - Total Costs'!B131,'JKP-8.5 - Migrated To'!$F$2:$F$22)</f>
        <v>7</v>
      </c>
      <c r="H131" s="1142">
        <f t="shared" si="11"/>
        <v>7</v>
      </c>
      <c r="I131" s="1143">
        <f>VLOOKUP($E131,'JKP-8.5 - Unit Costs'!$A$9:$H$33,2,FALSE)</f>
        <v>0</v>
      </c>
      <c r="J131" s="1143">
        <f>VLOOKUP($E131,'JKP-8.5 - Unit Costs'!$A$9:$H$33,5,FALSE)</f>
        <v>0</v>
      </c>
      <c r="K131" s="1143">
        <f>VLOOKUP($E131,'JKP-8.5 - Unit Costs'!$A$9:$H$33,3,FALSE)</f>
        <v>0</v>
      </c>
      <c r="L131" s="1143">
        <f>VLOOKUP($E131,'JKP-8.5 - Unit Costs'!$A$9:$H$33,6,FALSE)</f>
        <v>0</v>
      </c>
      <c r="M131" s="1143">
        <f>VLOOKUP($E131,'JKP-8.5 - Unit Costs'!$A$9:$H$33,8,FALSE)</f>
        <v>20882.400000000001</v>
      </c>
      <c r="N131" s="1143">
        <f>VLOOKUP($E131,'JKP-8.5 - Unit Costs'!$A$9:$H$33,8,FALSE)</f>
        <v>20882.400000000001</v>
      </c>
      <c r="O131" s="1144">
        <f t="shared" si="12"/>
        <v>0</v>
      </c>
      <c r="P131" s="1144">
        <f t="shared" si="12"/>
        <v>0</v>
      </c>
      <c r="Q131" s="1144">
        <f t="shared" si="13"/>
        <v>0</v>
      </c>
      <c r="R131" s="1144">
        <f t="shared" si="14"/>
        <v>0</v>
      </c>
      <c r="S131" s="1144">
        <f t="shared" si="14"/>
        <v>0</v>
      </c>
      <c r="T131" s="1144">
        <f t="shared" si="15"/>
        <v>0</v>
      </c>
      <c r="U131" s="1144">
        <f t="shared" si="16"/>
        <v>0</v>
      </c>
      <c r="V131" s="1144">
        <f t="shared" si="16"/>
        <v>146176.80000000002</v>
      </c>
      <c r="W131" s="1145">
        <f t="shared" si="17"/>
        <v>146176.80000000002</v>
      </c>
    </row>
    <row r="132" spans="1:23" x14ac:dyDescent="0.2">
      <c r="A132" s="1140" t="str">
        <f t="shared" si="9"/>
        <v>41G-C2 30000 AMR</v>
      </c>
      <c r="B132" s="1140" t="str">
        <f t="shared" si="10"/>
        <v xml:space="preserve">41G-C2 30000 </v>
      </c>
      <c r="C132" s="1140" t="s">
        <v>1855</v>
      </c>
      <c r="D132" s="1140" t="s">
        <v>907</v>
      </c>
      <c r="E132" s="1140">
        <v>30000</v>
      </c>
      <c r="F132" s="1141">
        <f>SUMIF('JKP-8.5 - CNSMREQP_GASMTRCTR'!$A$2:$A$391,'JKP-8.5 - Total Costs'!A132,'JKP-8.5 - CNSMREQP_GASMTRCTR'!$F$2:$F$391)-SUMIF('JKP-8.5 - Migrated From'!$A$2:$A$22,'JKP-8.5 - Total Costs'!A132,'JKP-8.5 - Migrated From'!$F$2:$F$22)+SUMIF('JKP-8.5 - Migrated To'!$A$2:$A$22,'JKP-8.5 - Total Costs'!A132,'JKP-8.5 - Migrated To'!$F$2:$F$22)</f>
        <v>0</v>
      </c>
      <c r="G132" s="1141">
        <f>SUMIF('JKP-8.5 - CNSMREQP_GASMTRCTR'!$A$2:$A$391,'JKP-8.5 - Total Costs'!B132,'JKP-8.5 - CNSMREQP_GASMTRCTR'!$F$2:$F$391)-SUMIF('JKP-8.5 - Migrated From'!$A$2:$A$22,'JKP-8.5 - Total Costs'!B132,'JKP-8.5 - Migrated From'!$F$2:$F$22)+SUMIF('JKP-8.5 - Migrated To'!$A$2:$A$22,'JKP-8.5 - Total Costs'!B132,'JKP-8.5 - Migrated To'!$F$2:$F$22)</f>
        <v>2</v>
      </c>
      <c r="H132" s="1142">
        <f t="shared" si="11"/>
        <v>2</v>
      </c>
      <c r="I132" s="1143">
        <f>VLOOKUP($E132,'JKP-8.5 - Unit Costs'!$A$9:$H$33,2,FALSE)</f>
        <v>0</v>
      </c>
      <c r="J132" s="1143">
        <f>VLOOKUP($E132,'JKP-8.5 - Unit Costs'!$A$9:$H$33,5,FALSE)</f>
        <v>0</v>
      </c>
      <c r="K132" s="1143">
        <f>VLOOKUP($E132,'JKP-8.5 - Unit Costs'!$A$9:$H$33,3,FALSE)</f>
        <v>0</v>
      </c>
      <c r="L132" s="1143">
        <f>VLOOKUP($E132,'JKP-8.5 - Unit Costs'!$A$9:$H$33,6,FALSE)</f>
        <v>0</v>
      </c>
      <c r="M132" s="1143">
        <f>VLOOKUP($E132,'JKP-8.5 - Unit Costs'!$A$9:$H$33,8,FALSE)</f>
        <v>28159.37</v>
      </c>
      <c r="N132" s="1143">
        <f>VLOOKUP($E132,'JKP-8.5 - Unit Costs'!$A$9:$H$33,8,FALSE)</f>
        <v>28159.37</v>
      </c>
      <c r="O132" s="1144">
        <f t="shared" si="12"/>
        <v>0</v>
      </c>
      <c r="P132" s="1144">
        <f t="shared" si="12"/>
        <v>0</v>
      </c>
      <c r="Q132" s="1144">
        <f t="shared" si="13"/>
        <v>0</v>
      </c>
      <c r="R132" s="1144">
        <f t="shared" si="14"/>
        <v>0</v>
      </c>
      <c r="S132" s="1144">
        <f t="shared" si="14"/>
        <v>0</v>
      </c>
      <c r="T132" s="1144">
        <f t="shared" si="15"/>
        <v>0</v>
      </c>
      <c r="U132" s="1144">
        <f t="shared" si="16"/>
        <v>0</v>
      </c>
      <c r="V132" s="1144">
        <f t="shared" si="16"/>
        <v>56318.74</v>
      </c>
      <c r="W132" s="1145">
        <f t="shared" si="17"/>
        <v>56318.74</v>
      </c>
    </row>
    <row r="133" spans="1:23" x14ac:dyDescent="0.2">
      <c r="A133" s="1140" t="str">
        <f t="shared" si="9"/>
        <v>41G-C2 38000 AMR</v>
      </c>
      <c r="B133" s="1140" t="str">
        <f t="shared" si="10"/>
        <v xml:space="preserve">41G-C2 38000 </v>
      </c>
      <c r="C133" s="1140" t="s">
        <v>1855</v>
      </c>
      <c r="D133" s="1140" t="s">
        <v>907</v>
      </c>
      <c r="E133" s="1140">
        <v>38000</v>
      </c>
      <c r="F133" s="1141">
        <f>SUMIF('JKP-8.5 - CNSMREQP_GASMTRCTR'!$A$2:$A$391,'JKP-8.5 - Total Costs'!A133,'JKP-8.5 - CNSMREQP_GASMTRCTR'!$F$2:$F$391)-SUMIF('JKP-8.5 - Migrated From'!$A$2:$A$22,'JKP-8.5 - Total Costs'!A133,'JKP-8.5 - Migrated From'!$F$2:$F$22)+SUMIF('JKP-8.5 - Migrated To'!$A$2:$A$22,'JKP-8.5 - Total Costs'!A133,'JKP-8.5 - Migrated To'!$F$2:$F$22)</f>
        <v>0</v>
      </c>
      <c r="G133" s="1141">
        <f>SUMIF('JKP-8.5 - CNSMREQP_GASMTRCTR'!$A$2:$A$391,'JKP-8.5 - Total Costs'!B133,'JKP-8.5 - CNSMREQP_GASMTRCTR'!$F$2:$F$391)-SUMIF('JKP-8.5 - Migrated From'!$A$2:$A$22,'JKP-8.5 - Total Costs'!B133,'JKP-8.5 - Migrated From'!$F$2:$F$22)+SUMIF('JKP-8.5 - Migrated To'!$A$2:$A$22,'JKP-8.5 - Total Costs'!B133,'JKP-8.5 - Migrated To'!$F$2:$F$22)</f>
        <v>1</v>
      </c>
      <c r="H133" s="1142">
        <f t="shared" si="11"/>
        <v>1</v>
      </c>
      <c r="I133" s="1143">
        <f>VLOOKUP($E133,'JKP-8.5 - Unit Costs'!$A$9:$H$33,2,FALSE)</f>
        <v>0</v>
      </c>
      <c r="J133" s="1143">
        <f>VLOOKUP($E133,'JKP-8.5 - Unit Costs'!$A$9:$H$33,5,FALSE)</f>
        <v>0</v>
      </c>
      <c r="K133" s="1143">
        <f>VLOOKUP($E133,'JKP-8.5 - Unit Costs'!$A$9:$H$33,3,FALSE)</f>
        <v>0</v>
      </c>
      <c r="L133" s="1143">
        <f>VLOOKUP($E133,'JKP-8.5 - Unit Costs'!$A$9:$H$33,6,FALSE)</f>
        <v>0</v>
      </c>
      <c r="M133" s="1143">
        <f>VLOOKUP($E133,'JKP-8.5 - Unit Costs'!$A$9:$H$33,8,FALSE)</f>
        <v>28722.53</v>
      </c>
      <c r="N133" s="1143">
        <f>VLOOKUP($E133,'JKP-8.5 - Unit Costs'!$A$9:$H$33,8,FALSE)</f>
        <v>28722.53</v>
      </c>
      <c r="O133" s="1144">
        <f t="shared" si="12"/>
        <v>0</v>
      </c>
      <c r="P133" s="1144">
        <f t="shared" si="12"/>
        <v>0</v>
      </c>
      <c r="Q133" s="1144">
        <f t="shared" si="13"/>
        <v>0</v>
      </c>
      <c r="R133" s="1144">
        <f t="shared" si="14"/>
        <v>0</v>
      </c>
      <c r="S133" s="1144">
        <f t="shared" si="14"/>
        <v>0</v>
      </c>
      <c r="T133" s="1144">
        <f t="shared" si="15"/>
        <v>0</v>
      </c>
      <c r="U133" s="1144">
        <f t="shared" si="16"/>
        <v>0</v>
      </c>
      <c r="V133" s="1144">
        <f t="shared" si="16"/>
        <v>28722.53</v>
      </c>
      <c r="W133" s="1145">
        <f t="shared" si="17"/>
        <v>28722.53</v>
      </c>
    </row>
    <row r="134" spans="1:23" x14ac:dyDescent="0.2">
      <c r="A134" s="1140" t="str">
        <f t="shared" si="9"/>
        <v>41G-C2 60000 AMR</v>
      </c>
      <c r="B134" s="1140" t="str">
        <f t="shared" si="10"/>
        <v xml:space="preserve">41G-C2 60000 </v>
      </c>
      <c r="C134" s="1140" t="s">
        <v>1855</v>
      </c>
      <c r="D134" s="1140" t="s">
        <v>907</v>
      </c>
      <c r="E134" s="1140">
        <v>60000</v>
      </c>
      <c r="F134" s="1141">
        <f>SUMIF('JKP-8.5 - CNSMREQP_GASMTRCTR'!$A$2:$A$391,'JKP-8.5 - Total Costs'!A134,'JKP-8.5 - CNSMREQP_GASMTRCTR'!$F$2:$F$391)-SUMIF('JKP-8.5 - Migrated From'!$A$2:$A$22,'JKP-8.5 - Total Costs'!A134,'JKP-8.5 - Migrated From'!$F$2:$F$22)+SUMIF('JKP-8.5 - Migrated To'!$A$2:$A$22,'JKP-8.5 - Total Costs'!A134,'JKP-8.5 - Migrated To'!$F$2:$F$22)</f>
        <v>0</v>
      </c>
      <c r="G134" s="1141">
        <f>SUMIF('JKP-8.5 - CNSMREQP_GASMTRCTR'!$A$2:$A$391,'JKP-8.5 - Total Costs'!B134,'JKP-8.5 - CNSMREQP_GASMTRCTR'!$F$2:$F$391)-SUMIF('JKP-8.5 - Migrated From'!$A$2:$A$22,'JKP-8.5 - Total Costs'!B134,'JKP-8.5 - Migrated From'!$F$2:$F$22)+SUMIF('JKP-8.5 - Migrated To'!$A$2:$A$22,'JKP-8.5 - Total Costs'!B134,'JKP-8.5 - Migrated To'!$F$2:$F$22)</f>
        <v>2</v>
      </c>
      <c r="H134" s="1142">
        <f t="shared" si="11"/>
        <v>2</v>
      </c>
      <c r="I134" s="1143">
        <f>VLOOKUP($E134,'JKP-8.5 - Unit Costs'!$A$9:$H$33,2,FALSE)</f>
        <v>0</v>
      </c>
      <c r="J134" s="1143">
        <f>VLOOKUP($E134,'JKP-8.5 - Unit Costs'!$A$9:$H$33,5,FALSE)</f>
        <v>0</v>
      </c>
      <c r="K134" s="1143">
        <f>VLOOKUP($E134,'JKP-8.5 - Unit Costs'!$A$9:$H$33,3,FALSE)</f>
        <v>0</v>
      </c>
      <c r="L134" s="1143">
        <f>VLOOKUP($E134,'JKP-8.5 - Unit Costs'!$A$9:$H$33,6,FALSE)</f>
        <v>0</v>
      </c>
      <c r="M134" s="1143">
        <f>VLOOKUP($E134,'JKP-8.5 - Unit Costs'!$A$9:$H$33,8,FALSE)</f>
        <v>36556.269999999997</v>
      </c>
      <c r="N134" s="1143">
        <f>VLOOKUP($E134,'JKP-8.5 - Unit Costs'!$A$9:$H$33,8,FALSE)</f>
        <v>36556.269999999997</v>
      </c>
      <c r="O134" s="1144">
        <f t="shared" si="12"/>
        <v>0</v>
      </c>
      <c r="P134" s="1144">
        <f t="shared" si="12"/>
        <v>0</v>
      </c>
      <c r="Q134" s="1144">
        <f t="shared" si="13"/>
        <v>0</v>
      </c>
      <c r="R134" s="1144">
        <f t="shared" si="14"/>
        <v>0</v>
      </c>
      <c r="S134" s="1144">
        <f t="shared" si="14"/>
        <v>0</v>
      </c>
      <c r="T134" s="1144">
        <f t="shared" si="15"/>
        <v>0</v>
      </c>
      <c r="U134" s="1144">
        <f t="shared" si="16"/>
        <v>0</v>
      </c>
      <c r="V134" s="1144">
        <f t="shared" si="16"/>
        <v>73112.539999999994</v>
      </c>
      <c r="W134" s="1145">
        <f t="shared" si="17"/>
        <v>73112.539999999994</v>
      </c>
    </row>
    <row r="135" spans="1:23" x14ac:dyDescent="0.2">
      <c r="A135" s="1140" t="str">
        <f t="shared" si="9"/>
        <v>41G-C-NK 1000 AMR</v>
      </c>
      <c r="B135" s="1140" t="str">
        <f t="shared" si="10"/>
        <v xml:space="preserve">41G-C-NK 1000 </v>
      </c>
      <c r="C135" s="1140" t="s">
        <v>1855</v>
      </c>
      <c r="D135" s="1140" t="s">
        <v>906</v>
      </c>
      <c r="E135" s="1140">
        <v>1000</v>
      </c>
      <c r="F135" s="1141">
        <f>SUMIF('JKP-8.5 - CNSMREQP_GASMTRCTR'!$A$2:$A$391,'JKP-8.5 - Total Costs'!A135,'JKP-8.5 - CNSMREQP_GASMTRCTR'!$F$2:$F$391)-SUMIF('JKP-8.5 - Migrated From'!$A$2:$A$22,'JKP-8.5 - Total Costs'!A135,'JKP-8.5 - Migrated From'!$F$2:$F$22)+SUMIF('JKP-8.5 - Migrated To'!$A$2:$A$22,'JKP-8.5 - Total Costs'!A135,'JKP-8.5 - Migrated To'!$F$2:$F$22)</f>
        <v>2</v>
      </c>
      <c r="G135" s="1141">
        <f>SUMIF('JKP-8.5 - CNSMREQP_GASMTRCTR'!$A$2:$A$391,'JKP-8.5 - Total Costs'!B135,'JKP-8.5 - CNSMREQP_GASMTRCTR'!$F$2:$F$391)-SUMIF('JKP-8.5 - Migrated From'!$A$2:$A$22,'JKP-8.5 - Total Costs'!B135,'JKP-8.5 - Migrated From'!$F$2:$F$22)+SUMIF('JKP-8.5 - Migrated To'!$A$2:$A$22,'JKP-8.5 - Total Costs'!B135,'JKP-8.5 - Migrated To'!$F$2:$F$22)</f>
        <v>0</v>
      </c>
      <c r="H135" s="1142">
        <f t="shared" si="11"/>
        <v>2</v>
      </c>
      <c r="I135" s="1143">
        <f>VLOOKUP($E135,'JKP-8.5 - Unit Costs'!$A$9:$H$33,2,FALSE)</f>
        <v>1404.86</v>
      </c>
      <c r="J135" s="1143">
        <f>VLOOKUP($E135,'JKP-8.5 - Unit Costs'!$A$9:$H$33,5,FALSE)</f>
        <v>1063.1500000000001</v>
      </c>
      <c r="K135" s="1143">
        <f>VLOOKUP($E135,'JKP-8.5 - Unit Costs'!$A$9:$H$33,3,FALSE)</f>
        <v>41.76</v>
      </c>
      <c r="L135" s="1143">
        <f>VLOOKUP($E135,'JKP-8.5 - Unit Costs'!$A$9:$H$33,6,FALSE)</f>
        <v>41.76</v>
      </c>
      <c r="M135" s="1143">
        <f>VLOOKUP($E135,'JKP-8.5 - Unit Costs'!$A$9:$H$33,8,FALSE)</f>
        <v>0</v>
      </c>
      <c r="N135" s="1143">
        <f>VLOOKUP($E135,'JKP-8.5 - Unit Costs'!$A$9:$H$33,8,FALSE)</f>
        <v>0</v>
      </c>
      <c r="O135" s="1144">
        <f t="shared" si="12"/>
        <v>2809.72</v>
      </c>
      <c r="P135" s="1144">
        <f t="shared" si="12"/>
        <v>0</v>
      </c>
      <c r="Q135" s="1144">
        <f t="shared" si="13"/>
        <v>2809.72</v>
      </c>
      <c r="R135" s="1144">
        <f t="shared" si="14"/>
        <v>83.52</v>
      </c>
      <c r="S135" s="1144">
        <f t="shared" si="14"/>
        <v>0</v>
      </c>
      <c r="T135" s="1144">
        <f t="shared" si="15"/>
        <v>83.52</v>
      </c>
      <c r="U135" s="1144">
        <f t="shared" si="16"/>
        <v>0</v>
      </c>
      <c r="V135" s="1144">
        <f t="shared" si="16"/>
        <v>0</v>
      </c>
      <c r="W135" s="1145">
        <f t="shared" si="17"/>
        <v>0</v>
      </c>
    </row>
    <row r="136" spans="1:23" x14ac:dyDescent="0.2">
      <c r="A136" s="1140" t="str">
        <f t="shared" si="9"/>
        <v>41G-C-NK 2300 AMR</v>
      </c>
      <c r="B136" s="1140" t="str">
        <f t="shared" si="10"/>
        <v xml:space="preserve">41G-C-NK 2300 </v>
      </c>
      <c r="C136" s="1140" t="s">
        <v>1855</v>
      </c>
      <c r="D136" s="1140" t="s">
        <v>906</v>
      </c>
      <c r="E136" s="1140">
        <v>2300</v>
      </c>
      <c r="F136" s="1141">
        <f>SUMIF('JKP-8.5 - CNSMREQP_GASMTRCTR'!$A$2:$A$391,'JKP-8.5 - Total Costs'!A136,'JKP-8.5 - CNSMREQP_GASMTRCTR'!$F$2:$F$391)-SUMIF('JKP-8.5 - Migrated From'!$A$2:$A$22,'JKP-8.5 - Total Costs'!A136,'JKP-8.5 - Migrated From'!$F$2:$F$22)+SUMIF('JKP-8.5 - Migrated To'!$A$2:$A$22,'JKP-8.5 - Total Costs'!A136,'JKP-8.5 - Migrated To'!$F$2:$F$22)</f>
        <v>1</v>
      </c>
      <c r="G136" s="1141">
        <f>SUMIF('JKP-8.5 - CNSMREQP_GASMTRCTR'!$A$2:$A$391,'JKP-8.5 - Total Costs'!B136,'JKP-8.5 - CNSMREQP_GASMTRCTR'!$F$2:$F$391)-SUMIF('JKP-8.5 - Migrated From'!$A$2:$A$22,'JKP-8.5 - Total Costs'!B136,'JKP-8.5 - Migrated From'!$F$2:$F$22)+SUMIF('JKP-8.5 - Migrated To'!$A$2:$A$22,'JKP-8.5 - Total Costs'!B136,'JKP-8.5 - Migrated To'!$F$2:$F$22)</f>
        <v>0</v>
      </c>
      <c r="H136" s="1142">
        <f t="shared" si="11"/>
        <v>1</v>
      </c>
      <c r="I136" s="1143">
        <f>VLOOKUP($E136,'JKP-8.5 - Unit Costs'!$A$9:$H$33,2,FALSE)</f>
        <v>0</v>
      </c>
      <c r="J136" s="1143">
        <f>VLOOKUP($E136,'JKP-8.5 - Unit Costs'!$A$9:$H$33,5,FALSE)</f>
        <v>0</v>
      </c>
      <c r="K136" s="1143">
        <f>VLOOKUP($E136,'JKP-8.5 - Unit Costs'!$A$9:$H$33,3,FALSE)</f>
        <v>0</v>
      </c>
      <c r="L136" s="1143">
        <f>VLOOKUP($E136,'JKP-8.5 - Unit Costs'!$A$9:$H$33,6,FALSE)</f>
        <v>0</v>
      </c>
      <c r="M136" s="1143">
        <f>VLOOKUP($E136,'JKP-8.5 - Unit Costs'!$A$9:$H$33,8,FALSE)</f>
        <v>3587.13</v>
      </c>
      <c r="N136" s="1143">
        <f>VLOOKUP($E136,'JKP-8.5 - Unit Costs'!$A$9:$H$33,8,FALSE)</f>
        <v>3587.13</v>
      </c>
      <c r="O136" s="1144">
        <f t="shared" si="12"/>
        <v>0</v>
      </c>
      <c r="P136" s="1144">
        <f t="shared" si="12"/>
        <v>0</v>
      </c>
      <c r="Q136" s="1144">
        <f t="shared" si="13"/>
        <v>0</v>
      </c>
      <c r="R136" s="1144">
        <f t="shared" si="14"/>
        <v>0</v>
      </c>
      <c r="S136" s="1144">
        <f t="shared" si="14"/>
        <v>0</v>
      </c>
      <c r="T136" s="1144">
        <f t="shared" si="15"/>
        <v>0</v>
      </c>
      <c r="U136" s="1144">
        <f t="shared" si="16"/>
        <v>3587.13</v>
      </c>
      <c r="V136" s="1144">
        <f t="shared" si="16"/>
        <v>0</v>
      </c>
      <c r="W136" s="1145">
        <f t="shared" si="17"/>
        <v>3587.13</v>
      </c>
    </row>
    <row r="137" spans="1:23" x14ac:dyDescent="0.2">
      <c r="A137" s="1140" t="str">
        <f t="shared" ref="A137:A204" si="18">D137&amp;" "&amp;E137&amp;" "&amp;$A$6</f>
        <v>41G-C-NK 5000 AMR</v>
      </c>
      <c r="B137" s="1140" t="str">
        <f t="shared" ref="B137:B204" si="19">D137&amp;" "&amp;E137&amp;" "&amp;$G$5</f>
        <v xml:space="preserve">41G-C-NK 5000 </v>
      </c>
      <c r="C137" s="1140" t="s">
        <v>1855</v>
      </c>
      <c r="D137" s="1140" t="s">
        <v>906</v>
      </c>
      <c r="E137" s="1140">
        <v>5000</v>
      </c>
      <c r="F137" s="1141">
        <f>SUMIF('JKP-8.5 - CNSMREQP_GASMTRCTR'!$A$2:$A$391,'JKP-8.5 - Total Costs'!A137,'JKP-8.5 - CNSMREQP_GASMTRCTR'!$F$2:$F$391)-SUMIF('JKP-8.5 - Migrated From'!$A$2:$A$22,'JKP-8.5 - Total Costs'!A137,'JKP-8.5 - Migrated From'!$F$2:$F$22)+SUMIF('JKP-8.5 - Migrated To'!$A$2:$A$22,'JKP-8.5 - Total Costs'!A137,'JKP-8.5 - Migrated To'!$F$2:$F$22)</f>
        <v>2</v>
      </c>
      <c r="G137" s="1141">
        <f>SUMIF('JKP-8.5 - CNSMREQP_GASMTRCTR'!$A$2:$A$391,'JKP-8.5 - Total Costs'!B137,'JKP-8.5 - CNSMREQP_GASMTRCTR'!$F$2:$F$391)-SUMIF('JKP-8.5 - Migrated From'!$A$2:$A$22,'JKP-8.5 - Total Costs'!B137,'JKP-8.5 - Migrated From'!$F$2:$F$22)+SUMIF('JKP-8.5 - Migrated To'!$A$2:$A$22,'JKP-8.5 - Total Costs'!B137,'JKP-8.5 - Migrated To'!$F$2:$F$22)</f>
        <v>0</v>
      </c>
      <c r="H137" s="1142">
        <f t="shared" ref="H137:H204" si="20">F137+G137</f>
        <v>2</v>
      </c>
      <c r="I137" s="1143">
        <f>VLOOKUP($E137,'JKP-8.5 - Unit Costs'!$A$9:$H$33,2,FALSE)</f>
        <v>0</v>
      </c>
      <c r="J137" s="1143">
        <f>VLOOKUP($E137,'JKP-8.5 - Unit Costs'!$A$9:$H$33,5,FALSE)</f>
        <v>0</v>
      </c>
      <c r="K137" s="1143">
        <f>VLOOKUP($E137,'JKP-8.5 - Unit Costs'!$A$9:$H$33,3,FALSE)</f>
        <v>0</v>
      </c>
      <c r="L137" s="1143">
        <f>VLOOKUP($E137,'JKP-8.5 - Unit Costs'!$A$9:$H$33,6,FALSE)</f>
        <v>0</v>
      </c>
      <c r="M137" s="1143">
        <f>VLOOKUP($E137,'JKP-8.5 - Unit Costs'!$A$9:$H$33,8,FALSE)</f>
        <v>3456.43</v>
      </c>
      <c r="N137" s="1143">
        <f>VLOOKUP($E137,'JKP-8.5 - Unit Costs'!$A$9:$H$33,8,FALSE)</f>
        <v>3456.43</v>
      </c>
      <c r="O137" s="1144">
        <f t="shared" ref="O137:P204" si="21">I137*F137</f>
        <v>0</v>
      </c>
      <c r="P137" s="1144">
        <f t="shared" si="21"/>
        <v>0</v>
      </c>
      <c r="Q137" s="1144">
        <f t="shared" ref="Q137:Q204" si="22">P137+O137</f>
        <v>0</v>
      </c>
      <c r="R137" s="1144">
        <f t="shared" ref="R137:S204" si="23">K137*F137</f>
        <v>0</v>
      </c>
      <c r="S137" s="1144">
        <f t="shared" si="23"/>
        <v>0</v>
      </c>
      <c r="T137" s="1144">
        <f t="shared" ref="T137:T204" si="24">S137+R137</f>
        <v>0</v>
      </c>
      <c r="U137" s="1144">
        <f t="shared" ref="U137:V204" si="25">M137*F137</f>
        <v>6912.86</v>
      </c>
      <c r="V137" s="1144">
        <f t="shared" si="25"/>
        <v>0</v>
      </c>
      <c r="W137" s="1145">
        <f t="shared" ref="W137:W204" si="26">V137+U137</f>
        <v>6912.86</v>
      </c>
    </row>
    <row r="138" spans="1:23" x14ac:dyDescent="0.2">
      <c r="A138" s="1140" t="str">
        <f t="shared" si="18"/>
        <v>41G-C-NK 11000 AMR</v>
      </c>
      <c r="B138" s="1140" t="str">
        <f t="shared" si="19"/>
        <v xml:space="preserve">41G-C-NK 11000 </v>
      </c>
      <c r="C138" s="1140" t="s">
        <v>1855</v>
      </c>
      <c r="D138" s="1140" t="s">
        <v>906</v>
      </c>
      <c r="E138" s="1140">
        <v>11000</v>
      </c>
      <c r="F138" s="1141">
        <f>SUMIF('JKP-8.5 - CNSMREQP_GASMTRCTR'!$A$2:$A$391,'JKP-8.5 - Total Costs'!A138,'JKP-8.5 - CNSMREQP_GASMTRCTR'!$F$2:$F$391)-SUMIF('JKP-8.5 - Migrated From'!$A$2:$A$22,'JKP-8.5 - Total Costs'!A138,'JKP-8.5 - Migrated From'!$F$2:$F$22)+SUMIF('JKP-8.5 - Migrated To'!$A$2:$A$22,'JKP-8.5 - Total Costs'!A138,'JKP-8.5 - Migrated To'!$F$2:$F$22)</f>
        <v>0</v>
      </c>
      <c r="G138" s="1141">
        <f>SUMIF('JKP-8.5 - CNSMREQP_GASMTRCTR'!$A$2:$A$391,'JKP-8.5 - Total Costs'!B138,'JKP-8.5 - CNSMREQP_GASMTRCTR'!$F$2:$F$391)-SUMIF('JKP-8.5 - Migrated From'!$A$2:$A$22,'JKP-8.5 - Total Costs'!B138,'JKP-8.5 - Migrated From'!$F$2:$F$22)+SUMIF('JKP-8.5 - Migrated To'!$A$2:$A$22,'JKP-8.5 - Total Costs'!B138,'JKP-8.5 - Migrated To'!$F$2:$F$22)</f>
        <v>1</v>
      </c>
      <c r="H138" s="1142">
        <f t="shared" si="20"/>
        <v>1</v>
      </c>
      <c r="I138" s="1143">
        <f>VLOOKUP($E138,'JKP-8.5 - Unit Costs'!$A$9:$H$33,2,FALSE)</f>
        <v>0</v>
      </c>
      <c r="J138" s="1143">
        <f>VLOOKUP($E138,'JKP-8.5 - Unit Costs'!$A$9:$H$33,5,FALSE)</f>
        <v>0</v>
      </c>
      <c r="K138" s="1143">
        <f>VLOOKUP($E138,'JKP-8.5 - Unit Costs'!$A$9:$H$33,3,FALSE)</f>
        <v>0</v>
      </c>
      <c r="L138" s="1143">
        <f>VLOOKUP($E138,'JKP-8.5 - Unit Costs'!$A$9:$H$33,6,FALSE)</f>
        <v>0</v>
      </c>
      <c r="M138" s="1143">
        <f>VLOOKUP($E138,'JKP-8.5 - Unit Costs'!$A$9:$H$33,8,FALSE)</f>
        <v>5835.1900000000005</v>
      </c>
      <c r="N138" s="1143">
        <f>VLOOKUP($E138,'JKP-8.5 - Unit Costs'!$A$9:$H$33,8,FALSE)</f>
        <v>5835.1900000000005</v>
      </c>
      <c r="O138" s="1144">
        <f t="shared" si="21"/>
        <v>0</v>
      </c>
      <c r="P138" s="1144">
        <f t="shared" si="21"/>
        <v>0</v>
      </c>
      <c r="Q138" s="1144">
        <f t="shared" si="22"/>
        <v>0</v>
      </c>
      <c r="R138" s="1144">
        <f t="shared" si="23"/>
        <v>0</v>
      </c>
      <c r="S138" s="1144">
        <f t="shared" si="23"/>
        <v>0</v>
      </c>
      <c r="T138" s="1144">
        <f t="shared" si="24"/>
        <v>0</v>
      </c>
      <c r="U138" s="1144">
        <f t="shared" si="25"/>
        <v>0</v>
      </c>
      <c r="V138" s="1144">
        <f t="shared" si="25"/>
        <v>5835.1900000000005</v>
      </c>
      <c r="W138" s="1145">
        <f t="shared" si="26"/>
        <v>5835.1900000000005</v>
      </c>
    </row>
    <row r="139" spans="1:23" x14ac:dyDescent="0.2">
      <c r="A139" s="1140" t="str">
        <f t="shared" si="18"/>
        <v>41G-I2 425 AMR</v>
      </c>
      <c r="B139" s="1140" t="str">
        <f t="shared" si="19"/>
        <v xml:space="preserve">41G-I2 425 </v>
      </c>
      <c r="C139" s="1140" t="s">
        <v>1855</v>
      </c>
      <c r="D139" s="1140" t="s">
        <v>918</v>
      </c>
      <c r="E139" s="1140">
        <v>425</v>
      </c>
      <c r="F139" s="1141">
        <f>SUMIF('JKP-8.5 - CNSMREQP_GASMTRCTR'!$A$2:$A$391,'JKP-8.5 - Total Costs'!A139,'JKP-8.5 - CNSMREQP_GASMTRCTR'!$F$2:$F$391)-SUMIF('JKP-8.5 - Migrated From'!$A$2:$A$22,'JKP-8.5 - Total Costs'!A139,'JKP-8.5 - Migrated From'!$F$2:$F$22)+SUMIF('JKP-8.5 - Migrated To'!$A$2:$A$22,'JKP-8.5 - Total Costs'!A139,'JKP-8.5 - Migrated To'!$F$2:$F$22)</f>
        <v>1</v>
      </c>
      <c r="G139" s="1141">
        <f>SUMIF('JKP-8.5 - CNSMREQP_GASMTRCTR'!$A$2:$A$391,'JKP-8.5 - Total Costs'!B139,'JKP-8.5 - CNSMREQP_GASMTRCTR'!$F$2:$F$391)-SUMIF('JKP-8.5 - Migrated From'!$A$2:$A$22,'JKP-8.5 - Total Costs'!B139,'JKP-8.5 - Migrated From'!$F$2:$F$22)+SUMIF('JKP-8.5 - Migrated To'!$A$2:$A$22,'JKP-8.5 - Total Costs'!B139,'JKP-8.5 - Migrated To'!$F$2:$F$22)</f>
        <v>0</v>
      </c>
      <c r="H139" s="1142">
        <f t="shared" si="20"/>
        <v>1</v>
      </c>
      <c r="I139" s="1143">
        <f>VLOOKUP($E139,'JKP-8.5 - Unit Costs'!$A$9:$H$33,2,FALSE)</f>
        <v>462.02000000000004</v>
      </c>
      <c r="J139" s="1143">
        <f>VLOOKUP($E139,'JKP-8.5 - Unit Costs'!$A$9:$H$33,5,FALSE)</f>
        <v>193.72</v>
      </c>
      <c r="K139" s="1143">
        <f>VLOOKUP($E139,'JKP-8.5 - Unit Costs'!$A$9:$H$33,3,FALSE)</f>
        <v>41.76</v>
      </c>
      <c r="L139" s="1143">
        <f>VLOOKUP($E139,'JKP-8.5 - Unit Costs'!$A$9:$H$33,6,FALSE)</f>
        <v>41.76</v>
      </c>
      <c r="M139" s="1143">
        <f>VLOOKUP($E139,'JKP-8.5 - Unit Costs'!$A$9:$H$33,8,FALSE)</f>
        <v>0</v>
      </c>
      <c r="N139" s="1143">
        <f>VLOOKUP($E139,'JKP-8.5 - Unit Costs'!$A$9:$H$33,8,FALSE)</f>
        <v>0</v>
      </c>
      <c r="O139" s="1144">
        <f t="shared" si="21"/>
        <v>462.02000000000004</v>
      </c>
      <c r="P139" s="1144">
        <f t="shared" si="21"/>
        <v>0</v>
      </c>
      <c r="Q139" s="1144">
        <f t="shared" si="22"/>
        <v>462.02000000000004</v>
      </c>
      <c r="R139" s="1144">
        <f t="shared" si="23"/>
        <v>41.76</v>
      </c>
      <c r="S139" s="1144">
        <f t="shared" si="23"/>
        <v>0</v>
      </c>
      <c r="T139" s="1144">
        <f t="shared" si="24"/>
        <v>41.76</v>
      </c>
      <c r="U139" s="1144">
        <f t="shared" si="25"/>
        <v>0</v>
      </c>
      <c r="V139" s="1144">
        <f t="shared" si="25"/>
        <v>0</v>
      </c>
      <c r="W139" s="1145">
        <f t="shared" si="26"/>
        <v>0</v>
      </c>
    </row>
    <row r="140" spans="1:23" x14ac:dyDescent="0.2">
      <c r="A140" s="1140" t="str">
        <f t="shared" si="18"/>
        <v>41G-I2 1000 AMR</v>
      </c>
      <c r="B140" s="1140" t="str">
        <f t="shared" si="19"/>
        <v xml:space="preserve">41G-I2 1000 </v>
      </c>
      <c r="C140" s="1140" t="s">
        <v>1855</v>
      </c>
      <c r="D140" s="1140" t="s">
        <v>918</v>
      </c>
      <c r="E140" s="1140">
        <v>1000</v>
      </c>
      <c r="F140" s="1141">
        <f>SUMIF('JKP-8.5 - CNSMREQP_GASMTRCTR'!$A$2:$A$391,'JKP-8.5 - Total Costs'!A140,'JKP-8.5 - CNSMREQP_GASMTRCTR'!$F$2:$F$391)-SUMIF('JKP-8.5 - Migrated From'!$A$2:$A$22,'JKP-8.5 - Total Costs'!A140,'JKP-8.5 - Migrated From'!$F$2:$F$22)+SUMIF('JKP-8.5 - Migrated To'!$A$2:$A$22,'JKP-8.5 - Total Costs'!A140,'JKP-8.5 - Migrated To'!$F$2:$F$22)</f>
        <v>15</v>
      </c>
      <c r="G140" s="1141">
        <f>SUMIF('JKP-8.5 - CNSMREQP_GASMTRCTR'!$A$2:$A$391,'JKP-8.5 - Total Costs'!B140,'JKP-8.5 - CNSMREQP_GASMTRCTR'!$F$2:$F$391)-SUMIF('JKP-8.5 - Migrated From'!$A$2:$A$22,'JKP-8.5 - Total Costs'!B140,'JKP-8.5 - Migrated From'!$F$2:$F$22)+SUMIF('JKP-8.5 - Migrated To'!$A$2:$A$22,'JKP-8.5 - Total Costs'!B140,'JKP-8.5 - Migrated To'!$F$2:$F$22)</f>
        <v>0</v>
      </c>
      <c r="H140" s="1142">
        <f t="shared" si="20"/>
        <v>15</v>
      </c>
      <c r="I140" s="1143">
        <f>VLOOKUP($E140,'JKP-8.5 - Unit Costs'!$A$9:$H$33,2,FALSE)</f>
        <v>1404.86</v>
      </c>
      <c r="J140" s="1143">
        <f>VLOOKUP($E140,'JKP-8.5 - Unit Costs'!$A$9:$H$33,5,FALSE)</f>
        <v>1063.1500000000001</v>
      </c>
      <c r="K140" s="1143">
        <f>VLOOKUP($E140,'JKP-8.5 - Unit Costs'!$A$9:$H$33,3,FALSE)</f>
        <v>41.76</v>
      </c>
      <c r="L140" s="1143">
        <f>VLOOKUP($E140,'JKP-8.5 - Unit Costs'!$A$9:$H$33,6,FALSE)</f>
        <v>41.76</v>
      </c>
      <c r="M140" s="1143">
        <f>VLOOKUP($E140,'JKP-8.5 - Unit Costs'!$A$9:$H$33,8,FALSE)</f>
        <v>0</v>
      </c>
      <c r="N140" s="1143">
        <f>VLOOKUP($E140,'JKP-8.5 - Unit Costs'!$A$9:$H$33,8,FALSE)</f>
        <v>0</v>
      </c>
      <c r="O140" s="1144">
        <f t="shared" si="21"/>
        <v>21072.899999999998</v>
      </c>
      <c r="P140" s="1144">
        <f t="shared" si="21"/>
        <v>0</v>
      </c>
      <c r="Q140" s="1144">
        <f t="shared" si="22"/>
        <v>21072.899999999998</v>
      </c>
      <c r="R140" s="1144">
        <f t="shared" si="23"/>
        <v>626.4</v>
      </c>
      <c r="S140" s="1144">
        <f t="shared" si="23"/>
        <v>0</v>
      </c>
      <c r="T140" s="1144">
        <f t="shared" si="24"/>
        <v>626.4</v>
      </c>
      <c r="U140" s="1144">
        <f t="shared" si="25"/>
        <v>0</v>
      </c>
      <c r="V140" s="1144">
        <f t="shared" si="25"/>
        <v>0</v>
      </c>
      <c r="W140" s="1145">
        <f t="shared" si="26"/>
        <v>0</v>
      </c>
    </row>
    <row r="141" spans="1:23" x14ac:dyDescent="0.2">
      <c r="A141" s="1140" t="str">
        <f t="shared" si="18"/>
        <v>41G-I2 1400 AMR</v>
      </c>
      <c r="B141" s="1140" t="str">
        <f t="shared" si="19"/>
        <v xml:space="preserve">41G-I2 1400 </v>
      </c>
      <c r="C141" s="1140" t="s">
        <v>1855</v>
      </c>
      <c r="D141" s="1140" t="s">
        <v>918</v>
      </c>
      <c r="E141" s="1140">
        <v>1400</v>
      </c>
      <c r="F141" s="1141">
        <f>SUMIF('JKP-8.5 - CNSMREQP_GASMTRCTR'!$A$2:$A$391,'JKP-8.5 - Total Costs'!A141,'JKP-8.5 - CNSMREQP_GASMTRCTR'!$F$2:$F$391)-SUMIF('JKP-8.5 - Migrated From'!$A$2:$A$22,'JKP-8.5 - Total Costs'!A141,'JKP-8.5 - Migrated From'!$F$2:$F$22)+SUMIF('JKP-8.5 - Migrated To'!$A$2:$A$22,'JKP-8.5 - Total Costs'!A141,'JKP-8.5 - Migrated To'!$F$2:$F$22)</f>
        <v>9</v>
      </c>
      <c r="G141" s="1141">
        <f>SUMIF('JKP-8.5 - CNSMREQP_GASMTRCTR'!$A$2:$A$391,'JKP-8.5 - Total Costs'!B141,'JKP-8.5 - CNSMREQP_GASMTRCTR'!$F$2:$F$391)-SUMIF('JKP-8.5 - Migrated From'!$A$2:$A$22,'JKP-8.5 - Total Costs'!B141,'JKP-8.5 - Migrated From'!$F$2:$F$22)+SUMIF('JKP-8.5 - Migrated To'!$A$2:$A$22,'JKP-8.5 - Total Costs'!B141,'JKP-8.5 - Migrated To'!$F$2:$F$22)</f>
        <v>0</v>
      </c>
      <c r="H141" s="1142">
        <f t="shared" si="20"/>
        <v>9</v>
      </c>
      <c r="I141" s="1143">
        <f>VLOOKUP($E141,'JKP-8.5 - Unit Costs'!$A$9:$H$33,2,FALSE)</f>
        <v>0</v>
      </c>
      <c r="J141" s="1143">
        <f>VLOOKUP($E141,'JKP-8.5 - Unit Costs'!$A$9:$H$33,5,FALSE)</f>
        <v>0</v>
      </c>
      <c r="K141" s="1143">
        <f>VLOOKUP($E141,'JKP-8.5 - Unit Costs'!$A$9:$H$33,3,FALSE)</f>
        <v>0</v>
      </c>
      <c r="L141" s="1143">
        <f>VLOOKUP($E141,'JKP-8.5 - Unit Costs'!$A$9:$H$33,6,FALSE)</f>
        <v>0</v>
      </c>
      <c r="M141" s="1143">
        <f>VLOOKUP($E141,'JKP-8.5 - Unit Costs'!$A$9:$H$33,8,FALSE)</f>
        <v>2379.79</v>
      </c>
      <c r="N141" s="1143">
        <f>VLOOKUP($E141,'JKP-8.5 - Unit Costs'!$A$9:$H$33,8,FALSE)</f>
        <v>2379.79</v>
      </c>
      <c r="O141" s="1144">
        <f t="shared" si="21"/>
        <v>0</v>
      </c>
      <c r="P141" s="1144">
        <f t="shared" si="21"/>
        <v>0</v>
      </c>
      <c r="Q141" s="1144">
        <f t="shared" si="22"/>
        <v>0</v>
      </c>
      <c r="R141" s="1144">
        <f t="shared" si="23"/>
        <v>0</v>
      </c>
      <c r="S141" s="1144">
        <f t="shared" si="23"/>
        <v>0</v>
      </c>
      <c r="T141" s="1144">
        <f t="shared" si="24"/>
        <v>0</v>
      </c>
      <c r="U141" s="1144">
        <f t="shared" si="25"/>
        <v>21418.11</v>
      </c>
      <c r="V141" s="1144">
        <f t="shared" si="25"/>
        <v>0</v>
      </c>
      <c r="W141" s="1145">
        <f t="shared" si="26"/>
        <v>21418.11</v>
      </c>
    </row>
    <row r="142" spans="1:23" x14ac:dyDescent="0.2">
      <c r="A142" s="1140" t="str">
        <f t="shared" si="18"/>
        <v>41G-I2 2300 AMR</v>
      </c>
      <c r="B142" s="1140" t="str">
        <f t="shared" si="19"/>
        <v xml:space="preserve">41G-I2 2300 </v>
      </c>
      <c r="C142" s="1140" t="s">
        <v>1855</v>
      </c>
      <c r="D142" s="1140" t="s">
        <v>918</v>
      </c>
      <c r="E142" s="1140">
        <v>2300</v>
      </c>
      <c r="F142" s="1141">
        <f>SUMIF('JKP-8.5 - CNSMREQP_GASMTRCTR'!$A$2:$A$391,'JKP-8.5 - Total Costs'!A142,'JKP-8.5 - CNSMREQP_GASMTRCTR'!$F$2:$F$391)-SUMIF('JKP-8.5 - Migrated From'!$A$2:$A$22,'JKP-8.5 - Total Costs'!A142,'JKP-8.5 - Migrated From'!$F$2:$F$22)+SUMIF('JKP-8.5 - Migrated To'!$A$2:$A$22,'JKP-8.5 - Total Costs'!A142,'JKP-8.5 - Migrated To'!$F$2:$F$22)</f>
        <v>9</v>
      </c>
      <c r="G142" s="1141">
        <f>SUMIF('JKP-8.5 - CNSMREQP_GASMTRCTR'!$A$2:$A$391,'JKP-8.5 - Total Costs'!B142,'JKP-8.5 - CNSMREQP_GASMTRCTR'!$F$2:$F$391)-SUMIF('JKP-8.5 - Migrated From'!$A$2:$A$22,'JKP-8.5 - Total Costs'!B142,'JKP-8.5 - Migrated From'!$F$2:$F$22)+SUMIF('JKP-8.5 - Migrated To'!$A$2:$A$22,'JKP-8.5 - Total Costs'!B142,'JKP-8.5 - Migrated To'!$F$2:$F$22)</f>
        <v>4</v>
      </c>
      <c r="H142" s="1142">
        <f t="shared" si="20"/>
        <v>13</v>
      </c>
      <c r="I142" s="1143">
        <f>VLOOKUP($E142,'JKP-8.5 - Unit Costs'!$A$9:$H$33,2,FALSE)</f>
        <v>0</v>
      </c>
      <c r="J142" s="1143">
        <f>VLOOKUP($E142,'JKP-8.5 - Unit Costs'!$A$9:$H$33,5,FALSE)</f>
        <v>0</v>
      </c>
      <c r="K142" s="1143">
        <f>VLOOKUP($E142,'JKP-8.5 - Unit Costs'!$A$9:$H$33,3,FALSE)</f>
        <v>0</v>
      </c>
      <c r="L142" s="1143">
        <f>VLOOKUP($E142,'JKP-8.5 - Unit Costs'!$A$9:$H$33,6,FALSE)</f>
        <v>0</v>
      </c>
      <c r="M142" s="1143">
        <f>VLOOKUP($E142,'JKP-8.5 - Unit Costs'!$A$9:$H$33,8,FALSE)</f>
        <v>3587.13</v>
      </c>
      <c r="N142" s="1143">
        <f>VLOOKUP($E142,'JKP-8.5 - Unit Costs'!$A$9:$H$33,8,FALSE)</f>
        <v>3587.13</v>
      </c>
      <c r="O142" s="1144">
        <f t="shared" si="21"/>
        <v>0</v>
      </c>
      <c r="P142" s="1144">
        <f t="shared" si="21"/>
        <v>0</v>
      </c>
      <c r="Q142" s="1144">
        <f t="shared" si="22"/>
        <v>0</v>
      </c>
      <c r="R142" s="1144">
        <f t="shared" si="23"/>
        <v>0</v>
      </c>
      <c r="S142" s="1144">
        <f t="shared" si="23"/>
        <v>0</v>
      </c>
      <c r="T142" s="1144">
        <f t="shared" si="24"/>
        <v>0</v>
      </c>
      <c r="U142" s="1144">
        <f t="shared" si="25"/>
        <v>32284.170000000002</v>
      </c>
      <c r="V142" s="1144">
        <f t="shared" si="25"/>
        <v>14348.52</v>
      </c>
      <c r="W142" s="1145">
        <f t="shared" si="26"/>
        <v>46632.69</v>
      </c>
    </row>
    <row r="143" spans="1:23" x14ac:dyDescent="0.2">
      <c r="A143" s="1140" t="str">
        <f t="shared" si="18"/>
        <v>41G-I2 3000 AMR</v>
      </c>
      <c r="B143" s="1140" t="str">
        <f t="shared" si="19"/>
        <v xml:space="preserve">41G-I2 3000 </v>
      </c>
      <c r="C143" s="1140" t="s">
        <v>1855</v>
      </c>
      <c r="D143" s="1140" t="s">
        <v>918</v>
      </c>
      <c r="E143" s="1140">
        <v>3000</v>
      </c>
      <c r="F143" s="1141">
        <f>SUMIF('JKP-8.5 - CNSMREQP_GASMTRCTR'!$A$2:$A$391,'JKP-8.5 - Total Costs'!A143,'JKP-8.5 - CNSMREQP_GASMTRCTR'!$F$2:$F$391)-SUMIF('JKP-8.5 - Migrated From'!$A$2:$A$22,'JKP-8.5 - Total Costs'!A143,'JKP-8.5 - Migrated From'!$F$2:$F$22)+SUMIF('JKP-8.5 - Migrated To'!$A$2:$A$22,'JKP-8.5 - Total Costs'!A143,'JKP-8.5 - Migrated To'!$F$2:$F$22)</f>
        <v>4</v>
      </c>
      <c r="G143" s="1141">
        <f>SUMIF('JKP-8.5 - CNSMREQP_GASMTRCTR'!$A$2:$A$391,'JKP-8.5 - Total Costs'!B143,'JKP-8.5 - CNSMREQP_GASMTRCTR'!$F$2:$F$391)-SUMIF('JKP-8.5 - Migrated From'!$A$2:$A$22,'JKP-8.5 - Total Costs'!B143,'JKP-8.5 - Migrated From'!$F$2:$F$22)+SUMIF('JKP-8.5 - Migrated To'!$A$2:$A$22,'JKP-8.5 - Total Costs'!B143,'JKP-8.5 - Migrated To'!$F$2:$F$22)</f>
        <v>3</v>
      </c>
      <c r="H143" s="1142">
        <f t="shared" si="20"/>
        <v>7</v>
      </c>
      <c r="I143" s="1143">
        <f>VLOOKUP($E143,'JKP-8.5 - Unit Costs'!$A$9:$H$33,2,FALSE)</f>
        <v>0</v>
      </c>
      <c r="J143" s="1143">
        <f>VLOOKUP($E143,'JKP-8.5 - Unit Costs'!$A$9:$H$33,5,FALSE)</f>
        <v>0</v>
      </c>
      <c r="K143" s="1143">
        <f>VLOOKUP($E143,'JKP-8.5 - Unit Costs'!$A$9:$H$33,3,FALSE)</f>
        <v>0</v>
      </c>
      <c r="L143" s="1143">
        <f>VLOOKUP($E143,'JKP-8.5 - Unit Costs'!$A$9:$H$33,6,FALSE)</f>
        <v>0</v>
      </c>
      <c r="M143" s="1143">
        <f>VLOOKUP($E143,'JKP-8.5 - Unit Costs'!$A$9:$H$33,8,FALSE)</f>
        <v>3406.19</v>
      </c>
      <c r="N143" s="1143">
        <f>VLOOKUP($E143,'JKP-8.5 - Unit Costs'!$A$9:$H$33,8,FALSE)</f>
        <v>3406.19</v>
      </c>
      <c r="O143" s="1144">
        <f t="shared" si="21"/>
        <v>0</v>
      </c>
      <c r="P143" s="1144">
        <f t="shared" si="21"/>
        <v>0</v>
      </c>
      <c r="Q143" s="1144">
        <f t="shared" si="22"/>
        <v>0</v>
      </c>
      <c r="R143" s="1144">
        <f t="shared" si="23"/>
        <v>0</v>
      </c>
      <c r="S143" s="1144">
        <f t="shared" si="23"/>
        <v>0</v>
      </c>
      <c r="T143" s="1144">
        <f t="shared" si="24"/>
        <v>0</v>
      </c>
      <c r="U143" s="1144">
        <f t="shared" si="25"/>
        <v>13624.76</v>
      </c>
      <c r="V143" s="1144">
        <f t="shared" si="25"/>
        <v>10218.57</v>
      </c>
      <c r="W143" s="1145">
        <f t="shared" si="26"/>
        <v>23843.33</v>
      </c>
    </row>
    <row r="144" spans="1:23" x14ac:dyDescent="0.2">
      <c r="A144" s="1140" t="str">
        <f t="shared" si="18"/>
        <v>41G-I2 5000 AMR</v>
      </c>
      <c r="B144" s="1140" t="str">
        <f t="shared" si="19"/>
        <v xml:space="preserve">41G-I2 5000 </v>
      </c>
      <c r="C144" s="1140" t="s">
        <v>1855</v>
      </c>
      <c r="D144" s="1140" t="s">
        <v>918</v>
      </c>
      <c r="E144" s="1140">
        <v>5000</v>
      </c>
      <c r="F144" s="1141">
        <f>SUMIF('JKP-8.5 - CNSMREQP_GASMTRCTR'!$A$2:$A$391,'JKP-8.5 - Total Costs'!A144,'JKP-8.5 - CNSMREQP_GASMTRCTR'!$F$2:$F$391)-SUMIF('JKP-8.5 - Migrated From'!$A$2:$A$22,'JKP-8.5 - Total Costs'!A144,'JKP-8.5 - Migrated From'!$F$2:$F$22)+SUMIF('JKP-8.5 - Migrated To'!$A$2:$A$22,'JKP-8.5 - Total Costs'!A144,'JKP-8.5 - Migrated To'!$F$2:$F$22)</f>
        <v>12</v>
      </c>
      <c r="G144" s="1141">
        <f>SUMIF('JKP-8.5 - CNSMREQP_GASMTRCTR'!$A$2:$A$391,'JKP-8.5 - Total Costs'!B144,'JKP-8.5 - CNSMREQP_GASMTRCTR'!$F$2:$F$391)-SUMIF('JKP-8.5 - Migrated From'!$A$2:$A$22,'JKP-8.5 - Total Costs'!B144,'JKP-8.5 - Migrated From'!$F$2:$F$22)+SUMIF('JKP-8.5 - Migrated To'!$A$2:$A$22,'JKP-8.5 - Total Costs'!B144,'JKP-8.5 - Migrated To'!$F$2:$F$22)</f>
        <v>7</v>
      </c>
      <c r="H144" s="1142">
        <f t="shared" si="20"/>
        <v>19</v>
      </c>
      <c r="I144" s="1143">
        <f>VLOOKUP($E144,'JKP-8.5 - Unit Costs'!$A$9:$H$33,2,FALSE)</f>
        <v>0</v>
      </c>
      <c r="J144" s="1143">
        <f>VLOOKUP($E144,'JKP-8.5 - Unit Costs'!$A$9:$H$33,5,FALSE)</f>
        <v>0</v>
      </c>
      <c r="K144" s="1143">
        <f>VLOOKUP($E144,'JKP-8.5 - Unit Costs'!$A$9:$H$33,3,FALSE)</f>
        <v>0</v>
      </c>
      <c r="L144" s="1143">
        <f>VLOOKUP($E144,'JKP-8.5 - Unit Costs'!$A$9:$H$33,6,FALSE)</f>
        <v>0</v>
      </c>
      <c r="M144" s="1143">
        <f>VLOOKUP($E144,'JKP-8.5 - Unit Costs'!$A$9:$H$33,8,FALSE)</f>
        <v>3456.43</v>
      </c>
      <c r="N144" s="1143">
        <f>VLOOKUP($E144,'JKP-8.5 - Unit Costs'!$A$9:$H$33,8,FALSE)</f>
        <v>3456.43</v>
      </c>
      <c r="O144" s="1144">
        <f t="shared" si="21"/>
        <v>0</v>
      </c>
      <c r="P144" s="1144">
        <f t="shared" si="21"/>
        <v>0</v>
      </c>
      <c r="Q144" s="1144">
        <f t="shared" si="22"/>
        <v>0</v>
      </c>
      <c r="R144" s="1144">
        <f t="shared" si="23"/>
        <v>0</v>
      </c>
      <c r="S144" s="1144">
        <f t="shared" si="23"/>
        <v>0</v>
      </c>
      <c r="T144" s="1144">
        <f t="shared" si="24"/>
        <v>0</v>
      </c>
      <c r="U144" s="1144">
        <f t="shared" si="25"/>
        <v>41477.159999999996</v>
      </c>
      <c r="V144" s="1144">
        <f t="shared" si="25"/>
        <v>24195.01</v>
      </c>
      <c r="W144" s="1145">
        <f t="shared" si="26"/>
        <v>65672.17</v>
      </c>
    </row>
    <row r="145" spans="1:23" x14ac:dyDescent="0.2">
      <c r="A145" s="1140" t="str">
        <f t="shared" si="18"/>
        <v>41G-I2 7000 AMR</v>
      </c>
      <c r="B145" s="1140" t="str">
        <f t="shared" si="19"/>
        <v xml:space="preserve">41G-I2 7000 </v>
      </c>
      <c r="C145" s="1140" t="s">
        <v>1855</v>
      </c>
      <c r="D145" s="1140" t="s">
        <v>918</v>
      </c>
      <c r="E145" s="1140">
        <v>7000</v>
      </c>
      <c r="F145" s="1141">
        <f>SUMIF('JKP-8.5 - CNSMREQP_GASMTRCTR'!$A$2:$A$391,'JKP-8.5 - Total Costs'!A145,'JKP-8.5 - CNSMREQP_GASMTRCTR'!$F$2:$F$391)-SUMIF('JKP-8.5 - Migrated From'!$A$2:$A$22,'JKP-8.5 - Total Costs'!A145,'JKP-8.5 - Migrated From'!$F$2:$F$22)+SUMIF('JKP-8.5 - Migrated To'!$A$2:$A$22,'JKP-8.5 - Total Costs'!A145,'JKP-8.5 - Migrated To'!$F$2:$F$22)</f>
        <v>9</v>
      </c>
      <c r="G145" s="1141">
        <f>SUMIF('JKP-8.5 - CNSMREQP_GASMTRCTR'!$A$2:$A$391,'JKP-8.5 - Total Costs'!B145,'JKP-8.5 - CNSMREQP_GASMTRCTR'!$F$2:$F$391)-SUMIF('JKP-8.5 - Migrated From'!$A$2:$A$22,'JKP-8.5 - Total Costs'!B145,'JKP-8.5 - Migrated From'!$F$2:$F$22)+SUMIF('JKP-8.5 - Migrated To'!$A$2:$A$22,'JKP-8.5 - Total Costs'!B145,'JKP-8.5 - Migrated To'!$F$2:$F$22)</f>
        <v>3</v>
      </c>
      <c r="H145" s="1142">
        <f t="shared" si="20"/>
        <v>12</v>
      </c>
      <c r="I145" s="1143">
        <f>VLOOKUP($E145,'JKP-8.5 - Unit Costs'!$A$9:$H$33,2,FALSE)</f>
        <v>0</v>
      </c>
      <c r="J145" s="1143">
        <f>VLOOKUP($E145,'JKP-8.5 - Unit Costs'!$A$9:$H$33,5,FALSE)</f>
        <v>0</v>
      </c>
      <c r="K145" s="1143">
        <f>VLOOKUP($E145,'JKP-8.5 - Unit Costs'!$A$9:$H$33,3,FALSE)</f>
        <v>0</v>
      </c>
      <c r="L145" s="1143">
        <f>VLOOKUP($E145,'JKP-8.5 - Unit Costs'!$A$9:$H$33,6,FALSE)</f>
        <v>0</v>
      </c>
      <c r="M145" s="1143">
        <f>VLOOKUP($E145,'JKP-8.5 - Unit Costs'!$A$9:$H$33,8,FALSE)</f>
        <v>3458.4399999999996</v>
      </c>
      <c r="N145" s="1143">
        <f>VLOOKUP($E145,'JKP-8.5 - Unit Costs'!$A$9:$H$33,8,FALSE)</f>
        <v>3458.4399999999996</v>
      </c>
      <c r="O145" s="1144">
        <f t="shared" si="21"/>
        <v>0</v>
      </c>
      <c r="P145" s="1144">
        <f t="shared" si="21"/>
        <v>0</v>
      </c>
      <c r="Q145" s="1144">
        <f t="shared" si="22"/>
        <v>0</v>
      </c>
      <c r="R145" s="1144">
        <f t="shared" si="23"/>
        <v>0</v>
      </c>
      <c r="S145" s="1144">
        <f t="shared" si="23"/>
        <v>0</v>
      </c>
      <c r="T145" s="1144">
        <f t="shared" si="24"/>
        <v>0</v>
      </c>
      <c r="U145" s="1144">
        <f t="shared" si="25"/>
        <v>31125.959999999995</v>
      </c>
      <c r="V145" s="1144">
        <f t="shared" si="25"/>
        <v>10375.32</v>
      </c>
      <c r="W145" s="1145">
        <f t="shared" si="26"/>
        <v>41501.279999999999</v>
      </c>
    </row>
    <row r="146" spans="1:23" x14ac:dyDescent="0.2">
      <c r="A146" s="1140" t="str">
        <f t="shared" si="18"/>
        <v>41G-I2 11000 AMR</v>
      </c>
      <c r="B146" s="1140" t="str">
        <f t="shared" si="19"/>
        <v xml:space="preserve">41G-I2 11000 </v>
      </c>
      <c r="C146" s="1140" t="s">
        <v>1855</v>
      </c>
      <c r="D146" s="1140" t="s">
        <v>918</v>
      </c>
      <c r="E146" s="1140">
        <v>11000</v>
      </c>
      <c r="F146" s="1141">
        <f>SUMIF('JKP-8.5 - CNSMREQP_GASMTRCTR'!$A$2:$A$391,'JKP-8.5 - Total Costs'!A146,'JKP-8.5 - CNSMREQP_GASMTRCTR'!$F$2:$F$391)-SUMIF('JKP-8.5 - Migrated From'!$A$2:$A$22,'JKP-8.5 - Total Costs'!A146,'JKP-8.5 - Migrated From'!$F$2:$F$22)+SUMIF('JKP-8.5 - Migrated To'!$A$2:$A$22,'JKP-8.5 - Total Costs'!A146,'JKP-8.5 - Migrated To'!$F$2:$F$22)</f>
        <v>0</v>
      </c>
      <c r="G146" s="1141">
        <f>SUMIF('JKP-8.5 - CNSMREQP_GASMTRCTR'!$A$2:$A$391,'JKP-8.5 - Total Costs'!B146,'JKP-8.5 - CNSMREQP_GASMTRCTR'!$F$2:$F$391)-SUMIF('JKP-8.5 - Migrated From'!$A$2:$A$22,'JKP-8.5 - Total Costs'!B146,'JKP-8.5 - Migrated From'!$F$2:$F$22)+SUMIF('JKP-8.5 - Migrated To'!$A$2:$A$22,'JKP-8.5 - Total Costs'!B146,'JKP-8.5 - Migrated To'!$F$2:$F$22)</f>
        <v>11</v>
      </c>
      <c r="H146" s="1142">
        <f t="shared" si="20"/>
        <v>11</v>
      </c>
      <c r="I146" s="1143">
        <f>VLOOKUP($E146,'JKP-8.5 - Unit Costs'!$A$9:$H$33,2,FALSE)</f>
        <v>0</v>
      </c>
      <c r="J146" s="1143">
        <f>VLOOKUP($E146,'JKP-8.5 - Unit Costs'!$A$9:$H$33,5,FALSE)</f>
        <v>0</v>
      </c>
      <c r="K146" s="1143">
        <f>VLOOKUP($E146,'JKP-8.5 - Unit Costs'!$A$9:$H$33,3,FALSE)</f>
        <v>0</v>
      </c>
      <c r="L146" s="1143">
        <f>VLOOKUP($E146,'JKP-8.5 - Unit Costs'!$A$9:$H$33,6,FALSE)</f>
        <v>0</v>
      </c>
      <c r="M146" s="1143">
        <f>VLOOKUP($E146,'JKP-8.5 - Unit Costs'!$A$9:$H$33,8,FALSE)</f>
        <v>5835.1900000000005</v>
      </c>
      <c r="N146" s="1143">
        <f>VLOOKUP($E146,'JKP-8.5 - Unit Costs'!$A$9:$H$33,8,FALSE)</f>
        <v>5835.1900000000005</v>
      </c>
      <c r="O146" s="1144">
        <f t="shared" si="21"/>
        <v>0</v>
      </c>
      <c r="P146" s="1144">
        <f t="shared" si="21"/>
        <v>0</v>
      </c>
      <c r="Q146" s="1144">
        <f t="shared" si="22"/>
        <v>0</v>
      </c>
      <c r="R146" s="1144">
        <f t="shared" si="23"/>
        <v>0</v>
      </c>
      <c r="S146" s="1144">
        <f t="shared" si="23"/>
        <v>0</v>
      </c>
      <c r="T146" s="1144">
        <f t="shared" si="24"/>
        <v>0</v>
      </c>
      <c r="U146" s="1144">
        <f t="shared" si="25"/>
        <v>0</v>
      </c>
      <c r="V146" s="1144">
        <f t="shared" si="25"/>
        <v>64187.090000000004</v>
      </c>
      <c r="W146" s="1145">
        <f t="shared" si="26"/>
        <v>64187.090000000004</v>
      </c>
    </row>
    <row r="147" spans="1:23" x14ac:dyDescent="0.2">
      <c r="A147" s="1140" t="str">
        <f t="shared" si="18"/>
        <v>41G-I2 16000 AMR</v>
      </c>
      <c r="B147" s="1140" t="str">
        <f t="shared" si="19"/>
        <v xml:space="preserve">41G-I2 16000 </v>
      </c>
      <c r="C147" s="1140" t="s">
        <v>1855</v>
      </c>
      <c r="D147" s="1140" t="s">
        <v>918</v>
      </c>
      <c r="E147" s="1140">
        <v>16000</v>
      </c>
      <c r="F147" s="1141">
        <f>SUMIF('JKP-8.5 - CNSMREQP_GASMTRCTR'!$A$2:$A$391,'JKP-8.5 - Total Costs'!A147,'JKP-8.5 - CNSMREQP_GASMTRCTR'!$F$2:$F$391)-SUMIF('JKP-8.5 - Migrated From'!$A$2:$A$22,'JKP-8.5 - Total Costs'!A147,'JKP-8.5 - Migrated From'!$F$2:$F$22)+SUMIF('JKP-8.5 - Migrated To'!$A$2:$A$22,'JKP-8.5 - Total Costs'!A147,'JKP-8.5 - Migrated To'!$F$2:$F$22)</f>
        <v>0</v>
      </c>
      <c r="G147" s="1141">
        <f>SUMIF('JKP-8.5 - CNSMREQP_GASMTRCTR'!$A$2:$A$391,'JKP-8.5 - Total Costs'!B147,'JKP-8.5 - CNSMREQP_GASMTRCTR'!$F$2:$F$391)-SUMIF('JKP-8.5 - Migrated From'!$A$2:$A$22,'JKP-8.5 - Total Costs'!B147,'JKP-8.5 - Migrated From'!$F$2:$F$22)+SUMIF('JKP-8.5 - Migrated To'!$A$2:$A$22,'JKP-8.5 - Total Costs'!B147,'JKP-8.5 - Migrated To'!$F$2:$F$22)</f>
        <v>25</v>
      </c>
      <c r="H147" s="1142">
        <f t="shared" si="20"/>
        <v>25</v>
      </c>
      <c r="I147" s="1143">
        <f>VLOOKUP($E147,'JKP-8.5 - Unit Costs'!$A$9:$H$33,2,FALSE)</f>
        <v>0</v>
      </c>
      <c r="J147" s="1143">
        <f>VLOOKUP($E147,'JKP-8.5 - Unit Costs'!$A$9:$H$33,5,FALSE)</f>
        <v>0</v>
      </c>
      <c r="K147" s="1143">
        <f>VLOOKUP($E147,'JKP-8.5 - Unit Costs'!$A$9:$H$33,3,FALSE)</f>
        <v>0</v>
      </c>
      <c r="L147" s="1143">
        <f>VLOOKUP($E147,'JKP-8.5 - Unit Costs'!$A$9:$H$33,6,FALSE)</f>
        <v>0</v>
      </c>
      <c r="M147" s="1143">
        <f>VLOOKUP($E147,'JKP-8.5 - Unit Costs'!$A$9:$H$33,8,FALSE)</f>
        <v>8983.2999999999993</v>
      </c>
      <c r="N147" s="1143">
        <f>VLOOKUP($E147,'JKP-8.5 - Unit Costs'!$A$9:$H$33,8,FALSE)</f>
        <v>8983.2999999999993</v>
      </c>
      <c r="O147" s="1144">
        <f t="shared" si="21"/>
        <v>0</v>
      </c>
      <c r="P147" s="1144">
        <f t="shared" si="21"/>
        <v>0</v>
      </c>
      <c r="Q147" s="1144">
        <f t="shared" si="22"/>
        <v>0</v>
      </c>
      <c r="R147" s="1144">
        <f t="shared" si="23"/>
        <v>0</v>
      </c>
      <c r="S147" s="1144">
        <f t="shared" si="23"/>
        <v>0</v>
      </c>
      <c r="T147" s="1144">
        <f t="shared" si="24"/>
        <v>0</v>
      </c>
      <c r="U147" s="1144">
        <f t="shared" si="25"/>
        <v>0</v>
      </c>
      <c r="V147" s="1144">
        <f t="shared" si="25"/>
        <v>224582.49999999997</v>
      </c>
      <c r="W147" s="1145">
        <f t="shared" si="26"/>
        <v>224582.49999999997</v>
      </c>
    </row>
    <row r="148" spans="1:23" x14ac:dyDescent="0.2">
      <c r="A148" s="1140" t="str">
        <f t="shared" si="18"/>
        <v>41G-I2 23000 AMR</v>
      </c>
      <c r="B148" s="1140" t="str">
        <f t="shared" si="19"/>
        <v xml:space="preserve">41G-I2 23000 </v>
      </c>
      <c r="C148" s="1140" t="s">
        <v>1855</v>
      </c>
      <c r="D148" s="1140" t="s">
        <v>918</v>
      </c>
      <c r="E148" s="1140">
        <v>23000</v>
      </c>
      <c r="F148" s="1141">
        <f>SUMIF('JKP-8.5 - CNSMREQP_GASMTRCTR'!$A$2:$A$391,'JKP-8.5 - Total Costs'!A148,'JKP-8.5 - CNSMREQP_GASMTRCTR'!$F$2:$F$391)-SUMIF('JKP-8.5 - Migrated From'!$A$2:$A$22,'JKP-8.5 - Total Costs'!A148,'JKP-8.5 - Migrated From'!$F$2:$F$22)+SUMIF('JKP-8.5 - Migrated To'!$A$2:$A$22,'JKP-8.5 - Total Costs'!A148,'JKP-8.5 - Migrated To'!$F$2:$F$22)</f>
        <v>0</v>
      </c>
      <c r="G148" s="1141">
        <f>SUMIF('JKP-8.5 - CNSMREQP_GASMTRCTR'!$A$2:$A$391,'JKP-8.5 - Total Costs'!B148,'JKP-8.5 - CNSMREQP_GASMTRCTR'!$F$2:$F$391)-SUMIF('JKP-8.5 - Migrated From'!$A$2:$A$22,'JKP-8.5 - Total Costs'!B148,'JKP-8.5 - Migrated From'!$F$2:$F$22)+SUMIF('JKP-8.5 - Migrated To'!$A$2:$A$22,'JKP-8.5 - Total Costs'!B148,'JKP-8.5 - Migrated To'!$F$2:$F$22)</f>
        <v>2</v>
      </c>
      <c r="H148" s="1142">
        <f t="shared" si="20"/>
        <v>2</v>
      </c>
      <c r="I148" s="1143">
        <f>VLOOKUP($E148,'JKP-8.5 - Unit Costs'!$A$9:$H$33,2,FALSE)</f>
        <v>0</v>
      </c>
      <c r="J148" s="1143">
        <f>VLOOKUP($E148,'JKP-8.5 - Unit Costs'!$A$9:$H$33,5,FALSE)</f>
        <v>0</v>
      </c>
      <c r="K148" s="1143">
        <f>VLOOKUP($E148,'JKP-8.5 - Unit Costs'!$A$9:$H$33,3,FALSE)</f>
        <v>0</v>
      </c>
      <c r="L148" s="1143">
        <f>VLOOKUP($E148,'JKP-8.5 - Unit Costs'!$A$9:$H$33,6,FALSE)</f>
        <v>0</v>
      </c>
      <c r="M148" s="1143">
        <f>VLOOKUP($E148,'JKP-8.5 - Unit Costs'!$A$9:$H$33,8,FALSE)</f>
        <v>20882.400000000001</v>
      </c>
      <c r="N148" s="1143">
        <f>VLOOKUP($E148,'JKP-8.5 - Unit Costs'!$A$9:$H$33,8,FALSE)</f>
        <v>20882.400000000001</v>
      </c>
      <c r="O148" s="1144">
        <f t="shared" si="21"/>
        <v>0</v>
      </c>
      <c r="P148" s="1144">
        <f t="shared" si="21"/>
        <v>0</v>
      </c>
      <c r="Q148" s="1144">
        <f t="shared" si="22"/>
        <v>0</v>
      </c>
      <c r="R148" s="1144">
        <f t="shared" si="23"/>
        <v>0</v>
      </c>
      <c r="S148" s="1144">
        <f t="shared" si="23"/>
        <v>0</v>
      </c>
      <c r="T148" s="1144">
        <f t="shared" si="24"/>
        <v>0</v>
      </c>
      <c r="U148" s="1144">
        <f t="shared" si="25"/>
        <v>0</v>
      </c>
      <c r="V148" s="1144">
        <f t="shared" si="25"/>
        <v>41764.800000000003</v>
      </c>
      <c r="W148" s="1145">
        <f t="shared" si="26"/>
        <v>41764.800000000003</v>
      </c>
    </row>
    <row r="149" spans="1:23" x14ac:dyDescent="0.2">
      <c r="A149" s="1140" t="str">
        <f t="shared" si="18"/>
        <v>41G-I2 30000 AMR</v>
      </c>
      <c r="B149" s="1140" t="str">
        <f t="shared" si="19"/>
        <v xml:space="preserve">41G-I2 30000 </v>
      </c>
      <c r="C149" s="1140" t="s">
        <v>1855</v>
      </c>
      <c r="D149" s="1140" t="s">
        <v>918</v>
      </c>
      <c r="E149" s="1140">
        <v>30000</v>
      </c>
      <c r="F149" s="1141">
        <f>SUMIF('JKP-8.5 - CNSMREQP_GASMTRCTR'!$A$2:$A$391,'JKP-8.5 - Total Costs'!A149,'JKP-8.5 - CNSMREQP_GASMTRCTR'!$F$2:$F$391)-SUMIF('JKP-8.5 - Migrated From'!$A$2:$A$22,'JKP-8.5 - Total Costs'!A149,'JKP-8.5 - Migrated From'!$F$2:$F$22)+SUMIF('JKP-8.5 - Migrated To'!$A$2:$A$22,'JKP-8.5 - Total Costs'!A149,'JKP-8.5 - Migrated To'!$F$2:$F$22)</f>
        <v>0</v>
      </c>
      <c r="G149" s="1141">
        <f>SUMIF('JKP-8.5 - CNSMREQP_GASMTRCTR'!$A$2:$A$391,'JKP-8.5 - Total Costs'!B149,'JKP-8.5 - CNSMREQP_GASMTRCTR'!$F$2:$F$391)-SUMIF('JKP-8.5 - Migrated From'!$A$2:$A$22,'JKP-8.5 - Total Costs'!B149,'JKP-8.5 - Migrated From'!$F$2:$F$22)+SUMIF('JKP-8.5 - Migrated To'!$A$2:$A$22,'JKP-8.5 - Total Costs'!B149,'JKP-8.5 - Migrated To'!$F$2:$F$22)</f>
        <v>2</v>
      </c>
      <c r="H149" s="1142">
        <f t="shared" si="20"/>
        <v>2</v>
      </c>
      <c r="I149" s="1143">
        <f>VLOOKUP($E149,'JKP-8.5 - Unit Costs'!$A$9:$H$33,2,FALSE)</f>
        <v>0</v>
      </c>
      <c r="J149" s="1143">
        <f>VLOOKUP($E149,'JKP-8.5 - Unit Costs'!$A$9:$H$33,5,FALSE)</f>
        <v>0</v>
      </c>
      <c r="K149" s="1143">
        <f>VLOOKUP($E149,'JKP-8.5 - Unit Costs'!$A$9:$H$33,3,FALSE)</f>
        <v>0</v>
      </c>
      <c r="L149" s="1143">
        <f>VLOOKUP($E149,'JKP-8.5 - Unit Costs'!$A$9:$H$33,6,FALSE)</f>
        <v>0</v>
      </c>
      <c r="M149" s="1143">
        <f>VLOOKUP($E149,'JKP-8.5 - Unit Costs'!$A$9:$H$33,8,FALSE)</f>
        <v>28159.37</v>
      </c>
      <c r="N149" s="1143">
        <f>VLOOKUP($E149,'JKP-8.5 - Unit Costs'!$A$9:$H$33,8,FALSE)</f>
        <v>28159.37</v>
      </c>
      <c r="O149" s="1144">
        <f t="shared" si="21"/>
        <v>0</v>
      </c>
      <c r="P149" s="1144">
        <f t="shared" si="21"/>
        <v>0</v>
      </c>
      <c r="Q149" s="1144">
        <f t="shared" si="22"/>
        <v>0</v>
      </c>
      <c r="R149" s="1144">
        <f t="shared" si="23"/>
        <v>0</v>
      </c>
      <c r="S149" s="1144">
        <f t="shared" si="23"/>
        <v>0</v>
      </c>
      <c r="T149" s="1144">
        <f t="shared" si="24"/>
        <v>0</v>
      </c>
      <c r="U149" s="1144">
        <f t="shared" si="25"/>
        <v>0</v>
      </c>
      <c r="V149" s="1144">
        <f t="shared" si="25"/>
        <v>56318.74</v>
      </c>
      <c r="W149" s="1145">
        <f t="shared" si="26"/>
        <v>56318.74</v>
      </c>
    </row>
    <row r="150" spans="1:23" x14ac:dyDescent="0.2">
      <c r="A150" s="1140" t="str">
        <f t="shared" si="18"/>
        <v>41G-I2 60000 AMR</v>
      </c>
      <c r="B150" s="1140" t="str">
        <f t="shared" si="19"/>
        <v xml:space="preserve">41G-I2 60000 </v>
      </c>
      <c r="C150" s="1140" t="s">
        <v>1855</v>
      </c>
      <c r="D150" s="1140" t="s">
        <v>918</v>
      </c>
      <c r="E150" s="1140">
        <v>60000</v>
      </c>
      <c r="F150" s="1141">
        <f>SUMIF('JKP-8.5 - CNSMREQP_GASMTRCTR'!$A$2:$A$391,'JKP-8.5 - Total Costs'!A150,'JKP-8.5 - CNSMREQP_GASMTRCTR'!$F$2:$F$391)-SUMIF('JKP-8.5 - Migrated From'!$A$2:$A$22,'JKP-8.5 - Total Costs'!A150,'JKP-8.5 - Migrated From'!$F$2:$F$22)+SUMIF('JKP-8.5 - Migrated To'!$A$2:$A$22,'JKP-8.5 - Total Costs'!A150,'JKP-8.5 - Migrated To'!$F$2:$F$22)</f>
        <v>0</v>
      </c>
      <c r="G150" s="1141">
        <f>SUMIF('JKP-8.5 - CNSMREQP_GASMTRCTR'!$A$2:$A$391,'JKP-8.5 - Total Costs'!B150,'JKP-8.5 - CNSMREQP_GASMTRCTR'!$F$2:$F$391)-SUMIF('JKP-8.5 - Migrated From'!$A$2:$A$22,'JKP-8.5 - Total Costs'!B150,'JKP-8.5 - Migrated From'!$F$2:$F$22)+SUMIF('JKP-8.5 - Migrated To'!$A$2:$A$22,'JKP-8.5 - Total Costs'!B150,'JKP-8.5 - Migrated To'!$F$2:$F$22)</f>
        <v>1</v>
      </c>
      <c r="H150" s="1142">
        <f t="shared" si="20"/>
        <v>1</v>
      </c>
      <c r="I150" s="1143">
        <f>VLOOKUP($E150,'JKP-8.5 - Unit Costs'!$A$9:$H$33,2,FALSE)</f>
        <v>0</v>
      </c>
      <c r="J150" s="1143">
        <f>VLOOKUP($E150,'JKP-8.5 - Unit Costs'!$A$9:$H$33,5,FALSE)</f>
        <v>0</v>
      </c>
      <c r="K150" s="1143">
        <f>VLOOKUP($E150,'JKP-8.5 - Unit Costs'!$A$9:$H$33,3,FALSE)</f>
        <v>0</v>
      </c>
      <c r="L150" s="1143">
        <f>VLOOKUP($E150,'JKP-8.5 - Unit Costs'!$A$9:$H$33,6,FALSE)</f>
        <v>0</v>
      </c>
      <c r="M150" s="1143">
        <f>VLOOKUP($E150,'JKP-8.5 - Unit Costs'!$A$9:$H$33,8,FALSE)</f>
        <v>36556.269999999997</v>
      </c>
      <c r="N150" s="1143">
        <f>VLOOKUP($E150,'JKP-8.5 - Unit Costs'!$A$9:$H$33,8,FALSE)</f>
        <v>36556.269999999997</v>
      </c>
      <c r="O150" s="1144">
        <f t="shared" si="21"/>
        <v>0</v>
      </c>
      <c r="P150" s="1144">
        <f t="shared" si="21"/>
        <v>0</v>
      </c>
      <c r="Q150" s="1144">
        <f t="shared" si="22"/>
        <v>0</v>
      </c>
      <c r="R150" s="1144">
        <f t="shared" si="23"/>
        <v>0</v>
      </c>
      <c r="S150" s="1144">
        <f t="shared" si="23"/>
        <v>0</v>
      </c>
      <c r="T150" s="1144">
        <f t="shared" si="24"/>
        <v>0</v>
      </c>
      <c r="U150" s="1144">
        <f t="shared" si="25"/>
        <v>0</v>
      </c>
      <c r="V150" s="1144">
        <f t="shared" si="25"/>
        <v>36556.269999999997</v>
      </c>
      <c r="W150" s="1145">
        <f t="shared" si="26"/>
        <v>36556.269999999997</v>
      </c>
    </row>
    <row r="151" spans="1:23" x14ac:dyDescent="0.2">
      <c r="A151" s="1140" t="str">
        <f t="shared" si="18"/>
        <v>41TG-C 1000 AMR</v>
      </c>
      <c r="B151" s="1140" t="str">
        <f t="shared" si="19"/>
        <v xml:space="preserve">41TG-C 1000 </v>
      </c>
      <c r="C151" s="1140" t="s">
        <v>808</v>
      </c>
      <c r="D151" s="1140" t="s">
        <v>908</v>
      </c>
      <c r="E151" s="1140">
        <v>1000</v>
      </c>
      <c r="F151" s="1141">
        <f>SUMIF('JKP-8.5 - CNSMREQP_GASMTRCTR'!$A$2:$A$391,'JKP-8.5 - Total Costs'!A151,'JKP-8.5 - CNSMREQP_GASMTRCTR'!$F$2:$F$391)-SUMIF('JKP-8.5 - Migrated From'!$A$2:$A$22,'JKP-8.5 - Total Costs'!A151,'JKP-8.5 - Migrated From'!$F$2:$F$22)+SUMIF('JKP-8.5 - Migrated To'!$A$2:$A$22,'JKP-8.5 - Total Costs'!A151,'JKP-8.5 - Migrated To'!$F$2:$F$22)</f>
        <v>1</v>
      </c>
      <c r="G151" s="1141">
        <f>SUMIF('JKP-8.5 - CNSMREQP_GASMTRCTR'!$A$2:$A$391,'JKP-8.5 - Total Costs'!B151,'JKP-8.5 - CNSMREQP_GASMTRCTR'!$F$2:$F$391)-SUMIF('JKP-8.5 - Migrated From'!$A$2:$A$22,'JKP-8.5 - Total Costs'!B151,'JKP-8.5 - Migrated From'!$F$2:$F$22)+SUMIF('JKP-8.5 - Migrated To'!$A$2:$A$22,'JKP-8.5 - Total Costs'!B151,'JKP-8.5 - Migrated To'!$F$2:$F$22)</f>
        <v>0</v>
      </c>
      <c r="H151" s="1142">
        <f t="shared" si="20"/>
        <v>1</v>
      </c>
      <c r="I151" s="1143">
        <f>VLOOKUP($E151,'JKP-8.5 - Unit Costs'!$A$9:$H$33,2,FALSE)</f>
        <v>1404.86</v>
      </c>
      <c r="J151" s="1143">
        <f>VLOOKUP($E151,'JKP-8.5 - Unit Costs'!$A$9:$H$33,5,FALSE)</f>
        <v>1063.1500000000001</v>
      </c>
      <c r="K151" s="1143">
        <f>VLOOKUP($E151,'JKP-8.5 - Unit Costs'!$A$9:$H$33,3,FALSE)</f>
        <v>41.76</v>
      </c>
      <c r="L151" s="1143">
        <f>VLOOKUP($E151,'JKP-8.5 - Unit Costs'!$A$9:$H$33,6,FALSE)</f>
        <v>41.76</v>
      </c>
      <c r="M151" s="1143">
        <f>VLOOKUP($E151,'JKP-8.5 - Unit Costs'!$A$9:$H$33,8,FALSE)</f>
        <v>0</v>
      </c>
      <c r="N151" s="1143">
        <f>VLOOKUP($E151,'JKP-8.5 - Unit Costs'!$A$9:$H$33,8,FALSE)</f>
        <v>0</v>
      </c>
      <c r="O151" s="1144">
        <f t="shared" si="21"/>
        <v>1404.86</v>
      </c>
      <c r="P151" s="1144">
        <f t="shared" si="21"/>
        <v>0</v>
      </c>
      <c r="Q151" s="1144">
        <f t="shared" si="22"/>
        <v>1404.86</v>
      </c>
      <c r="R151" s="1144">
        <f t="shared" si="23"/>
        <v>41.76</v>
      </c>
      <c r="S151" s="1144">
        <f t="shared" si="23"/>
        <v>0</v>
      </c>
      <c r="T151" s="1144">
        <f t="shared" si="24"/>
        <v>41.76</v>
      </c>
      <c r="U151" s="1144">
        <f t="shared" si="25"/>
        <v>0</v>
      </c>
      <c r="V151" s="1144">
        <f t="shared" si="25"/>
        <v>0</v>
      </c>
      <c r="W151" s="1145">
        <f t="shared" si="26"/>
        <v>0</v>
      </c>
    </row>
    <row r="152" spans="1:23" x14ac:dyDescent="0.2">
      <c r="A152" s="1140" t="str">
        <f t="shared" si="18"/>
        <v>41TG-C 1400 AMR</v>
      </c>
      <c r="B152" s="1140" t="str">
        <f t="shared" si="19"/>
        <v xml:space="preserve">41TG-C 1400 </v>
      </c>
      <c r="C152" s="1140" t="s">
        <v>808</v>
      </c>
      <c r="D152" s="1140" t="s">
        <v>908</v>
      </c>
      <c r="E152" s="1140">
        <v>1400</v>
      </c>
      <c r="F152" s="1141">
        <f>SUMIF('JKP-8.5 - CNSMREQP_GASMTRCTR'!$A$2:$A$391,'JKP-8.5 - Total Costs'!A152,'JKP-8.5 - CNSMREQP_GASMTRCTR'!$F$2:$F$391)-SUMIF('JKP-8.5 - Migrated From'!$A$2:$A$22,'JKP-8.5 - Total Costs'!A152,'JKP-8.5 - Migrated From'!$F$2:$F$22)+SUMIF('JKP-8.5 - Migrated To'!$A$2:$A$22,'JKP-8.5 - Total Costs'!A152,'JKP-8.5 - Migrated To'!$F$2:$F$22)</f>
        <v>1</v>
      </c>
      <c r="G152" s="1141">
        <f>SUMIF('JKP-8.5 - CNSMREQP_GASMTRCTR'!$A$2:$A$391,'JKP-8.5 - Total Costs'!B152,'JKP-8.5 - CNSMREQP_GASMTRCTR'!$F$2:$F$391)-SUMIF('JKP-8.5 - Migrated From'!$A$2:$A$22,'JKP-8.5 - Total Costs'!B152,'JKP-8.5 - Migrated From'!$F$2:$F$22)+SUMIF('JKP-8.5 - Migrated To'!$A$2:$A$22,'JKP-8.5 - Total Costs'!B152,'JKP-8.5 - Migrated To'!$F$2:$F$22)</f>
        <v>2</v>
      </c>
      <c r="H152" s="1142">
        <f t="shared" si="20"/>
        <v>3</v>
      </c>
      <c r="I152" s="1143">
        <f>VLOOKUP($E152,'JKP-8.5 - Unit Costs'!$A$9:$H$33,2,FALSE)</f>
        <v>0</v>
      </c>
      <c r="J152" s="1143">
        <f>VLOOKUP($E152,'JKP-8.5 - Unit Costs'!$A$9:$H$33,5,FALSE)</f>
        <v>0</v>
      </c>
      <c r="K152" s="1143">
        <f>VLOOKUP($E152,'JKP-8.5 - Unit Costs'!$A$9:$H$33,3,FALSE)</f>
        <v>0</v>
      </c>
      <c r="L152" s="1143">
        <f>VLOOKUP($E152,'JKP-8.5 - Unit Costs'!$A$9:$H$33,6,FALSE)</f>
        <v>0</v>
      </c>
      <c r="M152" s="1143">
        <f>VLOOKUP($E152,'JKP-8.5 - Unit Costs'!$A$9:$H$33,8,FALSE)</f>
        <v>2379.79</v>
      </c>
      <c r="N152" s="1143">
        <f>VLOOKUP($E152,'JKP-8.5 - Unit Costs'!$A$9:$H$33,8,FALSE)</f>
        <v>2379.79</v>
      </c>
      <c r="O152" s="1144">
        <f t="shared" si="21"/>
        <v>0</v>
      </c>
      <c r="P152" s="1144">
        <f t="shared" si="21"/>
        <v>0</v>
      </c>
      <c r="Q152" s="1144">
        <f t="shared" si="22"/>
        <v>0</v>
      </c>
      <c r="R152" s="1144">
        <f t="shared" si="23"/>
        <v>0</v>
      </c>
      <c r="S152" s="1144">
        <f t="shared" si="23"/>
        <v>0</v>
      </c>
      <c r="T152" s="1144">
        <f t="shared" si="24"/>
        <v>0</v>
      </c>
      <c r="U152" s="1144">
        <f t="shared" si="25"/>
        <v>2379.79</v>
      </c>
      <c r="V152" s="1144">
        <f t="shared" si="25"/>
        <v>4759.58</v>
      </c>
      <c r="W152" s="1145">
        <f t="shared" si="26"/>
        <v>7139.37</v>
      </c>
    </row>
    <row r="153" spans="1:23" x14ac:dyDescent="0.2">
      <c r="A153" s="1140" t="str">
        <f t="shared" si="18"/>
        <v>41TG-C 2300 AMR</v>
      </c>
      <c r="B153" s="1140" t="str">
        <f t="shared" si="19"/>
        <v xml:space="preserve">41TG-C 2300 </v>
      </c>
      <c r="C153" s="1140" t="s">
        <v>808</v>
      </c>
      <c r="D153" s="1140" t="s">
        <v>908</v>
      </c>
      <c r="E153" s="1140">
        <v>2300</v>
      </c>
      <c r="F153" s="1141">
        <f>SUMIF('JKP-8.5 - CNSMREQP_GASMTRCTR'!$A$2:$A$391,'JKP-8.5 - Total Costs'!A153,'JKP-8.5 - CNSMREQP_GASMTRCTR'!$F$2:$F$391)-SUMIF('JKP-8.5 - Migrated From'!$A$2:$A$22,'JKP-8.5 - Total Costs'!A153,'JKP-8.5 - Migrated From'!$F$2:$F$22)+SUMIF('JKP-8.5 - Migrated To'!$A$2:$A$22,'JKP-8.5 - Total Costs'!A153,'JKP-8.5 - Migrated To'!$F$2:$F$22)</f>
        <v>2</v>
      </c>
      <c r="G153" s="1141">
        <f>SUMIF('JKP-8.5 - CNSMREQP_GASMTRCTR'!$A$2:$A$391,'JKP-8.5 - Total Costs'!B153,'JKP-8.5 - CNSMREQP_GASMTRCTR'!$F$2:$F$391)-SUMIF('JKP-8.5 - Migrated From'!$A$2:$A$22,'JKP-8.5 - Total Costs'!B153,'JKP-8.5 - Migrated From'!$F$2:$F$22)+SUMIF('JKP-8.5 - Migrated To'!$A$2:$A$22,'JKP-8.5 - Total Costs'!B153,'JKP-8.5 - Migrated To'!$F$2:$F$22)</f>
        <v>4</v>
      </c>
      <c r="H153" s="1142">
        <f t="shared" si="20"/>
        <v>6</v>
      </c>
      <c r="I153" s="1143">
        <f>VLOOKUP($E153,'JKP-8.5 - Unit Costs'!$A$9:$H$33,2,FALSE)</f>
        <v>0</v>
      </c>
      <c r="J153" s="1143">
        <f>VLOOKUP($E153,'JKP-8.5 - Unit Costs'!$A$9:$H$33,5,FALSE)</f>
        <v>0</v>
      </c>
      <c r="K153" s="1143">
        <f>VLOOKUP($E153,'JKP-8.5 - Unit Costs'!$A$9:$H$33,3,FALSE)</f>
        <v>0</v>
      </c>
      <c r="L153" s="1143">
        <f>VLOOKUP($E153,'JKP-8.5 - Unit Costs'!$A$9:$H$33,6,FALSE)</f>
        <v>0</v>
      </c>
      <c r="M153" s="1143">
        <f>VLOOKUP($E153,'JKP-8.5 - Unit Costs'!$A$9:$H$33,8,FALSE)</f>
        <v>3587.13</v>
      </c>
      <c r="N153" s="1143">
        <f>VLOOKUP($E153,'JKP-8.5 - Unit Costs'!$A$9:$H$33,8,FALSE)</f>
        <v>3587.13</v>
      </c>
      <c r="O153" s="1144">
        <f t="shared" si="21"/>
        <v>0</v>
      </c>
      <c r="P153" s="1144">
        <f t="shared" si="21"/>
        <v>0</v>
      </c>
      <c r="Q153" s="1144">
        <f t="shared" si="22"/>
        <v>0</v>
      </c>
      <c r="R153" s="1144">
        <f t="shared" si="23"/>
        <v>0</v>
      </c>
      <c r="S153" s="1144">
        <f t="shared" si="23"/>
        <v>0</v>
      </c>
      <c r="T153" s="1144">
        <f t="shared" si="24"/>
        <v>0</v>
      </c>
      <c r="U153" s="1144">
        <f t="shared" si="25"/>
        <v>7174.26</v>
      </c>
      <c r="V153" s="1144">
        <f t="shared" si="25"/>
        <v>14348.52</v>
      </c>
      <c r="W153" s="1145">
        <f t="shared" si="26"/>
        <v>21522.78</v>
      </c>
    </row>
    <row r="154" spans="1:23" x14ac:dyDescent="0.2">
      <c r="A154" s="1140" t="str">
        <f t="shared" si="18"/>
        <v>41TG-C 3000 AMR</v>
      </c>
      <c r="B154" s="1140" t="str">
        <f t="shared" si="19"/>
        <v xml:space="preserve">41TG-C 3000 </v>
      </c>
      <c r="C154" s="1140" t="s">
        <v>808</v>
      </c>
      <c r="D154" s="1140" t="s">
        <v>908</v>
      </c>
      <c r="E154" s="1140">
        <v>3000</v>
      </c>
      <c r="F154" s="1141">
        <f>SUMIF('JKP-8.5 - CNSMREQP_GASMTRCTR'!$A$2:$A$391,'JKP-8.5 - Total Costs'!A154,'JKP-8.5 - CNSMREQP_GASMTRCTR'!$F$2:$F$391)-SUMIF('JKP-8.5 - Migrated From'!$A$2:$A$22,'JKP-8.5 - Total Costs'!A154,'JKP-8.5 - Migrated From'!$F$2:$F$22)+SUMIF('JKP-8.5 - Migrated To'!$A$2:$A$22,'JKP-8.5 - Total Costs'!A154,'JKP-8.5 - Migrated To'!$F$2:$F$22)</f>
        <v>0</v>
      </c>
      <c r="G154" s="1141">
        <f>SUMIF('JKP-8.5 - CNSMREQP_GASMTRCTR'!$A$2:$A$391,'JKP-8.5 - Total Costs'!B154,'JKP-8.5 - CNSMREQP_GASMTRCTR'!$F$2:$F$391)-SUMIF('JKP-8.5 - Migrated From'!$A$2:$A$22,'JKP-8.5 - Total Costs'!B154,'JKP-8.5 - Migrated From'!$F$2:$F$22)+SUMIF('JKP-8.5 - Migrated To'!$A$2:$A$22,'JKP-8.5 - Total Costs'!B154,'JKP-8.5 - Migrated To'!$F$2:$F$22)</f>
        <v>1</v>
      </c>
      <c r="H154" s="1142">
        <f t="shared" si="20"/>
        <v>1</v>
      </c>
      <c r="I154" s="1143">
        <f>VLOOKUP($E154,'JKP-8.5 - Unit Costs'!$A$9:$H$33,2,FALSE)</f>
        <v>0</v>
      </c>
      <c r="J154" s="1143">
        <f>VLOOKUP($E154,'JKP-8.5 - Unit Costs'!$A$9:$H$33,5,FALSE)</f>
        <v>0</v>
      </c>
      <c r="K154" s="1143">
        <f>VLOOKUP($E154,'JKP-8.5 - Unit Costs'!$A$9:$H$33,3,FALSE)</f>
        <v>0</v>
      </c>
      <c r="L154" s="1143">
        <f>VLOOKUP($E154,'JKP-8.5 - Unit Costs'!$A$9:$H$33,6,FALSE)</f>
        <v>0</v>
      </c>
      <c r="M154" s="1143">
        <f>VLOOKUP($E154,'JKP-8.5 - Unit Costs'!$A$9:$H$33,8,FALSE)</f>
        <v>3406.19</v>
      </c>
      <c r="N154" s="1143">
        <f>VLOOKUP($E154,'JKP-8.5 - Unit Costs'!$A$9:$H$33,8,FALSE)</f>
        <v>3406.19</v>
      </c>
      <c r="O154" s="1144">
        <f t="shared" si="21"/>
        <v>0</v>
      </c>
      <c r="P154" s="1144">
        <f t="shared" si="21"/>
        <v>0</v>
      </c>
      <c r="Q154" s="1144">
        <f t="shared" si="22"/>
        <v>0</v>
      </c>
      <c r="R154" s="1144">
        <f t="shared" si="23"/>
        <v>0</v>
      </c>
      <c r="S154" s="1144">
        <f t="shared" si="23"/>
        <v>0</v>
      </c>
      <c r="T154" s="1144">
        <f t="shared" si="24"/>
        <v>0</v>
      </c>
      <c r="U154" s="1144">
        <f t="shared" si="25"/>
        <v>0</v>
      </c>
      <c r="V154" s="1144">
        <f t="shared" si="25"/>
        <v>3406.19</v>
      </c>
      <c r="W154" s="1145">
        <f t="shared" si="26"/>
        <v>3406.19</v>
      </c>
    </row>
    <row r="155" spans="1:23" x14ac:dyDescent="0.2">
      <c r="A155" s="1140" t="str">
        <f>D155&amp;" "&amp;E155&amp;" "&amp;$A$6</f>
        <v>41TG-C 5000 AMR</v>
      </c>
      <c r="B155" s="1140" t="str">
        <f>D155&amp;" "&amp;E155&amp;" "&amp;$G$5</f>
        <v xml:space="preserve">41TG-C 5000 </v>
      </c>
      <c r="C155" s="1140" t="s">
        <v>808</v>
      </c>
      <c r="D155" s="1140" t="s">
        <v>908</v>
      </c>
      <c r="E155" s="1140">
        <v>5000</v>
      </c>
      <c r="F155" s="1141">
        <f>SUMIF('JKP-8.5 - CNSMREQP_GASMTRCTR'!$A$2:$A$391,'JKP-8.5 - Total Costs'!A155,'JKP-8.5 - CNSMREQP_GASMTRCTR'!$F$2:$F$391)-SUMIF('JKP-8.5 - Migrated From'!$A$2:$A$22,'JKP-8.5 - Total Costs'!A155,'JKP-8.5 - Migrated From'!$F$2:$F$22)+SUMIF('JKP-8.5 - Migrated To'!$A$2:$A$22,'JKP-8.5 - Total Costs'!A155,'JKP-8.5 - Migrated To'!$F$2:$F$22)</f>
        <v>2</v>
      </c>
      <c r="G155" s="1141">
        <f>SUMIF('JKP-8.5 - CNSMREQP_GASMTRCTR'!$A$2:$A$391,'JKP-8.5 - Total Costs'!B155,'JKP-8.5 - CNSMREQP_GASMTRCTR'!$F$2:$F$391)-SUMIF('JKP-8.5 - Migrated From'!$A$2:$A$22,'JKP-8.5 - Total Costs'!B155,'JKP-8.5 - Migrated From'!$F$2:$F$22)+SUMIF('JKP-8.5 - Migrated To'!$A$2:$A$22,'JKP-8.5 - Total Costs'!B155,'JKP-8.5 - Migrated To'!$F$2:$F$22)</f>
        <v>1</v>
      </c>
      <c r="H155" s="1142">
        <f>F155+G155</f>
        <v>3</v>
      </c>
      <c r="I155" s="1143">
        <f>VLOOKUP($E155,'JKP-8.5 - Unit Costs'!$A$9:$H$33,2,FALSE)</f>
        <v>0</v>
      </c>
      <c r="J155" s="1143">
        <f>VLOOKUP($E155,'JKP-8.5 - Unit Costs'!$A$9:$H$33,5,FALSE)</f>
        <v>0</v>
      </c>
      <c r="K155" s="1143">
        <f>VLOOKUP($E155,'JKP-8.5 - Unit Costs'!$A$9:$H$33,3,FALSE)</f>
        <v>0</v>
      </c>
      <c r="L155" s="1143">
        <f>VLOOKUP($E155,'JKP-8.5 - Unit Costs'!$A$9:$H$33,6,FALSE)</f>
        <v>0</v>
      </c>
      <c r="M155" s="1143">
        <f>VLOOKUP($E155,'JKP-8.5 - Unit Costs'!$A$9:$H$33,8,FALSE)</f>
        <v>3456.43</v>
      </c>
      <c r="N155" s="1143">
        <f>VLOOKUP($E155,'JKP-8.5 - Unit Costs'!$A$9:$H$33,8,FALSE)</f>
        <v>3456.43</v>
      </c>
      <c r="O155" s="1144">
        <f>I155*F155</f>
        <v>0</v>
      </c>
      <c r="P155" s="1144">
        <f>J155*G155</f>
        <v>0</v>
      </c>
      <c r="Q155" s="1144">
        <f>P155+O155</f>
        <v>0</v>
      </c>
      <c r="R155" s="1144">
        <f>K155*F155</f>
        <v>0</v>
      </c>
      <c r="S155" s="1144">
        <f>L155*G155</f>
        <v>0</v>
      </c>
      <c r="T155" s="1144">
        <f>S155+R155</f>
        <v>0</v>
      </c>
      <c r="U155" s="1144">
        <f>M155*F155</f>
        <v>6912.86</v>
      </c>
      <c r="V155" s="1144">
        <f>N155*G155</f>
        <v>3456.43</v>
      </c>
      <c r="W155" s="1145">
        <f>V155+U155</f>
        <v>10369.289999999999</v>
      </c>
    </row>
    <row r="156" spans="1:23" x14ac:dyDescent="0.2">
      <c r="A156" s="1140" t="str">
        <f>D156&amp;" "&amp;E156&amp;" "&amp;$A$6</f>
        <v>41TG-C 7000 AMR</v>
      </c>
      <c r="B156" s="1140" t="str">
        <f>D156&amp;" "&amp;E156&amp;" "&amp;$G$5</f>
        <v xml:space="preserve">41TG-C 7000 </v>
      </c>
      <c r="C156" s="1140" t="s">
        <v>808</v>
      </c>
      <c r="D156" s="1140" t="s">
        <v>908</v>
      </c>
      <c r="E156" s="1140">
        <v>7000</v>
      </c>
      <c r="F156" s="1141">
        <f>SUMIF('JKP-8.5 - CNSMREQP_GASMTRCTR'!$A$2:$A$391,'JKP-8.5 - Total Costs'!A156,'JKP-8.5 - CNSMREQP_GASMTRCTR'!$F$2:$F$391)-SUMIF('JKP-8.5 - Migrated From'!$A$2:$A$22,'JKP-8.5 - Total Costs'!A156,'JKP-8.5 - Migrated From'!$F$2:$F$22)+SUMIF('JKP-8.5 - Migrated To'!$A$2:$A$22,'JKP-8.5 - Total Costs'!A156,'JKP-8.5 - Migrated To'!$F$2:$F$22)</f>
        <v>4</v>
      </c>
      <c r="G156" s="1141">
        <f>SUMIF('JKP-8.5 - CNSMREQP_GASMTRCTR'!$A$2:$A$391,'JKP-8.5 - Total Costs'!B156,'JKP-8.5 - CNSMREQP_GASMTRCTR'!$F$2:$F$391)-SUMIF('JKP-8.5 - Migrated From'!$A$2:$A$22,'JKP-8.5 - Total Costs'!B156,'JKP-8.5 - Migrated From'!$F$2:$F$22)+SUMIF('JKP-8.5 - Migrated To'!$A$2:$A$22,'JKP-8.5 - Total Costs'!B156,'JKP-8.5 - Migrated To'!$F$2:$F$22)</f>
        <v>3</v>
      </c>
      <c r="H156" s="1142">
        <f>F156+G156</f>
        <v>7</v>
      </c>
      <c r="I156" s="1143">
        <f>VLOOKUP($E156,'JKP-8.5 - Unit Costs'!$A$9:$H$33,2,FALSE)</f>
        <v>0</v>
      </c>
      <c r="J156" s="1143">
        <f>VLOOKUP($E156,'JKP-8.5 - Unit Costs'!$A$9:$H$33,5,FALSE)</f>
        <v>0</v>
      </c>
      <c r="K156" s="1143">
        <f>VLOOKUP($E156,'JKP-8.5 - Unit Costs'!$A$9:$H$33,3,FALSE)</f>
        <v>0</v>
      </c>
      <c r="L156" s="1143">
        <f>VLOOKUP($E156,'JKP-8.5 - Unit Costs'!$A$9:$H$33,6,FALSE)</f>
        <v>0</v>
      </c>
      <c r="M156" s="1143">
        <f>VLOOKUP($E156,'JKP-8.5 - Unit Costs'!$A$9:$H$33,8,FALSE)</f>
        <v>3458.4399999999996</v>
      </c>
      <c r="N156" s="1143">
        <f>VLOOKUP($E156,'JKP-8.5 - Unit Costs'!$A$9:$H$33,8,FALSE)</f>
        <v>3458.4399999999996</v>
      </c>
      <c r="O156" s="1144">
        <f>I156*F156</f>
        <v>0</v>
      </c>
      <c r="P156" s="1144">
        <f>J156*G156</f>
        <v>0</v>
      </c>
      <c r="Q156" s="1144">
        <f>P156+O156</f>
        <v>0</v>
      </c>
      <c r="R156" s="1144">
        <f>K156*F156</f>
        <v>0</v>
      </c>
      <c r="S156" s="1144">
        <f>L156*G156</f>
        <v>0</v>
      </c>
      <c r="T156" s="1144">
        <f>S156+R156</f>
        <v>0</v>
      </c>
      <c r="U156" s="1144">
        <f>M156*F156</f>
        <v>13833.759999999998</v>
      </c>
      <c r="V156" s="1144">
        <f>N156*G156</f>
        <v>10375.32</v>
      </c>
      <c r="W156" s="1145">
        <f>V156+U156</f>
        <v>24209.079999999998</v>
      </c>
    </row>
    <row r="157" spans="1:23" x14ac:dyDescent="0.2">
      <c r="A157" s="1140" t="str">
        <f t="shared" si="18"/>
        <v>41TG-C 11000 AMR</v>
      </c>
      <c r="B157" s="1140" t="str">
        <f t="shared" si="19"/>
        <v xml:space="preserve">41TG-C 11000 </v>
      </c>
      <c r="C157" s="1140" t="s">
        <v>808</v>
      </c>
      <c r="D157" s="1140" t="s">
        <v>908</v>
      </c>
      <c r="E157" s="1140">
        <v>11000</v>
      </c>
      <c r="F157" s="1141">
        <f>SUMIF('JKP-8.5 - CNSMREQP_GASMTRCTR'!$A$2:$A$391,'JKP-8.5 - Total Costs'!A157,'JKP-8.5 - CNSMREQP_GASMTRCTR'!$F$2:$F$391)-SUMIF('JKP-8.5 - Migrated From'!$A$2:$A$22,'JKP-8.5 - Total Costs'!A157,'JKP-8.5 - Migrated From'!$F$2:$F$22)+SUMIF('JKP-8.5 - Migrated To'!$A$2:$A$22,'JKP-8.5 - Total Costs'!A157,'JKP-8.5 - Migrated To'!$F$2:$F$22)</f>
        <v>0</v>
      </c>
      <c r="G157" s="1141">
        <f>SUMIF('JKP-8.5 - CNSMREQP_GASMTRCTR'!$A$2:$A$391,'JKP-8.5 - Total Costs'!B157,'JKP-8.5 - CNSMREQP_GASMTRCTR'!$F$2:$F$391)-SUMIF('JKP-8.5 - Migrated From'!$A$2:$A$22,'JKP-8.5 - Total Costs'!B157,'JKP-8.5 - Migrated From'!$F$2:$F$22)+SUMIF('JKP-8.5 - Migrated To'!$A$2:$A$22,'JKP-8.5 - Total Costs'!B157,'JKP-8.5 - Migrated To'!$F$2:$F$22)</f>
        <v>4</v>
      </c>
      <c r="H157" s="1142">
        <f t="shared" si="20"/>
        <v>4</v>
      </c>
      <c r="I157" s="1143">
        <f>VLOOKUP($E157,'JKP-8.5 - Unit Costs'!$A$9:$H$33,2,FALSE)</f>
        <v>0</v>
      </c>
      <c r="J157" s="1143">
        <f>VLOOKUP($E157,'JKP-8.5 - Unit Costs'!$A$9:$H$33,5,FALSE)</f>
        <v>0</v>
      </c>
      <c r="K157" s="1143">
        <f>VLOOKUP($E157,'JKP-8.5 - Unit Costs'!$A$9:$H$33,3,FALSE)</f>
        <v>0</v>
      </c>
      <c r="L157" s="1143">
        <f>VLOOKUP($E157,'JKP-8.5 - Unit Costs'!$A$9:$H$33,6,FALSE)</f>
        <v>0</v>
      </c>
      <c r="M157" s="1143">
        <f>VLOOKUP($E157,'JKP-8.5 - Unit Costs'!$A$9:$H$33,8,FALSE)</f>
        <v>5835.1900000000005</v>
      </c>
      <c r="N157" s="1143">
        <f>VLOOKUP($E157,'JKP-8.5 - Unit Costs'!$A$9:$H$33,8,FALSE)</f>
        <v>5835.1900000000005</v>
      </c>
      <c r="O157" s="1144">
        <f t="shared" si="21"/>
        <v>0</v>
      </c>
      <c r="P157" s="1144">
        <f t="shared" si="21"/>
        <v>0</v>
      </c>
      <c r="Q157" s="1144">
        <f t="shared" si="22"/>
        <v>0</v>
      </c>
      <c r="R157" s="1144">
        <f t="shared" si="23"/>
        <v>0</v>
      </c>
      <c r="S157" s="1144">
        <f t="shared" si="23"/>
        <v>0</v>
      </c>
      <c r="T157" s="1144">
        <f t="shared" si="24"/>
        <v>0</v>
      </c>
      <c r="U157" s="1144">
        <f t="shared" si="25"/>
        <v>0</v>
      </c>
      <c r="V157" s="1144">
        <f t="shared" si="25"/>
        <v>23340.760000000002</v>
      </c>
      <c r="W157" s="1145">
        <f t="shared" si="26"/>
        <v>23340.760000000002</v>
      </c>
    </row>
    <row r="158" spans="1:23" x14ac:dyDescent="0.2">
      <c r="A158" s="1140" t="str">
        <f t="shared" si="18"/>
        <v>41TG-C 16000 AMR</v>
      </c>
      <c r="B158" s="1140" t="str">
        <f t="shared" si="19"/>
        <v xml:space="preserve">41TG-C 16000 </v>
      </c>
      <c r="C158" s="1140" t="s">
        <v>808</v>
      </c>
      <c r="D158" s="1140" t="s">
        <v>908</v>
      </c>
      <c r="E158" s="1140">
        <v>16000</v>
      </c>
      <c r="F158" s="1141">
        <f>SUMIF('JKP-8.5 - CNSMREQP_GASMTRCTR'!$A$2:$A$391,'JKP-8.5 - Total Costs'!A158,'JKP-8.5 - CNSMREQP_GASMTRCTR'!$F$2:$F$391)-SUMIF('JKP-8.5 - Migrated From'!$A$2:$A$22,'JKP-8.5 - Total Costs'!A158,'JKP-8.5 - Migrated From'!$F$2:$F$22)+SUMIF('JKP-8.5 - Migrated To'!$A$2:$A$22,'JKP-8.5 - Total Costs'!A158,'JKP-8.5 - Migrated To'!$F$2:$F$22)</f>
        <v>1</v>
      </c>
      <c r="G158" s="1141">
        <f>SUMIF('JKP-8.5 - CNSMREQP_GASMTRCTR'!$A$2:$A$391,'JKP-8.5 - Total Costs'!B158,'JKP-8.5 - CNSMREQP_GASMTRCTR'!$F$2:$F$391)-SUMIF('JKP-8.5 - Migrated From'!$A$2:$A$22,'JKP-8.5 - Total Costs'!B158,'JKP-8.5 - Migrated From'!$F$2:$F$22)+SUMIF('JKP-8.5 - Migrated To'!$A$2:$A$22,'JKP-8.5 - Total Costs'!B158,'JKP-8.5 - Migrated To'!$F$2:$F$22)</f>
        <v>3</v>
      </c>
      <c r="H158" s="1142">
        <f t="shared" si="20"/>
        <v>4</v>
      </c>
      <c r="I158" s="1143">
        <f>VLOOKUP($E158,'JKP-8.5 - Unit Costs'!$A$9:$H$33,2,FALSE)</f>
        <v>0</v>
      </c>
      <c r="J158" s="1143">
        <f>VLOOKUP($E158,'JKP-8.5 - Unit Costs'!$A$9:$H$33,5,FALSE)</f>
        <v>0</v>
      </c>
      <c r="K158" s="1143">
        <f>VLOOKUP($E158,'JKP-8.5 - Unit Costs'!$A$9:$H$33,3,FALSE)</f>
        <v>0</v>
      </c>
      <c r="L158" s="1143">
        <f>VLOOKUP($E158,'JKP-8.5 - Unit Costs'!$A$9:$H$33,6,FALSE)</f>
        <v>0</v>
      </c>
      <c r="M158" s="1143">
        <f>VLOOKUP($E158,'JKP-8.5 - Unit Costs'!$A$9:$H$33,8,FALSE)</f>
        <v>8983.2999999999993</v>
      </c>
      <c r="N158" s="1143">
        <f>VLOOKUP($E158,'JKP-8.5 - Unit Costs'!$A$9:$H$33,8,FALSE)</f>
        <v>8983.2999999999993</v>
      </c>
      <c r="O158" s="1144">
        <f t="shared" si="21"/>
        <v>0</v>
      </c>
      <c r="P158" s="1144">
        <f t="shared" si="21"/>
        <v>0</v>
      </c>
      <c r="Q158" s="1144">
        <f t="shared" si="22"/>
        <v>0</v>
      </c>
      <c r="R158" s="1144">
        <f t="shared" si="23"/>
        <v>0</v>
      </c>
      <c r="S158" s="1144">
        <f t="shared" si="23"/>
        <v>0</v>
      </c>
      <c r="T158" s="1144">
        <f t="shared" si="24"/>
        <v>0</v>
      </c>
      <c r="U158" s="1144">
        <f t="shared" si="25"/>
        <v>8983.2999999999993</v>
      </c>
      <c r="V158" s="1144">
        <f t="shared" si="25"/>
        <v>26949.899999999998</v>
      </c>
      <c r="W158" s="1145">
        <f t="shared" si="26"/>
        <v>35933.199999999997</v>
      </c>
    </row>
    <row r="159" spans="1:23" x14ac:dyDescent="0.2">
      <c r="A159" s="1140" t="str">
        <f>D159&amp;" "&amp;E159&amp;" "&amp;$A$6</f>
        <v>41TG-C 23000 AMR</v>
      </c>
      <c r="B159" s="1140" t="str">
        <f>D159&amp;" "&amp;E159&amp;" "&amp;$G$5</f>
        <v xml:space="preserve">41TG-C 23000 </v>
      </c>
      <c r="C159" s="1140" t="s">
        <v>808</v>
      </c>
      <c r="D159" s="1140" t="s">
        <v>908</v>
      </c>
      <c r="E159" s="1140">
        <v>23000</v>
      </c>
      <c r="F159" s="1141">
        <f>SUMIF('JKP-8.5 - CNSMREQP_GASMTRCTR'!$A$2:$A$391,'JKP-8.5 - Total Costs'!A159,'JKP-8.5 - CNSMREQP_GASMTRCTR'!$F$2:$F$391)-SUMIF('JKP-8.5 - Migrated From'!$A$2:$A$22,'JKP-8.5 - Total Costs'!A159,'JKP-8.5 - Migrated From'!$F$2:$F$22)+SUMIF('JKP-8.5 - Migrated To'!$A$2:$A$22,'JKP-8.5 - Total Costs'!A159,'JKP-8.5 - Migrated To'!$F$2:$F$22)</f>
        <v>0</v>
      </c>
      <c r="G159" s="1141">
        <f>SUMIF('JKP-8.5 - CNSMREQP_GASMTRCTR'!$A$2:$A$391,'JKP-8.5 - Total Costs'!B159,'JKP-8.5 - CNSMREQP_GASMTRCTR'!$F$2:$F$391)-SUMIF('JKP-8.5 - Migrated From'!$A$2:$A$22,'JKP-8.5 - Total Costs'!B159,'JKP-8.5 - Migrated From'!$F$2:$F$22)+SUMIF('JKP-8.5 - Migrated To'!$A$2:$A$22,'JKP-8.5 - Total Costs'!B159,'JKP-8.5 - Migrated To'!$F$2:$F$22)</f>
        <v>1</v>
      </c>
      <c r="H159" s="1142">
        <f>F159+G159</f>
        <v>1</v>
      </c>
      <c r="I159" s="1143">
        <f>VLOOKUP($E159,'JKP-8.5 - Unit Costs'!$A$9:$H$33,2,FALSE)</f>
        <v>0</v>
      </c>
      <c r="J159" s="1143">
        <f>VLOOKUP($E159,'JKP-8.5 - Unit Costs'!$A$9:$H$33,5,FALSE)</f>
        <v>0</v>
      </c>
      <c r="K159" s="1143">
        <f>VLOOKUP($E159,'JKP-8.5 - Unit Costs'!$A$9:$H$33,3,FALSE)</f>
        <v>0</v>
      </c>
      <c r="L159" s="1143">
        <f>VLOOKUP($E159,'JKP-8.5 - Unit Costs'!$A$9:$H$33,6,FALSE)</f>
        <v>0</v>
      </c>
      <c r="M159" s="1143">
        <f>VLOOKUP($E159,'JKP-8.5 - Unit Costs'!$A$9:$H$33,8,FALSE)</f>
        <v>20882.400000000001</v>
      </c>
      <c r="N159" s="1143">
        <f>VLOOKUP($E159,'JKP-8.5 - Unit Costs'!$A$9:$H$33,8,FALSE)</f>
        <v>20882.400000000001</v>
      </c>
      <c r="O159" s="1144">
        <f>I159*F159</f>
        <v>0</v>
      </c>
      <c r="P159" s="1144">
        <f>J159*G159</f>
        <v>0</v>
      </c>
      <c r="Q159" s="1144">
        <f>P159+O159</f>
        <v>0</v>
      </c>
      <c r="R159" s="1144">
        <f>K159*F159</f>
        <v>0</v>
      </c>
      <c r="S159" s="1144">
        <f>L159*G159</f>
        <v>0</v>
      </c>
      <c r="T159" s="1144">
        <f>S159+R159</f>
        <v>0</v>
      </c>
      <c r="U159" s="1144">
        <f>M159*F159</f>
        <v>0</v>
      </c>
      <c r="V159" s="1144">
        <f>N159*G159</f>
        <v>20882.400000000001</v>
      </c>
      <c r="W159" s="1145">
        <f>V159+U159</f>
        <v>20882.400000000001</v>
      </c>
    </row>
    <row r="160" spans="1:23" x14ac:dyDescent="0.2">
      <c r="A160" s="1140" t="str">
        <f t="shared" si="18"/>
        <v>41TG-I 2300 AMR</v>
      </c>
      <c r="B160" s="1140" t="str">
        <f t="shared" si="19"/>
        <v xml:space="preserve">41TG-I 2300 </v>
      </c>
      <c r="C160" s="1140" t="s">
        <v>808</v>
      </c>
      <c r="D160" s="1140" t="s">
        <v>919</v>
      </c>
      <c r="E160" s="1140">
        <v>2300</v>
      </c>
      <c r="F160" s="1141">
        <f>SUMIF('JKP-8.5 - CNSMREQP_GASMTRCTR'!$A$2:$A$391,'JKP-8.5 - Total Costs'!A160,'JKP-8.5 - CNSMREQP_GASMTRCTR'!$F$2:$F$391)-SUMIF('JKP-8.5 - Migrated From'!$A$2:$A$22,'JKP-8.5 - Total Costs'!A160,'JKP-8.5 - Migrated From'!$F$2:$F$22)+SUMIF('JKP-8.5 - Migrated To'!$A$2:$A$22,'JKP-8.5 - Total Costs'!A160,'JKP-8.5 - Migrated To'!$F$2:$F$22)</f>
        <v>0</v>
      </c>
      <c r="G160" s="1141">
        <f>SUMIF('JKP-8.5 - CNSMREQP_GASMTRCTR'!$A$2:$A$391,'JKP-8.5 - Total Costs'!B160,'JKP-8.5 - CNSMREQP_GASMTRCTR'!$F$2:$F$391)-SUMIF('JKP-8.5 - Migrated From'!$A$2:$A$22,'JKP-8.5 - Total Costs'!B160,'JKP-8.5 - Migrated From'!$F$2:$F$22)+SUMIF('JKP-8.5 - Migrated To'!$A$2:$A$22,'JKP-8.5 - Total Costs'!B160,'JKP-8.5 - Migrated To'!$F$2:$F$22)</f>
        <v>2</v>
      </c>
      <c r="H160" s="1142">
        <f t="shared" si="20"/>
        <v>2</v>
      </c>
      <c r="I160" s="1143">
        <f>VLOOKUP($E160,'JKP-8.5 - Unit Costs'!$A$9:$H$33,2,FALSE)</f>
        <v>0</v>
      </c>
      <c r="J160" s="1143">
        <f>VLOOKUP($E160,'JKP-8.5 - Unit Costs'!$A$9:$H$33,5,FALSE)</f>
        <v>0</v>
      </c>
      <c r="K160" s="1143">
        <f>VLOOKUP($E160,'JKP-8.5 - Unit Costs'!$A$9:$H$33,3,FALSE)</f>
        <v>0</v>
      </c>
      <c r="L160" s="1143">
        <f>VLOOKUP($E160,'JKP-8.5 - Unit Costs'!$A$9:$H$33,6,FALSE)</f>
        <v>0</v>
      </c>
      <c r="M160" s="1143">
        <f>VLOOKUP($E160,'JKP-8.5 - Unit Costs'!$A$9:$H$33,8,FALSE)</f>
        <v>3587.13</v>
      </c>
      <c r="N160" s="1143">
        <f>VLOOKUP($E160,'JKP-8.5 - Unit Costs'!$A$9:$H$33,8,FALSE)</f>
        <v>3587.13</v>
      </c>
      <c r="O160" s="1144">
        <f t="shared" si="21"/>
        <v>0</v>
      </c>
      <c r="P160" s="1144">
        <f t="shared" si="21"/>
        <v>0</v>
      </c>
      <c r="Q160" s="1144">
        <f t="shared" si="22"/>
        <v>0</v>
      </c>
      <c r="R160" s="1144">
        <f t="shared" si="23"/>
        <v>0</v>
      </c>
      <c r="S160" s="1144">
        <f t="shared" si="23"/>
        <v>0</v>
      </c>
      <c r="T160" s="1144">
        <f t="shared" si="24"/>
        <v>0</v>
      </c>
      <c r="U160" s="1144">
        <f t="shared" si="25"/>
        <v>0</v>
      </c>
      <c r="V160" s="1144">
        <f t="shared" si="25"/>
        <v>7174.26</v>
      </c>
      <c r="W160" s="1145">
        <f t="shared" si="26"/>
        <v>7174.26</v>
      </c>
    </row>
    <row r="161" spans="1:23" x14ac:dyDescent="0.2">
      <c r="A161" s="1140" t="str">
        <f t="shared" si="18"/>
        <v>41TG-I 5000 AMR</v>
      </c>
      <c r="B161" s="1140" t="str">
        <f t="shared" si="19"/>
        <v xml:space="preserve">41TG-I 5000 </v>
      </c>
      <c r="C161" s="1140" t="s">
        <v>808</v>
      </c>
      <c r="D161" s="1140" t="s">
        <v>919</v>
      </c>
      <c r="E161" s="1140">
        <v>5000</v>
      </c>
      <c r="F161" s="1141">
        <f>SUMIF('JKP-8.5 - CNSMREQP_GASMTRCTR'!$A$2:$A$391,'JKP-8.5 - Total Costs'!A161,'JKP-8.5 - CNSMREQP_GASMTRCTR'!$F$2:$F$391)-SUMIF('JKP-8.5 - Migrated From'!$A$2:$A$22,'JKP-8.5 - Total Costs'!A161,'JKP-8.5 - Migrated From'!$F$2:$F$22)+SUMIF('JKP-8.5 - Migrated To'!$A$2:$A$22,'JKP-8.5 - Total Costs'!A161,'JKP-8.5 - Migrated To'!$F$2:$F$22)</f>
        <v>0</v>
      </c>
      <c r="G161" s="1141">
        <f>SUMIF('JKP-8.5 - CNSMREQP_GASMTRCTR'!$A$2:$A$391,'JKP-8.5 - Total Costs'!B161,'JKP-8.5 - CNSMREQP_GASMTRCTR'!$F$2:$F$391)-SUMIF('JKP-8.5 - Migrated From'!$A$2:$A$22,'JKP-8.5 - Total Costs'!B161,'JKP-8.5 - Migrated From'!$F$2:$F$22)+SUMIF('JKP-8.5 - Migrated To'!$A$2:$A$22,'JKP-8.5 - Total Costs'!B161,'JKP-8.5 - Migrated To'!$F$2:$F$22)</f>
        <v>3</v>
      </c>
      <c r="H161" s="1142">
        <f t="shared" si="20"/>
        <v>3</v>
      </c>
      <c r="I161" s="1143">
        <f>VLOOKUP($E161,'JKP-8.5 - Unit Costs'!$A$9:$H$33,2,FALSE)</f>
        <v>0</v>
      </c>
      <c r="J161" s="1143">
        <f>VLOOKUP($E161,'JKP-8.5 - Unit Costs'!$A$9:$H$33,5,FALSE)</f>
        <v>0</v>
      </c>
      <c r="K161" s="1143">
        <f>VLOOKUP($E161,'JKP-8.5 - Unit Costs'!$A$9:$H$33,3,FALSE)</f>
        <v>0</v>
      </c>
      <c r="L161" s="1143">
        <f>VLOOKUP($E161,'JKP-8.5 - Unit Costs'!$A$9:$H$33,6,FALSE)</f>
        <v>0</v>
      </c>
      <c r="M161" s="1143">
        <f>VLOOKUP($E161,'JKP-8.5 - Unit Costs'!$A$9:$H$33,8,FALSE)</f>
        <v>3456.43</v>
      </c>
      <c r="N161" s="1143">
        <f>VLOOKUP($E161,'JKP-8.5 - Unit Costs'!$A$9:$H$33,8,FALSE)</f>
        <v>3456.43</v>
      </c>
      <c r="O161" s="1144">
        <f t="shared" si="21"/>
        <v>0</v>
      </c>
      <c r="P161" s="1144">
        <f t="shared" si="21"/>
        <v>0</v>
      </c>
      <c r="Q161" s="1144">
        <f t="shared" si="22"/>
        <v>0</v>
      </c>
      <c r="R161" s="1144">
        <f t="shared" si="23"/>
        <v>0</v>
      </c>
      <c r="S161" s="1144">
        <f t="shared" si="23"/>
        <v>0</v>
      </c>
      <c r="T161" s="1144">
        <f t="shared" si="24"/>
        <v>0</v>
      </c>
      <c r="U161" s="1144">
        <f t="shared" si="25"/>
        <v>0</v>
      </c>
      <c r="V161" s="1144">
        <f t="shared" si="25"/>
        <v>10369.289999999999</v>
      </c>
      <c r="W161" s="1145">
        <f t="shared" si="26"/>
        <v>10369.289999999999</v>
      </c>
    </row>
    <row r="162" spans="1:23" x14ac:dyDescent="0.2">
      <c r="A162" s="1140" t="str">
        <f t="shared" si="18"/>
        <v>41TG-I 11000 AMR</v>
      </c>
      <c r="B162" s="1140" t="str">
        <f t="shared" si="19"/>
        <v xml:space="preserve">41TG-I 11000 </v>
      </c>
      <c r="C162" s="1140" t="s">
        <v>808</v>
      </c>
      <c r="D162" s="1140" t="s">
        <v>919</v>
      </c>
      <c r="E162" s="1140">
        <v>11000</v>
      </c>
      <c r="F162" s="1141">
        <f>SUMIF('JKP-8.5 - CNSMREQP_GASMTRCTR'!$A$2:$A$391,'JKP-8.5 - Total Costs'!A162,'JKP-8.5 - CNSMREQP_GASMTRCTR'!$F$2:$F$391)-SUMIF('JKP-8.5 - Migrated From'!$A$2:$A$22,'JKP-8.5 - Total Costs'!A162,'JKP-8.5 - Migrated From'!$F$2:$F$22)+SUMIF('JKP-8.5 - Migrated To'!$A$2:$A$22,'JKP-8.5 - Total Costs'!A162,'JKP-8.5 - Migrated To'!$F$2:$F$22)</f>
        <v>1</v>
      </c>
      <c r="G162" s="1141">
        <f>SUMIF('JKP-8.5 - CNSMREQP_GASMTRCTR'!$A$2:$A$391,'JKP-8.5 - Total Costs'!B162,'JKP-8.5 - CNSMREQP_GASMTRCTR'!$F$2:$F$391)-SUMIF('JKP-8.5 - Migrated From'!$A$2:$A$22,'JKP-8.5 - Total Costs'!B162,'JKP-8.5 - Migrated From'!$F$2:$F$22)+SUMIF('JKP-8.5 - Migrated To'!$A$2:$A$22,'JKP-8.5 - Total Costs'!B162,'JKP-8.5 - Migrated To'!$F$2:$F$22)</f>
        <v>3</v>
      </c>
      <c r="H162" s="1142">
        <f t="shared" si="20"/>
        <v>4</v>
      </c>
      <c r="I162" s="1143">
        <f>VLOOKUP($E162,'JKP-8.5 - Unit Costs'!$A$9:$H$33,2,FALSE)</f>
        <v>0</v>
      </c>
      <c r="J162" s="1143">
        <f>VLOOKUP($E162,'JKP-8.5 - Unit Costs'!$A$9:$H$33,5,FALSE)</f>
        <v>0</v>
      </c>
      <c r="K162" s="1143">
        <f>VLOOKUP($E162,'JKP-8.5 - Unit Costs'!$A$9:$H$33,3,FALSE)</f>
        <v>0</v>
      </c>
      <c r="L162" s="1143">
        <f>VLOOKUP($E162,'JKP-8.5 - Unit Costs'!$A$9:$H$33,6,FALSE)</f>
        <v>0</v>
      </c>
      <c r="M162" s="1143">
        <f>VLOOKUP($E162,'JKP-8.5 - Unit Costs'!$A$9:$H$33,8,FALSE)</f>
        <v>5835.1900000000005</v>
      </c>
      <c r="N162" s="1143">
        <f>VLOOKUP($E162,'JKP-8.5 - Unit Costs'!$A$9:$H$33,8,FALSE)</f>
        <v>5835.1900000000005</v>
      </c>
      <c r="O162" s="1144">
        <f t="shared" si="21"/>
        <v>0</v>
      </c>
      <c r="P162" s="1144">
        <f t="shared" si="21"/>
        <v>0</v>
      </c>
      <c r="Q162" s="1144">
        <f t="shared" si="22"/>
        <v>0</v>
      </c>
      <c r="R162" s="1144">
        <f t="shared" si="23"/>
        <v>0</v>
      </c>
      <c r="S162" s="1144">
        <f t="shared" si="23"/>
        <v>0</v>
      </c>
      <c r="T162" s="1144">
        <f t="shared" si="24"/>
        <v>0</v>
      </c>
      <c r="U162" s="1144">
        <f t="shared" si="25"/>
        <v>5835.1900000000005</v>
      </c>
      <c r="V162" s="1144">
        <f t="shared" si="25"/>
        <v>17505.57</v>
      </c>
      <c r="W162" s="1145">
        <f t="shared" si="26"/>
        <v>23340.760000000002</v>
      </c>
    </row>
    <row r="163" spans="1:23" x14ac:dyDescent="0.2">
      <c r="A163" s="1140" t="str">
        <f t="shared" si="18"/>
        <v>41TG-I 16000 AMR</v>
      </c>
      <c r="B163" s="1140" t="str">
        <f t="shared" si="19"/>
        <v xml:space="preserve">41TG-I 16000 </v>
      </c>
      <c r="C163" s="1140" t="s">
        <v>808</v>
      </c>
      <c r="D163" s="1140" t="s">
        <v>919</v>
      </c>
      <c r="E163" s="1140">
        <v>16000</v>
      </c>
      <c r="F163" s="1141">
        <f>SUMIF('JKP-8.5 - CNSMREQP_GASMTRCTR'!$A$2:$A$391,'JKP-8.5 - Total Costs'!A163,'JKP-8.5 - CNSMREQP_GASMTRCTR'!$F$2:$F$391)-SUMIF('JKP-8.5 - Migrated From'!$A$2:$A$22,'JKP-8.5 - Total Costs'!A163,'JKP-8.5 - Migrated From'!$F$2:$F$22)+SUMIF('JKP-8.5 - Migrated To'!$A$2:$A$22,'JKP-8.5 - Total Costs'!A163,'JKP-8.5 - Migrated To'!$F$2:$F$22)</f>
        <v>0</v>
      </c>
      <c r="G163" s="1141">
        <f>SUMIF('JKP-8.5 - CNSMREQP_GASMTRCTR'!$A$2:$A$391,'JKP-8.5 - Total Costs'!B163,'JKP-8.5 - CNSMREQP_GASMTRCTR'!$F$2:$F$391)-SUMIF('JKP-8.5 - Migrated From'!$A$2:$A$22,'JKP-8.5 - Total Costs'!B163,'JKP-8.5 - Migrated From'!$F$2:$F$22)+SUMIF('JKP-8.5 - Migrated To'!$A$2:$A$22,'JKP-8.5 - Total Costs'!B163,'JKP-8.5 - Migrated To'!$F$2:$F$22)</f>
        <v>5</v>
      </c>
      <c r="H163" s="1142">
        <f t="shared" si="20"/>
        <v>5</v>
      </c>
      <c r="I163" s="1143">
        <f>VLOOKUP($E163,'JKP-8.5 - Unit Costs'!$A$9:$H$33,2,FALSE)</f>
        <v>0</v>
      </c>
      <c r="J163" s="1143">
        <f>VLOOKUP($E163,'JKP-8.5 - Unit Costs'!$A$9:$H$33,5,FALSE)</f>
        <v>0</v>
      </c>
      <c r="K163" s="1143">
        <f>VLOOKUP($E163,'JKP-8.5 - Unit Costs'!$A$9:$H$33,3,FALSE)</f>
        <v>0</v>
      </c>
      <c r="L163" s="1143">
        <f>VLOOKUP($E163,'JKP-8.5 - Unit Costs'!$A$9:$H$33,6,FALSE)</f>
        <v>0</v>
      </c>
      <c r="M163" s="1143">
        <f>VLOOKUP($E163,'JKP-8.5 - Unit Costs'!$A$9:$H$33,8,FALSE)</f>
        <v>8983.2999999999993</v>
      </c>
      <c r="N163" s="1143">
        <f>VLOOKUP($E163,'JKP-8.5 - Unit Costs'!$A$9:$H$33,8,FALSE)</f>
        <v>8983.2999999999993</v>
      </c>
      <c r="O163" s="1144">
        <f t="shared" si="21"/>
        <v>0</v>
      </c>
      <c r="P163" s="1144">
        <f t="shared" si="21"/>
        <v>0</v>
      </c>
      <c r="Q163" s="1144">
        <f t="shared" si="22"/>
        <v>0</v>
      </c>
      <c r="R163" s="1144">
        <f t="shared" si="23"/>
        <v>0</v>
      </c>
      <c r="S163" s="1144">
        <f t="shared" si="23"/>
        <v>0</v>
      </c>
      <c r="T163" s="1144">
        <f t="shared" si="24"/>
        <v>0</v>
      </c>
      <c r="U163" s="1144">
        <f t="shared" si="25"/>
        <v>0</v>
      </c>
      <c r="V163" s="1144">
        <f t="shared" si="25"/>
        <v>44916.5</v>
      </c>
      <c r="W163" s="1145">
        <f t="shared" si="26"/>
        <v>44916.5</v>
      </c>
    </row>
    <row r="164" spans="1:23" x14ac:dyDescent="0.2">
      <c r="A164" s="1140" t="str">
        <f t="shared" si="18"/>
        <v>41TG-I 18000 AMR</v>
      </c>
      <c r="B164" s="1140" t="str">
        <f t="shared" si="19"/>
        <v xml:space="preserve">41TG-I 18000 </v>
      </c>
      <c r="C164" s="1140" t="s">
        <v>808</v>
      </c>
      <c r="D164" s="1140" t="s">
        <v>919</v>
      </c>
      <c r="E164" s="1140">
        <v>18000</v>
      </c>
      <c r="F164" s="1141">
        <f>SUMIF('JKP-8.5 - CNSMREQP_GASMTRCTR'!$A$2:$A$391,'JKP-8.5 - Total Costs'!A164,'JKP-8.5 - CNSMREQP_GASMTRCTR'!$F$2:$F$391)-SUMIF('JKP-8.5 - Migrated From'!$A$2:$A$22,'JKP-8.5 - Total Costs'!A164,'JKP-8.5 - Migrated From'!$F$2:$F$22)+SUMIF('JKP-8.5 - Migrated To'!$A$2:$A$22,'JKP-8.5 - Total Costs'!A164,'JKP-8.5 - Migrated To'!$F$2:$F$22)</f>
        <v>0</v>
      </c>
      <c r="G164" s="1141">
        <f>SUMIF('JKP-8.5 - CNSMREQP_GASMTRCTR'!$A$2:$A$391,'JKP-8.5 - Total Costs'!B164,'JKP-8.5 - CNSMREQP_GASMTRCTR'!$F$2:$F$391)-SUMIF('JKP-8.5 - Migrated From'!$A$2:$A$22,'JKP-8.5 - Total Costs'!B164,'JKP-8.5 - Migrated From'!$F$2:$F$22)+SUMIF('JKP-8.5 - Migrated To'!$A$2:$A$22,'JKP-8.5 - Total Costs'!B164,'JKP-8.5 - Migrated To'!$F$2:$F$22)</f>
        <v>1</v>
      </c>
      <c r="H164" s="1142">
        <f t="shared" si="20"/>
        <v>1</v>
      </c>
      <c r="I164" s="1143">
        <f>VLOOKUP($E164,'JKP-8.5 - Unit Costs'!$A$9:$H$33,2,FALSE)</f>
        <v>0</v>
      </c>
      <c r="J164" s="1143">
        <f>VLOOKUP($E164,'JKP-8.5 - Unit Costs'!$A$9:$H$33,5,FALSE)</f>
        <v>0</v>
      </c>
      <c r="K164" s="1143">
        <f>VLOOKUP($E164,'JKP-8.5 - Unit Costs'!$A$9:$H$33,3,FALSE)</f>
        <v>0</v>
      </c>
      <c r="L164" s="1143">
        <f>VLOOKUP($E164,'JKP-8.5 - Unit Costs'!$A$9:$H$33,6,FALSE)</f>
        <v>0</v>
      </c>
      <c r="M164" s="1143">
        <f>VLOOKUP($E164,'JKP-8.5 - Unit Costs'!$A$9:$H$33,8,FALSE)</f>
        <v>8412.5300000000007</v>
      </c>
      <c r="N164" s="1143">
        <f>VLOOKUP($E164,'JKP-8.5 - Unit Costs'!$A$9:$H$33,8,FALSE)</f>
        <v>8412.5300000000007</v>
      </c>
      <c r="O164" s="1144">
        <f t="shared" si="21"/>
        <v>0</v>
      </c>
      <c r="P164" s="1144">
        <f t="shared" si="21"/>
        <v>0</v>
      </c>
      <c r="Q164" s="1144">
        <f t="shared" si="22"/>
        <v>0</v>
      </c>
      <c r="R164" s="1144">
        <f t="shared" si="23"/>
        <v>0</v>
      </c>
      <c r="S164" s="1144">
        <f t="shared" si="23"/>
        <v>0</v>
      </c>
      <c r="T164" s="1144">
        <f t="shared" si="24"/>
        <v>0</v>
      </c>
      <c r="U164" s="1144">
        <f t="shared" si="25"/>
        <v>0</v>
      </c>
      <c r="V164" s="1144">
        <f t="shared" si="25"/>
        <v>8412.5300000000007</v>
      </c>
      <c r="W164" s="1145">
        <f t="shared" si="26"/>
        <v>8412.5300000000007</v>
      </c>
    </row>
    <row r="165" spans="1:23" x14ac:dyDescent="0.2">
      <c r="A165" s="1140" t="str">
        <f t="shared" si="18"/>
        <v>41TG-I 23000 AMR</v>
      </c>
      <c r="B165" s="1140" t="str">
        <f t="shared" si="19"/>
        <v xml:space="preserve">41TG-I 23000 </v>
      </c>
      <c r="C165" s="1140" t="s">
        <v>808</v>
      </c>
      <c r="D165" s="1140" t="s">
        <v>919</v>
      </c>
      <c r="E165" s="1140">
        <v>23000</v>
      </c>
      <c r="F165" s="1141">
        <f>SUMIF('JKP-8.5 - CNSMREQP_GASMTRCTR'!$A$2:$A$391,'JKP-8.5 - Total Costs'!A165,'JKP-8.5 - CNSMREQP_GASMTRCTR'!$F$2:$F$391)-SUMIF('JKP-8.5 - Migrated From'!$A$2:$A$22,'JKP-8.5 - Total Costs'!A165,'JKP-8.5 - Migrated From'!$F$2:$F$22)+SUMIF('JKP-8.5 - Migrated To'!$A$2:$A$22,'JKP-8.5 - Total Costs'!A165,'JKP-8.5 - Migrated To'!$F$2:$F$22)</f>
        <v>0</v>
      </c>
      <c r="G165" s="1141">
        <f>SUMIF('JKP-8.5 - CNSMREQP_GASMTRCTR'!$A$2:$A$391,'JKP-8.5 - Total Costs'!B165,'JKP-8.5 - CNSMREQP_GASMTRCTR'!$F$2:$F$391)-SUMIF('JKP-8.5 - Migrated From'!$A$2:$A$22,'JKP-8.5 - Total Costs'!B165,'JKP-8.5 - Migrated From'!$F$2:$F$22)+SUMIF('JKP-8.5 - Migrated To'!$A$2:$A$22,'JKP-8.5 - Total Costs'!B165,'JKP-8.5 - Migrated To'!$F$2:$F$22)</f>
        <v>1</v>
      </c>
      <c r="H165" s="1142">
        <f t="shared" si="20"/>
        <v>1</v>
      </c>
      <c r="I165" s="1143">
        <f>VLOOKUP($E165,'JKP-8.5 - Unit Costs'!$A$9:$H$33,2,FALSE)</f>
        <v>0</v>
      </c>
      <c r="J165" s="1143">
        <f>VLOOKUP($E165,'JKP-8.5 - Unit Costs'!$A$9:$H$33,5,FALSE)</f>
        <v>0</v>
      </c>
      <c r="K165" s="1143">
        <f>VLOOKUP($E165,'JKP-8.5 - Unit Costs'!$A$9:$H$33,3,FALSE)</f>
        <v>0</v>
      </c>
      <c r="L165" s="1143">
        <f>VLOOKUP($E165,'JKP-8.5 - Unit Costs'!$A$9:$H$33,6,FALSE)</f>
        <v>0</v>
      </c>
      <c r="M165" s="1143">
        <f>VLOOKUP($E165,'JKP-8.5 - Unit Costs'!$A$9:$H$33,8,FALSE)</f>
        <v>20882.400000000001</v>
      </c>
      <c r="N165" s="1143">
        <f>VLOOKUP($E165,'JKP-8.5 - Unit Costs'!$A$9:$H$33,8,FALSE)</f>
        <v>20882.400000000001</v>
      </c>
      <c r="O165" s="1144">
        <f t="shared" si="21"/>
        <v>0</v>
      </c>
      <c r="P165" s="1144">
        <f t="shared" si="21"/>
        <v>0</v>
      </c>
      <c r="Q165" s="1144">
        <f t="shared" si="22"/>
        <v>0</v>
      </c>
      <c r="R165" s="1144">
        <f t="shared" si="23"/>
        <v>0</v>
      </c>
      <c r="S165" s="1144">
        <f t="shared" si="23"/>
        <v>0</v>
      </c>
      <c r="T165" s="1144">
        <f t="shared" si="24"/>
        <v>0</v>
      </c>
      <c r="U165" s="1144">
        <f t="shared" si="25"/>
        <v>0</v>
      </c>
      <c r="V165" s="1144">
        <f t="shared" si="25"/>
        <v>20882.400000000001</v>
      </c>
      <c r="W165" s="1145">
        <f t="shared" si="26"/>
        <v>20882.400000000001</v>
      </c>
    </row>
    <row r="166" spans="1:23" x14ac:dyDescent="0.2">
      <c r="A166" s="1140" t="str">
        <f>D166&amp;" "&amp;E166&amp;" "&amp;$A$6</f>
        <v>41TG-I 30000 AMR</v>
      </c>
      <c r="B166" s="1140" t="str">
        <f>D166&amp;" "&amp;E166&amp;" "&amp;$G$5</f>
        <v xml:space="preserve">41TG-I 30000 </v>
      </c>
      <c r="C166" s="1140" t="s">
        <v>808</v>
      </c>
      <c r="D166" s="1140" t="s">
        <v>919</v>
      </c>
      <c r="E166" s="1140">
        <v>30000</v>
      </c>
      <c r="F166" s="1141">
        <f>SUMIF('JKP-8.5 - CNSMREQP_GASMTRCTR'!$A$2:$A$391,'JKP-8.5 - Total Costs'!A166,'JKP-8.5 - CNSMREQP_GASMTRCTR'!$F$2:$F$391)-SUMIF('JKP-8.5 - Migrated From'!$A$2:$A$22,'JKP-8.5 - Total Costs'!A166,'JKP-8.5 - Migrated From'!$F$2:$F$22)+SUMIF('JKP-8.5 - Migrated To'!$A$2:$A$22,'JKP-8.5 - Total Costs'!A166,'JKP-8.5 - Migrated To'!$F$2:$F$22)</f>
        <v>0</v>
      </c>
      <c r="G166" s="1141">
        <f>SUMIF('JKP-8.5 - CNSMREQP_GASMTRCTR'!$A$2:$A$391,'JKP-8.5 - Total Costs'!B166,'JKP-8.5 - CNSMREQP_GASMTRCTR'!$F$2:$F$391)-SUMIF('JKP-8.5 - Migrated From'!$A$2:$A$22,'JKP-8.5 - Total Costs'!B166,'JKP-8.5 - Migrated From'!$F$2:$F$22)+SUMIF('JKP-8.5 - Migrated To'!$A$2:$A$22,'JKP-8.5 - Total Costs'!B166,'JKP-8.5 - Migrated To'!$F$2:$F$22)</f>
        <v>1</v>
      </c>
      <c r="H166" s="1142">
        <f>F166+G166</f>
        <v>1</v>
      </c>
      <c r="I166" s="1143">
        <f>VLOOKUP($E166,'JKP-8.5 - Unit Costs'!$A$9:$H$33,2,FALSE)</f>
        <v>0</v>
      </c>
      <c r="J166" s="1143">
        <f>VLOOKUP($E166,'JKP-8.5 - Unit Costs'!$A$9:$H$33,5,FALSE)</f>
        <v>0</v>
      </c>
      <c r="K166" s="1143">
        <f>VLOOKUP($E166,'JKP-8.5 - Unit Costs'!$A$9:$H$33,3,FALSE)</f>
        <v>0</v>
      </c>
      <c r="L166" s="1143">
        <f>VLOOKUP($E166,'JKP-8.5 - Unit Costs'!$A$9:$H$33,6,FALSE)</f>
        <v>0</v>
      </c>
      <c r="M166" s="1143">
        <f>VLOOKUP($E166,'JKP-8.5 - Unit Costs'!$A$9:$H$33,8,FALSE)</f>
        <v>28159.37</v>
      </c>
      <c r="N166" s="1143">
        <f>VLOOKUP($E166,'JKP-8.5 - Unit Costs'!$A$9:$H$33,8,FALSE)</f>
        <v>28159.37</v>
      </c>
      <c r="O166" s="1144">
        <f>I166*F166</f>
        <v>0</v>
      </c>
      <c r="P166" s="1144">
        <f>J166*G166</f>
        <v>0</v>
      </c>
      <c r="Q166" s="1144">
        <f>P166+O166</f>
        <v>0</v>
      </c>
      <c r="R166" s="1144">
        <f>K166*F166</f>
        <v>0</v>
      </c>
      <c r="S166" s="1144">
        <f>L166*G166</f>
        <v>0</v>
      </c>
      <c r="T166" s="1144">
        <f>S166+R166</f>
        <v>0</v>
      </c>
      <c r="U166" s="1144">
        <f>M166*F166</f>
        <v>0</v>
      </c>
      <c r="V166" s="1144">
        <f>N166*G166</f>
        <v>28159.37</v>
      </c>
      <c r="W166" s="1145">
        <f>V166+U166</f>
        <v>28159.37</v>
      </c>
    </row>
    <row r="167" spans="1:23" x14ac:dyDescent="0.2">
      <c r="A167" s="1140" t="str">
        <f t="shared" si="18"/>
        <v>41TG-I 60000 AMR</v>
      </c>
      <c r="B167" s="1140" t="str">
        <f t="shared" si="19"/>
        <v xml:space="preserve">41TG-I 60000 </v>
      </c>
      <c r="C167" s="1140" t="s">
        <v>808</v>
      </c>
      <c r="D167" s="1140" t="s">
        <v>919</v>
      </c>
      <c r="E167" s="1140">
        <v>60000</v>
      </c>
      <c r="F167" s="1141">
        <f>SUMIF('JKP-8.5 - CNSMREQP_GASMTRCTR'!$A$2:$A$391,'JKP-8.5 - Total Costs'!A167,'JKP-8.5 - CNSMREQP_GASMTRCTR'!$F$2:$F$391)-SUMIF('JKP-8.5 - Migrated From'!$A$2:$A$22,'JKP-8.5 - Total Costs'!A167,'JKP-8.5 - Migrated From'!$F$2:$F$22)+SUMIF('JKP-8.5 - Migrated To'!$A$2:$A$22,'JKP-8.5 - Total Costs'!A167,'JKP-8.5 - Migrated To'!$F$2:$F$22)</f>
        <v>0</v>
      </c>
      <c r="G167" s="1141">
        <f>SUMIF('JKP-8.5 - CNSMREQP_GASMTRCTR'!$A$2:$A$391,'JKP-8.5 - Total Costs'!B167,'JKP-8.5 - CNSMREQP_GASMTRCTR'!$F$2:$F$391)-SUMIF('JKP-8.5 - Migrated From'!$A$2:$A$22,'JKP-8.5 - Total Costs'!B167,'JKP-8.5 - Migrated From'!$F$2:$F$22)+SUMIF('JKP-8.5 - Migrated To'!$A$2:$A$22,'JKP-8.5 - Total Costs'!B167,'JKP-8.5 - Migrated To'!$F$2:$F$22)</f>
        <v>1</v>
      </c>
      <c r="H167" s="1142">
        <f t="shared" si="20"/>
        <v>1</v>
      </c>
      <c r="I167" s="1143">
        <f>VLOOKUP($E167,'JKP-8.5 - Unit Costs'!$A$9:$H$33,2,FALSE)</f>
        <v>0</v>
      </c>
      <c r="J167" s="1143">
        <f>VLOOKUP($E167,'JKP-8.5 - Unit Costs'!$A$9:$H$33,5,FALSE)</f>
        <v>0</v>
      </c>
      <c r="K167" s="1143">
        <f>VLOOKUP($E167,'JKP-8.5 - Unit Costs'!$A$9:$H$33,3,FALSE)</f>
        <v>0</v>
      </c>
      <c r="L167" s="1143">
        <f>VLOOKUP($E167,'JKP-8.5 - Unit Costs'!$A$9:$H$33,6,FALSE)</f>
        <v>0</v>
      </c>
      <c r="M167" s="1143">
        <f>VLOOKUP($E167,'JKP-8.5 - Unit Costs'!$A$9:$H$33,8,FALSE)</f>
        <v>36556.269999999997</v>
      </c>
      <c r="N167" s="1143">
        <f>VLOOKUP($E167,'JKP-8.5 - Unit Costs'!$A$9:$H$33,8,FALSE)</f>
        <v>36556.269999999997</v>
      </c>
      <c r="O167" s="1144">
        <f t="shared" si="21"/>
        <v>0</v>
      </c>
      <c r="P167" s="1144">
        <f t="shared" si="21"/>
        <v>0</v>
      </c>
      <c r="Q167" s="1144">
        <f t="shared" si="22"/>
        <v>0</v>
      </c>
      <c r="R167" s="1144">
        <f t="shared" si="23"/>
        <v>0</v>
      </c>
      <c r="S167" s="1144">
        <f t="shared" si="23"/>
        <v>0</v>
      </c>
      <c r="T167" s="1144">
        <f t="shared" si="24"/>
        <v>0</v>
      </c>
      <c r="U167" s="1144">
        <f t="shared" si="25"/>
        <v>0</v>
      </c>
      <c r="V167" s="1144">
        <f t="shared" si="25"/>
        <v>36556.269999999997</v>
      </c>
      <c r="W167" s="1145">
        <f t="shared" si="26"/>
        <v>36556.269999999997</v>
      </c>
    </row>
    <row r="168" spans="1:23" x14ac:dyDescent="0.2">
      <c r="A168" s="1140" t="str">
        <f t="shared" si="18"/>
        <v>53P 175 AMR</v>
      </c>
      <c r="B168" s="1140" t="str">
        <f t="shared" si="19"/>
        <v xml:space="preserve">53P 175 </v>
      </c>
      <c r="C168" s="1140" t="s">
        <v>930</v>
      </c>
      <c r="D168" s="1140" t="s">
        <v>935</v>
      </c>
      <c r="E168" s="1140">
        <v>175</v>
      </c>
      <c r="F168" s="1141">
        <f>SUMIF('JKP-8.5 - CNSMREQP_GASMTRCTR'!$A$2:$A$391,'JKP-8.5 - Total Costs'!A168,'JKP-8.5 - CNSMREQP_GASMTRCTR'!$F$2:$F$391)-SUMIF('JKP-8.5 - Migrated From'!$A$2:$A$22,'JKP-8.5 - Total Costs'!A168,'JKP-8.5 - Migrated From'!$F$2:$F$22)+SUMIF('JKP-8.5 - Migrated To'!$A$2:$A$22,'JKP-8.5 - Total Costs'!A168,'JKP-8.5 - Migrated To'!$F$2:$F$22)</f>
        <v>3</v>
      </c>
      <c r="G168" s="1141">
        <f>SUMIF('JKP-8.5 - CNSMREQP_GASMTRCTR'!$A$2:$A$391,'JKP-8.5 - Total Costs'!B168,'JKP-8.5 - CNSMREQP_GASMTRCTR'!$F$2:$F$391)-SUMIF('JKP-8.5 - Migrated From'!$A$2:$A$22,'JKP-8.5 - Total Costs'!B168,'JKP-8.5 - Migrated From'!$F$2:$F$22)+SUMIF('JKP-8.5 - Migrated To'!$A$2:$A$22,'JKP-8.5 - Total Costs'!B168,'JKP-8.5 - Migrated To'!$F$2:$F$22)</f>
        <v>0</v>
      </c>
      <c r="H168" s="1142">
        <f t="shared" si="20"/>
        <v>3</v>
      </c>
      <c r="I168" s="1143">
        <f>VLOOKUP($E168,'JKP-8.5 - Unit Costs'!$A$9:$H$33,2,FALSE)</f>
        <v>141.83000000000001</v>
      </c>
      <c r="J168" s="1143">
        <f>VLOOKUP($E168,'JKP-8.5 - Unit Costs'!$A$9:$H$33,5,FALSE)</f>
        <v>92.480000000000018</v>
      </c>
      <c r="K168" s="1143">
        <f>VLOOKUP($E168,'JKP-8.5 - Unit Costs'!$A$9:$H$33,3,FALSE)</f>
        <v>41.76</v>
      </c>
      <c r="L168" s="1143">
        <f>VLOOKUP($E168,'JKP-8.5 - Unit Costs'!$A$9:$H$33,6,FALSE)</f>
        <v>41.76</v>
      </c>
      <c r="M168" s="1143">
        <f>VLOOKUP($E168,'JKP-8.5 - Unit Costs'!$A$9:$H$33,8,FALSE)</f>
        <v>0</v>
      </c>
      <c r="N168" s="1143">
        <f>VLOOKUP($E168,'JKP-8.5 - Unit Costs'!$A$9:$H$33,8,FALSE)</f>
        <v>0</v>
      </c>
      <c r="O168" s="1144">
        <f t="shared" si="21"/>
        <v>425.49</v>
      </c>
      <c r="P168" s="1144">
        <f t="shared" si="21"/>
        <v>0</v>
      </c>
      <c r="Q168" s="1144">
        <f t="shared" si="22"/>
        <v>425.49</v>
      </c>
      <c r="R168" s="1144">
        <f t="shared" si="23"/>
        <v>125.28</v>
      </c>
      <c r="S168" s="1144">
        <f t="shared" si="23"/>
        <v>0</v>
      </c>
      <c r="T168" s="1144">
        <f t="shared" si="24"/>
        <v>125.28</v>
      </c>
      <c r="U168" s="1144">
        <f t="shared" si="25"/>
        <v>0</v>
      </c>
      <c r="V168" s="1144">
        <f t="shared" si="25"/>
        <v>0</v>
      </c>
      <c r="W168" s="1145">
        <f t="shared" si="26"/>
        <v>0</v>
      </c>
    </row>
    <row r="169" spans="1:23" x14ac:dyDescent="0.2">
      <c r="A169" s="1140" t="str">
        <f t="shared" si="18"/>
        <v>53P 250 AMR</v>
      </c>
      <c r="B169" s="1140" t="str">
        <f t="shared" si="19"/>
        <v xml:space="preserve">53P 250 </v>
      </c>
      <c r="C169" s="1140" t="s">
        <v>930</v>
      </c>
      <c r="D169" s="1140" t="s">
        <v>935</v>
      </c>
      <c r="E169" s="1140">
        <v>250</v>
      </c>
      <c r="F169" s="1141">
        <f>SUMIF('JKP-8.5 - CNSMREQP_GASMTRCTR'!$A$2:$A$391,'JKP-8.5 - Total Costs'!A169,'JKP-8.5 - CNSMREQP_GASMTRCTR'!$F$2:$F$391)-SUMIF('JKP-8.5 - Migrated From'!$A$2:$A$22,'JKP-8.5 - Total Costs'!A169,'JKP-8.5 - Migrated From'!$F$2:$F$22)+SUMIF('JKP-8.5 - Migrated To'!$A$2:$A$22,'JKP-8.5 - Total Costs'!A169,'JKP-8.5 - Migrated To'!$F$2:$F$22)</f>
        <v>1</v>
      </c>
      <c r="G169" s="1141">
        <f>SUMIF('JKP-8.5 - CNSMREQP_GASMTRCTR'!$A$2:$A$391,'JKP-8.5 - Total Costs'!B169,'JKP-8.5 - CNSMREQP_GASMTRCTR'!$F$2:$F$391)-SUMIF('JKP-8.5 - Migrated From'!$A$2:$A$22,'JKP-8.5 - Total Costs'!B169,'JKP-8.5 - Migrated From'!$F$2:$F$22)+SUMIF('JKP-8.5 - Migrated To'!$A$2:$A$22,'JKP-8.5 - Total Costs'!B169,'JKP-8.5 - Migrated To'!$F$2:$F$22)</f>
        <v>0</v>
      </c>
      <c r="H169" s="1142">
        <f t="shared" si="20"/>
        <v>1</v>
      </c>
      <c r="I169" s="1143">
        <f>VLOOKUP($E169,'JKP-8.5 - Unit Costs'!$A$9:$H$33,2,FALSE)</f>
        <v>141.83000000000001</v>
      </c>
      <c r="J169" s="1143">
        <f>VLOOKUP($E169,'JKP-8.5 - Unit Costs'!$A$9:$H$33,5,FALSE)</f>
        <v>92.480000000000018</v>
      </c>
      <c r="K169" s="1143">
        <f>VLOOKUP($E169,'JKP-8.5 - Unit Costs'!$A$9:$H$33,3,FALSE)</f>
        <v>41.76</v>
      </c>
      <c r="L169" s="1143">
        <f>VLOOKUP($E169,'JKP-8.5 - Unit Costs'!$A$9:$H$33,6,FALSE)</f>
        <v>41.76</v>
      </c>
      <c r="M169" s="1143">
        <f>VLOOKUP($E169,'JKP-8.5 - Unit Costs'!$A$9:$H$33,8,FALSE)</f>
        <v>0</v>
      </c>
      <c r="N169" s="1143">
        <f>VLOOKUP($E169,'JKP-8.5 - Unit Costs'!$A$9:$H$33,8,FALSE)</f>
        <v>0</v>
      </c>
      <c r="O169" s="1144">
        <f t="shared" si="21"/>
        <v>141.83000000000001</v>
      </c>
      <c r="P169" s="1144">
        <f t="shared" si="21"/>
        <v>0</v>
      </c>
      <c r="Q169" s="1144">
        <f t="shared" si="22"/>
        <v>141.83000000000001</v>
      </c>
      <c r="R169" s="1144">
        <f t="shared" si="23"/>
        <v>41.76</v>
      </c>
      <c r="S169" s="1144">
        <f t="shared" si="23"/>
        <v>0</v>
      </c>
      <c r="T169" s="1144">
        <f t="shared" si="24"/>
        <v>41.76</v>
      </c>
      <c r="U169" s="1144">
        <f t="shared" si="25"/>
        <v>0</v>
      </c>
      <c r="V169" s="1144">
        <f t="shared" si="25"/>
        <v>0</v>
      </c>
      <c r="W169" s="1145">
        <f t="shared" si="26"/>
        <v>0</v>
      </c>
    </row>
    <row r="170" spans="1:23" x14ac:dyDescent="0.2">
      <c r="A170" s="1140" t="str">
        <f t="shared" si="18"/>
        <v>53P 425 AMR</v>
      </c>
      <c r="B170" s="1140" t="str">
        <f t="shared" si="19"/>
        <v xml:space="preserve">53P 425 </v>
      </c>
      <c r="C170" s="1140" t="s">
        <v>930</v>
      </c>
      <c r="D170" s="1140" t="s">
        <v>935</v>
      </c>
      <c r="E170" s="1140">
        <v>425</v>
      </c>
      <c r="F170" s="1141">
        <f>SUMIF('JKP-8.5 - CNSMREQP_GASMTRCTR'!$A$2:$A$391,'JKP-8.5 - Total Costs'!A170,'JKP-8.5 - CNSMREQP_GASMTRCTR'!$F$2:$F$391)-SUMIF('JKP-8.5 - Migrated From'!$A$2:$A$22,'JKP-8.5 - Total Costs'!A170,'JKP-8.5 - Migrated From'!$F$2:$F$22)+SUMIF('JKP-8.5 - Migrated To'!$A$2:$A$22,'JKP-8.5 - Total Costs'!A170,'JKP-8.5 - Migrated To'!$F$2:$F$22)</f>
        <v>1</v>
      </c>
      <c r="G170" s="1141">
        <f>SUMIF('JKP-8.5 - CNSMREQP_GASMTRCTR'!$A$2:$A$391,'JKP-8.5 - Total Costs'!B170,'JKP-8.5 - CNSMREQP_GASMTRCTR'!$F$2:$F$391)-SUMIF('JKP-8.5 - Migrated From'!$A$2:$A$22,'JKP-8.5 - Total Costs'!B170,'JKP-8.5 - Migrated From'!$F$2:$F$22)+SUMIF('JKP-8.5 - Migrated To'!$A$2:$A$22,'JKP-8.5 - Total Costs'!B170,'JKP-8.5 - Migrated To'!$F$2:$F$22)</f>
        <v>0</v>
      </c>
      <c r="H170" s="1142">
        <f t="shared" si="20"/>
        <v>1</v>
      </c>
      <c r="I170" s="1143">
        <f>VLOOKUP($E170,'JKP-8.5 - Unit Costs'!$A$9:$H$33,2,FALSE)</f>
        <v>462.02000000000004</v>
      </c>
      <c r="J170" s="1143">
        <f>VLOOKUP($E170,'JKP-8.5 - Unit Costs'!$A$9:$H$33,5,FALSE)</f>
        <v>193.72</v>
      </c>
      <c r="K170" s="1143">
        <f>VLOOKUP($E170,'JKP-8.5 - Unit Costs'!$A$9:$H$33,3,FALSE)</f>
        <v>41.76</v>
      </c>
      <c r="L170" s="1143">
        <f>VLOOKUP($E170,'JKP-8.5 - Unit Costs'!$A$9:$H$33,6,FALSE)</f>
        <v>41.76</v>
      </c>
      <c r="M170" s="1143">
        <f>VLOOKUP($E170,'JKP-8.5 - Unit Costs'!$A$9:$H$33,8,FALSE)</f>
        <v>0</v>
      </c>
      <c r="N170" s="1143">
        <f>VLOOKUP($E170,'JKP-8.5 - Unit Costs'!$A$9:$H$33,8,FALSE)</f>
        <v>0</v>
      </c>
      <c r="O170" s="1144">
        <f t="shared" si="21"/>
        <v>462.02000000000004</v>
      </c>
      <c r="P170" s="1144">
        <f t="shared" si="21"/>
        <v>0</v>
      </c>
      <c r="Q170" s="1144">
        <f t="shared" si="22"/>
        <v>462.02000000000004</v>
      </c>
      <c r="R170" s="1144">
        <f t="shared" si="23"/>
        <v>41.76</v>
      </c>
      <c r="S170" s="1144">
        <f t="shared" si="23"/>
        <v>0</v>
      </c>
      <c r="T170" s="1144">
        <f t="shared" si="24"/>
        <v>41.76</v>
      </c>
      <c r="U170" s="1144">
        <f t="shared" si="25"/>
        <v>0</v>
      </c>
      <c r="V170" s="1144">
        <f t="shared" si="25"/>
        <v>0</v>
      </c>
      <c r="W170" s="1145">
        <f t="shared" si="26"/>
        <v>0</v>
      </c>
    </row>
    <row r="171" spans="1:23" x14ac:dyDescent="0.2">
      <c r="A171" s="1140" t="str">
        <f t="shared" si="18"/>
        <v>85G-C3 150 AMR</v>
      </c>
      <c r="B171" s="1140" t="str">
        <f t="shared" si="19"/>
        <v xml:space="preserve">85G-C3 150 </v>
      </c>
      <c r="C171" s="1140" t="s">
        <v>805</v>
      </c>
      <c r="D171" s="1140" t="s">
        <v>910</v>
      </c>
      <c r="E171" s="1140">
        <v>150</v>
      </c>
      <c r="F171" s="1141">
        <f>SUMIF('JKP-8.5 - CNSMREQP_GASMTRCTR'!$A$2:$A$391,'JKP-8.5 - Total Costs'!A171,'JKP-8.5 - CNSMREQP_GASMTRCTR'!$F$2:$F$391)-SUMIF('JKP-8.5 - Migrated From'!$A$2:$A$22,'JKP-8.5 - Total Costs'!A171,'JKP-8.5 - Migrated From'!$F$2:$F$22)+SUMIF('JKP-8.5 - Migrated To'!$A$2:$A$22,'JKP-8.5 - Total Costs'!A171,'JKP-8.5 - Migrated To'!$F$2:$F$22)</f>
        <v>0</v>
      </c>
      <c r="G171" s="1141">
        <f>SUMIF('JKP-8.5 - CNSMREQP_GASMTRCTR'!$A$2:$A$391,'JKP-8.5 - Total Costs'!B171,'JKP-8.5 - CNSMREQP_GASMTRCTR'!$F$2:$F$391)-SUMIF('JKP-8.5 - Migrated From'!$A$2:$A$22,'JKP-8.5 - Total Costs'!B171,'JKP-8.5 - Migrated From'!$F$2:$F$22)+SUMIF('JKP-8.5 - Migrated To'!$A$2:$A$22,'JKP-8.5 - Total Costs'!B171,'JKP-8.5 - Migrated To'!$F$2:$F$22)</f>
        <v>1</v>
      </c>
      <c r="H171" s="1142">
        <f t="shared" si="20"/>
        <v>1</v>
      </c>
      <c r="I171" s="1143">
        <f>VLOOKUP($E171,'JKP-8.5 - Unit Costs'!$A$9:$H$33,2,FALSE)</f>
        <v>141.83000000000001</v>
      </c>
      <c r="J171" s="1143">
        <f>VLOOKUP($E171,'JKP-8.5 - Unit Costs'!$A$9:$H$33,5,FALSE)</f>
        <v>92.480000000000018</v>
      </c>
      <c r="K171" s="1143">
        <f>VLOOKUP($E171,'JKP-8.5 - Unit Costs'!$A$9:$H$33,3,FALSE)</f>
        <v>41.76</v>
      </c>
      <c r="L171" s="1143">
        <f>VLOOKUP($E171,'JKP-8.5 - Unit Costs'!$A$9:$H$33,6,FALSE)</f>
        <v>41.76</v>
      </c>
      <c r="M171" s="1143">
        <f>VLOOKUP($E171,'JKP-8.5 - Unit Costs'!$A$9:$H$33,8,FALSE)</f>
        <v>0</v>
      </c>
      <c r="N171" s="1143">
        <f>VLOOKUP($E171,'JKP-8.5 - Unit Costs'!$A$9:$H$33,8,FALSE)</f>
        <v>0</v>
      </c>
      <c r="O171" s="1144">
        <f t="shared" si="21"/>
        <v>0</v>
      </c>
      <c r="P171" s="1144">
        <f t="shared" si="21"/>
        <v>92.480000000000018</v>
      </c>
      <c r="Q171" s="1144">
        <f t="shared" si="22"/>
        <v>92.480000000000018</v>
      </c>
      <c r="R171" s="1144">
        <f t="shared" si="23"/>
        <v>0</v>
      </c>
      <c r="S171" s="1144">
        <f t="shared" si="23"/>
        <v>41.76</v>
      </c>
      <c r="T171" s="1144">
        <f t="shared" si="24"/>
        <v>41.76</v>
      </c>
      <c r="U171" s="1144">
        <f t="shared" si="25"/>
        <v>0</v>
      </c>
      <c r="V171" s="1144">
        <f t="shared" si="25"/>
        <v>0</v>
      </c>
      <c r="W171" s="1145">
        <f t="shared" si="26"/>
        <v>0</v>
      </c>
    </row>
    <row r="172" spans="1:23" x14ac:dyDescent="0.2">
      <c r="A172" s="1140" t="str">
        <f t="shared" si="18"/>
        <v>85G-C3 3000 AMR</v>
      </c>
      <c r="B172" s="1140" t="str">
        <f t="shared" si="19"/>
        <v xml:space="preserve">85G-C3 3000 </v>
      </c>
      <c r="C172" s="1140" t="s">
        <v>805</v>
      </c>
      <c r="D172" s="1140" t="s">
        <v>910</v>
      </c>
      <c r="E172" s="1140">
        <v>3000</v>
      </c>
      <c r="F172" s="1141">
        <f>SUMIF('JKP-8.5 - CNSMREQP_GASMTRCTR'!$A$2:$A$391,'JKP-8.5 - Total Costs'!A172,'JKP-8.5 - CNSMREQP_GASMTRCTR'!$F$2:$F$391)-SUMIF('JKP-8.5 - Migrated From'!$A$2:$A$22,'JKP-8.5 - Total Costs'!A172,'JKP-8.5 - Migrated From'!$F$2:$F$22)+SUMIF('JKP-8.5 - Migrated To'!$A$2:$A$22,'JKP-8.5 - Total Costs'!A172,'JKP-8.5 - Migrated To'!$F$2:$F$22)</f>
        <v>0</v>
      </c>
      <c r="G172" s="1141">
        <f>SUMIF('JKP-8.5 - CNSMREQP_GASMTRCTR'!$A$2:$A$391,'JKP-8.5 - Total Costs'!B172,'JKP-8.5 - CNSMREQP_GASMTRCTR'!$F$2:$F$391)-SUMIF('JKP-8.5 - Migrated From'!$A$2:$A$22,'JKP-8.5 - Total Costs'!B172,'JKP-8.5 - Migrated From'!$F$2:$F$22)+SUMIF('JKP-8.5 - Migrated To'!$A$2:$A$22,'JKP-8.5 - Total Costs'!B172,'JKP-8.5 - Migrated To'!$F$2:$F$22)</f>
        <v>3</v>
      </c>
      <c r="H172" s="1142">
        <f t="shared" si="20"/>
        <v>3</v>
      </c>
      <c r="I172" s="1143">
        <f>VLOOKUP($E172,'JKP-8.5 - Unit Costs'!$A$9:$H$33,2,FALSE)</f>
        <v>0</v>
      </c>
      <c r="J172" s="1143">
        <f>VLOOKUP($E172,'JKP-8.5 - Unit Costs'!$A$9:$H$33,5,FALSE)</f>
        <v>0</v>
      </c>
      <c r="K172" s="1143">
        <f>VLOOKUP($E172,'JKP-8.5 - Unit Costs'!$A$9:$H$33,3,FALSE)</f>
        <v>0</v>
      </c>
      <c r="L172" s="1143">
        <f>VLOOKUP($E172,'JKP-8.5 - Unit Costs'!$A$9:$H$33,6,FALSE)</f>
        <v>0</v>
      </c>
      <c r="M172" s="1143">
        <f>VLOOKUP($E172,'JKP-8.5 - Unit Costs'!$A$9:$H$33,8,FALSE)</f>
        <v>3406.19</v>
      </c>
      <c r="N172" s="1143">
        <f>VLOOKUP($E172,'JKP-8.5 - Unit Costs'!$A$9:$H$33,8,FALSE)</f>
        <v>3406.19</v>
      </c>
      <c r="O172" s="1144">
        <f t="shared" si="21"/>
        <v>0</v>
      </c>
      <c r="P172" s="1144">
        <f t="shared" si="21"/>
        <v>0</v>
      </c>
      <c r="Q172" s="1144">
        <f t="shared" si="22"/>
        <v>0</v>
      </c>
      <c r="R172" s="1144">
        <f t="shared" si="23"/>
        <v>0</v>
      </c>
      <c r="S172" s="1144">
        <f t="shared" si="23"/>
        <v>0</v>
      </c>
      <c r="T172" s="1144">
        <f t="shared" si="24"/>
        <v>0</v>
      </c>
      <c r="U172" s="1144">
        <f t="shared" si="25"/>
        <v>0</v>
      </c>
      <c r="V172" s="1144">
        <f t="shared" si="25"/>
        <v>10218.57</v>
      </c>
      <c r="W172" s="1145">
        <f t="shared" si="26"/>
        <v>10218.57</v>
      </c>
    </row>
    <row r="173" spans="1:23" x14ac:dyDescent="0.2">
      <c r="A173" s="1140" t="str">
        <f t="shared" si="18"/>
        <v>85G-C3 5000 AMR</v>
      </c>
      <c r="B173" s="1140" t="str">
        <f t="shared" si="19"/>
        <v xml:space="preserve">85G-C3 5000 </v>
      </c>
      <c r="C173" s="1140" t="s">
        <v>805</v>
      </c>
      <c r="D173" s="1140" t="s">
        <v>910</v>
      </c>
      <c r="E173" s="1140">
        <v>5000</v>
      </c>
      <c r="F173" s="1141">
        <f>SUMIF('JKP-8.5 - CNSMREQP_GASMTRCTR'!$A$2:$A$391,'JKP-8.5 - Total Costs'!A173,'JKP-8.5 - CNSMREQP_GASMTRCTR'!$F$2:$F$391)-SUMIF('JKP-8.5 - Migrated From'!$A$2:$A$22,'JKP-8.5 - Total Costs'!A173,'JKP-8.5 - Migrated From'!$F$2:$F$22)+SUMIF('JKP-8.5 - Migrated To'!$A$2:$A$22,'JKP-8.5 - Total Costs'!A173,'JKP-8.5 - Migrated To'!$F$2:$F$22)</f>
        <v>0</v>
      </c>
      <c r="G173" s="1141">
        <f>SUMIF('JKP-8.5 - CNSMREQP_GASMTRCTR'!$A$2:$A$391,'JKP-8.5 - Total Costs'!B173,'JKP-8.5 - CNSMREQP_GASMTRCTR'!$F$2:$F$391)-SUMIF('JKP-8.5 - Migrated From'!$A$2:$A$22,'JKP-8.5 - Total Costs'!B173,'JKP-8.5 - Migrated From'!$F$2:$F$22)+SUMIF('JKP-8.5 - Migrated To'!$A$2:$A$22,'JKP-8.5 - Total Costs'!B173,'JKP-8.5 - Migrated To'!$F$2:$F$22)</f>
        <v>4</v>
      </c>
      <c r="H173" s="1142">
        <f t="shared" si="20"/>
        <v>4</v>
      </c>
      <c r="I173" s="1143">
        <f>VLOOKUP($E173,'JKP-8.5 - Unit Costs'!$A$9:$H$33,2,FALSE)</f>
        <v>0</v>
      </c>
      <c r="J173" s="1143">
        <f>VLOOKUP($E173,'JKP-8.5 - Unit Costs'!$A$9:$H$33,5,FALSE)</f>
        <v>0</v>
      </c>
      <c r="K173" s="1143">
        <f>VLOOKUP($E173,'JKP-8.5 - Unit Costs'!$A$9:$H$33,3,FALSE)</f>
        <v>0</v>
      </c>
      <c r="L173" s="1143">
        <f>VLOOKUP($E173,'JKP-8.5 - Unit Costs'!$A$9:$H$33,6,FALSE)</f>
        <v>0</v>
      </c>
      <c r="M173" s="1143">
        <f>VLOOKUP($E173,'JKP-8.5 - Unit Costs'!$A$9:$H$33,8,FALSE)</f>
        <v>3456.43</v>
      </c>
      <c r="N173" s="1143">
        <f>VLOOKUP($E173,'JKP-8.5 - Unit Costs'!$A$9:$H$33,8,FALSE)</f>
        <v>3456.43</v>
      </c>
      <c r="O173" s="1144">
        <f t="shared" si="21"/>
        <v>0</v>
      </c>
      <c r="P173" s="1144">
        <f t="shared" si="21"/>
        <v>0</v>
      </c>
      <c r="Q173" s="1144">
        <f t="shared" si="22"/>
        <v>0</v>
      </c>
      <c r="R173" s="1144">
        <f t="shared" si="23"/>
        <v>0</v>
      </c>
      <c r="S173" s="1144">
        <f t="shared" si="23"/>
        <v>0</v>
      </c>
      <c r="T173" s="1144">
        <f t="shared" si="24"/>
        <v>0</v>
      </c>
      <c r="U173" s="1144">
        <f t="shared" si="25"/>
        <v>0</v>
      </c>
      <c r="V173" s="1144">
        <f t="shared" si="25"/>
        <v>13825.72</v>
      </c>
      <c r="W173" s="1145">
        <f t="shared" si="26"/>
        <v>13825.72</v>
      </c>
    </row>
    <row r="174" spans="1:23" x14ac:dyDescent="0.2">
      <c r="A174" s="1140" t="str">
        <f t="shared" si="18"/>
        <v>85G-C3 7000 AMR</v>
      </c>
      <c r="B174" s="1140" t="str">
        <f t="shared" si="19"/>
        <v xml:space="preserve">85G-C3 7000 </v>
      </c>
      <c r="C174" s="1140" t="s">
        <v>805</v>
      </c>
      <c r="D174" s="1140" t="s">
        <v>910</v>
      </c>
      <c r="E174" s="1140">
        <v>7000</v>
      </c>
      <c r="F174" s="1141">
        <f>SUMIF('JKP-8.5 - CNSMREQP_GASMTRCTR'!$A$2:$A$391,'JKP-8.5 - Total Costs'!A174,'JKP-8.5 - CNSMREQP_GASMTRCTR'!$F$2:$F$391)-SUMIF('JKP-8.5 - Migrated From'!$A$2:$A$22,'JKP-8.5 - Total Costs'!A174,'JKP-8.5 - Migrated From'!$F$2:$F$22)+SUMIF('JKP-8.5 - Migrated To'!$A$2:$A$22,'JKP-8.5 - Total Costs'!A174,'JKP-8.5 - Migrated To'!$F$2:$F$22)</f>
        <v>0</v>
      </c>
      <c r="G174" s="1141">
        <f>SUMIF('JKP-8.5 - CNSMREQP_GASMTRCTR'!$A$2:$A$391,'JKP-8.5 - Total Costs'!B174,'JKP-8.5 - CNSMREQP_GASMTRCTR'!$F$2:$F$391)-SUMIF('JKP-8.5 - Migrated From'!$A$2:$A$22,'JKP-8.5 - Total Costs'!B174,'JKP-8.5 - Migrated From'!$F$2:$F$22)+SUMIF('JKP-8.5 - Migrated To'!$A$2:$A$22,'JKP-8.5 - Total Costs'!B174,'JKP-8.5 - Migrated To'!$F$2:$F$22)</f>
        <v>2</v>
      </c>
      <c r="H174" s="1142">
        <f t="shared" si="20"/>
        <v>2</v>
      </c>
      <c r="I174" s="1143">
        <f>VLOOKUP($E174,'JKP-8.5 - Unit Costs'!$A$9:$H$33,2,FALSE)</f>
        <v>0</v>
      </c>
      <c r="J174" s="1143">
        <f>VLOOKUP($E174,'JKP-8.5 - Unit Costs'!$A$9:$H$33,5,FALSE)</f>
        <v>0</v>
      </c>
      <c r="K174" s="1143">
        <f>VLOOKUP($E174,'JKP-8.5 - Unit Costs'!$A$9:$H$33,3,FALSE)</f>
        <v>0</v>
      </c>
      <c r="L174" s="1143">
        <f>VLOOKUP($E174,'JKP-8.5 - Unit Costs'!$A$9:$H$33,6,FALSE)</f>
        <v>0</v>
      </c>
      <c r="M174" s="1143">
        <f>VLOOKUP($E174,'JKP-8.5 - Unit Costs'!$A$9:$H$33,8,FALSE)</f>
        <v>3458.4399999999996</v>
      </c>
      <c r="N174" s="1143">
        <f>VLOOKUP($E174,'JKP-8.5 - Unit Costs'!$A$9:$H$33,8,FALSE)</f>
        <v>3458.4399999999996</v>
      </c>
      <c r="O174" s="1144">
        <f t="shared" si="21"/>
        <v>0</v>
      </c>
      <c r="P174" s="1144">
        <f t="shared" si="21"/>
        <v>0</v>
      </c>
      <c r="Q174" s="1144">
        <f t="shared" si="22"/>
        <v>0</v>
      </c>
      <c r="R174" s="1144">
        <f t="shared" si="23"/>
        <v>0</v>
      </c>
      <c r="S174" s="1144">
        <f t="shared" si="23"/>
        <v>0</v>
      </c>
      <c r="T174" s="1144">
        <f t="shared" si="24"/>
        <v>0</v>
      </c>
      <c r="U174" s="1144">
        <f t="shared" si="25"/>
        <v>0</v>
      </c>
      <c r="V174" s="1144">
        <f t="shared" si="25"/>
        <v>6916.8799999999992</v>
      </c>
      <c r="W174" s="1145">
        <f t="shared" si="26"/>
        <v>6916.8799999999992</v>
      </c>
    </row>
    <row r="175" spans="1:23" x14ac:dyDescent="0.2">
      <c r="A175" s="1140" t="str">
        <f t="shared" si="18"/>
        <v>85G-C3 11000 AMR</v>
      </c>
      <c r="B175" s="1140" t="str">
        <f t="shared" si="19"/>
        <v xml:space="preserve">85G-C3 11000 </v>
      </c>
      <c r="C175" s="1140" t="s">
        <v>805</v>
      </c>
      <c r="D175" s="1140" t="s">
        <v>910</v>
      </c>
      <c r="E175" s="1140">
        <v>11000</v>
      </c>
      <c r="F175" s="1141">
        <f>SUMIF('JKP-8.5 - CNSMREQP_GASMTRCTR'!$A$2:$A$391,'JKP-8.5 - Total Costs'!A175,'JKP-8.5 - CNSMREQP_GASMTRCTR'!$F$2:$F$391)-SUMIF('JKP-8.5 - Migrated From'!$A$2:$A$22,'JKP-8.5 - Total Costs'!A175,'JKP-8.5 - Migrated From'!$F$2:$F$22)+SUMIF('JKP-8.5 - Migrated To'!$A$2:$A$22,'JKP-8.5 - Total Costs'!A175,'JKP-8.5 - Migrated To'!$F$2:$F$22)</f>
        <v>1</v>
      </c>
      <c r="G175" s="1141">
        <f>SUMIF('JKP-8.5 - CNSMREQP_GASMTRCTR'!$A$2:$A$391,'JKP-8.5 - Total Costs'!B175,'JKP-8.5 - CNSMREQP_GASMTRCTR'!$F$2:$F$391)-SUMIF('JKP-8.5 - Migrated From'!$A$2:$A$22,'JKP-8.5 - Total Costs'!B175,'JKP-8.5 - Migrated From'!$F$2:$F$22)+SUMIF('JKP-8.5 - Migrated To'!$A$2:$A$22,'JKP-8.5 - Total Costs'!B175,'JKP-8.5 - Migrated To'!$F$2:$F$22)</f>
        <v>6</v>
      </c>
      <c r="H175" s="1142">
        <f t="shared" si="20"/>
        <v>7</v>
      </c>
      <c r="I175" s="1143">
        <f>VLOOKUP($E175,'JKP-8.5 - Unit Costs'!$A$9:$H$33,2,FALSE)</f>
        <v>0</v>
      </c>
      <c r="J175" s="1143">
        <f>VLOOKUP($E175,'JKP-8.5 - Unit Costs'!$A$9:$H$33,5,FALSE)</f>
        <v>0</v>
      </c>
      <c r="K175" s="1143">
        <f>VLOOKUP($E175,'JKP-8.5 - Unit Costs'!$A$9:$H$33,3,FALSE)</f>
        <v>0</v>
      </c>
      <c r="L175" s="1143">
        <f>VLOOKUP($E175,'JKP-8.5 - Unit Costs'!$A$9:$H$33,6,FALSE)</f>
        <v>0</v>
      </c>
      <c r="M175" s="1143">
        <f>VLOOKUP($E175,'JKP-8.5 - Unit Costs'!$A$9:$H$33,8,FALSE)</f>
        <v>5835.1900000000005</v>
      </c>
      <c r="N175" s="1143">
        <f>VLOOKUP($E175,'JKP-8.5 - Unit Costs'!$A$9:$H$33,8,FALSE)</f>
        <v>5835.1900000000005</v>
      </c>
      <c r="O175" s="1144">
        <f t="shared" si="21"/>
        <v>0</v>
      </c>
      <c r="P175" s="1144">
        <f t="shared" si="21"/>
        <v>0</v>
      </c>
      <c r="Q175" s="1144">
        <f t="shared" si="22"/>
        <v>0</v>
      </c>
      <c r="R175" s="1144">
        <f t="shared" si="23"/>
        <v>0</v>
      </c>
      <c r="S175" s="1144">
        <f t="shared" si="23"/>
        <v>0</v>
      </c>
      <c r="T175" s="1144">
        <f t="shared" si="24"/>
        <v>0</v>
      </c>
      <c r="U175" s="1144">
        <f t="shared" si="25"/>
        <v>5835.1900000000005</v>
      </c>
      <c r="V175" s="1144">
        <f t="shared" si="25"/>
        <v>35011.14</v>
      </c>
      <c r="W175" s="1145">
        <f t="shared" si="26"/>
        <v>40846.33</v>
      </c>
    </row>
    <row r="176" spans="1:23" x14ac:dyDescent="0.2">
      <c r="A176" s="1140" t="str">
        <f t="shared" si="18"/>
        <v>85G-C3 16000 AMR</v>
      </c>
      <c r="B176" s="1140" t="str">
        <f t="shared" si="19"/>
        <v xml:space="preserve">85G-C3 16000 </v>
      </c>
      <c r="C176" s="1140" t="s">
        <v>805</v>
      </c>
      <c r="D176" s="1140" t="s">
        <v>910</v>
      </c>
      <c r="E176" s="1140">
        <v>16000</v>
      </c>
      <c r="F176" s="1141">
        <f>SUMIF('JKP-8.5 - CNSMREQP_GASMTRCTR'!$A$2:$A$391,'JKP-8.5 - Total Costs'!A176,'JKP-8.5 - CNSMREQP_GASMTRCTR'!$F$2:$F$391)-SUMIF('JKP-8.5 - Migrated From'!$A$2:$A$22,'JKP-8.5 - Total Costs'!A176,'JKP-8.5 - Migrated From'!$F$2:$F$22)+SUMIF('JKP-8.5 - Migrated To'!$A$2:$A$22,'JKP-8.5 - Total Costs'!A176,'JKP-8.5 - Migrated To'!$F$2:$F$22)</f>
        <v>0</v>
      </c>
      <c r="G176" s="1141">
        <f>SUMIF('JKP-8.5 - CNSMREQP_GASMTRCTR'!$A$2:$A$391,'JKP-8.5 - Total Costs'!B176,'JKP-8.5 - CNSMREQP_GASMTRCTR'!$F$2:$F$391)-SUMIF('JKP-8.5 - Migrated From'!$A$2:$A$22,'JKP-8.5 - Total Costs'!B176,'JKP-8.5 - Migrated From'!$F$2:$F$22)+SUMIF('JKP-8.5 - Migrated To'!$A$2:$A$22,'JKP-8.5 - Total Costs'!B176,'JKP-8.5 - Migrated To'!$F$2:$F$22)</f>
        <v>8</v>
      </c>
      <c r="H176" s="1142">
        <f t="shared" si="20"/>
        <v>8</v>
      </c>
      <c r="I176" s="1143">
        <f>VLOOKUP($E176,'JKP-8.5 - Unit Costs'!$A$9:$H$33,2,FALSE)</f>
        <v>0</v>
      </c>
      <c r="J176" s="1143">
        <f>VLOOKUP($E176,'JKP-8.5 - Unit Costs'!$A$9:$H$33,5,FALSE)</f>
        <v>0</v>
      </c>
      <c r="K176" s="1143">
        <f>VLOOKUP($E176,'JKP-8.5 - Unit Costs'!$A$9:$H$33,3,FALSE)</f>
        <v>0</v>
      </c>
      <c r="L176" s="1143">
        <f>VLOOKUP($E176,'JKP-8.5 - Unit Costs'!$A$9:$H$33,6,FALSE)</f>
        <v>0</v>
      </c>
      <c r="M176" s="1143">
        <f>VLOOKUP($E176,'JKP-8.5 - Unit Costs'!$A$9:$H$33,8,FALSE)</f>
        <v>8983.2999999999993</v>
      </c>
      <c r="N176" s="1143">
        <f>VLOOKUP($E176,'JKP-8.5 - Unit Costs'!$A$9:$H$33,8,FALSE)</f>
        <v>8983.2999999999993</v>
      </c>
      <c r="O176" s="1144">
        <f t="shared" si="21"/>
        <v>0</v>
      </c>
      <c r="P176" s="1144">
        <f t="shared" si="21"/>
        <v>0</v>
      </c>
      <c r="Q176" s="1144">
        <f t="shared" si="22"/>
        <v>0</v>
      </c>
      <c r="R176" s="1144">
        <f t="shared" si="23"/>
        <v>0</v>
      </c>
      <c r="S176" s="1144">
        <f t="shared" si="23"/>
        <v>0</v>
      </c>
      <c r="T176" s="1144">
        <f t="shared" si="24"/>
        <v>0</v>
      </c>
      <c r="U176" s="1144">
        <f t="shared" si="25"/>
        <v>0</v>
      </c>
      <c r="V176" s="1144">
        <f t="shared" si="25"/>
        <v>71866.399999999994</v>
      </c>
      <c r="W176" s="1145">
        <f t="shared" si="26"/>
        <v>71866.399999999994</v>
      </c>
    </row>
    <row r="177" spans="1:23" x14ac:dyDescent="0.2">
      <c r="A177" s="1140" t="str">
        <f t="shared" si="18"/>
        <v>85G-C3 18000 AMR</v>
      </c>
      <c r="B177" s="1140" t="str">
        <f t="shared" si="19"/>
        <v xml:space="preserve">85G-C3 18000 </v>
      </c>
      <c r="C177" s="1140" t="s">
        <v>805</v>
      </c>
      <c r="D177" s="1140" t="s">
        <v>910</v>
      </c>
      <c r="E177" s="1140">
        <v>18000</v>
      </c>
      <c r="F177" s="1141">
        <f>SUMIF('JKP-8.5 - CNSMREQP_GASMTRCTR'!$A$2:$A$391,'JKP-8.5 - Total Costs'!A177,'JKP-8.5 - CNSMREQP_GASMTRCTR'!$F$2:$F$391)-SUMIF('JKP-8.5 - Migrated From'!$A$2:$A$22,'JKP-8.5 - Total Costs'!A177,'JKP-8.5 - Migrated From'!$F$2:$F$22)+SUMIF('JKP-8.5 - Migrated To'!$A$2:$A$22,'JKP-8.5 - Total Costs'!A177,'JKP-8.5 - Migrated To'!$F$2:$F$22)</f>
        <v>0</v>
      </c>
      <c r="G177" s="1141">
        <f>SUMIF('JKP-8.5 - CNSMREQP_GASMTRCTR'!$A$2:$A$391,'JKP-8.5 - Total Costs'!B177,'JKP-8.5 - CNSMREQP_GASMTRCTR'!$F$2:$F$391)-SUMIF('JKP-8.5 - Migrated From'!$A$2:$A$22,'JKP-8.5 - Total Costs'!B177,'JKP-8.5 - Migrated From'!$F$2:$F$22)+SUMIF('JKP-8.5 - Migrated To'!$A$2:$A$22,'JKP-8.5 - Total Costs'!B177,'JKP-8.5 - Migrated To'!$F$2:$F$22)</f>
        <v>0</v>
      </c>
      <c r="H177" s="1142">
        <f t="shared" si="20"/>
        <v>0</v>
      </c>
      <c r="I177" s="1143">
        <f>VLOOKUP($E177,'JKP-8.5 - Unit Costs'!$A$9:$H$33,2,FALSE)</f>
        <v>0</v>
      </c>
      <c r="J177" s="1143">
        <f>VLOOKUP($E177,'JKP-8.5 - Unit Costs'!$A$9:$H$33,5,FALSE)</f>
        <v>0</v>
      </c>
      <c r="K177" s="1143">
        <f>VLOOKUP($E177,'JKP-8.5 - Unit Costs'!$A$9:$H$33,3,FALSE)</f>
        <v>0</v>
      </c>
      <c r="L177" s="1143">
        <f>VLOOKUP($E177,'JKP-8.5 - Unit Costs'!$A$9:$H$33,6,FALSE)</f>
        <v>0</v>
      </c>
      <c r="M177" s="1143">
        <f>VLOOKUP($E177,'JKP-8.5 - Unit Costs'!$A$9:$H$33,8,FALSE)</f>
        <v>8412.5300000000007</v>
      </c>
      <c r="N177" s="1143">
        <f>VLOOKUP($E177,'JKP-8.5 - Unit Costs'!$A$9:$H$33,8,FALSE)</f>
        <v>8412.5300000000007</v>
      </c>
      <c r="O177" s="1144">
        <f t="shared" si="21"/>
        <v>0</v>
      </c>
      <c r="P177" s="1144">
        <f t="shared" si="21"/>
        <v>0</v>
      </c>
      <c r="Q177" s="1144">
        <f t="shared" si="22"/>
        <v>0</v>
      </c>
      <c r="R177" s="1144">
        <f t="shared" si="23"/>
        <v>0</v>
      </c>
      <c r="S177" s="1144">
        <f t="shared" si="23"/>
        <v>0</v>
      </c>
      <c r="T177" s="1144">
        <f t="shared" si="24"/>
        <v>0</v>
      </c>
      <c r="U177" s="1144">
        <f t="shared" si="25"/>
        <v>0</v>
      </c>
      <c r="V177" s="1144">
        <f t="shared" si="25"/>
        <v>0</v>
      </c>
      <c r="W177" s="1145">
        <f t="shared" si="26"/>
        <v>0</v>
      </c>
    </row>
    <row r="178" spans="1:23" x14ac:dyDescent="0.2">
      <c r="A178" s="1140" t="str">
        <f t="shared" si="18"/>
        <v>85G-C3 23000 AMR</v>
      </c>
      <c r="B178" s="1140" t="str">
        <f t="shared" si="19"/>
        <v xml:space="preserve">85G-C3 23000 </v>
      </c>
      <c r="C178" s="1140" t="s">
        <v>805</v>
      </c>
      <c r="D178" s="1140" t="s">
        <v>910</v>
      </c>
      <c r="E178" s="1140">
        <v>23000</v>
      </c>
      <c r="F178" s="1141">
        <f>SUMIF('JKP-8.5 - CNSMREQP_GASMTRCTR'!$A$2:$A$391,'JKP-8.5 - Total Costs'!A178,'JKP-8.5 - CNSMREQP_GASMTRCTR'!$F$2:$F$391)-SUMIF('JKP-8.5 - Migrated From'!$A$2:$A$22,'JKP-8.5 - Total Costs'!A178,'JKP-8.5 - Migrated From'!$F$2:$F$22)+SUMIF('JKP-8.5 - Migrated To'!$A$2:$A$22,'JKP-8.5 - Total Costs'!A178,'JKP-8.5 - Migrated To'!$F$2:$F$22)</f>
        <v>0</v>
      </c>
      <c r="G178" s="1141">
        <f>SUMIF('JKP-8.5 - CNSMREQP_GASMTRCTR'!$A$2:$A$391,'JKP-8.5 - Total Costs'!B178,'JKP-8.5 - CNSMREQP_GASMTRCTR'!$F$2:$F$391)-SUMIF('JKP-8.5 - Migrated From'!$A$2:$A$22,'JKP-8.5 - Total Costs'!B178,'JKP-8.5 - Migrated From'!$F$2:$F$22)+SUMIF('JKP-8.5 - Migrated To'!$A$2:$A$22,'JKP-8.5 - Total Costs'!B178,'JKP-8.5 - Migrated To'!$F$2:$F$22)</f>
        <v>5</v>
      </c>
      <c r="H178" s="1142">
        <f t="shared" si="20"/>
        <v>5</v>
      </c>
      <c r="I178" s="1143">
        <f>VLOOKUP($E178,'JKP-8.5 - Unit Costs'!$A$9:$H$33,2,FALSE)</f>
        <v>0</v>
      </c>
      <c r="J178" s="1143">
        <f>VLOOKUP($E178,'JKP-8.5 - Unit Costs'!$A$9:$H$33,5,FALSE)</f>
        <v>0</v>
      </c>
      <c r="K178" s="1143">
        <f>VLOOKUP($E178,'JKP-8.5 - Unit Costs'!$A$9:$H$33,3,FALSE)</f>
        <v>0</v>
      </c>
      <c r="L178" s="1143">
        <f>VLOOKUP($E178,'JKP-8.5 - Unit Costs'!$A$9:$H$33,6,FALSE)</f>
        <v>0</v>
      </c>
      <c r="M178" s="1143">
        <f>VLOOKUP($E178,'JKP-8.5 - Unit Costs'!$A$9:$H$33,8,FALSE)</f>
        <v>20882.400000000001</v>
      </c>
      <c r="N178" s="1143">
        <f>VLOOKUP($E178,'JKP-8.5 - Unit Costs'!$A$9:$H$33,8,FALSE)</f>
        <v>20882.400000000001</v>
      </c>
      <c r="O178" s="1144">
        <f t="shared" si="21"/>
        <v>0</v>
      </c>
      <c r="P178" s="1144">
        <f t="shared" si="21"/>
        <v>0</v>
      </c>
      <c r="Q178" s="1144">
        <f t="shared" si="22"/>
        <v>0</v>
      </c>
      <c r="R178" s="1144">
        <f t="shared" si="23"/>
        <v>0</v>
      </c>
      <c r="S178" s="1144">
        <f t="shared" si="23"/>
        <v>0</v>
      </c>
      <c r="T178" s="1144">
        <f t="shared" si="24"/>
        <v>0</v>
      </c>
      <c r="U178" s="1144">
        <f t="shared" si="25"/>
        <v>0</v>
      </c>
      <c r="V178" s="1144">
        <f t="shared" si="25"/>
        <v>104412</v>
      </c>
      <c r="W178" s="1145">
        <f t="shared" si="26"/>
        <v>104412</v>
      </c>
    </row>
    <row r="179" spans="1:23" x14ac:dyDescent="0.2">
      <c r="A179" s="1140" t="str">
        <f t="shared" si="18"/>
        <v>85G-C3 30000 AMR</v>
      </c>
      <c r="B179" s="1140" t="str">
        <f t="shared" si="19"/>
        <v xml:space="preserve">85G-C3 30000 </v>
      </c>
      <c r="C179" s="1140" t="s">
        <v>805</v>
      </c>
      <c r="D179" s="1140" t="s">
        <v>910</v>
      </c>
      <c r="E179" s="1140">
        <v>30000</v>
      </c>
      <c r="F179" s="1141">
        <f>SUMIF('JKP-8.5 - CNSMREQP_GASMTRCTR'!$A$2:$A$391,'JKP-8.5 - Total Costs'!A179,'JKP-8.5 - CNSMREQP_GASMTRCTR'!$F$2:$F$391)-SUMIF('JKP-8.5 - Migrated From'!$A$2:$A$22,'JKP-8.5 - Total Costs'!A179,'JKP-8.5 - Migrated From'!$F$2:$F$22)+SUMIF('JKP-8.5 - Migrated To'!$A$2:$A$22,'JKP-8.5 - Total Costs'!A179,'JKP-8.5 - Migrated To'!$F$2:$F$22)</f>
        <v>0</v>
      </c>
      <c r="G179" s="1141">
        <f>SUMIF('JKP-8.5 - CNSMREQP_GASMTRCTR'!$A$2:$A$391,'JKP-8.5 - Total Costs'!B179,'JKP-8.5 - CNSMREQP_GASMTRCTR'!$F$2:$F$391)-SUMIF('JKP-8.5 - Migrated From'!$A$2:$A$22,'JKP-8.5 - Total Costs'!B179,'JKP-8.5 - Migrated From'!$F$2:$F$22)+SUMIF('JKP-8.5 - Migrated To'!$A$2:$A$22,'JKP-8.5 - Total Costs'!B179,'JKP-8.5 - Migrated To'!$F$2:$F$22)</f>
        <v>2</v>
      </c>
      <c r="H179" s="1142">
        <f t="shared" si="20"/>
        <v>2</v>
      </c>
      <c r="I179" s="1143">
        <f>VLOOKUP($E179,'JKP-8.5 - Unit Costs'!$A$9:$H$33,2,FALSE)</f>
        <v>0</v>
      </c>
      <c r="J179" s="1143">
        <f>VLOOKUP($E179,'JKP-8.5 - Unit Costs'!$A$9:$H$33,5,FALSE)</f>
        <v>0</v>
      </c>
      <c r="K179" s="1143">
        <f>VLOOKUP($E179,'JKP-8.5 - Unit Costs'!$A$9:$H$33,3,FALSE)</f>
        <v>0</v>
      </c>
      <c r="L179" s="1143">
        <f>VLOOKUP($E179,'JKP-8.5 - Unit Costs'!$A$9:$H$33,6,FALSE)</f>
        <v>0</v>
      </c>
      <c r="M179" s="1143">
        <f>VLOOKUP($E179,'JKP-8.5 - Unit Costs'!$A$9:$H$33,8,FALSE)</f>
        <v>28159.37</v>
      </c>
      <c r="N179" s="1143">
        <f>VLOOKUP($E179,'JKP-8.5 - Unit Costs'!$A$9:$H$33,8,FALSE)</f>
        <v>28159.37</v>
      </c>
      <c r="O179" s="1144">
        <f t="shared" si="21"/>
        <v>0</v>
      </c>
      <c r="P179" s="1144">
        <f t="shared" si="21"/>
        <v>0</v>
      </c>
      <c r="Q179" s="1144">
        <f t="shared" si="22"/>
        <v>0</v>
      </c>
      <c r="R179" s="1144">
        <f t="shared" si="23"/>
        <v>0</v>
      </c>
      <c r="S179" s="1144">
        <f t="shared" si="23"/>
        <v>0</v>
      </c>
      <c r="T179" s="1144">
        <f t="shared" si="24"/>
        <v>0</v>
      </c>
      <c r="U179" s="1144">
        <f t="shared" si="25"/>
        <v>0</v>
      </c>
      <c r="V179" s="1144">
        <f t="shared" si="25"/>
        <v>56318.74</v>
      </c>
      <c r="W179" s="1145">
        <f t="shared" si="26"/>
        <v>56318.74</v>
      </c>
    </row>
    <row r="180" spans="1:23" x14ac:dyDescent="0.2">
      <c r="A180" s="1140" t="str">
        <f t="shared" si="18"/>
        <v>85G-C3 60000 AMR</v>
      </c>
      <c r="B180" s="1140" t="str">
        <f t="shared" si="19"/>
        <v xml:space="preserve">85G-C3 60000 </v>
      </c>
      <c r="C180" s="1140" t="s">
        <v>805</v>
      </c>
      <c r="D180" s="1140" t="s">
        <v>910</v>
      </c>
      <c r="E180" s="1140">
        <v>60000</v>
      </c>
      <c r="F180" s="1141">
        <f>SUMIF('JKP-8.5 - CNSMREQP_GASMTRCTR'!$A$2:$A$391,'JKP-8.5 - Total Costs'!A180,'JKP-8.5 - CNSMREQP_GASMTRCTR'!$F$2:$F$391)-SUMIF('JKP-8.5 - Migrated From'!$A$2:$A$22,'JKP-8.5 - Total Costs'!A180,'JKP-8.5 - Migrated From'!$F$2:$F$22)+SUMIF('JKP-8.5 - Migrated To'!$A$2:$A$22,'JKP-8.5 - Total Costs'!A180,'JKP-8.5 - Migrated To'!$F$2:$F$22)</f>
        <v>0</v>
      </c>
      <c r="G180" s="1141">
        <f>SUMIF('JKP-8.5 - CNSMREQP_GASMTRCTR'!$A$2:$A$391,'JKP-8.5 - Total Costs'!B180,'JKP-8.5 - CNSMREQP_GASMTRCTR'!$F$2:$F$391)-SUMIF('JKP-8.5 - Migrated From'!$A$2:$A$22,'JKP-8.5 - Total Costs'!B180,'JKP-8.5 - Migrated From'!$F$2:$F$22)+SUMIF('JKP-8.5 - Migrated To'!$A$2:$A$22,'JKP-8.5 - Total Costs'!B180,'JKP-8.5 - Migrated To'!$F$2:$F$22)</f>
        <v>3</v>
      </c>
      <c r="H180" s="1142">
        <f t="shared" si="20"/>
        <v>3</v>
      </c>
      <c r="I180" s="1143">
        <f>VLOOKUP($E180,'JKP-8.5 - Unit Costs'!$A$9:$H$33,2,FALSE)</f>
        <v>0</v>
      </c>
      <c r="J180" s="1143">
        <f>VLOOKUP($E180,'JKP-8.5 - Unit Costs'!$A$9:$H$33,5,FALSE)</f>
        <v>0</v>
      </c>
      <c r="K180" s="1143">
        <f>VLOOKUP($E180,'JKP-8.5 - Unit Costs'!$A$9:$H$33,3,FALSE)</f>
        <v>0</v>
      </c>
      <c r="L180" s="1143">
        <f>VLOOKUP($E180,'JKP-8.5 - Unit Costs'!$A$9:$H$33,6,FALSE)</f>
        <v>0</v>
      </c>
      <c r="M180" s="1143">
        <f>VLOOKUP($E180,'JKP-8.5 - Unit Costs'!$A$9:$H$33,8,FALSE)</f>
        <v>36556.269999999997</v>
      </c>
      <c r="N180" s="1143">
        <f>VLOOKUP($E180,'JKP-8.5 - Unit Costs'!$A$9:$H$33,8,FALSE)</f>
        <v>36556.269999999997</v>
      </c>
      <c r="O180" s="1144">
        <f t="shared" si="21"/>
        <v>0</v>
      </c>
      <c r="P180" s="1144">
        <f t="shared" si="21"/>
        <v>0</v>
      </c>
      <c r="Q180" s="1144">
        <f t="shared" si="22"/>
        <v>0</v>
      </c>
      <c r="R180" s="1144">
        <f t="shared" si="23"/>
        <v>0</v>
      </c>
      <c r="S180" s="1144">
        <f t="shared" si="23"/>
        <v>0</v>
      </c>
      <c r="T180" s="1144">
        <f t="shared" si="24"/>
        <v>0</v>
      </c>
      <c r="U180" s="1144">
        <f t="shared" si="25"/>
        <v>0</v>
      </c>
      <c r="V180" s="1144">
        <f t="shared" si="25"/>
        <v>109668.81</v>
      </c>
      <c r="W180" s="1145">
        <f t="shared" si="26"/>
        <v>109668.81</v>
      </c>
    </row>
    <row r="181" spans="1:23" x14ac:dyDescent="0.2">
      <c r="A181" s="1140" t="str">
        <f t="shared" si="18"/>
        <v>85G-I3 5000 AMR</v>
      </c>
      <c r="B181" s="1140" t="str">
        <f t="shared" si="19"/>
        <v xml:space="preserve">85G-I3 5000 </v>
      </c>
      <c r="C181" s="1140" t="s">
        <v>805</v>
      </c>
      <c r="D181" s="1140" t="s">
        <v>920</v>
      </c>
      <c r="E181" s="1140">
        <v>5000</v>
      </c>
      <c r="F181" s="1141">
        <f>SUMIF('JKP-8.5 - CNSMREQP_GASMTRCTR'!$A$2:$A$391,'JKP-8.5 - Total Costs'!A181,'JKP-8.5 - CNSMREQP_GASMTRCTR'!$F$2:$F$391)-SUMIF('JKP-8.5 - Migrated From'!$A$2:$A$22,'JKP-8.5 - Total Costs'!A181,'JKP-8.5 - Migrated From'!$F$2:$F$22)+SUMIF('JKP-8.5 - Migrated To'!$A$2:$A$22,'JKP-8.5 - Total Costs'!A181,'JKP-8.5 - Migrated To'!$F$2:$F$22)</f>
        <v>0</v>
      </c>
      <c r="G181" s="1141">
        <f>SUMIF('JKP-8.5 - CNSMREQP_GASMTRCTR'!$A$2:$A$391,'JKP-8.5 - Total Costs'!B181,'JKP-8.5 - CNSMREQP_GASMTRCTR'!$F$2:$F$391)-SUMIF('JKP-8.5 - Migrated From'!$A$2:$A$22,'JKP-8.5 - Total Costs'!B181,'JKP-8.5 - Migrated From'!$F$2:$F$22)+SUMIF('JKP-8.5 - Migrated To'!$A$2:$A$22,'JKP-8.5 - Total Costs'!B181,'JKP-8.5 - Migrated To'!$F$2:$F$22)</f>
        <v>0</v>
      </c>
      <c r="H181" s="1142">
        <f t="shared" si="20"/>
        <v>0</v>
      </c>
      <c r="I181" s="1143">
        <f>VLOOKUP($E181,'JKP-8.5 - Unit Costs'!$A$9:$H$33,2,FALSE)</f>
        <v>0</v>
      </c>
      <c r="J181" s="1143">
        <f>VLOOKUP($E181,'JKP-8.5 - Unit Costs'!$A$9:$H$33,5,FALSE)</f>
        <v>0</v>
      </c>
      <c r="K181" s="1143">
        <f>VLOOKUP($E181,'JKP-8.5 - Unit Costs'!$A$9:$H$33,3,FALSE)</f>
        <v>0</v>
      </c>
      <c r="L181" s="1143">
        <f>VLOOKUP($E181,'JKP-8.5 - Unit Costs'!$A$9:$H$33,6,FALSE)</f>
        <v>0</v>
      </c>
      <c r="M181" s="1143">
        <f>VLOOKUP($E181,'JKP-8.5 - Unit Costs'!$A$9:$H$33,8,FALSE)</f>
        <v>3456.43</v>
      </c>
      <c r="N181" s="1143">
        <f>VLOOKUP($E181,'JKP-8.5 - Unit Costs'!$A$9:$H$33,8,FALSE)</f>
        <v>3456.43</v>
      </c>
      <c r="O181" s="1144">
        <f t="shared" si="21"/>
        <v>0</v>
      </c>
      <c r="P181" s="1144">
        <f t="shared" si="21"/>
        <v>0</v>
      </c>
      <c r="Q181" s="1144">
        <f t="shared" si="22"/>
        <v>0</v>
      </c>
      <c r="R181" s="1144">
        <f t="shared" si="23"/>
        <v>0</v>
      </c>
      <c r="S181" s="1144">
        <f t="shared" si="23"/>
        <v>0</v>
      </c>
      <c r="T181" s="1144">
        <f t="shared" si="24"/>
        <v>0</v>
      </c>
      <c r="U181" s="1144">
        <f t="shared" si="25"/>
        <v>0</v>
      </c>
      <c r="V181" s="1144">
        <f t="shared" si="25"/>
        <v>0</v>
      </c>
      <c r="W181" s="1145">
        <f t="shared" si="26"/>
        <v>0</v>
      </c>
    </row>
    <row r="182" spans="1:23" x14ac:dyDescent="0.2">
      <c r="A182" s="1140" t="str">
        <f t="shared" si="18"/>
        <v>85G-I3 7000 AMR</v>
      </c>
      <c r="B182" s="1140" t="str">
        <f t="shared" si="19"/>
        <v xml:space="preserve">85G-I3 7000 </v>
      </c>
      <c r="C182" s="1140" t="s">
        <v>805</v>
      </c>
      <c r="D182" s="1140" t="s">
        <v>920</v>
      </c>
      <c r="E182" s="1140">
        <v>7000</v>
      </c>
      <c r="F182" s="1141">
        <f>SUMIF('JKP-8.5 - CNSMREQP_GASMTRCTR'!$A$2:$A$391,'JKP-8.5 - Total Costs'!A182,'JKP-8.5 - CNSMREQP_GASMTRCTR'!$F$2:$F$391)-SUMIF('JKP-8.5 - Migrated From'!$A$2:$A$22,'JKP-8.5 - Total Costs'!A182,'JKP-8.5 - Migrated From'!$F$2:$F$22)+SUMIF('JKP-8.5 - Migrated To'!$A$2:$A$22,'JKP-8.5 - Total Costs'!A182,'JKP-8.5 - Migrated To'!$F$2:$F$22)</f>
        <v>0</v>
      </c>
      <c r="G182" s="1141">
        <f>SUMIF('JKP-8.5 - CNSMREQP_GASMTRCTR'!$A$2:$A$391,'JKP-8.5 - Total Costs'!B182,'JKP-8.5 - CNSMREQP_GASMTRCTR'!$F$2:$F$391)-SUMIF('JKP-8.5 - Migrated From'!$A$2:$A$22,'JKP-8.5 - Total Costs'!B182,'JKP-8.5 - Migrated From'!$F$2:$F$22)+SUMIF('JKP-8.5 - Migrated To'!$A$2:$A$22,'JKP-8.5 - Total Costs'!B182,'JKP-8.5 - Migrated To'!$F$2:$F$22)</f>
        <v>2</v>
      </c>
      <c r="H182" s="1142">
        <f t="shared" si="20"/>
        <v>2</v>
      </c>
      <c r="I182" s="1143">
        <f>VLOOKUP($E182,'JKP-8.5 - Unit Costs'!$A$9:$H$33,2,FALSE)</f>
        <v>0</v>
      </c>
      <c r="J182" s="1143">
        <f>VLOOKUP($E182,'JKP-8.5 - Unit Costs'!$A$9:$H$33,5,FALSE)</f>
        <v>0</v>
      </c>
      <c r="K182" s="1143">
        <f>VLOOKUP($E182,'JKP-8.5 - Unit Costs'!$A$9:$H$33,3,FALSE)</f>
        <v>0</v>
      </c>
      <c r="L182" s="1143">
        <f>VLOOKUP($E182,'JKP-8.5 - Unit Costs'!$A$9:$H$33,6,FALSE)</f>
        <v>0</v>
      </c>
      <c r="M182" s="1143">
        <f>VLOOKUP($E182,'JKP-8.5 - Unit Costs'!$A$9:$H$33,8,FALSE)</f>
        <v>3458.4399999999996</v>
      </c>
      <c r="N182" s="1143">
        <f>VLOOKUP($E182,'JKP-8.5 - Unit Costs'!$A$9:$H$33,8,FALSE)</f>
        <v>3458.4399999999996</v>
      </c>
      <c r="O182" s="1144">
        <f t="shared" si="21"/>
        <v>0</v>
      </c>
      <c r="P182" s="1144">
        <f t="shared" si="21"/>
        <v>0</v>
      </c>
      <c r="Q182" s="1144">
        <f t="shared" si="22"/>
        <v>0</v>
      </c>
      <c r="R182" s="1144">
        <f t="shared" si="23"/>
        <v>0</v>
      </c>
      <c r="S182" s="1144">
        <f t="shared" si="23"/>
        <v>0</v>
      </c>
      <c r="T182" s="1144">
        <f t="shared" si="24"/>
        <v>0</v>
      </c>
      <c r="U182" s="1144">
        <f t="shared" si="25"/>
        <v>0</v>
      </c>
      <c r="V182" s="1144">
        <f t="shared" si="25"/>
        <v>6916.8799999999992</v>
      </c>
      <c r="W182" s="1145">
        <f t="shared" si="26"/>
        <v>6916.8799999999992</v>
      </c>
    </row>
    <row r="183" spans="1:23" x14ac:dyDescent="0.2">
      <c r="A183" s="1140" t="str">
        <f t="shared" si="18"/>
        <v>85G-I3 11000 AMR</v>
      </c>
      <c r="B183" s="1140" t="str">
        <f t="shared" si="19"/>
        <v xml:space="preserve">85G-I3 11000 </v>
      </c>
      <c r="C183" s="1140" t="s">
        <v>805</v>
      </c>
      <c r="D183" s="1140" t="s">
        <v>920</v>
      </c>
      <c r="E183" s="1140">
        <v>11000</v>
      </c>
      <c r="F183" s="1141">
        <f>SUMIF('JKP-8.5 - CNSMREQP_GASMTRCTR'!$A$2:$A$391,'JKP-8.5 - Total Costs'!A183,'JKP-8.5 - CNSMREQP_GASMTRCTR'!$F$2:$F$391)-SUMIF('JKP-8.5 - Migrated From'!$A$2:$A$22,'JKP-8.5 - Total Costs'!A183,'JKP-8.5 - Migrated From'!$F$2:$F$22)+SUMIF('JKP-8.5 - Migrated To'!$A$2:$A$22,'JKP-8.5 - Total Costs'!A183,'JKP-8.5 - Migrated To'!$F$2:$F$22)</f>
        <v>0</v>
      </c>
      <c r="G183" s="1141">
        <f>SUMIF('JKP-8.5 - CNSMREQP_GASMTRCTR'!$A$2:$A$391,'JKP-8.5 - Total Costs'!B183,'JKP-8.5 - CNSMREQP_GASMTRCTR'!$F$2:$F$391)-SUMIF('JKP-8.5 - Migrated From'!$A$2:$A$22,'JKP-8.5 - Total Costs'!B183,'JKP-8.5 - Migrated From'!$F$2:$F$22)+SUMIF('JKP-8.5 - Migrated To'!$A$2:$A$22,'JKP-8.5 - Total Costs'!B183,'JKP-8.5 - Migrated To'!$F$2:$F$22)</f>
        <v>3</v>
      </c>
      <c r="H183" s="1142">
        <f t="shared" si="20"/>
        <v>3</v>
      </c>
      <c r="I183" s="1143">
        <f>VLOOKUP($E183,'JKP-8.5 - Unit Costs'!$A$9:$H$33,2,FALSE)</f>
        <v>0</v>
      </c>
      <c r="J183" s="1143">
        <f>VLOOKUP($E183,'JKP-8.5 - Unit Costs'!$A$9:$H$33,5,FALSE)</f>
        <v>0</v>
      </c>
      <c r="K183" s="1143">
        <f>VLOOKUP($E183,'JKP-8.5 - Unit Costs'!$A$9:$H$33,3,FALSE)</f>
        <v>0</v>
      </c>
      <c r="L183" s="1143">
        <f>VLOOKUP($E183,'JKP-8.5 - Unit Costs'!$A$9:$H$33,6,FALSE)</f>
        <v>0</v>
      </c>
      <c r="M183" s="1143">
        <f>VLOOKUP($E183,'JKP-8.5 - Unit Costs'!$A$9:$H$33,8,FALSE)</f>
        <v>5835.1900000000005</v>
      </c>
      <c r="N183" s="1143">
        <f>VLOOKUP($E183,'JKP-8.5 - Unit Costs'!$A$9:$H$33,8,FALSE)</f>
        <v>5835.1900000000005</v>
      </c>
      <c r="O183" s="1144">
        <f t="shared" si="21"/>
        <v>0</v>
      </c>
      <c r="P183" s="1144">
        <f t="shared" si="21"/>
        <v>0</v>
      </c>
      <c r="Q183" s="1144">
        <f t="shared" si="22"/>
        <v>0</v>
      </c>
      <c r="R183" s="1144">
        <f t="shared" si="23"/>
        <v>0</v>
      </c>
      <c r="S183" s="1144">
        <f t="shared" si="23"/>
        <v>0</v>
      </c>
      <c r="T183" s="1144">
        <f t="shared" si="24"/>
        <v>0</v>
      </c>
      <c r="U183" s="1144">
        <f t="shared" si="25"/>
        <v>0</v>
      </c>
      <c r="V183" s="1144">
        <f t="shared" si="25"/>
        <v>17505.57</v>
      </c>
      <c r="W183" s="1145">
        <f t="shared" si="26"/>
        <v>17505.57</v>
      </c>
    </row>
    <row r="184" spans="1:23" x14ac:dyDescent="0.2">
      <c r="A184" s="1140" t="str">
        <f t="shared" si="18"/>
        <v>85G-I3 16000 AMR</v>
      </c>
      <c r="B184" s="1140" t="str">
        <f t="shared" si="19"/>
        <v xml:space="preserve">85G-I3 16000 </v>
      </c>
      <c r="C184" s="1140" t="s">
        <v>805</v>
      </c>
      <c r="D184" s="1140" t="s">
        <v>920</v>
      </c>
      <c r="E184" s="1140">
        <v>16000</v>
      </c>
      <c r="F184" s="1141">
        <f>SUMIF('JKP-8.5 - CNSMREQP_GASMTRCTR'!$A$2:$A$391,'JKP-8.5 - Total Costs'!A184,'JKP-8.5 - CNSMREQP_GASMTRCTR'!$F$2:$F$391)-SUMIF('JKP-8.5 - Migrated From'!$A$2:$A$22,'JKP-8.5 - Total Costs'!A184,'JKP-8.5 - Migrated From'!$F$2:$F$22)+SUMIF('JKP-8.5 - Migrated To'!$A$2:$A$22,'JKP-8.5 - Total Costs'!A184,'JKP-8.5 - Migrated To'!$F$2:$F$22)</f>
        <v>0</v>
      </c>
      <c r="G184" s="1141">
        <f>SUMIF('JKP-8.5 - CNSMREQP_GASMTRCTR'!$A$2:$A$391,'JKP-8.5 - Total Costs'!B184,'JKP-8.5 - CNSMREQP_GASMTRCTR'!$F$2:$F$391)-SUMIF('JKP-8.5 - Migrated From'!$A$2:$A$22,'JKP-8.5 - Total Costs'!B184,'JKP-8.5 - Migrated From'!$F$2:$F$22)+SUMIF('JKP-8.5 - Migrated To'!$A$2:$A$22,'JKP-8.5 - Total Costs'!B184,'JKP-8.5 - Migrated To'!$F$2:$F$22)</f>
        <v>3</v>
      </c>
      <c r="H184" s="1142">
        <f t="shared" si="20"/>
        <v>3</v>
      </c>
      <c r="I184" s="1143">
        <f>VLOOKUP($E184,'JKP-8.5 - Unit Costs'!$A$9:$H$33,2,FALSE)</f>
        <v>0</v>
      </c>
      <c r="J184" s="1143">
        <f>VLOOKUP($E184,'JKP-8.5 - Unit Costs'!$A$9:$H$33,5,FALSE)</f>
        <v>0</v>
      </c>
      <c r="K184" s="1143">
        <f>VLOOKUP($E184,'JKP-8.5 - Unit Costs'!$A$9:$H$33,3,FALSE)</f>
        <v>0</v>
      </c>
      <c r="L184" s="1143">
        <f>VLOOKUP($E184,'JKP-8.5 - Unit Costs'!$A$9:$H$33,6,FALSE)</f>
        <v>0</v>
      </c>
      <c r="M184" s="1143">
        <f>VLOOKUP($E184,'JKP-8.5 - Unit Costs'!$A$9:$H$33,8,FALSE)</f>
        <v>8983.2999999999993</v>
      </c>
      <c r="N184" s="1143">
        <f>VLOOKUP($E184,'JKP-8.5 - Unit Costs'!$A$9:$H$33,8,FALSE)</f>
        <v>8983.2999999999993</v>
      </c>
      <c r="O184" s="1144">
        <f t="shared" si="21"/>
        <v>0</v>
      </c>
      <c r="P184" s="1144">
        <f t="shared" si="21"/>
        <v>0</v>
      </c>
      <c r="Q184" s="1144">
        <f t="shared" si="22"/>
        <v>0</v>
      </c>
      <c r="R184" s="1144">
        <f t="shared" si="23"/>
        <v>0</v>
      </c>
      <c r="S184" s="1144">
        <f t="shared" si="23"/>
        <v>0</v>
      </c>
      <c r="T184" s="1144">
        <f t="shared" si="24"/>
        <v>0</v>
      </c>
      <c r="U184" s="1144">
        <f t="shared" si="25"/>
        <v>0</v>
      </c>
      <c r="V184" s="1144">
        <f t="shared" si="25"/>
        <v>26949.899999999998</v>
      </c>
      <c r="W184" s="1145">
        <f t="shared" si="26"/>
        <v>26949.899999999998</v>
      </c>
    </row>
    <row r="185" spans="1:23" x14ac:dyDescent="0.2">
      <c r="A185" s="1140" t="str">
        <f t="shared" si="18"/>
        <v>85G-I3 23000 AMR</v>
      </c>
      <c r="B185" s="1140" t="str">
        <f t="shared" si="19"/>
        <v xml:space="preserve">85G-I3 23000 </v>
      </c>
      <c r="C185" s="1140" t="s">
        <v>805</v>
      </c>
      <c r="D185" s="1140" t="s">
        <v>920</v>
      </c>
      <c r="E185" s="1140">
        <v>23000</v>
      </c>
      <c r="F185" s="1141">
        <f>SUMIF('JKP-8.5 - CNSMREQP_GASMTRCTR'!$A$2:$A$391,'JKP-8.5 - Total Costs'!A185,'JKP-8.5 - CNSMREQP_GASMTRCTR'!$F$2:$F$391)-SUMIF('JKP-8.5 - Migrated From'!$A$2:$A$22,'JKP-8.5 - Total Costs'!A185,'JKP-8.5 - Migrated From'!$F$2:$F$22)+SUMIF('JKP-8.5 - Migrated To'!$A$2:$A$22,'JKP-8.5 - Total Costs'!A185,'JKP-8.5 - Migrated To'!$F$2:$F$22)</f>
        <v>0</v>
      </c>
      <c r="G185" s="1141">
        <f>SUMIF('JKP-8.5 - CNSMREQP_GASMTRCTR'!$A$2:$A$391,'JKP-8.5 - Total Costs'!B185,'JKP-8.5 - CNSMREQP_GASMTRCTR'!$F$2:$F$391)-SUMIF('JKP-8.5 - Migrated From'!$A$2:$A$22,'JKP-8.5 - Total Costs'!B185,'JKP-8.5 - Migrated From'!$F$2:$F$22)+SUMIF('JKP-8.5 - Migrated To'!$A$2:$A$22,'JKP-8.5 - Total Costs'!B185,'JKP-8.5 - Migrated To'!$F$2:$F$22)</f>
        <v>1</v>
      </c>
      <c r="H185" s="1142">
        <f t="shared" si="20"/>
        <v>1</v>
      </c>
      <c r="I185" s="1143">
        <f>VLOOKUP($E185,'JKP-8.5 - Unit Costs'!$A$9:$H$33,2,FALSE)</f>
        <v>0</v>
      </c>
      <c r="J185" s="1143">
        <f>VLOOKUP($E185,'JKP-8.5 - Unit Costs'!$A$9:$H$33,5,FALSE)</f>
        <v>0</v>
      </c>
      <c r="K185" s="1143">
        <f>VLOOKUP($E185,'JKP-8.5 - Unit Costs'!$A$9:$H$33,3,FALSE)</f>
        <v>0</v>
      </c>
      <c r="L185" s="1143">
        <f>VLOOKUP($E185,'JKP-8.5 - Unit Costs'!$A$9:$H$33,6,FALSE)</f>
        <v>0</v>
      </c>
      <c r="M185" s="1143">
        <f>VLOOKUP($E185,'JKP-8.5 - Unit Costs'!$A$9:$H$33,8,FALSE)</f>
        <v>20882.400000000001</v>
      </c>
      <c r="N185" s="1143">
        <f>VLOOKUP($E185,'JKP-8.5 - Unit Costs'!$A$9:$H$33,8,FALSE)</f>
        <v>20882.400000000001</v>
      </c>
      <c r="O185" s="1144">
        <f t="shared" si="21"/>
        <v>0</v>
      </c>
      <c r="P185" s="1144">
        <f t="shared" si="21"/>
        <v>0</v>
      </c>
      <c r="Q185" s="1144">
        <f t="shared" si="22"/>
        <v>0</v>
      </c>
      <c r="R185" s="1144">
        <f t="shared" si="23"/>
        <v>0</v>
      </c>
      <c r="S185" s="1144">
        <f t="shared" si="23"/>
        <v>0</v>
      </c>
      <c r="T185" s="1144">
        <f t="shared" si="24"/>
        <v>0</v>
      </c>
      <c r="U185" s="1144">
        <f t="shared" si="25"/>
        <v>0</v>
      </c>
      <c r="V185" s="1144">
        <f t="shared" si="25"/>
        <v>20882.400000000001</v>
      </c>
      <c r="W185" s="1145">
        <f t="shared" si="26"/>
        <v>20882.400000000001</v>
      </c>
    </row>
    <row r="186" spans="1:23" x14ac:dyDescent="0.2">
      <c r="A186" s="1140" t="str">
        <f t="shared" si="18"/>
        <v>85G-I3 30000 AMR</v>
      </c>
      <c r="B186" s="1140" t="str">
        <f t="shared" si="19"/>
        <v xml:space="preserve">85G-I3 30000 </v>
      </c>
      <c r="C186" s="1140" t="s">
        <v>805</v>
      </c>
      <c r="D186" s="1140" t="s">
        <v>920</v>
      </c>
      <c r="E186" s="1140">
        <v>30000</v>
      </c>
      <c r="F186" s="1141">
        <f>SUMIF('JKP-8.5 - CNSMREQP_GASMTRCTR'!$A$2:$A$391,'JKP-8.5 - Total Costs'!A186,'JKP-8.5 - CNSMREQP_GASMTRCTR'!$F$2:$F$391)-SUMIF('JKP-8.5 - Migrated From'!$A$2:$A$22,'JKP-8.5 - Total Costs'!A186,'JKP-8.5 - Migrated From'!$F$2:$F$22)+SUMIF('JKP-8.5 - Migrated To'!$A$2:$A$22,'JKP-8.5 - Total Costs'!A186,'JKP-8.5 - Migrated To'!$F$2:$F$22)</f>
        <v>0</v>
      </c>
      <c r="G186" s="1141">
        <f>SUMIF('JKP-8.5 - CNSMREQP_GASMTRCTR'!$A$2:$A$391,'JKP-8.5 - Total Costs'!B186,'JKP-8.5 - CNSMREQP_GASMTRCTR'!$F$2:$F$391)-SUMIF('JKP-8.5 - Migrated From'!$A$2:$A$22,'JKP-8.5 - Total Costs'!B186,'JKP-8.5 - Migrated From'!$F$2:$F$22)+SUMIF('JKP-8.5 - Migrated To'!$A$2:$A$22,'JKP-8.5 - Total Costs'!B186,'JKP-8.5 - Migrated To'!$F$2:$F$22)</f>
        <v>0</v>
      </c>
      <c r="H186" s="1142">
        <f t="shared" si="20"/>
        <v>0</v>
      </c>
      <c r="I186" s="1143">
        <f>VLOOKUP($E186,'JKP-8.5 - Unit Costs'!$A$9:$H$33,2,FALSE)</f>
        <v>0</v>
      </c>
      <c r="J186" s="1143">
        <f>VLOOKUP($E186,'JKP-8.5 - Unit Costs'!$A$9:$H$33,5,FALSE)</f>
        <v>0</v>
      </c>
      <c r="K186" s="1143">
        <f>VLOOKUP($E186,'JKP-8.5 - Unit Costs'!$A$9:$H$33,3,FALSE)</f>
        <v>0</v>
      </c>
      <c r="L186" s="1143">
        <f>VLOOKUP($E186,'JKP-8.5 - Unit Costs'!$A$9:$H$33,6,FALSE)</f>
        <v>0</v>
      </c>
      <c r="M186" s="1143">
        <f>VLOOKUP($E186,'JKP-8.5 - Unit Costs'!$A$9:$H$33,8,FALSE)</f>
        <v>28159.37</v>
      </c>
      <c r="N186" s="1143">
        <f>VLOOKUP($E186,'JKP-8.5 - Unit Costs'!$A$9:$H$33,8,FALSE)</f>
        <v>28159.37</v>
      </c>
      <c r="O186" s="1144">
        <f t="shared" si="21"/>
        <v>0</v>
      </c>
      <c r="P186" s="1144">
        <f t="shared" si="21"/>
        <v>0</v>
      </c>
      <c r="Q186" s="1144">
        <f t="shared" si="22"/>
        <v>0</v>
      </c>
      <c r="R186" s="1144">
        <f t="shared" si="23"/>
        <v>0</v>
      </c>
      <c r="S186" s="1144">
        <f t="shared" si="23"/>
        <v>0</v>
      </c>
      <c r="T186" s="1144">
        <f t="shared" si="24"/>
        <v>0</v>
      </c>
      <c r="U186" s="1144">
        <f t="shared" si="25"/>
        <v>0</v>
      </c>
      <c r="V186" s="1144">
        <f t="shared" si="25"/>
        <v>0</v>
      </c>
      <c r="W186" s="1145">
        <f t="shared" si="26"/>
        <v>0</v>
      </c>
    </row>
    <row r="187" spans="1:23" x14ac:dyDescent="0.2">
      <c r="A187" s="1140" t="str">
        <f t="shared" si="18"/>
        <v>85G-I3 60000 AMR</v>
      </c>
      <c r="B187" s="1140" t="str">
        <f t="shared" si="19"/>
        <v xml:space="preserve">85G-I3 60000 </v>
      </c>
      <c r="C187" s="1140" t="s">
        <v>805</v>
      </c>
      <c r="D187" s="1140" t="s">
        <v>920</v>
      </c>
      <c r="E187" s="1140">
        <v>60000</v>
      </c>
      <c r="F187" s="1141">
        <f>SUMIF('JKP-8.5 - CNSMREQP_GASMTRCTR'!$A$2:$A$391,'JKP-8.5 - Total Costs'!A187,'JKP-8.5 - CNSMREQP_GASMTRCTR'!$F$2:$F$391)-SUMIF('JKP-8.5 - Migrated From'!$A$2:$A$22,'JKP-8.5 - Total Costs'!A187,'JKP-8.5 - Migrated From'!$F$2:$F$22)+SUMIF('JKP-8.5 - Migrated To'!$A$2:$A$22,'JKP-8.5 - Total Costs'!A187,'JKP-8.5 - Migrated To'!$F$2:$F$22)</f>
        <v>0</v>
      </c>
      <c r="G187" s="1141">
        <f>SUMIF('JKP-8.5 - CNSMREQP_GASMTRCTR'!$A$2:$A$391,'JKP-8.5 - Total Costs'!B187,'JKP-8.5 - CNSMREQP_GASMTRCTR'!$F$2:$F$391)-SUMIF('JKP-8.5 - Migrated From'!$A$2:$A$22,'JKP-8.5 - Total Costs'!B187,'JKP-8.5 - Migrated From'!$F$2:$F$22)+SUMIF('JKP-8.5 - Migrated To'!$A$2:$A$22,'JKP-8.5 - Total Costs'!B187,'JKP-8.5 - Migrated To'!$F$2:$F$22)</f>
        <v>2</v>
      </c>
      <c r="H187" s="1142">
        <f t="shared" si="20"/>
        <v>2</v>
      </c>
      <c r="I187" s="1143">
        <f>VLOOKUP($E187,'JKP-8.5 - Unit Costs'!$A$9:$H$33,2,FALSE)</f>
        <v>0</v>
      </c>
      <c r="J187" s="1143">
        <f>VLOOKUP($E187,'JKP-8.5 - Unit Costs'!$A$9:$H$33,5,FALSE)</f>
        <v>0</v>
      </c>
      <c r="K187" s="1143">
        <f>VLOOKUP($E187,'JKP-8.5 - Unit Costs'!$A$9:$H$33,3,FALSE)</f>
        <v>0</v>
      </c>
      <c r="L187" s="1143">
        <f>VLOOKUP($E187,'JKP-8.5 - Unit Costs'!$A$9:$H$33,6,FALSE)</f>
        <v>0</v>
      </c>
      <c r="M187" s="1143">
        <f>VLOOKUP($E187,'JKP-8.5 - Unit Costs'!$A$9:$H$33,8,FALSE)</f>
        <v>36556.269999999997</v>
      </c>
      <c r="N187" s="1143">
        <f>VLOOKUP($E187,'JKP-8.5 - Unit Costs'!$A$9:$H$33,8,FALSE)</f>
        <v>36556.269999999997</v>
      </c>
      <c r="O187" s="1144">
        <f t="shared" si="21"/>
        <v>0</v>
      </c>
      <c r="P187" s="1144">
        <f t="shared" si="21"/>
        <v>0</v>
      </c>
      <c r="Q187" s="1144">
        <f t="shared" si="22"/>
        <v>0</v>
      </c>
      <c r="R187" s="1144">
        <f t="shared" si="23"/>
        <v>0</v>
      </c>
      <c r="S187" s="1144">
        <f t="shared" si="23"/>
        <v>0</v>
      </c>
      <c r="T187" s="1144">
        <f t="shared" si="24"/>
        <v>0</v>
      </c>
      <c r="U187" s="1144">
        <f t="shared" si="25"/>
        <v>0</v>
      </c>
      <c r="V187" s="1144">
        <f t="shared" si="25"/>
        <v>73112.539999999994</v>
      </c>
      <c r="W187" s="1145">
        <f t="shared" si="26"/>
        <v>73112.539999999994</v>
      </c>
    </row>
    <row r="188" spans="1:23" x14ac:dyDescent="0.2">
      <c r="A188" s="1140" t="str">
        <f t="shared" si="18"/>
        <v>85TG-C 1000 AMR</v>
      </c>
      <c r="B188" s="1140" t="str">
        <f t="shared" si="19"/>
        <v xml:space="preserve">85TG-C 1000 </v>
      </c>
      <c r="C188" s="1140" t="s">
        <v>809</v>
      </c>
      <c r="D188" s="1140" t="s">
        <v>741</v>
      </c>
      <c r="E188" s="1140">
        <v>1000</v>
      </c>
      <c r="F188" s="1141">
        <f>SUMIF('JKP-8.5 - CNSMREQP_GASMTRCTR'!$A$2:$A$391,'JKP-8.5 - Total Costs'!A188,'JKP-8.5 - CNSMREQP_GASMTRCTR'!$F$2:$F$391)-SUMIF('JKP-8.5 - Migrated From'!$A$2:$A$22,'JKP-8.5 - Total Costs'!A188,'JKP-8.5 - Migrated From'!$F$2:$F$22)+SUMIF('JKP-8.5 - Migrated To'!$A$2:$A$22,'JKP-8.5 - Total Costs'!A188,'JKP-8.5 - Migrated To'!$F$2:$F$22)</f>
        <v>0</v>
      </c>
      <c r="G188" s="1141">
        <f>SUMIF('JKP-8.5 - CNSMREQP_GASMTRCTR'!$A$2:$A$391,'JKP-8.5 - Total Costs'!B188,'JKP-8.5 - CNSMREQP_GASMTRCTR'!$F$2:$F$391)-SUMIF('JKP-8.5 - Migrated From'!$A$2:$A$22,'JKP-8.5 - Total Costs'!B188,'JKP-8.5 - Migrated From'!$F$2:$F$22)+SUMIF('JKP-8.5 - Migrated To'!$A$2:$A$22,'JKP-8.5 - Total Costs'!B188,'JKP-8.5 - Migrated To'!$F$2:$F$22)</f>
        <v>2</v>
      </c>
      <c r="H188" s="1142">
        <f t="shared" si="20"/>
        <v>2</v>
      </c>
      <c r="I188" s="1143">
        <f>VLOOKUP($E188,'JKP-8.5 - Unit Costs'!$A$9:$H$33,2,FALSE)</f>
        <v>1404.86</v>
      </c>
      <c r="J188" s="1143">
        <f>VLOOKUP($E188,'JKP-8.5 - Unit Costs'!$A$9:$H$33,5,FALSE)</f>
        <v>1063.1500000000001</v>
      </c>
      <c r="K188" s="1143">
        <f>VLOOKUP($E188,'JKP-8.5 - Unit Costs'!$A$9:$H$33,3,FALSE)</f>
        <v>41.76</v>
      </c>
      <c r="L188" s="1143">
        <f>VLOOKUP($E188,'JKP-8.5 - Unit Costs'!$A$9:$H$33,6,FALSE)</f>
        <v>41.76</v>
      </c>
      <c r="M188" s="1143">
        <f>VLOOKUP($E188,'JKP-8.5 - Unit Costs'!$A$9:$H$33,8,FALSE)</f>
        <v>0</v>
      </c>
      <c r="N188" s="1143">
        <f>VLOOKUP($E188,'JKP-8.5 - Unit Costs'!$A$9:$H$33,8,FALSE)</f>
        <v>0</v>
      </c>
      <c r="O188" s="1144">
        <f t="shared" si="21"/>
        <v>0</v>
      </c>
      <c r="P188" s="1144">
        <f t="shared" si="21"/>
        <v>2126.3000000000002</v>
      </c>
      <c r="Q188" s="1144">
        <f t="shared" si="22"/>
        <v>2126.3000000000002</v>
      </c>
      <c r="R188" s="1144">
        <f t="shared" si="23"/>
        <v>0</v>
      </c>
      <c r="S188" s="1144">
        <f t="shared" si="23"/>
        <v>83.52</v>
      </c>
      <c r="T188" s="1144">
        <f t="shared" si="24"/>
        <v>83.52</v>
      </c>
      <c r="U188" s="1144">
        <f t="shared" si="25"/>
        <v>0</v>
      </c>
      <c r="V188" s="1144">
        <f t="shared" si="25"/>
        <v>0</v>
      </c>
      <c r="W188" s="1145">
        <f t="shared" si="26"/>
        <v>0</v>
      </c>
    </row>
    <row r="189" spans="1:23" x14ac:dyDescent="0.2">
      <c r="A189" s="1140" t="str">
        <f t="shared" si="18"/>
        <v>85TG-C 3000 AMR</v>
      </c>
      <c r="B189" s="1140" t="str">
        <f t="shared" si="19"/>
        <v xml:space="preserve">85TG-C 3000 </v>
      </c>
      <c r="C189" s="1140" t="s">
        <v>809</v>
      </c>
      <c r="D189" s="1140" t="s">
        <v>741</v>
      </c>
      <c r="E189" s="1140">
        <v>3000</v>
      </c>
      <c r="F189" s="1141">
        <f>SUMIF('JKP-8.5 - CNSMREQP_GASMTRCTR'!$A$2:$A$391,'JKP-8.5 - Total Costs'!A189,'JKP-8.5 - CNSMREQP_GASMTRCTR'!$F$2:$F$391)-SUMIF('JKP-8.5 - Migrated From'!$A$2:$A$22,'JKP-8.5 - Total Costs'!A189,'JKP-8.5 - Migrated From'!$F$2:$F$22)+SUMIF('JKP-8.5 - Migrated To'!$A$2:$A$22,'JKP-8.5 - Total Costs'!A189,'JKP-8.5 - Migrated To'!$F$2:$F$22)</f>
        <v>0</v>
      </c>
      <c r="G189" s="1141">
        <f>SUMIF('JKP-8.5 - CNSMREQP_GASMTRCTR'!$A$2:$A$391,'JKP-8.5 - Total Costs'!B189,'JKP-8.5 - CNSMREQP_GASMTRCTR'!$F$2:$F$391)-SUMIF('JKP-8.5 - Migrated From'!$A$2:$A$22,'JKP-8.5 - Total Costs'!B189,'JKP-8.5 - Migrated From'!$F$2:$F$22)+SUMIF('JKP-8.5 - Migrated To'!$A$2:$A$22,'JKP-8.5 - Total Costs'!B189,'JKP-8.5 - Migrated To'!$F$2:$F$22)</f>
        <v>2</v>
      </c>
      <c r="H189" s="1142">
        <f t="shared" si="20"/>
        <v>2</v>
      </c>
      <c r="I189" s="1143">
        <f>VLOOKUP($E189,'JKP-8.5 - Unit Costs'!$A$9:$H$33,2,FALSE)</f>
        <v>0</v>
      </c>
      <c r="J189" s="1143">
        <f>VLOOKUP($E189,'JKP-8.5 - Unit Costs'!$A$9:$H$33,5,FALSE)</f>
        <v>0</v>
      </c>
      <c r="K189" s="1143">
        <f>VLOOKUP($E189,'JKP-8.5 - Unit Costs'!$A$9:$H$33,3,FALSE)</f>
        <v>0</v>
      </c>
      <c r="L189" s="1143">
        <f>VLOOKUP($E189,'JKP-8.5 - Unit Costs'!$A$9:$H$33,6,FALSE)</f>
        <v>0</v>
      </c>
      <c r="M189" s="1143">
        <f>VLOOKUP($E189,'JKP-8.5 - Unit Costs'!$A$9:$H$33,8,FALSE)</f>
        <v>3406.19</v>
      </c>
      <c r="N189" s="1143">
        <f>VLOOKUP($E189,'JKP-8.5 - Unit Costs'!$A$9:$H$33,8,FALSE)</f>
        <v>3406.19</v>
      </c>
      <c r="O189" s="1144">
        <f t="shared" si="21"/>
        <v>0</v>
      </c>
      <c r="P189" s="1144">
        <f t="shared" si="21"/>
        <v>0</v>
      </c>
      <c r="Q189" s="1144">
        <f t="shared" si="22"/>
        <v>0</v>
      </c>
      <c r="R189" s="1144">
        <f t="shared" si="23"/>
        <v>0</v>
      </c>
      <c r="S189" s="1144">
        <f t="shared" si="23"/>
        <v>0</v>
      </c>
      <c r="T189" s="1144">
        <f t="shared" si="24"/>
        <v>0</v>
      </c>
      <c r="U189" s="1144">
        <f t="shared" si="25"/>
        <v>0</v>
      </c>
      <c r="V189" s="1144">
        <f t="shared" si="25"/>
        <v>6812.38</v>
      </c>
      <c r="W189" s="1145">
        <f t="shared" si="26"/>
        <v>6812.38</v>
      </c>
    </row>
    <row r="190" spans="1:23" x14ac:dyDescent="0.2">
      <c r="A190" s="1140" t="str">
        <f t="shared" si="18"/>
        <v>85TG-C 5000 AMR</v>
      </c>
      <c r="B190" s="1140" t="str">
        <f t="shared" si="19"/>
        <v xml:space="preserve">85TG-C 5000 </v>
      </c>
      <c r="C190" s="1140" t="s">
        <v>809</v>
      </c>
      <c r="D190" s="1140" t="s">
        <v>741</v>
      </c>
      <c r="E190" s="1140">
        <v>5000</v>
      </c>
      <c r="F190" s="1141">
        <f>SUMIF('JKP-8.5 - CNSMREQP_GASMTRCTR'!$A$2:$A$391,'JKP-8.5 - Total Costs'!A190,'JKP-8.5 - CNSMREQP_GASMTRCTR'!$F$2:$F$391)-SUMIF('JKP-8.5 - Migrated From'!$A$2:$A$22,'JKP-8.5 - Total Costs'!A190,'JKP-8.5 - Migrated From'!$F$2:$F$22)+SUMIF('JKP-8.5 - Migrated To'!$A$2:$A$22,'JKP-8.5 - Total Costs'!A190,'JKP-8.5 - Migrated To'!$F$2:$F$22)</f>
        <v>1</v>
      </c>
      <c r="G190" s="1141">
        <f>SUMIF('JKP-8.5 - CNSMREQP_GASMTRCTR'!$A$2:$A$391,'JKP-8.5 - Total Costs'!B190,'JKP-8.5 - CNSMREQP_GASMTRCTR'!$F$2:$F$391)-SUMIF('JKP-8.5 - Migrated From'!$A$2:$A$22,'JKP-8.5 - Total Costs'!B190,'JKP-8.5 - Migrated From'!$F$2:$F$22)+SUMIF('JKP-8.5 - Migrated To'!$A$2:$A$22,'JKP-8.5 - Total Costs'!B190,'JKP-8.5 - Migrated To'!$F$2:$F$22)</f>
        <v>1</v>
      </c>
      <c r="H190" s="1142">
        <f t="shared" si="20"/>
        <v>2</v>
      </c>
      <c r="I190" s="1143">
        <f>VLOOKUP($E190,'JKP-8.5 - Unit Costs'!$A$9:$H$33,2,FALSE)</f>
        <v>0</v>
      </c>
      <c r="J190" s="1143">
        <f>VLOOKUP($E190,'JKP-8.5 - Unit Costs'!$A$9:$H$33,5,FALSE)</f>
        <v>0</v>
      </c>
      <c r="K190" s="1143">
        <f>VLOOKUP($E190,'JKP-8.5 - Unit Costs'!$A$9:$H$33,3,FALSE)</f>
        <v>0</v>
      </c>
      <c r="L190" s="1143">
        <f>VLOOKUP($E190,'JKP-8.5 - Unit Costs'!$A$9:$H$33,6,FALSE)</f>
        <v>0</v>
      </c>
      <c r="M190" s="1143">
        <f>VLOOKUP($E190,'JKP-8.5 - Unit Costs'!$A$9:$H$33,8,FALSE)</f>
        <v>3456.43</v>
      </c>
      <c r="N190" s="1143">
        <f>VLOOKUP($E190,'JKP-8.5 - Unit Costs'!$A$9:$H$33,8,FALSE)</f>
        <v>3456.43</v>
      </c>
      <c r="O190" s="1144">
        <f t="shared" si="21"/>
        <v>0</v>
      </c>
      <c r="P190" s="1144">
        <f t="shared" si="21"/>
        <v>0</v>
      </c>
      <c r="Q190" s="1144">
        <f t="shared" si="22"/>
        <v>0</v>
      </c>
      <c r="R190" s="1144">
        <f t="shared" si="23"/>
        <v>0</v>
      </c>
      <c r="S190" s="1144">
        <f t="shared" si="23"/>
        <v>0</v>
      </c>
      <c r="T190" s="1144">
        <f t="shared" si="24"/>
        <v>0</v>
      </c>
      <c r="U190" s="1144">
        <f t="shared" si="25"/>
        <v>3456.43</v>
      </c>
      <c r="V190" s="1144">
        <f t="shared" si="25"/>
        <v>3456.43</v>
      </c>
      <c r="W190" s="1145">
        <f t="shared" si="26"/>
        <v>6912.86</v>
      </c>
    </row>
    <row r="191" spans="1:23" x14ac:dyDescent="0.2">
      <c r="A191" s="1140" t="str">
        <f t="shared" si="18"/>
        <v>85TG-C 7000 AMR</v>
      </c>
      <c r="B191" s="1140" t="str">
        <f t="shared" si="19"/>
        <v xml:space="preserve">85TG-C 7000 </v>
      </c>
      <c r="C191" s="1140" t="s">
        <v>809</v>
      </c>
      <c r="D191" s="1140" t="s">
        <v>741</v>
      </c>
      <c r="E191" s="1140">
        <v>7000</v>
      </c>
      <c r="F191" s="1141">
        <f>SUMIF('JKP-8.5 - CNSMREQP_GASMTRCTR'!$A$2:$A$391,'JKP-8.5 - Total Costs'!A191,'JKP-8.5 - CNSMREQP_GASMTRCTR'!$F$2:$F$391)-SUMIF('JKP-8.5 - Migrated From'!$A$2:$A$22,'JKP-8.5 - Total Costs'!A191,'JKP-8.5 - Migrated From'!$F$2:$F$22)+SUMIF('JKP-8.5 - Migrated To'!$A$2:$A$22,'JKP-8.5 - Total Costs'!A191,'JKP-8.5 - Migrated To'!$F$2:$F$22)</f>
        <v>0</v>
      </c>
      <c r="G191" s="1141">
        <f>SUMIF('JKP-8.5 - CNSMREQP_GASMTRCTR'!$A$2:$A$391,'JKP-8.5 - Total Costs'!B191,'JKP-8.5 - CNSMREQP_GASMTRCTR'!$F$2:$F$391)-SUMIF('JKP-8.5 - Migrated From'!$A$2:$A$22,'JKP-8.5 - Total Costs'!B191,'JKP-8.5 - Migrated From'!$F$2:$F$22)+SUMIF('JKP-8.5 - Migrated To'!$A$2:$A$22,'JKP-8.5 - Total Costs'!B191,'JKP-8.5 - Migrated To'!$F$2:$F$22)</f>
        <v>2</v>
      </c>
      <c r="H191" s="1142">
        <f t="shared" si="20"/>
        <v>2</v>
      </c>
      <c r="I191" s="1143">
        <f>VLOOKUP($E191,'JKP-8.5 - Unit Costs'!$A$9:$H$33,2,FALSE)</f>
        <v>0</v>
      </c>
      <c r="J191" s="1143">
        <f>VLOOKUP($E191,'JKP-8.5 - Unit Costs'!$A$9:$H$33,5,FALSE)</f>
        <v>0</v>
      </c>
      <c r="K191" s="1143">
        <f>VLOOKUP($E191,'JKP-8.5 - Unit Costs'!$A$9:$H$33,3,FALSE)</f>
        <v>0</v>
      </c>
      <c r="L191" s="1143">
        <f>VLOOKUP($E191,'JKP-8.5 - Unit Costs'!$A$9:$H$33,6,FALSE)</f>
        <v>0</v>
      </c>
      <c r="M191" s="1143">
        <f>VLOOKUP($E191,'JKP-8.5 - Unit Costs'!$A$9:$H$33,8,FALSE)</f>
        <v>3458.4399999999996</v>
      </c>
      <c r="N191" s="1143">
        <f>VLOOKUP($E191,'JKP-8.5 - Unit Costs'!$A$9:$H$33,8,FALSE)</f>
        <v>3458.4399999999996</v>
      </c>
      <c r="O191" s="1144">
        <f t="shared" si="21"/>
        <v>0</v>
      </c>
      <c r="P191" s="1144">
        <f t="shared" si="21"/>
        <v>0</v>
      </c>
      <c r="Q191" s="1144">
        <f t="shared" si="22"/>
        <v>0</v>
      </c>
      <c r="R191" s="1144">
        <f t="shared" si="23"/>
        <v>0</v>
      </c>
      <c r="S191" s="1144">
        <f t="shared" si="23"/>
        <v>0</v>
      </c>
      <c r="T191" s="1144">
        <f t="shared" si="24"/>
        <v>0</v>
      </c>
      <c r="U191" s="1144">
        <f t="shared" si="25"/>
        <v>0</v>
      </c>
      <c r="V191" s="1144">
        <f t="shared" si="25"/>
        <v>6916.8799999999992</v>
      </c>
      <c r="W191" s="1145">
        <f t="shared" si="26"/>
        <v>6916.8799999999992</v>
      </c>
    </row>
    <row r="192" spans="1:23" x14ac:dyDescent="0.2">
      <c r="A192" s="1140" t="str">
        <f t="shared" si="18"/>
        <v>85TG-C 11000 AMR</v>
      </c>
      <c r="B192" s="1140" t="str">
        <f t="shared" si="19"/>
        <v xml:space="preserve">85TG-C 11000 </v>
      </c>
      <c r="C192" s="1140" t="s">
        <v>809</v>
      </c>
      <c r="D192" s="1140" t="s">
        <v>741</v>
      </c>
      <c r="E192" s="1140">
        <v>11000</v>
      </c>
      <c r="F192" s="1141">
        <f>SUMIF('JKP-8.5 - CNSMREQP_GASMTRCTR'!$A$2:$A$391,'JKP-8.5 - Total Costs'!A192,'JKP-8.5 - CNSMREQP_GASMTRCTR'!$F$2:$F$391)-SUMIF('JKP-8.5 - Migrated From'!$A$2:$A$22,'JKP-8.5 - Total Costs'!A192,'JKP-8.5 - Migrated From'!$F$2:$F$22)+SUMIF('JKP-8.5 - Migrated To'!$A$2:$A$22,'JKP-8.5 - Total Costs'!A192,'JKP-8.5 - Migrated To'!$F$2:$F$22)</f>
        <v>0</v>
      </c>
      <c r="G192" s="1141">
        <f>SUMIF('JKP-8.5 - CNSMREQP_GASMTRCTR'!$A$2:$A$391,'JKP-8.5 - Total Costs'!B192,'JKP-8.5 - CNSMREQP_GASMTRCTR'!$F$2:$F$391)-SUMIF('JKP-8.5 - Migrated From'!$A$2:$A$22,'JKP-8.5 - Total Costs'!B192,'JKP-8.5 - Migrated From'!$F$2:$F$22)+SUMIF('JKP-8.5 - Migrated To'!$A$2:$A$22,'JKP-8.5 - Total Costs'!B192,'JKP-8.5 - Migrated To'!$F$2:$F$22)</f>
        <v>2</v>
      </c>
      <c r="H192" s="1142">
        <f t="shared" si="20"/>
        <v>2</v>
      </c>
      <c r="I192" s="1143">
        <f>VLOOKUP($E192,'JKP-8.5 - Unit Costs'!$A$9:$H$33,2,FALSE)</f>
        <v>0</v>
      </c>
      <c r="J192" s="1143">
        <f>VLOOKUP($E192,'JKP-8.5 - Unit Costs'!$A$9:$H$33,5,FALSE)</f>
        <v>0</v>
      </c>
      <c r="K192" s="1143">
        <f>VLOOKUP($E192,'JKP-8.5 - Unit Costs'!$A$9:$H$33,3,FALSE)</f>
        <v>0</v>
      </c>
      <c r="L192" s="1143">
        <f>VLOOKUP($E192,'JKP-8.5 - Unit Costs'!$A$9:$H$33,6,FALSE)</f>
        <v>0</v>
      </c>
      <c r="M192" s="1143">
        <f>VLOOKUP($E192,'JKP-8.5 - Unit Costs'!$A$9:$H$33,8,FALSE)</f>
        <v>5835.1900000000005</v>
      </c>
      <c r="N192" s="1143">
        <f>VLOOKUP($E192,'JKP-8.5 - Unit Costs'!$A$9:$H$33,8,FALSE)</f>
        <v>5835.1900000000005</v>
      </c>
      <c r="O192" s="1144">
        <f t="shared" si="21"/>
        <v>0</v>
      </c>
      <c r="P192" s="1144">
        <f t="shared" si="21"/>
        <v>0</v>
      </c>
      <c r="Q192" s="1144">
        <f t="shared" si="22"/>
        <v>0</v>
      </c>
      <c r="R192" s="1144">
        <f t="shared" si="23"/>
        <v>0</v>
      </c>
      <c r="S192" s="1144">
        <f t="shared" si="23"/>
        <v>0</v>
      </c>
      <c r="T192" s="1144">
        <f t="shared" si="24"/>
        <v>0</v>
      </c>
      <c r="U192" s="1144">
        <f t="shared" si="25"/>
        <v>0</v>
      </c>
      <c r="V192" s="1144">
        <f t="shared" si="25"/>
        <v>11670.380000000001</v>
      </c>
      <c r="W192" s="1145">
        <f t="shared" si="26"/>
        <v>11670.380000000001</v>
      </c>
    </row>
    <row r="193" spans="1:23" x14ac:dyDescent="0.2">
      <c r="A193" s="1140" t="str">
        <f t="shared" si="18"/>
        <v>85TG-C 16000 AMR</v>
      </c>
      <c r="B193" s="1140" t="str">
        <f t="shared" si="19"/>
        <v xml:space="preserve">85TG-C 16000 </v>
      </c>
      <c r="C193" s="1140" t="s">
        <v>809</v>
      </c>
      <c r="D193" s="1140" t="s">
        <v>741</v>
      </c>
      <c r="E193" s="1140">
        <v>16000</v>
      </c>
      <c r="F193" s="1141">
        <f>SUMIF('JKP-8.5 - CNSMREQP_GASMTRCTR'!$A$2:$A$391,'JKP-8.5 - Total Costs'!A193,'JKP-8.5 - CNSMREQP_GASMTRCTR'!$F$2:$F$391)-SUMIF('JKP-8.5 - Migrated From'!$A$2:$A$22,'JKP-8.5 - Total Costs'!A193,'JKP-8.5 - Migrated From'!$F$2:$F$22)+SUMIF('JKP-8.5 - Migrated To'!$A$2:$A$22,'JKP-8.5 - Total Costs'!A193,'JKP-8.5 - Migrated To'!$F$2:$F$22)</f>
        <v>0</v>
      </c>
      <c r="G193" s="1141">
        <f>SUMIF('JKP-8.5 - CNSMREQP_GASMTRCTR'!$A$2:$A$391,'JKP-8.5 - Total Costs'!B193,'JKP-8.5 - CNSMREQP_GASMTRCTR'!$F$2:$F$391)-SUMIF('JKP-8.5 - Migrated From'!$A$2:$A$22,'JKP-8.5 - Total Costs'!B193,'JKP-8.5 - Migrated From'!$F$2:$F$22)+SUMIF('JKP-8.5 - Migrated To'!$A$2:$A$22,'JKP-8.5 - Total Costs'!B193,'JKP-8.5 - Migrated To'!$F$2:$F$22)</f>
        <v>12</v>
      </c>
      <c r="H193" s="1142">
        <f t="shared" si="20"/>
        <v>12</v>
      </c>
      <c r="I193" s="1143">
        <f>VLOOKUP($E193,'JKP-8.5 - Unit Costs'!$A$9:$H$33,2,FALSE)</f>
        <v>0</v>
      </c>
      <c r="J193" s="1143">
        <f>VLOOKUP($E193,'JKP-8.5 - Unit Costs'!$A$9:$H$33,5,FALSE)</f>
        <v>0</v>
      </c>
      <c r="K193" s="1143">
        <f>VLOOKUP($E193,'JKP-8.5 - Unit Costs'!$A$9:$H$33,3,FALSE)</f>
        <v>0</v>
      </c>
      <c r="L193" s="1143">
        <f>VLOOKUP($E193,'JKP-8.5 - Unit Costs'!$A$9:$H$33,6,FALSE)</f>
        <v>0</v>
      </c>
      <c r="M193" s="1143">
        <f>VLOOKUP($E193,'JKP-8.5 - Unit Costs'!$A$9:$H$33,8,FALSE)</f>
        <v>8983.2999999999993</v>
      </c>
      <c r="N193" s="1143">
        <f>VLOOKUP($E193,'JKP-8.5 - Unit Costs'!$A$9:$H$33,8,FALSE)</f>
        <v>8983.2999999999993</v>
      </c>
      <c r="O193" s="1144">
        <f t="shared" si="21"/>
        <v>0</v>
      </c>
      <c r="P193" s="1144">
        <f t="shared" si="21"/>
        <v>0</v>
      </c>
      <c r="Q193" s="1144">
        <f t="shared" si="22"/>
        <v>0</v>
      </c>
      <c r="R193" s="1144">
        <f t="shared" si="23"/>
        <v>0</v>
      </c>
      <c r="S193" s="1144">
        <f t="shared" si="23"/>
        <v>0</v>
      </c>
      <c r="T193" s="1144">
        <f t="shared" si="24"/>
        <v>0</v>
      </c>
      <c r="U193" s="1144">
        <f t="shared" si="25"/>
        <v>0</v>
      </c>
      <c r="V193" s="1144">
        <f t="shared" si="25"/>
        <v>107799.59999999999</v>
      </c>
      <c r="W193" s="1145">
        <f t="shared" si="26"/>
        <v>107799.59999999999</v>
      </c>
    </row>
    <row r="194" spans="1:23" x14ac:dyDescent="0.2">
      <c r="A194" s="1140" t="str">
        <f t="shared" si="18"/>
        <v>85TG-C 18000 AMR</v>
      </c>
      <c r="B194" s="1140" t="str">
        <f t="shared" si="19"/>
        <v xml:space="preserve">85TG-C 18000 </v>
      </c>
      <c r="C194" s="1140" t="s">
        <v>809</v>
      </c>
      <c r="D194" s="1140" t="s">
        <v>741</v>
      </c>
      <c r="E194" s="1140">
        <v>18000</v>
      </c>
      <c r="F194" s="1141">
        <f>SUMIF('JKP-8.5 - CNSMREQP_GASMTRCTR'!$A$2:$A$391,'JKP-8.5 - Total Costs'!A194,'JKP-8.5 - CNSMREQP_GASMTRCTR'!$F$2:$F$391)-SUMIF('JKP-8.5 - Migrated From'!$A$2:$A$22,'JKP-8.5 - Total Costs'!A194,'JKP-8.5 - Migrated From'!$F$2:$F$22)+SUMIF('JKP-8.5 - Migrated To'!$A$2:$A$22,'JKP-8.5 - Total Costs'!A194,'JKP-8.5 - Migrated To'!$F$2:$F$22)</f>
        <v>0</v>
      </c>
      <c r="G194" s="1141">
        <f>SUMIF('JKP-8.5 - CNSMREQP_GASMTRCTR'!$A$2:$A$391,'JKP-8.5 - Total Costs'!B194,'JKP-8.5 - CNSMREQP_GASMTRCTR'!$F$2:$F$391)-SUMIF('JKP-8.5 - Migrated From'!$A$2:$A$22,'JKP-8.5 - Total Costs'!B194,'JKP-8.5 - Migrated From'!$F$2:$F$22)+SUMIF('JKP-8.5 - Migrated To'!$A$2:$A$22,'JKP-8.5 - Total Costs'!B194,'JKP-8.5 - Migrated To'!$F$2:$F$22)</f>
        <v>1</v>
      </c>
      <c r="H194" s="1142">
        <f t="shared" si="20"/>
        <v>1</v>
      </c>
      <c r="I194" s="1143">
        <f>VLOOKUP($E194,'JKP-8.5 - Unit Costs'!$A$9:$H$33,2,FALSE)</f>
        <v>0</v>
      </c>
      <c r="J194" s="1143">
        <f>VLOOKUP($E194,'JKP-8.5 - Unit Costs'!$A$9:$H$33,5,FALSE)</f>
        <v>0</v>
      </c>
      <c r="K194" s="1143">
        <f>VLOOKUP($E194,'JKP-8.5 - Unit Costs'!$A$9:$H$33,3,FALSE)</f>
        <v>0</v>
      </c>
      <c r="L194" s="1143">
        <f>VLOOKUP($E194,'JKP-8.5 - Unit Costs'!$A$9:$H$33,6,FALSE)</f>
        <v>0</v>
      </c>
      <c r="M194" s="1143">
        <f>VLOOKUP($E194,'JKP-8.5 - Unit Costs'!$A$9:$H$33,8,FALSE)</f>
        <v>8412.5300000000007</v>
      </c>
      <c r="N194" s="1143">
        <f>VLOOKUP($E194,'JKP-8.5 - Unit Costs'!$A$9:$H$33,8,FALSE)</f>
        <v>8412.5300000000007</v>
      </c>
      <c r="O194" s="1144">
        <f t="shared" si="21"/>
        <v>0</v>
      </c>
      <c r="P194" s="1144">
        <f t="shared" si="21"/>
        <v>0</v>
      </c>
      <c r="Q194" s="1144">
        <f t="shared" si="22"/>
        <v>0</v>
      </c>
      <c r="R194" s="1144">
        <f t="shared" si="23"/>
        <v>0</v>
      </c>
      <c r="S194" s="1144">
        <f t="shared" si="23"/>
        <v>0</v>
      </c>
      <c r="T194" s="1144">
        <f t="shared" si="24"/>
        <v>0</v>
      </c>
      <c r="U194" s="1144">
        <f t="shared" si="25"/>
        <v>0</v>
      </c>
      <c r="V194" s="1144">
        <f t="shared" si="25"/>
        <v>8412.5300000000007</v>
      </c>
      <c r="W194" s="1145">
        <f t="shared" si="26"/>
        <v>8412.5300000000007</v>
      </c>
    </row>
    <row r="195" spans="1:23" x14ac:dyDescent="0.2">
      <c r="A195" s="1140" t="str">
        <f t="shared" si="18"/>
        <v>85TG-C 23000 AMR</v>
      </c>
      <c r="B195" s="1140" t="str">
        <f t="shared" si="19"/>
        <v xml:space="preserve">85TG-C 23000 </v>
      </c>
      <c r="C195" s="1140" t="s">
        <v>809</v>
      </c>
      <c r="D195" s="1140" t="s">
        <v>741</v>
      </c>
      <c r="E195" s="1140">
        <v>23000</v>
      </c>
      <c r="F195" s="1141">
        <f>SUMIF('JKP-8.5 - CNSMREQP_GASMTRCTR'!$A$2:$A$391,'JKP-8.5 - Total Costs'!A195,'JKP-8.5 - CNSMREQP_GASMTRCTR'!$F$2:$F$391)-SUMIF('JKP-8.5 - Migrated From'!$A$2:$A$22,'JKP-8.5 - Total Costs'!A195,'JKP-8.5 - Migrated From'!$F$2:$F$22)+SUMIF('JKP-8.5 - Migrated To'!$A$2:$A$22,'JKP-8.5 - Total Costs'!A195,'JKP-8.5 - Migrated To'!$F$2:$F$22)</f>
        <v>0</v>
      </c>
      <c r="G195" s="1141">
        <f>SUMIF('JKP-8.5 - CNSMREQP_GASMTRCTR'!$A$2:$A$391,'JKP-8.5 - Total Costs'!B195,'JKP-8.5 - CNSMREQP_GASMTRCTR'!$F$2:$F$391)-SUMIF('JKP-8.5 - Migrated From'!$A$2:$A$22,'JKP-8.5 - Total Costs'!B195,'JKP-8.5 - Migrated From'!$F$2:$F$22)+SUMIF('JKP-8.5 - Migrated To'!$A$2:$A$22,'JKP-8.5 - Total Costs'!B195,'JKP-8.5 - Migrated To'!$F$2:$F$22)</f>
        <v>6</v>
      </c>
      <c r="H195" s="1142">
        <f t="shared" si="20"/>
        <v>6</v>
      </c>
      <c r="I195" s="1143">
        <f>VLOOKUP($E195,'JKP-8.5 - Unit Costs'!$A$9:$H$33,2,FALSE)</f>
        <v>0</v>
      </c>
      <c r="J195" s="1143">
        <f>VLOOKUP($E195,'JKP-8.5 - Unit Costs'!$A$9:$H$33,5,FALSE)</f>
        <v>0</v>
      </c>
      <c r="K195" s="1143">
        <f>VLOOKUP($E195,'JKP-8.5 - Unit Costs'!$A$9:$H$33,3,FALSE)</f>
        <v>0</v>
      </c>
      <c r="L195" s="1143">
        <f>VLOOKUP($E195,'JKP-8.5 - Unit Costs'!$A$9:$H$33,6,FALSE)</f>
        <v>0</v>
      </c>
      <c r="M195" s="1143">
        <f>VLOOKUP($E195,'JKP-8.5 - Unit Costs'!$A$9:$H$33,8,FALSE)</f>
        <v>20882.400000000001</v>
      </c>
      <c r="N195" s="1143">
        <f>VLOOKUP($E195,'JKP-8.5 - Unit Costs'!$A$9:$H$33,8,FALSE)</f>
        <v>20882.400000000001</v>
      </c>
      <c r="O195" s="1144">
        <f t="shared" si="21"/>
        <v>0</v>
      </c>
      <c r="P195" s="1144">
        <f t="shared" si="21"/>
        <v>0</v>
      </c>
      <c r="Q195" s="1144">
        <f t="shared" si="22"/>
        <v>0</v>
      </c>
      <c r="R195" s="1144">
        <f t="shared" si="23"/>
        <v>0</v>
      </c>
      <c r="S195" s="1144">
        <f t="shared" si="23"/>
        <v>0</v>
      </c>
      <c r="T195" s="1144">
        <f t="shared" si="24"/>
        <v>0</v>
      </c>
      <c r="U195" s="1144">
        <f t="shared" si="25"/>
        <v>0</v>
      </c>
      <c r="V195" s="1144">
        <f t="shared" si="25"/>
        <v>125294.40000000001</v>
      </c>
      <c r="W195" s="1145">
        <f t="shared" si="26"/>
        <v>125294.40000000001</v>
      </c>
    </row>
    <row r="196" spans="1:23" x14ac:dyDescent="0.2">
      <c r="A196" s="1140" t="str">
        <f t="shared" si="18"/>
        <v>85TG-C 30000 AMR</v>
      </c>
      <c r="B196" s="1140" t="str">
        <f t="shared" si="19"/>
        <v xml:space="preserve">85TG-C 30000 </v>
      </c>
      <c r="C196" s="1140" t="s">
        <v>809</v>
      </c>
      <c r="D196" s="1140" t="s">
        <v>741</v>
      </c>
      <c r="E196" s="1140">
        <v>30000</v>
      </c>
      <c r="F196" s="1141">
        <f>SUMIF('JKP-8.5 - CNSMREQP_GASMTRCTR'!$A$2:$A$391,'JKP-8.5 - Total Costs'!A196,'JKP-8.5 - CNSMREQP_GASMTRCTR'!$F$2:$F$391)-SUMIF('JKP-8.5 - Migrated From'!$A$2:$A$22,'JKP-8.5 - Total Costs'!A196,'JKP-8.5 - Migrated From'!$F$2:$F$22)+SUMIF('JKP-8.5 - Migrated To'!$A$2:$A$22,'JKP-8.5 - Total Costs'!A196,'JKP-8.5 - Migrated To'!$F$2:$F$22)</f>
        <v>0</v>
      </c>
      <c r="G196" s="1141">
        <f>SUMIF('JKP-8.5 - CNSMREQP_GASMTRCTR'!$A$2:$A$391,'JKP-8.5 - Total Costs'!B196,'JKP-8.5 - CNSMREQP_GASMTRCTR'!$F$2:$F$391)-SUMIF('JKP-8.5 - Migrated From'!$A$2:$A$22,'JKP-8.5 - Total Costs'!B196,'JKP-8.5 - Migrated From'!$F$2:$F$22)+SUMIF('JKP-8.5 - Migrated To'!$A$2:$A$22,'JKP-8.5 - Total Costs'!B196,'JKP-8.5 - Migrated To'!$F$2:$F$22)</f>
        <v>5</v>
      </c>
      <c r="H196" s="1142">
        <f t="shared" si="20"/>
        <v>5</v>
      </c>
      <c r="I196" s="1143">
        <f>VLOOKUP($E196,'JKP-8.5 - Unit Costs'!$A$9:$H$33,2,FALSE)</f>
        <v>0</v>
      </c>
      <c r="J196" s="1143">
        <f>VLOOKUP($E196,'JKP-8.5 - Unit Costs'!$A$9:$H$33,5,FALSE)</f>
        <v>0</v>
      </c>
      <c r="K196" s="1143">
        <f>VLOOKUP($E196,'JKP-8.5 - Unit Costs'!$A$9:$H$33,3,FALSE)</f>
        <v>0</v>
      </c>
      <c r="L196" s="1143">
        <f>VLOOKUP($E196,'JKP-8.5 - Unit Costs'!$A$9:$H$33,6,FALSE)</f>
        <v>0</v>
      </c>
      <c r="M196" s="1143">
        <f>VLOOKUP($E196,'JKP-8.5 - Unit Costs'!$A$9:$H$33,8,FALSE)</f>
        <v>28159.37</v>
      </c>
      <c r="N196" s="1143">
        <f>VLOOKUP($E196,'JKP-8.5 - Unit Costs'!$A$9:$H$33,8,FALSE)</f>
        <v>28159.37</v>
      </c>
      <c r="O196" s="1144">
        <f t="shared" si="21"/>
        <v>0</v>
      </c>
      <c r="P196" s="1144">
        <f t="shared" si="21"/>
        <v>0</v>
      </c>
      <c r="Q196" s="1144">
        <f t="shared" si="22"/>
        <v>0</v>
      </c>
      <c r="R196" s="1144">
        <f t="shared" si="23"/>
        <v>0</v>
      </c>
      <c r="S196" s="1144">
        <f t="shared" si="23"/>
        <v>0</v>
      </c>
      <c r="T196" s="1144">
        <f t="shared" si="24"/>
        <v>0</v>
      </c>
      <c r="U196" s="1144">
        <f t="shared" si="25"/>
        <v>0</v>
      </c>
      <c r="V196" s="1144">
        <f t="shared" si="25"/>
        <v>140796.85</v>
      </c>
      <c r="W196" s="1145">
        <f t="shared" si="26"/>
        <v>140796.85</v>
      </c>
    </row>
    <row r="197" spans="1:23" x14ac:dyDescent="0.2">
      <c r="A197" s="1140" t="str">
        <f t="shared" si="18"/>
        <v>85TG-C 60000 AMR</v>
      </c>
      <c r="B197" s="1140" t="str">
        <f t="shared" si="19"/>
        <v xml:space="preserve">85TG-C 60000 </v>
      </c>
      <c r="C197" s="1140" t="s">
        <v>809</v>
      </c>
      <c r="D197" s="1140" t="s">
        <v>741</v>
      </c>
      <c r="E197" s="1140">
        <v>60000</v>
      </c>
      <c r="F197" s="1141">
        <f>SUMIF('JKP-8.5 - CNSMREQP_GASMTRCTR'!$A$2:$A$391,'JKP-8.5 - Total Costs'!A197,'JKP-8.5 - CNSMREQP_GASMTRCTR'!$F$2:$F$391)-SUMIF('JKP-8.5 - Migrated From'!$A$2:$A$22,'JKP-8.5 - Total Costs'!A197,'JKP-8.5 - Migrated From'!$F$2:$F$22)+SUMIF('JKP-8.5 - Migrated To'!$A$2:$A$22,'JKP-8.5 - Total Costs'!A197,'JKP-8.5 - Migrated To'!$F$2:$F$22)</f>
        <v>0</v>
      </c>
      <c r="G197" s="1141">
        <f>SUMIF('JKP-8.5 - CNSMREQP_GASMTRCTR'!$A$2:$A$391,'JKP-8.5 - Total Costs'!B197,'JKP-8.5 - CNSMREQP_GASMTRCTR'!$F$2:$F$391)-SUMIF('JKP-8.5 - Migrated From'!$A$2:$A$22,'JKP-8.5 - Total Costs'!B197,'JKP-8.5 - Migrated From'!$F$2:$F$22)+SUMIF('JKP-8.5 - Migrated To'!$A$2:$A$22,'JKP-8.5 - Total Costs'!B197,'JKP-8.5 - Migrated To'!$F$2:$F$22)</f>
        <v>4</v>
      </c>
      <c r="H197" s="1142">
        <f t="shared" si="20"/>
        <v>4</v>
      </c>
      <c r="I197" s="1143">
        <f>VLOOKUP($E197,'JKP-8.5 - Unit Costs'!$A$9:$H$33,2,FALSE)</f>
        <v>0</v>
      </c>
      <c r="J197" s="1143">
        <f>VLOOKUP($E197,'JKP-8.5 - Unit Costs'!$A$9:$H$33,5,FALSE)</f>
        <v>0</v>
      </c>
      <c r="K197" s="1143">
        <f>VLOOKUP($E197,'JKP-8.5 - Unit Costs'!$A$9:$H$33,3,FALSE)</f>
        <v>0</v>
      </c>
      <c r="L197" s="1143">
        <f>VLOOKUP($E197,'JKP-8.5 - Unit Costs'!$A$9:$H$33,6,FALSE)</f>
        <v>0</v>
      </c>
      <c r="M197" s="1143">
        <f>VLOOKUP($E197,'JKP-8.5 - Unit Costs'!$A$9:$H$33,8,FALSE)</f>
        <v>36556.269999999997</v>
      </c>
      <c r="N197" s="1143">
        <f>VLOOKUP($E197,'JKP-8.5 - Unit Costs'!$A$9:$H$33,8,FALSE)</f>
        <v>36556.269999999997</v>
      </c>
      <c r="O197" s="1144">
        <f t="shared" si="21"/>
        <v>0</v>
      </c>
      <c r="P197" s="1144">
        <f t="shared" si="21"/>
        <v>0</v>
      </c>
      <c r="Q197" s="1144">
        <f t="shared" si="22"/>
        <v>0</v>
      </c>
      <c r="R197" s="1144">
        <f t="shared" si="23"/>
        <v>0</v>
      </c>
      <c r="S197" s="1144">
        <f t="shared" si="23"/>
        <v>0</v>
      </c>
      <c r="T197" s="1144">
        <f t="shared" si="24"/>
        <v>0</v>
      </c>
      <c r="U197" s="1144">
        <f t="shared" si="25"/>
        <v>0</v>
      </c>
      <c r="V197" s="1144">
        <f t="shared" si="25"/>
        <v>146225.07999999999</v>
      </c>
      <c r="W197" s="1145">
        <f t="shared" si="26"/>
        <v>146225.07999999999</v>
      </c>
    </row>
    <row r="198" spans="1:23" x14ac:dyDescent="0.2">
      <c r="A198" s="1140" t="str">
        <f t="shared" si="18"/>
        <v>85TG-C 150000 AMR</v>
      </c>
      <c r="B198" s="1140" t="str">
        <f t="shared" si="19"/>
        <v xml:space="preserve">85TG-C 150000 </v>
      </c>
      <c r="C198" s="1140" t="s">
        <v>809</v>
      </c>
      <c r="D198" s="1140" t="s">
        <v>741</v>
      </c>
      <c r="E198" s="1140">
        <v>150000</v>
      </c>
      <c r="F198" s="1141">
        <f>SUMIF('JKP-8.5 - CNSMREQP_GASMTRCTR'!$A$2:$A$391,'JKP-8.5 - Total Costs'!A198,'JKP-8.5 - CNSMREQP_GASMTRCTR'!$F$2:$F$391)-SUMIF('JKP-8.5 - Migrated From'!$A$2:$A$22,'JKP-8.5 - Total Costs'!A198,'JKP-8.5 - Migrated From'!$F$2:$F$22)+SUMIF('JKP-8.5 - Migrated To'!$A$2:$A$22,'JKP-8.5 - Total Costs'!A198,'JKP-8.5 - Migrated To'!$F$2:$F$22)</f>
        <v>0</v>
      </c>
      <c r="G198" s="1141">
        <f>SUMIF('JKP-8.5 - CNSMREQP_GASMTRCTR'!$A$2:$A$391,'JKP-8.5 - Total Costs'!B198,'JKP-8.5 - CNSMREQP_GASMTRCTR'!$F$2:$F$391)-SUMIF('JKP-8.5 - Migrated From'!$A$2:$A$22,'JKP-8.5 - Total Costs'!B198,'JKP-8.5 - Migrated From'!$F$2:$F$22)+SUMIF('JKP-8.5 - Migrated To'!$A$2:$A$22,'JKP-8.5 - Total Costs'!B198,'JKP-8.5 - Migrated To'!$F$2:$F$22)</f>
        <v>1</v>
      </c>
      <c r="H198" s="1142">
        <f t="shared" si="20"/>
        <v>1</v>
      </c>
      <c r="I198" s="1143">
        <f>VLOOKUP($E198,'JKP-8.5 - Unit Costs'!$A$9:$H$33,2,FALSE)</f>
        <v>0</v>
      </c>
      <c r="J198" s="1143">
        <f>VLOOKUP($E198,'JKP-8.5 - Unit Costs'!$A$9:$H$33,5,FALSE)</f>
        <v>0</v>
      </c>
      <c r="K198" s="1143">
        <f>VLOOKUP($E198,'JKP-8.5 - Unit Costs'!$A$9:$H$33,3,FALSE)</f>
        <v>0</v>
      </c>
      <c r="L198" s="1143">
        <f>VLOOKUP($E198,'JKP-8.5 - Unit Costs'!$A$9:$H$33,6,FALSE)</f>
        <v>0</v>
      </c>
      <c r="M198" s="1143">
        <f>VLOOKUP($E198,'JKP-8.5 - Unit Costs'!$A$9:$H$33,8,FALSE)</f>
        <v>45158.289999999994</v>
      </c>
      <c r="N198" s="1143">
        <f>VLOOKUP($E198,'JKP-8.5 - Unit Costs'!$A$9:$H$33,8,FALSE)</f>
        <v>45158.289999999994</v>
      </c>
      <c r="O198" s="1144">
        <f t="shared" si="21"/>
        <v>0</v>
      </c>
      <c r="P198" s="1144">
        <f t="shared" si="21"/>
        <v>0</v>
      </c>
      <c r="Q198" s="1144">
        <f t="shared" si="22"/>
        <v>0</v>
      </c>
      <c r="R198" s="1144">
        <f t="shared" si="23"/>
        <v>0</v>
      </c>
      <c r="S198" s="1144">
        <f t="shared" si="23"/>
        <v>0</v>
      </c>
      <c r="T198" s="1144">
        <f t="shared" si="24"/>
        <v>0</v>
      </c>
      <c r="U198" s="1144">
        <f t="shared" si="25"/>
        <v>0</v>
      </c>
      <c r="V198" s="1144">
        <f t="shared" si="25"/>
        <v>45158.289999999994</v>
      </c>
      <c r="W198" s="1145">
        <f t="shared" si="26"/>
        <v>45158.289999999994</v>
      </c>
    </row>
    <row r="199" spans="1:23" x14ac:dyDescent="0.2">
      <c r="A199" s="1140" t="str">
        <f t="shared" si="18"/>
        <v>85TG-I 1000 AMR</v>
      </c>
      <c r="B199" s="1140" t="str">
        <f t="shared" si="19"/>
        <v xml:space="preserve">85TG-I 1000 </v>
      </c>
      <c r="C199" s="1140" t="s">
        <v>809</v>
      </c>
      <c r="D199" s="1140" t="s">
        <v>742</v>
      </c>
      <c r="E199" s="1140">
        <v>1000</v>
      </c>
      <c r="F199" s="1141">
        <f>SUMIF('JKP-8.5 - CNSMREQP_GASMTRCTR'!$A$2:$A$391,'JKP-8.5 - Total Costs'!A199,'JKP-8.5 - CNSMREQP_GASMTRCTR'!$F$2:$F$391)-SUMIF('JKP-8.5 - Migrated From'!$A$2:$A$22,'JKP-8.5 - Total Costs'!A199,'JKP-8.5 - Migrated From'!$F$2:$F$22)+SUMIF('JKP-8.5 - Migrated To'!$A$2:$A$22,'JKP-8.5 - Total Costs'!A199,'JKP-8.5 - Migrated To'!$F$2:$F$22)</f>
        <v>1</v>
      </c>
      <c r="G199" s="1141">
        <f>SUMIF('JKP-8.5 - CNSMREQP_GASMTRCTR'!$A$2:$A$391,'JKP-8.5 - Total Costs'!B199,'JKP-8.5 - CNSMREQP_GASMTRCTR'!$F$2:$F$391)-SUMIF('JKP-8.5 - Migrated From'!$A$2:$A$22,'JKP-8.5 - Total Costs'!B199,'JKP-8.5 - Migrated From'!$F$2:$F$22)+SUMIF('JKP-8.5 - Migrated To'!$A$2:$A$22,'JKP-8.5 - Total Costs'!B199,'JKP-8.5 - Migrated To'!$F$2:$F$22)</f>
        <v>0</v>
      </c>
      <c r="H199" s="1142">
        <f t="shared" si="20"/>
        <v>1</v>
      </c>
      <c r="I199" s="1143">
        <f>VLOOKUP($E199,'JKP-8.5 - Unit Costs'!$A$9:$H$33,2,FALSE)</f>
        <v>1404.86</v>
      </c>
      <c r="J199" s="1143">
        <f>VLOOKUP($E199,'JKP-8.5 - Unit Costs'!$A$9:$H$33,5,FALSE)</f>
        <v>1063.1500000000001</v>
      </c>
      <c r="K199" s="1143">
        <f>VLOOKUP($E199,'JKP-8.5 - Unit Costs'!$A$9:$H$33,3,FALSE)</f>
        <v>41.76</v>
      </c>
      <c r="L199" s="1143">
        <f>VLOOKUP($E199,'JKP-8.5 - Unit Costs'!$A$9:$H$33,6,FALSE)</f>
        <v>41.76</v>
      </c>
      <c r="M199" s="1143">
        <f>VLOOKUP($E199,'JKP-8.5 - Unit Costs'!$A$9:$H$33,8,FALSE)</f>
        <v>0</v>
      </c>
      <c r="N199" s="1143">
        <f>VLOOKUP($E199,'JKP-8.5 - Unit Costs'!$A$9:$H$33,8,FALSE)</f>
        <v>0</v>
      </c>
      <c r="O199" s="1144">
        <f t="shared" si="21"/>
        <v>1404.86</v>
      </c>
      <c r="P199" s="1144">
        <f t="shared" si="21"/>
        <v>0</v>
      </c>
      <c r="Q199" s="1144">
        <f t="shared" si="22"/>
        <v>1404.86</v>
      </c>
      <c r="R199" s="1144">
        <f t="shared" si="23"/>
        <v>41.76</v>
      </c>
      <c r="S199" s="1144">
        <f t="shared" si="23"/>
        <v>0</v>
      </c>
      <c r="T199" s="1144">
        <f t="shared" si="24"/>
        <v>41.76</v>
      </c>
      <c r="U199" s="1144">
        <f t="shared" si="25"/>
        <v>0</v>
      </c>
      <c r="V199" s="1144">
        <f t="shared" si="25"/>
        <v>0</v>
      </c>
      <c r="W199" s="1145">
        <f t="shared" si="26"/>
        <v>0</v>
      </c>
    </row>
    <row r="200" spans="1:23" x14ac:dyDescent="0.2">
      <c r="A200" s="1140" t="str">
        <f t="shared" si="18"/>
        <v>85TG-I 1400 AMR</v>
      </c>
      <c r="B200" s="1140" t="str">
        <f t="shared" si="19"/>
        <v xml:space="preserve">85TG-I 1400 </v>
      </c>
      <c r="C200" s="1140" t="s">
        <v>809</v>
      </c>
      <c r="D200" s="1140" t="s">
        <v>742</v>
      </c>
      <c r="E200" s="1140">
        <v>1400</v>
      </c>
      <c r="F200" s="1141">
        <f>SUMIF('JKP-8.5 - CNSMREQP_GASMTRCTR'!$A$2:$A$391,'JKP-8.5 - Total Costs'!A200,'JKP-8.5 - CNSMREQP_GASMTRCTR'!$F$2:$F$391)-SUMIF('JKP-8.5 - Migrated From'!$A$2:$A$22,'JKP-8.5 - Total Costs'!A200,'JKP-8.5 - Migrated From'!$F$2:$F$22)+SUMIF('JKP-8.5 - Migrated To'!$A$2:$A$22,'JKP-8.5 - Total Costs'!A200,'JKP-8.5 - Migrated To'!$F$2:$F$22)</f>
        <v>0</v>
      </c>
      <c r="G200" s="1141">
        <f>SUMIF('JKP-8.5 - CNSMREQP_GASMTRCTR'!$A$2:$A$391,'JKP-8.5 - Total Costs'!B200,'JKP-8.5 - CNSMREQP_GASMTRCTR'!$F$2:$F$391)-SUMIF('JKP-8.5 - Migrated From'!$A$2:$A$22,'JKP-8.5 - Total Costs'!B200,'JKP-8.5 - Migrated From'!$F$2:$F$22)+SUMIF('JKP-8.5 - Migrated To'!$A$2:$A$22,'JKP-8.5 - Total Costs'!B200,'JKP-8.5 - Migrated To'!$F$2:$F$22)</f>
        <v>0</v>
      </c>
      <c r="H200" s="1142">
        <f t="shared" si="20"/>
        <v>0</v>
      </c>
      <c r="I200" s="1143">
        <f>VLOOKUP($E200,'JKP-8.5 - Unit Costs'!$A$9:$H$33,2,FALSE)</f>
        <v>0</v>
      </c>
      <c r="J200" s="1143">
        <f>VLOOKUP($E200,'JKP-8.5 - Unit Costs'!$A$9:$H$33,5,FALSE)</f>
        <v>0</v>
      </c>
      <c r="K200" s="1143">
        <f>VLOOKUP($E200,'JKP-8.5 - Unit Costs'!$A$9:$H$33,3,FALSE)</f>
        <v>0</v>
      </c>
      <c r="L200" s="1143">
        <f>VLOOKUP($E200,'JKP-8.5 - Unit Costs'!$A$9:$H$33,6,FALSE)</f>
        <v>0</v>
      </c>
      <c r="M200" s="1143">
        <f>VLOOKUP($E200,'JKP-8.5 - Unit Costs'!$A$9:$H$33,8,FALSE)</f>
        <v>2379.79</v>
      </c>
      <c r="N200" s="1143">
        <f>VLOOKUP($E200,'JKP-8.5 - Unit Costs'!$A$9:$H$33,8,FALSE)</f>
        <v>2379.79</v>
      </c>
      <c r="O200" s="1144">
        <f t="shared" si="21"/>
        <v>0</v>
      </c>
      <c r="P200" s="1144">
        <f t="shared" si="21"/>
        <v>0</v>
      </c>
      <c r="Q200" s="1144">
        <f t="shared" si="22"/>
        <v>0</v>
      </c>
      <c r="R200" s="1144">
        <f t="shared" si="23"/>
        <v>0</v>
      </c>
      <c r="S200" s="1144">
        <f t="shared" si="23"/>
        <v>0</v>
      </c>
      <c r="T200" s="1144">
        <f t="shared" si="24"/>
        <v>0</v>
      </c>
      <c r="U200" s="1144">
        <f t="shared" si="25"/>
        <v>0</v>
      </c>
      <c r="V200" s="1144">
        <f t="shared" si="25"/>
        <v>0</v>
      </c>
      <c r="W200" s="1145">
        <f t="shared" si="26"/>
        <v>0</v>
      </c>
    </row>
    <row r="201" spans="1:23" x14ac:dyDescent="0.2">
      <c r="A201" s="1140" t="str">
        <f t="shared" si="18"/>
        <v>85TG-I 3000 AMR</v>
      </c>
      <c r="B201" s="1140" t="str">
        <f t="shared" si="19"/>
        <v xml:space="preserve">85TG-I 3000 </v>
      </c>
      <c r="C201" s="1140" t="s">
        <v>809</v>
      </c>
      <c r="D201" s="1140" t="s">
        <v>742</v>
      </c>
      <c r="E201" s="1140">
        <v>3000</v>
      </c>
      <c r="F201" s="1141">
        <f>SUMIF('JKP-8.5 - CNSMREQP_GASMTRCTR'!$A$2:$A$391,'JKP-8.5 - Total Costs'!A201,'JKP-8.5 - CNSMREQP_GASMTRCTR'!$F$2:$F$391)-SUMIF('JKP-8.5 - Migrated From'!$A$2:$A$22,'JKP-8.5 - Total Costs'!A201,'JKP-8.5 - Migrated From'!$F$2:$F$22)+SUMIF('JKP-8.5 - Migrated To'!$A$2:$A$22,'JKP-8.5 - Total Costs'!A201,'JKP-8.5 - Migrated To'!$F$2:$F$22)</f>
        <v>0</v>
      </c>
      <c r="G201" s="1141">
        <f>SUMIF('JKP-8.5 - CNSMREQP_GASMTRCTR'!$A$2:$A$391,'JKP-8.5 - Total Costs'!B201,'JKP-8.5 - CNSMREQP_GASMTRCTR'!$F$2:$F$391)-SUMIF('JKP-8.5 - Migrated From'!$A$2:$A$22,'JKP-8.5 - Total Costs'!B201,'JKP-8.5 - Migrated From'!$F$2:$F$22)+SUMIF('JKP-8.5 - Migrated To'!$A$2:$A$22,'JKP-8.5 - Total Costs'!B201,'JKP-8.5 - Migrated To'!$F$2:$F$22)</f>
        <v>5</v>
      </c>
      <c r="H201" s="1142">
        <f t="shared" si="20"/>
        <v>5</v>
      </c>
      <c r="I201" s="1143">
        <f>VLOOKUP($E201,'JKP-8.5 - Unit Costs'!$A$9:$H$33,2,FALSE)</f>
        <v>0</v>
      </c>
      <c r="J201" s="1143">
        <f>VLOOKUP($E201,'JKP-8.5 - Unit Costs'!$A$9:$H$33,5,FALSE)</f>
        <v>0</v>
      </c>
      <c r="K201" s="1143">
        <f>VLOOKUP($E201,'JKP-8.5 - Unit Costs'!$A$9:$H$33,3,FALSE)</f>
        <v>0</v>
      </c>
      <c r="L201" s="1143">
        <f>VLOOKUP($E201,'JKP-8.5 - Unit Costs'!$A$9:$H$33,6,FALSE)</f>
        <v>0</v>
      </c>
      <c r="M201" s="1143">
        <f>VLOOKUP($E201,'JKP-8.5 - Unit Costs'!$A$9:$H$33,8,FALSE)</f>
        <v>3406.19</v>
      </c>
      <c r="N201" s="1143">
        <f>VLOOKUP($E201,'JKP-8.5 - Unit Costs'!$A$9:$H$33,8,FALSE)</f>
        <v>3406.19</v>
      </c>
      <c r="O201" s="1144">
        <f t="shared" si="21"/>
        <v>0</v>
      </c>
      <c r="P201" s="1144">
        <f t="shared" si="21"/>
        <v>0</v>
      </c>
      <c r="Q201" s="1144">
        <f t="shared" si="22"/>
        <v>0</v>
      </c>
      <c r="R201" s="1144">
        <f t="shared" si="23"/>
        <v>0</v>
      </c>
      <c r="S201" s="1144">
        <f t="shared" si="23"/>
        <v>0</v>
      </c>
      <c r="T201" s="1144">
        <f t="shared" si="24"/>
        <v>0</v>
      </c>
      <c r="U201" s="1144">
        <f t="shared" si="25"/>
        <v>0</v>
      </c>
      <c r="V201" s="1144">
        <f t="shared" si="25"/>
        <v>17030.95</v>
      </c>
      <c r="W201" s="1145">
        <f t="shared" si="26"/>
        <v>17030.95</v>
      </c>
    </row>
    <row r="202" spans="1:23" x14ac:dyDescent="0.2">
      <c r="A202" s="1140" t="str">
        <f t="shared" si="18"/>
        <v>85TG-I 5000 AMR</v>
      </c>
      <c r="B202" s="1140" t="str">
        <f t="shared" si="19"/>
        <v xml:space="preserve">85TG-I 5000 </v>
      </c>
      <c r="C202" s="1140" t="s">
        <v>809</v>
      </c>
      <c r="D202" s="1140" t="s">
        <v>742</v>
      </c>
      <c r="E202" s="1140">
        <v>5000</v>
      </c>
      <c r="F202" s="1141">
        <f>SUMIF('JKP-8.5 - CNSMREQP_GASMTRCTR'!$A$2:$A$391,'JKP-8.5 - Total Costs'!A202,'JKP-8.5 - CNSMREQP_GASMTRCTR'!$F$2:$F$391)-SUMIF('JKP-8.5 - Migrated From'!$A$2:$A$22,'JKP-8.5 - Total Costs'!A202,'JKP-8.5 - Migrated From'!$F$2:$F$22)+SUMIF('JKP-8.5 - Migrated To'!$A$2:$A$22,'JKP-8.5 - Total Costs'!A202,'JKP-8.5 - Migrated To'!$F$2:$F$22)</f>
        <v>2</v>
      </c>
      <c r="G202" s="1141">
        <f>SUMIF('JKP-8.5 - CNSMREQP_GASMTRCTR'!$A$2:$A$391,'JKP-8.5 - Total Costs'!B202,'JKP-8.5 - CNSMREQP_GASMTRCTR'!$F$2:$F$391)-SUMIF('JKP-8.5 - Migrated From'!$A$2:$A$22,'JKP-8.5 - Total Costs'!B202,'JKP-8.5 - Migrated From'!$F$2:$F$22)+SUMIF('JKP-8.5 - Migrated To'!$A$2:$A$22,'JKP-8.5 - Total Costs'!B202,'JKP-8.5 - Migrated To'!$F$2:$F$22)</f>
        <v>2</v>
      </c>
      <c r="H202" s="1142">
        <f t="shared" si="20"/>
        <v>4</v>
      </c>
      <c r="I202" s="1143">
        <f>VLOOKUP($E202,'JKP-8.5 - Unit Costs'!$A$9:$H$33,2,FALSE)</f>
        <v>0</v>
      </c>
      <c r="J202" s="1143">
        <f>VLOOKUP($E202,'JKP-8.5 - Unit Costs'!$A$9:$H$33,5,FALSE)</f>
        <v>0</v>
      </c>
      <c r="K202" s="1143">
        <f>VLOOKUP($E202,'JKP-8.5 - Unit Costs'!$A$9:$H$33,3,FALSE)</f>
        <v>0</v>
      </c>
      <c r="L202" s="1143">
        <f>VLOOKUP($E202,'JKP-8.5 - Unit Costs'!$A$9:$H$33,6,FALSE)</f>
        <v>0</v>
      </c>
      <c r="M202" s="1143">
        <f>VLOOKUP($E202,'JKP-8.5 - Unit Costs'!$A$9:$H$33,8,FALSE)</f>
        <v>3456.43</v>
      </c>
      <c r="N202" s="1143">
        <f>VLOOKUP($E202,'JKP-8.5 - Unit Costs'!$A$9:$H$33,8,FALSE)</f>
        <v>3456.43</v>
      </c>
      <c r="O202" s="1144">
        <f t="shared" si="21"/>
        <v>0</v>
      </c>
      <c r="P202" s="1144">
        <f t="shared" si="21"/>
        <v>0</v>
      </c>
      <c r="Q202" s="1144">
        <f t="shared" si="22"/>
        <v>0</v>
      </c>
      <c r="R202" s="1144">
        <f t="shared" si="23"/>
        <v>0</v>
      </c>
      <c r="S202" s="1144">
        <f t="shared" si="23"/>
        <v>0</v>
      </c>
      <c r="T202" s="1144">
        <f t="shared" si="24"/>
        <v>0</v>
      </c>
      <c r="U202" s="1144">
        <f t="shared" si="25"/>
        <v>6912.86</v>
      </c>
      <c r="V202" s="1144">
        <f t="shared" si="25"/>
        <v>6912.86</v>
      </c>
      <c r="W202" s="1145">
        <f t="shared" si="26"/>
        <v>13825.72</v>
      </c>
    </row>
    <row r="203" spans="1:23" x14ac:dyDescent="0.2">
      <c r="A203" s="1140" t="str">
        <f t="shared" si="18"/>
        <v>85TG-I 7000 AMR</v>
      </c>
      <c r="B203" s="1140" t="str">
        <f t="shared" si="19"/>
        <v xml:space="preserve">85TG-I 7000 </v>
      </c>
      <c r="C203" s="1140" t="s">
        <v>809</v>
      </c>
      <c r="D203" s="1140" t="s">
        <v>742</v>
      </c>
      <c r="E203" s="1140">
        <v>7000</v>
      </c>
      <c r="F203" s="1141">
        <f>SUMIF('JKP-8.5 - CNSMREQP_GASMTRCTR'!$A$2:$A$391,'JKP-8.5 - Total Costs'!A203,'JKP-8.5 - CNSMREQP_GASMTRCTR'!$F$2:$F$391)-SUMIF('JKP-8.5 - Migrated From'!$A$2:$A$22,'JKP-8.5 - Total Costs'!A203,'JKP-8.5 - Migrated From'!$F$2:$F$22)+SUMIF('JKP-8.5 - Migrated To'!$A$2:$A$22,'JKP-8.5 - Total Costs'!A203,'JKP-8.5 - Migrated To'!$F$2:$F$22)</f>
        <v>1</v>
      </c>
      <c r="G203" s="1141">
        <f>SUMIF('JKP-8.5 - CNSMREQP_GASMTRCTR'!$A$2:$A$391,'JKP-8.5 - Total Costs'!B203,'JKP-8.5 - CNSMREQP_GASMTRCTR'!$F$2:$F$391)-SUMIF('JKP-8.5 - Migrated From'!$A$2:$A$22,'JKP-8.5 - Total Costs'!B203,'JKP-8.5 - Migrated From'!$F$2:$F$22)+SUMIF('JKP-8.5 - Migrated To'!$A$2:$A$22,'JKP-8.5 - Total Costs'!B203,'JKP-8.5 - Migrated To'!$F$2:$F$22)</f>
        <v>1</v>
      </c>
      <c r="H203" s="1142">
        <f t="shared" si="20"/>
        <v>2</v>
      </c>
      <c r="I203" s="1143">
        <f>VLOOKUP($E203,'JKP-8.5 - Unit Costs'!$A$9:$H$33,2,FALSE)</f>
        <v>0</v>
      </c>
      <c r="J203" s="1143">
        <f>VLOOKUP($E203,'JKP-8.5 - Unit Costs'!$A$9:$H$33,5,FALSE)</f>
        <v>0</v>
      </c>
      <c r="K203" s="1143">
        <f>VLOOKUP($E203,'JKP-8.5 - Unit Costs'!$A$9:$H$33,3,FALSE)</f>
        <v>0</v>
      </c>
      <c r="L203" s="1143">
        <f>VLOOKUP($E203,'JKP-8.5 - Unit Costs'!$A$9:$H$33,6,FALSE)</f>
        <v>0</v>
      </c>
      <c r="M203" s="1143">
        <f>VLOOKUP($E203,'JKP-8.5 - Unit Costs'!$A$9:$H$33,8,FALSE)</f>
        <v>3458.4399999999996</v>
      </c>
      <c r="N203" s="1143">
        <f>VLOOKUP($E203,'JKP-8.5 - Unit Costs'!$A$9:$H$33,8,FALSE)</f>
        <v>3458.4399999999996</v>
      </c>
      <c r="O203" s="1144">
        <f t="shared" si="21"/>
        <v>0</v>
      </c>
      <c r="P203" s="1144">
        <f t="shared" si="21"/>
        <v>0</v>
      </c>
      <c r="Q203" s="1144">
        <f t="shared" si="22"/>
        <v>0</v>
      </c>
      <c r="R203" s="1144">
        <f t="shared" si="23"/>
        <v>0</v>
      </c>
      <c r="S203" s="1144">
        <f t="shared" si="23"/>
        <v>0</v>
      </c>
      <c r="T203" s="1144">
        <f t="shared" si="24"/>
        <v>0</v>
      </c>
      <c r="U203" s="1144">
        <f t="shared" si="25"/>
        <v>3458.4399999999996</v>
      </c>
      <c r="V203" s="1144">
        <f t="shared" si="25"/>
        <v>3458.4399999999996</v>
      </c>
      <c r="W203" s="1145">
        <f t="shared" si="26"/>
        <v>6916.8799999999992</v>
      </c>
    </row>
    <row r="204" spans="1:23" x14ac:dyDescent="0.2">
      <c r="A204" s="1140" t="str">
        <f t="shared" si="18"/>
        <v>85TG-I 11000 AMR</v>
      </c>
      <c r="B204" s="1140" t="str">
        <f t="shared" si="19"/>
        <v xml:space="preserve">85TG-I 11000 </v>
      </c>
      <c r="C204" s="1140" t="s">
        <v>809</v>
      </c>
      <c r="D204" s="1140" t="s">
        <v>742</v>
      </c>
      <c r="E204" s="1140">
        <v>11000</v>
      </c>
      <c r="F204" s="1141">
        <f>SUMIF('JKP-8.5 - CNSMREQP_GASMTRCTR'!$A$2:$A$391,'JKP-8.5 - Total Costs'!A204,'JKP-8.5 - CNSMREQP_GASMTRCTR'!$F$2:$F$391)-SUMIF('JKP-8.5 - Migrated From'!$A$2:$A$22,'JKP-8.5 - Total Costs'!A204,'JKP-8.5 - Migrated From'!$F$2:$F$22)+SUMIF('JKP-8.5 - Migrated To'!$A$2:$A$22,'JKP-8.5 - Total Costs'!A204,'JKP-8.5 - Migrated To'!$F$2:$F$22)</f>
        <v>2</v>
      </c>
      <c r="G204" s="1141">
        <f>SUMIF('JKP-8.5 - CNSMREQP_GASMTRCTR'!$A$2:$A$391,'JKP-8.5 - Total Costs'!B204,'JKP-8.5 - CNSMREQP_GASMTRCTR'!$F$2:$F$391)-SUMIF('JKP-8.5 - Migrated From'!$A$2:$A$22,'JKP-8.5 - Total Costs'!B204,'JKP-8.5 - Migrated From'!$F$2:$F$22)+SUMIF('JKP-8.5 - Migrated To'!$A$2:$A$22,'JKP-8.5 - Total Costs'!B204,'JKP-8.5 - Migrated To'!$F$2:$F$22)</f>
        <v>11</v>
      </c>
      <c r="H204" s="1142">
        <f t="shared" si="20"/>
        <v>13</v>
      </c>
      <c r="I204" s="1143">
        <f>VLOOKUP($E204,'JKP-8.5 - Unit Costs'!$A$9:$H$33,2,FALSE)</f>
        <v>0</v>
      </c>
      <c r="J204" s="1143">
        <f>VLOOKUP($E204,'JKP-8.5 - Unit Costs'!$A$9:$H$33,5,FALSE)</f>
        <v>0</v>
      </c>
      <c r="K204" s="1143">
        <f>VLOOKUP($E204,'JKP-8.5 - Unit Costs'!$A$9:$H$33,3,FALSE)</f>
        <v>0</v>
      </c>
      <c r="L204" s="1143">
        <f>VLOOKUP($E204,'JKP-8.5 - Unit Costs'!$A$9:$H$33,6,FALSE)</f>
        <v>0</v>
      </c>
      <c r="M204" s="1143">
        <f>VLOOKUP($E204,'JKP-8.5 - Unit Costs'!$A$9:$H$33,8,FALSE)</f>
        <v>5835.1900000000005</v>
      </c>
      <c r="N204" s="1143">
        <f>VLOOKUP($E204,'JKP-8.5 - Unit Costs'!$A$9:$H$33,8,FALSE)</f>
        <v>5835.1900000000005</v>
      </c>
      <c r="O204" s="1144">
        <f t="shared" si="21"/>
        <v>0</v>
      </c>
      <c r="P204" s="1144">
        <f t="shared" si="21"/>
        <v>0</v>
      </c>
      <c r="Q204" s="1144">
        <f t="shared" si="22"/>
        <v>0</v>
      </c>
      <c r="R204" s="1144">
        <f t="shared" si="23"/>
        <v>0</v>
      </c>
      <c r="S204" s="1144">
        <f t="shared" si="23"/>
        <v>0</v>
      </c>
      <c r="T204" s="1144">
        <f t="shared" si="24"/>
        <v>0</v>
      </c>
      <c r="U204" s="1144">
        <f t="shared" si="25"/>
        <v>11670.380000000001</v>
      </c>
      <c r="V204" s="1144">
        <f t="shared" si="25"/>
        <v>64187.090000000004</v>
      </c>
      <c r="W204" s="1145">
        <f t="shared" si="26"/>
        <v>75857.47</v>
      </c>
    </row>
    <row r="205" spans="1:23" x14ac:dyDescent="0.2">
      <c r="A205" s="1140" t="str">
        <f t="shared" ref="A205:A261" si="27">D205&amp;" "&amp;E205&amp;" "&amp;$A$6</f>
        <v>85TG-I 16000 AMR</v>
      </c>
      <c r="B205" s="1140" t="str">
        <f t="shared" ref="B205:B261" si="28">D205&amp;" "&amp;E205&amp;" "&amp;$G$5</f>
        <v xml:space="preserve">85TG-I 16000 </v>
      </c>
      <c r="C205" s="1140" t="s">
        <v>809</v>
      </c>
      <c r="D205" s="1140" t="s">
        <v>742</v>
      </c>
      <c r="E205" s="1140">
        <v>16000</v>
      </c>
      <c r="F205" s="1141">
        <f>SUMIF('JKP-8.5 - CNSMREQP_GASMTRCTR'!$A$2:$A$391,'JKP-8.5 - Total Costs'!A205,'JKP-8.5 - CNSMREQP_GASMTRCTR'!$F$2:$F$391)-SUMIF('JKP-8.5 - Migrated From'!$A$2:$A$22,'JKP-8.5 - Total Costs'!A205,'JKP-8.5 - Migrated From'!$F$2:$F$22)+SUMIF('JKP-8.5 - Migrated To'!$A$2:$A$22,'JKP-8.5 - Total Costs'!A205,'JKP-8.5 - Migrated To'!$F$2:$F$22)</f>
        <v>0</v>
      </c>
      <c r="G205" s="1141">
        <f>SUMIF('JKP-8.5 - CNSMREQP_GASMTRCTR'!$A$2:$A$391,'JKP-8.5 - Total Costs'!B205,'JKP-8.5 - CNSMREQP_GASMTRCTR'!$F$2:$F$391)-SUMIF('JKP-8.5 - Migrated From'!$A$2:$A$22,'JKP-8.5 - Total Costs'!B205,'JKP-8.5 - Migrated From'!$F$2:$F$22)+SUMIF('JKP-8.5 - Migrated To'!$A$2:$A$22,'JKP-8.5 - Total Costs'!B205,'JKP-8.5 - Migrated To'!$F$2:$F$22)</f>
        <v>18</v>
      </c>
      <c r="H205" s="1142">
        <f t="shared" ref="H205:H261" si="29">F205+G205</f>
        <v>18</v>
      </c>
      <c r="I205" s="1143">
        <f>VLOOKUP($E205,'JKP-8.5 - Unit Costs'!$A$9:$H$33,2,FALSE)</f>
        <v>0</v>
      </c>
      <c r="J205" s="1143">
        <f>VLOOKUP($E205,'JKP-8.5 - Unit Costs'!$A$9:$H$33,5,FALSE)</f>
        <v>0</v>
      </c>
      <c r="K205" s="1143">
        <f>VLOOKUP($E205,'JKP-8.5 - Unit Costs'!$A$9:$H$33,3,FALSE)</f>
        <v>0</v>
      </c>
      <c r="L205" s="1143">
        <f>VLOOKUP($E205,'JKP-8.5 - Unit Costs'!$A$9:$H$33,6,FALSE)</f>
        <v>0</v>
      </c>
      <c r="M205" s="1143">
        <f>VLOOKUP($E205,'JKP-8.5 - Unit Costs'!$A$9:$H$33,8,FALSE)</f>
        <v>8983.2999999999993</v>
      </c>
      <c r="N205" s="1143">
        <f>VLOOKUP($E205,'JKP-8.5 - Unit Costs'!$A$9:$H$33,8,FALSE)</f>
        <v>8983.2999999999993</v>
      </c>
      <c r="O205" s="1144">
        <f t="shared" ref="O205:P261" si="30">I205*F205</f>
        <v>0</v>
      </c>
      <c r="P205" s="1144">
        <f t="shared" si="30"/>
        <v>0</v>
      </c>
      <c r="Q205" s="1144">
        <f t="shared" ref="Q205:Q261" si="31">P205+O205</f>
        <v>0</v>
      </c>
      <c r="R205" s="1144">
        <f t="shared" ref="R205:S261" si="32">K205*F205</f>
        <v>0</v>
      </c>
      <c r="S205" s="1144">
        <f t="shared" si="32"/>
        <v>0</v>
      </c>
      <c r="T205" s="1144">
        <f t="shared" ref="T205:T261" si="33">S205+R205</f>
        <v>0</v>
      </c>
      <c r="U205" s="1144">
        <f t="shared" ref="U205:V261" si="34">M205*F205</f>
        <v>0</v>
      </c>
      <c r="V205" s="1144">
        <f t="shared" si="34"/>
        <v>161699.4</v>
      </c>
      <c r="W205" s="1145">
        <f t="shared" ref="W205:W261" si="35">V205+U205</f>
        <v>161699.4</v>
      </c>
    </row>
    <row r="206" spans="1:23" x14ac:dyDescent="0.2">
      <c r="A206" s="1140" t="str">
        <f t="shared" si="27"/>
        <v>85TG-I 18000 AMR</v>
      </c>
      <c r="B206" s="1140" t="str">
        <f t="shared" si="28"/>
        <v xml:space="preserve">85TG-I 18000 </v>
      </c>
      <c r="C206" s="1140" t="s">
        <v>809</v>
      </c>
      <c r="D206" s="1140" t="s">
        <v>742</v>
      </c>
      <c r="E206" s="1140">
        <v>18000</v>
      </c>
      <c r="F206" s="1141">
        <f>SUMIF('JKP-8.5 - CNSMREQP_GASMTRCTR'!$A$2:$A$391,'JKP-8.5 - Total Costs'!A206,'JKP-8.5 - CNSMREQP_GASMTRCTR'!$F$2:$F$391)-SUMIF('JKP-8.5 - Migrated From'!$A$2:$A$22,'JKP-8.5 - Total Costs'!A206,'JKP-8.5 - Migrated From'!$F$2:$F$22)+SUMIF('JKP-8.5 - Migrated To'!$A$2:$A$22,'JKP-8.5 - Total Costs'!A206,'JKP-8.5 - Migrated To'!$F$2:$F$22)</f>
        <v>0</v>
      </c>
      <c r="G206" s="1141">
        <f>SUMIF('JKP-8.5 - CNSMREQP_GASMTRCTR'!$A$2:$A$391,'JKP-8.5 - Total Costs'!B206,'JKP-8.5 - CNSMREQP_GASMTRCTR'!$F$2:$F$391)-SUMIF('JKP-8.5 - Migrated From'!$A$2:$A$22,'JKP-8.5 - Total Costs'!B206,'JKP-8.5 - Migrated From'!$F$2:$F$22)+SUMIF('JKP-8.5 - Migrated To'!$A$2:$A$22,'JKP-8.5 - Total Costs'!B206,'JKP-8.5 - Migrated To'!$F$2:$F$22)</f>
        <v>4</v>
      </c>
      <c r="H206" s="1142">
        <f t="shared" si="29"/>
        <v>4</v>
      </c>
      <c r="I206" s="1143">
        <f>VLOOKUP($E206,'JKP-8.5 - Unit Costs'!$A$9:$H$33,2,FALSE)</f>
        <v>0</v>
      </c>
      <c r="J206" s="1143">
        <f>VLOOKUP($E206,'JKP-8.5 - Unit Costs'!$A$9:$H$33,5,FALSE)</f>
        <v>0</v>
      </c>
      <c r="K206" s="1143">
        <f>VLOOKUP($E206,'JKP-8.5 - Unit Costs'!$A$9:$H$33,3,FALSE)</f>
        <v>0</v>
      </c>
      <c r="L206" s="1143">
        <f>VLOOKUP($E206,'JKP-8.5 - Unit Costs'!$A$9:$H$33,6,FALSE)</f>
        <v>0</v>
      </c>
      <c r="M206" s="1143">
        <f>VLOOKUP($E206,'JKP-8.5 - Unit Costs'!$A$9:$H$33,8,FALSE)</f>
        <v>8412.5300000000007</v>
      </c>
      <c r="N206" s="1143">
        <f>VLOOKUP($E206,'JKP-8.5 - Unit Costs'!$A$9:$H$33,8,FALSE)</f>
        <v>8412.5300000000007</v>
      </c>
      <c r="O206" s="1144">
        <f t="shared" si="30"/>
        <v>0</v>
      </c>
      <c r="P206" s="1144">
        <f t="shared" si="30"/>
        <v>0</v>
      </c>
      <c r="Q206" s="1144">
        <f t="shared" si="31"/>
        <v>0</v>
      </c>
      <c r="R206" s="1144">
        <f t="shared" si="32"/>
        <v>0</v>
      </c>
      <c r="S206" s="1144">
        <f t="shared" si="32"/>
        <v>0</v>
      </c>
      <c r="T206" s="1144">
        <f t="shared" si="33"/>
        <v>0</v>
      </c>
      <c r="U206" s="1144">
        <f t="shared" si="34"/>
        <v>0</v>
      </c>
      <c r="V206" s="1144">
        <f t="shared" si="34"/>
        <v>33650.120000000003</v>
      </c>
      <c r="W206" s="1145">
        <f t="shared" si="35"/>
        <v>33650.120000000003</v>
      </c>
    </row>
    <row r="207" spans="1:23" x14ac:dyDescent="0.2">
      <c r="A207" s="1140" t="str">
        <f t="shared" si="27"/>
        <v>85TG-I 23000 AMR</v>
      </c>
      <c r="B207" s="1140" t="str">
        <f t="shared" si="28"/>
        <v xml:space="preserve">85TG-I 23000 </v>
      </c>
      <c r="C207" s="1140" t="s">
        <v>809</v>
      </c>
      <c r="D207" s="1140" t="s">
        <v>742</v>
      </c>
      <c r="E207" s="1140">
        <v>23000</v>
      </c>
      <c r="F207" s="1141">
        <f>SUMIF('JKP-8.5 - CNSMREQP_GASMTRCTR'!$A$2:$A$391,'JKP-8.5 - Total Costs'!A207,'JKP-8.5 - CNSMREQP_GASMTRCTR'!$F$2:$F$391)-SUMIF('JKP-8.5 - Migrated From'!$A$2:$A$22,'JKP-8.5 - Total Costs'!A207,'JKP-8.5 - Migrated From'!$F$2:$F$22)+SUMIF('JKP-8.5 - Migrated To'!$A$2:$A$22,'JKP-8.5 - Total Costs'!A207,'JKP-8.5 - Migrated To'!$F$2:$F$22)</f>
        <v>0</v>
      </c>
      <c r="G207" s="1141">
        <f>SUMIF('JKP-8.5 - CNSMREQP_GASMTRCTR'!$A$2:$A$391,'JKP-8.5 - Total Costs'!B207,'JKP-8.5 - CNSMREQP_GASMTRCTR'!$F$2:$F$391)-SUMIF('JKP-8.5 - Migrated From'!$A$2:$A$22,'JKP-8.5 - Total Costs'!B207,'JKP-8.5 - Migrated From'!$F$2:$F$22)+SUMIF('JKP-8.5 - Migrated To'!$A$2:$A$22,'JKP-8.5 - Total Costs'!B207,'JKP-8.5 - Migrated To'!$F$2:$F$22)</f>
        <v>3</v>
      </c>
      <c r="H207" s="1142">
        <f t="shared" si="29"/>
        <v>3</v>
      </c>
      <c r="I207" s="1143">
        <f>VLOOKUP($E207,'JKP-8.5 - Unit Costs'!$A$9:$H$33,2,FALSE)</f>
        <v>0</v>
      </c>
      <c r="J207" s="1143">
        <f>VLOOKUP($E207,'JKP-8.5 - Unit Costs'!$A$9:$H$33,5,FALSE)</f>
        <v>0</v>
      </c>
      <c r="K207" s="1143">
        <f>VLOOKUP($E207,'JKP-8.5 - Unit Costs'!$A$9:$H$33,3,FALSE)</f>
        <v>0</v>
      </c>
      <c r="L207" s="1143">
        <f>VLOOKUP($E207,'JKP-8.5 - Unit Costs'!$A$9:$H$33,6,FALSE)</f>
        <v>0</v>
      </c>
      <c r="M207" s="1143">
        <f>VLOOKUP($E207,'JKP-8.5 - Unit Costs'!$A$9:$H$33,8,FALSE)</f>
        <v>20882.400000000001</v>
      </c>
      <c r="N207" s="1143">
        <f>VLOOKUP($E207,'JKP-8.5 - Unit Costs'!$A$9:$H$33,8,FALSE)</f>
        <v>20882.400000000001</v>
      </c>
      <c r="O207" s="1144">
        <f t="shared" si="30"/>
        <v>0</v>
      </c>
      <c r="P207" s="1144">
        <f t="shared" si="30"/>
        <v>0</v>
      </c>
      <c r="Q207" s="1144">
        <f t="shared" si="31"/>
        <v>0</v>
      </c>
      <c r="R207" s="1144">
        <f t="shared" si="32"/>
        <v>0</v>
      </c>
      <c r="S207" s="1144">
        <f t="shared" si="32"/>
        <v>0</v>
      </c>
      <c r="T207" s="1144">
        <f t="shared" si="33"/>
        <v>0</v>
      </c>
      <c r="U207" s="1144">
        <f t="shared" si="34"/>
        <v>0</v>
      </c>
      <c r="V207" s="1144">
        <f t="shared" si="34"/>
        <v>62647.200000000004</v>
      </c>
      <c r="W207" s="1145">
        <f t="shared" si="35"/>
        <v>62647.200000000004</v>
      </c>
    </row>
    <row r="208" spans="1:23" x14ac:dyDescent="0.2">
      <c r="A208" s="1140" t="str">
        <f t="shared" si="27"/>
        <v>85TG-I 30000 AMR</v>
      </c>
      <c r="B208" s="1140" t="str">
        <f t="shared" si="28"/>
        <v xml:space="preserve">85TG-I 30000 </v>
      </c>
      <c r="C208" s="1140" t="s">
        <v>809</v>
      </c>
      <c r="D208" s="1140" t="s">
        <v>742</v>
      </c>
      <c r="E208" s="1140">
        <v>30000</v>
      </c>
      <c r="F208" s="1141">
        <f>SUMIF('JKP-8.5 - CNSMREQP_GASMTRCTR'!$A$2:$A$391,'JKP-8.5 - Total Costs'!A208,'JKP-8.5 - CNSMREQP_GASMTRCTR'!$F$2:$F$391)-SUMIF('JKP-8.5 - Migrated From'!$A$2:$A$22,'JKP-8.5 - Total Costs'!A208,'JKP-8.5 - Migrated From'!$F$2:$F$22)+SUMIF('JKP-8.5 - Migrated To'!$A$2:$A$22,'JKP-8.5 - Total Costs'!A208,'JKP-8.5 - Migrated To'!$F$2:$F$22)</f>
        <v>0</v>
      </c>
      <c r="G208" s="1141">
        <f>SUMIF('JKP-8.5 - CNSMREQP_GASMTRCTR'!$A$2:$A$391,'JKP-8.5 - Total Costs'!B208,'JKP-8.5 - CNSMREQP_GASMTRCTR'!$F$2:$F$391)-SUMIF('JKP-8.5 - Migrated From'!$A$2:$A$22,'JKP-8.5 - Total Costs'!B208,'JKP-8.5 - Migrated From'!$F$2:$F$22)+SUMIF('JKP-8.5 - Migrated To'!$A$2:$A$22,'JKP-8.5 - Total Costs'!B208,'JKP-8.5 - Migrated To'!$F$2:$F$22)</f>
        <v>9</v>
      </c>
      <c r="H208" s="1142">
        <f t="shared" si="29"/>
        <v>9</v>
      </c>
      <c r="I208" s="1143">
        <f>VLOOKUP($E208,'JKP-8.5 - Unit Costs'!$A$9:$H$33,2,FALSE)</f>
        <v>0</v>
      </c>
      <c r="J208" s="1143">
        <f>VLOOKUP($E208,'JKP-8.5 - Unit Costs'!$A$9:$H$33,5,FALSE)</f>
        <v>0</v>
      </c>
      <c r="K208" s="1143">
        <f>VLOOKUP($E208,'JKP-8.5 - Unit Costs'!$A$9:$H$33,3,FALSE)</f>
        <v>0</v>
      </c>
      <c r="L208" s="1143">
        <f>VLOOKUP($E208,'JKP-8.5 - Unit Costs'!$A$9:$H$33,6,FALSE)</f>
        <v>0</v>
      </c>
      <c r="M208" s="1143">
        <f>VLOOKUP($E208,'JKP-8.5 - Unit Costs'!$A$9:$H$33,8,FALSE)</f>
        <v>28159.37</v>
      </c>
      <c r="N208" s="1143">
        <f>VLOOKUP($E208,'JKP-8.5 - Unit Costs'!$A$9:$H$33,8,FALSE)</f>
        <v>28159.37</v>
      </c>
      <c r="O208" s="1144">
        <f t="shared" si="30"/>
        <v>0</v>
      </c>
      <c r="P208" s="1144">
        <f t="shared" si="30"/>
        <v>0</v>
      </c>
      <c r="Q208" s="1144">
        <f t="shared" si="31"/>
        <v>0</v>
      </c>
      <c r="R208" s="1144">
        <f t="shared" si="32"/>
        <v>0</v>
      </c>
      <c r="S208" s="1144">
        <f t="shared" si="32"/>
        <v>0</v>
      </c>
      <c r="T208" s="1144">
        <f t="shared" si="33"/>
        <v>0</v>
      </c>
      <c r="U208" s="1144">
        <f t="shared" si="34"/>
        <v>0</v>
      </c>
      <c r="V208" s="1144">
        <f t="shared" si="34"/>
        <v>253434.33</v>
      </c>
      <c r="W208" s="1145">
        <f t="shared" si="35"/>
        <v>253434.33</v>
      </c>
    </row>
    <row r="209" spans="1:23" x14ac:dyDescent="0.2">
      <c r="A209" s="1140" t="str">
        <f t="shared" si="27"/>
        <v>85TG-I 60000 AMR</v>
      </c>
      <c r="B209" s="1140" t="str">
        <f t="shared" si="28"/>
        <v xml:space="preserve">85TG-I 60000 </v>
      </c>
      <c r="C209" s="1140" t="s">
        <v>809</v>
      </c>
      <c r="D209" s="1140" t="s">
        <v>742</v>
      </c>
      <c r="E209" s="1140">
        <v>60000</v>
      </c>
      <c r="F209" s="1141">
        <f>SUMIF('JKP-8.5 - CNSMREQP_GASMTRCTR'!$A$2:$A$391,'JKP-8.5 - Total Costs'!A209,'JKP-8.5 - CNSMREQP_GASMTRCTR'!$F$2:$F$391)-SUMIF('JKP-8.5 - Migrated From'!$A$2:$A$22,'JKP-8.5 - Total Costs'!A209,'JKP-8.5 - Migrated From'!$F$2:$F$22)+SUMIF('JKP-8.5 - Migrated To'!$A$2:$A$22,'JKP-8.5 - Total Costs'!A209,'JKP-8.5 - Migrated To'!$F$2:$F$22)</f>
        <v>1</v>
      </c>
      <c r="G209" s="1141">
        <f>SUMIF('JKP-8.5 - CNSMREQP_GASMTRCTR'!$A$2:$A$391,'JKP-8.5 - Total Costs'!B209,'JKP-8.5 - CNSMREQP_GASMTRCTR'!$F$2:$F$391)-SUMIF('JKP-8.5 - Migrated From'!$A$2:$A$22,'JKP-8.5 - Total Costs'!B209,'JKP-8.5 - Migrated From'!$F$2:$F$22)+SUMIF('JKP-8.5 - Migrated To'!$A$2:$A$22,'JKP-8.5 - Total Costs'!B209,'JKP-8.5 - Migrated To'!$F$2:$F$22)</f>
        <v>15</v>
      </c>
      <c r="H209" s="1142">
        <f t="shared" si="29"/>
        <v>16</v>
      </c>
      <c r="I209" s="1143">
        <f>VLOOKUP($E209,'JKP-8.5 - Unit Costs'!$A$9:$H$33,2,FALSE)</f>
        <v>0</v>
      </c>
      <c r="J209" s="1143">
        <f>VLOOKUP($E209,'JKP-8.5 - Unit Costs'!$A$9:$H$33,5,FALSE)</f>
        <v>0</v>
      </c>
      <c r="K209" s="1143">
        <f>VLOOKUP($E209,'JKP-8.5 - Unit Costs'!$A$9:$H$33,3,FALSE)</f>
        <v>0</v>
      </c>
      <c r="L209" s="1143">
        <f>VLOOKUP($E209,'JKP-8.5 - Unit Costs'!$A$9:$H$33,6,FALSE)</f>
        <v>0</v>
      </c>
      <c r="M209" s="1143">
        <f>VLOOKUP($E209,'JKP-8.5 - Unit Costs'!$A$9:$H$33,8,FALSE)</f>
        <v>36556.269999999997</v>
      </c>
      <c r="N209" s="1143">
        <f>VLOOKUP($E209,'JKP-8.5 - Unit Costs'!$A$9:$H$33,8,FALSE)</f>
        <v>36556.269999999997</v>
      </c>
      <c r="O209" s="1144">
        <f t="shared" si="30"/>
        <v>0</v>
      </c>
      <c r="P209" s="1144">
        <f t="shared" si="30"/>
        <v>0</v>
      </c>
      <c r="Q209" s="1144">
        <f t="shared" si="31"/>
        <v>0</v>
      </c>
      <c r="R209" s="1144">
        <f t="shared" si="32"/>
        <v>0</v>
      </c>
      <c r="S209" s="1144">
        <f t="shared" si="32"/>
        <v>0</v>
      </c>
      <c r="T209" s="1144">
        <f t="shared" si="33"/>
        <v>0</v>
      </c>
      <c r="U209" s="1144">
        <f t="shared" si="34"/>
        <v>36556.269999999997</v>
      </c>
      <c r="V209" s="1144">
        <f t="shared" si="34"/>
        <v>548344.04999999993</v>
      </c>
      <c r="W209" s="1145">
        <f t="shared" si="35"/>
        <v>584900.31999999995</v>
      </c>
    </row>
    <row r="210" spans="1:23" x14ac:dyDescent="0.2">
      <c r="A210" s="1140" t="str">
        <f t="shared" si="27"/>
        <v>85TG-I 150000 AMR</v>
      </c>
      <c r="B210" s="1140" t="str">
        <f t="shared" si="28"/>
        <v xml:space="preserve">85TG-I 150000 </v>
      </c>
      <c r="C210" s="1140" t="s">
        <v>809</v>
      </c>
      <c r="D210" s="1140" t="s">
        <v>742</v>
      </c>
      <c r="E210" s="1140">
        <v>150000</v>
      </c>
      <c r="F210" s="1141">
        <f>SUMIF('JKP-8.5 - CNSMREQP_GASMTRCTR'!$A$2:$A$391,'JKP-8.5 - Total Costs'!A210,'JKP-8.5 - CNSMREQP_GASMTRCTR'!$F$2:$F$391)-SUMIF('JKP-8.5 - Migrated From'!$A$2:$A$22,'JKP-8.5 - Total Costs'!A210,'JKP-8.5 - Migrated From'!$F$2:$F$22)+SUMIF('JKP-8.5 - Migrated To'!$A$2:$A$22,'JKP-8.5 - Total Costs'!A210,'JKP-8.5 - Migrated To'!$F$2:$F$22)</f>
        <v>0</v>
      </c>
      <c r="G210" s="1141">
        <f>SUMIF('JKP-8.5 - CNSMREQP_GASMTRCTR'!$A$2:$A$391,'JKP-8.5 - Total Costs'!B210,'JKP-8.5 - CNSMREQP_GASMTRCTR'!$F$2:$F$391)-SUMIF('JKP-8.5 - Migrated From'!$A$2:$A$22,'JKP-8.5 - Total Costs'!B210,'JKP-8.5 - Migrated From'!$F$2:$F$22)+SUMIF('JKP-8.5 - Migrated To'!$A$2:$A$22,'JKP-8.5 - Total Costs'!B210,'JKP-8.5 - Migrated To'!$F$2:$F$22)</f>
        <v>2</v>
      </c>
      <c r="H210" s="1142">
        <f t="shared" si="29"/>
        <v>2</v>
      </c>
      <c r="I210" s="1143">
        <f>VLOOKUP($E210,'JKP-8.5 - Unit Costs'!$A$9:$H$33,2,FALSE)</f>
        <v>0</v>
      </c>
      <c r="J210" s="1143">
        <f>VLOOKUP($E210,'JKP-8.5 - Unit Costs'!$A$9:$H$33,5,FALSE)</f>
        <v>0</v>
      </c>
      <c r="K210" s="1143">
        <f>VLOOKUP($E210,'JKP-8.5 - Unit Costs'!$A$9:$H$33,3,FALSE)</f>
        <v>0</v>
      </c>
      <c r="L210" s="1143">
        <f>VLOOKUP($E210,'JKP-8.5 - Unit Costs'!$A$9:$H$33,6,FALSE)</f>
        <v>0</v>
      </c>
      <c r="M210" s="1143">
        <f>VLOOKUP($E210,'JKP-8.5 - Unit Costs'!$A$9:$H$33,8,FALSE)</f>
        <v>45158.289999999994</v>
      </c>
      <c r="N210" s="1143">
        <f>VLOOKUP($E210,'JKP-8.5 - Unit Costs'!$A$9:$H$33,8,FALSE)</f>
        <v>45158.289999999994</v>
      </c>
      <c r="O210" s="1144">
        <f t="shared" si="30"/>
        <v>0</v>
      </c>
      <c r="P210" s="1144">
        <f t="shared" si="30"/>
        <v>0</v>
      </c>
      <c r="Q210" s="1144">
        <f t="shared" si="31"/>
        <v>0</v>
      </c>
      <c r="R210" s="1144">
        <f t="shared" si="32"/>
        <v>0</v>
      </c>
      <c r="S210" s="1144">
        <f t="shared" si="32"/>
        <v>0</v>
      </c>
      <c r="T210" s="1144">
        <f t="shared" si="33"/>
        <v>0</v>
      </c>
      <c r="U210" s="1144">
        <f t="shared" si="34"/>
        <v>0</v>
      </c>
      <c r="V210" s="1144">
        <f t="shared" si="34"/>
        <v>90316.579999999987</v>
      </c>
      <c r="W210" s="1145">
        <f t="shared" si="35"/>
        <v>90316.579999999987</v>
      </c>
    </row>
    <row r="211" spans="1:23" x14ac:dyDescent="0.2">
      <c r="A211" s="1140" t="str">
        <f t="shared" si="27"/>
        <v>86G-C2 250 AMR</v>
      </c>
      <c r="B211" s="1140" t="str">
        <f t="shared" si="28"/>
        <v xml:space="preserve">86G-C2 250 </v>
      </c>
      <c r="C211" s="1140" t="s">
        <v>806</v>
      </c>
      <c r="D211" s="1140" t="s">
        <v>911</v>
      </c>
      <c r="E211" s="1140">
        <v>250</v>
      </c>
      <c r="F211" s="1141">
        <f>SUMIF('JKP-8.5 - CNSMREQP_GASMTRCTR'!$A$2:$A$391,'JKP-8.5 - Total Costs'!A211,'JKP-8.5 - CNSMREQP_GASMTRCTR'!$F$2:$F$391)-SUMIF('JKP-8.5 - Migrated From'!$A$2:$A$22,'JKP-8.5 - Total Costs'!A211,'JKP-8.5 - Migrated From'!$F$2:$F$22)+SUMIF('JKP-8.5 - Migrated To'!$A$2:$A$22,'JKP-8.5 - Total Costs'!A211,'JKP-8.5 - Migrated To'!$F$2:$F$22)</f>
        <v>1</v>
      </c>
      <c r="G211" s="1141">
        <f>SUMIF('JKP-8.5 - CNSMREQP_GASMTRCTR'!$A$2:$A$391,'JKP-8.5 - Total Costs'!B211,'JKP-8.5 - CNSMREQP_GASMTRCTR'!$F$2:$F$391)-SUMIF('JKP-8.5 - Migrated From'!$A$2:$A$22,'JKP-8.5 - Total Costs'!B211,'JKP-8.5 - Migrated From'!$F$2:$F$22)+SUMIF('JKP-8.5 - Migrated To'!$A$2:$A$22,'JKP-8.5 - Total Costs'!B211,'JKP-8.5 - Migrated To'!$F$2:$F$22)</f>
        <v>0</v>
      </c>
      <c r="H211" s="1142">
        <f t="shared" si="29"/>
        <v>1</v>
      </c>
      <c r="I211" s="1143">
        <f>VLOOKUP($E211,'JKP-8.5 - Unit Costs'!$A$9:$H$33,2,FALSE)</f>
        <v>141.83000000000001</v>
      </c>
      <c r="J211" s="1143">
        <f>VLOOKUP($E211,'JKP-8.5 - Unit Costs'!$A$9:$H$33,5,FALSE)</f>
        <v>92.480000000000018</v>
      </c>
      <c r="K211" s="1143">
        <f>VLOOKUP($E211,'JKP-8.5 - Unit Costs'!$A$9:$H$33,3,FALSE)</f>
        <v>41.76</v>
      </c>
      <c r="L211" s="1143">
        <f>VLOOKUP($E211,'JKP-8.5 - Unit Costs'!$A$9:$H$33,6,FALSE)</f>
        <v>41.76</v>
      </c>
      <c r="M211" s="1143">
        <f>VLOOKUP($E211,'JKP-8.5 - Unit Costs'!$A$9:$H$33,8,FALSE)</f>
        <v>0</v>
      </c>
      <c r="N211" s="1143">
        <f>VLOOKUP($E211,'JKP-8.5 - Unit Costs'!$A$9:$H$33,8,FALSE)</f>
        <v>0</v>
      </c>
      <c r="O211" s="1144">
        <f t="shared" si="30"/>
        <v>141.83000000000001</v>
      </c>
      <c r="P211" s="1144">
        <f t="shared" si="30"/>
        <v>0</v>
      </c>
      <c r="Q211" s="1144">
        <f t="shared" si="31"/>
        <v>141.83000000000001</v>
      </c>
      <c r="R211" s="1144">
        <f t="shared" si="32"/>
        <v>41.76</v>
      </c>
      <c r="S211" s="1144">
        <f t="shared" si="32"/>
        <v>0</v>
      </c>
      <c r="T211" s="1144">
        <f t="shared" si="33"/>
        <v>41.76</v>
      </c>
      <c r="U211" s="1144">
        <f t="shared" si="34"/>
        <v>0</v>
      </c>
      <c r="V211" s="1144">
        <f t="shared" si="34"/>
        <v>0</v>
      </c>
      <c r="W211" s="1145">
        <f t="shared" si="35"/>
        <v>0</v>
      </c>
    </row>
    <row r="212" spans="1:23" x14ac:dyDescent="0.2">
      <c r="A212" s="1140" t="str">
        <f t="shared" si="27"/>
        <v>86G-C2 425 AMR</v>
      </c>
      <c r="B212" s="1140" t="str">
        <f t="shared" si="28"/>
        <v xml:space="preserve">86G-C2 425 </v>
      </c>
      <c r="C212" s="1140" t="s">
        <v>806</v>
      </c>
      <c r="D212" s="1140" t="s">
        <v>911</v>
      </c>
      <c r="E212" s="1140">
        <v>425</v>
      </c>
      <c r="F212" s="1141">
        <f>SUMIF('JKP-8.5 - CNSMREQP_GASMTRCTR'!$A$2:$A$391,'JKP-8.5 - Total Costs'!A212,'JKP-8.5 - CNSMREQP_GASMTRCTR'!$F$2:$F$391)-SUMIF('JKP-8.5 - Migrated From'!$A$2:$A$22,'JKP-8.5 - Total Costs'!A212,'JKP-8.5 - Migrated From'!$F$2:$F$22)+SUMIF('JKP-8.5 - Migrated To'!$A$2:$A$22,'JKP-8.5 - Total Costs'!A212,'JKP-8.5 - Migrated To'!$F$2:$F$22)</f>
        <v>2</v>
      </c>
      <c r="G212" s="1141">
        <f>SUMIF('JKP-8.5 - CNSMREQP_GASMTRCTR'!$A$2:$A$391,'JKP-8.5 - Total Costs'!B212,'JKP-8.5 - CNSMREQP_GASMTRCTR'!$F$2:$F$391)-SUMIF('JKP-8.5 - Migrated From'!$A$2:$A$22,'JKP-8.5 - Total Costs'!B212,'JKP-8.5 - Migrated From'!$F$2:$F$22)+SUMIF('JKP-8.5 - Migrated To'!$A$2:$A$22,'JKP-8.5 - Total Costs'!B212,'JKP-8.5 - Migrated To'!$F$2:$F$22)</f>
        <v>0</v>
      </c>
      <c r="H212" s="1142">
        <f t="shared" si="29"/>
        <v>2</v>
      </c>
      <c r="I212" s="1143">
        <f>VLOOKUP($E212,'JKP-8.5 - Unit Costs'!$A$9:$H$33,2,FALSE)</f>
        <v>462.02000000000004</v>
      </c>
      <c r="J212" s="1143">
        <f>VLOOKUP($E212,'JKP-8.5 - Unit Costs'!$A$9:$H$33,5,FALSE)</f>
        <v>193.72</v>
      </c>
      <c r="K212" s="1143">
        <f>VLOOKUP($E212,'JKP-8.5 - Unit Costs'!$A$9:$H$33,3,FALSE)</f>
        <v>41.76</v>
      </c>
      <c r="L212" s="1143">
        <f>VLOOKUP($E212,'JKP-8.5 - Unit Costs'!$A$9:$H$33,6,FALSE)</f>
        <v>41.76</v>
      </c>
      <c r="M212" s="1143">
        <f>VLOOKUP($E212,'JKP-8.5 - Unit Costs'!$A$9:$H$33,8,FALSE)</f>
        <v>0</v>
      </c>
      <c r="N212" s="1143">
        <f>VLOOKUP($E212,'JKP-8.5 - Unit Costs'!$A$9:$H$33,8,FALSE)</f>
        <v>0</v>
      </c>
      <c r="O212" s="1144">
        <f t="shared" si="30"/>
        <v>924.04000000000008</v>
      </c>
      <c r="P212" s="1144">
        <f t="shared" si="30"/>
        <v>0</v>
      </c>
      <c r="Q212" s="1144">
        <f t="shared" si="31"/>
        <v>924.04000000000008</v>
      </c>
      <c r="R212" s="1144">
        <f t="shared" si="32"/>
        <v>83.52</v>
      </c>
      <c r="S212" s="1144">
        <f t="shared" si="32"/>
        <v>0</v>
      </c>
      <c r="T212" s="1144">
        <f t="shared" si="33"/>
        <v>83.52</v>
      </c>
      <c r="U212" s="1144">
        <f t="shared" si="34"/>
        <v>0</v>
      </c>
      <c r="V212" s="1144">
        <f t="shared" si="34"/>
        <v>0</v>
      </c>
      <c r="W212" s="1145">
        <f t="shared" si="35"/>
        <v>0</v>
      </c>
    </row>
    <row r="213" spans="1:23" x14ac:dyDescent="0.2">
      <c r="A213" s="1140" t="str">
        <f t="shared" si="27"/>
        <v>86G-C2 800 AMR</v>
      </c>
      <c r="B213" s="1140" t="str">
        <f t="shared" si="28"/>
        <v xml:space="preserve">86G-C2 800 </v>
      </c>
      <c r="C213" s="1140" t="s">
        <v>806</v>
      </c>
      <c r="D213" s="1140" t="s">
        <v>911</v>
      </c>
      <c r="E213" s="1140">
        <v>800</v>
      </c>
      <c r="F213" s="1141">
        <f>SUMIF('JKP-8.5 - CNSMREQP_GASMTRCTR'!$A$2:$A$391,'JKP-8.5 - Total Costs'!A213,'JKP-8.5 - CNSMREQP_GASMTRCTR'!$F$2:$F$391)-SUMIF('JKP-8.5 - Migrated From'!$A$2:$A$22,'JKP-8.5 - Total Costs'!A213,'JKP-8.5 - Migrated From'!$F$2:$F$22)+SUMIF('JKP-8.5 - Migrated To'!$A$2:$A$22,'JKP-8.5 - Total Costs'!A213,'JKP-8.5 - Migrated To'!$F$2:$F$22)</f>
        <v>2</v>
      </c>
      <c r="G213" s="1141">
        <f>SUMIF('JKP-8.5 - CNSMREQP_GASMTRCTR'!$A$2:$A$391,'JKP-8.5 - Total Costs'!B213,'JKP-8.5 - CNSMREQP_GASMTRCTR'!$F$2:$F$391)-SUMIF('JKP-8.5 - Migrated From'!$A$2:$A$22,'JKP-8.5 - Total Costs'!B213,'JKP-8.5 - Migrated From'!$F$2:$F$22)+SUMIF('JKP-8.5 - Migrated To'!$A$2:$A$22,'JKP-8.5 - Total Costs'!B213,'JKP-8.5 - Migrated To'!$F$2:$F$22)</f>
        <v>0</v>
      </c>
      <c r="H213" s="1142">
        <f t="shared" si="29"/>
        <v>2</v>
      </c>
      <c r="I213" s="1143">
        <f>VLOOKUP($E213,'JKP-8.5 - Unit Costs'!$A$9:$H$33,2,FALSE)</f>
        <v>1404.86</v>
      </c>
      <c r="J213" s="1143">
        <f>VLOOKUP($E213,'JKP-8.5 - Unit Costs'!$A$9:$H$33,5,FALSE)</f>
        <v>1063.1500000000001</v>
      </c>
      <c r="K213" s="1143">
        <f>VLOOKUP($E213,'JKP-8.5 - Unit Costs'!$A$9:$H$33,3,FALSE)</f>
        <v>41.76</v>
      </c>
      <c r="L213" s="1143">
        <f>VLOOKUP($E213,'JKP-8.5 - Unit Costs'!$A$9:$H$33,6,FALSE)</f>
        <v>41.76</v>
      </c>
      <c r="M213" s="1143">
        <f>VLOOKUP($E213,'JKP-8.5 - Unit Costs'!$A$9:$H$33,8,FALSE)</f>
        <v>0</v>
      </c>
      <c r="N213" s="1143">
        <f>VLOOKUP($E213,'JKP-8.5 - Unit Costs'!$A$9:$H$33,8,FALSE)</f>
        <v>0</v>
      </c>
      <c r="O213" s="1144">
        <f t="shared" si="30"/>
        <v>2809.72</v>
      </c>
      <c r="P213" s="1144">
        <f t="shared" si="30"/>
        <v>0</v>
      </c>
      <c r="Q213" s="1144">
        <f t="shared" si="31"/>
        <v>2809.72</v>
      </c>
      <c r="R213" s="1144">
        <f t="shared" si="32"/>
        <v>83.52</v>
      </c>
      <c r="S213" s="1144">
        <f t="shared" si="32"/>
        <v>0</v>
      </c>
      <c r="T213" s="1144">
        <f t="shared" si="33"/>
        <v>83.52</v>
      </c>
      <c r="U213" s="1144">
        <f t="shared" si="34"/>
        <v>0</v>
      </c>
      <c r="V213" s="1144">
        <f t="shared" si="34"/>
        <v>0</v>
      </c>
      <c r="W213" s="1145">
        <f t="shared" si="35"/>
        <v>0</v>
      </c>
    </row>
    <row r="214" spans="1:23" x14ac:dyDescent="0.2">
      <c r="A214" s="1140" t="str">
        <f t="shared" si="27"/>
        <v>86G-C2 1000 AMR</v>
      </c>
      <c r="B214" s="1140" t="str">
        <f t="shared" si="28"/>
        <v xml:space="preserve">86G-C2 1000 </v>
      </c>
      <c r="C214" s="1140" t="s">
        <v>806</v>
      </c>
      <c r="D214" s="1140" t="s">
        <v>911</v>
      </c>
      <c r="E214" s="1140">
        <v>1000</v>
      </c>
      <c r="F214" s="1141">
        <f>SUMIF('JKP-8.5 - CNSMREQP_GASMTRCTR'!$A$2:$A$391,'JKP-8.5 - Total Costs'!A214,'JKP-8.5 - CNSMREQP_GASMTRCTR'!$F$2:$F$391)-SUMIF('JKP-8.5 - Migrated From'!$A$2:$A$22,'JKP-8.5 - Total Costs'!A214,'JKP-8.5 - Migrated From'!$F$2:$F$22)+SUMIF('JKP-8.5 - Migrated To'!$A$2:$A$22,'JKP-8.5 - Total Costs'!A214,'JKP-8.5 - Migrated To'!$F$2:$F$22)</f>
        <v>135</v>
      </c>
      <c r="G214" s="1141">
        <f>SUMIF('JKP-8.5 - CNSMREQP_GASMTRCTR'!$A$2:$A$391,'JKP-8.5 - Total Costs'!B214,'JKP-8.5 - CNSMREQP_GASMTRCTR'!$F$2:$F$391)-SUMIF('JKP-8.5 - Migrated From'!$A$2:$A$22,'JKP-8.5 - Total Costs'!B214,'JKP-8.5 - Migrated From'!$F$2:$F$22)+SUMIF('JKP-8.5 - Migrated To'!$A$2:$A$22,'JKP-8.5 - Total Costs'!B214,'JKP-8.5 - Migrated To'!$F$2:$F$22)</f>
        <v>0</v>
      </c>
      <c r="H214" s="1142">
        <f t="shared" si="29"/>
        <v>135</v>
      </c>
      <c r="I214" s="1143">
        <f>VLOOKUP($E214,'JKP-8.5 - Unit Costs'!$A$9:$H$33,2,FALSE)</f>
        <v>1404.86</v>
      </c>
      <c r="J214" s="1143">
        <f>VLOOKUP($E214,'JKP-8.5 - Unit Costs'!$A$9:$H$33,5,FALSE)</f>
        <v>1063.1500000000001</v>
      </c>
      <c r="K214" s="1143">
        <f>VLOOKUP($E214,'JKP-8.5 - Unit Costs'!$A$9:$H$33,3,FALSE)</f>
        <v>41.76</v>
      </c>
      <c r="L214" s="1143">
        <f>VLOOKUP($E214,'JKP-8.5 - Unit Costs'!$A$9:$H$33,6,FALSE)</f>
        <v>41.76</v>
      </c>
      <c r="M214" s="1143">
        <f>VLOOKUP($E214,'JKP-8.5 - Unit Costs'!$A$9:$H$33,8,FALSE)</f>
        <v>0</v>
      </c>
      <c r="N214" s="1143">
        <f>VLOOKUP($E214,'JKP-8.5 - Unit Costs'!$A$9:$H$33,8,FALSE)</f>
        <v>0</v>
      </c>
      <c r="O214" s="1144">
        <f t="shared" si="30"/>
        <v>189656.09999999998</v>
      </c>
      <c r="P214" s="1144">
        <f t="shared" si="30"/>
        <v>0</v>
      </c>
      <c r="Q214" s="1144">
        <f t="shared" si="31"/>
        <v>189656.09999999998</v>
      </c>
      <c r="R214" s="1144">
        <f t="shared" si="32"/>
        <v>5637.5999999999995</v>
      </c>
      <c r="S214" s="1144">
        <f t="shared" si="32"/>
        <v>0</v>
      </c>
      <c r="T214" s="1144">
        <f t="shared" si="33"/>
        <v>5637.5999999999995</v>
      </c>
      <c r="U214" s="1144">
        <f t="shared" si="34"/>
        <v>0</v>
      </c>
      <c r="V214" s="1144">
        <f t="shared" si="34"/>
        <v>0</v>
      </c>
      <c r="W214" s="1145">
        <f t="shared" si="35"/>
        <v>0</v>
      </c>
    </row>
    <row r="215" spans="1:23" x14ac:dyDescent="0.2">
      <c r="A215" s="1140" t="str">
        <f t="shared" si="27"/>
        <v>86G-C2 1400 AMR</v>
      </c>
      <c r="B215" s="1140" t="str">
        <f t="shared" si="28"/>
        <v xml:space="preserve">86G-C2 1400 </v>
      </c>
      <c r="C215" s="1140" t="s">
        <v>806</v>
      </c>
      <c r="D215" s="1140" t="s">
        <v>911</v>
      </c>
      <c r="E215" s="1140">
        <v>1400</v>
      </c>
      <c r="F215" s="1141">
        <f>SUMIF('JKP-8.5 - CNSMREQP_GASMTRCTR'!$A$2:$A$391,'JKP-8.5 - Total Costs'!A215,'JKP-8.5 - CNSMREQP_GASMTRCTR'!$F$2:$F$391)-SUMIF('JKP-8.5 - Migrated From'!$A$2:$A$22,'JKP-8.5 - Total Costs'!A215,'JKP-8.5 - Migrated From'!$F$2:$F$22)+SUMIF('JKP-8.5 - Migrated To'!$A$2:$A$22,'JKP-8.5 - Total Costs'!A215,'JKP-8.5 - Migrated To'!$F$2:$F$22)</f>
        <v>30</v>
      </c>
      <c r="G215" s="1141">
        <f>SUMIF('JKP-8.5 - CNSMREQP_GASMTRCTR'!$A$2:$A$391,'JKP-8.5 - Total Costs'!B215,'JKP-8.5 - CNSMREQP_GASMTRCTR'!$F$2:$F$391)-SUMIF('JKP-8.5 - Migrated From'!$A$2:$A$22,'JKP-8.5 - Total Costs'!B215,'JKP-8.5 - Migrated From'!$F$2:$F$22)+SUMIF('JKP-8.5 - Migrated To'!$A$2:$A$22,'JKP-8.5 - Total Costs'!B215,'JKP-8.5 - Migrated To'!$F$2:$F$22)</f>
        <v>0</v>
      </c>
      <c r="H215" s="1142">
        <f t="shared" si="29"/>
        <v>30</v>
      </c>
      <c r="I215" s="1143">
        <f>VLOOKUP($E215,'JKP-8.5 - Unit Costs'!$A$9:$H$33,2,FALSE)</f>
        <v>0</v>
      </c>
      <c r="J215" s="1143">
        <f>VLOOKUP($E215,'JKP-8.5 - Unit Costs'!$A$9:$H$33,5,FALSE)</f>
        <v>0</v>
      </c>
      <c r="K215" s="1143">
        <f>VLOOKUP($E215,'JKP-8.5 - Unit Costs'!$A$9:$H$33,3,FALSE)</f>
        <v>0</v>
      </c>
      <c r="L215" s="1143">
        <f>VLOOKUP($E215,'JKP-8.5 - Unit Costs'!$A$9:$H$33,6,FALSE)</f>
        <v>0</v>
      </c>
      <c r="M215" s="1143">
        <f>VLOOKUP($E215,'JKP-8.5 - Unit Costs'!$A$9:$H$33,8,FALSE)</f>
        <v>2379.79</v>
      </c>
      <c r="N215" s="1143">
        <f>VLOOKUP($E215,'JKP-8.5 - Unit Costs'!$A$9:$H$33,8,FALSE)</f>
        <v>2379.79</v>
      </c>
      <c r="O215" s="1144">
        <f t="shared" si="30"/>
        <v>0</v>
      </c>
      <c r="P215" s="1144">
        <f t="shared" si="30"/>
        <v>0</v>
      </c>
      <c r="Q215" s="1144">
        <f t="shared" si="31"/>
        <v>0</v>
      </c>
      <c r="R215" s="1144">
        <f t="shared" si="32"/>
        <v>0</v>
      </c>
      <c r="S215" s="1144">
        <f t="shared" si="32"/>
        <v>0</v>
      </c>
      <c r="T215" s="1144">
        <f t="shared" si="33"/>
        <v>0</v>
      </c>
      <c r="U215" s="1144">
        <f t="shared" si="34"/>
        <v>71393.7</v>
      </c>
      <c r="V215" s="1144">
        <f t="shared" si="34"/>
        <v>0</v>
      </c>
      <c r="W215" s="1145">
        <f t="shared" si="35"/>
        <v>71393.7</v>
      </c>
    </row>
    <row r="216" spans="1:23" x14ac:dyDescent="0.2">
      <c r="A216" s="1140" t="str">
        <f t="shared" si="27"/>
        <v>86G-C2 2300 AMR</v>
      </c>
      <c r="B216" s="1140" t="str">
        <f t="shared" si="28"/>
        <v xml:space="preserve">86G-C2 2300 </v>
      </c>
      <c r="C216" s="1140" t="s">
        <v>806</v>
      </c>
      <c r="D216" s="1140" t="s">
        <v>911</v>
      </c>
      <c r="E216" s="1140">
        <v>2300</v>
      </c>
      <c r="F216" s="1141">
        <f>SUMIF('JKP-8.5 - CNSMREQP_GASMTRCTR'!$A$2:$A$391,'JKP-8.5 - Total Costs'!A216,'JKP-8.5 - CNSMREQP_GASMTRCTR'!$F$2:$F$391)-SUMIF('JKP-8.5 - Migrated From'!$A$2:$A$22,'JKP-8.5 - Total Costs'!A216,'JKP-8.5 - Migrated From'!$F$2:$F$22)+SUMIF('JKP-8.5 - Migrated To'!$A$2:$A$22,'JKP-8.5 - Total Costs'!A216,'JKP-8.5 - Migrated To'!$F$2:$F$22)</f>
        <v>63</v>
      </c>
      <c r="G216" s="1141">
        <f>SUMIF('JKP-8.5 - CNSMREQP_GASMTRCTR'!$A$2:$A$391,'JKP-8.5 - Total Costs'!B216,'JKP-8.5 - CNSMREQP_GASMTRCTR'!$F$2:$F$391)-SUMIF('JKP-8.5 - Migrated From'!$A$2:$A$22,'JKP-8.5 - Total Costs'!B216,'JKP-8.5 - Migrated From'!$F$2:$F$22)+SUMIF('JKP-8.5 - Migrated To'!$A$2:$A$22,'JKP-8.5 - Total Costs'!B216,'JKP-8.5 - Migrated To'!$F$2:$F$22)</f>
        <v>3</v>
      </c>
      <c r="H216" s="1142">
        <f t="shared" si="29"/>
        <v>66</v>
      </c>
      <c r="I216" s="1143">
        <f>VLOOKUP($E216,'JKP-8.5 - Unit Costs'!$A$9:$H$33,2,FALSE)</f>
        <v>0</v>
      </c>
      <c r="J216" s="1143">
        <f>VLOOKUP($E216,'JKP-8.5 - Unit Costs'!$A$9:$H$33,5,FALSE)</f>
        <v>0</v>
      </c>
      <c r="K216" s="1143">
        <f>VLOOKUP($E216,'JKP-8.5 - Unit Costs'!$A$9:$H$33,3,FALSE)</f>
        <v>0</v>
      </c>
      <c r="L216" s="1143">
        <f>VLOOKUP($E216,'JKP-8.5 - Unit Costs'!$A$9:$H$33,6,FALSE)</f>
        <v>0</v>
      </c>
      <c r="M216" s="1143">
        <f>VLOOKUP($E216,'JKP-8.5 - Unit Costs'!$A$9:$H$33,8,FALSE)</f>
        <v>3587.13</v>
      </c>
      <c r="N216" s="1143">
        <f>VLOOKUP($E216,'JKP-8.5 - Unit Costs'!$A$9:$H$33,8,FALSE)</f>
        <v>3587.13</v>
      </c>
      <c r="O216" s="1144">
        <f t="shared" si="30"/>
        <v>0</v>
      </c>
      <c r="P216" s="1144">
        <f t="shared" si="30"/>
        <v>0</v>
      </c>
      <c r="Q216" s="1144">
        <f t="shared" si="31"/>
        <v>0</v>
      </c>
      <c r="R216" s="1144">
        <f t="shared" si="32"/>
        <v>0</v>
      </c>
      <c r="S216" s="1144">
        <f t="shared" si="32"/>
        <v>0</v>
      </c>
      <c r="T216" s="1144">
        <f t="shared" si="33"/>
        <v>0</v>
      </c>
      <c r="U216" s="1144">
        <f t="shared" si="34"/>
        <v>225989.19</v>
      </c>
      <c r="V216" s="1144">
        <f t="shared" si="34"/>
        <v>10761.39</v>
      </c>
      <c r="W216" s="1145">
        <f t="shared" si="35"/>
        <v>236750.58000000002</v>
      </c>
    </row>
    <row r="217" spans="1:23" x14ac:dyDescent="0.2">
      <c r="A217" s="1140" t="str">
        <f t="shared" si="27"/>
        <v>86G-C2 3000 AMR</v>
      </c>
      <c r="B217" s="1140" t="str">
        <f t="shared" si="28"/>
        <v xml:space="preserve">86G-C2 3000 </v>
      </c>
      <c r="C217" s="1140" t="s">
        <v>806</v>
      </c>
      <c r="D217" s="1140" t="s">
        <v>911</v>
      </c>
      <c r="E217" s="1140">
        <v>3000</v>
      </c>
      <c r="F217" s="1141">
        <f>SUMIF('JKP-8.5 - CNSMREQP_GASMTRCTR'!$A$2:$A$391,'JKP-8.5 - Total Costs'!A217,'JKP-8.5 - CNSMREQP_GASMTRCTR'!$F$2:$F$391)-SUMIF('JKP-8.5 - Migrated From'!$A$2:$A$22,'JKP-8.5 - Total Costs'!A217,'JKP-8.5 - Migrated From'!$F$2:$F$22)+SUMIF('JKP-8.5 - Migrated To'!$A$2:$A$22,'JKP-8.5 - Total Costs'!A217,'JKP-8.5 - Migrated To'!$F$2:$F$22)</f>
        <v>11</v>
      </c>
      <c r="G217" s="1141">
        <f>SUMIF('JKP-8.5 - CNSMREQP_GASMTRCTR'!$A$2:$A$391,'JKP-8.5 - Total Costs'!B217,'JKP-8.5 - CNSMREQP_GASMTRCTR'!$F$2:$F$391)-SUMIF('JKP-8.5 - Migrated From'!$A$2:$A$22,'JKP-8.5 - Total Costs'!B217,'JKP-8.5 - Migrated From'!$F$2:$F$22)+SUMIF('JKP-8.5 - Migrated To'!$A$2:$A$22,'JKP-8.5 - Total Costs'!B217,'JKP-8.5 - Migrated To'!$F$2:$F$22)</f>
        <v>0</v>
      </c>
      <c r="H217" s="1142">
        <f t="shared" si="29"/>
        <v>11</v>
      </c>
      <c r="I217" s="1143">
        <f>VLOOKUP($E217,'JKP-8.5 - Unit Costs'!$A$9:$H$33,2,FALSE)</f>
        <v>0</v>
      </c>
      <c r="J217" s="1143">
        <f>VLOOKUP($E217,'JKP-8.5 - Unit Costs'!$A$9:$H$33,5,FALSE)</f>
        <v>0</v>
      </c>
      <c r="K217" s="1143">
        <f>VLOOKUP($E217,'JKP-8.5 - Unit Costs'!$A$9:$H$33,3,FALSE)</f>
        <v>0</v>
      </c>
      <c r="L217" s="1143">
        <f>VLOOKUP($E217,'JKP-8.5 - Unit Costs'!$A$9:$H$33,6,FALSE)</f>
        <v>0</v>
      </c>
      <c r="M217" s="1143">
        <f>VLOOKUP($E217,'JKP-8.5 - Unit Costs'!$A$9:$H$33,8,FALSE)</f>
        <v>3406.19</v>
      </c>
      <c r="N217" s="1143">
        <f>VLOOKUP($E217,'JKP-8.5 - Unit Costs'!$A$9:$H$33,8,FALSE)</f>
        <v>3406.19</v>
      </c>
      <c r="O217" s="1144">
        <f t="shared" si="30"/>
        <v>0</v>
      </c>
      <c r="P217" s="1144">
        <f t="shared" si="30"/>
        <v>0</v>
      </c>
      <c r="Q217" s="1144">
        <f t="shared" si="31"/>
        <v>0</v>
      </c>
      <c r="R217" s="1144">
        <f t="shared" si="32"/>
        <v>0</v>
      </c>
      <c r="S217" s="1144">
        <f t="shared" si="32"/>
        <v>0</v>
      </c>
      <c r="T217" s="1144">
        <f t="shared" si="33"/>
        <v>0</v>
      </c>
      <c r="U217" s="1144">
        <f t="shared" si="34"/>
        <v>37468.090000000004</v>
      </c>
      <c r="V217" s="1144">
        <f t="shared" si="34"/>
        <v>0</v>
      </c>
      <c r="W217" s="1145">
        <f t="shared" si="35"/>
        <v>37468.090000000004</v>
      </c>
    </row>
    <row r="218" spans="1:23" x14ac:dyDescent="0.2">
      <c r="A218" s="1140" t="str">
        <f t="shared" si="27"/>
        <v>86G-C2 5000 AMR</v>
      </c>
      <c r="B218" s="1140" t="str">
        <f t="shared" si="28"/>
        <v xml:space="preserve">86G-C2 5000 </v>
      </c>
      <c r="C218" s="1140" t="s">
        <v>806</v>
      </c>
      <c r="D218" s="1140" t="s">
        <v>911</v>
      </c>
      <c r="E218" s="1140">
        <v>5000</v>
      </c>
      <c r="F218" s="1141">
        <f>SUMIF('JKP-8.5 - CNSMREQP_GASMTRCTR'!$A$2:$A$391,'JKP-8.5 - Total Costs'!A218,'JKP-8.5 - CNSMREQP_GASMTRCTR'!$F$2:$F$391)-SUMIF('JKP-8.5 - Migrated From'!$A$2:$A$22,'JKP-8.5 - Total Costs'!A218,'JKP-8.5 - Migrated From'!$F$2:$F$22)+SUMIF('JKP-8.5 - Migrated To'!$A$2:$A$22,'JKP-8.5 - Total Costs'!A218,'JKP-8.5 - Migrated To'!$F$2:$F$22)</f>
        <v>66</v>
      </c>
      <c r="G218" s="1141">
        <f>SUMIF('JKP-8.5 - CNSMREQP_GASMTRCTR'!$A$2:$A$391,'JKP-8.5 - Total Costs'!B218,'JKP-8.5 - CNSMREQP_GASMTRCTR'!$F$2:$F$391)-SUMIF('JKP-8.5 - Migrated From'!$A$2:$A$22,'JKP-8.5 - Total Costs'!B218,'JKP-8.5 - Migrated From'!$F$2:$F$22)+SUMIF('JKP-8.5 - Migrated To'!$A$2:$A$22,'JKP-8.5 - Total Costs'!B218,'JKP-8.5 - Migrated To'!$F$2:$F$22)</f>
        <v>11</v>
      </c>
      <c r="H218" s="1142">
        <f t="shared" si="29"/>
        <v>77</v>
      </c>
      <c r="I218" s="1143">
        <f>VLOOKUP($E218,'JKP-8.5 - Unit Costs'!$A$9:$H$33,2,FALSE)</f>
        <v>0</v>
      </c>
      <c r="J218" s="1143">
        <f>VLOOKUP($E218,'JKP-8.5 - Unit Costs'!$A$9:$H$33,5,FALSE)</f>
        <v>0</v>
      </c>
      <c r="K218" s="1143">
        <f>VLOOKUP($E218,'JKP-8.5 - Unit Costs'!$A$9:$H$33,3,FALSE)</f>
        <v>0</v>
      </c>
      <c r="L218" s="1143">
        <f>VLOOKUP($E218,'JKP-8.5 - Unit Costs'!$A$9:$H$33,6,FALSE)</f>
        <v>0</v>
      </c>
      <c r="M218" s="1143">
        <f>VLOOKUP($E218,'JKP-8.5 - Unit Costs'!$A$9:$H$33,8,FALSE)</f>
        <v>3456.43</v>
      </c>
      <c r="N218" s="1143">
        <f>VLOOKUP($E218,'JKP-8.5 - Unit Costs'!$A$9:$H$33,8,FALSE)</f>
        <v>3456.43</v>
      </c>
      <c r="O218" s="1144">
        <f t="shared" si="30"/>
        <v>0</v>
      </c>
      <c r="P218" s="1144">
        <f t="shared" si="30"/>
        <v>0</v>
      </c>
      <c r="Q218" s="1144">
        <f t="shared" si="31"/>
        <v>0</v>
      </c>
      <c r="R218" s="1144">
        <f t="shared" si="32"/>
        <v>0</v>
      </c>
      <c r="S218" s="1144">
        <f t="shared" si="32"/>
        <v>0</v>
      </c>
      <c r="T218" s="1144">
        <f t="shared" si="33"/>
        <v>0</v>
      </c>
      <c r="U218" s="1144">
        <f t="shared" si="34"/>
        <v>228124.37999999998</v>
      </c>
      <c r="V218" s="1144">
        <f t="shared" si="34"/>
        <v>38020.729999999996</v>
      </c>
      <c r="W218" s="1145">
        <f t="shared" si="35"/>
        <v>266145.11</v>
      </c>
    </row>
    <row r="219" spans="1:23" x14ac:dyDescent="0.2">
      <c r="A219" s="1140" t="str">
        <f t="shared" si="27"/>
        <v>86G-C2 7000 AMR</v>
      </c>
      <c r="B219" s="1140" t="str">
        <f t="shared" si="28"/>
        <v xml:space="preserve">86G-C2 7000 </v>
      </c>
      <c r="C219" s="1140" t="s">
        <v>806</v>
      </c>
      <c r="D219" s="1140" t="s">
        <v>911</v>
      </c>
      <c r="E219" s="1140">
        <v>7000</v>
      </c>
      <c r="F219" s="1141">
        <f>SUMIF('JKP-8.5 - CNSMREQP_GASMTRCTR'!$A$2:$A$391,'JKP-8.5 - Total Costs'!A219,'JKP-8.5 - CNSMREQP_GASMTRCTR'!$F$2:$F$391)-SUMIF('JKP-8.5 - Migrated From'!$A$2:$A$22,'JKP-8.5 - Total Costs'!A219,'JKP-8.5 - Migrated From'!$F$2:$F$22)+SUMIF('JKP-8.5 - Migrated To'!$A$2:$A$22,'JKP-8.5 - Total Costs'!A219,'JKP-8.5 - Migrated To'!$F$2:$F$22)</f>
        <v>11</v>
      </c>
      <c r="G219" s="1141">
        <f>SUMIF('JKP-8.5 - CNSMREQP_GASMTRCTR'!$A$2:$A$391,'JKP-8.5 - Total Costs'!B219,'JKP-8.5 - CNSMREQP_GASMTRCTR'!$F$2:$F$391)-SUMIF('JKP-8.5 - Migrated From'!$A$2:$A$22,'JKP-8.5 - Total Costs'!B219,'JKP-8.5 - Migrated From'!$F$2:$F$22)+SUMIF('JKP-8.5 - Migrated To'!$A$2:$A$22,'JKP-8.5 - Total Costs'!B219,'JKP-8.5 - Migrated To'!$F$2:$F$22)</f>
        <v>9</v>
      </c>
      <c r="H219" s="1142">
        <f t="shared" si="29"/>
        <v>20</v>
      </c>
      <c r="I219" s="1143">
        <f>VLOOKUP($E219,'JKP-8.5 - Unit Costs'!$A$9:$H$33,2,FALSE)</f>
        <v>0</v>
      </c>
      <c r="J219" s="1143">
        <f>VLOOKUP($E219,'JKP-8.5 - Unit Costs'!$A$9:$H$33,5,FALSE)</f>
        <v>0</v>
      </c>
      <c r="K219" s="1143">
        <f>VLOOKUP($E219,'JKP-8.5 - Unit Costs'!$A$9:$H$33,3,FALSE)</f>
        <v>0</v>
      </c>
      <c r="L219" s="1143">
        <f>VLOOKUP($E219,'JKP-8.5 - Unit Costs'!$A$9:$H$33,6,FALSE)</f>
        <v>0</v>
      </c>
      <c r="M219" s="1143">
        <f>VLOOKUP($E219,'JKP-8.5 - Unit Costs'!$A$9:$H$33,8,FALSE)</f>
        <v>3458.4399999999996</v>
      </c>
      <c r="N219" s="1143">
        <f>VLOOKUP($E219,'JKP-8.5 - Unit Costs'!$A$9:$H$33,8,FALSE)</f>
        <v>3458.4399999999996</v>
      </c>
      <c r="O219" s="1144">
        <f t="shared" si="30"/>
        <v>0</v>
      </c>
      <c r="P219" s="1144">
        <f t="shared" si="30"/>
        <v>0</v>
      </c>
      <c r="Q219" s="1144">
        <f t="shared" si="31"/>
        <v>0</v>
      </c>
      <c r="R219" s="1144">
        <f t="shared" si="32"/>
        <v>0</v>
      </c>
      <c r="S219" s="1144">
        <f t="shared" si="32"/>
        <v>0</v>
      </c>
      <c r="T219" s="1144">
        <f t="shared" si="33"/>
        <v>0</v>
      </c>
      <c r="U219" s="1144">
        <f t="shared" si="34"/>
        <v>38042.839999999997</v>
      </c>
      <c r="V219" s="1144">
        <f t="shared" si="34"/>
        <v>31125.959999999995</v>
      </c>
      <c r="W219" s="1145">
        <f t="shared" si="35"/>
        <v>69168.799999999988</v>
      </c>
    </row>
    <row r="220" spans="1:23" x14ac:dyDescent="0.2">
      <c r="A220" s="1140" t="str">
        <f t="shared" si="27"/>
        <v>86G-C2 11000 AMR</v>
      </c>
      <c r="B220" s="1140" t="str">
        <f t="shared" si="28"/>
        <v xml:space="preserve">86G-C2 11000 </v>
      </c>
      <c r="C220" s="1140" t="s">
        <v>806</v>
      </c>
      <c r="D220" s="1140" t="s">
        <v>911</v>
      </c>
      <c r="E220" s="1140">
        <v>11000</v>
      </c>
      <c r="F220" s="1141">
        <f>SUMIF('JKP-8.5 - CNSMREQP_GASMTRCTR'!$A$2:$A$391,'JKP-8.5 - Total Costs'!A220,'JKP-8.5 - CNSMREQP_GASMTRCTR'!$F$2:$F$391)-SUMIF('JKP-8.5 - Migrated From'!$A$2:$A$22,'JKP-8.5 - Total Costs'!A220,'JKP-8.5 - Migrated From'!$F$2:$F$22)+SUMIF('JKP-8.5 - Migrated To'!$A$2:$A$22,'JKP-8.5 - Total Costs'!A220,'JKP-8.5 - Migrated To'!$F$2:$F$22)</f>
        <v>1</v>
      </c>
      <c r="G220" s="1141">
        <f>SUMIF('JKP-8.5 - CNSMREQP_GASMTRCTR'!$A$2:$A$391,'JKP-8.5 - Total Costs'!B220,'JKP-8.5 - CNSMREQP_GASMTRCTR'!$F$2:$F$391)-SUMIF('JKP-8.5 - Migrated From'!$A$2:$A$22,'JKP-8.5 - Total Costs'!B220,'JKP-8.5 - Migrated From'!$F$2:$F$22)+SUMIF('JKP-8.5 - Migrated To'!$A$2:$A$22,'JKP-8.5 - Total Costs'!B220,'JKP-8.5 - Migrated To'!$F$2:$F$22)</f>
        <v>20</v>
      </c>
      <c r="H220" s="1142">
        <f t="shared" si="29"/>
        <v>21</v>
      </c>
      <c r="I220" s="1143">
        <f>VLOOKUP($E220,'JKP-8.5 - Unit Costs'!$A$9:$H$33,2,FALSE)</f>
        <v>0</v>
      </c>
      <c r="J220" s="1143">
        <f>VLOOKUP($E220,'JKP-8.5 - Unit Costs'!$A$9:$H$33,5,FALSE)</f>
        <v>0</v>
      </c>
      <c r="K220" s="1143">
        <f>VLOOKUP($E220,'JKP-8.5 - Unit Costs'!$A$9:$H$33,3,FALSE)</f>
        <v>0</v>
      </c>
      <c r="L220" s="1143">
        <f>VLOOKUP($E220,'JKP-8.5 - Unit Costs'!$A$9:$H$33,6,FALSE)</f>
        <v>0</v>
      </c>
      <c r="M220" s="1143">
        <f>VLOOKUP($E220,'JKP-8.5 - Unit Costs'!$A$9:$H$33,8,FALSE)</f>
        <v>5835.1900000000005</v>
      </c>
      <c r="N220" s="1143">
        <f>VLOOKUP($E220,'JKP-8.5 - Unit Costs'!$A$9:$H$33,8,FALSE)</f>
        <v>5835.1900000000005</v>
      </c>
      <c r="O220" s="1144">
        <f t="shared" si="30"/>
        <v>0</v>
      </c>
      <c r="P220" s="1144">
        <f t="shared" si="30"/>
        <v>0</v>
      </c>
      <c r="Q220" s="1144">
        <f t="shared" si="31"/>
        <v>0</v>
      </c>
      <c r="R220" s="1144">
        <f t="shared" si="32"/>
        <v>0</v>
      </c>
      <c r="S220" s="1144">
        <f t="shared" si="32"/>
        <v>0</v>
      </c>
      <c r="T220" s="1144">
        <f t="shared" si="33"/>
        <v>0</v>
      </c>
      <c r="U220" s="1144">
        <f t="shared" si="34"/>
        <v>5835.1900000000005</v>
      </c>
      <c r="V220" s="1144">
        <f t="shared" si="34"/>
        <v>116703.80000000002</v>
      </c>
      <c r="W220" s="1145">
        <f t="shared" si="35"/>
        <v>122538.99000000002</v>
      </c>
    </row>
    <row r="221" spans="1:23" x14ac:dyDescent="0.2">
      <c r="A221" s="1140" t="str">
        <f t="shared" si="27"/>
        <v>86G-C2 16000 AMR</v>
      </c>
      <c r="B221" s="1140" t="str">
        <f t="shared" si="28"/>
        <v xml:space="preserve">86G-C2 16000 </v>
      </c>
      <c r="C221" s="1140" t="s">
        <v>806</v>
      </c>
      <c r="D221" s="1140" t="s">
        <v>911</v>
      </c>
      <c r="E221" s="1140">
        <v>16000</v>
      </c>
      <c r="F221" s="1141">
        <f>SUMIF('JKP-8.5 - CNSMREQP_GASMTRCTR'!$A$2:$A$391,'JKP-8.5 - Total Costs'!A221,'JKP-8.5 - CNSMREQP_GASMTRCTR'!$F$2:$F$391)-SUMIF('JKP-8.5 - Migrated From'!$A$2:$A$22,'JKP-8.5 - Total Costs'!A221,'JKP-8.5 - Migrated From'!$F$2:$F$22)+SUMIF('JKP-8.5 - Migrated To'!$A$2:$A$22,'JKP-8.5 - Total Costs'!A221,'JKP-8.5 - Migrated To'!$F$2:$F$22)</f>
        <v>0</v>
      </c>
      <c r="G221" s="1141">
        <f>SUMIF('JKP-8.5 - CNSMREQP_GASMTRCTR'!$A$2:$A$391,'JKP-8.5 - Total Costs'!B221,'JKP-8.5 - CNSMREQP_GASMTRCTR'!$F$2:$F$391)-SUMIF('JKP-8.5 - Migrated From'!$A$2:$A$22,'JKP-8.5 - Total Costs'!B221,'JKP-8.5 - Migrated From'!$F$2:$F$22)+SUMIF('JKP-8.5 - Migrated To'!$A$2:$A$22,'JKP-8.5 - Total Costs'!B221,'JKP-8.5 - Migrated To'!$F$2:$F$22)</f>
        <v>12</v>
      </c>
      <c r="H221" s="1142">
        <f t="shared" si="29"/>
        <v>12</v>
      </c>
      <c r="I221" s="1143">
        <f>VLOOKUP($E221,'JKP-8.5 - Unit Costs'!$A$9:$H$33,2,FALSE)</f>
        <v>0</v>
      </c>
      <c r="J221" s="1143">
        <f>VLOOKUP($E221,'JKP-8.5 - Unit Costs'!$A$9:$H$33,5,FALSE)</f>
        <v>0</v>
      </c>
      <c r="K221" s="1143">
        <f>VLOOKUP($E221,'JKP-8.5 - Unit Costs'!$A$9:$H$33,3,FALSE)</f>
        <v>0</v>
      </c>
      <c r="L221" s="1143">
        <f>VLOOKUP($E221,'JKP-8.5 - Unit Costs'!$A$9:$H$33,6,FALSE)</f>
        <v>0</v>
      </c>
      <c r="M221" s="1143">
        <f>VLOOKUP($E221,'JKP-8.5 - Unit Costs'!$A$9:$H$33,8,FALSE)</f>
        <v>8983.2999999999993</v>
      </c>
      <c r="N221" s="1143">
        <f>VLOOKUP($E221,'JKP-8.5 - Unit Costs'!$A$9:$H$33,8,FALSE)</f>
        <v>8983.2999999999993</v>
      </c>
      <c r="O221" s="1144">
        <f t="shared" si="30"/>
        <v>0</v>
      </c>
      <c r="P221" s="1144">
        <f t="shared" si="30"/>
        <v>0</v>
      </c>
      <c r="Q221" s="1144">
        <f t="shared" si="31"/>
        <v>0</v>
      </c>
      <c r="R221" s="1144">
        <f t="shared" si="32"/>
        <v>0</v>
      </c>
      <c r="S221" s="1144">
        <f t="shared" si="32"/>
        <v>0</v>
      </c>
      <c r="T221" s="1144">
        <f t="shared" si="33"/>
        <v>0</v>
      </c>
      <c r="U221" s="1144">
        <f t="shared" si="34"/>
        <v>0</v>
      </c>
      <c r="V221" s="1144">
        <f t="shared" si="34"/>
        <v>107799.59999999999</v>
      </c>
      <c r="W221" s="1145">
        <f t="shared" si="35"/>
        <v>107799.59999999999</v>
      </c>
    </row>
    <row r="222" spans="1:23" x14ac:dyDescent="0.2">
      <c r="A222" s="1140" t="str">
        <f t="shared" si="27"/>
        <v>86G-C2 18000 AMR</v>
      </c>
      <c r="B222" s="1140" t="str">
        <f t="shared" si="28"/>
        <v xml:space="preserve">86G-C2 18000 </v>
      </c>
      <c r="C222" s="1140" t="s">
        <v>806</v>
      </c>
      <c r="D222" s="1140" t="s">
        <v>911</v>
      </c>
      <c r="E222" s="1140">
        <v>18000</v>
      </c>
      <c r="F222" s="1141">
        <f>SUMIF('JKP-8.5 - CNSMREQP_GASMTRCTR'!$A$2:$A$391,'JKP-8.5 - Total Costs'!A222,'JKP-8.5 - CNSMREQP_GASMTRCTR'!$F$2:$F$391)-SUMIF('JKP-8.5 - Migrated From'!$A$2:$A$22,'JKP-8.5 - Total Costs'!A222,'JKP-8.5 - Migrated From'!$F$2:$F$22)+SUMIF('JKP-8.5 - Migrated To'!$A$2:$A$22,'JKP-8.5 - Total Costs'!A222,'JKP-8.5 - Migrated To'!$F$2:$F$22)</f>
        <v>0</v>
      </c>
      <c r="G222" s="1141">
        <f>SUMIF('JKP-8.5 - CNSMREQP_GASMTRCTR'!$A$2:$A$391,'JKP-8.5 - Total Costs'!B222,'JKP-8.5 - CNSMREQP_GASMTRCTR'!$F$2:$F$391)-SUMIF('JKP-8.5 - Migrated From'!$A$2:$A$22,'JKP-8.5 - Total Costs'!B222,'JKP-8.5 - Migrated From'!$F$2:$F$22)+SUMIF('JKP-8.5 - Migrated To'!$A$2:$A$22,'JKP-8.5 - Total Costs'!B222,'JKP-8.5 - Migrated To'!$F$2:$F$22)</f>
        <v>1</v>
      </c>
      <c r="H222" s="1142">
        <f t="shared" si="29"/>
        <v>1</v>
      </c>
      <c r="I222" s="1143">
        <f>VLOOKUP($E222,'JKP-8.5 - Unit Costs'!$A$9:$H$33,2,FALSE)</f>
        <v>0</v>
      </c>
      <c r="J222" s="1143">
        <f>VLOOKUP($E222,'JKP-8.5 - Unit Costs'!$A$9:$H$33,5,FALSE)</f>
        <v>0</v>
      </c>
      <c r="K222" s="1143">
        <f>VLOOKUP($E222,'JKP-8.5 - Unit Costs'!$A$9:$H$33,3,FALSE)</f>
        <v>0</v>
      </c>
      <c r="L222" s="1143">
        <f>VLOOKUP($E222,'JKP-8.5 - Unit Costs'!$A$9:$H$33,6,FALSE)</f>
        <v>0</v>
      </c>
      <c r="M222" s="1143">
        <f>VLOOKUP($E222,'JKP-8.5 - Unit Costs'!$A$9:$H$33,8,FALSE)</f>
        <v>8412.5300000000007</v>
      </c>
      <c r="N222" s="1143">
        <f>VLOOKUP($E222,'JKP-8.5 - Unit Costs'!$A$9:$H$33,8,FALSE)</f>
        <v>8412.5300000000007</v>
      </c>
      <c r="O222" s="1144">
        <f t="shared" si="30"/>
        <v>0</v>
      </c>
      <c r="P222" s="1144">
        <f t="shared" si="30"/>
        <v>0</v>
      </c>
      <c r="Q222" s="1144">
        <f t="shared" si="31"/>
        <v>0</v>
      </c>
      <c r="R222" s="1144">
        <f t="shared" si="32"/>
        <v>0</v>
      </c>
      <c r="S222" s="1144">
        <f t="shared" si="32"/>
        <v>0</v>
      </c>
      <c r="T222" s="1144">
        <f t="shared" si="33"/>
        <v>0</v>
      </c>
      <c r="U222" s="1144">
        <f t="shared" si="34"/>
        <v>0</v>
      </c>
      <c r="V222" s="1144">
        <f t="shared" si="34"/>
        <v>8412.5300000000007</v>
      </c>
      <c r="W222" s="1145">
        <f t="shared" si="35"/>
        <v>8412.5300000000007</v>
      </c>
    </row>
    <row r="223" spans="1:23" x14ac:dyDescent="0.2">
      <c r="A223" s="1140" t="str">
        <f t="shared" si="27"/>
        <v>86G-C2 23000 AMR</v>
      </c>
      <c r="B223" s="1140" t="str">
        <f t="shared" si="28"/>
        <v xml:space="preserve">86G-C2 23000 </v>
      </c>
      <c r="C223" s="1140" t="s">
        <v>806</v>
      </c>
      <c r="D223" s="1140" t="s">
        <v>911</v>
      </c>
      <c r="E223" s="1140">
        <v>23000</v>
      </c>
      <c r="F223" s="1141">
        <f>SUMIF('JKP-8.5 - CNSMREQP_GASMTRCTR'!$A$2:$A$391,'JKP-8.5 - Total Costs'!A223,'JKP-8.5 - CNSMREQP_GASMTRCTR'!$F$2:$F$391)-SUMIF('JKP-8.5 - Migrated From'!$A$2:$A$22,'JKP-8.5 - Total Costs'!A223,'JKP-8.5 - Migrated From'!$F$2:$F$22)+SUMIF('JKP-8.5 - Migrated To'!$A$2:$A$22,'JKP-8.5 - Total Costs'!A223,'JKP-8.5 - Migrated To'!$F$2:$F$22)</f>
        <v>0</v>
      </c>
      <c r="G223" s="1141">
        <f>SUMIF('JKP-8.5 - CNSMREQP_GASMTRCTR'!$A$2:$A$391,'JKP-8.5 - Total Costs'!B223,'JKP-8.5 - CNSMREQP_GASMTRCTR'!$F$2:$F$391)-SUMIF('JKP-8.5 - Migrated From'!$A$2:$A$22,'JKP-8.5 - Total Costs'!B223,'JKP-8.5 - Migrated From'!$F$2:$F$22)+SUMIF('JKP-8.5 - Migrated To'!$A$2:$A$22,'JKP-8.5 - Total Costs'!B223,'JKP-8.5 - Migrated To'!$F$2:$F$22)</f>
        <v>5</v>
      </c>
      <c r="H223" s="1142">
        <f t="shared" si="29"/>
        <v>5</v>
      </c>
      <c r="I223" s="1143">
        <f>VLOOKUP($E223,'JKP-8.5 - Unit Costs'!$A$9:$H$33,2,FALSE)</f>
        <v>0</v>
      </c>
      <c r="J223" s="1143">
        <f>VLOOKUP($E223,'JKP-8.5 - Unit Costs'!$A$9:$H$33,5,FALSE)</f>
        <v>0</v>
      </c>
      <c r="K223" s="1143">
        <f>VLOOKUP($E223,'JKP-8.5 - Unit Costs'!$A$9:$H$33,3,FALSE)</f>
        <v>0</v>
      </c>
      <c r="L223" s="1143">
        <f>VLOOKUP($E223,'JKP-8.5 - Unit Costs'!$A$9:$H$33,6,FALSE)</f>
        <v>0</v>
      </c>
      <c r="M223" s="1143">
        <f>VLOOKUP($E223,'JKP-8.5 - Unit Costs'!$A$9:$H$33,8,FALSE)</f>
        <v>20882.400000000001</v>
      </c>
      <c r="N223" s="1143">
        <f>VLOOKUP($E223,'JKP-8.5 - Unit Costs'!$A$9:$H$33,8,FALSE)</f>
        <v>20882.400000000001</v>
      </c>
      <c r="O223" s="1144">
        <f t="shared" si="30"/>
        <v>0</v>
      </c>
      <c r="P223" s="1144">
        <f t="shared" si="30"/>
        <v>0</v>
      </c>
      <c r="Q223" s="1144">
        <f t="shared" si="31"/>
        <v>0</v>
      </c>
      <c r="R223" s="1144">
        <f t="shared" si="32"/>
        <v>0</v>
      </c>
      <c r="S223" s="1144">
        <f t="shared" si="32"/>
        <v>0</v>
      </c>
      <c r="T223" s="1144">
        <f t="shared" si="33"/>
        <v>0</v>
      </c>
      <c r="U223" s="1144">
        <f t="shared" si="34"/>
        <v>0</v>
      </c>
      <c r="V223" s="1144">
        <f t="shared" si="34"/>
        <v>104412</v>
      </c>
      <c r="W223" s="1145">
        <f t="shared" si="35"/>
        <v>104412</v>
      </c>
    </row>
    <row r="224" spans="1:23" x14ac:dyDescent="0.2">
      <c r="A224" s="1140" t="str">
        <f t="shared" si="27"/>
        <v>86G-C2 30000 AMR</v>
      </c>
      <c r="B224" s="1140" t="str">
        <f t="shared" si="28"/>
        <v xml:space="preserve">86G-C2 30000 </v>
      </c>
      <c r="C224" s="1140" t="s">
        <v>806</v>
      </c>
      <c r="D224" s="1140" t="s">
        <v>911</v>
      </c>
      <c r="E224" s="1140">
        <v>30000</v>
      </c>
      <c r="F224" s="1141">
        <f>SUMIF('JKP-8.5 - CNSMREQP_GASMTRCTR'!$A$2:$A$391,'JKP-8.5 - Total Costs'!A224,'JKP-8.5 - CNSMREQP_GASMTRCTR'!$F$2:$F$391)-SUMIF('JKP-8.5 - Migrated From'!$A$2:$A$22,'JKP-8.5 - Total Costs'!A224,'JKP-8.5 - Migrated From'!$F$2:$F$22)+SUMIF('JKP-8.5 - Migrated To'!$A$2:$A$22,'JKP-8.5 - Total Costs'!A224,'JKP-8.5 - Migrated To'!$F$2:$F$22)</f>
        <v>0</v>
      </c>
      <c r="G224" s="1141">
        <f>SUMIF('JKP-8.5 - CNSMREQP_GASMTRCTR'!$A$2:$A$391,'JKP-8.5 - Total Costs'!B224,'JKP-8.5 - CNSMREQP_GASMTRCTR'!$F$2:$F$391)-SUMIF('JKP-8.5 - Migrated From'!$A$2:$A$22,'JKP-8.5 - Total Costs'!B224,'JKP-8.5 - Migrated From'!$F$2:$F$22)+SUMIF('JKP-8.5 - Migrated To'!$A$2:$A$22,'JKP-8.5 - Total Costs'!B224,'JKP-8.5 - Migrated To'!$F$2:$F$22)</f>
        <v>1</v>
      </c>
      <c r="H224" s="1142">
        <f t="shared" si="29"/>
        <v>1</v>
      </c>
      <c r="I224" s="1143">
        <f>VLOOKUP($E224,'JKP-8.5 - Unit Costs'!$A$9:$H$33,2,FALSE)</f>
        <v>0</v>
      </c>
      <c r="J224" s="1143">
        <f>VLOOKUP($E224,'JKP-8.5 - Unit Costs'!$A$9:$H$33,5,FALSE)</f>
        <v>0</v>
      </c>
      <c r="K224" s="1143">
        <f>VLOOKUP($E224,'JKP-8.5 - Unit Costs'!$A$9:$H$33,3,FALSE)</f>
        <v>0</v>
      </c>
      <c r="L224" s="1143">
        <f>VLOOKUP($E224,'JKP-8.5 - Unit Costs'!$A$9:$H$33,6,FALSE)</f>
        <v>0</v>
      </c>
      <c r="M224" s="1143">
        <f>VLOOKUP($E224,'JKP-8.5 - Unit Costs'!$A$9:$H$33,8,FALSE)</f>
        <v>28159.37</v>
      </c>
      <c r="N224" s="1143">
        <f>VLOOKUP($E224,'JKP-8.5 - Unit Costs'!$A$9:$H$33,8,FALSE)</f>
        <v>28159.37</v>
      </c>
      <c r="O224" s="1144">
        <f t="shared" si="30"/>
        <v>0</v>
      </c>
      <c r="P224" s="1144">
        <f t="shared" si="30"/>
        <v>0</v>
      </c>
      <c r="Q224" s="1144">
        <f t="shared" si="31"/>
        <v>0</v>
      </c>
      <c r="R224" s="1144">
        <f t="shared" si="32"/>
        <v>0</v>
      </c>
      <c r="S224" s="1144">
        <f t="shared" si="32"/>
        <v>0</v>
      </c>
      <c r="T224" s="1144">
        <f t="shared" si="33"/>
        <v>0</v>
      </c>
      <c r="U224" s="1144">
        <f t="shared" si="34"/>
        <v>0</v>
      </c>
      <c r="V224" s="1144">
        <f t="shared" si="34"/>
        <v>28159.37</v>
      </c>
      <c r="W224" s="1145">
        <f t="shared" si="35"/>
        <v>28159.37</v>
      </c>
    </row>
    <row r="225" spans="1:23" x14ac:dyDescent="0.2">
      <c r="A225" s="1140" t="str">
        <f t="shared" si="27"/>
        <v>86G-I2 3000 AMR</v>
      </c>
      <c r="B225" s="1140" t="str">
        <f t="shared" si="28"/>
        <v xml:space="preserve">86G-I2 3000 </v>
      </c>
      <c r="C225" s="1140" t="s">
        <v>806</v>
      </c>
      <c r="D225" s="1140" t="s">
        <v>921</v>
      </c>
      <c r="E225" s="1140">
        <v>3000</v>
      </c>
      <c r="F225" s="1141">
        <f>SUMIF('JKP-8.5 - CNSMREQP_GASMTRCTR'!$A$2:$A$391,'JKP-8.5 - Total Costs'!A225,'JKP-8.5 - CNSMREQP_GASMTRCTR'!$F$2:$F$391)-SUMIF('JKP-8.5 - Migrated From'!$A$2:$A$22,'JKP-8.5 - Total Costs'!A225,'JKP-8.5 - Migrated From'!$F$2:$F$22)+SUMIF('JKP-8.5 - Migrated To'!$A$2:$A$22,'JKP-8.5 - Total Costs'!A225,'JKP-8.5 - Migrated To'!$F$2:$F$22)</f>
        <v>0</v>
      </c>
      <c r="G225" s="1141">
        <f>SUMIF('JKP-8.5 - CNSMREQP_GASMTRCTR'!$A$2:$A$391,'JKP-8.5 - Total Costs'!B225,'JKP-8.5 - CNSMREQP_GASMTRCTR'!$F$2:$F$391)-SUMIF('JKP-8.5 - Migrated From'!$A$2:$A$22,'JKP-8.5 - Total Costs'!B225,'JKP-8.5 - Migrated From'!$F$2:$F$22)+SUMIF('JKP-8.5 - Migrated To'!$A$2:$A$22,'JKP-8.5 - Total Costs'!B225,'JKP-8.5 - Migrated To'!$F$2:$F$22)</f>
        <v>1</v>
      </c>
      <c r="H225" s="1142">
        <f t="shared" si="29"/>
        <v>1</v>
      </c>
      <c r="I225" s="1143">
        <f>VLOOKUP($E225,'JKP-8.5 - Unit Costs'!$A$9:$H$33,2,FALSE)</f>
        <v>0</v>
      </c>
      <c r="J225" s="1143">
        <f>VLOOKUP($E225,'JKP-8.5 - Unit Costs'!$A$9:$H$33,5,FALSE)</f>
        <v>0</v>
      </c>
      <c r="K225" s="1143">
        <f>VLOOKUP($E225,'JKP-8.5 - Unit Costs'!$A$9:$H$33,3,FALSE)</f>
        <v>0</v>
      </c>
      <c r="L225" s="1143">
        <f>VLOOKUP($E225,'JKP-8.5 - Unit Costs'!$A$9:$H$33,6,FALSE)</f>
        <v>0</v>
      </c>
      <c r="M225" s="1143">
        <f>VLOOKUP($E225,'JKP-8.5 - Unit Costs'!$A$9:$H$33,8,FALSE)</f>
        <v>3406.19</v>
      </c>
      <c r="N225" s="1143">
        <f>VLOOKUP($E225,'JKP-8.5 - Unit Costs'!$A$9:$H$33,8,FALSE)</f>
        <v>3406.19</v>
      </c>
      <c r="O225" s="1144">
        <f>I225*F225</f>
        <v>0</v>
      </c>
      <c r="P225" s="1144">
        <f>J225*G225</f>
        <v>0</v>
      </c>
      <c r="Q225" s="1144">
        <f>P225+O225</f>
        <v>0</v>
      </c>
      <c r="R225" s="1144">
        <f>K225*F225</f>
        <v>0</v>
      </c>
      <c r="S225" s="1144">
        <f>L225*G225</f>
        <v>0</v>
      </c>
      <c r="T225" s="1144">
        <f>S225+R225</f>
        <v>0</v>
      </c>
      <c r="U225" s="1144">
        <f>M225*F225</f>
        <v>0</v>
      </c>
      <c r="V225" s="1144">
        <f>N225*G225</f>
        <v>3406.19</v>
      </c>
      <c r="W225" s="1145">
        <f>V225+U225</f>
        <v>3406.19</v>
      </c>
    </row>
    <row r="226" spans="1:23" x14ac:dyDescent="0.2">
      <c r="A226" s="1140" t="str">
        <f t="shared" si="27"/>
        <v>86G-I2 5000 AMR</v>
      </c>
      <c r="B226" s="1140" t="str">
        <f t="shared" si="28"/>
        <v xml:space="preserve">86G-I2 5000 </v>
      </c>
      <c r="C226" s="1140" t="s">
        <v>806</v>
      </c>
      <c r="D226" s="1140" t="s">
        <v>921</v>
      </c>
      <c r="E226" s="1140">
        <v>5000</v>
      </c>
      <c r="F226" s="1141">
        <f>SUMIF('JKP-8.5 - CNSMREQP_GASMTRCTR'!$A$2:$A$391,'JKP-8.5 - Total Costs'!A226,'JKP-8.5 - CNSMREQP_GASMTRCTR'!$F$2:$F$391)-SUMIF('JKP-8.5 - Migrated From'!$A$2:$A$22,'JKP-8.5 - Total Costs'!A226,'JKP-8.5 - Migrated From'!$F$2:$F$22)+SUMIF('JKP-8.5 - Migrated To'!$A$2:$A$22,'JKP-8.5 - Total Costs'!A226,'JKP-8.5 - Migrated To'!$F$2:$F$22)</f>
        <v>1</v>
      </c>
      <c r="G226" s="1141">
        <f>SUMIF('JKP-8.5 - CNSMREQP_GASMTRCTR'!$A$2:$A$391,'JKP-8.5 - Total Costs'!B226,'JKP-8.5 - CNSMREQP_GASMTRCTR'!$F$2:$F$391)-SUMIF('JKP-8.5 - Migrated From'!$A$2:$A$22,'JKP-8.5 - Total Costs'!B226,'JKP-8.5 - Migrated From'!$F$2:$F$22)+SUMIF('JKP-8.5 - Migrated To'!$A$2:$A$22,'JKP-8.5 - Total Costs'!B226,'JKP-8.5 - Migrated To'!$F$2:$F$22)</f>
        <v>3</v>
      </c>
      <c r="H226" s="1142">
        <f t="shared" si="29"/>
        <v>4</v>
      </c>
      <c r="I226" s="1143">
        <f>VLOOKUP($E226,'JKP-8.5 - Unit Costs'!$A$9:$H$33,2,FALSE)</f>
        <v>0</v>
      </c>
      <c r="J226" s="1143">
        <f>VLOOKUP($E226,'JKP-8.5 - Unit Costs'!$A$9:$H$33,5,FALSE)</f>
        <v>0</v>
      </c>
      <c r="K226" s="1143">
        <f>VLOOKUP($E226,'JKP-8.5 - Unit Costs'!$A$9:$H$33,3,FALSE)</f>
        <v>0</v>
      </c>
      <c r="L226" s="1143">
        <f>VLOOKUP($E226,'JKP-8.5 - Unit Costs'!$A$9:$H$33,6,FALSE)</f>
        <v>0</v>
      </c>
      <c r="M226" s="1143">
        <f>VLOOKUP($E226,'JKP-8.5 - Unit Costs'!$A$9:$H$33,8,FALSE)</f>
        <v>3456.43</v>
      </c>
      <c r="N226" s="1143">
        <f>VLOOKUP($E226,'JKP-8.5 - Unit Costs'!$A$9:$H$33,8,FALSE)</f>
        <v>3456.43</v>
      </c>
      <c r="O226" s="1144">
        <f>I226*F226</f>
        <v>0</v>
      </c>
      <c r="P226" s="1144">
        <f>J226*G226</f>
        <v>0</v>
      </c>
      <c r="Q226" s="1144">
        <f>P226+O226</f>
        <v>0</v>
      </c>
      <c r="R226" s="1144">
        <f>K226*F226</f>
        <v>0</v>
      </c>
      <c r="S226" s="1144">
        <f>L226*G226</f>
        <v>0</v>
      </c>
      <c r="T226" s="1144">
        <f>S226+R226</f>
        <v>0</v>
      </c>
      <c r="U226" s="1144">
        <f>M226*F226</f>
        <v>3456.43</v>
      </c>
      <c r="V226" s="1144">
        <f>N226*G226</f>
        <v>10369.289999999999</v>
      </c>
      <c r="W226" s="1145">
        <f>V226+U226</f>
        <v>13825.72</v>
      </c>
    </row>
    <row r="227" spans="1:23" x14ac:dyDescent="0.2">
      <c r="A227" s="1140" t="str">
        <f t="shared" si="27"/>
        <v>86G-I2 11000 AMR</v>
      </c>
      <c r="B227" s="1140" t="str">
        <f t="shared" si="28"/>
        <v xml:space="preserve">86G-I2 11000 </v>
      </c>
      <c r="C227" s="1140" t="s">
        <v>806</v>
      </c>
      <c r="D227" s="1140" t="s">
        <v>921</v>
      </c>
      <c r="E227" s="1140">
        <v>11000</v>
      </c>
      <c r="F227" s="1141">
        <f>SUMIF('JKP-8.5 - CNSMREQP_GASMTRCTR'!$A$2:$A$391,'JKP-8.5 - Total Costs'!A227,'JKP-8.5 - CNSMREQP_GASMTRCTR'!$F$2:$F$391)-SUMIF('JKP-8.5 - Migrated From'!$A$2:$A$22,'JKP-8.5 - Total Costs'!A227,'JKP-8.5 - Migrated From'!$F$2:$F$22)+SUMIF('JKP-8.5 - Migrated To'!$A$2:$A$22,'JKP-8.5 - Total Costs'!A227,'JKP-8.5 - Migrated To'!$F$2:$F$22)</f>
        <v>0</v>
      </c>
      <c r="G227" s="1141">
        <f>SUMIF('JKP-8.5 - CNSMREQP_GASMTRCTR'!$A$2:$A$391,'JKP-8.5 - Total Costs'!B227,'JKP-8.5 - CNSMREQP_GASMTRCTR'!$F$2:$F$391)-SUMIF('JKP-8.5 - Migrated From'!$A$2:$A$22,'JKP-8.5 - Total Costs'!B227,'JKP-8.5 - Migrated From'!$F$2:$F$22)+SUMIF('JKP-8.5 - Migrated To'!$A$2:$A$22,'JKP-8.5 - Total Costs'!B227,'JKP-8.5 - Migrated To'!$F$2:$F$22)</f>
        <v>4</v>
      </c>
      <c r="H227" s="1142">
        <f t="shared" si="29"/>
        <v>4</v>
      </c>
      <c r="I227" s="1143">
        <f>VLOOKUP($E227,'JKP-8.5 - Unit Costs'!$A$9:$H$33,2,FALSE)</f>
        <v>0</v>
      </c>
      <c r="J227" s="1143">
        <f>VLOOKUP($E227,'JKP-8.5 - Unit Costs'!$A$9:$H$33,5,FALSE)</f>
        <v>0</v>
      </c>
      <c r="K227" s="1143">
        <f>VLOOKUP($E227,'JKP-8.5 - Unit Costs'!$A$9:$H$33,3,FALSE)</f>
        <v>0</v>
      </c>
      <c r="L227" s="1143">
        <f>VLOOKUP($E227,'JKP-8.5 - Unit Costs'!$A$9:$H$33,6,FALSE)</f>
        <v>0</v>
      </c>
      <c r="M227" s="1143">
        <f>VLOOKUP($E227,'JKP-8.5 - Unit Costs'!$A$9:$H$33,8,FALSE)</f>
        <v>5835.1900000000005</v>
      </c>
      <c r="N227" s="1143">
        <f>VLOOKUP($E227,'JKP-8.5 - Unit Costs'!$A$9:$H$33,8,FALSE)</f>
        <v>5835.1900000000005</v>
      </c>
      <c r="O227" s="1144">
        <f t="shared" si="30"/>
        <v>0</v>
      </c>
      <c r="P227" s="1144">
        <f t="shared" si="30"/>
        <v>0</v>
      </c>
      <c r="Q227" s="1144">
        <f t="shared" si="31"/>
        <v>0</v>
      </c>
      <c r="R227" s="1144">
        <f t="shared" si="32"/>
        <v>0</v>
      </c>
      <c r="S227" s="1144">
        <f t="shared" si="32"/>
        <v>0</v>
      </c>
      <c r="T227" s="1144">
        <f t="shared" si="33"/>
        <v>0</v>
      </c>
      <c r="U227" s="1144">
        <f t="shared" si="34"/>
        <v>0</v>
      </c>
      <c r="V227" s="1144">
        <f t="shared" si="34"/>
        <v>23340.760000000002</v>
      </c>
      <c r="W227" s="1145">
        <f t="shared" si="35"/>
        <v>23340.760000000002</v>
      </c>
    </row>
    <row r="228" spans="1:23" x14ac:dyDescent="0.2">
      <c r="A228" s="1140" t="str">
        <f t="shared" si="27"/>
        <v>86G-I2 23000 AMR</v>
      </c>
      <c r="B228" s="1140" t="str">
        <f t="shared" si="28"/>
        <v xml:space="preserve">86G-I2 23000 </v>
      </c>
      <c r="C228" s="1140" t="s">
        <v>806</v>
      </c>
      <c r="D228" s="1140" t="s">
        <v>921</v>
      </c>
      <c r="E228" s="1140">
        <v>23000</v>
      </c>
      <c r="F228" s="1141">
        <f>SUMIF('JKP-8.5 - CNSMREQP_GASMTRCTR'!$A$2:$A$391,'JKP-8.5 - Total Costs'!A228,'JKP-8.5 - CNSMREQP_GASMTRCTR'!$F$2:$F$391)-SUMIF('JKP-8.5 - Migrated From'!$A$2:$A$22,'JKP-8.5 - Total Costs'!A228,'JKP-8.5 - Migrated From'!$F$2:$F$22)+SUMIF('JKP-8.5 - Migrated To'!$A$2:$A$22,'JKP-8.5 - Total Costs'!A228,'JKP-8.5 - Migrated To'!$F$2:$F$22)</f>
        <v>0</v>
      </c>
      <c r="G228" s="1141">
        <f>SUMIF('JKP-8.5 - CNSMREQP_GASMTRCTR'!$A$2:$A$391,'JKP-8.5 - Total Costs'!B228,'JKP-8.5 - CNSMREQP_GASMTRCTR'!$F$2:$F$391)-SUMIF('JKP-8.5 - Migrated From'!$A$2:$A$22,'JKP-8.5 - Total Costs'!B228,'JKP-8.5 - Migrated From'!$F$2:$F$22)+SUMIF('JKP-8.5 - Migrated To'!$A$2:$A$22,'JKP-8.5 - Total Costs'!B228,'JKP-8.5 - Migrated To'!$F$2:$F$22)</f>
        <v>1</v>
      </c>
      <c r="H228" s="1142">
        <f t="shared" si="29"/>
        <v>1</v>
      </c>
      <c r="I228" s="1143">
        <f>VLOOKUP($E228,'JKP-8.5 - Unit Costs'!$A$9:$H$33,2,FALSE)</f>
        <v>0</v>
      </c>
      <c r="J228" s="1143">
        <f>VLOOKUP($E228,'JKP-8.5 - Unit Costs'!$A$9:$H$33,5,FALSE)</f>
        <v>0</v>
      </c>
      <c r="K228" s="1143">
        <f>VLOOKUP($E228,'JKP-8.5 - Unit Costs'!$A$9:$H$33,3,FALSE)</f>
        <v>0</v>
      </c>
      <c r="L228" s="1143">
        <f>VLOOKUP($E228,'JKP-8.5 - Unit Costs'!$A$9:$H$33,6,FALSE)</f>
        <v>0</v>
      </c>
      <c r="M228" s="1143">
        <f>VLOOKUP($E228,'JKP-8.5 - Unit Costs'!$A$9:$H$33,8,FALSE)</f>
        <v>20882.400000000001</v>
      </c>
      <c r="N228" s="1143">
        <f>VLOOKUP($E228,'JKP-8.5 - Unit Costs'!$A$9:$H$33,8,FALSE)</f>
        <v>20882.400000000001</v>
      </c>
      <c r="O228" s="1144">
        <f t="shared" si="30"/>
        <v>0</v>
      </c>
      <c r="P228" s="1144">
        <f t="shared" si="30"/>
        <v>0</v>
      </c>
      <c r="Q228" s="1144">
        <f t="shared" si="31"/>
        <v>0</v>
      </c>
      <c r="R228" s="1144">
        <f t="shared" si="32"/>
        <v>0</v>
      </c>
      <c r="S228" s="1144">
        <f t="shared" si="32"/>
        <v>0</v>
      </c>
      <c r="T228" s="1144">
        <f t="shared" si="33"/>
        <v>0</v>
      </c>
      <c r="U228" s="1144">
        <f t="shared" si="34"/>
        <v>0</v>
      </c>
      <c r="V228" s="1144">
        <f t="shared" si="34"/>
        <v>20882.400000000001</v>
      </c>
      <c r="W228" s="1145">
        <f t="shared" si="35"/>
        <v>20882.400000000001</v>
      </c>
    </row>
    <row r="229" spans="1:23" x14ac:dyDescent="0.2">
      <c r="A229" s="1140" t="str">
        <f>D229&amp;" "&amp;E229&amp;" "&amp;$A$6</f>
        <v>86G-I2 30000 AMR</v>
      </c>
      <c r="B229" s="1140" t="str">
        <f>D229&amp;" "&amp;E229&amp;" "&amp;$G$5</f>
        <v xml:space="preserve">86G-I2 30000 </v>
      </c>
      <c r="C229" s="1140" t="s">
        <v>806</v>
      </c>
      <c r="D229" s="1140" t="s">
        <v>921</v>
      </c>
      <c r="E229" s="1140">
        <v>30000</v>
      </c>
      <c r="F229" s="1141">
        <f>SUMIF('JKP-8.5 - CNSMREQP_GASMTRCTR'!$A$2:$A$391,'JKP-8.5 - Total Costs'!A229,'JKP-8.5 - CNSMREQP_GASMTRCTR'!$F$2:$F$391)-SUMIF('JKP-8.5 - Migrated From'!$A$2:$A$22,'JKP-8.5 - Total Costs'!A229,'JKP-8.5 - Migrated From'!$F$2:$F$22)+SUMIF('JKP-8.5 - Migrated To'!$A$2:$A$22,'JKP-8.5 - Total Costs'!A229,'JKP-8.5 - Migrated To'!$F$2:$F$22)</f>
        <v>0</v>
      </c>
      <c r="G229" s="1141">
        <f>SUMIF('JKP-8.5 - CNSMREQP_GASMTRCTR'!$A$2:$A$391,'JKP-8.5 - Total Costs'!B229,'JKP-8.5 - CNSMREQP_GASMTRCTR'!$F$2:$F$391)-SUMIF('JKP-8.5 - Migrated From'!$A$2:$A$22,'JKP-8.5 - Total Costs'!B229,'JKP-8.5 - Migrated From'!$F$2:$F$22)+SUMIF('JKP-8.5 - Migrated To'!$A$2:$A$22,'JKP-8.5 - Total Costs'!B229,'JKP-8.5 - Migrated To'!$F$2:$F$22)</f>
        <v>1</v>
      </c>
      <c r="H229" s="1142">
        <f>F229+G229</f>
        <v>1</v>
      </c>
      <c r="I229" s="1143">
        <f>VLOOKUP($E229,'JKP-8.5 - Unit Costs'!$A$9:$H$33,2,FALSE)</f>
        <v>0</v>
      </c>
      <c r="J229" s="1143">
        <f>VLOOKUP($E229,'JKP-8.5 - Unit Costs'!$A$9:$H$33,5,FALSE)</f>
        <v>0</v>
      </c>
      <c r="K229" s="1143">
        <f>VLOOKUP($E229,'JKP-8.5 - Unit Costs'!$A$9:$H$33,3,FALSE)</f>
        <v>0</v>
      </c>
      <c r="L229" s="1143">
        <f>VLOOKUP($E229,'JKP-8.5 - Unit Costs'!$A$9:$H$33,6,FALSE)</f>
        <v>0</v>
      </c>
      <c r="M229" s="1143">
        <f>VLOOKUP($E229,'JKP-8.5 - Unit Costs'!$A$9:$H$33,8,FALSE)</f>
        <v>28159.37</v>
      </c>
      <c r="N229" s="1143">
        <f>VLOOKUP($E229,'JKP-8.5 - Unit Costs'!$A$9:$H$33,8,FALSE)</f>
        <v>28159.37</v>
      </c>
      <c r="O229" s="1144">
        <f>I229*F229</f>
        <v>0</v>
      </c>
      <c r="P229" s="1144">
        <f>J229*G229</f>
        <v>0</v>
      </c>
      <c r="Q229" s="1144">
        <f>P229+O229</f>
        <v>0</v>
      </c>
      <c r="R229" s="1144">
        <f>K229*F229</f>
        <v>0</v>
      </c>
      <c r="S229" s="1144">
        <f>L229*G229</f>
        <v>0</v>
      </c>
      <c r="T229" s="1144">
        <f>S229+R229</f>
        <v>0</v>
      </c>
      <c r="U229" s="1144">
        <f>M229*F229</f>
        <v>0</v>
      </c>
      <c r="V229" s="1144">
        <f>N229*G229</f>
        <v>28159.37</v>
      </c>
      <c r="W229" s="1145">
        <f>V229+U229</f>
        <v>28159.37</v>
      </c>
    </row>
    <row r="230" spans="1:23" x14ac:dyDescent="0.2">
      <c r="A230" s="1140" t="str">
        <f>D230&amp;" "&amp;E230&amp;" "&amp;$A$6</f>
        <v>86TG-I 5000 AMR</v>
      </c>
      <c r="B230" s="1140" t="str">
        <f>D230&amp;" "&amp;E230&amp;" "&amp;$G$5</f>
        <v xml:space="preserve">86TG-I 5000 </v>
      </c>
      <c r="C230" s="1140" t="s">
        <v>810</v>
      </c>
      <c r="D230" s="1140" t="s">
        <v>922</v>
      </c>
      <c r="E230" s="1140">
        <v>5000</v>
      </c>
      <c r="F230" s="1141">
        <f>SUMIF('JKP-8.5 - CNSMREQP_GASMTRCTR'!$A$2:$A$391,'JKP-8.5 - Total Costs'!A230,'JKP-8.5 - CNSMREQP_GASMTRCTR'!$F$2:$F$391)-SUMIF('JKP-8.5 - Migrated From'!$A$2:$A$22,'JKP-8.5 - Total Costs'!A230,'JKP-8.5 - Migrated From'!$F$2:$F$22)+SUMIF('JKP-8.5 - Migrated To'!$A$2:$A$22,'JKP-8.5 - Total Costs'!A230,'JKP-8.5 - Migrated To'!$F$2:$F$22)</f>
        <v>0</v>
      </c>
      <c r="G230" s="1141">
        <f>SUMIF('JKP-8.5 - CNSMREQP_GASMTRCTR'!$A$2:$A$391,'JKP-8.5 - Total Costs'!B230,'JKP-8.5 - CNSMREQP_GASMTRCTR'!$F$2:$F$391)-SUMIF('JKP-8.5 - Migrated From'!$A$2:$A$22,'JKP-8.5 - Total Costs'!B230,'JKP-8.5 - Migrated From'!$F$2:$F$22)+SUMIF('JKP-8.5 - Migrated To'!$A$2:$A$22,'JKP-8.5 - Total Costs'!B230,'JKP-8.5 - Migrated To'!$F$2:$F$22)</f>
        <v>1</v>
      </c>
      <c r="H230" s="1142">
        <f>F230+G230</f>
        <v>1</v>
      </c>
      <c r="I230" s="1143">
        <f>VLOOKUP($E230,'JKP-8.5 - Unit Costs'!$A$9:$H$33,2,FALSE)</f>
        <v>0</v>
      </c>
      <c r="J230" s="1143">
        <f>VLOOKUP($E230,'JKP-8.5 - Unit Costs'!$A$9:$H$33,5,FALSE)</f>
        <v>0</v>
      </c>
      <c r="K230" s="1143">
        <f>VLOOKUP($E230,'JKP-8.5 - Unit Costs'!$A$9:$H$33,3,FALSE)</f>
        <v>0</v>
      </c>
      <c r="L230" s="1143">
        <f>VLOOKUP($E230,'JKP-8.5 - Unit Costs'!$A$9:$H$33,6,FALSE)</f>
        <v>0</v>
      </c>
      <c r="M230" s="1143">
        <f>VLOOKUP($E230,'JKP-8.5 - Unit Costs'!$A$9:$H$33,8,FALSE)</f>
        <v>3456.43</v>
      </c>
      <c r="N230" s="1143">
        <f>VLOOKUP($E230,'JKP-8.5 - Unit Costs'!$A$9:$H$33,8,FALSE)</f>
        <v>3456.43</v>
      </c>
      <c r="O230" s="1144">
        <f>I230*F230</f>
        <v>0</v>
      </c>
      <c r="P230" s="1144">
        <f>J230*G230</f>
        <v>0</v>
      </c>
      <c r="Q230" s="1144">
        <f>P230+O230</f>
        <v>0</v>
      </c>
      <c r="R230" s="1144">
        <f>K230*F230</f>
        <v>0</v>
      </c>
      <c r="S230" s="1144">
        <f>L230*G230</f>
        <v>0</v>
      </c>
      <c r="T230" s="1144">
        <f>S230+R230</f>
        <v>0</v>
      </c>
      <c r="U230" s="1144">
        <f>M230*F230</f>
        <v>0</v>
      </c>
      <c r="V230" s="1144">
        <f>N230*G230</f>
        <v>3456.43</v>
      </c>
      <c r="W230" s="1145">
        <f>V230+U230</f>
        <v>3456.43</v>
      </c>
    </row>
    <row r="231" spans="1:23" x14ac:dyDescent="0.2">
      <c r="A231" s="1146" t="str">
        <f t="shared" si="27"/>
        <v>87G-C4 16000 AMR</v>
      </c>
      <c r="B231" s="1140" t="str">
        <f t="shared" si="28"/>
        <v xml:space="preserve">87G-C4 16000 </v>
      </c>
      <c r="C231" s="1140" t="s">
        <v>807</v>
      </c>
      <c r="D231" s="1140" t="s">
        <v>912</v>
      </c>
      <c r="E231" s="1140">
        <v>16000</v>
      </c>
      <c r="F231" s="1141">
        <f>SUMIF('JKP-8.5 - CNSMREQP_GASMTRCTR'!$A$2:$A$391,'JKP-8.5 - Total Costs'!A231,'JKP-8.5 - CNSMREQP_GASMTRCTR'!$F$2:$F$391)-SUMIF('JKP-8.5 - Migrated From'!$A$2:$A$22,'JKP-8.5 - Total Costs'!A231,'JKP-8.5 - Migrated From'!$F$2:$F$22)+SUMIF('JKP-8.5 - Migrated To'!$A$2:$A$22,'JKP-8.5 - Total Costs'!A231,'JKP-8.5 - Migrated To'!$F$2:$F$22)</f>
        <v>0</v>
      </c>
      <c r="G231" s="1141">
        <f>SUMIF('JKP-8.5 - CNSMREQP_GASMTRCTR'!$A$2:$A$391,'JKP-8.5 - Total Costs'!B231,'JKP-8.5 - CNSMREQP_GASMTRCTR'!$F$2:$F$391)-SUMIF('JKP-8.5 - Migrated From'!$A$2:$A$22,'JKP-8.5 - Total Costs'!B231,'JKP-8.5 - Migrated From'!$F$2:$F$22)+SUMIF('JKP-8.5 - Migrated To'!$A$2:$A$22,'JKP-8.5 - Total Costs'!B231,'JKP-8.5 - Migrated To'!$F$2:$F$22)</f>
        <v>2</v>
      </c>
      <c r="H231" s="1142">
        <f t="shared" si="29"/>
        <v>2</v>
      </c>
      <c r="I231" s="1143">
        <f>VLOOKUP($E231,'JKP-8.5 - Unit Costs'!$A$9:$H$33,2,FALSE)</f>
        <v>0</v>
      </c>
      <c r="J231" s="1143">
        <f>VLOOKUP($E231,'JKP-8.5 - Unit Costs'!$A$9:$H$33,5,FALSE)</f>
        <v>0</v>
      </c>
      <c r="K231" s="1143">
        <f>VLOOKUP($E231,'JKP-8.5 - Unit Costs'!$A$9:$H$33,3,FALSE)</f>
        <v>0</v>
      </c>
      <c r="L231" s="1143">
        <f>VLOOKUP($E231,'JKP-8.5 - Unit Costs'!$A$9:$H$33,6,FALSE)</f>
        <v>0</v>
      </c>
      <c r="M231" s="1143">
        <f>VLOOKUP($E231,'JKP-8.5 - Unit Costs'!$A$9:$H$33,8,FALSE)</f>
        <v>8983.2999999999993</v>
      </c>
      <c r="N231" s="1143">
        <f>VLOOKUP($E231,'JKP-8.5 - Unit Costs'!$A$9:$H$33,8,FALSE)</f>
        <v>8983.2999999999993</v>
      </c>
      <c r="O231" s="1144">
        <f t="shared" si="30"/>
        <v>0</v>
      </c>
      <c r="P231" s="1144">
        <f t="shared" si="30"/>
        <v>0</v>
      </c>
      <c r="Q231" s="1144">
        <f t="shared" si="31"/>
        <v>0</v>
      </c>
      <c r="R231" s="1144">
        <f t="shared" si="32"/>
        <v>0</v>
      </c>
      <c r="S231" s="1144">
        <f t="shared" si="32"/>
        <v>0</v>
      </c>
      <c r="T231" s="1144">
        <f t="shared" si="33"/>
        <v>0</v>
      </c>
      <c r="U231" s="1144">
        <f t="shared" si="34"/>
        <v>0</v>
      </c>
      <c r="V231" s="1144">
        <f t="shared" si="34"/>
        <v>17966.599999999999</v>
      </c>
      <c r="W231" s="1145">
        <f t="shared" si="35"/>
        <v>17966.599999999999</v>
      </c>
    </row>
    <row r="232" spans="1:23" x14ac:dyDescent="0.2">
      <c r="A232" s="1140" t="str">
        <f t="shared" si="27"/>
        <v>87G-C4 30000 AMR</v>
      </c>
      <c r="B232" s="1140" t="str">
        <f t="shared" si="28"/>
        <v xml:space="preserve">87G-C4 30000 </v>
      </c>
      <c r="C232" s="1140" t="s">
        <v>807</v>
      </c>
      <c r="D232" s="1140" t="s">
        <v>912</v>
      </c>
      <c r="E232" s="1140">
        <v>30000</v>
      </c>
      <c r="F232" s="1141">
        <f>SUMIF('JKP-8.5 - CNSMREQP_GASMTRCTR'!$A$2:$A$391,'JKP-8.5 - Total Costs'!A232,'JKP-8.5 - CNSMREQP_GASMTRCTR'!$F$2:$F$391)-SUMIF('JKP-8.5 - Migrated From'!$A$2:$A$22,'JKP-8.5 - Total Costs'!A232,'JKP-8.5 - Migrated From'!$F$2:$F$22)+SUMIF('JKP-8.5 - Migrated To'!$A$2:$A$22,'JKP-8.5 - Total Costs'!A232,'JKP-8.5 - Migrated To'!$F$2:$F$22)</f>
        <v>0</v>
      </c>
      <c r="G232" s="1141">
        <f>SUMIF('JKP-8.5 - CNSMREQP_GASMTRCTR'!$A$2:$A$391,'JKP-8.5 - Total Costs'!B232,'JKP-8.5 - CNSMREQP_GASMTRCTR'!$F$2:$F$391)-SUMIF('JKP-8.5 - Migrated From'!$A$2:$A$22,'JKP-8.5 - Total Costs'!B232,'JKP-8.5 - Migrated From'!$F$2:$F$22)+SUMIF('JKP-8.5 - Migrated To'!$A$2:$A$22,'JKP-8.5 - Total Costs'!B232,'JKP-8.5 - Migrated To'!$F$2:$F$22)</f>
        <v>3</v>
      </c>
      <c r="H232" s="1142">
        <f t="shared" si="29"/>
        <v>3</v>
      </c>
      <c r="I232" s="1143">
        <f>VLOOKUP($E232,'JKP-8.5 - Unit Costs'!$A$9:$H$33,2,FALSE)</f>
        <v>0</v>
      </c>
      <c r="J232" s="1143">
        <f>VLOOKUP($E232,'JKP-8.5 - Unit Costs'!$A$9:$H$33,5,FALSE)</f>
        <v>0</v>
      </c>
      <c r="K232" s="1143">
        <f>VLOOKUP($E232,'JKP-8.5 - Unit Costs'!$A$9:$H$33,3,FALSE)</f>
        <v>0</v>
      </c>
      <c r="L232" s="1143">
        <f>VLOOKUP($E232,'JKP-8.5 - Unit Costs'!$A$9:$H$33,6,FALSE)</f>
        <v>0</v>
      </c>
      <c r="M232" s="1143">
        <f>VLOOKUP($E232,'JKP-8.5 - Unit Costs'!$A$9:$H$33,8,FALSE)</f>
        <v>28159.37</v>
      </c>
      <c r="N232" s="1143">
        <f>VLOOKUP($E232,'JKP-8.5 - Unit Costs'!$A$9:$H$33,8,FALSE)</f>
        <v>28159.37</v>
      </c>
      <c r="O232" s="1144">
        <f t="shared" si="30"/>
        <v>0</v>
      </c>
      <c r="P232" s="1144">
        <f t="shared" si="30"/>
        <v>0</v>
      </c>
      <c r="Q232" s="1144">
        <f t="shared" si="31"/>
        <v>0</v>
      </c>
      <c r="R232" s="1144">
        <f t="shared" si="32"/>
        <v>0</v>
      </c>
      <c r="S232" s="1144">
        <f t="shared" si="32"/>
        <v>0</v>
      </c>
      <c r="T232" s="1144">
        <f t="shared" si="33"/>
        <v>0</v>
      </c>
      <c r="U232" s="1144">
        <f t="shared" si="34"/>
        <v>0</v>
      </c>
      <c r="V232" s="1144">
        <f t="shared" si="34"/>
        <v>84478.11</v>
      </c>
      <c r="W232" s="1145">
        <f t="shared" si="35"/>
        <v>84478.11</v>
      </c>
    </row>
    <row r="233" spans="1:23" x14ac:dyDescent="0.2">
      <c r="A233" s="1140" t="str">
        <f t="shared" si="27"/>
        <v>87G-C4 60000 AMR</v>
      </c>
      <c r="B233" s="1140" t="str">
        <f t="shared" si="28"/>
        <v xml:space="preserve">87G-C4 60000 </v>
      </c>
      <c r="C233" s="1140" t="s">
        <v>807</v>
      </c>
      <c r="D233" s="1140" t="s">
        <v>912</v>
      </c>
      <c r="E233" s="1140">
        <v>60000</v>
      </c>
      <c r="F233" s="1141">
        <f>SUMIF('JKP-8.5 - CNSMREQP_GASMTRCTR'!$A$2:$A$391,'JKP-8.5 - Total Costs'!A233,'JKP-8.5 - CNSMREQP_GASMTRCTR'!$F$2:$F$391)-SUMIF('JKP-8.5 - Migrated From'!$A$2:$A$22,'JKP-8.5 - Total Costs'!A233,'JKP-8.5 - Migrated From'!$F$2:$F$22)+SUMIF('JKP-8.5 - Migrated To'!$A$2:$A$22,'JKP-8.5 - Total Costs'!A233,'JKP-8.5 - Migrated To'!$F$2:$F$22)</f>
        <v>0</v>
      </c>
      <c r="G233" s="1141">
        <f>SUMIF('JKP-8.5 - CNSMREQP_GASMTRCTR'!$A$2:$A$391,'JKP-8.5 - Total Costs'!B233,'JKP-8.5 - CNSMREQP_GASMTRCTR'!$F$2:$F$391)-SUMIF('JKP-8.5 - Migrated From'!$A$2:$A$22,'JKP-8.5 - Total Costs'!B233,'JKP-8.5 - Migrated From'!$F$2:$F$22)+SUMIF('JKP-8.5 - Migrated To'!$A$2:$A$22,'JKP-8.5 - Total Costs'!B233,'JKP-8.5 - Migrated To'!$F$2:$F$22)</f>
        <v>3</v>
      </c>
      <c r="H233" s="1142">
        <f t="shared" si="29"/>
        <v>3</v>
      </c>
      <c r="I233" s="1143">
        <f>VLOOKUP($E233,'JKP-8.5 - Unit Costs'!$A$9:$H$33,2,FALSE)</f>
        <v>0</v>
      </c>
      <c r="J233" s="1143">
        <f>VLOOKUP($E233,'JKP-8.5 - Unit Costs'!$A$9:$H$33,5,FALSE)</f>
        <v>0</v>
      </c>
      <c r="K233" s="1143">
        <f>VLOOKUP($E233,'JKP-8.5 - Unit Costs'!$A$9:$H$33,3,FALSE)</f>
        <v>0</v>
      </c>
      <c r="L233" s="1143">
        <f>VLOOKUP($E233,'JKP-8.5 - Unit Costs'!$A$9:$H$33,6,FALSE)</f>
        <v>0</v>
      </c>
      <c r="M233" s="1143">
        <f>VLOOKUP($E233,'JKP-8.5 - Unit Costs'!$A$9:$H$33,8,FALSE)</f>
        <v>36556.269999999997</v>
      </c>
      <c r="N233" s="1143">
        <f>VLOOKUP($E233,'JKP-8.5 - Unit Costs'!$A$9:$H$33,8,FALSE)</f>
        <v>36556.269999999997</v>
      </c>
      <c r="O233" s="1144">
        <f t="shared" si="30"/>
        <v>0</v>
      </c>
      <c r="P233" s="1144">
        <f t="shared" si="30"/>
        <v>0</v>
      </c>
      <c r="Q233" s="1144">
        <f t="shared" si="31"/>
        <v>0</v>
      </c>
      <c r="R233" s="1144">
        <f t="shared" si="32"/>
        <v>0</v>
      </c>
      <c r="S233" s="1144">
        <f t="shared" si="32"/>
        <v>0</v>
      </c>
      <c r="T233" s="1144">
        <f t="shared" si="33"/>
        <v>0</v>
      </c>
      <c r="U233" s="1144">
        <f t="shared" si="34"/>
        <v>0</v>
      </c>
      <c r="V233" s="1144">
        <f t="shared" si="34"/>
        <v>109668.81</v>
      </c>
      <c r="W233" s="1145">
        <f t="shared" si="35"/>
        <v>109668.81</v>
      </c>
    </row>
    <row r="234" spans="1:23" x14ac:dyDescent="0.2">
      <c r="A234" s="1140" t="str">
        <f t="shared" si="27"/>
        <v>87G-C4 150000 AMR</v>
      </c>
      <c r="B234" s="1140" t="str">
        <f t="shared" si="28"/>
        <v xml:space="preserve">87G-C4 150000 </v>
      </c>
      <c r="C234" s="1140" t="s">
        <v>807</v>
      </c>
      <c r="D234" s="1140" t="s">
        <v>912</v>
      </c>
      <c r="E234" s="1140">
        <v>150000</v>
      </c>
      <c r="F234" s="1141">
        <f>SUMIF('JKP-8.5 - CNSMREQP_GASMTRCTR'!$A$2:$A$391,'JKP-8.5 - Total Costs'!A234,'JKP-8.5 - CNSMREQP_GASMTRCTR'!$F$2:$F$391)-SUMIF('JKP-8.5 - Migrated From'!$A$2:$A$22,'JKP-8.5 - Total Costs'!A234,'JKP-8.5 - Migrated From'!$F$2:$F$22)+SUMIF('JKP-8.5 - Migrated To'!$A$2:$A$22,'JKP-8.5 - Total Costs'!A234,'JKP-8.5 - Migrated To'!$F$2:$F$22)</f>
        <v>0</v>
      </c>
      <c r="G234" s="1141">
        <f>SUMIF('JKP-8.5 - CNSMREQP_GASMTRCTR'!$A$2:$A$391,'JKP-8.5 - Total Costs'!B234,'JKP-8.5 - CNSMREQP_GASMTRCTR'!$F$2:$F$391)-SUMIF('JKP-8.5 - Migrated From'!$A$2:$A$22,'JKP-8.5 - Total Costs'!B234,'JKP-8.5 - Migrated From'!$F$2:$F$22)+SUMIF('JKP-8.5 - Migrated To'!$A$2:$A$22,'JKP-8.5 - Total Costs'!B234,'JKP-8.5 - Migrated To'!$F$2:$F$22)</f>
        <v>1</v>
      </c>
      <c r="H234" s="1142">
        <f t="shared" si="29"/>
        <v>1</v>
      </c>
      <c r="I234" s="1143">
        <f>VLOOKUP($E234,'JKP-8.5 - Unit Costs'!$A$9:$H$33,2,FALSE)</f>
        <v>0</v>
      </c>
      <c r="J234" s="1143">
        <f>VLOOKUP($E234,'JKP-8.5 - Unit Costs'!$A$9:$H$33,5,FALSE)</f>
        <v>0</v>
      </c>
      <c r="K234" s="1143">
        <f>VLOOKUP($E234,'JKP-8.5 - Unit Costs'!$A$9:$H$33,3,FALSE)</f>
        <v>0</v>
      </c>
      <c r="L234" s="1143">
        <f>VLOOKUP($E234,'JKP-8.5 - Unit Costs'!$A$9:$H$33,6,FALSE)</f>
        <v>0</v>
      </c>
      <c r="M234" s="1143">
        <f>VLOOKUP($E234,'JKP-8.5 - Unit Costs'!$A$9:$H$33,8,FALSE)</f>
        <v>45158.289999999994</v>
      </c>
      <c r="N234" s="1143">
        <f>VLOOKUP($E234,'JKP-8.5 - Unit Costs'!$A$9:$H$33,8,FALSE)</f>
        <v>45158.289999999994</v>
      </c>
      <c r="O234" s="1144">
        <f t="shared" si="30"/>
        <v>0</v>
      </c>
      <c r="P234" s="1144">
        <f t="shared" si="30"/>
        <v>0</v>
      </c>
      <c r="Q234" s="1144">
        <f t="shared" si="31"/>
        <v>0</v>
      </c>
      <c r="R234" s="1144">
        <f t="shared" si="32"/>
        <v>0</v>
      </c>
      <c r="S234" s="1144">
        <f t="shared" si="32"/>
        <v>0</v>
      </c>
      <c r="T234" s="1144">
        <f t="shared" si="33"/>
        <v>0</v>
      </c>
      <c r="U234" s="1144">
        <f t="shared" si="34"/>
        <v>0</v>
      </c>
      <c r="V234" s="1144">
        <f t="shared" si="34"/>
        <v>45158.289999999994</v>
      </c>
      <c r="W234" s="1145">
        <f t="shared" si="35"/>
        <v>45158.289999999994</v>
      </c>
    </row>
    <row r="235" spans="1:23" x14ac:dyDescent="0.2">
      <c r="A235" s="1140" t="str">
        <f t="shared" si="27"/>
        <v>87G-I4 60000 AMR</v>
      </c>
      <c r="B235" s="1140" t="str">
        <f t="shared" si="28"/>
        <v xml:space="preserve">87G-I4 60000 </v>
      </c>
      <c r="C235" s="1140" t="s">
        <v>807</v>
      </c>
      <c r="D235" s="1140" t="s">
        <v>923</v>
      </c>
      <c r="E235" s="1140">
        <v>60000</v>
      </c>
      <c r="F235" s="1141">
        <f>SUMIF('JKP-8.5 - CNSMREQP_GASMTRCTR'!$A$2:$A$391,'JKP-8.5 - Total Costs'!A235,'JKP-8.5 - CNSMREQP_GASMTRCTR'!$F$2:$F$391)-SUMIF('JKP-8.5 - Migrated From'!$A$2:$A$22,'JKP-8.5 - Total Costs'!A235,'JKP-8.5 - Migrated From'!$F$2:$F$22)+SUMIF('JKP-8.5 - Migrated To'!$A$2:$A$22,'JKP-8.5 - Total Costs'!A235,'JKP-8.5 - Migrated To'!$F$2:$F$22)</f>
        <v>0</v>
      </c>
      <c r="G235" s="1141">
        <f>SUMIF('JKP-8.5 - CNSMREQP_GASMTRCTR'!$A$2:$A$391,'JKP-8.5 - Total Costs'!B235,'JKP-8.5 - CNSMREQP_GASMTRCTR'!$F$2:$F$391)-SUMIF('JKP-8.5 - Migrated From'!$A$2:$A$22,'JKP-8.5 - Total Costs'!B235,'JKP-8.5 - Migrated From'!$F$2:$F$22)+SUMIF('JKP-8.5 - Migrated To'!$A$2:$A$22,'JKP-8.5 - Total Costs'!B235,'JKP-8.5 - Migrated To'!$F$2:$F$22)</f>
        <v>1</v>
      </c>
      <c r="H235" s="1142">
        <f t="shared" si="29"/>
        <v>1</v>
      </c>
      <c r="I235" s="1143">
        <f>VLOOKUP($E235,'JKP-8.5 - Unit Costs'!$A$9:$H$33,2,FALSE)</f>
        <v>0</v>
      </c>
      <c r="J235" s="1143">
        <f>VLOOKUP($E235,'JKP-8.5 - Unit Costs'!$A$9:$H$33,5,FALSE)</f>
        <v>0</v>
      </c>
      <c r="K235" s="1143">
        <f>VLOOKUP($E235,'JKP-8.5 - Unit Costs'!$A$9:$H$33,3,FALSE)</f>
        <v>0</v>
      </c>
      <c r="L235" s="1143">
        <f>VLOOKUP($E235,'JKP-8.5 - Unit Costs'!$A$9:$H$33,6,FALSE)</f>
        <v>0</v>
      </c>
      <c r="M235" s="1143">
        <f>VLOOKUP($E235,'JKP-8.5 - Unit Costs'!$A$9:$H$33,8,FALSE)</f>
        <v>36556.269999999997</v>
      </c>
      <c r="N235" s="1143">
        <f>VLOOKUP($E235,'JKP-8.5 - Unit Costs'!$A$9:$H$33,8,FALSE)</f>
        <v>36556.269999999997</v>
      </c>
      <c r="O235" s="1144">
        <f t="shared" si="30"/>
        <v>0</v>
      </c>
      <c r="P235" s="1144">
        <f t="shared" si="30"/>
        <v>0</v>
      </c>
      <c r="Q235" s="1144">
        <f t="shared" si="31"/>
        <v>0</v>
      </c>
      <c r="R235" s="1144">
        <f t="shared" si="32"/>
        <v>0</v>
      </c>
      <c r="S235" s="1144">
        <f t="shared" si="32"/>
        <v>0</v>
      </c>
      <c r="T235" s="1144">
        <f t="shared" si="33"/>
        <v>0</v>
      </c>
      <c r="U235" s="1144">
        <f t="shared" si="34"/>
        <v>0</v>
      </c>
      <c r="V235" s="1144">
        <f t="shared" si="34"/>
        <v>36556.269999999997</v>
      </c>
      <c r="W235" s="1145">
        <f t="shared" si="35"/>
        <v>36556.269999999997</v>
      </c>
    </row>
    <row r="236" spans="1:23" x14ac:dyDescent="0.2">
      <c r="A236" s="1140" t="str">
        <f t="shared" si="27"/>
        <v>87TG-C 60000 AMR</v>
      </c>
      <c r="B236" s="1140" t="str">
        <f t="shared" si="28"/>
        <v xml:space="preserve">87TG-C 60000 </v>
      </c>
      <c r="C236" s="1140" t="s">
        <v>811</v>
      </c>
      <c r="D236" s="1140" t="s">
        <v>754</v>
      </c>
      <c r="E236" s="1140">
        <v>60000</v>
      </c>
      <c r="F236" s="1141">
        <f>SUMIF('JKP-8.5 - CNSMREQP_GASMTRCTR'!$A$2:$A$391,'JKP-8.5 - Total Costs'!A236,'JKP-8.5 - CNSMREQP_GASMTRCTR'!$F$2:$F$391)-SUMIF('JKP-8.5 - Migrated From'!$A$2:$A$22,'JKP-8.5 - Total Costs'!A236,'JKP-8.5 - Migrated From'!$F$2:$F$22)+SUMIF('JKP-8.5 - Migrated To'!$A$2:$A$22,'JKP-8.5 - Total Costs'!A236,'JKP-8.5 - Migrated To'!$F$2:$F$22)</f>
        <v>0</v>
      </c>
      <c r="G236" s="1141">
        <f>SUMIF('JKP-8.5 - CNSMREQP_GASMTRCTR'!$A$2:$A$391,'JKP-8.5 - Total Costs'!B236,'JKP-8.5 - CNSMREQP_GASMTRCTR'!$F$2:$F$391)-SUMIF('JKP-8.5 - Migrated From'!$A$2:$A$22,'JKP-8.5 - Total Costs'!B236,'JKP-8.5 - Migrated From'!$F$2:$F$22)+SUMIF('JKP-8.5 - Migrated To'!$A$2:$A$22,'JKP-8.5 - Total Costs'!B236,'JKP-8.5 - Migrated To'!$F$2:$F$22)</f>
        <v>2</v>
      </c>
      <c r="H236" s="1142">
        <f t="shared" si="29"/>
        <v>2</v>
      </c>
      <c r="I236" s="1143">
        <f>VLOOKUP($E236,'JKP-8.5 - Unit Costs'!$A$9:$H$33,2,FALSE)</f>
        <v>0</v>
      </c>
      <c r="J236" s="1143">
        <f>VLOOKUP($E236,'JKP-8.5 - Unit Costs'!$A$9:$H$33,5,FALSE)</f>
        <v>0</v>
      </c>
      <c r="K236" s="1143">
        <f>VLOOKUP($E236,'JKP-8.5 - Unit Costs'!$A$9:$H$33,3,FALSE)</f>
        <v>0</v>
      </c>
      <c r="L236" s="1143">
        <f>VLOOKUP($E236,'JKP-8.5 - Unit Costs'!$A$9:$H$33,6,FALSE)</f>
        <v>0</v>
      </c>
      <c r="M236" s="1143">
        <f>VLOOKUP($E236,'JKP-8.5 - Unit Costs'!$A$9:$H$33,8,FALSE)</f>
        <v>36556.269999999997</v>
      </c>
      <c r="N236" s="1143">
        <f>VLOOKUP($E236,'JKP-8.5 - Unit Costs'!$A$9:$H$33,8,FALSE)</f>
        <v>36556.269999999997</v>
      </c>
      <c r="O236" s="1144">
        <f t="shared" si="30"/>
        <v>0</v>
      </c>
      <c r="P236" s="1144">
        <f t="shared" si="30"/>
        <v>0</v>
      </c>
      <c r="Q236" s="1144">
        <f t="shared" si="31"/>
        <v>0</v>
      </c>
      <c r="R236" s="1144">
        <f t="shared" si="32"/>
        <v>0</v>
      </c>
      <c r="S236" s="1144">
        <f t="shared" si="32"/>
        <v>0</v>
      </c>
      <c r="T236" s="1144">
        <f t="shared" si="33"/>
        <v>0</v>
      </c>
      <c r="U236" s="1144">
        <f t="shared" si="34"/>
        <v>0</v>
      </c>
      <c r="V236" s="1144">
        <f t="shared" si="34"/>
        <v>73112.539999999994</v>
      </c>
      <c r="W236" s="1145">
        <f t="shared" si="35"/>
        <v>73112.539999999994</v>
      </c>
    </row>
    <row r="237" spans="1:23" x14ac:dyDescent="0.2">
      <c r="A237" s="1140" t="str">
        <f t="shared" si="27"/>
        <v>87TG-C 150000 AMR</v>
      </c>
      <c r="B237" s="1140" t="str">
        <f t="shared" si="28"/>
        <v xml:space="preserve">87TG-C 150000 </v>
      </c>
      <c r="C237" s="1140" t="s">
        <v>811</v>
      </c>
      <c r="D237" s="1140" t="s">
        <v>754</v>
      </c>
      <c r="E237" s="1140">
        <v>150000</v>
      </c>
      <c r="F237" s="1141">
        <f>SUMIF('JKP-8.5 - CNSMREQP_GASMTRCTR'!$A$2:$A$391,'JKP-8.5 - Total Costs'!A237,'JKP-8.5 - CNSMREQP_GASMTRCTR'!$F$2:$F$391)-SUMIF('JKP-8.5 - Migrated From'!$A$2:$A$22,'JKP-8.5 - Total Costs'!A237,'JKP-8.5 - Migrated From'!$F$2:$F$22)+SUMIF('JKP-8.5 - Migrated To'!$A$2:$A$22,'JKP-8.5 - Total Costs'!A237,'JKP-8.5 - Migrated To'!$F$2:$F$22)</f>
        <v>0</v>
      </c>
      <c r="G237" s="1141">
        <f>SUMIF('JKP-8.5 - CNSMREQP_GASMTRCTR'!$A$2:$A$391,'JKP-8.5 - Total Costs'!B237,'JKP-8.5 - CNSMREQP_GASMTRCTR'!$F$2:$F$391)-SUMIF('JKP-8.5 - Migrated From'!$A$2:$A$22,'JKP-8.5 - Total Costs'!B237,'JKP-8.5 - Migrated From'!$F$2:$F$22)+SUMIF('JKP-8.5 - Migrated To'!$A$2:$A$22,'JKP-8.5 - Total Costs'!B237,'JKP-8.5 - Migrated To'!$F$2:$F$22)</f>
        <v>1</v>
      </c>
      <c r="H237" s="1142">
        <f t="shared" si="29"/>
        <v>1</v>
      </c>
      <c r="I237" s="1143">
        <f>VLOOKUP($E237,'JKP-8.5 - Unit Costs'!$A$9:$H$33,2,FALSE)</f>
        <v>0</v>
      </c>
      <c r="J237" s="1143">
        <f>VLOOKUP($E237,'JKP-8.5 - Unit Costs'!$A$9:$H$33,5,FALSE)</f>
        <v>0</v>
      </c>
      <c r="K237" s="1143">
        <f>VLOOKUP($E237,'JKP-8.5 - Unit Costs'!$A$9:$H$33,3,FALSE)</f>
        <v>0</v>
      </c>
      <c r="L237" s="1143">
        <f>VLOOKUP($E237,'JKP-8.5 - Unit Costs'!$A$9:$H$33,6,FALSE)</f>
        <v>0</v>
      </c>
      <c r="M237" s="1143">
        <f>VLOOKUP($E237,'JKP-8.5 - Unit Costs'!$A$9:$H$33,8,FALSE)</f>
        <v>45158.289999999994</v>
      </c>
      <c r="N237" s="1143">
        <f>VLOOKUP($E237,'JKP-8.5 - Unit Costs'!$A$9:$H$33,8,FALSE)</f>
        <v>45158.289999999994</v>
      </c>
      <c r="O237" s="1144">
        <f t="shared" si="30"/>
        <v>0</v>
      </c>
      <c r="P237" s="1144">
        <f t="shared" si="30"/>
        <v>0</v>
      </c>
      <c r="Q237" s="1144">
        <f t="shared" si="31"/>
        <v>0</v>
      </c>
      <c r="R237" s="1144">
        <f t="shared" si="32"/>
        <v>0</v>
      </c>
      <c r="S237" s="1144">
        <f t="shared" si="32"/>
        <v>0</v>
      </c>
      <c r="T237" s="1144">
        <f t="shared" si="33"/>
        <v>0</v>
      </c>
      <c r="U237" s="1144">
        <f t="shared" si="34"/>
        <v>0</v>
      </c>
      <c r="V237" s="1144">
        <f t="shared" si="34"/>
        <v>45158.289999999994</v>
      </c>
      <c r="W237" s="1145">
        <f t="shared" si="35"/>
        <v>45158.289999999994</v>
      </c>
    </row>
    <row r="238" spans="1:23" x14ac:dyDescent="0.2">
      <c r="A238" s="1140" t="str">
        <f t="shared" si="27"/>
        <v>87TG-I 16000 AMR</v>
      </c>
      <c r="B238" s="1140" t="str">
        <f t="shared" si="28"/>
        <v xml:space="preserve">87TG-I 16000 </v>
      </c>
      <c r="C238" s="1140" t="s">
        <v>811</v>
      </c>
      <c r="D238" s="1140" t="s">
        <v>749</v>
      </c>
      <c r="E238" s="1140">
        <v>16000</v>
      </c>
      <c r="F238" s="1141">
        <f>SUMIF('JKP-8.5 - CNSMREQP_GASMTRCTR'!$A$2:$A$391,'JKP-8.5 - Total Costs'!A238,'JKP-8.5 - CNSMREQP_GASMTRCTR'!$F$2:$F$391)-SUMIF('JKP-8.5 - Migrated From'!$A$2:$A$22,'JKP-8.5 - Total Costs'!A238,'JKP-8.5 - Migrated From'!$F$2:$F$22)+SUMIF('JKP-8.5 - Migrated To'!$A$2:$A$22,'JKP-8.5 - Total Costs'!A238,'JKP-8.5 - Migrated To'!$F$2:$F$22)</f>
        <v>0</v>
      </c>
      <c r="G238" s="1141">
        <f>SUMIF('JKP-8.5 - CNSMREQP_GASMTRCTR'!$A$2:$A$391,'JKP-8.5 - Total Costs'!B238,'JKP-8.5 - CNSMREQP_GASMTRCTR'!$F$2:$F$391)-SUMIF('JKP-8.5 - Migrated From'!$A$2:$A$22,'JKP-8.5 - Total Costs'!B238,'JKP-8.5 - Migrated From'!$F$2:$F$22)+SUMIF('JKP-8.5 - Migrated To'!$A$2:$A$22,'JKP-8.5 - Total Costs'!B238,'JKP-8.5 - Migrated To'!$F$2:$F$22)</f>
        <v>2</v>
      </c>
      <c r="H238" s="1142">
        <f t="shared" si="29"/>
        <v>2</v>
      </c>
      <c r="I238" s="1143">
        <f>VLOOKUP($E238,'JKP-8.5 - Unit Costs'!$A$9:$H$33,2,FALSE)</f>
        <v>0</v>
      </c>
      <c r="J238" s="1143">
        <f>VLOOKUP($E238,'JKP-8.5 - Unit Costs'!$A$9:$H$33,5,FALSE)</f>
        <v>0</v>
      </c>
      <c r="K238" s="1143">
        <f>VLOOKUP($E238,'JKP-8.5 - Unit Costs'!$A$9:$H$33,3,FALSE)</f>
        <v>0</v>
      </c>
      <c r="L238" s="1143">
        <f>VLOOKUP($E238,'JKP-8.5 - Unit Costs'!$A$9:$H$33,6,FALSE)</f>
        <v>0</v>
      </c>
      <c r="M238" s="1143">
        <f>VLOOKUP($E238,'JKP-8.5 - Unit Costs'!$A$9:$H$33,8,FALSE)</f>
        <v>8983.2999999999993</v>
      </c>
      <c r="N238" s="1143">
        <f>VLOOKUP($E238,'JKP-8.5 - Unit Costs'!$A$9:$H$33,8,FALSE)</f>
        <v>8983.2999999999993</v>
      </c>
      <c r="O238" s="1144">
        <f t="shared" si="30"/>
        <v>0</v>
      </c>
      <c r="P238" s="1144">
        <f t="shared" si="30"/>
        <v>0</v>
      </c>
      <c r="Q238" s="1144">
        <f t="shared" si="31"/>
        <v>0</v>
      </c>
      <c r="R238" s="1144">
        <f t="shared" si="32"/>
        <v>0</v>
      </c>
      <c r="S238" s="1144">
        <f t="shared" si="32"/>
        <v>0</v>
      </c>
      <c r="T238" s="1144">
        <f t="shared" si="33"/>
        <v>0</v>
      </c>
      <c r="U238" s="1144">
        <f t="shared" si="34"/>
        <v>0</v>
      </c>
      <c r="V238" s="1144">
        <f t="shared" si="34"/>
        <v>17966.599999999999</v>
      </c>
      <c r="W238" s="1145">
        <f t="shared" si="35"/>
        <v>17966.599999999999</v>
      </c>
    </row>
    <row r="239" spans="1:23" x14ac:dyDescent="0.2">
      <c r="A239" s="1140" t="str">
        <f t="shared" si="27"/>
        <v>87TG-I 30000 AMR</v>
      </c>
      <c r="B239" s="1140" t="str">
        <f t="shared" si="28"/>
        <v xml:space="preserve">87TG-I 30000 </v>
      </c>
      <c r="C239" s="1140" t="s">
        <v>811</v>
      </c>
      <c r="D239" s="1140" t="s">
        <v>749</v>
      </c>
      <c r="E239" s="1140">
        <v>30000</v>
      </c>
      <c r="F239" s="1141">
        <f>SUMIF('JKP-8.5 - CNSMREQP_GASMTRCTR'!$A$2:$A$391,'JKP-8.5 - Total Costs'!A239,'JKP-8.5 - CNSMREQP_GASMTRCTR'!$F$2:$F$391)-SUMIF('JKP-8.5 - Migrated From'!$A$2:$A$22,'JKP-8.5 - Total Costs'!A239,'JKP-8.5 - Migrated From'!$F$2:$F$22)+SUMIF('JKP-8.5 - Migrated To'!$A$2:$A$22,'JKP-8.5 - Total Costs'!A239,'JKP-8.5 - Migrated To'!$F$2:$F$22)</f>
        <v>0</v>
      </c>
      <c r="G239" s="1141">
        <f>SUMIF('JKP-8.5 - CNSMREQP_GASMTRCTR'!$A$2:$A$391,'JKP-8.5 - Total Costs'!B239,'JKP-8.5 - CNSMREQP_GASMTRCTR'!$F$2:$F$391)-SUMIF('JKP-8.5 - Migrated From'!$A$2:$A$22,'JKP-8.5 - Total Costs'!B239,'JKP-8.5 - Migrated From'!$F$2:$F$22)+SUMIF('JKP-8.5 - Migrated To'!$A$2:$A$22,'JKP-8.5 - Total Costs'!B239,'JKP-8.5 - Migrated To'!$F$2:$F$22)</f>
        <v>1</v>
      </c>
      <c r="H239" s="1142">
        <f t="shared" si="29"/>
        <v>1</v>
      </c>
      <c r="I239" s="1143">
        <f>VLOOKUP($E239,'JKP-8.5 - Unit Costs'!$A$9:$H$33,2,FALSE)</f>
        <v>0</v>
      </c>
      <c r="J239" s="1143">
        <f>VLOOKUP($E239,'JKP-8.5 - Unit Costs'!$A$9:$H$33,5,FALSE)</f>
        <v>0</v>
      </c>
      <c r="K239" s="1143">
        <f>VLOOKUP($E239,'JKP-8.5 - Unit Costs'!$A$9:$H$33,3,FALSE)</f>
        <v>0</v>
      </c>
      <c r="L239" s="1143">
        <f>VLOOKUP($E239,'JKP-8.5 - Unit Costs'!$A$9:$H$33,6,FALSE)</f>
        <v>0</v>
      </c>
      <c r="M239" s="1143">
        <f>VLOOKUP($E239,'JKP-8.5 - Unit Costs'!$A$9:$H$33,8,FALSE)</f>
        <v>28159.37</v>
      </c>
      <c r="N239" s="1143">
        <f>VLOOKUP($E239,'JKP-8.5 - Unit Costs'!$A$9:$H$33,8,FALSE)</f>
        <v>28159.37</v>
      </c>
      <c r="O239" s="1144">
        <f t="shared" si="30"/>
        <v>0</v>
      </c>
      <c r="P239" s="1144">
        <f t="shared" si="30"/>
        <v>0</v>
      </c>
      <c r="Q239" s="1144">
        <f t="shared" si="31"/>
        <v>0</v>
      </c>
      <c r="R239" s="1144">
        <f t="shared" si="32"/>
        <v>0</v>
      </c>
      <c r="S239" s="1144">
        <f t="shared" si="32"/>
        <v>0</v>
      </c>
      <c r="T239" s="1144">
        <f t="shared" si="33"/>
        <v>0</v>
      </c>
      <c r="U239" s="1144">
        <f t="shared" si="34"/>
        <v>0</v>
      </c>
      <c r="V239" s="1144">
        <f t="shared" si="34"/>
        <v>28159.37</v>
      </c>
      <c r="W239" s="1145">
        <f t="shared" si="35"/>
        <v>28159.37</v>
      </c>
    </row>
    <row r="240" spans="1:23" x14ac:dyDescent="0.2">
      <c r="A240" s="1140" t="str">
        <f t="shared" si="27"/>
        <v>87TG-I 38000 AMR</v>
      </c>
      <c r="B240" s="1140" t="str">
        <f t="shared" si="28"/>
        <v xml:space="preserve">87TG-I 38000 </v>
      </c>
      <c r="C240" s="1140" t="s">
        <v>811</v>
      </c>
      <c r="D240" s="1140" t="s">
        <v>749</v>
      </c>
      <c r="E240" s="1140">
        <v>38000</v>
      </c>
      <c r="F240" s="1141">
        <f>SUMIF('JKP-8.5 - CNSMREQP_GASMTRCTR'!$A$2:$A$391,'JKP-8.5 - Total Costs'!A240,'JKP-8.5 - CNSMREQP_GASMTRCTR'!$F$2:$F$391)-SUMIF('JKP-8.5 - Migrated From'!$A$2:$A$22,'JKP-8.5 - Total Costs'!A240,'JKP-8.5 - Migrated From'!$F$2:$F$22)+SUMIF('JKP-8.5 - Migrated To'!$A$2:$A$22,'JKP-8.5 - Total Costs'!A240,'JKP-8.5 - Migrated To'!$F$2:$F$22)</f>
        <v>0</v>
      </c>
      <c r="G240" s="1141">
        <f>SUMIF('JKP-8.5 - CNSMREQP_GASMTRCTR'!$A$2:$A$391,'JKP-8.5 - Total Costs'!B240,'JKP-8.5 - CNSMREQP_GASMTRCTR'!$F$2:$F$391)-SUMIF('JKP-8.5 - Migrated From'!$A$2:$A$22,'JKP-8.5 - Total Costs'!B240,'JKP-8.5 - Migrated From'!$F$2:$F$22)+SUMIF('JKP-8.5 - Migrated To'!$A$2:$A$22,'JKP-8.5 - Total Costs'!B240,'JKP-8.5 - Migrated To'!$F$2:$F$22)</f>
        <v>3</v>
      </c>
      <c r="H240" s="1142">
        <f t="shared" si="29"/>
        <v>3</v>
      </c>
      <c r="I240" s="1143">
        <f>VLOOKUP($E240,'JKP-8.5 - Unit Costs'!$A$9:$H$33,2,FALSE)</f>
        <v>0</v>
      </c>
      <c r="J240" s="1143">
        <f>VLOOKUP($E240,'JKP-8.5 - Unit Costs'!$A$9:$H$33,5,FALSE)</f>
        <v>0</v>
      </c>
      <c r="K240" s="1143">
        <f>VLOOKUP($E240,'JKP-8.5 - Unit Costs'!$A$9:$H$33,3,FALSE)</f>
        <v>0</v>
      </c>
      <c r="L240" s="1143">
        <f>VLOOKUP($E240,'JKP-8.5 - Unit Costs'!$A$9:$H$33,6,FALSE)</f>
        <v>0</v>
      </c>
      <c r="M240" s="1143">
        <f>VLOOKUP($E240,'JKP-8.5 - Unit Costs'!$A$9:$H$33,8,FALSE)</f>
        <v>28722.53</v>
      </c>
      <c r="N240" s="1143">
        <f>VLOOKUP($E240,'JKP-8.5 - Unit Costs'!$A$9:$H$33,8,FALSE)</f>
        <v>28722.53</v>
      </c>
      <c r="O240" s="1144">
        <f t="shared" si="30"/>
        <v>0</v>
      </c>
      <c r="P240" s="1144">
        <f t="shared" si="30"/>
        <v>0</v>
      </c>
      <c r="Q240" s="1144">
        <f t="shared" si="31"/>
        <v>0</v>
      </c>
      <c r="R240" s="1144">
        <f t="shared" si="32"/>
        <v>0</v>
      </c>
      <c r="S240" s="1144">
        <f t="shared" si="32"/>
        <v>0</v>
      </c>
      <c r="T240" s="1144">
        <f t="shared" si="33"/>
        <v>0</v>
      </c>
      <c r="U240" s="1144">
        <f t="shared" si="34"/>
        <v>0</v>
      </c>
      <c r="V240" s="1144">
        <f t="shared" si="34"/>
        <v>86167.59</v>
      </c>
      <c r="W240" s="1145">
        <f t="shared" si="35"/>
        <v>86167.59</v>
      </c>
    </row>
    <row r="241" spans="1:23" x14ac:dyDescent="0.2">
      <c r="A241" s="1140" t="str">
        <f t="shared" si="27"/>
        <v>87TG-I 60000 AMR</v>
      </c>
      <c r="B241" s="1140" t="str">
        <f t="shared" si="28"/>
        <v xml:space="preserve">87TG-I 60000 </v>
      </c>
      <c r="C241" s="1140" t="s">
        <v>811</v>
      </c>
      <c r="D241" s="1140" t="s">
        <v>749</v>
      </c>
      <c r="E241" s="1140">
        <v>60000</v>
      </c>
      <c r="F241" s="1141">
        <f>SUMIF('JKP-8.5 - CNSMREQP_GASMTRCTR'!$A$2:$A$391,'JKP-8.5 - Total Costs'!A241,'JKP-8.5 - CNSMREQP_GASMTRCTR'!$F$2:$F$391)-SUMIF('JKP-8.5 - Migrated From'!$A$2:$A$22,'JKP-8.5 - Total Costs'!A241,'JKP-8.5 - Migrated From'!$F$2:$F$22)+SUMIF('JKP-8.5 - Migrated To'!$A$2:$A$22,'JKP-8.5 - Total Costs'!A241,'JKP-8.5 - Migrated To'!$F$2:$F$22)</f>
        <v>0</v>
      </c>
      <c r="G241" s="1141">
        <f>SUMIF('JKP-8.5 - CNSMREQP_GASMTRCTR'!$A$2:$A$391,'JKP-8.5 - Total Costs'!B241,'JKP-8.5 - CNSMREQP_GASMTRCTR'!$F$2:$F$391)-SUMIF('JKP-8.5 - Migrated From'!$A$2:$A$22,'JKP-8.5 - Total Costs'!B241,'JKP-8.5 - Migrated From'!$F$2:$F$22)+SUMIF('JKP-8.5 - Migrated To'!$A$2:$A$22,'JKP-8.5 - Total Costs'!B241,'JKP-8.5 - Migrated To'!$F$2:$F$22)</f>
        <v>5</v>
      </c>
      <c r="H241" s="1142">
        <f t="shared" si="29"/>
        <v>5</v>
      </c>
      <c r="I241" s="1143">
        <f>VLOOKUP($E241,'JKP-8.5 - Unit Costs'!$A$9:$H$33,2,FALSE)</f>
        <v>0</v>
      </c>
      <c r="J241" s="1143">
        <f>VLOOKUP($E241,'JKP-8.5 - Unit Costs'!$A$9:$H$33,5,FALSE)</f>
        <v>0</v>
      </c>
      <c r="K241" s="1143">
        <f>VLOOKUP($E241,'JKP-8.5 - Unit Costs'!$A$9:$H$33,3,FALSE)</f>
        <v>0</v>
      </c>
      <c r="L241" s="1143">
        <f>VLOOKUP($E241,'JKP-8.5 - Unit Costs'!$A$9:$H$33,6,FALSE)</f>
        <v>0</v>
      </c>
      <c r="M241" s="1143">
        <f>VLOOKUP($E241,'JKP-8.5 - Unit Costs'!$A$9:$H$33,8,FALSE)</f>
        <v>36556.269999999997</v>
      </c>
      <c r="N241" s="1143">
        <f>VLOOKUP($E241,'JKP-8.5 - Unit Costs'!$A$9:$H$33,8,FALSE)</f>
        <v>36556.269999999997</v>
      </c>
      <c r="O241" s="1144">
        <f t="shared" si="30"/>
        <v>0</v>
      </c>
      <c r="P241" s="1144">
        <f t="shared" si="30"/>
        <v>0</v>
      </c>
      <c r="Q241" s="1144">
        <f t="shared" si="31"/>
        <v>0</v>
      </c>
      <c r="R241" s="1144">
        <f t="shared" si="32"/>
        <v>0</v>
      </c>
      <c r="S241" s="1144">
        <f t="shared" si="32"/>
        <v>0</v>
      </c>
      <c r="T241" s="1144">
        <f t="shared" si="33"/>
        <v>0</v>
      </c>
      <c r="U241" s="1144">
        <f t="shared" si="34"/>
        <v>0</v>
      </c>
      <c r="V241" s="1144">
        <f t="shared" si="34"/>
        <v>182781.34999999998</v>
      </c>
      <c r="W241" s="1145">
        <f t="shared" si="35"/>
        <v>182781.34999999998</v>
      </c>
    </row>
    <row r="242" spans="1:23" x14ac:dyDescent="0.2">
      <c r="A242" s="1140" t="str">
        <f t="shared" si="27"/>
        <v>87TG-I 150000 AMR</v>
      </c>
      <c r="B242" s="1140" t="str">
        <f t="shared" si="28"/>
        <v xml:space="preserve">87TG-I 150000 </v>
      </c>
      <c r="C242" s="1140" t="s">
        <v>811</v>
      </c>
      <c r="D242" s="1140" t="s">
        <v>749</v>
      </c>
      <c r="E242" s="1140">
        <v>150000</v>
      </c>
      <c r="F242" s="1141">
        <f>SUMIF('JKP-8.5 - CNSMREQP_GASMTRCTR'!$A$2:$A$391,'JKP-8.5 - Total Costs'!A242,'JKP-8.5 - CNSMREQP_GASMTRCTR'!$F$2:$F$391)-SUMIF('JKP-8.5 - Migrated From'!$A$2:$A$22,'JKP-8.5 - Total Costs'!A242,'JKP-8.5 - Migrated From'!$F$2:$F$22)+SUMIF('JKP-8.5 - Migrated To'!$A$2:$A$22,'JKP-8.5 - Total Costs'!A242,'JKP-8.5 - Migrated To'!$F$2:$F$22)</f>
        <v>0</v>
      </c>
      <c r="G242" s="1141">
        <f>SUMIF('JKP-8.5 - CNSMREQP_GASMTRCTR'!$A$2:$A$391,'JKP-8.5 - Total Costs'!B242,'JKP-8.5 - CNSMREQP_GASMTRCTR'!$F$2:$F$391)-SUMIF('JKP-8.5 - Migrated From'!$A$2:$A$22,'JKP-8.5 - Total Costs'!B242,'JKP-8.5 - Migrated From'!$F$2:$F$22)+SUMIF('JKP-8.5 - Migrated To'!$A$2:$A$22,'JKP-8.5 - Total Costs'!B242,'JKP-8.5 - Migrated To'!$F$2:$F$22)</f>
        <v>2</v>
      </c>
      <c r="H242" s="1142">
        <f t="shared" si="29"/>
        <v>2</v>
      </c>
      <c r="I242" s="1143">
        <f>VLOOKUP($E242,'JKP-8.5 - Unit Costs'!$A$9:$H$33,2,FALSE)</f>
        <v>0</v>
      </c>
      <c r="J242" s="1143">
        <f>VLOOKUP($E242,'JKP-8.5 - Unit Costs'!$A$9:$H$33,5,FALSE)</f>
        <v>0</v>
      </c>
      <c r="K242" s="1143">
        <f>VLOOKUP($E242,'JKP-8.5 - Unit Costs'!$A$9:$H$33,3,FALSE)</f>
        <v>0</v>
      </c>
      <c r="L242" s="1143">
        <f>VLOOKUP($E242,'JKP-8.5 - Unit Costs'!$A$9:$H$33,6,FALSE)</f>
        <v>0</v>
      </c>
      <c r="M242" s="1143">
        <f>VLOOKUP($E242,'JKP-8.5 - Unit Costs'!$A$9:$H$33,8,FALSE)</f>
        <v>45158.289999999994</v>
      </c>
      <c r="N242" s="1143">
        <f>VLOOKUP($E242,'JKP-8.5 - Unit Costs'!$A$9:$H$33,8,FALSE)</f>
        <v>45158.289999999994</v>
      </c>
      <c r="O242" s="1144">
        <f t="shared" si="30"/>
        <v>0</v>
      </c>
      <c r="P242" s="1144">
        <f t="shared" si="30"/>
        <v>0</v>
      </c>
      <c r="Q242" s="1144">
        <f t="shared" si="31"/>
        <v>0</v>
      </c>
      <c r="R242" s="1144">
        <f t="shared" si="32"/>
        <v>0</v>
      </c>
      <c r="S242" s="1144">
        <f t="shared" si="32"/>
        <v>0</v>
      </c>
      <c r="T242" s="1144">
        <f t="shared" si="33"/>
        <v>0</v>
      </c>
      <c r="U242" s="1144">
        <f t="shared" si="34"/>
        <v>0</v>
      </c>
      <c r="V242" s="1144">
        <f t="shared" si="34"/>
        <v>90316.579999999987</v>
      </c>
      <c r="W242" s="1145">
        <f t="shared" si="35"/>
        <v>90316.579999999987</v>
      </c>
    </row>
    <row r="243" spans="1:23" x14ac:dyDescent="0.2">
      <c r="A243" s="1140" t="str">
        <f t="shared" si="27"/>
        <v>98G-C 250 AMR</v>
      </c>
      <c r="B243" s="1140" t="str">
        <f t="shared" si="28"/>
        <v xml:space="preserve">98G-C 250 </v>
      </c>
      <c r="C243" s="1140" t="s">
        <v>805</v>
      </c>
      <c r="D243" s="1140" t="s">
        <v>1853</v>
      </c>
      <c r="E243" s="1140">
        <v>250</v>
      </c>
      <c r="F243" s="1141">
        <f>SUMIF('JKP-8.5 - CNSMREQP_GASMTRCTR'!$A$2:$A$391,'JKP-8.5 - Total Costs'!A243,'JKP-8.5 - CNSMREQP_GASMTRCTR'!$F$2:$F$391)-SUMIF('JKP-8.5 - Migrated From'!$A$2:$A$22,'JKP-8.5 - Total Costs'!A243,'JKP-8.5 - Migrated From'!$F$2:$F$22)+SUMIF('JKP-8.5 - Migrated To'!$A$2:$A$22,'JKP-8.5 - Total Costs'!A243,'JKP-8.5 - Migrated To'!$F$2:$F$22)</f>
        <v>2</v>
      </c>
      <c r="G243" s="1141">
        <f>SUMIF('JKP-8.5 - CNSMREQP_GASMTRCTR'!$A$2:$A$391,'JKP-8.5 - Total Costs'!B243,'JKP-8.5 - CNSMREQP_GASMTRCTR'!$F$2:$F$391)-SUMIF('JKP-8.5 - Migrated From'!$A$2:$A$22,'JKP-8.5 - Total Costs'!B243,'JKP-8.5 - Migrated From'!$F$2:$F$22)+SUMIF('JKP-8.5 - Migrated To'!$A$2:$A$22,'JKP-8.5 - Total Costs'!B243,'JKP-8.5 - Migrated To'!$F$2:$F$22)</f>
        <v>0</v>
      </c>
      <c r="H243" s="1142">
        <f t="shared" si="29"/>
        <v>2</v>
      </c>
      <c r="I243" s="1143">
        <f>VLOOKUP($E243,'JKP-8.5 - Unit Costs'!$A$9:$H$33,2,FALSE)</f>
        <v>141.83000000000001</v>
      </c>
      <c r="J243" s="1143">
        <f>VLOOKUP($E243,'JKP-8.5 - Unit Costs'!$A$9:$H$33,5,FALSE)</f>
        <v>92.480000000000018</v>
      </c>
      <c r="K243" s="1143">
        <f>VLOOKUP($E243,'JKP-8.5 - Unit Costs'!$A$9:$H$33,3,FALSE)</f>
        <v>41.76</v>
      </c>
      <c r="L243" s="1143">
        <f>VLOOKUP($E243,'JKP-8.5 - Unit Costs'!$A$9:$H$33,6,FALSE)</f>
        <v>41.76</v>
      </c>
      <c r="M243" s="1143">
        <f>VLOOKUP($E243,'JKP-8.5 - Unit Costs'!$A$9:$H$33,8,FALSE)</f>
        <v>0</v>
      </c>
      <c r="N243" s="1143">
        <f>VLOOKUP($E243,'JKP-8.5 - Unit Costs'!$A$9:$H$33,8,FALSE)</f>
        <v>0</v>
      </c>
      <c r="O243" s="1144">
        <f t="shared" si="30"/>
        <v>283.66000000000003</v>
      </c>
      <c r="P243" s="1144">
        <f t="shared" si="30"/>
        <v>0</v>
      </c>
      <c r="Q243" s="1144">
        <f t="shared" si="31"/>
        <v>283.66000000000003</v>
      </c>
      <c r="R243" s="1144">
        <f t="shared" si="32"/>
        <v>83.52</v>
      </c>
      <c r="S243" s="1144">
        <f t="shared" si="32"/>
        <v>0</v>
      </c>
      <c r="T243" s="1144">
        <f t="shared" si="33"/>
        <v>83.52</v>
      </c>
      <c r="U243" s="1144">
        <f t="shared" si="34"/>
        <v>0</v>
      </c>
      <c r="V243" s="1144">
        <f t="shared" si="34"/>
        <v>0</v>
      </c>
      <c r="W243" s="1145">
        <f t="shared" si="35"/>
        <v>0</v>
      </c>
    </row>
    <row r="244" spans="1:23" x14ac:dyDescent="0.2">
      <c r="A244" s="1140" t="str">
        <f t="shared" si="27"/>
        <v>98G-C 425 AMR</v>
      </c>
      <c r="B244" s="1140" t="str">
        <f t="shared" si="28"/>
        <v xml:space="preserve">98G-C 425 </v>
      </c>
      <c r="C244" s="1140" t="s">
        <v>805</v>
      </c>
      <c r="D244" s="1140" t="s">
        <v>1853</v>
      </c>
      <c r="E244" s="1140">
        <v>425</v>
      </c>
      <c r="F244" s="1141">
        <f>SUMIF('JKP-8.5 - CNSMREQP_GASMTRCTR'!$A$2:$A$391,'JKP-8.5 - Total Costs'!A244,'JKP-8.5 - CNSMREQP_GASMTRCTR'!$F$2:$F$391)-SUMIF('JKP-8.5 - Migrated From'!$A$2:$A$22,'JKP-8.5 - Total Costs'!A244,'JKP-8.5 - Migrated From'!$F$2:$F$22)+SUMIF('JKP-8.5 - Migrated To'!$A$2:$A$22,'JKP-8.5 - Total Costs'!A244,'JKP-8.5 - Migrated To'!$F$2:$F$22)</f>
        <v>2</v>
      </c>
      <c r="G244" s="1141">
        <f>SUMIF('JKP-8.5 - CNSMREQP_GASMTRCTR'!$A$2:$A$391,'JKP-8.5 - Total Costs'!B244,'JKP-8.5 - CNSMREQP_GASMTRCTR'!$F$2:$F$391)-SUMIF('JKP-8.5 - Migrated From'!$A$2:$A$22,'JKP-8.5 - Total Costs'!B244,'JKP-8.5 - Migrated From'!$F$2:$F$22)+SUMIF('JKP-8.5 - Migrated To'!$A$2:$A$22,'JKP-8.5 - Total Costs'!B244,'JKP-8.5 - Migrated To'!$F$2:$F$22)</f>
        <v>0</v>
      </c>
      <c r="H244" s="1142">
        <f t="shared" si="29"/>
        <v>2</v>
      </c>
      <c r="I244" s="1143">
        <f>VLOOKUP($E244,'JKP-8.5 - Unit Costs'!$A$9:$H$33,2,FALSE)</f>
        <v>462.02000000000004</v>
      </c>
      <c r="J244" s="1143">
        <f>VLOOKUP($E244,'JKP-8.5 - Unit Costs'!$A$9:$H$33,5,FALSE)</f>
        <v>193.72</v>
      </c>
      <c r="K244" s="1143">
        <f>VLOOKUP($E244,'JKP-8.5 - Unit Costs'!$A$9:$H$33,3,FALSE)</f>
        <v>41.76</v>
      </c>
      <c r="L244" s="1143">
        <f>VLOOKUP($E244,'JKP-8.5 - Unit Costs'!$A$9:$H$33,6,FALSE)</f>
        <v>41.76</v>
      </c>
      <c r="M244" s="1143">
        <f>VLOOKUP($E244,'JKP-8.5 - Unit Costs'!$A$9:$H$33,8,FALSE)</f>
        <v>0</v>
      </c>
      <c r="N244" s="1143">
        <f>VLOOKUP($E244,'JKP-8.5 - Unit Costs'!$A$9:$H$33,8,FALSE)</f>
        <v>0</v>
      </c>
      <c r="O244" s="1144">
        <f t="shared" si="30"/>
        <v>924.04000000000008</v>
      </c>
      <c r="P244" s="1144">
        <f t="shared" si="30"/>
        <v>0</v>
      </c>
      <c r="Q244" s="1144">
        <f t="shared" si="31"/>
        <v>924.04000000000008</v>
      </c>
      <c r="R244" s="1144">
        <f t="shared" si="32"/>
        <v>83.52</v>
      </c>
      <c r="S244" s="1144">
        <f t="shared" si="32"/>
        <v>0</v>
      </c>
      <c r="T244" s="1144">
        <f t="shared" si="33"/>
        <v>83.52</v>
      </c>
      <c r="U244" s="1144">
        <f t="shared" si="34"/>
        <v>0</v>
      </c>
      <c r="V244" s="1144">
        <f t="shared" si="34"/>
        <v>0</v>
      </c>
      <c r="W244" s="1145">
        <f t="shared" si="35"/>
        <v>0</v>
      </c>
    </row>
    <row r="245" spans="1:23" x14ac:dyDescent="0.2">
      <c r="A245" s="1140" t="str">
        <f t="shared" si="27"/>
        <v>98G-C 1000 AMR</v>
      </c>
      <c r="B245" s="1140" t="str">
        <f t="shared" si="28"/>
        <v xml:space="preserve">98G-C 1000 </v>
      </c>
      <c r="C245" s="1140" t="s">
        <v>805</v>
      </c>
      <c r="D245" s="1140" t="s">
        <v>1853</v>
      </c>
      <c r="E245" s="1140">
        <v>1000</v>
      </c>
      <c r="F245" s="1141">
        <f>SUMIF('JKP-8.5 - CNSMREQP_GASMTRCTR'!$A$2:$A$391,'JKP-8.5 - Total Costs'!A245,'JKP-8.5 - CNSMREQP_GASMTRCTR'!$F$2:$F$391)-SUMIF('JKP-8.5 - Migrated From'!$A$2:$A$22,'JKP-8.5 - Total Costs'!A245,'JKP-8.5 - Migrated From'!$F$2:$F$22)+SUMIF('JKP-8.5 - Migrated To'!$A$2:$A$22,'JKP-8.5 - Total Costs'!A245,'JKP-8.5 - Migrated To'!$F$2:$F$22)</f>
        <v>63</v>
      </c>
      <c r="G245" s="1141">
        <f>SUMIF('JKP-8.5 - CNSMREQP_GASMTRCTR'!$A$2:$A$391,'JKP-8.5 - Total Costs'!B245,'JKP-8.5 - CNSMREQP_GASMTRCTR'!$F$2:$F$391)-SUMIF('JKP-8.5 - Migrated From'!$A$2:$A$22,'JKP-8.5 - Total Costs'!B245,'JKP-8.5 - Migrated From'!$F$2:$F$22)+SUMIF('JKP-8.5 - Migrated To'!$A$2:$A$22,'JKP-8.5 - Total Costs'!B245,'JKP-8.5 - Migrated To'!$F$2:$F$22)</f>
        <v>6</v>
      </c>
      <c r="H245" s="1142">
        <f t="shared" si="29"/>
        <v>69</v>
      </c>
      <c r="I245" s="1143">
        <f>VLOOKUP($E245,'JKP-8.5 - Unit Costs'!$A$9:$H$33,2,FALSE)</f>
        <v>1404.86</v>
      </c>
      <c r="J245" s="1143">
        <f>VLOOKUP($E245,'JKP-8.5 - Unit Costs'!$A$9:$H$33,5,FALSE)</f>
        <v>1063.1500000000001</v>
      </c>
      <c r="K245" s="1143">
        <f>VLOOKUP($E245,'JKP-8.5 - Unit Costs'!$A$9:$H$33,3,FALSE)</f>
        <v>41.76</v>
      </c>
      <c r="L245" s="1143">
        <f>VLOOKUP($E245,'JKP-8.5 - Unit Costs'!$A$9:$H$33,6,FALSE)</f>
        <v>41.76</v>
      </c>
      <c r="M245" s="1143">
        <f>VLOOKUP($E245,'JKP-8.5 - Unit Costs'!$A$9:$H$33,8,FALSE)</f>
        <v>0</v>
      </c>
      <c r="N245" s="1143">
        <f>VLOOKUP($E245,'JKP-8.5 - Unit Costs'!$A$9:$H$33,8,FALSE)</f>
        <v>0</v>
      </c>
      <c r="O245" s="1144">
        <f t="shared" si="30"/>
        <v>88506.18</v>
      </c>
      <c r="P245" s="1144">
        <f t="shared" si="30"/>
        <v>6378.9000000000005</v>
      </c>
      <c r="Q245" s="1144">
        <f t="shared" si="31"/>
        <v>94885.079999999987</v>
      </c>
      <c r="R245" s="1144">
        <f t="shared" si="32"/>
        <v>2630.8799999999997</v>
      </c>
      <c r="S245" s="1144">
        <f t="shared" si="32"/>
        <v>250.56</v>
      </c>
      <c r="T245" s="1144">
        <f t="shared" si="33"/>
        <v>2881.4399999999996</v>
      </c>
      <c r="U245" s="1144">
        <f t="shared" si="34"/>
        <v>0</v>
      </c>
      <c r="V245" s="1144">
        <f t="shared" si="34"/>
        <v>0</v>
      </c>
      <c r="W245" s="1145">
        <f t="shared" si="35"/>
        <v>0</v>
      </c>
    </row>
    <row r="246" spans="1:23" x14ac:dyDescent="0.2">
      <c r="A246" s="1140" t="str">
        <f t="shared" si="27"/>
        <v>98G-C 1400 AMR</v>
      </c>
      <c r="B246" s="1140" t="str">
        <f t="shared" si="28"/>
        <v xml:space="preserve">98G-C 1400 </v>
      </c>
      <c r="C246" s="1140" t="s">
        <v>805</v>
      </c>
      <c r="D246" s="1140" t="s">
        <v>1853</v>
      </c>
      <c r="E246" s="1140">
        <v>1400</v>
      </c>
      <c r="F246" s="1141">
        <f>SUMIF('JKP-8.5 - CNSMREQP_GASMTRCTR'!$A$2:$A$391,'JKP-8.5 - Total Costs'!A246,'JKP-8.5 - CNSMREQP_GASMTRCTR'!$F$2:$F$391)-SUMIF('JKP-8.5 - Migrated From'!$A$2:$A$22,'JKP-8.5 - Total Costs'!A246,'JKP-8.5 - Migrated From'!$F$2:$F$22)+SUMIF('JKP-8.5 - Migrated To'!$A$2:$A$22,'JKP-8.5 - Total Costs'!A246,'JKP-8.5 - Migrated To'!$F$2:$F$22)</f>
        <v>9</v>
      </c>
      <c r="G246" s="1141">
        <f>SUMIF('JKP-8.5 - CNSMREQP_GASMTRCTR'!$A$2:$A$391,'JKP-8.5 - Total Costs'!B246,'JKP-8.5 - CNSMREQP_GASMTRCTR'!$F$2:$F$391)-SUMIF('JKP-8.5 - Migrated From'!$A$2:$A$22,'JKP-8.5 - Total Costs'!B246,'JKP-8.5 - Migrated From'!$F$2:$F$22)+SUMIF('JKP-8.5 - Migrated To'!$A$2:$A$22,'JKP-8.5 - Total Costs'!B246,'JKP-8.5 - Migrated To'!$F$2:$F$22)</f>
        <v>2</v>
      </c>
      <c r="H246" s="1142">
        <f t="shared" si="29"/>
        <v>11</v>
      </c>
      <c r="I246" s="1143">
        <f>VLOOKUP($E246,'JKP-8.5 - Unit Costs'!$A$9:$H$33,2,FALSE)</f>
        <v>0</v>
      </c>
      <c r="J246" s="1143">
        <f>VLOOKUP($E246,'JKP-8.5 - Unit Costs'!$A$9:$H$33,5,FALSE)</f>
        <v>0</v>
      </c>
      <c r="K246" s="1143">
        <f>VLOOKUP($E246,'JKP-8.5 - Unit Costs'!$A$9:$H$33,3,FALSE)</f>
        <v>0</v>
      </c>
      <c r="L246" s="1143">
        <f>VLOOKUP($E246,'JKP-8.5 - Unit Costs'!$A$9:$H$33,6,FALSE)</f>
        <v>0</v>
      </c>
      <c r="M246" s="1143">
        <f>VLOOKUP($E246,'JKP-8.5 - Unit Costs'!$A$9:$H$33,8,FALSE)</f>
        <v>2379.79</v>
      </c>
      <c r="N246" s="1143">
        <f>VLOOKUP($E246,'JKP-8.5 - Unit Costs'!$A$9:$H$33,8,FALSE)</f>
        <v>2379.79</v>
      </c>
      <c r="O246" s="1144">
        <f t="shared" si="30"/>
        <v>0</v>
      </c>
      <c r="P246" s="1144">
        <f t="shared" si="30"/>
        <v>0</v>
      </c>
      <c r="Q246" s="1144">
        <f t="shared" si="31"/>
        <v>0</v>
      </c>
      <c r="R246" s="1144">
        <f t="shared" si="32"/>
        <v>0</v>
      </c>
      <c r="S246" s="1144">
        <f t="shared" si="32"/>
        <v>0</v>
      </c>
      <c r="T246" s="1144">
        <f t="shared" si="33"/>
        <v>0</v>
      </c>
      <c r="U246" s="1144">
        <f t="shared" si="34"/>
        <v>21418.11</v>
      </c>
      <c r="V246" s="1144">
        <f t="shared" si="34"/>
        <v>4759.58</v>
      </c>
      <c r="W246" s="1145">
        <f t="shared" si="35"/>
        <v>26177.690000000002</v>
      </c>
    </row>
    <row r="247" spans="1:23" x14ac:dyDescent="0.2">
      <c r="A247" s="1140" t="str">
        <f t="shared" si="27"/>
        <v>98G-C 2300 AMR</v>
      </c>
      <c r="B247" s="1140" t="str">
        <f t="shared" si="28"/>
        <v xml:space="preserve">98G-C 2300 </v>
      </c>
      <c r="C247" s="1140" t="s">
        <v>805</v>
      </c>
      <c r="D247" s="1140" t="s">
        <v>1853</v>
      </c>
      <c r="E247" s="1140">
        <v>2300</v>
      </c>
      <c r="F247" s="1141">
        <f>SUMIF('JKP-8.5 - CNSMREQP_GASMTRCTR'!$A$2:$A$391,'JKP-8.5 - Total Costs'!A247,'JKP-8.5 - CNSMREQP_GASMTRCTR'!$F$2:$F$391)-SUMIF('JKP-8.5 - Migrated From'!$A$2:$A$22,'JKP-8.5 - Total Costs'!A247,'JKP-8.5 - Migrated From'!$F$2:$F$22)+SUMIF('JKP-8.5 - Migrated To'!$A$2:$A$22,'JKP-8.5 - Total Costs'!A247,'JKP-8.5 - Migrated To'!$F$2:$F$22)</f>
        <v>11</v>
      </c>
      <c r="G247" s="1141">
        <f>SUMIF('JKP-8.5 - CNSMREQP_GASMTRCTR'!$A$2:$A$391,'JKP-8.5 - Total Costs'!B247,'JKP-8.5 - CNSMREQP_GASMTRCTR'!$F$2:$F$391)-SUMIF('JKP-8.5 - Migrated From'!$A$2:$A$22,'JKP-8.5 - Total Costs'!B247,'JKP-8.5 - Migrated From'!$F$2:$F$22)+SUMIF('JKP-8.5 - Migrated To'!$A$2:$A$22,'JKP-8.5 - Total Costs'!B247,'JKP-8.5 - Migrated To'!$F$2:$F$22)</f>
        <v>0</v>
      </c>
      <c r="H247" s="1142">
        <f t="shared" si="29"/>
        <v>11</v>
      </c>
      <c r="I247" s="1143">
        <f>VLOOKUP($E247,'JKP-8.5 - Unit Costs'!$A$9:$H$33,2,FALSE)</f>
        <v>0</v>
      </c>
      <c r="J247" s="1143">
        <f>VLOOKUP($E247,'JKP-8.5 - Unit Costs'!$A$9:$H$33,5,FALSE)</f>
        <v>0</v>
      </c>
      <c r="K247" s="1143">
        <f>VLOOKUP($E247,'JKP-8.5 - Unit Costs'!$A$9:$H$33,3,FALSE)</f>
        <v>0</v>
      </c>
      <c r="L247" s="1143">
        <f>VLOOKUP($E247,'JKP-8.5 - Unit Costs'!$A$9:$H$33,6,FALSE)</f>
        <v>0</v>
      </c>
      <c r="M247" s="1143">
        <f>VLOOKUP($E247,'JKP-8.5 - Unit Costs'!$A$9:$H$33,8,FALSE)</f>
        <v>3587.13</v>
      </c>
      <c r="N247" s="1143">
        <f>VLOOKUP($E247,'JKP-8.5 - Unit Costs'!$A$9:$H$33,8,FALSE)</f>
        <v>3587.13</v>
      </c>
      <c r="O247" s="1144">
        <f t="shared" si="30"/>
        <v>0</v>
      </c>
      <c r="P247" s="1144">
        <f t="shared" si="30"/>
        <v>0</v>
      </c>
      <c r="Q247" s="1144">
        <f t="shared" si="31"/>
        <v>0</v>
      </c>
      <c r="R247" s="1144">
        <f t="shared" si="32"/>
        <v>0</v>
      </c>
      <c r="S247" s="1144">
        <f t="shared" si="32"/>
        <v>0</v>
      </c>
      <c r="T247" s="1144">
        <f t="shared" si="33"/>
        <v>0</v>
      </c>
      <c r="U247" s="1144">
        <f t="shared" si="34"/>
        <v>39458.43</v>
      </c>
      <c r="V247" s="1144">
        <f t="shared" si="34"/>
        <v>0</v>
      </c>
      <c r="W247" s="1145">
        <f t="shared" si="35"/>
        <v>39458.43</v>
      </c>
    </row>
    <row r="248" spans="1:23" x14ac:dyDescent="0.2">
      <c r="A248" s="1140" t="str">
        <f t="shared" si="27"/>
        <v>98G-C 3000 AMR</v>
      </c>
      <c r="B248" s="1140" t="str">
        <f t="shared" si="28"/>
        <v xml:space="preserve">98G-C 3000 </v>
      </c>
      <c r="C248" s="1140" t="s">
        <v>805</v>
      </c>
      <c r="D248" s="1140" t="s">
        <v>1853</v>
      </c>
      <c r="E248" s="1140">
        <v>3000</v>
      </c>
      <c r="F248" s="1141">
        <f>SUMIF('JKP-8.5 - CNSMREQP_GASMTRCTR'!$A$2:$A$391,'JKP-8.5 - Total Costs'!A248,'JKP-8.5 - CNSMREQP_GASMTRCTR'!$F$2:$F$391)-SUMIF('JKP-8.5 - Migrated From'!$A$2:$A$22,'JKP-8.5 - Total Costs'!A248,'JKP-8.5 - Migrated From'!$F$2:$F$22)+SUMIF('JKP-8.5 - Migrated To'!$A$2:$A$22,'JKP-8.5 - Total Costs'!A248,'JKP-8.5 - Migrated To'!$F$2:$F$22)</f>
        <v>11</v>
      </c>
      <c r="G248" s="1141">
        <f>SUMIF('JKP-8.5 - CNSMREQP_GASMTRCTR'!$A$2:$A$391,'JKP-8.5 - Total Costs'!B248,'JKP-8.5 - CNSMREQP_GASMTRCTR'!$F$2:$F$391)-SUMIF('JKP-8.5 - Migrated From'!$A$2:$A$22,'JKP-8.5 - Total Costs'!B248,'JKP-8.5 - Migrated From'!$F$2:$F$22)+SUMIF('JKP-8.5 - Migrated To'!$A$2:$A$22,'JKP-8.5 - Total Costs'!B248,'JKP-8.5 - Migrated To'!$F$2:$F$22)</f>
        <v>1</v>
      </c>
      <c r="H248" s="1142">
        <f t="shared" si="29"/>
        <v>12</v>
      </c>
      <c r="I248" s="1143">
        <f>VLOOKUP($E248,'JKP-8.5 - Unit Costs'!$A$9:$H$33,2,FALSE)</f>
        <v>0</v>
      </c>
      <c r="J248" s="1143">
        <f>VLOOKUP($E248,'JKP-8.5 - Unit Costs'!$A$9:$H$33,5,FALSE)</f>
        <v>0</v>
      </c>
      <c r="K248" s="1143">
        <f>VLOOKUP($E248,'JKP-8.5 - Unit Costs'!$A$9:$H$33,3,FALSE)</f>
        <v>0</v>
      </c>
      <c r="L248" s="1143">
        <f>VLOOKUP($E248,'JKP-8.5 - Unit Costs'!$A$9:$H$33,6,FALSE)</f>
        <v>0</v>
      </c>
      <c r="M248" s="1143">
        <f>VLOOKUP($E248,'JKP-8.5 - Unit Costs'!$A$9:$H$33,8,FALSE)</f>
        <v>3406.19</v>
      </c>
      <c r="N248" s="1143">
        <f>VLOOKUP($E248,'JKP-8.5 - Unit Costs'!$A$9:$H$33,8,FALSE)</f>
        <v>3406.19</v>
      </c>
      <c r="O248" s="1144">
        <f t="shared" si="30"/>
        <v>0</v>
      </c>
      <c r="P248" s="1144">
        <f t="shared" si="30"/>
        <v>0</v>
      </c>
      <c r="Q248" s="1144">
        <f t="shared" si="31"/>
        <v>0</v>
      </c>
      <c r="R248" s="1144">
        <f t="shared" si="32"/>
        <v>0</v>
      </c>
      <c r="S248" s="1144">
        <f t="shared" si="32"/>
        <v>0</v>
      </c>
      <c r="T248" s="1144">
        <f t="shared" si="33"/>
        <v>0</v>
      </c>
      <c r="U248" s="1144">
        <f t="shared" si="34"/>
        <v>37468.090000000004</v>
      </c>
      <c r="V248" s="1144">
        <f t="shared" si="34"/>
        <v>3406.19</v>
      </c>
      <c r="W248" s="1145">
        <f t="shared" si="35"/>
        <v>40874.280000000006</v>
      </c>
    </row>
    <row r="249" spans="1:23" x14ac:dyDescent="0.2">
      <c r="A249" s="1140" t="str">
        <f t="shared" si="27"/>
        <v>98G-C 5000 AMR</v>
      </c>
      <c r="B249" s="1140" t="str">
        <f t="shared" si="28"/>
        <v xml:space="preserve">98G-C 5000 </v>
      </c>
      <c r="C249" s="1140" t="s">
        <v>805</v>
      </c>
      <c r="D249" s="1140" t="s">
        <v>1853</v>
      </c>
      <c r="E249" s="1140">
        <v>5000</v>
      </c>
      <c r="F249" s="1141">
        <f>SUMIF('JKP-8.5 - CNSMREQP_GASMTRCTR'!$A$2:$A$391,'JKP-8.5 - Total Costs'!A249,'JKP-8.5 - CNSMREQP_GASMTRCTR'!$F$2:$F$391)-SUMIF('JKP-8.5 - Migrated From'!$A$2:$A$22,'JKP-8.5 - Total Costs'!A249,'JKP-8.5 - Migrated From'!$F$2:$F$22)+SUMIF('JKP-8.5 - Migrated To'!$A$2:$A$22,'JKP-8.5 - Total Costs'!A249,'JKP-8.5 - Migrated To'!$F$2:$F$22)</f>
        <v>22</v>
      </c>
      <c r="G249" s="1141">
        <f>SUMIF('JKP-8.5 - CNSMREQP_GASMTRCTR'!$A$2:$A$391,'JKP-8.5 - Total Costs'!B249,'JKP-8.5 - CNSMREQP_GASMTRCTR'!$F$2:$F$391)-SUMIF('JKP-8.5 - Migrated From'!$A$2:$A$22,'JKP-8.5 - Total Costs'!B249,'JKP-8.5 - Migrated From'!$F$2:$F$22)+SUMIF('JKP-8.5 - Migrated To'!$A$2:$A$22,'JKP-8.5 - Total Costs'!B249,'JKP-8.5 - Migrated To'!$F$2:$F$22)</f>
        <v>1</v>
      </c>
      <c r="H249" s="1142">
        <f t="shared" si="29"/>
        <v>23</v>
      </c>
      <c r="I249" s="1143">
        <f>VLOOKUP($E249,'JKP-8.5 - Unit Costs'!$A$9:$H$33,2,FALSE)</f>
        <v>0</v>
      </c>
      <c r="J249" s="1143">
        <f>VLOOKUP($E249,'JKP-8.5 - Unit Costs'!$A$9:$H$33,5,FALSE)</f>
        <v>0</v>
      </c>
      <c r="K249" s="1143">
        <f>VLOOKUP($E249,'JKP-8.5 - Unit Costs'!$A$9:$H$33,3,FALSE)</f>
        <v>0</v>
      </c>
      <c r="L249" s="1143">
        <f>VLOOKUP($E249,'JKP-8.5 - Unit Costs'!$A$9:$H$33,6,FALSE)</f>
        <v>0</v>
      </c>
      <c r="M249" s="1143">
        <f>VLOOKUP($E249,'JKP-8.5 - Unit Costs'!$A$9:$H$33,8,FALSE)</f>
        <v>3456.43</v>
      </c>
      <c r="N249" s="1143">
        <f>VLOOKUP($E249,'JKP-8.5 - Unit Costs'!$A$9:$H$33,8,FALSE)</f>
        <v>3456.43</v>
      </c>
      <c r="O249" s="1144">
        <f t="shared" si="30"/>
        <v>0</v>
      </c>
      <c r="P249" s="1144">
        <f t="shared" si="30"/>
        <v>0</v>
      </c>
      <c r="Q249" s="1144">
        <f t="shared" si="31"/>
        <v>0</v>
      </c>
      <c r="R249" s="1144">
        <f t="shared" si="32"/>
        <v>0</v>
      </c>
      <c r="S249" s="1144">
        <f t="shared" si="32"/>
        <v>0</v>
      </c>
      <c r="T249" s="1144">
        <f t="shared" si="33"/>
        <v>0</v>
      </c>
      <c r="U249" s="1144">
        <f t="shared" si="34"/>
        <v>76041.459999999992</v>
      </c>
      <c r="V249" s="1144">
        <f t="shared" si="34"/>
        <v>3456.43</v>
      </c>
      <c r="W249" s="1145">
        <f t="shared" si="35"/>
        <v>79497.889999999985</v>
      </c>
    </row>
    <row r="250" spans="1:23" x14ac:dyDescent="0.2">
      <c r="A250" s="1140" t="str">
        <f t="shared" si="27"/>
        <v>98G-C 7000 AMR</v>
      </c>
      <c r="B250" s="1140" t="str">
        <f t="shared" si="28"/>
        <v xml:space="preserve">98G-C 7000 </v>
      </c>
      <c r="C250" s="1140" t="s">
        <v>805</v>
      </c>
      <c r="D250" s="1140" t="s">
        <v>1853</v>
      </c>
      <c r="E250" s="1140">
        <v>7000</v>
      </c>
      <c r="F250" s="1141">
        <f>SUMIF('JKP-8.5 - CNSMREQP_GASMTRCTR'!$A$2:$A$391,'JKP-8.5 - Total Costs'!A250,'JKP-8.5 - CNSMREQP_GASMTRCTR'!$F$2:$F$391)-SUMIF('JKP-8.5 - Migrated From'!$A$2:$A$22,'JKP-8.5 - Total Costs'!A250,'JKP-8.5 - Migrated From'!$F$2:$F$22)+SUMIF('JKP-8.5 - Migrated To'!$A$2:$A$22,'JKP-8.5 - Total Costs'!A250,'JKP-8.5 - Migrated To'!$F$2:$F$22)</f>
        <v>3</v>
      </c>
      <c r="G250" s="1141">
        <f>SUMIF('JKP-8.5 - CNSMREQP_GASMTRCTR'!$A$2:$A$391,'JKP-8.5 - Total Costs'!B250,'JKP-8.5 - CNSMREQP_GASMTRCTR'!$F$2:$F$391)-SUMIF('JKP-8.5 - Migrated From'!$A$2:$A$22,'JKP-8.5 - Total Costs'!B250,'JKP-8.5 - Migrated From'!$F$2:$F$22)+SUMIF('JKP-8.5 - Migrated To'!$A$2:$A$22,'JKP-8.5 - Total Costs'!B250,'JKP-8.5 - Migrated To'!$F$2:$F$22)</f>
        <v>0</v>
      </c>
      <c r="H250" s="1142">
        <f t="shared" si="29"/>
        <v>3</v>
      </c>
      <c r="I250" s="1143">
        <f>VLOOKUP($E250,'JKP-8.5 - Unit Costs'!$A$9:$H$33,2,FALSE)</f>
        <v>0</v>
      </c>
      <c r="J250" s="1143">
        <f>VLOOKUP($E250,'JKP-8.5 - Unit Costs'!$A$9:$H$33,5,FALSE)</f>
        <v>0</v>
      </c>
      <c r="K250" s="1143">
        <f>VLOOKUP($E250,'JKP-8.5 - Unit Costs'!$A$9:$H$33,3,FALSE)</f>
        <v>0</v>
      </c>
      <c r="L250" s="1143">
        <f>VLOOKUP($E250,'JKP-8.5 - Unit Costs'!$A$9:$H$33,6,FALSE)</f>
        <v>0</v>
      </c>
      <c r="M250" s="1143">
        <f>VLOOKUP($E250,'JKP-8.5 - Unit Costs'!$A$9:$H$33,8,FALSE)</f>
        <v>3458.4399999999996</v>
      </c>
      <c r="N250" s="1143">
        <f>VLOOKUP($E250,'JKP-8.5 - Unit Costs'!$A$9:$H$33,8,FALSE)</f>
        <v>3458.4399999999996</v>
      </c>
      <c r="O250" s="1144">
        <f t="shared" si="30"/>
        <v>0</v>
      </c>
      <c r="P250" s="1144">
        <f t="shared" si="30"/>
        <v>0</v>
      </c>
      <c r="Q250" s="1144">
        <f t="shared" si="31"/>
        <v>0</v>
      </c>
      <c r="R250" s="1144">
        <f t="shared" si="32"/>
        <v>0</v>
      </c>
      <c r="S250" s="1144">
        <f t="shared" si="32"/>
        <v>0</v>
      </c>
      <c r="T250" s="1144">
        <f t="shared" si="33"/>
        <v>0</v>
      </c>
      <c r="U250" s="1144">
        <f t="shared" si="34"/>
        <v>10375.32</v>
      </c>
      <c r="V250" s="1144">
        <f t="shared" si="34"/>
        <v>0</v>
      </c>
      <c r="W250" s="1145">
        <f t="shared" si="35"/>
        <v>10375.32</v>
      </c>
    </row>
    <row r="251" spans="1:23" x14ac:dyDescent="0.2">
      <c r="A251" s="1140" t="str">
        <f t="shared" si="27"/>
        <v>98G-C 16000 AMR</v>
      </c>
      <c r="B251" s="1140" t="str">
        <f t="shared" si="28"/>
        <v xml:space="preserve">98G-C 16000 </v>
      </c>
      <c r="C251" s="1140" t="s">
        <v>805</v>
      </c>
      <c r="D251" s="1140" t="s">
        <v>1853</v>
      </c>
      <c r="E251" s="1140">
        <v>16000</v>
      </c>
      <c r="F251" s="1141">
        <f>SUMIF('JKP-8.5 - CNSMREQP_GASMTRCTR'!$A$2:$A$391,'JKP-8.5 - Total Costs'!A251,'JKP-8.5 - CNSMREQP_GASMTRCTR'!$F$2:$F$391)-SUMIF('JKP-8.5 - Migrated From'!$A$2:$A$22,'JKP-8.5 - Total Costs'!A251,'JKP-8.5 - Migrated From'!$F$2:$F$22)+SUMIF('JKP-8.5 - Migrated To'!$A$2:$A$22,'JKP-8.5 - Total Costs'!A251,'JKP-8.5 - Migrated To'!$F$2:$F$22)</f>
        <v>0</v>
      </c>
      <c r="G251" s="1141">
        <f>SUMIF('JKP-8.5 - CNSMREQP_GASMTRCTR'!$A$2:$A$391,'JKP-8.5 - Total Costs'!B251,'JKP-8.5 - CNSMREQP_GASMTRCTR'!$F$2:$F$391)-SUMIF('JKP-8.5 - Migrated From'!$A$2:$A$22,'JKP-8.5 - Total Costs'!B251,'JKP-8.5 - Migrated From'!$F$2:$F$22)+SUMIF('JKP-8.5 - Migrated To'!$A$2:$A$22,'JKP-8.5 - Total Costs'!B251,'JKP-8.5 - Migrated To'!$F$2:$F$22)</f>
        <v>2</v>
      </c>
      <c r="H251" s="1142">
        <f t="shared" si="29"/>
        <v>2</v>
      </c>
      <c r="I251" s="1143">
        <f>VLOOKUP($E251,'JKP-8.5 - Unit Costs'!$A$9:$H$33,2,FALSE)</f>
        <v>0</v>
      </c>
      <c r="J251" s="1143">
        <f>VLOOKUP($E251,'JKP-8.5 - Unit Costs'!$A$9:$H$33,5,FALSE)</f>
        <v>0</v>
      </c>
      <c r="K251" s="1143">
        <f>VLOOKUP($E251,'JKP-8.5 - Unit Costs'!$A$9:$H$33,3,FALSE)</f>
        <v>0</v>
      </c>
      <c r="L251" s="1143">
        <f>VLOOKUP($E251,'JKP-8.5 - Unit Costs'!$A$9:$H$33,6,FALSE)</f>
        <v>0</v>
      </c>
      <c r="M251" s="1143">
        <f>VLOOKUP($E251,'JKP-8.5 - Unit Costs'!$A$9:$H$33,8,FALSE)</f>
        <v>8983.2999999999993</v>
      </c>
      <c r="N251" s="1143">
        <f>VLOOKUP($E251,'JKP-8.5 - Unit Costs'!$A$9:$H$33,8,FALSE)</f>
        <v>8983.2999999999993</v>
      </c>
      <c r="O251" s="1144">
        <f t="shared" si="30"/>
        <v>0</v>
      </c>
      <c r="P251" s="1144">
        <f t="shared" si="30"/>
        <v>0</v>
      </c>
      <c r="Q251" s="1144">
        <f t="shared" si="31"/>
        <v>0</v>
      </c>
      <c r="R251" s="1144">
        <f t="shared" si="32"/>
        <v>0</v>
      </c>
      <c r="S251" s="1144">
        <f t="shared" si="32"/>
        <v>0</v>
      </c>
      <c r="T251" s="1144">
        <f t="shared" si="33"/>
        <v>0</v>
      </c>
      <c r="U251" s="1144">
        <f t="shared" si="34"/>
        <v>0</v>
      </c>
      <c r="V251" s="1144">
        <f t="shared" si="34"/>
        <v>17966.599999999999</v>
      </c>
      <c r="W251" s="1145">
        <f t="shared" si="35"/>
        <v>17966.599999999999</v>
      </c>
    </row>
    <row r="252" spans="1:23" x14ac:dyDescent="0.2">
      <c r="A252" s="1140" t="str">
        <f t="shared" si="27"/>
        <v>98G-C 30000 AMR</v>
      </c>
      <c r="B252" s="1140" t="str">
        <f t="shared" si="28"/>
        <v xml:space="preserve">98G-C 30000 </v>
      </c>
      <c r="C252" s="1140" t="s">
        <v>805</v>
      </c>
      <c r="D252" s="1140" t="s">
        <v>1853</v>
      </c>
      <c r="E252" s="1140">
        <v>30000</v>
      </c>
      <c r="F252" s="1141">
        <f>SUMIF('JKP-8.5 - CNSMREQP_GASMTRCTR'!$A$2:$A$391,'JKP-8.5 - Total Costs'!A252,'JKP-8.5 - CNSMREQP_GASMTRCTR'!$F$2:$F$391)-SUMIF('JKP-8.5 - Migrated From'!$A$2:$A$22,'JKP-8.5 - Total Costs'!A252,'JKP-8.5 - Migrated From'!$F$2:$F$22)+SUMIF('JKP-8.5 - Migrated To'!$A$2:$A$22,'JKP-8.5 - Total Costs'!A252,'JKP-8.5 - Migrated To'!$F$2:$F$22)</f>
        <v>0</v>
      </c>
      <c r="G252" s="1141">
        <f>SUMIF('JKP-8.5 - CNSMREQP_GASMTRCTR'!$A$2:$A$391,'JKP-8.5 - Total Costs'!B252,'JKP-8.5 - CNSMREQP_GASMTRCTR'!$F$2:$F$391)-SUMIF('JKP-8.5 - Migrated From'!$A$2:$A$22,'JKP-8.5 - Total Costs'!B252,'JKP-8.5 - Migrated From'!$F$2:$F$22)+SUMIF('JKP-8.5 - Migrated To'!$A$2:$A$22,'JKP-8.5 - Total Costs'!B252,'JKP-8.5 - Migrated To'!$F$2:$F$22)</f>
        <v>2</v>
      </c>
      <c r="H252" s="1142">
        <f t="shared" si="29"/>
        <v>2</v>
      </c>
      <c r="I252" s="1143">
        <f>VLOOKUP($E252,'JKP-8.5 - Unit Costs'!$A$9:$H$33,2,FALSE)</f>
        <v>0</v>
      </c>
      <c r="J252" s="1143">
        <f>VLOOKUP($E252,'JKP-8.5 - Unit Costs'!$A$9:$H$33,5,FALSE)</f>
        <v>0</v>
      </c>
      <c r="K252" s="1143">
        <f>VLOOKUP($E252,'JKP-8.5 - Unit Costs'!$A$9:$H$33,3,FALSE)</f>
        <v>0</v>
      </c>
      <c r="L252" s="1143">
        <f>VLOOKUP($E252,'JKP-8.5 - Unit Costs'!$A$9:$H$33,6,FALSE)</f>
        <v>0</v>
      </c>
      <c r="M252" s="1143">
        <f>VLOOKUP($E252,'JKP-8.5 - Unit Costs'!$A$9:$H$33,8,FALSE)</f>
        <v>28159.37</v>
      </c>
      <c r="N252" s="1143">
        <f>VLOOKUP($E252,'JKP-8.5 - Unit Costs'!$A$9:$H$33,8,FALSE)</f>
        <v>28159.37</v>
      </c>
      <c r="O252" s="1144">
        <f t="shared" si="30"/>
        <v>0</v>
      </c>
      <c r="P252" s="1144">
        <f t="shared" si="30"/>
        <v>0</v>
      </c>
      <c r="Q252" s="1144">
        <f t="shared" si="31"/>
        <v>0</v>
      </c>
      <c r="R252" s="1144">
        <f t="shared" si="32"/>
        <v>0</v>
      </c>
      <c r="S252" s="1144">
        <f t="shared" si="32"/>
        <v>0</v>
      </c>
      <c r="T252" s="1144">
        <f t="shared" si="33"/>
        <v>0</v>
      </c>
      <c r="U252" s="1144">
        <f t="shared" si="34"/>
        <v>0</v>
      </c>
      <c r="V252" s="1144">
        <f t="shared" si="34"/>
        <v>56318.74</v>
      </c>
      <c r="W252" s="1145">
        <f t="shared" si="35"/>
        <v>56318.74</v>
      </c>
    </row>
    <row r="253" spans="1:23" x14ac:dyDescent="0.2">
      <c r="A253" s="1140" t="str">
        <f t="shared" si="27"/>
        <v>SC  1000 AMR</v>
      </c>
      <c r="B253" s="1140" t="str">
        <f t="shared" si="28"/>
        <v xml:space="preserve">SC  1000 </v>
      </c>
      <c r="C253" s="1140" t="s">
        <v>745</v>
      </c>
      <c r="D253" s="1140" t="s">
        <v>1857</v>
      </c>
      <c r="E253" s="1140">
        <v>1000</v>
      </c>
      <c r="F253" s="1141">
        <f>SUMIF('JKP-8.5 - CNSMREQP_GASMTRCTR'!$A$2:$A$391,'JKP-8.5 - Total Costs'!A253,'JKP-8.5 - CNSMREQP_GASMTRCTR'!$F$2:$F$391)-SUMIF('JKP-8.5 - Migrated From'!$A$2:$A$22,'JKP-8.5 - Total Costs'!A253,'JKP-8.5 - Migrated From'!$F$2:$F$22)+SUMIF('JKP-8.5 - Migrated To'!$A$2:$A$22,'JKP-8.5 - Total Costs'!A253,'JKP-8.5 - Migrated To'!$F$2:$F$22)</f>
        <v>0</v>
      </c>
      <c r="G253" s="1141">
        <f>SUMIF('JKP-8.5 - CNSMREQP_GASMTRCTR'!$A$2:$A$391,'JKP-8.5 - Total Costs'!B253,'JKP-8.5 - CNSMREQP_GASMTRCTR'!$F$2:$F$391)-SUMIF('JKP-8.5 - Migrated From'!$A$2:$A$22,'JKP-8.5 - Total Costs'!B253,'JKP-8.5 - Migrated From'!$F$2:$F$22)+SUMIF('JKP-8.5 - Migrated To'!$A$2:$A$22,'JKP-8.5 - Total Costs'!B253,'JKP-8.5 - Migrated To'!$F$2:$F$22)</f>
        <v>2</v>
      </c>
      <c r="H253" s="1142">
        <f t="shared" si="29"/>
        <v>2</v>
      </c>
      <c r="I253" s="1143">
        <f>VLOOKUP($E253,'JKP-8.5 - Unit Costs'!$A$9:$H$33,2,FALSE)</f>
        <v>1404.86</v>
      </c>
      <c r="J253" s="1143">
        <f>VLOOKUP($E253,'JKP-8.5 - Unit Costs'!$A$9:$H$33,5,FALSE)</f>
        <v>1063.1500000000001</v>
      </c>
      <c r="K253" s="1143">
        <f>VLOOKUP($E253,'JKP-8.5 - Unit Costs'!$A$9:$H$33,3,FALSE)</f>
        <v>41.76</v>
      </c>
      <c r="L253" s="1143">
        <f>VLOOKUP($E253,'JKP-8.5 - Unit Costs'!$A$9:$H$33,6,FALSE)</f>
        <v>41.76</v>
      </c>
      <c r="M253" s="1143">
        <f>VLOOKUP($E253,'JKP-8.5 - Unit Costs'!$A$9:$H$33,8,FALSE)</f>
        <v>0</v>
      </c>
      <c r="N253" s="1143">
        <f>VLOOKUP($E253,'JKP-8.5 - Unit Costs'!$A$9:$H$33,8,FALSE)</f>
        <v>0</v>
      </c>
      <c r="O253" s="1144">
        <f t="shared" si="30"/>
        <v>0</v>
      </c>
      <c r="P253" s="1144">
        <f t="shared" si="30"/>
        <v>2126.3000000000002</v>
      </c>
      <c r="Q253" s="1144">
        <f t="shared" si="31"/>
        <v>2126.3000000000002</v>
      </c>
      <c r="R253" s="1144">
        <f t="shared" si="32"/>
        <v>0</v>
      </c>
      <c r="S253" s="1144">
        <f t="shared" si="32"/>
        <v>83.52</v>
      </c>
      <c r="T253" s="1144">
        <f t="shared" si="33"/>
        <v>83.52</v>
      </c>
      <c r="U253" s="1144">
        <f t="shared" si="34"/>
        <v>0</v>
      </c>
      <c r="V253" s="1144">
        <f t="shared" si="34"/>
        <v>0</v>
      </c>
      <c r="W253" s="1145">
        <f t="shared" si="35"/>
        <v>0</v>
      </c>
    </row>
    <row r="254" spans="1:23" x14ac:dyDescent="0.2">
      <c r="A254" s="1140" t="str">
        <f t="shared" si="27"/>
        <v>SC  3000 AMR</v>
      </c>
      <c r="B254" s="1140" t="str">
        <f t="shared" si="28"/>
        <v xml:space="preserve">SC  3000 </v>
      </c>
      <c r="C254" s="1140" t="s">
        <v>745</v>
      </c>
      <c r="D254" s="1140" t="s">
        <v>1857</v>
      </c>
      <c r="E254" s="1140">
        <v>3000</v>
      </c>
      <c r="F254" s="1141">
        <f>SUMIF('JKP-8.5 - CNSMREQP_GASMTRCTR'!$A$2:$A$391,'JKP-8.5 - Total Costs'!A254,'JKP-8.5 - CNSMREQP_GASMTRCTR'!$F$2:$F$391)-SUMIF('JKP-8.5 - Migrated From'!$A$2:$A$22,'JKP-8.5 - Total Costs'!A254,'JKP-8.5 - Migrated From'!$F$2:$F$22)+SUMIF('JKP-8.5 - Migrated To'!$A$2:$A$22,'JKP-8.5 - Total Costs'!A254,'JKP-8.5 - Migrated To'!$F$2:$F$22)</f>
        <v>2</v>
      </c>
      <c r="G254" s="1141">
        <f>SUMIF('JKP-8.5 - CNSMREQP_GASMTRCTR'!$A$2:$A$391,'JKP-8.5 - Total Costs'!B254,'JKP-8.5 - CNSMREQP_GASMTRCTR'!$F$2:$F$391)-SUMIF('JKP-8.5 - Migrated From'!$A$2:$A$22,'JKP-8.5 - Total Costs'!B254,'JKP-8.5 - Migrated From'!$F$2:$F$22)+SUMIF('JKP-8.5 - Migrated To'!$A$2:$A$22,'JKP-8.5 - Total Costs'!B254,'JKP-8.5 - Migrated To'!$F$2:$F$22)</f>
        <v>1</v>
      </c>
      <c r="H254" s="1142">
        <f t="shared" si="29"/>
        <v>3</v>
      </c>
      <c r="I254" s="1143">
        <f>VLOOKUP($E254,'JKP-8.5 - Unit Costs'!$A$9:$H$33,2,FALSE)</f>
        <v>0</v>
      </c>
      <c r="J254" s="1143">
        <f>VLOOKUP($E254,'JKP-8.5 - Unit Costs'!$A$9:$H$33,5,FALSE)</f>
        <v>0</v>
      </c>
      <c r="K254" s="1143">
        <f>VLOOKUP($E254,'JKP-8.5 - Unit Costs'!$A$9:$H$33,3,FALSE)</f>
        <v>0</v>
      </c>
      <c r="L254" s="1143">
        <f>VLOOKUP($E254,'JKP-8.5 - Unit Costs'!$A$9:$H$33,6,FALSE)</f>
        <v>0</v>
      </c>
      <c r="M254" s="1143">
        <f>VLOOKUP($E254,'JKP-8.5 - Unit Costs'!$A$9:$H$33,8,FALSE)</f>
        <v>3406.19</v>
      </c>
      <c r="N254" s="1143">
        <f>VLOOKUP($E254,'JKP-8.5 - Unit Costs'!$A$9:$H$33,8,FALSE)</f>
        <v>3406.19</v>
      </c>
      <c r="O254" s="1144">
        <f t="shared" si="30"/>
        <v>0</v>
      </c>
      <c r="P254" s="1144">
        <f t="shared" si="30"/>
        <v>0</v>
      </c>
      <c r="Q254" s="1144">
        <f t="shared" si="31"/>
        <v>0</v>
      </c>
      <c r="R254" s="1144">
        <f t="shared" si="32"/>
        <v>0</v>
      </c>
      <c r="S254" s="1144">
        <f t="shared" si="32"/>
        <v>0</v>
      </c>
      <c r="T254" s="1144">
        <f t="shared" si="33"/>
        <v>0</v>
      </c>
      <c r="U254" s="1144">
        <f t="shared" si="34"/>
        <v>6812.38</v>
      </c>
      <c r="V254" s="1144">
        <f t="shared" si="34"/>
        <v>3406.19</v>
      </c>
      <c r="W254" s="1145">
        <f t="shared" si="35"/>
        <v>10218.57</v>
      </c>
    </row>
    <row r="255" spans="1:23" x14ac:dyDescent="0.2">
      <c r="A255" s="1140" t="str">
        <f t="shared" si="27"/>
        <v>SC  5000 AMR</v>
      </c>
      <c r="B255" s="1140" t="str">
        <f t="shared" si="28"/>
        <v xml:space="preserve">SC  5000 </v>
      </c>
      <c r="C255" s="1140" t="s">
        <v>745</v>
      </c>
      <c r="D255" s="1140" t="s">
        <v>1857</v>
      </c>
      <c r="E255" s="1140">
        <v>5000</v>
      </c>
      <c r="F255" s="1141">
        <f>SUMIF('JKP-8.5 - CNSMREQP_GASMTRCTR'!$A$2:$A$391,'JKP-8.5 - Total Costs'!A255,'JKP-8.5 - CNSMREQP_GASMTRCTR'!$F$2:$F$391)-SUMIF('JKP-8.5 - Migrated From'!$A$2:$A$22,'JKP-8.5 - Total Costs'!A255,'JKP-8.5 - Migrated From'!$F$2:$F$22)+SUMIF('JKP-8.5 - Migrated To'!$A$2:$A$22,'JKP-8.5 - Total Costs'!A255,'JKP-8.5 - Migrated To'!$F$2:$F$22)</f>
        <v>1</v>
      </c>
      <c r="G255" s="1141">
        <f>SUMIF('JKP-8.5 - CNSMREQP_GASMTRCTR'!$A$2:$A$391,'JKP-8.5 - Total Costs'!B255,'JKP-8.5 - CNSMREQP_GASMTRCTR'!$F$2:$F$391)-SUMIF('JKP-8.5 - Migrated From'!$A$2:$A$22,'JKP-8.5 - Total Costs'!B255,'JKP-8.5 - Migrated From'!$F$2:$F$22)+SUMIF('JKP-8.5 - Migrated To'!$A$2:$A$22,'JKP-8.5 - Total Costs'!B255,'JKP-8.5 - Migrated To'!$F$2:$F$22)</f>
        <v>2</v>
      </c>
      <c r="H255" s="1142">
        <f t="shared" si="29"/>
        <v>3</v>
      </c>
      <c r="I255" s="1143">
        <f>VLOOKUP($E255,'JKP-8.5 - Unit Costs'!$A$9:$H$33,2,FALSE)</f>
        <v>0</v>
      </c>
      <c r="J255" s="1143">
        <f>VLOOKUP($E255,'JKP-8.5 - Unit Costs'!$A$9:$H$33,5,FALSE)</f>
        <v>0</v>
      </c>
      <c r="K255" s="1143">
        <f>VLOOKUP($E255,'JKP-8.5 - Unit Costs'!$A$9:$H$33,3,FALSE)</f>
        <v>0</v>
      </c>
      <c r="L255" s="1143">
        <f>VLOOKUP($E255,'JKP-8.5 - Unit Costs'!$A$9:$H$33,6,FALSE)</f>
        <v>0</v>
      </c>
      <c r="M255" s="1143">
        <f>VLOOKUP($E255,'JKP-8.5 - Unit Costs'!$A$9:$H$33,8,FALSE)</f>
        <v>3456.43</v>
      </c>
      <c r="N255" s="1143">
        <f>VLOOKUP($E255,'JKP-8.5 - Unit Costs'!$A$9:$H$33,8,FALSE)</f>
        <v>3456.43</v>
      </c>
      <c r="O255" s="1144">
        <f t="shared" si="30"/>
        <v>0</v>
      </c>
      <c r="P255" s="1144">
        <f t="shared" si="30"/>
        <v>0</v>
      </c>
      <c r="Q255" s="1144">
        <f t="shared" si="31"/>
        <v>0</v>
      </c>
      <c r="R255" s="1144">
        <f t="shared" si="32"/>
        <v>0</v>
      </c>
      <c r="S255" s="1144">
        <f t="shared" si="32"/>
        <v>0</v>
      </c>
      <c r="T255" s="1144">
        <f t="shared" si="33"/>
        <v>0</v>
      </c>
      <c r="U255" s="1144">
        <f t="shared" si="34"/>
        <v>3456.43</v>
      </c>
      <c r="V255" s="1144">
        <f t="shared" si="34"/>
        <v>6912.86</v>
      </c>
      <c r="W255" s="1145">
        <f t="shared" si="35"/>
        <v>10369.289999999999</v>
      </c>
    </row>
    <row r="256" spans="1:23" x14ac:dyDescent="0.2">
      <c r="A256" s="1140" t="str">
        <f t="shared" si="27"/>
        <v>SC  16000 AMR</v>
      </c>
      <c r="B256" s="1140" t="str">
        <f t="shared" si="28"/>
        <v xml:space="preserve">SC  16000 </v>
      </c>
      <c r="C256" s="1140" t="s">
        <v>745</v>
      </c>
      <c r="D256" s="1140" t="s">
        <v>1857</v>
      </c>
      <c r="E256" s="1140">
        <v>16000</v>
      </c>
      <c r="F256" s="1141">
        <f>SUMIF('JKP-8.5 - CNSMREQP_GASMTRCTR'!$A$2:$A$391,'JKP-8.5 - Total Costs'!A256,'JKP-8.5 - CNSMREQP_GASMTRCTR'!$F$2:$F$391)-SUMIF('JKP-8.5 - Migrated From'!$A$2:$A$22,'JKP-8.5 - Total Costs'!A256,'JKP-8.5 - Migrated From'!$F$2:$F$22)+SUMIF('JKP-8.5 - Migrated To'!$A$2:$A$22,'JKP-8.5 - Total Costs'!A256,'JKP-8.5 - Migrated To'!$F$2:$F$22)</f>
        <v>0</v>
      </c>
      <c r="G256" s="1141">
        <f>SUMIF('JKP-8.5 - CNSMREQP_GASMTRCTR'!$A$2:$A$391,'JKP-8.5 - Total Costs'!B256,'JKP-8.5 - CNSMREQP_GASMTRCTR'!$F$2:$F$391)-SUMIF('JKP-8.5 - Migrated From'!$A$2:$A$22,'JKP-8.5 - Total Costs'!B256,'JKP-8.5 - Migrated From'!$F$2:$F$22)+SUMIF('JKP-8.5 - Migrated To'!$A$2:$A$22,'JKP-8.5 - Total Costs'!B256,'JKP-8.5 - Migrated To'!$F$2:$F$22)</f>
        <v>2</v>
      </c>
      <c r="H256" s="1142">
        <f t="shared" si="29"/>
        <v>2</v>
      </c>
      <c r="I256" s="1143">
        <f>VLOOKUP($E256,'JKP-8.5 - Unit Costs'!$A$9:$H$33,2,FALSE)</f>
        <v>0</v>
      </c>
      <c r="J256" s="1143">
        <f>VLOOKUP($E256,'JKP-8.5 - Unit Costs'!$A$9:$H$33,5,FALSE)</f>
        <v>0</v>
      </c>
      <c r="K256" s="1143">
        <f>VLOOKUP($E256,'JKP-8.5 - Unit Costs'!$A$9:$H$33,3,FALSE)</f>
        <v>0</v>
      </c>
      <c r="L256" s="1143">
        <f>VLOOKUP($E256,'JKP-8.5 - Unit Costs'!$A$9:$H$33,6,FALSE)</f>
        <v>0</v>
      </c>
      <c r="M256" s="1143">
        <f>VLOOKUP($E256,'JKP-8.5 - Unit Costs'!$A$9:$H$33,8,FALSE)</f>
        <v>8983.2999999999993</v>
      </c>
      <c r="N256" s="1143">
        <f>VLOOKUP($E256,'JKP-8.5 - Unit Costs'!$A$9:$H$33,8,FALSE)</f>
        <v>8983.2999999999993</v>
      </c>
      <c r="O256" s="1144">
        <f t="shared" si="30"/>
        <v>0</v>
      </c>
      <c r="P256" s="1144">
        <f t="shared" si="30"/>
        <v>0</v>
      </c>
      <c r="Q256" s="1144">
        <f t="shared" si="31"/>
        <v>0</v>
      </c>
      <c r="R256" s="1144">
        <f t="shared" si="32"/>
        <v>0</v>
      </c>
      <c r="S256" s="1144">
        <f t="shared" si="32"/>
        <v>0</v>
      </c>
      <c r="T256" s="1144">
        <f t="shared" si="33"/>
        <v>0</v>
      </c>
      <c r="U256" s="1144">
        <f t="shared" si="34"/>
        <v>0</v>
      </c>
      <c r="V256" s="1144">
        <f t="shared" si="34"/>
        <v>17966.599999999999</v>
      </c>
      <c r="W256" s="1145">
        <f t="shared" si="35"/>
        <v>17966.599999999999</v>
      </c>
    </row>
    <row r="257" spans="1:23" x14ac:dyDescent="0.2">
      <c r="A257" s="1140" t="str">
        <f t="shared" si="27"/>
        <v>SC  23000 AMR</v>
      </c>
      <c r="B257" s="1140" t="str">
        <f t="shared" si="28"/>
        <v xml:space="preserve">SC  23000 </v>
      </c>
      <c r="C257" s="1140" t="s">
        <v>745</v>
      </c>
      <c r="D257" s="1140" t="s">
        <v>1857</v>
      </c>
      <c r="E257" s="1140">
        <v>23000</v>
      </c>
      <c r="F257" s="1141">
        <f>SUMIF('JKP-8.5 - CNSMREQP_GASMTRCTR'!$A$2:$A$391,'JKP-8.5 - Total Costs'!A257,'JKP-8.5 - CNSMREQP_GASMTRCTR'!$F$2:$F$391)-SUMIF('JKP-8.5 - Migrated From'!$A$2:$A$22,'JKP-8.5 - Total Costs'!A257,'JKP-8.5 - Migrated From'!$F$2:$F$22)+SUMIF('JKP-8.5 - Migrated To'!$A$2:$A$22,'JKP-8.5 - Total Costs'!A257,'JKP-8.5 - Migrated To'!$F$2:$F$22)</f>
        <v>0</v>
      </c>
      <c r="G257" s="1141">
        <f>SUMIF('JKP-8.5 - CNSMREQP_GASMTRCTR'!$A$2:$A$391,'JKP-8.5 - Total Costs'!B257,'JKP-8.5 - CNSMREQP_GASMTRCTR'!$F$2:$F$391)-SUMIF('JKP-8.5 - Migrated From'!$A$2:$A$22,'JKP-8.5 - Total Costs'!B257,'JKP-8.5 - Migrated From'!$F$2:$F$22)+SUMIF('JKP-8.5 - Migrated To'!$A$2:$A$22,'JKP-8.5 - Total Costs'!B257,'JKP-8.5 - Migrated To'!$F$2:$F$22)</f>
        <v>1</v>
      </c>
      <c r="H257" s="1142">
        <f t="shared" si="29"/>
        <v>1</v>
      </c>
      <c r="I257" s="1143">
        <f>VLOOKUP($E257,'JKP-8.5 - Unit Costs'!$A$9:$H$33,2,FALSE)</f>
        <v>0</v>
      </c>
      <c r="J257" s="1143">
        <f>VLOOKUP($E257,'JKP-8.5 - Unit Costs'!$A$9:$H$33,5,FALSE)</f>
        <v>0</v>
      </c>
      <c r="K257" s="1143">
        <f>VLOOKUP($E257,'JKP-8.5 - Unit Costs'!$A$9:$H$33,3,FALSE)</f>
        <v>0</v>
      </c>
      <c r="L257" s="1143">
        <f>VLOOKUP($E257,'JKP-8.5 - Unit Costs'!$A$9:$H$33,6,FALSE)</f>
        <v>0</v>
      </c>
      <c r="M257" s="1143">
        <f>VLOOKUP($E257,'JKP-8.5 - Unit Costs'!$A$9:$H$33,8,FALSE)</f>
        <v>20882.400000000001</v>
      </c>
      <c r="N257" s="1143">
        <f>VLOOKUP($E257,'JKP-8.5 - Unit Costs'!$A$9:$H$33,8,FALSE)</f>
        <v>20882.400000000001</v>
      </c>
      <c r="O257" s="1144">
        <f t="shared" si="30"/>
        <v>0</v>
      </c>
      <c r="P257" s="1144">
        <f t="shared" si="30"/>
        <v>0</v>
      </c>
      <c r="Q257" s="1144">
        <f t="shared" si="31"/>
        <v>0</v>
      </c>
      <c r="R257" s="1144">
        <f t="shared" si="32"/>
        <v>0</v>
      </c>
      <c r="S257" s="1144">
        <f t="shared" si="32"/>
        <v>0</v>
      </c>
      <c r="T257" s="1144">
        <f t="shared" si="33"/>
        <v>0</v>
      </c>
      <c r="U257" s="1144">
        <f t="shared" si="34"/>
        <v>0</v>
      </c>
      <c r="V257" s="1144">
        <f t="shared" si="34"/>
        <v>20882.400000000001</v>
      </c>
      <c r="W257" s="1145">
        <f t="shared" si="35"/>
        <v>20882.400000000001</v>
      </c>
    </row>
    <row r="258" spans="1:23" x14ac:dyDescent="0.2">
      <c r="A258" s="1140" t="str">
        <f t="shared" si="27"/>
        <v>SC  30000 AMR</v>
      </c>
      <c r="B258" s="1140" t="str">
        <f t="shared" si="28"/>
        <v xml:space="preserve">SC  30000 </v>
      </c>
      <c r="C258" s="1140" t="s">
        <v>745</v>
      </c>
      <c r="D258" s="1140" t="s">
        <v>1857</v>
      </c>
      <c r="E258" s="1140">
        <v>30000</v>
      </c>
      <c r="F258" s="1141">
        <f>SUMIF('JKP-8.5 - CNSMREQP_GASMTRCTR'!$A$2:$A$391,'JKP-8.5 - Total Costs'!A258,'JKP-8.5 - CNSMREQP_GASMTRCTR'!$F$2:$F$391)-SUMIF('JKP-8.5 - Migrated From'!$A$2:$A$22,'JKP-8.5 - Total Costs'!A258,'JKP-8.5 - Migrated From'!$F$2:$F$22)+SUMIF('JKP-8.5 - Migrated To'!$A$2:$A$22,'JKP-8.5 - Total Costs'!A258,'JKP-8.5 - Migrated To'!$F$2:$F$22)</f>
        <v>0</v>
      </c>
      <c r="G258" s="1141">
        <f>SUMIF('JKP-8.5 - CNSMREQP_GASMTRCTR'!$A$2:$A$391,'JKP-8.5 - Total Costs'!B258,'JKP-8.5 - CNSMREQP_GASMTRCTR'!$F$2:$F$391)-SUMIF('JKP-8.5 - Migrated From'!$A$2:$A$22,'JKP-8.5 - Total Costs'!B258,'JKP-8.5 - Migrated From'!$F$2:$F$22)+SUMIF('JKP-8.5 - Migrated To'!$A$2:$A$22,'JKP-8.5 - Total Costs'!B258,'JKP-8.5 - Migrated To'!$F$2:$F$22)</f>
        <v>3</v>
      </c>
      <c r="H258" s="1142">
        <f t="shared" si="29"/>
        <v>3</v>
      </c>
      <c r="I258" s="1143">
        <f>VLOOKUP($E258,'JKP-8.5 - Unit Costs'!$A$9:$H$33,2,FALSE)</f>
        <v>0</v>
      </c>
      <c r="J258" s="1143">
        <f>VLOOKUP($E258,'JKP-8.5 - Unit Costs'!$A$9:$H$33,5,FALSE)</f>
        <v>0</v>
      </c>
      <c r="K258" s="1143">
        <f>VLOOKUP($E258,'JKP-8.5 - Unit Costs'!$A$9:$H$33,3,FALSE)</f>
        <v>0</v>
      </c>
      <c r="L258" s="1143">
        <f>VLOOKUP($E258,'JKP-8.5 - Unit Costs'!$A$9:$H$33,6,FALSE)</f>
        <v>0</v>
      </c>
      <c r="M258" s="1143">
        <f>VLOOKUP($E258,'JKP-8.5 - Unit Costs'!$A$9:$H$33,8,FALSE)</f>
        <v>28159.37</v>
      </c>
      <c r="N258" s="1143">
        <f>VLOOKUP($E258,'JKP-8.5 - Unit Costs'!$A$9:$H$33,8,FALSE)</f>
        <v>28159.37</v>
      </c>
      <c r="O258" s="1144">
        <f t="shared" si="30"/>
        <v>0</v>
      </c>
      <c r="P258" s="1144">
        <f t="shared" si="30"/>
        <v>0</v>
      </c>
      <c r="Q258" s="1144">
        <f t="shared" si="31"/>
        <v>0</v>
      </c>
      <c r="R258" s="1144">
        <f t="shared" si="32"/>
        <v>0</v>
      </c>
      <c r="S258" s="1144">
        <f t="shared" si="32"/>
        <v>0</v>
      </c>
      <c r="T258" s="1144">
        <f t="shared" si="33"/>
        <v>0</v>
      </c>
      <c r="U258" s="1144">
        <f t="shared" si="34"/>
        <v>0</v>
      </c>
      <c r="V258" s="1144">
        <f t="shared" si="34"/>
        <v>84478.11</v>
      </c>
      <c r="W258" s="1145">
        <f t="shared" si="35"/>
        <v>84478.11</v>
      </c>
    </row>
    <row r="259" spans="1:23" x14ac:dyDescent="0.2">
      <c r="A259" s="1140" t="str">
        <f t="shared" si="27"/>
        <v>SC  38000 AMR</v>
      </c>
      <c r="B259" s="1140" t="str">
        <f t="shared" si="28"/>
        <v xml:space="preserve">SC  38000 </v>
      </c>
      <c r="C259" s="1140" t="s">
        <v>745</v>
      </c>
      <c r="D259" s="1140" t="s">
        <v>1857</v>
      </c>
      <c r="E259" s="1140">
        <v>38000</v>
      </c>
      <c r="F259" s="1141">
        <f>SUMIF('JKP-8.5 - CNSMREQP_GASMTRCTR'!$A$2:$A$391,'JKP-8.5 - Total Costs'!A259,'JKP-8.5 - CNSMREQP_GASMTRCTR'!$F$2:$F$391)-SUMIF('JKP-8.5 - Migrated From'!$A$2:$A$22,'JKP-8.5 - Total Costs'!A259,'JKP-8.5 - Migrated From'!$F$2:$F$22)+SUMIF('JKP-8.5 - Migrated To'!$A$2:$A$22,'JKP-8.5 - Total Costs'!A259,'JKP-8.5 - Migrated To'!$F$2:$F$22)</f>
        <v>0</v>
      </c>
      <c r="G259" s="1141">
        <f>SUMIF('JKP-8.5 - CNSMREQP_GASMTRCTR'!$A$2:$A$391,'JKP-8.5 - Total Costs'!B259,'JKP-8.5 - CNSMREQP_GASMTRCTR'!$F$2:$F$391)-SUMIF('JKP-8.5 - Migrated From'!$A$2:$A$22,'JKP-8.5 - Total Costs'!B259,'JKP-8.5 - Migrated From'!$F$2:$F$22)+SUMIF('JKP-8.5 - Migrated To'!$A$2:$A$22,'JKP-8.5 - Total Costs'!B259,'JKP-8.5 - Migrated To'!$F$2:$F$22)</f>
        <v>2</v>
      </c>
      <c r="H259" s="1142">
        <f t="shared" si="29"/>
        <v>2</v>
      </c>
      <c r="I259" s="1143">
        <f>VLOOKUP($E259,'JKP-8.5 - Unit Costs'!$A$9:$H$33,2,FALSE)</f>
        <v>0</v>
      </c>
      <c r="J259" s="1143">
        <f>VLOOKUP($E259,'JKP-8.5 - Unit Costs'!$A$9:$H$33,5,FALSE)</f>
        <v>0</v>
      </c>
      <c r="K259" s="1143">
        <f>VLOOKUP($E259,'JKP-8.5 - Unit Costs'!$A$9:$H$33,3,FALSE)</f>
        <v>0</v>
      </c>
      <c r="L259" s="1143">
        <f>VLOOKUP($E259,'JKP-8.5 - Unit Costs'!$A$9:$H$33,6,FALSE)</f>
        <v>0</v>
      </c>
      <c r="M259" s="1143">
        <f>VLOOKUP($E259,'JKP-8.5 - Unit Costs'!$A$9:$H$33,8,FALSE)</f>
        <v>28722.53</v>
      </c>
      <c r="N259" s="1143">
        <f>VLOOKUP($E259,'JKP-8.5 - Unit Costs'!$A$9:$H$33,8,FALSE)</f>
        <v>28722.53</v>
      </c>
      <c r="O259" s="1144">
        <f t="shared" si="30"/>
        <v>0</v>
      </c>
      <c r="P259" s="1144">
        <f t="shared" si="30"/>
        <v>0</v>
      </c>
      <c r="Q259" s="1144">
        <f t="shared" si="31"/>
        <v>0</v>
      </c>
      <c r="R259" s="1144">
        <f t="shared" si="32"/>
        <v>0</v>
      </c>
      <c r="S259" s="1144">
        <f t="shared" si="32"/>
        <v>0</v>
      </c>
      <c r="T259" s="1144">
        <f t="shared" si="33"/>
        <v>0</v>
      </c>
      <c r="U259" s="1144">
        <f t="shared" si="34"/>
        <v>0</v>
      </c>
      <c r="V259" s="1144">
        <f t="shared" si="34"/>
        <v>57445.06</v>
      </c>
      <c r="W259" s="1145">
        <f t="shared" si="35"/>
        <v>57445.06</v>
      </c>
    </row>
    <row r="260" spans="1:23" x14ac:dyDescent="0.2">
      <c r="A260" s="1140" t="str">
        <f t="shared" si="27"/>
        <v>SC  60000 AMR</v>
      </c>
      <c r="B260" s="1140" t="str">
        <f t="shared" si="28"/>
        <v xml:space="preserve">SC  60000 </v>
      </c>
      <c r="C260" s="1140" t="s">
        <v>745</v>
      </c>
      <c r="D260" s="1140" t="s">
        <v>1857</v>
      </c>
      <c r="E260" s="1140">
        <v>60000</v>
      </c>
      <c r="F260" s="1141">
        <f>SUMIF('JKP-8.5 - CNSMREQP_GASMTRCTR'!$A$2:$A$391,'JKP-8.5 - Total Costs'!A260,'JKP-8.5 - CNSMREQP_GASMTRCTR'!$F$2:$F$391)-SUMIF('JKP-8.5 - Migrated From'!$A$2:$A$22,'JKP-8.5 - Total Costs'!A260,'JKP-8.5 - Migrated From'!$F$2:$F$22)+SUMIF('JKP-8.5 - Migrated To'!$A$2:$A$22,'JKP-8.5 - Total Costs'!A260,'JKP-8.5 - Migrated To'!$F$2:$F$22)</f>
        <v>1</v>
      </c>
      <c r="G260" s="1141">
        <f>SUMIF('JKP-8.5 - CNSMREQP_GASMTRCTR'!$A$2:$A$391,'JKP-8.5 - Total Costs'!B260,'JKP-8.5 - CNSMREQP_GASMTRCTR'!$F$2:$F$391)-SUMIF('JKP-8.5 - Migrated From'!$A$2:$A$22,'JKP-8.5 - Total Costs'!B260,'JKP-8.5 - Migrated From'!$F$2:$F$22)+SUMIF('JKP-8.5 - Migrated To'!$A$2:$A$22,'JKP-8.5 - Total Costs'!B260,'JKP-8.5 - Migrated To'!$F$2:$F$22)</f>
        <v>4</v>
      </c>
      <c r="H260" s="1142">
        <f t="shared" si="29"/>
        <v>5</v>
      </c>
      <c r="I260" s="1143">
        <f>VLOOKUP($E260,'JKP-8.5 - Unit Costs'!$A$9:$H$33,2,FALSE)</f>
        <v>0</v>
      </c>
      <c r="J260" s="1143">
        <f>VLOOKUP($E260,'JKP-8.5 - Unit Costs'!$A$9:$H$33,5,FALSE)</f>
        <v>0</v>
      </c>
      <c r="K260" s="1143">
        <f>VLOOKUP($E260,'JKP-8.5 - Unit Costs'!$A$9:$H$33,3,FALSE)</f>
        <v>0</v>
      </c>
      <c r="L260" s="1143">
        <f>VLOOKUP($E260,'JKP-8.5 - Unit Costs'!$A$9:$H$33,6,FALSE)</f>
        <v>0</v>
      </c>
      <c r="M260" s="1143">
        <f>VLOOKUP($E260,'JKP-8.5 - Unit Costs'!$A$9:$H$33,8,FALSE)</f>
        <v>36556.269999999997</v>
      </c>
      <c r="N260" s="1143">
        <f>VLOOKUP($E260,'JKP-8.5 - Unit Costs'!$A$9:$H$33,8,FALSE)</f>
        <v>36556.269999999997</v>
      </c>
      <c r="O260" s="1144">
        <f t="shared" si="30"/>
        <v>0</v>
      </c>
      <c r="P260" s="1144">
        <f t="shared" si="30"/>
        <v>0</v>
      </c>
      <c r="Q260" s="1144">
        <f t="shared" si="31"/>
        <v>0</v>
      </c>
      <c r="R260" s="1144">
        <f t="shared" si="32"/>
        <v>0</v>
      </c>
      <c r="S260" s="1144">
        <f t="shared" si="32"/>
        <v>0</v>
      </c>
      <c r="T260" s="1144">
        <f t="shared" si="33"/>
        <v>0</v>
      </c>
      <c r="U260" s="1144">
        <f t="shared" si="34"/>
        <v>36556.269999999997</v>
      </c>
      <c r="V260" s="1144">
        <f t="shared" si="34"/>
        <v>146225.07999999999</v>
      </c>
      <c r="W260" s="1145">
        <f t="shared" si="35"/>
        <v>182781.34999999998</v>
      </c>
    </row>
    <row r="261" spans="1:23" x14ac:dyDescent="0.2">
      <c r="A261" s="1140" t="str">
        <f t="shared" si="27"/>
        <v>SC  150000 AMR</v>
      </c>
      <c r="B261" s="1140" t="str">
        <f t="shared" si="28"/>
        <v xml:space="preserve">SC  150000 </v>
      </c>
      <c r="C261" s="1140" t="s">
        <v>745</v>
      </c>
      <c r="D261" s="1140" t="s">
        <v>1857</v>
      </c>
      <c r="E261" s="1140">
        <v>150000</v>
      </c>
      <c r="F261" s="1141">
        <f>SUMIF('JKP-8.5 - CNSMREQP_GASMTRCTR'!$A$2:$A$391,'JKP-8.5 - Total Costs'!A261,'JKP-8.5 - CNSMREQP_GASMTRCTR'!$F$2:$F$391)-SUMIF('JKP-8.5 - Migrated From'!$A$2:$A$22,'JKP-8.5 - Total Costs'!A261,'JKP-8.5 - Migrated From'!$F$2:$F$22)+SUMIF('JKP-8.5 - Migrated To'!$A$2:$A$22,'JKP-8.5 - Total Costs'!A261,'JKP-8.5 - Migrated To'!$F$2:$F$22)</f>
        <v>0</v>
      </c>
      <c r="G261" s="1141">
        <f>SUMIF('JKP-8.5 - CNSMREQP_GASMTRCTR'!$A$2:$A$391,'JKP-8.5 - Total Costs'!B261,'JKP-8.5 - CNSMREQP_GASMTRCTR'!$F$2:$F$391)-SUMIF('JKP-8.5 - Migrated From'!$A$2:$A$22,'JKP-8.5 - Total Costs'!B261,'JKP-8.5 - Migrated From'!$F$2:$F$22)+SUMIF('JKP-8.5 - Migrated To'!$A$2:$A$22,'JKP-8.5 - Total Costs'!B261,'JKP-8.5 - Migrated To'!$F$2:$F$22)</f>
        <v>1</v>
      </c>
      <c r="H261" s="1142">
        <f t="shared" si="29"/>
        <v>1</v>
      </c>
      <c r="I261" s="1143">
        <f>VLOOKUP($E261,'JKP-8.5 - Unit Costs'!$A$9:$H$33,2,FALSE)</f>
        <v>0</v>
      </c>
      <c r="J261" s="1143">
        <f>VLOOKUP($E261,'JKP-8.5 - Unit Costs'!$A$9:$H$33,5,FALSE)</f>
        <v>0</v>
      </c>
      <c r="K261" s="1143">
        <f>VLOOKUP($E261,'JKP-8.5 - Unit Costs'!$A$9:$H$33,3,FALSE)</f>
        <v>0</v>
      </c>
      <c r="L261" s="1143">
        <f>VLOOKUP($E261,'JKP-8.5 - Unit Costs'!$A$9:$H$33,6,FALSE)</f>
        <v>0</v>
      </c>
      <c r="M261" s="1143">
        <f>VLOOKUP($E261,'JKP-8.5 - Unit Costs'!$A$9:$H$33,8,FALSE)</f>
        <v>45158.289999999994</v>
      </c>
      <c r="N261" s="1143">
        <f>VLOOKUP($E261,'JKP-8.5 - Unit Costs'!$A$9:$H$33,8,FALSE)</f>
        <v>45158.289999999994</v>
      </c>
      <c r="O261" s="1144">
        <f t="shared" si="30"/>
        <v>0</v>
      </c>
      <c r="P261" s="1144">
        <f t="shared" si="30"/>
        <v>0</v>
      </c>
      <c r="Q261" s="1144">
        <f t="shared" si="31"/>
        <v>0</v>
      </c>
      <c r="R261" s="1144">
        <f t="shared" si="32"/>
        <v>0</v>
      </c>
      <c r="S261" s="1144">
        <f t="shared" si="32"/>
        <v>0</v>
      </c>
      <c r="T261" s="1144">
        <f t="shared" si="33"/>
        <v>0</v>
      </c>
      <c r="U261" s="1144">
        <f t="shared" si="34"/>
        <v>0</v>
      </c>
      <c r="V261" s="1144">
        <f t="shared" si="34"/>
        <v>45158.289999999994</v>
      </c>
      <c r="W261" s="1145">
        <f t="shared" si="35"/>
        <v>45158.289999999994</v>
      </c>
    </row>
    <row r="262" spans="1:23" x14ac:dyDescent="0.2">
      <c r="A262" s="1140" t="s">
        <v>23</v>
      </c>
      <c r="C262" s="1140"/>
      <c r="E262" s="1140"/>
      <c r="F262" s="1147">
        <f>SUM(F8:F261)</f>
        <v>775160</v>
      </c>
      <c r="G262" s="1147">
        <f>SUM(G8:G261)</f>
        <v>1997</v>
      </c>
      <c r="H262" s="1147">
        <f>SUM(H8:H261)</f>
        <v>777157</v>
      </c>
      <c r="I262" s="1147"/>
      <c r="J262" s="1147"/>
      <c r="K262" s="1147"/>
      <c r="L262" s="1147"/>
      <c r="M262" s="1147"/>
      <c r="N262" s="1147"/>
      <c r="O262" s="1144">
        <f t="shared" ref="O262:W262" si="36">SUM(O8:O261)</f>
        <v>144202258.9000001</v>
      </c>
      <c r="P262" s="1144">
        <f t="shared" si="36"/>
        <v>403446.71</v>
      </c>
      <c r="Q262" s="1144">
        <f t="shared" si="36"/>
        <v>144605705.6100001</v>
      </c>
      <c r="R262" s="1144">
        <f t="shared" si="36"/>
        <v>32225356.800000019</v>
      </c>
      <c r="S262" s="1144">
        <f t="shared" si="36"/>
        <v>23719.679999999997</v>
      </c>
      <c r="T262" s="1144">
        <f t="shared" si="36"/>
        <v>32249076.480000015</v>
      </c>
      <c r="U262" s="1144">
        <f t="shared" si="36"/>
        <v>11578484.629999995</v>
      </c>
      <c r="V262" s="1144">
        <f t="shared" si="36"/>
        <v>10872125.509999992</v>
      </c>
      <c r="W262" s="1144">
        <f t="shared" si="36"/>
        <v>22450610.139999967</v>
      </c>
    </row>
    <row r="263" spans="1:23" x14ac:dyDescent="0.2">
      <c r="A263" s="1140" t="s">
        <v>131</v>
      </c>
      <c r="C263" s="1140"/>
      <c r="E263" s="1140"/>
      <c r="H263" s="1147">
        <f>H262-'JKP-8.5 - CNSMREQP_GASMTRCTR'!F392</f>
        <v>0</v>
      </c>
    </row>
    <row r="265" spans="1:23" x14ac:dyDescent="0.2">
      <c r="A265" s="1140" t="s">
        <v>1912</v>
      </c>
    </row>
  </sheetData>
  <mergeCells count="6">
    <mergeCell ref="U6:W6"/>
    <mergeCell ref="I6:J6"/>
    <mergeCell ref="K6:L6"/>
    <mergeCell ref="M6:N6"/>
    <mergeCell ref="O6:Q6"/>
    <mergeCell ref="R6:T6"/>
  </mergeCells>
  <pageMargins left="0.7" right="0.7" top="0.75" bottom="0.75" header="0.3" footer="0.3"/>
  <pageSetup orientation="portrait" r:id="rId1"/>
  <colBreaks count="1" manualBreakCount="1">
    <brk id="1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33"/>
  <sheetViews>
    <sheetView workbookViewId="0">
      <selection activeCell="C35" sqref="C35"/>
    </sheetView>
  </sheetViews>
  <sheetFormatPr defaultRowHeight="12.75" x14ac:dyDescent="0.2"/>
  <cols>
    <col min="1" max="1" width="31.42578125" style="1025" bestFit="1" customWidth="1"/>
    <col min="2" max="2" width="13.42578125" style="1025" bestFit="1" customWidth="1"/>
    <col min="3" max="4" width="13.140625" style="1025" bestFit="1" customWidth="1"/>
    <col min="5" max="5" width="16" style="1025" customWidth="1"/>
    <col min="6" max="6" width="14.42578125" style="1025" customWidth="1"/>
    <col min="7" max="10" width="13" style="1025" customWidth="1"/>
    <col min="11" max="16384" width="9.140625" style="1025"/>
  </cols>
  <sheetData>
    <row r="1" spans="1:14" x14ac:dyDescent="0.2">
      <c r="A1" s="1048" t="s">
        <v>70</v>
      </c>
    </row>
    <row r="2" spans="1:14" x14ac:dyDescent="0.2">
      <c r="A2" s="1048" t="s">
        <v>187</v>
      </c>
    </row>
    <row r="3" spans="1:14" x14ac:dyDescent="0.2">
      <c r="A3" s="1048" t="s">
        <v>1905</v>
      </c>
    </row>
    <row r="4" spans="1:14" x14ac:dyDescent="0.2">
      <c r="A4" s="1048" t="s">
        <v>1844</v>
      </c>
    </row>
    <row r="6" spans="1:14" x14ac:dyDescent="0.2">
      <c r="B6" s="1886" t="s">
        <v>413</v>
      </c>
      <c r="C6" s="1886"/>
      <c r="D6" s="1886"/>
      <c r="E6" s="1887" t="s">
        <v>1917</v>
      </c>
      <c r="F6" s="1886"/>
      <c r="G6" s="1887" t="s">
        <v>1918</v>
      </c>
      <c r="H6" s="1886"/>
      <c r="I6" s="1887" t="s">
        <v>1919</v>
      </c>
      <c r="J6" s="1886"/>
    </row>
    <row r="7" spans="1:14" x14ac:dyDescent="0.2">
      <c r="A7" s="1119" t="s">
        <v>1206</v>
      </c>
      <c r="B7" s="1084" t="s">
        <v>1856</v>
      </c>
      <c r="C7" s="1084" t="s">
        <v>1338</v>
      </c>
      <c r="D7" s="1148" t="s">
        <v>23</v>
      </c>
      <c r="E7" s="1120" t="s">
        <v>1793</v>
      </c>
      <c r="F7" s="1119" t="s">
        <v>93</v>
      </c>
      <c r="G7" s="1149" t="s">
        <v>1793</v>
      </c>
      <c r="H7" s="1084" t="s">
        <v>93</v>
      </c>
      <c r="I7" s="1149" t="s">
        <v>1793</v>
      </c>
      <c r="J7" s="1084" t="s">
        <v>93</v>
      </c>
    </row>
    <row r="8" spans="1:14" x14ac:dyDescent="0.2">
      <c r="A8" s="1048" t="s">
        <v>930</v>
      </c>
      <c r="B8" s="295">
        <f>SUMIF('JKP-8.5 - Total Costs'!$C$8:$C$261,'JKP-8.5 - Summary'!$A8,'JKP-8.5 - Total Costs'!F$8:F$261)</f>
        <v>713285</v>
      </c>
      <c r="C8" s="295">
        <f>SUMIF('JKP-8.5 - Total Costs'!$C$8:$C$261,'JKP-8.5 - Summary'!$A8,'JKP-8.5 - Total Costs'!G$8:G$261)</f>
        <v>213</v>
      </c>
      <c r="D8" s="295">
        <f t="shared" ref="D8:D18" si="0">C8+B8</f>
        <v>713498</v>
      </c>
      <c r="E8" s="222">
        <f>SUMIF('JKP-8.5 - Total Costs'!$C$8:$C$261,'JKP-8.5 - Summary'!$A8,'JKP-8.5 - Total Costs'!$Q$8:$Q$261)</f>
        <v>111161346.63999999</v>
      </c>
      <c r="F8" s="318">
        <f>E8/$E$19</f>
        <v>0.76872033624870173</v>
      </c>
      <c r="G8" s="222">
        <f>SUMIF('JKP-8.5 - Total Costs'!$C$8:$C$261,'JKP-8.5 - Summary'!$A8,'JKP-8.5 - Total Costs'!$T$8:$T$261)</f>
        <v>29794298.400000002</v>
      </c>
      <c r="H8" s="318">
        <f>G8/$G$19</f>
        <v>0.92388067045819489</v>
      </c>
      <c r="I8" s="222">
        <f>SUMIF('JKP-8.5 - Total Costs'!$C$8:$C$261,'JKP-8.5 - Summary'!$A8,'JKP-8.5 - Total Costs'!$W$8:$W$261)</f>
        <v>107584.72</v>
      </c>
      <c r="J8" s="318">
        <f>I8/$I$19</f>
        <v>4.7920621902527959E-3</v>
      </c>
      <c r="L8" s="225"/>
      <c r="M8" s="225"/>
      <c r="N8" s="225"/>
    </row>
    <row r="9" spans="1:14" x14ac:dyDescent="0.2">
      <c r="A9" s="1048" t="s">
        <v>1854</v>
      </c>
      <c r="B9" s="295">
        <f>SUMIF('JKP-8.5 - Total Costs'!$C$8:$C$261,'JKP-8.5 - Summary'!$A9,'JKP-8.5 - Total Costs'!F$8:F$261)</f>
        <v>59911</v>
      </c>
      <c r="C9" s="295">
        <f>SUMIF('JKP-8.5 - Total Costs'!$C$8:$C$261,'JKP-8.5 - Summary'!$A9,'JKP-8.5 - Total Costs'!G$8:G$261)</f>
        <v>1156</v>
      </c>
      <c r="D9" s="295">
        <f t="shared" si="0"/>
        <v>61067</v>
      </c>
      <c r="E9" s="222">
        <f>SUMIF('JKP-8.5 - Total Costs'!$C$8:$C$261,'JKP-8.5 - Summary'!$A9,'JKP-8.5 - Total Costs'!$Q$8:$Q$261)</f>
        <v>32070678.119999997</v>
      </c>
      <c r="F9" s="318">
        <f t="shared" ref="F9:F18" si="1">E9/$E$19</f>
        <v>0.22178017101548025</v>
      </c>
      <c r="G9" s="222">
        <f>SUMIF('JKP-8.5 - Total Costs'!$C$8:$C$261,'JKP-8.5 - Summary'!$A9,'JKP-8.5 - Total Costs'!$T$8:$T$261)</f>
        <v>2412182.8799999994</v>
      </c>
      <c r="H9" s="318">
        <f t="shared" ref="H9:H18" si="2">G9/$G$19</f>
        <v>7.4798510323108622E-2</v>
      </c>
      <c r="I9" s="222">
        <f>SUMIF('JKP-8.5 - Total Costs'!$C$8:$C$261,'JKP-8.5 - Summary'!$A9,'JKP-8.5 - Total Costs'!$W$8:$W$261)</f>
        <v>12411577.959999992</v>
      </c>
      <c r="J9" s="318">
        <f t="shared" ref="J9:J17" si="3">I9/$I$19</f>
        <v>0.55283922720151046</v>
      </c>
      <c r="L9" s="225"/>
      <c r="M9" s="225"/>
      <c r="N9" s="225"/>
    </row>
    <row r="10" spans="1:14" x14ac:dyDescent="0.2">
      <c r="A10" s="1048" t="s">
        <v>1855</v>
      </c>
      <c r="B10" s="295">
        <f>SUMIF('JKP-8.5 - Total Costs'!$C$8:$C$261,'JKP-8.5 - Summary'!$A10,'JKP-8.5 - Total Costs'!F$8:F$261)</f>
        <v>1493</v>
      </c>
      <c r="C10" s="295">
        <f>SUMIF('JKP-8.5 - Total Costs'!$C$8:$C$261,'JKP-8.5 - Summary'!$A10,'JKP-8.5 - Total Costs'!G$8:G$261)</f>
        <v>308</v>
      </c>
      <c r="D10" s="295">
        <f t="shared" si="0"/>
        <v>1801</v>
      </c>
      <c r="E10" s="222">
        <f>SUMIF('JKP-8.5 - Total Costs'!$C$8:$C$261,'JKP-8.5 - Summary'!$A10,'JKP-8.5 - Total Costs'!$Q$8:$Q$261)</f>
        <v>1076901.5799999998</v>
      </c>
      <c r="F10" s="318">
        <f t="shared" si="1"/>
        <v>7.4471582947383246E-3</v>
      </c>
      <c r="G10" s="222">
        <f>SUMIF('JKP-8.5 - Total Costs'!$C$8:$C$261,'JKP-8.5 - Summary'!$A10,'JKP-8.5 - Total Costs'!$T$8:$T$261)</f>
        <v>33408</v>
      </c>
      <c r="H10" s="318">
        <f t="shared" si="2"/>
        <v>1.0359366421149683E-3</v>
      </c>
      <c r="I10" s="222">
        <f>SUMIF('JKP-8.5 - Total Costs'!$C$8:$C$261,'JKP-8.5 - Summary'!$A10,'JKP-8.5 - Total Costs'!$W$8:$W$261)</f>
        <v>4476335.3899999987</v>
      </c>
      <c r="J10" s="318">
        <f t="shared" si="3"/>
        <v>0.19938591254696297</v>
      </c>
      <c r="L10" s="225"/>
      <c r="M10" s="225"/>
      <c r="N10" s="225"/>
    </row>
    <row r="11" spans="1:14" x14ac:dyDescent="0.2">
      <c r="A11" s="1048" t="s">
        <v>808</v>
      </c>
      <c r="B11" s="295">
        <f>SUMIF('JKP-8.5 - Total Costs'!$C$8:$C$261,'JKP-8.5 - Summary'!$A11,'JKP-8.5 - Total Costs'!F$8:F$261)</f>
        <v>12</v>
      </c>
      <c r="C11" s="295">
        <f>SUMIF('JKP-8.5 - Total Costs'!$C$8:$C$261,'JKP-8.5 - Summary'!$A11,'JKP-8.5 - Total Costs'!G$8:G$261)</f>
        <v>36</v>
      </c>
      <c r="D11" s="295">
        <f t="shared" si="0"/>
        <v>48</v>
      </c>
      <c r="E11" s="222">
        <f>SUMIF('JKP-8.5 - Total Costs'!$C$8:$C$261,'JKP-8.5 - Summary'!$A11,'JKP-8.5 - Total Costs'!$Q$8:$Q$261)</f>
        <v>1404.86</v>
      </c>
      <c r="F11" s="318">
        <f t="shared" si="1"/>
        <v>9.7151076720920804E-6</v>
      </c>
      <c r="G11" s="222">
        <f>SUMIF('JKP-8.5 - Total Costs'!$C$8:$C$261,'JKP-8.5 - Summary'!$A11,'JKP-8.5 - Total Costs'!$T$8:$T$261)</f>
        <v>41.76</v>
      </c>
      <c r="H11" s="318">
        <f t="shared" si="2"/>
        <v>1.2949208026437103E-6</v>
      </c>
      <c r="I11" s="222">
        <f>SUMIF('JKP-8.5 - Total Costs'!$C$8:$C$261,'JKP-8.5 - Summary'!$A11,'JKP-8.5 - Total Costs'!$W$8:$W$261)</f>
        <v>326614.45000000007</v>
      </c>
      <c r="J11" s="318">
        <f t="shared" si="3"/>
        <v>1.4548132454452758E-2</v>
      </c>
      <c r="L11" s="225"/>
      <c r="M11" s="225"/>
      <c r="N11" s="225"/>
    </row>
    <row r="12" spans="1:14" x14ac:dyDescent="0.2">
      <c r="A12" s="1048" t="s">
        <v>805</v>
      </c>
      <c r="B12" s="295">
        <f>SUMIF('JKP-8.5 - Total Costs'!$C$8:$C$261,'JKP-8.5 - Summary'!$A12,'JKP-8.5 - Total Costs'!F$8:F$261)</f>
        <v>124</v>
      </c>
      <c r="C12" s="295">
        <f>SUMIF('JKP-8.5 - Total Costs'!$C$8:$C$261,'JKP-8.5 - Summary'!$A12,'JKP-8.5 - Total Costs'!G$8:G$261)</f>
        <v>59</v>
      </c>
      <c r="D12" s="295">
        <f t="shared" si="0"/>
        <v>183</v>
      </c>
      <c r="E12" s="222">
        <f>SUMIF('JKP-8.5 - Total Costs'!$C$8:$C$261,'JKP-8.5 - Summary'!$A12,'JKP-8.5 - Total Costs'!$Q$8:$Q$261)</f>
        <v>96185.25999999998</v>
      </c>
      <c r="F12" s="318">
        <f t="shared" si="1"/>
        <v>6.651553588031344E-4</v>
      </c>
      <c r="G12" s="222">
        <f>SUMIF('JKP-8.5 - Total Costs'!$C$8:$C$261,'JKP-8.5 - Summary'!$A12,'JKP-8.5 - Total Costs'!$T$8:$T$261)</f>
        <v>3090.24</v>
      </c>
      <c r="H12" s="318">
        <f t="shared" si="2"/>
        <v>9.5824139395634558E-5</v>
      </c>
      <c r="I12" s="222">
        <f>SUMIF('JKP-8.5 - Total Costs'!$C$8:$C$261,'JKP-8.5 - Summary'!$A12,'JKP-8.5 - Total Costs'!$W$8:$W$261)</f>
        <v>830109.69000000018</v>
      </c>
      <c r="J12" s="318">
        <f t="shared" si="3"/>
        <v>3.6974927844878623E-2</v>
      </c>
      <c r="L12" s="225"/>
      <c r="M12" s="225"/>
      <c r="N12" s="225"/>
    </row>
    <row r="13" spans="1:14" x14ac:dyDescent="0.2">
      <c r="A13" s="1048" t="s">
        <v>809</v>
      </c>
      <c r="B13" s="295">
        <f>SUMIF('JKP-8.5 - Total Costs'!$C$8:$C$261,'JKP-8.5 - Summary'!$A13,'JKP-8.5 - Total Costs'!F$8:F$261)</f>
        <v>8</v>
      </c>
      <c r="C13" s="295">
        <f>SUMIF('JKP-8.5 - Total Costs'!$C$8:$C$261,'JKP-8.5 - Summary'!$A13,'JKP-8.5 - Total Costs'!G$8:G$261)</f>
        <v>108</v>
      </c>
      <c r="D13" s="295">
        <f t="shared" si="0"/>
        <v>116</v>
      </c>
      <c r="E13" s="222">
        <f>SUMIF('JKP-8.5 - Total Costs'!$C$8:$C$261,'JKP-8.5 - Summary'!$A13,'JKP-8.5 - Total Costs'!$Q$8:$Q$261)</f>
        <v>3531.16</v>
      </c>
      <c r="F13" s="318">
        <f t="shared" si="1"/>
        <v>2.4419230106476568E-5</v>
      </c>
      <c r="G13" s="222">
        <f>SUMIF('JKP-8.5 - Total Costs'!$C$8:$C$261,'JKP-8.5 - Summary'!$A13,'JKP-8.5 - Total Costs'!$T$8:$T$261)</f>
        <v>125.28</v>
      </c>
      <c r="H13" s="318">
        <f t="shared" si="2"/>
        <v>3.8847624079311308E-6</v>
      </c>
      <c r="I13" s="222">
        <f>SUMIF('JKP-8.5 - Total Costs'!$C$8:$C$261,'JKP-8.5 - Summary'!$A13,'JKP-8.5 - Total Costs'!$W$8:$W$261)</f>
        <v>1906278.2199999997</v>
      </c>
      <c r="J13" s="318">
        <f t="shared" si="3"/>
        <v>8.490986249873031E-2</v>
      </c>
      <c r="L13" s="225"/>
      <c r="M13" s="225"/>
      <c r="N13" s="225"/>
    </row>
    <row r="14" spans="1:14" x14ac:dyDescent="0.2">
      <c r="A14" s="1048" t="s">
        <v>806</v>
      </c>
      <c r="B14" s="295">
        <f>SUMIF('JKP-8.5 - Total Costs'!$C$8:$C$261,'JKP-8.5 - Summary'!$A14,'JKP-8.5 - Total Costs'!F$8:F$261)</f>
        <v>323</v>
      </c>
      <c r="C14" s="295">
        <f>SUMIF('JKP-8.5 - Total Costs'!$C$8:$C$261,'JKP-8.5 - Summary'!$A14,'JKP-8.5 - Total Costs'!G$8:G$261)</f>
        <v>72</v>
      </c>
      <c r="D14" s="295">
        <f t="shared" si="0"/>
        <v>395</v>
      </c>
      <c r="E14" s="222">
        <f>SUMIF('JKP-8.5 - Total Costs'!$C$8:$C$261,'JKP-8.5 - Summary'!$A14,'JKP-8.5 - Total Costs'!$Q$8:$Q$261)</f>
        <v>193531.68999999997</v>
      </c>
      <c r="F14" s="318">
        <f t="shared" si="1"/>
        <v>1.3383406220633699E-3</v>
      </c>
      <c r="G14" s="222">
        <f>SUMIF('JKP-8.5 - Total Costs'!$C$8:$C$261,'JKP-8.5 - Summary'!$A14,'JKP-8.5 - Total Costs'!$T$8:$T$261)</f>
        <v>5846.4</v>
      </c>
      <c r="H14" s="318">
        <f t="shared" si="2"/>
        <v>1.8128891237011944E-4</v>
      </c>
      <c r="I14" s="222">
        <f>SUMIF('JKP-8.5 - Total Costs'!$C$8:$C$261,'JKP-8.5 - Summary'!$A14,'JKP-8.5 - Total Costs'!$W$8:$W$261)</f>
        <v>1141863.21</v>
      </c>
      <c r="J14" s="318">
        <f t="shared" si="3"/>
        <v>5.0861121496451243E-2</v>
      </c>
      <c r="L14" s="225"/>
      <c r="M14" s="225"/>
      <c r="N14" s="225"/>
    </row>
    <row r="15" spans="1:14" x14ac:dyDescent="0.2">
      <c r="A15" s="1048" t="s">
        <v>810</v>
      </c>
      <c r="B15" s="295">
        <f>SUMIF('JKP-8.5 - Total Costs'!$C$8:$C$261,'JKP-8.5 - Summary'!$A15,'JKP-8.5 - Total Costs'!F$8:F$261)</f>
        <v>0</v>
      </c>
      <c r="C15" s="295">
        <f>SUMIF('JKP-8.5 - Total Costs'!$C$8:$C$261,'JKP-8.5 - Summary'!$A15,'JKP-8.5 - Total Costs'!G$8:G$261)</f>
        <v>1</v>
      </c>
      <c r="D15" s="295">
        <f>C15+B15</f>
        <v>1</v>
      </c>
      <c r="E15" s="222">
        <f>SUMIF('JKP-8.5 - Total Costs'!$C$8:$C$261,'JKP-8.5 - Summary'!$A15,'JKP-8.5 - Total Costs'!$Q$8:$Q$261)</f>
        <v>0</v>
      </c>
      <c r="F15" s="318">
        <f>E15/$E$19</f>
        <v>0</v>
      </c>
      <c r="G15" s="222">
        <f>SUMIF('JKP-8.5 - Total Costs'!$C$8:$C$261,'JKP-8.5 - Summary'!$A15,'JKP-8.5 - Total Costs'!$T$8:$T$261)</f>
        <v>0</v>
      </c>
      <c r="H15" s="318">
        <f>G15/$G$19</f>
        <v>0</v>
      </c>
      <c r="I15" s="222">
        <f>SUMIF('JKP-8.5 - Total Costs'!$C$8:$C$261,'JKP-8.5 - Summary'!$A15,'JKP-8.5 - Total Costs'!$W$8:$W$261)</f>
        <v>3456.43</v>
      </c>
      <c r="J15" s="318">
        <f>I15/$I$19</f>
        <v>1.5395706301280955E-4</v>
      </c>
      <c r="L15" s="225"/>
      <c r="M15" s="225"/>
      <c r="N15" s="225"/>
    </row>
    <row r="16" spans="1:14" x14ac:dyDescent="0.2">
      <c r="A16" s="1048" t="s">
        <v>807</v>
      </c>
      <c r="B16" s="295">
        <f>SUMIF('JKP-8.5 - Total Costs'!$C$8:$C$261,'JKP-8.5 - Summary'!$A16,'JKP-8.5 - Total Costs'!F$8:F$261)</f>
        <v>0</v>
      </c>
      <c r="C16" s="295">
        <f>SUMIF('JKP-8.5 - Total Costs'!$C$8:$C$261,'JKP-8.5 - Summary'!$A16,'JKP-8.5 - Total Costs'!G$8:G$261)</f>
        <v>10</v>
      </c>
      <c r="D16" s="295">
        <f t="shared" si="0"/>
        <v>10</v>
      </c>
      <c r="E16" s="222">
        <f>SUMIF('JKP-8.5 - Total Costs'!$C$8:$C$261,'JKP-8.5 - Summary'!$A16,'JKP-8.5 - Total Costs'!$Q$8:$Q$261)</f>
        <v>0</v>
      </c>
      <c r="F16" s="318">
        <f t="shared" si="1"/>
        <v>0</v>
      </c>
      <c r="G16" s="222">
        <f>SUMIF('JKP-8.5 - Total Costs'!$C$8:$C$261,'JKP-8.5 - Summary'!$A16,'JKP-8.5 - Total Costs'!$T$8:$T$261)</f>
        <v>0</v>
      </c>
      <c r="H16" s="318">
        <f t="shared" si="2"/>
        <v>0</v>
      </c>
      <c r="I16" s="222">
        <f>SUMIF('JKP-8.5 - Total Costs'!$C$8:$C$261,'JKP-8.5 - Summary'!$A16,'JKP-8.5 - Total Costs'!$W$8:$W$261)</f>
        <v>293828.08</v>
      </c>
      <c r="J16" s="318">
        <f t="shared" si="3"/>
        <v>1.3087754772262955E-2</v>
      </c>
      <c r="L16" s="225"/>
      <c r="M16" s="225"/>
      <c r="N16" s="225"/>
    </row>
    <row r="17" spans="1:14" x14ac:dyDescent="0.2">
      <c r="A17" s="1048" t="s">
        <v>811</v>
      </c>
      <c r="B17" s="295">
        <f>SUMIF('JKP-8.5 - Total Costs'!$C$8:$C$261,'JKP-8.5 - Summary'!$A17,'JKP-8.5 - Total Costs'!F$8:F$261)</f>
        <v>0</v>
      </c>
      <c r="C17" s="295">
        <f>SUMIF('JKP-8.5 - Total Costs'!$C$8:$C$261,'JKP-8.5 - Summary'!$A17,'JKP-8.5 - Total Costs'!G$8:G$261)</f>
        <v>16</v>
      </c>
      <c r="D17" s="295">
        <f>C17+B17</f>
        <v>16</v>
      </c>
      <c r="E17" s="222">
        <f>SUMIF('JKP-8.5 - Total Costs'!$C$8:$C$261,'JKP-8.5 - Summary'!$A17,'JKP-8.5 - Total Costs'!$Q$8:$Q$261)</f>
        <v>0</v>
      </c>
      <c r="F17" s="1078">
        <f t="shared" si="1"/>
        <v>0</v>
      </c>
      <c r="G17" s="1150">
        <f>SUMIF('JKP-8.5 - Total Costs'!$C$8:$C$261,'JKP-8.5 - Summary'!$A17,'JKP-8.5 - Total Costs'!$T$8:$T$261)</f>
        <v>0</v>
      </c>
      <c r="H17" s="1078">
        <f t="shared" si="2"/>
        <v>0</v>
      </c>
      <c r="I17" s="1150">
        <f>SUMIF('JKP-8.5 - Total Costs'!$C$8:$C$261,'JKP-8.5 - Summary'!$A17,'JKP-8.5 - Total Costs'!$W$8:$W$261)</f>
        <v>523662.31999999995</v>
      </c>
      <c r="J17" s="1078">
        <f t="shared" si="3"/>
        <v>2.3325081890179761E-2</v>
      </c>
      <c r="L17" s="225"/>
      <c r="M17" s="225"/>
      <c r="N17" s="225"/>
    </row>
    <row r="18" spans="1:14" x14ac:dyDescent="0.2">
      <c r="A18" s="1036" t="s">
        <v>745</v>
      </c>
      <c r="B18" s="1151">
        <f>SUMIF('JKP-8.5 - Total Costs'!$C$8:$C$261,'JKP-8.5 - Summary'!$A18,'JKP-8.5 - Total Costs'!F$8:F$261)</f>
        <v>4</v>
      </c>
      <c r="C18" s="1151">
        <f>SUMIF('JKP-8.5 - Total Costs'!$C$8:$C$261,'JKP-8.5 - Summary'!$A18,'JKP-8.5 - Total Costs'!G$8:G$261)</f>
        <v>18</v>
      </c>
      <c r="D18" s="1151">
        <f t="shared" si="0"/>
        <v>22</v>
      </c>
      <c r="E18" s="233">
        <f>SUMIF('JKP-8.5 - Total Costs'!$C$8:$C$261,'JKP-8.5 - Summary'!$A18,'JKP-8.5 - Total Costs'!$Q$8:$Q$261)</f>
        <v>2126.3000000000002</v>
      </c>
      <c r="F18" s="319">
        <f t="shared" si="1"/>
        <v>1.470412243438449E-5</v>
      </c>
      <c r="G18" s="233">
        <f>SUMIF('JKP-8.5 - Total Costs'!$C$8:$C$261,'JKP-8.5 - Summary'!$A18,'JKP-8.5 - Total Costs'!$T$8:$T$261)</f>
        <v>83.52</v>
      </c>
      <c r="H18" s="319">
        <f t="shared" si="2"/>
        <v>2.5898416052874205E-6</v>
      </c>
      <c r="I18" s="233">
        <f>SUMIF('JKP-8.5 - Total Costs'!$C$8:$C$261,'JKP-8.5 - Summary'!$A18,'JKP-8.5 - Total Costs'!$W$8:$W$261)</f>
        <v>429299.67</v>
      </c>
      <c r="J18" s="319">
        <f>I18/$I$19</f>
        <v>1.9121960041305144E-2</v>
      </c>
      <c r="L18" s="225"/>
      <c r="M18" s="225"/>
      <c r="N18" s="225"/>
    </row>
    <row r="19" spans="1:14" x14ac:dyDescent="0.2">
      <c r="A19" s="1048" t="s">
        <v>23</v>
      </c>
      <c r="B19" s="295">
        <f>SUM(B8:B18)</f>
        <v>775160</v>
      </c>
      <c r="C19" s="295">
        <f>SUM(C8:C18)</f>
        <v>1997</v>
      </c>
      <c r="D19" s="295">
        <f>C19+B19</f>
        <v>777157</v>
      </c>
      <c r="E19" s="222">
        <f t="shared" ref="E19:J19" si="4">SUM(E8:E18)</f>
        <v>144605705.61000001</v>
      </c>
      <c r="F19" s="225">
        <f t="shared" si="4"/>
        <v>0.99999999999999978</v>
      </c>
      <c r="G19" s="222">
        <f t="shared" si="4"/>
        <v>32249076.48</v>
      </c>
      <c r="H19" s="225">
        <f t="shared" si="4"/>
        <v>1.0000000000000002</v>
      </c>
      <c r="I19" s="222">
        <f t="shared" si="4"/>
        <v>22450610.139999993</v>
      </c>
      <c r="J19" s="225">
        <f t="shared" si="4"/>
        <v>1</v>
      </c>
      <c r="L19" s="1152"/>
      <c r="M19" s="1152"/>
      <c r="N19" s="1152"/>
    </row>
    <row r="20" spans="1:14" x14ac:dyDescent="0.2">
      <c r="A20" s="1083" t="s">
        <v>131</v>
      </c>
      <c r="B20" s="295">
        <f>B19-'JKP-8.5 - Total Costs'!F262</f>
        <v>0</v>
      </c>
      <c r="C20" s="295">
        <f>C19-'JKP-8.5 - Total Costs'!G262</f>
        <v>0</v>
      </c>
      <c r="D20" s="295">
        <f>D19-'JKP-8.5 - Total Costs'!H262</f>
        <v>0</v>
      </c>
      <c r="E20" s="295">
        <f>E19-'JKP-8.5 - Total Costs'!Q262</f>
        <v>0</v>
      </c>
      <c r="F20" s="295"/>
      <c r="G20" s="295">
        <f>G19-'JKP-8.5 - Total Costs'!T262</f>
        <v>0</v>
      </c>
      <c r="H20" s="295"/>
      <c r="I20" s="295">
        <f>I19-'JKP-8.5 - Total Costs'!W262</f>
        <v>0</v>
      </c>
    </row>
    <row r="22" spans="1:14" x14ac:dyDescent="0.2">
      <c r="A22" s="1048" t="s">
        <v>1912</v>
      </c>
    </row>
    <row r="24" spans="1:14" x14ac:dyDescent="0.2">
      <c r="B24" s="1065" t="s">
        <v>1917</v>
      </c>
      <c r="C24" s="1065" t="s">
        <v>1918</v>
      </c>
      <c r="D24" s="1065" t="s">
        <v>1919</v>
      </c>
    </row>
    <row r="25" spans="1:14" x14ac:dyDescent="0.2">
      <c r="A25" s="1025" t="s">
        <v>89</v>
      </c>
      <c r="B25" s="1069">
        <f>E8</f>
        <v>111161346.63999999</v>
      </c>
      <c r="C25" s="1069">
        <f>G8</f>
        <v>29794298.400000002</v>
      </c>
      <c r="D25" s="1069">
        <f>I8</f>
        <v>107584.72</v>
      </c>
    </row>
    <row r="26" spans="1:14" x14ac:dyDescent="0.2">
      <c r="A26" s="1025" t="s">
        <v>1794</v>
      </c>
      <c r="B26" s="1069">
        <f>E9</f>
        <v>32070678.119999997</v>
      </c>
      <c r="C26" s="1069">
        <f>G9</f>
        <v>2412182.8799999994</v>
      </c>
      <c r="D26" s="1069">
        <f>I9</f>
        <v>12411577.959999992</v>
      </c>
    </row>
    <row r="27" spans="1:14" x14ac:dyDescent="0.2">
      <c r="A27" s="1025" t="s">
        <v>1796</v>
      </c>
      <c r="B27" s="1069">
        <f>SUM(E10:E11)</f>
        <v>1078306.44</v>
      </c>
      <c r="C27" s="1069">
        <f>SUM(G10:G11)</f>
        <v>33449.760000000002</v>
      </c>
      <c r="D27" s="1069">
        <f>SUM(I10:I11)</f>
        <v>4802949.8399999989</v>
      </c>
    </row>
    <row r="28" spans="1:14" x14ac:dyDescent="0.2">
      <c r="A28" s="1025" t="s">
        <v>163</v>
      </c>
      <c r="B28" s="1069">
        <f>SUM(E12:E13)</f>
        <v>99716.419999999984</v>
      </c>
      <c r="C28" s="1069">
        <f>SUM(G12:G13)</f>
        <v>3215.52</v>
      </c>
      <c r="D28" s="1069">
        <f>SUM(I12:I13)</f>
        <v>2736387.91</v>
      </c>
    </row>
    <row r="29" spans="1:14" x14ac:dyDescent="0.2">
      <c r="A29" s="1025" t="s">
        <v>802</v>
      </c>
      <c r="B29" s="1069">
        <f>SUM(E14:E15)</f>
        <v>193531.68999999997</v>
      </c>
      <c r="C29" s="1069">
        <f>SUM(G14:G15)</f>
        <v>5846.4</v>
      </c>
      <c r="D29" s="1069">
        <f>SUM(I14:I15)</f>
        <v>1145319.6399999999</v>
      </c>
    </row>
    <row r="30" spans="1:14" x14ac:dyDescent="0.2">
      <c r="A30" s="1025" t="s">
        <v>1800</v>
      </c>
      <c r="B30" s="1069">
        <f>SUM(E16:E17)</f>
        <v>0</v>
      </c>
      <c r="C30" s="1069">
        <f>SUM(G16:G17)</f>
        <v>0</v>
      </c>
      <c r="D30" s="1069">
        <f>SUM(I16:I17)</f>
        <v>817490.39999999991</v>
      </c>
    </row>
    <row r="31" spans="1:14" x14ac:dyDescent="0.2">
      <c r="A31" s="1025" t="s">
        <v>144</v>
      </c>
      <c r="B31" s="1069">
        <f>E18</f>
        <v>2126.3000000000002</v>
      </c>
      <c r="C31" s="1069">
        <f>G18</f>
        <v>83.52</v>
      </c>
      <c r="D31" s="1069">
        <f>I18</f>
        <v>429299.67</v>
      </c>
    </row>
    <row r="32" spans="1:14" x14ac:dyDescent="0.2">
      <c r="A32" s="1025" t="s">
        <v>90</v>
      </c>
    </row>
    <row r="33" spans="1:4" x14ac:dyDescent="0.2">
      <c r="A33" s="1025" t="s">
        <v>23</v>
      </c>
      <c r="B33" s="1153">
        <f>SUM(B25:B32)</f>
        <v>144605705.60999998</v>
      </c>
      <c r="C33" s="1153">
        <f>SUM(C25:C32)</f>
        <v>32249076.48</v>
      </c>
      <c r="D33" s="1153">
        <f>SUM(D25:D32)</f>
        <v>22450610.139999993</v>
      </c>
    </row>
  </sheetData>
  <mergeCells count="4">
    <mergeCell ref="B6:D6"/>
    <mergeCell ref="E6:F6"/>
    <mergeCell ref="G6:H6"/>
    <mergeCell ref="I6:J6"/>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34"/>
  <sheetViews>
    <sheetView zoomScaleNormal="100" workbookViewId="0">
      <selection activeCell="C35" sqref="C35"/>
    </sheetView>
  </sheetViews>
  <sheetFormatPr defaultRowHeight="12.75" x14ac:dyDescent="0.2"/>
  <cols>
    <col min="1" max="1" width="9.140625" style="1025"/>
    <col min="2" max="2" width="10.5703125" style="1025" bestFit="1" customWidth="1"/>
    <col min="3" max="3" width="15" style="1025" bestFit="1" customWidth="1"/>
    <col min="4" max="4" width="15.140625" style="1025" bestFit="1" customWidth="1"/>
    <col min="5" max="5" width="11.85546875" style="1025" customWidth="1"/>
    <col min="6" max="6" width="12.7109375" style="1025" bestFit="1" customWidth="1"/>
    <col min="7" max="257" width="9.140625" style="1025"/>
    <col min="258" max="258" width="10.5703125" style="1025" bestFit="1" customWidth="1"/>
    <col min="259" max="259" width="15" style="1025" bestFit="1" customWidth="1"/>
    <col min="260" max="260" width="15.140625" style="1025" bestFit="1" customWidth="1"/>
    <col min="261" max="261" width="11.85546875" style="1025" customWidth="1"/>
    <col min="262" max="262" width="12.7109375" style="1025" bestFit="1" customWidth="1"/>
    <col min="263" max="513" width="9.140625" style="1025"/>
    <col min="514" max="514" width="10.5703125" style="1025" bestFit="1" customWidth="1"/>
    <col min="515" max="515" width="15" style="1025" bestFit="1" customWidth="1"/>
    <col min="516" max="516" width="15.140625" style="1025" bestFit="1" customWidth="1"/>
    <col min="517" max="517" width="11.85546875" style="1025" customWidth="1"/>
    <col min="518" max="518" width="12.7109375" style="1025" bestFit="1" customWidth="1"/>
    <col min="519" max="769" width="9.140625" style="1025"/>
    <col min="770" max="770" width="10.5703125" style="1025" bestFit="1" customWidth="1"/>
    <col min="771" max="771" width="15" style="1025" bestFit="1" customWidth="1"/>
    <col min="772" max="772" width="15.140625" style="1025" bestFit="1" customWidth="1"/>
    <col min="773" max="773" width="11.85546875" style="1025" customWidth="1"/>
    <col min="774" max="774" width="12.7109375" style="1025" bestFit="1" customWidth="1"/>
    <col min="775" max="1025" width="9.140625" style="1025"/>
    <col min="1026" max="1026" width="10.5703125" style="1025" bestFit="1" customWidth="1"/>
    <col min="1027" max="1027" width="15" style="1025" bestFit="1" customWidth="1"/>
    <col min="1028" max="1028" width="15.140625" style="1025" bestFit="1" customWidth="1"/>
    <col min="1029" max="1029" width="11.85546875" style="1025" customWidth="1"/>
    <col min="1030" max="1030" width="12.7109375" style="1025" bestFit="1" customWidth="1"/>
    <col min="1031" max="1281" width="9.140625" style="1025"/>
    <col min="1282" max="1282" width="10.5703125" style="1025" bestFit="1" customWidth="1"/>
    <col min="1283" max="1283" width="15" style="1025" bestFit="1" customWidth="1"/>
    <col min="1284" max="1284" width="15.140625" style="1025" bestFit="1" customWidth="1"/>
    <col min="1285" max="1285" width="11.85546875" style="1025" customWidth="1"/>
    <col min="1286" max="1286" width="12.7109375" style="1025" bestFit="1" customWidth="1"/>
    <col min="1287" max="1537" width="9.140625" style="1025"/>
    <col min="1538" max="1538" width="10.5703125" style="1025" bestFit="1" customWidth="1"/>
    <col min="1539" max="1539" width="15" style="1025" bestFit="1" customWidth="1"/>
    <col min="1540" max="1540" width="15.140625" style="1025" bestFit="1" customWidth="1"/>
    <col min="1541" max="1541" width="11.85546875" style="1025" customWidth="1"/>
    <col min="1542" max="1542" width="12.7109375" style="1025" bestFit="1" customWidth="1"/>
    <col min="1543" max="1793" width="9.140625" style="1025"/>
    <col min="1794" max="1794" width="10.5703125" style="1025" bestFit="1" customWidth="1"/>
    <col min="1795" max="1795" width="15" style="1025" bestFit="1" customWidth="1"/>
    <col min="1796" max="1796" width="15.140625" style="1025" bestFit="1" customWidth="1"/>
    <col min="1797" max="1797" width="11.85546875" style="1025" customWidth="1"/>
    <col min="1798" max="1798" width="12.7109375" style="1025" bestFit="1" customWidth="1"/>
    <col min="1799" max="2049" width="9.140625" style="1025"/>
    <col min="2050" max="2050" width="10.5703125" style="1025" bestFit="1" customWidth="1"/>
    <col min="2051" max="2051" width="15" style="1025" bestFit="1" customWidth="1"/>
    <col min="2052" max="2052" width="15.140625" style="1025" bestFit="1" customWidth="1"/>
    <col min="2053" max="2053" width="11.85546875" style="1025" customWidth="1"/>
    <col min="2054" max="2054" width="12.7109375" style="1025" bestFit="1" customWidth="1"/>
    <col min="2055" max="2305" width="9.140625" style="1025"/>
    <col min="2306" max="2306" width="10.5703125" style="1025" bestFit="1" customWidth="1"/>
    <col min="2307" max="2307" width="15" style="1025" bestFit="1" customWidth="1"/>
    <col min="2308" max="2308" width="15.140625" style="1025" bestFit="1" customWidth="1"/>
    <col min="2309" max="2309" width="11.85546875" style="1025" customWidth="1"/>
    <col min="2310" max="2310" width="12.7109375" style="1025" bestFit="1" customWidth="1"/>
    <col min="2311" max="2561" width="9.140625" style="1025"/>
    <col min="2562" max="2562" width="10.5703125" style="1025" bestFit="1" customWidth="1"/>
    <col min="2563" max="2563" width="15" style="1025" bestFit="1" customWidth="1"/>
    <col min="2564" max="2564" width="15.140625" style="1025" bestFit="1" customWidth="1"/>
    <col min="2565" max="2565" width="11.85546875" style="1025" customWidth="1"/>
    <col min="2566" max="2566" width="12.7109375" style="1025" bestFit="1" customWidth="1"/>
    <col min="2567" max="2817" width="9.140625" style="1025"/>
    <col min="2818" max="2818" width="10.5703125" style="1025" bestFit="1" customWidth="1"/>
    <col min="2819" max="2819" width="15" style="1025" bestFit="1" customWidth="1"/>
    <col min="2820" max="2820" width="15.140625" style="1025" bestFit="1" customWidth="1"/>
    <col min="2821" max="2821" width="11.85546875" style="1025" customWidth="1"/>
    <col min="2822" max="2822" width="12.7109375" style="1025" bestFit="1" customWidth="1"/>
    <col min="2823" max="3073" width="9.140625" style="1025"/>
    <col min="3074" max="3074" width="10.5703125" style="1025" bestFit="1" customWidth="1"/>
    <col min="3075" max="3075" width="15" style="1025" bestFit="1" customWidth="1"/>
    <col min="3076" max="3076" width="15.140625" style="1025" bestFit="1" customWidth="1"/>
    <col min="3077" max="3077" width="11.85546875" style="1025" customWidth="1"/>
    <col min="3078" max="3078" width="12.7109375" style="1025" bestFit="1" customWidth="1"/>
    <col min="3079" max="3329" width="9.140625" style="1025"/>
    <col min="3330" max="3330" width="10.5703125" style="1025" bestFit="1" customWidth="1"/>
    <col min="3331" max="3331" width="15" style="1025" bestFit="1" customWidth="1"/>
    <col min="3332" max="3332" width="15.140625" style="1025" bestFit="1" customWidth="1"/>
    <col min="3333" max="3333" width="11.85546875" style="1025" customWidth="1"/>
    <col min="3334" max="3334" width="12.7109375" style="1025" bestFit="1" customWidth="1"/>
    <col min="3335" max="3585" width="9.140625" style="1025"/>
    <col min="3586" max="3586" width="10.5703125" style="1025" bestFit="1" customWidth="1"/>
    <col min="3587" max="3587" width="15" style="1025" bestFit="1" customWidth="1"/>
    <col min="3588" max="3588" width="15.140625" style="1025" bestFit="1" customWidth="1"/>
    <col min="3589" max="3589" width="11.85546875" style="1025" customWidth="1"/>
    <col min="3590" max="3590" width="12.7109375" style="1025" bestFit="1" customWidth="1"/>
    <col min="3591" max="3841" width="9.140625" style="1025"/>
    <col min="3842" max="3842" width="10.5703125" style="1025" bestFit="1" customWidth="1"/>
    <col min="3843" max="3843" width="15" style="1025" bestFit="1" customWidth="1"/>
    <col min="3844" max="3844" width="15.140625" style="1025" bestFit="1" customWidth="1"/>
    <col min="3845" max="3845" width="11.85546875" style="1025" customWidth="1"/>
    <col min="3846" max="3846" width="12.7109375" style="1025" bestFit="1" customWidth="1"/>
    <col min="3847" max="4097" width="9.140625" style="1025"/>
    <col min="4098" max="4098" width="10.5703125" style="1025" bestFit="1" customWidth="1"/>
    <col min="4099" max="4099" width="15" style="1025" bestFit="1" customWidth="1"/>
    <col min="4100" max="4100" width="15.140625" style="1025" bestFit="1" customWidth="1"/>
    <col min="4101" max="4101" width="11.85546875" style="1025" customWidth="1"/>
    <col min="4102" max="4102" width="12.7109375" style="1025" bestFit="1" customWidth="1"/>
    <col min="4103" max="4353" width="9.140625" style="1025"/>
    <col min="4354" max="4354" width="10.5703125" style="1025" bestFit="1" customWidth="1"/>
    <col min="4355" max="4355" width="15" style="1025" bestFit="1" customWidth="1"/>
    <col min="4356" max="4356" width="15.140625" style="1025" bestFit="1" customWidth="1"/>
    <col min="4357" max="4357" width="11.85546875" style="1025" customWidth="1"/>
    <col min="4358" max="4358" width="12.7109375" style="1025" bestFit="1" customWidth="1"/>
    <col min="4359" max="4609" width="9.140625" style="1025"/>
    <col min="4610" max="4610" width="10.5703125" style="1025" bestFit="1" customWidth="1"/>
    <col min="4611" max="4611" width="15" style="1025" bestFit="1" customWidth="1"/>
    <col min="4612" max="4612" width="15.140625" style="1025" bestFit="1" customWidth="1"/>
    <col min="4613" max="4613" width="11.85546875" style="1025" customWidth="1"/>
    <col min="4614" max="4614" width="12.7109375" style="1025" bestFit="1" customWidth="1"/>
    <col min="4615" max="4865" width="9.140625" style="1025"/>
    <col min="4866" max="4866" width="10.5703125" style="1025" bestFit="1" customWidth="1"/>
    <col min="4867" max="4867" width="15" style="1025" bestFit="1" customWidth="1"/>
    <col min="4868" max="4868" width="15.140625" style="1025" bestFit="1" customWidth="1"/>
    <col min="4869" max="4869" width="11.85546875" style="1025" customWidth="1"/>
    <col min="4870" max="4870" width="12.7109375" style="1025" bestFit="1" customWidth="1"/>
    <col min="4871" max="5121" width="9.140625" style="1025"/>
    <col min="5122" max="5122" width="10.5703125" style="1025" bestFit="1" customWidth="1"/>
    <col min="5123" max="5123" width="15" style="1025" bestFit="1" customWidth="1"/>
    <col min="5124" max="5124" width="15.140625" style="1025" bestFit="1" customWidth="1"/>
    <col min="5125" max="5125" width="11.85546875" style="1025" customWidth="1"/>
    <col min="5126" max="5126" width="12.7109375" style="1025" bestFit="1" customWidth="1"/>
    <col min="5127" max="5377" width="9.140625" style="1025"/>
    <col min="5378" max="5378" width="10.5703125" style="1025" bestFit="1" customWidth="1"/>
    <col min="5379" max="5379" width="15" style="1025" bestFit="1" customWidth="1"/>
    <col min="5380" max="5380" width="15.140625" style="1025" bestFit="1" customWidth="1"/>
    <col min="5381" max="5381" width="11.85546875" style="1025" customWidth="1"/>
    <col min="5382" max="5382" width="12.7109375" style="1025" bestFit="1" customWidth="1"/>
    <col min="5383" max="5633" width="9.140625" style="1025"/>
    <col min="5634" max="5634" width="10.5703125" style="1025" bestFit="1" customWidth="1"/>
    <col min="5635" max="5635" width="15" style="1025" bestFit="1" customWidth="1"/>
    <col min="5636" max="5636" width="15.140625" style="1025" bestFit="1" customWidth="1"/>
    <col min="5637" max="5637" width="11.85546875" style="1025" customWidth="1"/>
    <col min="5638" max="5638" width="12.7109375" style="1025" bestFit="1" customWidth="1"/>
    <col min="5639" max="5889" width="9.140625" style="1025"/>
    <col min="5890" max="5890" width="10.5703125" style="1025" bestFit="1" customWidth="1"/>
    <col min="5891" max="5891" width="15" style="1025" bestFit="1" customWidth="1"/>
    <col min="5892" max="5892" width="15.140625" style="1025" bestFit="1" customWidth="1"/>
    <col min="5893" max="5893" width="11.85546875" style="1025" customWidth="1"/>
    <col min="5894" max="5894" width="12.7109375" style="1025" bestFit="1" customWidth="1"/>
    <col min="5895" max="6145" width="9.140625" style="1025"/>
    <col min="6146" max="6146" width="10.5703125" style="1025" bestFit="1" customWidth="1"/>
    <col min="6147" max="6147" width="15" style="1025" bestFit="1" customWidth="1"/>
    <col min="6148" max="6148" width="15.140625" style="1025" bestFit="1" customWidth="1"/>
    <col min="6149" max="6149" width="11.85546875" style="1025" customWidth="1"/>
    <col min="6150" max="6150" width="12.7109375" style="1025" bestFit="1" customWidth="1"/>
    <col min="6151" max="6401" width="9.140625" style="1025"/>
    <col min="6402" max="6402" width="10.5703125" style="1025" bestFit="1" customWidth="1"/>
    <col min="6403" max="6403" width="15" style="1025" bestFit="1" customWidth="1"/>
    <col min="6404" max="6404" width="15.140625" style="1025" bestFit="1" customWidth="1"/>
    <col min="6405" max="6405" width="11.85546875" style="1025" customWidth="1"/>
    <col min="6406" max="6406" width="12.7109375" style="1025" bestFit="1" customWidth="1"/>
    <col min="6407" max="6657" width="9.140625" style="1025"/>
    <col min="6658" max="6658" width="10.5703125" style="1025" bestFit="1" customWidth="1"/>
    <col min="6659" max="6659" width="15" style="1025" bestFit="1" customWidth="1"/>
    <col min="6660" max="6660" width="15.140625" style="1025" bestFit="1" customWidth="1"/>
    <col min="6661" max="6661" width="11.85546875" style="1025" customWidth="1"/>
    <col min="6662" max="6662" width="12.7109375" style="1025" bestFit="1" customWidth="1"/>
    <col min="6663" max="6913" width="9.140625" style="1025"/>
    <col min="6914" max="6914" width="10.5703125" style="1025" bestFit="1" customWidth="1"/>
    <col min="6915" max="6915" width="15" style="1025" bestFit="1" customWidth="1"/>
    <col min="6916" max="6916" width="15.140625" style="1025" bestFit="1" customWidth="1"/>
    <col min="6917" max="6917" width="11.85546875" style="1025" customWidth="1"/>
    <col min="6918" max="6918" width="12.7109375" style="1025" bestFit="1" customWidth="1"/>
    <col min="6919" max="7169" width="9.140625" style="1025"/>
    <col min="7170" max="7170" width="10.5703125" style="1025" bestFit="1" customWidth="1"/>
    <col min="7171" max="7171" width="15" style="1025" bestFit="1" customWidth="1"/>
    <col min="7172" max="7172" width="15.140625" style="1025" bestFit="1" customWidth="1"/>
    <col min="7173" max="7173" width="11.85546875" style="1025" customWidth="1"/>
    <col min="7174" max="7174" width="12.7109375" style="1025" bestFit="1" customWidth="1"/>
    <col min="7175" max="7425" width="9.140625" style="1025"/>
    <col min="7426" max="7426" width="10.5703125" style="1025" bestFit="1" customWidth="1"/>
    <col min="7427" max="7427" width="15" style="1025" bestFit="1" customWidth="1"/>
    <col min="7428" max="7428" width="15.140625" style="1025" bestFit="1" customWidth="1"/>
    <col min="7429" max="7429" width="11.85546875" style="1025" customWidth="1"/>
    <col min="7430" max="7430" width="12.7109375" style="1025" bestFit="1" customWidth="1"/>
    <col min="7431" max="7681" width="9.140625" style="1025"/>
    <col min="7682" max="7682" width="10.5703125" style="1025" bestFit="1" customWidth="1"/>
    <col min="7683" max="7683" width="15" style="1025" bestFit="1" customWidth="1"/>
    <col min="7684" max="7684" width="15.140625" style="1025" bestFit="1" customWidth="1"/>
    <col min="7685" max="7685" width="11.85546875" style="1025" customWidth="1"/>
    <col min="7686" max="7686" width="12.7109375" style="1025" bestFit="1" customWidth="1"/>
    <col min="7687" max="7937" width="9.140625" style="1025"/>
    <col min="7938" max="7938" width="10.5703125" style="1025" bestFit="1" customWidth="1"/>
    <col min="7939" max="7939" width="15" style="1025" bestFit="1" customWidth="1"/>
    <col min="7940" max="7940" width="15.140625" style="1025" bestFit="1" customWidth="1"/>
    <col min="7941" max="7941" width="11.85546875" style="1025" customWidth="1"/>
    <col min="7942" max="7942" width="12.7109375" style="1025" bestFit="1" customWidth="1"/>
    <col min="7943" max="8193" width="9.140625" style="1025"/>
    <col min="8194" max="8194" width="10.5703125" style="1025" bestFit="1" customWidth="1"/>
    <col min="8195" max="8195" width="15" style="1025" bestFit="1" customWidth="1"/>
    <col min="8196" max="8196" width="15.140625" style="1025" bestFit="1" customWidth="1"/>
    <col min="8197" max="8197" width="11.85546875" style="1025" customWidth="1"/>
    <col min="8198" max="8198" width="12.7109375" style="1025" bestFit="1" customWidth="1"/>
    <col min="8199" max="8449" width="9.140625" style="1025"/>
    <col min="8450" max="8450" width="10.5703125" style="1025" bestFit="1" customWidth="1"/>
    <col min="8451" max="8451" width="15" style="1025" bestFit="1" customWidth="1"/>
    <col min="8452" max="8452" width="15.140625" style="1025" bestFit="1" customWidth="1"/>
    <col min="8453" max="8453" width="11.85546875" style="1025" customWidth="1"/>
    <col min="8454" max="8454" width="12.7109375" style="1025" bestFit="1" customWidth="1"/>
    <col min="8455" max="8705" width="9.140625" style="1025"/>
    <col min="8706" max="8706" width="10.5703125" style="1025" bestFit="1" customWidth="1"/>
    <col min="8707" max="8707" width="15" style="1025" bestFit="1" customWidth="1"/>
    <col min="8708" max="8708" width="15.140625" style="1025" bestFit="1" customWidth="1"/>
    <col min="8709" max="8709" width="11.85546875" style="1025" customWidth="1"/>
    <col min="8710" max="8710" width="12.7109375" style="1025" bestFit="1" customWidth="1"/>
    <col min="8711" max="8961" width="9.140625" style="1025"/>
    <col min="8962" max="8962" width="10.5703125" style="1025" bestFit="1" customWidth="1"/>
    <col min="8963" max="8963" width="15" style="1025" bestFit="1" customWidth="1"/>
    <col min="8964" max="8964" width="15.140625" style="1025" bestFit="1" customWidth="1"/>
    <col min="8965" max="8965" width="11.85546875" style="1025" customWidth="1"/>
    <col min="8966" max="8966" width="12.7109375" style="1025" bestFit="1" customWidth="1"/>
    <col min="8967" max="9217" width="9.140625" style="1025"/>
    <col min="9218" max="9218" width="10.5703125" style="1025" bestFit="1" customWidth="1"/>
    <col min="9219" max="9219" width="15" style="1025" bestFit="1" customWidth="1"/>
    <col min="9220" max="9220" width="15.140625" style="1025" bestFit="1" customWidth="1"/>
    <col min="9221" max="9221" width="11.85546875" style="1025" customWidth="1"/>
    <col min="9222" max="9222" width="12.7109375" style="1025" bestFit="1" customWidth="1"/>
    <col min="9223" max="9473" width="9.140625" style="1025"/>
    <col min="9474" max="9474" width="10.5703125" style="1025" bestFit="1" customWidth="1"/>
    <col min="9475" max="9475" width="15" style="1025" bestFit="1" customWidth="1"/>
    <col min="9476" max="9476" width="15.140625" style="1025" bestFit="1" customWidth="1"/>
    <col min="9477" max="9477" width="11.85546875" style="1025" customWidth="1"/>
    <col min="9478" max="9478" width="12.7109375" style="1025" bestFit="1" customWidth="1"/>
    <col min="9479" max="9729" width="9.140625" style="1025"/>
    <col min="9730" max="9730" width="10.5703125" style="1025" bestFit="1" customWidth="1"/>
    <col min="9731" max="9731" width="15" style="1025" bestFit="1" customWidth="1"/>
    <col min="9732" max="9732" width="15.140625" style="1025" bestFit="1" customWidth="1"/>
    <col min="9733" max="9733" width="11.85546875" style="1025" customWidth="1"/>
    <col min="9734" max="9734" width="12.7109375" style="1025" bestFit="1" customWidth="1"/>
    <col min="9735" max="9985" width="9.140625" style="1025"/>
    <col min="9986" max="9986" width="10.5703125" style="1025" bestFit="1" customWidth="1"/>
    <col min="9987" max="9987" width="15" style="1025" bestFit="1" customWidth="1"/>
    <col min="9988" max="9988" width="15.140625" style="1025" bestFit="1" customWidth="1"/>
    <col min="9989" max="9989" width="11.85546875" style="1025" customWidth="1"/>
    <col min="9990" max="9990" width="12.7109375" style="1025" bestFit="1" customWidth="1"/>
    <col min="9991" max="10241" width="9.140625" style="1025"/>
    <col min="10242" max="10242" width="10.5703125" style="1025" bestFit="1" customWidth="1"/>
    <col min="10243" max="10243" width="15" style="1025" bestFit="1" customWidth="1"/>
    <col min="10244" max="10244" width="15.140625" style="1025" bestFit="1" customWidth="1"/>
    <col min="10245" max="10245" width="11.85546875" style="1025" customWidth="1"/>
    <col min="10246" max="10246" width="12.7109375" style="1025" bestFit="1" customWidth="1"/>
    <col min="10247" max="10497" width="9.140625" style="1025"/>
    <col min="10498" max="10498" width="10.5703125" style="1025" bestFit="1" customWidth="1"/>
    <col min="10499" max="10499" width="15" style="1025" bestFit="1" customWidth="1"/>
    <col min="10500" max="10500" width="15.140625" style="1025" bestFit="1" customWidth="1"/>
    <col min="10501" max="10501" width="11.85546875" style="1025" customWidth="1"/>
    <col min="10502" max="10502" width="12.7109375" style="1025" bestFit="1" customWidth="1"/>
    <col min="10503" max="10753" width="9.140625" style="1025"/>
    <col min="10754" max="10754" width="10.5703125" style="1025" bestFit="1" customWidth="1"/>
    <col min="10755" max="10755" width="15" style="1025" bestFit="1" customWidth="1"/>
    <col min="10756" max="10756" width="15.140625" style="1025" bestFit="1" customWidth="1"/>
    <col min="10757" max="10757" width="11.85546875" style="1025" customWidth="1"/>
    <col min="10758" max="10758" width="12.7109375" style="1025" bestFit="1" customWidth="1"/>
    <col min="10759" max="11009" width="9.140625" style="1025"/>
    <col min="11010" max="11010" width="10.5703125" style="1025" bestFit="1" customWidth="1"/>
    <col min="11011" max="11011" width="15" style="1025" bestFit="1" customWidth="1"/>
    <col min="11012" max="11012" width="15.140625" style="1025" bestFit="1" customWidth="1"/>
    <col min="11013" max="11013" width="11.85546875" style="1025" customWidth="1"/>
    <col min="11014" max="11014" width="12.7109375" style="1025" bestFit="1" customWidth="1"/>
    <col min="11015" max="11265" width="9.140625" style="1025"/>
    <col min="11266" max="11266" width="10.5703125" style="1025" bestFit="1" customWidth="1"/>
    <col min="11267" max="11267" width="15" style="1025" bestFit="1" customWidth="1"/>
    <col min="11268" max="11268" width="15.140625" style="1025" bestFit="1" customWidth="1"/>
    <col min="11269" max="11269" width="11.85546875" style="1025" customWidth="1"/>
    <col min="11270" max="11270" width="12.7109375" style="1025" bestFit="1" customWidth="1"/>
    <col min="11271" max="11521" width="9.140625" style="1025"/>
    <col min="11522" max="11522" width="10.5703125" style="1025" bestFit="1" customWidth="1"/>
    <col min="11523" max="11523" width="15" style="1025" bestFit="1" customWidth="1"/>
    <col min="11524" max="11524" width="15.140625" style="1025" bestFit="1" customWidth="1"/>
    <col min="11525" max="11525" width="11.85546875" style="1025" customWidth="1"/>
    <col min="11526" max="11526" width="12.7109375" style="1025" bestFit="1" customWidth="1"/>
    <col min="11527" max="11777" width="9.140625" style="1025"/>
    <col min="11778" max="11778" width="10.5703125" style="1025" bestFit="1" customWidth="1"/>
    <col min="11779" max="11779" width="15" style="1025" bestFit="1" customWidth="1"/>
    <col min="11780" max="11780" width="15.140625" style="1025" bestFit="1" customWidth="1"/>
    <col min="11781" max="11781" width="11.85546875" style="1025" customWidth="1"/>
    <col min="11782" max="11782" width="12.7109375" style="1025" bestFit="1" customWidth="1"/>
    <col min="11783" max="12033" width="9.140625" style="1025"/>
    <col min="12034" max="12034" width="10.5703125" style="1025" bestFit="1" customWidth="1"/>
    <col min="12035" max="12035" width="15" style="1025" bestFit="1" customWidth="1"/>
    <col min="12036" max="12036" width="15.140625" style="1025" bestFit="1" customWidth="1"/>
    <col min="12037" max="12037" width="11.85546875" style="1025" customWidth="1"/>
    <col min="12038" max="12038" width="12.7109375" style="1025" bestFit="1" customWidth="1"/>
    <col min="12039" max="12289" width="9.140625" style="1025"/>
    <col min="12290" max="12290" width="10.5703125" style="1025" bestFit="1" customWidth="1"/>
    <col min="12291" max="12291" width="15" style="1025" bestFit="1" customWidth="1"/>
    <col min="12292" max="12292" width="15.140625" style="1025" bestFit="1" customWidth="1"/>
    <col min="12293" max="12293" width="11.85546875" style="1025" customWidth="1"/>
    <col min="12294" max="12294" width="12.7109375" style="1025" bestFit="1" customWidth="1"/>
    <col min="12295" max="12545" width="9.140625" style="1025"/>
    <col min="12546" max="12546" width="10.5703125" style="1025" bestFit="1" customWidth="1"/>
    <col min="12547" max="12547" width="15" style="1025" bestFit="1" customWidth="1"/>
    <col min="12548" max="12548" width="15.140625" style="1025" bestFit="1" customWidth="1"/>
    <col min="12549" max="12549" width="11.85546875" style="1025" customWidth="1"/>
    <col min="12550" max="12550" width="12.7109375" style="1025" bestFit="1" customWidth="1"/>
    <col min="12551" max="12801" width="9.140625" style="1025"/>
    <col min="12802" max="12802" width="10.5703125" style="1025" bestFit="1" customWidth="1"/>
    <col min="12803" max="12803" width="15" style="1025" bestFit="1" customWidth="1"/>
    <col min="12804" max="12804" width="15.140625" style="1025" bestFit="1" customWidth="1"/>
    <col min="12805" max="12805" width="11.85546875" style="1025" customWidth="1"/>
    <col min="12806" max="12806" width="12.7109375" style="1025" bestFit="1" customWidth="1"/>
    <col min="12807" max="13057" width="9.140625" style="1025"/>
    <col min="13058" max="13058" width="10.5703125" style="1025" bestFit="1" customWidth="1"/>
    <col min="13059" max="13059" width="15" style="1025" bestFit="1" customWidth="1"/>
    <col min="13060" max="13060" width="15.140625" style="1025" bestFit="1" customWidth="1"/>
    <col min="13061" max="13061" width="11.85546875" style="1025" customWidth="1"/>
    <col min="13062" max="13062" width="12.7109375" style="1025" bestFit="1" customWidth="1"/>
    <col min="13063" max="13313" width="9.140625" style="1025"/>
    <col min="13314" max="13314" width="10.5703125" style="1025" bestFit="1" customWidth="1"/>
    <col min="13315" max="13315" width="15" style="1025" bestFit="1" customWidth="1"/>
    <col min="13316" max="13316" width="15.140625" style="1025" bestFit="1" customWidth="1"/>
    <col min="13317" max="13317" width="11.85546875" style="1025" customWidth="1"/>
    <col min="13318" max="13318" width="12.7109375" style="1025" bestFit="1" customWidth="1"/>
    <col min="13319" max="13569" width="9.140625" style="1025"/>
    <col min="13570" max="13570" width="10.5703125" style="1025" bestFit="1" customWidth="1"/>
    <col min="13571" max="13571" width="15" style="1025" bestFit="1" customWidth="1"/>
    <col min="13572" max="13572" width="15.140625" style="1025" bestFit="1" customWidth="1"/>
    <col min="13573" max="13573" width="11.85546875" style="1025" customWidth="1"/>
    <col min="13574" max="13574" width="12.7109375" style="1025" bestFit="1" customWidth="1"/>
    <col min="13575" max="13825" width="9.140625" style="1025"/>
    <col min="13826" max="13826" width="10.5703125" style="1025" bestFit="1" customWidth="1"/>
    <col min="13827" max="13827" width="15" style="1025" bestFit="1" customWidth="1"/>
    <col min="13828" max="13828" width="15.140625" style="1025" bestFit="1" customWidth="1"/>
    <col min="13829" max="13829" width="11.85546875" style="1025" customWidth="1"/>
    <col min="13830" max="13830" width="12.7109375" style="1025" bestFit="1" customWidth="1"/>
    <col min="13831" max="14081" width="9.140625" style="1025"/>
    <col min="14082" max="14082" width="10.5703125" style="1025" bestFit="1" customWidth="1"/>
    <col min="14083" max="14083" width="15" style="1025" bestFit="1" customWidth="1"/>
    <col min="14084" max="14084" width="15.140625" style="1025" bestFit="1" customWidth="1"/>
    <col min="14085" max="14085" width="11.85546875" style="1025" customWidth="1"/>
    <col min="14086" max="14086" width="12.7109375" style="1025" bestFit="1" customWidth="1"/>
    <col min="14087" max="14337" width="9.140625" style="1025"/>
    <col min="14338" max="14338" width="10.5703125" style="1025" bestFit="1" customWidth="1"/>
    <col min="14339" max="14339" width="15" style="1025" bestFit="1" customWidth="1"/>
    <col min="14340" max="14340" width="15.140625" style="1025" bestFit="1" customWidth="1"/>
    <col min="14341" max="14341" width="11.85546875" style="1025" customWidth="1"/>
    <col min="14342" max="14342" width="12.7109375" style="1025" bestFit="1" customWidth="1"/>
    <col min="14343" max="14593" width="9.140625" style="1025"/>
    <col min="14594" max="14594" width="10.5703125" style="1025" bestFit="1" customWidth="1"/>
    <col min="14595" max="14595" width="15" style="1025" bestFit="1" customWidth="1"/>
    <col min="14596" max="14596" width="15.140625" style="1025" bestFit="1" customWidth="1"/>
    <col min="14597" max="14597" width="11.85546875" style="1025" customWidth="1"/>
    <col min="14598" max="14598" width="12.7109375" style="1025" bestFit="1" customWidth="1"/>
    <col min="14599" max="14849" width="9.140625" style="1025"/>
    <col min="14850" max="14850" width="10.5703125" style="1025" bestFit="1" customWidth="1"/>
    <col min="14851" max="14851" width="15" style="1025" bestFit="1" customWidth="1"/>
    <col min="14852" max="14852" width="15.140625" style="1025" bestFit="1" customWidth="1"/>
    <col min="14853" max="14853" width="11.85546875" style="1025" customWidth="1"/>
    <col min="14854" max="14854" width="12.7109375" style="1025" bestFit="1" customWidth="1"/>
    <col min="14855" max="15105" width="9.140625" style="1025"/>
    <col min="15106" max="15106" width="10.5703125" style="1025" bestFit="1" customWidth="1"/>
    <col min="15107" max="15107" width="15" style="1025" bestFit="1" customWidth="1"/>
    <col min="15108" max="15108" width="15.140625" style="1025" bestFit="1" customWidth="1"/>
    <col min="15109" max="15109" width="11.85546875" style="1025" customWidth="1"/>
    <col min="15110" max="15110" width="12.7109375" style="1025" bestFit="1" customWidth="1"/>
    <col min="15111" max="15361" width="9.140625" style="1025"/>
    <col min="15362" max="15362" width="10.5703125" style="1025" bestFit="1" customWidth="1"/>
    <col min="15363" max="15363" width="15" style="1025" bestFit="1" customWidth="1"/>
    <col min="15364" max="15364" width="15.140625" style="1025" bestFit="1" customWidth="1"/>
    <col min="15365" max="15365" width="11.85546875" style="1025" customWidth="1"/>
    <col min="15366" max="15366" width="12.7109375" style="1025" bestFit="1" customWidth="1"/>
    <col min="15367" max="15617" width="9.140625" style="1025"/>
    <col min="15618" max="15618" width="10.5703125" style="1025" bestFit="1" customWidth="1"/>
    <col min="15619" max="15619" width="15" style="1025" bestFit="1" customWidth="1"/>
    <col min="15620" max="15620" width="15.140625" style="1025" bestFit="1" customWidth="1"/>
    <col min="15621" max="15621" width="11.85546875" style="1025" customWidth="1"/>
    <col min="15622" max="15622" width="12.7109375" style="1025" bestFit="1" customWidth="1"/>
    <col min="15623" max="15873" width="9.140625" style="1025"/>
    <col min="15874" max="15874" width="10.5703125" style="1025" bestFit="1" customWidth="1"/>
    <col min="15875" max="15875" width="15" style="1025" bestFit="1" customWidth="1"/>
    <col min="15876" max="15876" width="15.140625" style="1025" bestFit="1" customWidth="1"/>
    <col min="15877" max="15877" width="11.85546875" style="1025" customWidth="1"/>
    <col min="15878" max="15878" width="12.7109375" style="1025" bestFit="1" customWidth="1"/>
    <col min="15879" max="16129" width="9.140625" style="1025"/>
    <col min="16130" max="16130" width="10.5703125" style="1025" bestFit="1" customWidth="1"/>
    <col min="16131" max="16131" width="15" style="1025" bestFit="1" customWidth="1"/>
    <col min="16132" max="16132" width="15.140625" style="1025" bestFit="1" customWidth="1"/>
    <col min="16133" max="16133" width="11.85546875" style="1025" customWidth="1"/>
    <col min="16134" max="16134" width="12.7109375" style="1025" bestFit="1" customWidth="1"/>
    <col min="16135" max="16384" width="9.140625" style="1025"/>
  </cols>
  <sheetData>
    <row r="1" spans="1:6" x14ac:dyDescent="0.2">
      <c r="A1" s="1154" t="s">
        <v>405</v>
      </c>
      <c r="B1" s="1154"/>
      <c r="C1" s="1154"/>
      <c r="D1" s="1154"/>
      <c r="E1" s="1154"/>
      <c r="F1" s="1154"/>
    </row>
    <row r="2" spans="1:6" x14ac:dyDescent="0.2">
      <c r="A2" s="1154" t="s">
        <v>407</v>
      </c>
      <c r="B2" s="1154"/>
      <c r="C2" s="1154"/>
      <c r="D2" s="1154"/>
      <c r="E2" s="1154"/>
      <c r="F2" s="1154"/>
    </row>
    <row r="3" spans="1:6" x14ac:dyDescent="0.2">
      <c r="A3" s="1155" t="s">
        <v>408</v>
      </c>
      <c r="B3" s="1154"/>
      <c r="C3" s="1154"/>
      <c r="D3" s="1154"/>
      <c r="E3" s="1154"/>
      <c r="F3" s="1154"/>
    </row>
    <row r="4" spans="1:6" x14ac:dyDescent="0.2">
      <c r="A4" s="1156"/>
      <c r="B4" s="1156"/>
      <c r="C4" s="1157"/>
      <c r="D4" s="1156"/>
      <c r="E4" s="1156"/>
    </row>
    <row r="5" spans="1:6" x14ac:dyDescent="0.2">
      <c r="A5" s="1114"/>
      <c r="B5" s="1114"/>
      <c r="C5" s="1158" t="s">
        <v>410</v>
      </c>
      <c r="D5" s="1114"/>
      <c r="E5" s="1159"/>
    </row>
    <row r="6" spans="1:6" x14ac:dyDescent="0.2">
      <c r="A6" s="1119" t="s">
        <v>415</v>
      </c>
      <c r="B6" s="1119" t="s">
        <v>411</v>
      </c>
      <c r="C6" s="1119" t="s">
        <v>408</v>
      </c>
      <c r="D6" s="1119" t="s">
        <v>412</v>
      </c>
      <c r="E6" s="1159"/>
    </row>
    <row r="7" spans="1:6" x14ac:dyDescent="0.2">
      <c r="A7" s="1025" t="s">
        <v>418</v>
      </c>
      <c r="B7" s="1074" t="s">
        <v>416</v>
      </c>
      <c r="C7" s="1160">
        <v>1825922.2034282696</v>
      </c>
      <c r="D7" s="295">
        <v>79029</v>
      </c>
      <c r="E7" s="1026"/>
    </row>
    <row r="8" spans="1:6" x14ac:dyDescent="0.2">
      <c r="A8" s="1025" t="s">
        <v>418</v>
      </c>
      <c r="B8" s="1074" t="s">
        <v>419</v>
      </c>
      <c r="C8" s="1160">
        <v>197492140.51019508</v>
      </c>
      <c r="D8" s="295">
        <v>11326157</v>
      </c>
      <c r="E8" s="1026"/>
    </row>
    <row r="9" spans="1:6" x14ac:dyDescent="0.2">
      <c r="A9" s="1025" t="s">
        <v>422</v>
      </c>
      <c r="B9" s="1074" t="s">
        <v>421</v>
      </c>
      <c r="C9" s="1160">
        <v>502674946.35409522</v>
      </c>
      <c r="D9" s="295">
        <v>24758100</v>
      </c>
      <c r="E9" s="1026"/>
    </row>
    <row r="10" spans="1:6" x14ac:dyDescent="0.2">
      <c r="A10" s="1025" t="s">
        <v>422</v>
      </c>
      <c r="B10" s="1074" t="s">
        <v>423</v>
      </c>
      <c r="C10" s="1160">
        <v>3010322.9003042709</v>
      </c>
      <c r="D10" s="295">
        <v>62959</v>
      </c>
      <c r="E10" s="1026"/>
    </row>
    <row r="11" spans="1:6" x14ac:dyDescent="0.2">
      <c r="A11" s="1025" t="s">
        <v>425</v>
      </c>
      <c r="B11" s="1074" t="s">
        <v>424</v>
      </c>
      <c r="C11" s="1160">
        <v>207947381.60283411</v>
      </c>
      <c r="D11" s="295">
        <v>5443203</v>
      </c>
    </row>
    <row r="12" spans="1:6" x14ac:dyDescent="0.2">
      <c r="A12" s="1025" t="s">
        <v>425</v>
      </c>
      <c r="B12" s="1074" t="s">
        <v>426</v>
      </c>
      <c r="C12" s="1160">
        <v>180764525.59765822</v>
      </c>
      <c r="D12" s="295">
        <v>2328071</v>
      </c>
    </row>
    <row r="13" spans="1:6" x14ac:dyDescent="0.2">
      <c r="A13" s="1025" t="s">
        <v>425</v>
      </c>
      <c r="B13" s="1074" t="s">
        <v>427</v>
      </c>
      <c r="C13" s="1160">
        <v>71563714.955624402</v>
      </c>
      <c r="D13" s="295">
        <v>613203</v>
      </c>
    </row>
    <row r="14" spans="1:6" x14ac:dyDescent="0.2">
      <c r="A14" s="1025" t="s">
        <v>418</v>
      </c>
      <c r="B14" s="1074" t="s">
        <v>429</v>
      </c>
      <c r="C14" s="1160">
        <v>143766505.05580387</v>
      </c>
      <c r="D14" s="295">
        <v>5043254</v>
      </c>
    </row>
    <row r="15" spans="1:6" x14ac:dyDescent="0.2">
      <c r="A15" s="1025" t="s">
        <v>418</v>
      </c>
      <c r="B15" s="1074" t="s">
        <v>417</v>
      </c>
      <c r="C15" s="1160">
        <v>137046525.1785689</v>
      </c>
      <c r="D15" s="295">
        <v>8126810.8236517645</v>
      </c>
    </row>
    <row r="16" spans="1:6" x14ac:dyDescent="0.2">
      <c r="A16" s="1025" t="s">
        <v>422</v>
      </c>
      <c r="B16" s="1074" t="s">
        <v>420</v>
      </c>
      <c r="C16" s="1160">
        <v>131533048.9582525</v>
      </c>
      <c r="D16" s="295">
        <v>4014065.1763482355</v>
      </c>
    </row>
    <row r="17" spans="1:6" x14ac:dyDescent="0.2">
      <c r="A17" s="1025" t="s">
        <v>422</v>
      </c>
      <c r="B17" s="1074" t="s">
        <v>430</v>
      </c>
      <c r="C17" s="1160">
        <v>694906.38665277371</v>
      </c>
      <c r="D17" s="295">
        <v>16798</v>
      </c>
    </row>
    <row r="18" spans="1:6" x14ac:dyDescent="0.2">
      <c r="A18" s="1025" t="s">
        <v>425</v>
      </c>
      <c r="B18" s="1074" t="s">
        <v>431</v>
      </c>
      <c r="C18" s="1160">
        <v>154765370.95836532</v>
      </c>
      <c r="D18" s="295">
        <v>2851488</v>
      </c>
    </row>
    <row r="19" spans="1:6" x14ac:dyDescent="0.2">
      <c r="A19" s="1025" t="s">
        <v>425</v>
      </c>
      <c r="B19" s="1074" t="s">
        <v>432</v>
      </c>
      <c r="C19" s="1160">
        <v>9413432.4178321678</v>
      </c>
      <c r="D19" s="295">
        <v>135977</v>
      </c>
    </row>
    <row r="20" spans="1:6" x14ac:dyDescent="0.2">
      <c r="A20" s="1025" t="s">
        <v>425</v>
      </c>
      <c r="B20" s="1074" t="s">
        <v>433</v>
      </c>
      <c r="C20" s="1160">
        <v>169339767.21736005</v>
      </c>
      <c r="D20" s="295">
        <v>1962418</v>
      </c>
    </row>
    <row r="21" spans="1:6" x14ac:dyDescent="0.2">
      <c r="A21" s="1025" t="s">
        <v>425</v>
      </c>
      <c r="B21" s="1074" t="s">
        <v>434</v>
      </c>
      <c r="C21" s="1160">
        <v>127526624.55614603</v>
      </c>
      <c r="D21" s="295">
        <v>793458</v>
      </c>
    </row>
    <row r="22" spans="1:6" x14ac:dyDescent="0.2">
      <c r="A22" s="1025" t="s">
        <v>425</v>
      </c>
      <c r="B22" s="1074" t="s">
        <v>435</v>
      </c>
      <c r="C22" s="1160">
        <v>191729936.14328754</v>
      </c>
      <c r="D22" s="295">
        <v>719737</v>
      </c>
    </row>
    <row r="23" spans="1:6" x14ac:dyDescent="0.2">
      <c r="A23" s="1025" t="s">
        <v>425</v>
      </c>
      <c r="B23" s="1074" t="s">
        <v>436</v>
      </c>
      <c r="C23" s="1160">
        <v>280753697.96250969</v>
      </c>
      <c r="D23" s="295">
        <v>777128</v>
      </c>
    </row>
    <row r="24" spans="1:6" x14ac:dyDescent="0.2">
      <c r="A24" s="1025" t="s">
        <v>425</v>
      </c>
      <c r="B24" s="1074" t="s">
        <v>437</v>
      </c>
      <c r="C24" s="1161">
        <v>12724539.878973039</v>
      </c>
      <c r="D24" s="1151">
        <v>39242</v>
      </c>
    </row>
    <row r="25" spans="1:6" x14ac:dyDescent="0.2">
      <c r="B25" s="1074" t="s">
        <v>23</v>
      </c>
      <c r="C25" s="1162">
        <f>SUM(C7:C24)</f>
        <v>2524573308.8378911</v>
      </c>
      <c r="D25" s="1163">
        <f>SUM(D7:D24)</f>
        <v>69091098</v>
      </c>
    </row>
    <row r="26" spans="1:6" x14ac:dyDescent="0.2">
      <c r="B26" s="1074" t="s">
        <v>131</v>
      </c>
      <c r="C26" s="1160">
        <f>C25-2524573308.84</f>
        <v>-2.1090507507324219E-3</v>
      </c>
      <c r="D26" s="1164">
        <f>D25-69091098</f>
        <v>0</v>
      </c>
    </row>
    <row r="28" spans="1:6" x14ac:dyDescent="0.2">
      <c r="A28" s="1076"/>
      <c r="B28" s="1076"/>
      <c r="C28" s="1076"/>
      <c r="D28" s="1076"/>
      <c r="E28" s="1076" t="s">
        <v>93</v>
      </c>
      <c r="F28" s="1076" t="s">
        <v>93</v>
      </c>
    </row>
    <row r="29" spans="1:6" x14ac:dyDescent="0.2">
      <c r="A29" s="1029" t="s">
        <v>415</v>
      </c>
      <c r="B29" s="1029" t="s">
        <v>438</v>
      </c>
      <c r="C29" s="1029" t="s">
        <v>315</v>
      </c>
      <c r="D29" s="1029" t="s">
        <v>413</v>
      </c>
      <c r="E29" s="1029" t="s">
        <v>414</v>
      </c>
      <c r="F29" s="1029" t="s">
        <v>412</v>
      </c>
    </row>
    <row r="30" spans="1:6" x14ac:dyDescent="0.2">
      <c r="A30" s="1032" t="s">
        <v>418</v>
      </c>
      <c r="B30" s="1081" t="s">
        <v>439</v>
      </c>
      <c r="C30" s="238">
        <f t="shared" ref="C30:D32" si="0">SUMIF($A$7:$A$24,$A30,C$7:C$24)</f>
        <v>480131092.94799608</v>
      </c>
      <c r="D30" s="295">
        <f t="shared" si="0"/>
        <v>24575250.823651765</v>
      </c>
      <c r="E30" s="239">
        <f t="shared" ref="E30:F32" si="1">C30/C$33</f>
        <v>0.19018306628972859</v>
      </c>
      <c r="F30" s="239">
        <f t="shared" si="1"/>
        <v>0.35569344727524471</v>
      </c>
    </row>
    <row r="31" spans="1:6" x14ac:dyDescent="0.2">
      <c r="A31" s="1032" t="s">
        <v>422</v>
      </c>
      <c r="B31" s="1165" t="s">
        <v>440</v>
      </c>
      <c r="C31" s="238">
        <f t="shared" si="0"/>
        <v>637913224.5993048</v>
      </c>
      <c r="D31" s="295">
        <f t="shared" si="0"/>
        <v>28851922.176348235</v>
      </c>
      <c r="E31" s="239">
        <f t="shared" si="1"/>
        <v>0.2526816006356925</v>
      </c>
      <c r="F31" s="239">
        <f t="shared" si="1"/>
        <v>0.41759246866142197</v>
      </c>
    </row>
    <row r="32" spans="1:6" x14ac:dyDescent="0.2">
      <c r="A32" s="1026" t="s">
        <v>425</v>
      </c>
      <c r="B32" s="1166" t="s">
        <v>441</v>
      </c>
      <c r="C32" s="242">
        <f t="shared" si="0"/>
        <v>1406528991.2905903</v>
      </c>
      <c r="D32" s="1151">
        <f t="shared" si="0"/>
        <v>15663925</v>
      </c>
      <c r="E32" s="243">
        <f t="shared" si="1"/>
        <v>0.55713533307457896</v>
      </c>
      <c r="F32" s="243">
        <f t="shared" si="1"/>
        <v>0.22671408406333332</v>
      </c>
    </row>
    <row r="33" spans="2:6" x14ac:dyDescent="0.2">
      <c r="B33" s="1025" t="s">
        <v>23</v>
      </c>
      <c r="C33" s="1160">
        <f>SUM(C30:C32)</f>
        <v>2524573308.8378911</v>
      </c>
      <c r="D33" s="1071">
        <f>SUM(D30:D32)</f>
        <v>69091098</v>
      </c>
      <c r="E33" s="1152">
        <f>SUM(E30:E32)</f>
        <v>1</v>
      </c>
      <c r="F33" s="1152">
        <f>SUM(F30:F32)</f>
        <v>1</v>
      </c>
    </row>
    <row r="34" spans="2:6" x14ac:dyDescent="0.2">
      <c r="B34" s="1025" t="s">
        <v>131</v>
      </c>
      <c r="C34" s="1073">
        <f>C33-C25</f>
        <v>0</v>
      </c>
      <c r="D34" s="1071">
        <f>D33-D25</f>
        <v>0</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B1:P66"/>
  <sheetViews>
    <sheetView zoomScaleNormal="100" workbookViewId="0">
      <pane xSplit="6" ySplit="6" topLeftCell="G7"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1" width="4.140625" style="1025" customWidth="1"/>
    <col min="2" max="2" width="6.140625" style="1025" customWidth="1"/>
    <col min="3" max="3" width="29.85546875" style="1025" customWidth="1"/>
    <col min="4" max="4" width="17.7109375" style="1025" bestFit="1" customWidth="1"/>
    <col min="5" max="5" width="7.42578125" style="1025" bestFit="1" customWidth="1"/>
    <col min="6" max="6" width="21.7109375" style="1025" bestFit="1" customWidth="1"/>
    <col min="7" max="9" width="15.140625" style="1025" bestFit="1" customWidth="1"/>
    <col min="10" max="10" width="12.28515625" style="1025" customWidth="1"/>
    <col min="11" max="11" width="12.42578125" style="1025" customWidth="1"/>
    <col min="12" max="12" width="13" style="1025" customWidth="1"/>
    <col min="13" max="13" width="12.140625" style="1025" customWidth="1"/>
    <col min="14" max="14" width="11.5703125" style="1025" customWidth="1"/>
    <col min="15" max="15" width="12.42578125" style="1025" bestFit="1" customWidth="1"/>
    <col min="16" max="16" width="15" style="1025" bestFit="1" customWidth="1"/>
    <col min="17" max="256" width="9.140625" style="1025"/>
    <col min="257" max="257" width="4.140625" style="1025" customWidth="1"/>
    <col min="258" max="258" width="6.140625" style="1025" customWidth="1"/>
    <col min="259" max="259" width="29.85546875" style="1025" customWidth="1"/>
    <col min="260" max="260" width="17.7109375" style="1025" bestFit="1" customWidth="1"/>
    <col min="261" max="261" width="7.42578125" style="1025" bestFit="1" customWidth="1"/>
    <col min="262" max="262" width="21.7109375" style="1025" bestFit="1" customWidth="1"/>
    <col min="263" max="265" width="15.140625" style="1025" bestFit="1" customWidth="1"/>
    <col min="266" max="266" width="12.28515625" style="1025" customWidth="1"/>
    <col min="267" max="267" width="12.42578125" style="1025" customWidth="1"/>
    <col min="268" max="268" width="13" style="1025" customWidth="1"/>
    <col min="269" max="269" width="12.140625" style="1025" customWidth="1"/>
    <col min="270" max="270" width="11.5703125" style="1025" customWidth="1"/>
    <col min="271" max="271" width="12.42578125" style="1025" bestFit="1" customWidth="1"/>
    <col min="272" max="272" width="15" style="1025" bestFit="1" customWidth="1"/>
    <col min="273" max="512" width="9.140625" style="1025"/>
    <col min="513" max="513" width="4.140625" style="1025" customWidth="1"/>
    <col min="514" max="514" width="6.140625" style="1025" customWidth="1"/>
    <col min="515" max="515" width="29.85546875" style="1025" customWidth="1"/>
    <col min="516" max="516" width="17.7109375" style="1025" bestFit="1" customWidth="1"/>
    <col min="517" max="517" width="7.42578125" style="1025" bestFit="1" customWidth="1"/>
    <col min="518" max="518" width="21.7109375" style="1025" bestFit="1" customWidth="1"/>
    <col min="519" max="521" width="15.140625" style="1025" bestFit="1" customWidth="1"/>
    <col min="522" max="522" width="12.28515625" style="1025" customWidth="1"/>
    <col min="523" max="523" width="12.42578125" style="1025" customWidth="1"/>
    <col min="524" max="524" width="13" style="1025" customWidth="1"/>
    <col min="525" max="525" width="12.140625" style="1025" customWidth="1"/>
    <col min="526" max="526" width="11.5703125" style="1025" customWidth="1"/>
    <col min="527" max="527" width="12.42578125" style="1025" bestFit="1" customWidth="1"/>
    <col min="528" max="528" width="15" style="1025" bestFit="1" customWidth="1"/>
    <col min="529" max="768" width="9.140625" style="1025"/>
    <col min="769" max="769" width="4.140625" style="1025" customWidth="1"/>
    <col min="770" max="770" width="6.140625" style="1025" customWidth="1"/>
    <col min="771" max="771" width="29.85546875" style="1025" customWidth="1"/>
    <col min="772" max="772" width="17.7109375" style="1025" bestFit="1" customWidth="1"/>
    <col min="773" max="773" width="7.42578125" style="1025" bestFit="1" customWidth="1"/>
    <col min="774" max="774" width="21.7109375" style="1025" bestFit="1" customWidth="1"/>
    <col min="775" max="777" width="15.140625" style="1025" bestFit="1" customWidth="1"/>
    <col min="778" max="778" width="12.28515625" style="1025" customWidth="1"/>
    <col min="779" max="779" width="12.42578125" style="1025" customWidth="1"/>
    <col min="780" max="780" width="13" style="1025" customWidth="1"/>
    <col min="781" max="781" width="12.140625" style="1025" customWidth="1"/>
    <col min="782" max="782" width="11.5703125" style="1025" customWidth="1"/>
    <col min="783" max="783" width="12.42578125" style="1025" bestFit="1" customWidth="1"/>
    <col min="784" max="784" width="15" style="1025" bestFit="1" customWidth="1"/>
    <col min="785" max="1024" width="9.140625" style="1025"/>
    <col min="1025" max="1025" width="4.140625" style="1025" customWidth="1"/>
    <col min="1026" max="1026" width="6.140625" style="1025" customWidth="1"/>
    <col min="1027" max="1027" width="29.85546875" style="1025" customWidth="1"/>
    <col min="1028" max="1028" width="17.7109375" style="1025" bestFit="1" customWidth="1"/>
    <col min="1029" max="1029" width="7.42578125" style="1025" bestFit="1" customWidth="1"/>
    <col min="1030" max="1030" width="21.7109375" style="1025" bestFit="1" customWidth="1"/>
    <col min="1031" max="1033" width="15.140625" style="1025" bestFit="1" customWidth="1"/>
    <col min="1034" max="1034" width="12.28515625" style="1025" customWidth="1"/>
    <col min="1035" max="1035" width="12.42578125" style="1025" customWidth="1"/>
    <col min="1036" max="1036" width="13" style="1025" customWidth="1"/>
    <col min="1037" max="1037" width="12.140625" style="1025" customWidth="1"/>
    <col min="1038" max="1038" width="11.5703125" style="1025" customWidth="1"/>
    <col min="1039" max="1039" width="12.42578125" style="1025" bestFit="1" customWidth="1"/>
    <col min="1040" max="1040" width="15" style="1025" bestFit="1" customWidth="1"/>
    <col min="1041" max="1280" width="9.140625" style="1025"/>
    <col min="1281" max="1281" width="4.140625" style="1025" customWidth="1"/>
    <col min="1282" max="1282" width="6.140625" style="1025" customWidth="1"/>
    <col min="1283" max="1283" width="29.85546875" style="1025" customWidth="1"/>
    <col min="1284" max="1284" width="17.7109375" style="1025" bestFit="1" customWidth="1"/>
    <col min="1285" max="1285" width="7.42578125" style="1025" bestFit="1" customWidth="1"/>
    <col min="1286" max="1286" width="21.7109375" style="1025" bestFit="1" customWidth="1"/>
    <col min="1287" max="1289" width="15.140625" style="1025" bestFit="1" customWidth="1"/>
    <col min="1290" max="1290" width="12.28515625" style="1025" customWidth="1"/>
    <col min="1291" max="1291" width="12.42578125" style="1025" customWidth="1"/>
    <col min="1292" max="1292" width="13" style="1025" customWidth="1"/>
    <col min="1293" max="1293" width="12.140625" style="1025" customWidth="1"/>
    <col min="1294" max="1294" width="11.5703125" style="1025" customWidth="1"/>
    <col min="1295" max="1295" width="12.42578125" style="1025" bestFit="1" customWidth="1"/>
    <col min="1296" max="1296" width="15" style="1025" bestFit="1" customWidth="1"/>
    <col min="1297" max="1536" width="9.140625" style="1025"/>
    <col min="1537" max="1537" width="4.140625" style="1025" customWidth="1"/>
    <col min="1538" max="1538" width="6.140625" style="1025" customWidth="1"/>
    <col min="1539" max="1539" width="29.85546875" style="1025" customWidth="1"/>
    <col min="1540" max="1540" width="17.7109375" style="1025" bestFit="1" customWidth="1"/>
    <col min="1541" max="1541" width="7.42578125" style="1025" bestFit="1" customWidth="1"/>
    <col min="1542" max="1542" width="21.7109375" style="1025" bestFit="1" customWidth="1"/>
    <col min="1543" max="1545" width="15.140625" style="1025" bestFit="1" customWidth="1"/>
    <col min="1546" max="1546" width="12.28515625" style="1025" customWidth="1"/>
    <col min="1547" max="1547" width="12.42578125" style="1025" customWidth="1"/>
    <col min="1548" max="1548" width="13" style="1025" customWidth="1"/>
    <col min="1549" max="1549" width="12.140625" style="1025" customWidth="1"/>
    <col min="1550" max="1550" width="11.5703125" style="1025" customWidth="1"/>
    <col min="1551" max="1551" width="12.42578125" style="1025" bestFit="1" customWidth="1"/>
    <col min="1552" max="1552" width="15" style="1025" bestFit="1" customWidth="1"/>
    <col min="1553" max="1792" width="9.140625" style="1025"/>
    <col min="1793" max="1793" width="4.140625" style="1025" customWidth="1"/>
    <col min="1794" max="1794" width="6.140625" style="1025" customWidth="1"/>
    <col min="1795" max="1795" width="29.85546875" style="1025" customWidth="1"/>
    <col min="1796" max="1796" width="17.7109375" style="1025" bestFit="1" customWidth="1"/>
    <col min="1797" max="1797" width="7.42578125" style="1025" bestFit="1" customWidth="1"/>
    <col min="1798" max="1798" width="21.7109375" style="1025" bestFit="1" customWidth="1"/>
    <col min="1799" max="1801" width="15.140625" style="1025" bestFit="1" customWidth="1"/>
    <col min="1802" max="1802" width="12.28515625" style="1025" customWidth="1"/>
    <col min="1803" max="1803" width="12.42578125" style="1025" customWidth="1"/>
    <col min="1804" max="1804" width="13" style="1025" customWidth="1"/>
    <col min="1805" max="1805" width="12.140625" style="1025" customWidth="1"/>
    <col min="1806" max="1806" width="11.5703125" style="1025" customWidth="1"/>
    <col min="1807" max="1807" width="12.42578125" style="1025" bestFit="1" customWidth="1"/>
    <col min="1808" max="1808" width="15" style="1025" bestFit="1" customWidth="1"/>
    <col min="1809" max="2048" width="9.140625" style="1025"/>
    <col min="2049" max="2049" width="4.140625" style="1025" customWidth="1"/>
    <col min="2050" max="2050" width="6.140625" style="1025" customWidth="1"/>
    <col min="2051" max="2051" width="29.85546875" style="1025" customWidth="1"/>
    <col min="2052" max="2052" width="17.7109375" style="1025" bestFit="1" customWidth="1"/>
    <col min="2053" max="2053" width="7.42578125" style="1025" bestFit="1" customWidth="1"/>
    <col min="2054" max="2054" width="21.7109375" style="1025" bestFit="1" customWidth="1"/>
    <col min="2055" max="2057" width="15.140625" style="1025" bestFit="1" customWidth="1"/>
    <col min="2058" max="2058" width="12.28515625" style="1025" customWidth="1"/>
    <col min="2059" max="2059" width="12.42578125" style="1025" customWidth="1"/>
    <col min="2060" max="2060" width="13" style="1025" customWidth="1"/>
    <col min="2061" max="2061" width="12.140625" style="1025" customWidth="1"/>
    <col min="2062" max="2062" width="11.5703125" style="1025" customWidth="1"/>
    <col min="2063" max="2063" width="12.42578125" style="1025" bestFit="1" customWidth="1"/>
    <col min="2064" max="2064" width="15" style="1025" bestFit="1" customWidth="1"/>
    <col min="2065" max="2304" width="9.140625" style="1025"/>
    <col min="2305" max="2305" width="4.140625" style="1025" customWidth="1"/>
    <col min="2306" max="2306" width="6.140625" style="1025" customWidth="1"/>
    <col min="2307" max="2307" width="29.85546875" style="1025" customWidth="1"/>
    <col min="2308" max="2308" width="17.7109375" style="1025" bestFit="1" customWidth="1"/>
    <col min="2309" max="2309" width="7.42578125" style="1025" bestFit="1" customWidth="1"/>
    <col min="2310" max="2310" width="21.7109375" style="1025" bestFit="1" customWidth="1"/>
    <col min="2311" max="2313" width="15.140625" style="1025" bestFit="1" customWidth="1"/>
    <col min="2314" max="2314" width="12.28515625" style="1025" customWidth="1"/>
    <col min="2315" max="2315" width="12.42578125" style="1025" customWidth="1"/>
    <col min="2316" max="2316" width="13" style="1025" customWidth="1"/>
    <col min="2317" max="2317" width="12.140625" style="1025" customWidth="1"/>
    <col min="2318" max="2318" width="11.5703125" style="1025" customWidth="1"/>
    <col min="2319" max="2319" width="12.42578125" style="1025" bestFit="1" customWidth="1"/>
    <col min="2320" max="2320" width="15" style="1025" bestFit="1" customWidth="1"/>
    <col min="2321" max="2560" width="9.140625" style="1025"/>
    <col min="2561" max="2561" width="4.140625" style="1025" customWidth="1"/>
    <col min="2562" max="2562" width="6.140625" style="1025" customWidth="1"/>
    <col min="2563" max="2563" width="29.85546875" style="1025" customWidth="1"/>
    <col min="2564" max="2564" width="17.7109375" style="1025" bestFit="1" customWidth="1"/>
    <col min="2565" max="2565" width="7.42578125" style="1025" bestFit="1" customWidth="1"/>
    <col min="2566" max="2566" width="21.7109375" style="1025" bestFit="1" customWidth="1"/>
    <col min="2567" max="2569" width="15.140625" style="1025" bestFit="1" customWidth="1"/>
    <col min="2570" max="2570" width="12.28515625" style="1025" customWidth="1"/>
    <col min="2571" max="2571" width="12.42578125" style="1025" customWidth="1"/>
    <col min="2572" max="2572" width="13" style="1025" customWidth="1"/>
    <col min="2573" max="2573" width="12.140625" style="1025" customWidth="1"/>
    <col min="2574" max="2574" width="11.5703125" style="1025" customWidth="1"/>
    <col min="2575" max="2575" width="12.42578125" style="1025" bestFit="1" customWidth="1"/>
    <col min="2576" max="2576" width="15" style="1025" bestFit="1" customWidth="1"/>
    <col min="2577" max="2816" width="9.140625" style="1025"/>
    <col min="2817" max="2817" width="4.140625" style="1025" customWidth="1"/>
    <col min="2818" max="2818" width="6.140625" style="1025" customWidth="1"/>
    <col min="2819" max="2819" width="29.85546875" style="1025" customWidth="1"/>
    <col min="2820" max="2820" width="17.7109375" style="1025" bestFit="1" customWidth="1"/>
    <col min="2821" max="2821" width="7.42578125" style="1025" bestFit="1" customWidth="1"/>
    <col min="2822" max="2822" width="21.7109375" style="1025" bestFit="1" customWidth="1"/>
    <col min="2823" max="2825" width="15.140625" style="1025" bestFit="1" customWidth="1"/>
    <col min="2826" max="2826" width="12.28515625" style="1025" customWidth="1"/>
    <col min="2827" max="2827" width="12.42578125" style="1025" customWidth="1"/>
    <col min="2828" max="2828" width="13" style="1025" customWidth="1"/>
    <col min="2829" max="2829" width="12.140625" style="1025" customWidth="1"/>
    <col min="2830" max="2830" width="11.5703125" style="1025" customWidth="1"/>
    <col min="2831" max="2831" width="12.42578125" style="1025" bestFit="1" customWidth="1"/>
    <col min="2832" max="2832" width="15" style="1025" bestFit="1" customWidth="1"/>
    <col min="2833" max="3072" width="9.140625" style="1025"/>
    <col min="3073" max="3073" width="4.140625" style="1025" customWidth="1"/>
    <col min="3074" max="3074" width="6.140625" style="1025" customWidth="1"/>
    <col min="3075" max="3075" width="29.85546875" style="1025" customWidth="1"/>
    <col min="3076" max="3076" width="17.7109375" style="1025" bestFit="1" customWidth="1"/>
    <col min="3077" max="3077" width="7.42578125" style="1025" bestFit="1" customWidth="1"/>
    <col min="3078" max="3078" width="21.7109375" style="1025" bestFit="1" customWidth="1"/>
    <col min="3079" max="3081" width="15.140625" style="1025" bestFit="1" customWidth="1"/>
    <col min="3082" max="3082" width="12.28515625" style="1025" customWidth="1"/>
    <col min="3083" max="3083" width="12.42578125" style="1025" customWidth="1"/>
    <col min="3084" max="3084" width="13" style="1025" customWidth="1"/>
    <col min="3085" max="3085" width="12.140625" style="1025" customWidth="1"/>
    <col min="3086" max="3086" width="11.5703125" style="1025" customWidth="1"/>
    <col min="3087" max="3087" width="12.42578125" style="1025" bestFit="1" customWidth="1"/>
    <col min="3088" max="3088" width="15" style="1025" bestFit="1" customWidth="1"/>
    <col min="3089" max="3328" width="9.140625" style="1025"/>
    <col min="3329" max="3329" width="4.140625" style="1025" customWidth="1"/>
    <col min="3330" max="3330" width="6.140625" style="1025" customWidth="1"/>
    <col min="3331" max="3331" width="29.85546875" style="1025" customWidth="1"/>
    <col min="3332" max="3332" width="17.7109375" style="1025" bestFit="1" customWidth="1"/>
    <col min="3333" max="3333" width="7.42578125" style="1025" bestFit="1" customWidth="1"/>
    <col min="3334" max="3334" width="21.7109375" style="1025" bestFit="1" customWidth="1"/>
    <col min="3335" max="3337" width="15.140625" style="1025" bestFit="1" customWidth="1"/>
    <col min="3338" max="3338" width="12.28515625" style="1025" customWidth="1"/>
    <col min="3339" max="3339" width="12.42578125" style="1025" customWidth="1"/>
    <col min="3340" max="3340" width="13" style="1025" customWidth="1"/>
    <col min="3341" max="3341" width="12.140625" style="1025" customWidth="1"/>
    <col min="3342" max="3342" width="11.5703125" style="1025" customWidth="1"/>
    <col min="3343" max="3343" width="12.42578125" style="1025" bestFit="1" customWidth="1"/>
    <col min="3344" max="3344" width="15" style="1025" bestFit="1" customWidth="1"/>
    <col min="3345" max="3584" width="9.140625" style="1025"/>
    <col min="3585" max="3585" width="4.140625" style="1025" customWidth="1"/>
    <col min="3586" max="3586" width="6.140625" style="1025" customWidth="1"/>
    <col min="3587" max="3587" width="29.85546875" style="1025" customWidth="1"/>
    <col min="3588" max="3588" width="17.7109375" style="1025" bestFit="1" customWidth="1"/>
    <col min="3589" max="3589" width="7.42578125" style="1025" bestFit="1" customWidth="1"/>
    <col min="3590" max="3590" width="21.7109375" style="1025" bestFit="1" customWidth="1"/>
    <col min="3591" max="3593" width="15.140625" style="1025" bestFit="1" customWidth="1"/>
    <col min="3594" max="3594" width="12.28515625" style="1025" customWidth="1"/>
    <col min="3595" max="3595" width="12.42578125" style="1025" customWidth="1"/>
    <col min="3596" max="3596" width="13" style="1025" customWidth="1"/>
    <col min="3597" max="3597" width="12.140625" style="1025" customWidth="1"/>
    <col min="3598" max="3598" width="11.5703125" style="1025" customWidth="1"/>
    <col min="3599" max="3599" width="12.42578125" style="1025" bestFit="1" customWidth="1"/>
    <col min="3600" max="3600" width="15" style="1025" bestFit="1" customWidth="1"/>
    <col min="3601" max="3840" width="9.140625" style="1025"/>
    <col min="3841" max="3841" width="4.140625" style="1025" customWidth="1"/>
    <col min="3842" max="3842" width="6.140625" style="1025" customWidth="1"/>
    <col min="3843" max="3843" width="29.85546875" style="1025" customWidth="1"/>
    <col min="3844" max="3844" width="17.7109375" style="1025" bestFit="1" customWidth="1"/>
    <col min="3845" max="3845" width="7.42578125" style="1025" bestFit="1" customWidth="1"/>
    <col min="3846" max="3846" width="21.7109375" style="1025" bestFit="1" customWidth="1"/>
    <col min="3847" max="3849" width="15.140625" style="1025" bestFit="1" customWidth="1"/>
    <col min="3850" max="3850" width="12.28515625" style="1025" customWidth="1"/>
    <col min="3851" max="3851" width="12.42578125" style="1025" customWidth="1"/>
    <col min="3852" max="3852" width="13" style="1025" customWidth="1"/>
    <col min="3853" max="3853" width="12.140625" style="1025" customWidth="1"/>
    <col min="3854" max="3854" width="11.5703125" style="1025" customWidth="1"/>
    <col min="3855" max="3855" width="12.42578125" style="1025" bestFit="1" customWidth="1"/>
    <col min="3856" max="3856" width="15" style="1025" bestFit="1" customWidth="1"/>
    <col min="3857" max="4096" width="9.140625" style="1025"/>
    <col min="4097" max="4097" width="4.140625" style="1025" customWidth="1"/>
    <col min="4098" max="4098" width="6.140625" style="1025" customWidth="1"/>
    <col min="4099" max="4099" width="29.85546875" style="1025" customWidth="1"/>
    <col min="4100" max="4100" width="17.7109375" style="1025" bestFit="1" customWidth="1"/>
    <col min="4101" max="4101" width="7.42578125" style="1025" bestFit="1" customWidth="1"/>
    <col min="4102" max="4102" width="21.7109375" style="1025" bestFit="1" customWidth="1"/>
    <col min="4103" max="4105" width="15.140625" style="1025" bestFit="1" customWidth="1"/>
    <col min="4106" max="4106" width="12.28515625" style="1025" customWidth="1"/>
    <col min="4107" max="4107" width="12.42578125" style="1025" customWidth="1"/>
    <col min="4108" max="4108" width="13" style="1025" customWidth="1"/>
    <col min="4109" max="4109" width="12.140625" style="1025" customWidth="1"/>
    <col min="4110" max="4110" width="11.5703125" style="1025" customWidth="1"/>
    <col min="4111" max="4111" width="12.42578125" style="1025" bestFit="1" customWidth="1"/>
    <col min="4112" max="4112" width="15" style="1025" bestFit="1" customWidth="1"/>
    <col min="4113" max="4352" width="9.140625" style="1025"/>
    <col min="4353" max="4353" width="4.140625" style="1025" customWidth="1"/>
    <col min="4354" max="4354" width="6.140625" style="1025" customWidth="1"/>
    <col min="4355" max="4355" width="29.85546875" style="1025" customWidth="1"/>
    <col min="4356" max="4356" width="17.7109375" style="1025" bestFit="1" customWidth="1"/>
    <col min="4357" max="4357" width="7.42578125" style="1025" bestFit="1" customWidth="1"/>
    <col min="4358" max="4358" width="21.7109375" style="1025" bestFit="1" customWidth="1"/>
    <col min="4359" max="4361" width="15.140625" style="1025" bestFit="1" customWidth="1"/>
    <col min="4362" max="4362" width="12.28515625" style="1025" customWidth="1"/>
    <col min="4363" max="4363" width="12.42578125" style="1025" customWidth="1"/>
    <col min="4364" max="4364" width="13" style="1025" customWidth="1"/>
    <col min="4365" max="4365" width="12.140625" style="1025" customWidth="1"/>
    <col min="4366" max="4366" width="11.5703125" style="1025" customWidth="1"/>
    <col min="4367" max="4367" width="12.42578125" style="1025" bestFit="1" customWidth="1"/>
    <col min="4368" max="4368" width="15" style="1025" bestFit="1" customWidth="1"/>
    <col min="4369" max="4608" width="9.140625" style="1025"/>
    <col min="4609" max="4609" width="4.140625" style="1025" customWidth="1"/>
    <col min="4610" max="4610" width="6.140625" style="1025" customWidth="1"/>
    <col min="4611" max="4611" width="29.85546875" style="1025" customWidth="1"/>
    <col min="4612" max="4612" width="17.7109375" style="1025" bestFit="1" customWidth="1"/>
    <col min="4613" max="4613" width="7.42578125" style="1025" bestFit="1" customWidth="1"/>
    <col min="4614" max="4614" width="21.7109375" style="1025" bestFit="1" customWidth="1"/>
    <col min="4615" max="4617" width="15.140625" style="1025" bestFit="1" customWidth="1"/>
    <col min="4618" max="4618" width="12.28515625" style="1025" customWidth="1"/>
    <col min="4619" max="4619" width="12.42578125" style="1025" customWidth="1"/>
    <col min="4620" max="4620" width="13" style="1025" customWidth="1"/>
    <col min="4621" max="4621" width="12.140625" style="1025" customWidth="1"/>
    <col min="4622" max="4622" width="11.5703125" style="1025" customWidth="1"/>
    <col min="4623" max="4623" width="12.42578125" style="1025" bestFit="1" customWidth="1"/>
    <col min="4624" max="4624" width="15" style="1025" bestFit="1" customWidth="1"/>
    <col min="4625" max="4864" width="9.140625" style="1025"/>
    <col min="4865" max="4865" width="4.140625" style="1025" customWidth="1"/>
    <col min="4866" max="4866" width="6.140625" style="1025" customWidth="1"/>
    <col min="4867" max="4867" width="29.85546875" style="1025" customWidth="1"/>
    <col min="4868" max="4868" width="17.7109375" style="1025" bestFit="1" customWidth="1"/>
    <col min="4869" max="4869" width="7.42578125" style="1025" bestFit="1" customWidth="1"/>
    <col min="4870" max="4870" width="21.7109375" style="1025" bestFit="1" customWidth="1"/>
    <col min="4871" max="4873" width="15.140625" style="1025" bestFit="1" customWidth="1"/>
    <col min="4874" max="4874" width="12.28515625" style="1025" customWidth="1"/>
    <col min="4875" max="4875" width="12.42578125" style="1025" customWidth="1"/>
    <col min="4876" max="4876" width="13" style="1025" customWidth="1"/>
    <col min="4877" max="4877" width="12.140625" style="1025" customWidth="1"/>
    <col min="4878" max="4878" width="11.5703125" style="1025" customWidth="1"/>
    <col min="4879" max="4879" width="12.42578125" style="1025" bestFit="1" customWidth="1"/>
    <col min="4880" max="4880" width="15" style="1025" bestFit="1" customWidth="1"/>
    <col min="4881" max="5120" width="9.140625" style="1025"/>
    <col min="5121" max="5121" width="4.140625" style="1025" customWidth="1"/>
    <col min="5122" max="5122" width="6.140625" style="1025" customWidth="1"/>
    <col min="5123" max="5123" width="29.85546875" style="1025" customWidth="1"/>
    <col min="5124" max="5124" width="17.7109375" style="1025" bestFit="1" customWidth="1"/>
    <col min="5125" max="5125" width="7.42578125" style="1025" bestFit="1" customWidth="1"/>
    <col min="5126" max="5126" width="21.7109375" style="1025" bestFit="1" customWidth="1"/>
    <col min="5127" max="5129" width="15.140625" style="1025" bestFit="1" customWidth="1"/>
    <col min="5130" max="5130" width="12.28515625" style="1025" customWidth="1"/>
    <col min="5131" max="5131" width="12.42578125" style="1025" customWidth="1"/>
    <col min="5132" max="5132" width="13" style="1025" customWidth="1"/>
    <col min="5133" max="5133" width="12.140625" style="1025" customWidth="1"/>
    <col min="5134" max="5134" width="11.5703125" style="1025" customWidth="1"/>
    <col min="5135" max="5135" width="12.42578125" style="1025" bestFit="1" customWidth="1"/>
    <col min="5136" max="5136" width="15" style="1025" bestFit="1" customWidth="1"/>
    <col min="5137" max="5376" width="9.140625" style="1025"/>
    <col min="5377" max="5377" width="4.140625" style="1025" customWidth="1"/>
    <col min="5378" max="5378" width="6.140625" style="1025" customWidth="1"/>
    <col min="5379" max="5379" width="29.85546875" style="1025" customWidth="1"/>
    <col min="5380" max="5380" width="17.7109375" style="1025" bestFit="1" customWidth="1"/>
    <col min="5381" max="5381" width="7.42578125" style="1025" bestFit="1" customWidth="1"/>
    <col min="5382" max="5382" width="21.7109375" style="1025" bestFit="1" customWidth="1"/>
    <col min="5383" max="5385" width="15.140625" style="1025" bestFit="1" customWidth="1"/>
    <col min="5386" max="5386" width="12.28515625" style="1025" customWidth="1"/>
    <col min="5387" max="5387" width="12.42578125" style="1025" customWidth="1"/>
    <col min="5388" max="5388" width="13" style="1025" customWidth="1"/>
    <col min="5389" max="5389" width="12.140625" style="1025" customWidth="1"/>
    <col min="5390" max="5390" width="11.5703125" style="1025" customWidth="1"/>
    <col min="5391" max="5391" width="12.42578125" style="1025" bestFit="1" customWidth="1"/>
    <col min="5392" max="5392" width="15" style="1025" bestFit="1" customWidth="1"/>
    <col min="5393" max="5632" width="9.140625" style="1025"/>
    <col min="5633" max="5633" width="4.140625" style="1025" customWidth="1"/>
    <col min="5634" max="5634" width="6.140625" style="1025" customWidth="1"/>
    <col min="5635" max="5635" width="29.85546875" style="1025" customWidth="1"/>
    <col min="5636" max="5636" width="17.7109375" style="1025" bestFit="1" customWidth="1"/>
    <col min="5637" max="5637" width="7.42578125" style="1025" bestFit="1" customWidth="1"/>
    <col min="5638" max="5638" width="21.7109375" style="1025" bestFit="1" customWidth="1"/>
    <col min="5639" max="5641" width="15.140625" style="1025" bestFit="1" customWidth="1"/>
    <col min="5642" max="5642" width="12.28515625" style="1025" customWidth="1"/>
    <col min="5643" max="5643" width="12.42578125" style="1025" customWidth="1"/>
    <col min="5644" max="5644" width="13" style="1025" customWidth="1"/>
    <col min="5645" max="5645" width="12.140625" style="1025" customWidth="1"/>
    <col min="5646" max="5646" width="11.5703125" style="1025" customWidth="1"/>
    <col min="5647" max="5647" width="12.42578125" style="1025" bestFit="1" customWidth="1"/>
    <col min="5648" max="5648" width="15" style="1025" bestFit="1" customWidth="1"/>
    <col min="5649" max="5888" width="9.140625" style="1025"/>
    <col min="5889" max="5889" width="4.140625" style="1025" customWidth="1"/>
    <col min="5890" max="5890" width="6.140625" style="1025" customWidth="1"/>
    <col min="5891" max="5891" width="29.85546875" style="1025" customWidth="1"/>
    <col min="5892" max="5892" width="17.7109375" style="1025" bestFit="1" customWidth="1"/>
    <col min="5893" max="5893" width="7.42578125" style="1025" bestFit="1" customWidth="1"/>
    <col min="5894" max="5894" width="21.7109375" style="1025" bestFit="1" customWidth="1"/>
    <col min="5895" max="5897" width="15.140625" style="1025" bestFit="1" customWidth="1"/>
    <col min="5898" max="5898" width="12.28515625" style="1025" customWidth="1"/>
    <col min="5899" max="5899" width="12.42578125" style="1025" customWidth="1"/>
    <col min="5900" max="5900" width="13" style="1025" customWidth="1"/>
    <col min="5901" max="5901" width="12.140625" style="1025" customWidth="1"/>
    <col min="5902" max="5902" width="11.5703125" style="1025" customWidth="1"/>
    <col min="5903" max="5903" width="12.42578125" style="1025" bestFit="1" customWidth="1"/>
    <col min="5904" max="5904" width="15" style="1025" bestFit="1" customWidth="1"/>
    <col min="5905" max="6144" width="9.140625" style="1025"/>
    <col min="6145" max="6145" width="4.140625" style="1025" customWidth="1"/>
    <col min="6146" max="6146" width="6.140625" style="1025" customWidth="1"/>
    <col min="6147" max="6147" width="29.85546875" style="1025" customWidth="1"/>
    <col min="6148" max="6148" width="17.7109375" style="1025" bestFit="1" customWidth="1"/>
    <col min="6149" max="6149" width="7.42578125" style="1025" bestFit="1" customWidth="1"/>
    <col min="6150" max="6150" width="21.7109375" style="1025" bestFit="1" customWidth="1"/>
    <col min="6151" max="6153" width="15.140625" style="1025" bestFit="1" customWidth="1"/>
    <col min="6154" max="6154" width="12.28515625" style="1025" customWidth="1"/>
    <col min="6155" max="6155" width="12.42578125" style="1025" customWidth="1"/>
    <col min="6156" max="6156" width="13" style="1025" customWidth="1"/>
    <col min="6157" max="6157" width="12.140625" style="1025" customWidth="1"/>
    <col min="6158" max="6158" width="11.5703125" style="1025" customWidth="1"/>
    <col min="6159" max="6159" width="12.42578125" style="1025" bestFit="1" customWidth="1"/>
    <col min="6160" max="6160" width="15" style="1025" bestFit="1" customWidth="1"/>
    <col min="6161" max="6400" width="9.140625" style="1025"/>
    <col min="6401" max="6401" width="4.140625" style="1025" customWidth="1"/>
    <col min="6402" max="6402" width="6.140625" style="1025" customWidth="1"/>
    <col min="6403" max="6403" width="29.85546875" style="1025" customWidth="1"/>
    <col min="6404" max="6404" width="17.7109375" style="1025" bestFit="1" customWidth="1"/>
    <col min="6405" max="6405" width="7.42578125" style="1025" bestFit="1" customWidth="1"/>
    <col min="6406" max="6406" width="21.7109375" style="1025" bestFit="1" customWidth="1"/>
    <col min="6407" max="6409" width="15.140625" style="1025" bestFit="1" customWidth="1"/>
    <col min="6410" max="6410" width="12.28515625" style="1025" customWidth="1"/>
    <col min="6411" max="6411" width="12.42578125" style="1025" customWidth="1"/>
    <col min="6412" max="6412" width="13" style="1025" customWidth="1"/>
    <col min="6413" max="6413" width="12.140625" style="1025" customWidth="1"/>
    <col min="6414" max="6414" width="11.5703125" style="1025" customWidth="1"/>
    <col min="6415" max="6415" width="12.42578125" style="1025" bestFit="1" customWidth="1"/>
    <col min="6416" max="6416" width="15" style="1025" bestFit="1" customWidth="1"/>
    <col min="6417" max="6656" width="9.140625" style="1025"/>
    <col min="6657" max="6657" width="4.140625" style="1025" customWidth="1"/>
    <col min="6658" max="6658" width="6.140625" style="1025" customWidth="1"/>
    <col min="6659" max="6659" width="29.85546875" style="1025" customWidth="1"/>
    <col min="6660" max="6660" width="17.7109375" style="1025" bestFit="1" customWidth="1"/>
    <col min="6661" max="6661" width="7.42578125" style="1025" bestFit="1" customWidth="1"/>
    <col min="6662" max="6662" width="21.7109375" style="1025" bestFit="1" customWidth="1"/>
    <col min="6663" max="6665" width="15.140625" style="1025" bestFit="1" customWidth="1"/>
    <col min="6666" max="6666" width="12.28515625" style="1025" customWidth="1"/>
    <col min="6667" max="6667" width="12.42578125" style="1025" customWidth="1"/>
    <col min="6668" max="6668" width="13" style="1025" customWidth="1"/>
    <col min="6669" max="6669" width="12.140625" style="1025" customWidth="1"/>
    <col min="6670" max="6670" width="11.5703125" style="1025" customWidth="1"/>
    <col min="6671" max="6671" width="12.42578125" style="1025" bestFit="1" customWidth="1"/>
    <col min="6672" max="6672" width="15" style="1025" bestFit="1" customWidth="1"/>
    <col min="6673" max="6912" width="9.140625" style="1025"/>
    <col min="6913" max="6913" width="4.140625" style="1025" customWidth="1"/>
    <col min="6914" max="6914" width="6.140625" style="1025" customWidth="1"/>
    <col min="6915" max="6915" width="29.85546875" style="1025" customWidth="1"/>
    <col min="6916" max="6916" width="17.7109375" style="1025" bestFit="1" customWidth="1"/>
    <col min="6917" max="6917" width="7.42578125" style="1025" bestFit="1" customWidth="1"/>
    <col min="6918" max="6918" width="21.7109375" style="1025" bestFit="1" customWidth="1"/>
    <col min="6919" max="6921" width="15.140625" style="1025" bestFit="1" customWidth="1"/>
    <col min="6922" max="6922" width="12.28515625" style="1025" customWidth="1"/>
    <col min="6923" max="6923" width="12.42578125" style="1025" customWidth="1"/>
    <col min="6924" max="6924" width="13" style="1025" customWidth="1"/>
    <col min="6925" max="6925" width="12.140625" style="1025" customWidth="1"/>
    <col min="6926" max="6926" width="11.5703125" style="1025" customWidth="1"/>
    <col min="6927" max="6927" width="12.42578125" style="1025" bestFit="1" customWidth="1"/>
    <col min="6928" max="6928" width="15" style="1025" bestFit="1" customWidth="1"/>
    <col min="6929" max="7168" width="9.140625" style="1025"/>
    <col min="7169" max="7169" width="4.140625" style="1025" customWidth="1"/>
    <col min="7170" max="7170" width="6.140625" style="1025" customWidth="1"/>
    <col min="7171" max="7171" width="29.85546875" style="1025" customWidth="1"/>
    <col min="7172" max="7172" width="17.7109375" style="1025" bestFit="1" customWidth="1"/>
    <col min="7173" max="7173" width="7.42578125" style="1025" bestFit="1" customWidth="1"/>
    <col min="7174" max="7174" width="21.7109375" style="1025" bestFit="1" customWidth="1"/>
    <col min="7175" max="7177" width="15.140625" style="1025" bestFit="1" customWidth="1"/>
    <col min="7178" max="7178" width="12.28515625" style="1025" customWidth="1"/>
    <col min="7179" max="7179" width="12.42578125" style="1025" customWidth="1"/>
    <col min="7180" max="7180" width="13" style="1025" customWidth="1"/>
    <col min="7181" max="7181" width="12.140625" style="1025" customWidth="1"/>
    <col min="7182" max="7182" width="11.5703125" style="1025" customWidth="1"/>
    <col min="7183" max="7183" width="12.42578125" style="1025" bestFit="1" customWidth="1"/>
    <col min="7184" max="7184" width="15" style="1025" bestFit="1" customWidth="1"/>
    <col min="7185" max="7424" width="9.140625" style="1025"/>
    <col min="7425" max="7425" width="4.140625" style="1025" customWidth="1"/>
    <col min="7426" max="7426" width="6.140625" style="1025" customWidth="1"/>
    <col min="7427" max="7427" width="29.85546875" style="1025" customWidth="1"/>
    <col min="7428" max="7428" width="17.7109375" style="1025" bestFit="1" customWidth="1"/>
    <col min="7429" max="7429" width="7.42578125" style="1025" bestFit="1" customWidth="1"/>
    <col min="7430" max="7430" width="21.7109375" style="1025" bestFit="1" customWidth="1"/>
    <col min="7431" max="7433" width="15.140625" style="1025" bestFit="1" customWidth="1"/>
    <col min="7434" max="7434" width="12.28515625" style="1025" customWidth="1"/>
    <col min="7435" max="7435" width="12.42578125" style="1025" customWidth="1"/>
    <col min="7436" max="7436" width="13" style="1025" customWidth="1"/>
    <col min="7437" max="7437" width="12.140625" style="1025" customWidth="1"/>
    <col min="7438" max="7438" width="11.5703125" style="1025" customWidth="1"/>
    <col min="7439" max="7439" width="12.42578125" style="1025" bestFit="1" customWidth="1"/>
    <col min="7440" max="7440" width="15" style="1025" bestFit="1" customWidth="1"/>
    <col min="7441" max="7680" width="9.140625" style="1025"/>
    <col min="7681" max="7681" width="4.140625" style="1025" customWidth="1"/>
    <col min="7682" max="7682" width="6.140625" style="1025" customWidth="1"/>
    <col min="7683" max="7683" width="29.85546875" style="1025" customWidth="1"/>
    <col min="7684" max="7684" width="17.7109375" style="1025" bestFit="1" customWidth="1"/>
    <col min="7685" max="7685" width="7.42578125" style="1025" bestFit="1" customWidth="1"/>
    <col min="7686" max="7686" width="21.7109375" style="1025" bestFit="1" customWidth="1"/>
    <col min="7687" max="7689" width="15.140625" style="1025" bestFit="1" customWidth="1"/>
    <col min="7690" max="7690" width="12.28515625" style="1025" customWidth="1"/>
    <col min="7691" max="7691" width="12.42578125" style="1025" customWidth="1"/>
    <col min="7692" max="7692" width="13" style="1025" customWidth="1"/>
    <col min="7693" max="7693" width="12.140625" style="1025" customWidth="1"/>
    <col min="7694" max="7694" width="11.5703125" style="1025" customWidth="1"/>
    <col min="7695" max="7695" width="12.42578125" style="1025" bestFit="1" customWidth="1"/>
    <col min="7696" max="7696" width="15" style="1025" bestFit="1" customWidth="1"/>
    <col min="7697" max="7936" width="9.140625" style="1025"/>
    <col min="7937" max="7937" width="4.140625" style="1025" customWidth="1"/>
    <col min="7938" max="7938" width="6.140625" style="1025" customWidth="1"/>
    <col min="7939" max="7939" width="29.85546875" style="1025" customWidth="1"/>
    <col min="7940" max="7940" width="17.7109375" style="1025" bestFit="1" customWidth="1"/>
    <col min="7941" max="7941" width="7.42578125" style="1025" bestFit="1" customWidth="1"/>
    <col min="7942" max="7942" width="21.7109375" style="1025" bestFit="1" customWidth="1"/>
    <col min="7943" max="7945" width="15.140625" style="1025" bestFit="1" customWidth="1"/>
    <col min="7946" max="7946" width="12.28515625" style="1025" customWidth="1"/>
    <col min="7947" max="7947" width="12.42578125" style="1025" customWidth="1"/>
    <col min="7948" max="7948" width="13" style="1025" customWidth="1"/>
    <col min="7949" max="7949" width="12.140625" style="1025" customWidth="1"/>
    <col min="7950" max="7950" width="11.5703125" style="1025" customWidth="1"/>
    <col min="7951" max="7951" width="12.42578125" style="1025" bestFit="1" customWidth="1"/>
    <col min="7952" max="7952" width="15" style="1025" bestFit="1" customWidth="1"/>
    <col min="7953" max="8192" width="9.140625" style="1025"/>
    <col min="8193" max="8193" width="4.140625" style="1025" customWidth="1"/>
    <col min="8194" max="8194" width="6.140625" style="1025" customWidth="1"/>
    <col min="8195" max="8195" width="29.85546875" style="1025" customWidth="1"/>
    <col min="8196" max="8196" width="17.7109375" style="1025" bestFit="1" customWidth="1"/>
    <col min="8197" max="8197" width="7.42578125" style="1025" bestFit="1" customWidth="1"/>
    <col min="8198" max="8198" width="21.7109375" style="1025" bestFit="1" customWidth="1"/>
    <col min="8199" max="8201" width="15.140625" style="1025" bestFit="1" customWidth="1"/>
    <col min="8202" max="8202" width="12.28515625" style="1025" customWidth="1"/>
    <col min="8203" max="8203" width="12.42578125" style="1025" customWidth="1"/>
    <col min="8204" max="8204" width="13" style="1025" customWidth="1"/>
    <col min="8205" max="8205" width="12.140625" style="1025" customWidth="1"/>
    <col min="8206" max="8206" width="11.5703125" style="1025" customWidth="1"/>
    <col min="8207" max="8207" width="12.42578125" style="1025" bestFit="1" customWidth="1"/>
    <col min="8208" max="8208" width="15" style="1025" bestFit="1" customWidth="1"/>
    <col min="8209" max="8448" width="9.140625" style="1025"/>
    <col min="8449" max="8449" width="4.140625" style="1025" customWidth="1"/>
    <col min="8450" max="8450" width="6.140625" style="1025" customWidth="1"/>
    <col min="8451" max="8451" width="29.85546875" style="1025" customWidth="1"/>
    <col min="8452" max="8452" width="17.7109375" style="1025" bestFit="1" customWidth="1"/>
    <col min="8453" max="8453" width="7.42578125" style="1025" bestFit="1" customWidth="1"/>
    <col min="8454" max="8454" width="21.7109375" style="1025" bestFit="1" customWidth="1"/>
    <col min="8455" max="8457" width="15.140625" style="1025" bestFit="1" customWidth="1"/>
    <col min="8458" max="8458" width="12.28515625" style="1025" customWidth="1"/>
    <col min="8459" max="8459" width="12.42578125" style="1025" customWidth="1"/>
    <col min="8460" max="8460" width="13" style="1025" customWidth="1"/>
    <col min="8461" max="8461" width="12.140625" style="1025" customWidth="1"/>
    <col min="8462" max="8462" width="11.5703125" style="1025" customWidth="1"/>
    <col min="8463" max="8463" width="12.42578125" style="1025" bestFit="1" customWidth="1"/>
    <col min="8464" max="8464" width="15" style="1025" bestFit="1" customWidth="1"/>
    <col min="8465" max="8704" width="9.140625" style="1025"/>
    <col min="8705" max="8705" width="4.140625" style="1025" customWidth="1"/>
    <col min="8706" max="8706" width="6.140625" style="1025" customWidth="1"/>
    <col min="8707" max="8707" width="29.85546875" style="1025" customWidth="1"/>
    <col min="8708" max="8708" width="17.7109375" style="1025" bestFit="1" customWidth="1"/>
    <col min="8709" max="8709" width="7.42578125" style="1025" bestFit="1" customWidth="1"/>
    <col min="8710" max="8710" width="21.7109375" style="1025" bestFit="1" customWidth="1"/>
    <col min="8711" max="8713" width="15.140625" style="1025" bestFit="1" customWidth="1"/>
    <col min="8714" max="8714" width="12.28515625" style="1025" customWidth="1"/>
    <col min="8715" max="8715" width="12.42578125" style="1025" customWidth="1"/>
    <col min="8716" max="8716" width="13" style="1025" customWidth="1"/>
    <col min="8717" max="8717" width="12.140625" style="1025" customWidth="1"/>
    <col min="8718" max="8718" width="11.5703125" style="1025" customWidth="1"/>
    <col min="8719" max="8719" width="12.42578125" style="1025" bestFit="1" customWidth="1"/>
    <col min="8720" max="8720" width="15" style="1025" bestFit="1" customWidth="1"/>
    <col min="8721" max="8960" width="9.140625" style="1025"/>
    <col min="8961" max="8961" width="4.140625" style="1025" customWidth="1"/>
    <col min="8962" max="8962" width="6.140625" style="1025" customWidth="1"/>
    <col min="8963" max="8963" width="29.85546875" style="1025" customWidth="1"/>
    <col min="8964" max="8964" width="17.7109375" style="1025" bestFit="1" customWidth="1"/>
    <col min="8965" max="8965" width="7.42578125" style="1025" bestFit="1" customWidth="1"/>
    <col min="8966" max="8966" width="21.7109375" style="1025" bestFit="1" customWidth="1"/>
    <col min="8967" max="8969" width="15.140625" style="1025" bestFit="1" customWidth="1"/>
    <col min="8970" max="8970" width="12.28515625" style="1025" customWidth="1"/>
    <col min="8971" max="8971" width="12.42578125" style="1025" customWidth="1"/>
    <col min="8972" max="8972" width="13" style="1025" customWidth="1"/>
    <col min="8973" max="8973" width="12.140625" style="1025" customWidth="1"/>
    <col min="8974" max="8974" width="11.5703125" style="1025" customWidth="1"/>
    <col min="8975" max="8975" width="12.42578125" style="1025" bestFit="1" customWidth="1"/>
    <col min="8976" max="8976" width="15" style="1025" bestFit="1" customWidth="1"/>
    <col min="8977" max="9216" width="9.140625" style="1025"/>
    <col min="9217" max="9217" width="4.140625" style="1025" customWidth="1"/>
    <col min="9218" max="9218" width="6.140625" style="1025" customWidth="1"/>
    <col min="9219" max="9219" width="29.85546875" style="1025" customWidth="1"/>
    <col min="9220" max="9220" width="17.7109375" style="1025" bestFit="1" customWidth="1"/>
    <col min="9221" max="9221" width="7.42578125" style="1025" bestFit="1" customWidth="1"/>
    <col min="9222" max="9222" width="21.7109375" style="1025" bestFit="1" customWidth="1"/>
    <col min="9223" max="9225" width="15.140625" style="1025" bestFit="1" customWidth="1"/>
    <col min="9226" max="9226" width="12.28515625" style="1025" customWidth="1"/>
    <col min="9227" max="9227" width="12.42578125" style="1025" customWidth="1"/>
    <col min="9228" max="9228" width="13" style="1025" customWidth="1"/>
    <col min="9229" max="9229" width="12.140625" style="1025" customWidth="1"/>
    <col min="9230" max="9230" width="11.5703125" style="1025" customWidth="1"/>
    <col min="9231" max="9231" width="12.42578125" style="1025" bestFit="1" customWidth="1"/>
    <col min="9232" max="9232" width="15" style="1025" bestFit="1" customWidth="1"/>
    <col min="9233" max="9472" width="9.140625" style="1025"/>
    <col min="9473" max="9473" width="4.140625" style="1025" customWidth="1"/>
    <col min="9474" max="9474" width="6.140625" style="1025" customWidth="1"/>
    <col min="9475" max="9475" width="29.85546875" style="1025" customWidth="1"/>
    <col min="9476" max="9476" width="17.7109375" style="1025" bestFit="1" customWidth="1"/>
    <col min="9477" max="9477" width="7.42578125" style="1025" bestFit="1" customWidth="1"/>
    <col min="9478" max="9478" width="21.7109375" style="1025" bestFit="1" customWidth="1"/>
    <col min="9479" max="9481" width="15.140625" style="1025" bestFit="1" customWidth="1"/>
    <col min="9482" max="9482" width="12.28515625" style="1025" customWidth="1"/>
    <col min="9483" max="9483" width="12.42578125" style="1025" customWidth="1"/>
    <col min="9484" max="9484" width="13" style="1025" customWidth="1"/>
    <col min="9485" max="9485" width="12.140625" style="1025" customWidth="1"/>
    <col min="9486" max="9486" width="11.5703125" style="1025" customWidth="1"/>
    <col min="9487" max="9487" width="12.42578125" style="1025" bestFit="1" customWidth="1"/>
    <col min="9488" max="9488" width="15" style="1025" bestFit="1" customWidth="1"/>
    <col min="9489" max="9728" width="9.140625" style="1025"/>
    <col min="9729" max="9729" width="4.140625" style="1025" customWidth="1"/>
    <col min="9730" max="9730" width="6.140625" style="1025" customWidth="1"/>
    <col min="9731" max="9731" width="29.85546875" style="1025" customWidth="1"/>
    <col min="9732" max="9732" width="17.7109375" style="1025" bestFit="1" customWidth="1"/>
    <col min="9733" max="9733" width="7.42578125" style="1025" bestFit="1" customWidth="1"/>
    <col min="9734" max="9734" width="21.7109375" style="1025" bestFit="1" customWidth="1"/>
    <col min="9735" max="9737" width="15.140625" style="1025" bestFit="1" customWidth="1"/>
    <col min="9738" max="9738" width="12.28515625" style="1025" customWidth="1"/>
    <col min="9739" max="9739" width="12.42578125" style="1025" customWidth="1"/>
    <col min="9740" max="9740" width="13" style="1025" customWidth="1"/>
    <col min="9741" max="9741" width="12.140625" style="1025" customWidth="1"/>
    <col min="9742" max="9742" width="11.5703125" style="1025" customWidth="1"/>
    <col min="9743" max="9743" width="12.42578125" style="1025" bestFit="1" customWidth="1"/>
    <col min="9744" max="9744" width="15" style="1025" bestFit="1" customWidth="1"/>
    <col min="9745" max="9984" width="9.140625" style="1025"/>
    <col min="9985" max="9985" width="4.140625" style="1025" customWidth="1"/>
    <col min="9986" max="9986" width="6.140625" style="1025" customWidth="1"/>
    <col min="9987" max="9987" width="29.85546875" style="1025" customWidth="1"/>
    <col min="9988" max="9988" width="17.7109375" style="1025" bestFit="1" customWidth="1"/>
    <col min="9989" max="9989" width="7.42578125" style="1025" bestFit="1" customWidth="1"/>
    <col min="9990" max="9990" width="21.7109375" style="1025" bestFit="1" customWidth="1"/>
    <col min="9991" max="9993" width="15.140625" style="1025" bestFit="1" customWidth="1"/>
    <col min="9994" max="9994" width="12.28515625" style="1025" customWidth="1"/>
    <col min="9995" max="9995" width="12.42578125" style="1025" customWidth="1"/>
    <col min="9996" max="9996" width="13" style="1025" customWidth="1"/>
    <col min="9997" max="9997" width="12.140625" style="1025" customWidth="1"/>
    <col min="9998" max="9998" width="11.5703125" style="1025" customWidth="1"/>
    <col min="9999" max="9999" width="12.42578125" style="1025" bestFit="1" customWidth="1"/>
    <col min="10000" max="10000" width="15" style="1025" bestFit="1" customWidth="1"/>
    <col min="10001" max="10240" width="9.140625" style="1025"/>
    <col min="10241" max="10241" width="4.140625" style="1025" customWidth="1"/>
    <col min="10242" max="10242" width="6.140625" style="1025" customWidth="1"/>
    <col min="10243" max="10243" width="29.85546875" style="1025" customWidth="1"/>
    <col min="10244" max="10244" width="17.7109375" style="1025" bestFit="1" customWidth="1"/>
    <col min="10245" max="10245" width="7.42578125" style="1025" bestFit="1" customWidth="1"/>
    <col min="10246" max="10246" width="21.7109375" style="1025" bestFit="1" customWidth="1"/>
    <col min="10247" max="10249" width="15.140625" style="1025" bestFit="1" customWidth="1"/>
    <col min="10250" max="10250" width="12.28515625" style="1025" customWidth="1"/>
    <col min="10251" max="10251" width="12.42578125" style="1025" customWidth="1"/>
    <col min="10252" max="10252" width="13" style="1025" customWidth="1"/>
    <col min="10253" max="10253" width="12.140625" style="1025" customWidth="1"/>
    <col min="10254" max="10254" width="11.5703125" style="1025" customWidth="1"/>
    <col min="10255" max="10255" width="12.42578125" style="1025" bestFit="1" customWidth="1"/>
    <col min="10256" max="10256" width="15" style="1025" bestFit="1" customWidth="1"/>
    <col min="10257" max="10496" width="9.140625" style="1025"/>
    <col min="10497" max="10497" width="4.140625" style="1025" customWidth="1"/>
    <col min="10498" max="10498" width="6.140625" style="1025" customWidth="1"/>
    <col min="10499" max="10499" width="29.85546875" style="1025" customWidth="1"/>
    <col min="10500" max="10500" width="17.7109375" style="1025" bestFit="1" customWidth="1"/>
    <col min="10501" max="10501" width="7.42578125" style="1025" bestFit="1" customWidth="1"/>
    <col min="10502" max="10502" width="21.7109375" style="1025" bestFit="1" customWidth="1"/>
    <col min="10503" max="10505" width="15.140625" style="1025" bestFit="1" customWidth="1"/>
    <col min="10506" max="10506" width="12.28515625" style="1025" customWidth="1"/>
    <col min="10507" max="10507" width="12.42578125" style="1025" customWidth="1"/>
    <col min="10508" max="10508" width="13" style="1025" customWidth="1"/>
    <col min="10509" max="10509" width="12.140625" style="1025" customWidth="1"/>
    <col min="10510" max="10510" width="11.5703125" style="1025" customWidth="1"/>
    <col min="10511" max="10511" width="12.42578125" style="1025" bestFit="1" customWidth="1"/>
    <col min="10512" max="10512" width="15" style="1025" bestFit="1" customWidth="1"/>
    <col min="10513" max="10752" width="9.140625" style="1025"/>
    <col min="10753" max="10753" width="4.140625" style="1025" customWidth="1"/>
    <col min="10754" max="10754" width="6.140625" style="1025" customWidth="1"/>
    <col min="10755" max="10755" width="29.85546875" style="1025" customWidth="1"/>
    <col min="10756" max="10756" width="17.7109375" style="1025" bestFit="1" customWidth="1"/>
    <col min="10757" max="10757" width="7.42578125" style="1025" bestFit="1" customWidth="1"/>
    <col min="10758" max="10758" width="21.7109375" style="1025" bestFit="1" customWidth="1"/>
    <col min="10759" max="10761" width="15.140625" style="1025" bestFit="1" customWidth="1"/>
    <col min="10762" max="10762" width="12.28515625" style="1025" customWidth="1"/>
    <col min="10763" max="10763" width="12.42578125" style="1025" customWidth="1"/>
    <col min="10764" max="10764" width="13" style="1025" customWidth="1"/>
    <col min="10765" max="10765" width="12.140625" style="1025" customWidth="1"/>
    <col min="10766" max="10766" width="11.5703125" style="1025" customWidth="1"/>
    <col min="10767" max="10767" width="12.42578125" style="1025" bestFit="1" customWidth="1"/>
    <col min="10768" max="10768" width="15" style="1025" bestFit="1" customWidth="1"/>
    <col min="10769" max="11008" width="9.140625" style="1025"/>
    <col min="11009" max="11009" width="4.140625" style="1025" customWidth="1"/>
    <col min="11010" max="11010" width="6.140625" style="1025" customWidth="1"/>
    <col min="11011" max="11011" width="29.85546875" style="1025" customWidth="1"/>
    <col min="11012" max="11012" width="17.7109375" style="1025" bestFit="1" customWidth="1"/>
    <col min="11013" max="11013" width="7.42578125" style="1025" bestFit="1" customWidth="1"/>
    <col min="11014" max="11014" width="21.7109375" style="1025" bestFit="1" customWidth="1"/>
    <col min="11015" max="11017" width="15.140625" style="1025" bestFit="1" customWidth="1"/>
    <col min="11018" max="11018" width="12.28515625" style="1025" customWidth="1"/>
    <col min="11019" max="11019" width="12.42578125" style="1025" customWidth="1"/>
    <col min="11020" max="11020" width="13" style="1025" customWidth="1"/>
    <col min="11021" max="11021" width="12.140625" style="1025" customWidth="1"/>
    <col min="11022" max="11022" width="11.5703125" style="1025" customWidth="1"/>
    <col min="11023" max="11023" width="12.42578125" style="1025" bestFit="1" customWidth="1"/>
    <col min="11024" max="11024" width="15" style="1025" bestFit="1" customWidth="1"/>
    <col min="11025" max="11264" width="9.140625" style="1025"/>
    <col min="11265" max="11265" width="4.140625" style="1025" customWidth="1"/>
    <col min="11266" max="11266" width="6.140625" style="1025" customWidth="1"/>
    <col min="11267" max="11267" width="29.85546875" style="1025" customWidth="1"/>
    <col min="11268" max="11268" width="17.7109375" style="1025" bestFit="1" customWidth="1"/>
    <col min="11269" max="11269" width="7.42578125" style="1025" bestFit="1" customWidth="1"/>
    <col min="11270" max="11270" width="21.7109375" style="1025" bestFit="1" customWidth="1"/>
    <col min="11271" max="11273" width="15.140625" style="1025" bestFit="1" customWidth="1"/>
    <col min="11274" max="11274" width="12.28515625" style="1025" customWidth="1"/>
    <col min="11275" max="11275" width="12.42578125" style="1025" customWidth="1"/>
    <col min="11276" max="11276" width="13" style="1025" customWidth="1"/>
    <col min="11277" max="11277" width="12.140625" style="1025" customWidth="1"/>
    <col min="11278" max="11278" width="11.5703125" style="1025" customWidth="1"/>
    <col min="11279" max="11279" width="12.42578125" style="1025" bestFit="1" customWidth="1"/>
    <col min="11280" max="11280" width="15" style="1025" bestFit="1" customWidth="1"/>
    <col min="11281" max="11520" width="9.140625" style="1025"/>
    <col min="11521" max="11521" width="4.140625" style="1025" customWidth="1"/>
    <col min="11522" max="11522" width="6.140625" style="1025" customWidth="1"/>
    <col min="11523" max="11523" width="29.85546875" style="1025" customWidth="1"/>
    <col min="11524" max="11524" width="17.7109375" style="1025" bestFit="1" customWidth="1"/>
    <col min="11525" max="11525" width="7.42578125" style="1025" bestFit="1" customWidth="1"/>
    <col min="11526" max="11526" width="21.7109375" style="1025" bestFit="1" customWidth="1"/>
    <col min="11527" max="11529" width="15.140625" style="1025" bestFit="1" customWidth="1"/>
    <col min="11530" max="11530" width="12.28515625" style="1025" customWidth="1"/>
    <col min="11531" max="11531" width="12.42578125" style="1025" customWidth="1"/>
    <col min="11532" max="11532" width="13" style="1025" customWidth="1"/>
    <col min="11533" max="11533" width="12.140625" style="1025" customWidth="1"/>
    <col min="11534" max="11534" width="11.5703125" style="1025" customWidth="1"/>
    <col min="11535" max="11535" width="12.42578125" style="1025" bestFit="1" customWidth="1"/>
    <col min="11536" max="11536" width="15" style="1025" bestFit="1" customWidth="1"/>
    <col min="11537" max="11776" width="9.140625" style="1025"/>
    <col min="11777" max="11777" width="4.140625" style="1025" customWidth="1"/>
    <col min="11778" max="11778" width="6.140625" style="1025" customWidth="1"/>
    <col min="11779" max="11779" width="29.85546875" style="1025" customWidth="1"/>
    <col min="11780" max="11780" width="17.7109375" style="1025" bestFit="1" customWidth="1"/>
    <col min="11781" max="11781" width="7.42578125" style="1025" bestFit="1" customWidth="1"/>
    <col min="11782" max="11782" width="21.7109375" style="1025" bestFit="1" customWidth="1"/>
    <col min="11783" max="11785" width="15.140625" style="1025" bestFit="1" customWidth="1"/>
    <col min="11786" max="11786" width="12.28515625" style="1025" customWidth="1"/>
    <col min="11787" max="11787" width="12.42578125" style="1025" customWidth="1"/>
    <col min="11788" max="11788" width="13" style="1025" customWidth="1"/>
    <col min="11789" max="11789" width="12.140625" style="1025" customWidth="1"/>
    <col min="11790" max="11790" width="11.5703125" style="1025" customWidth="1"/>
    <col min="11791" max="11791" width="12.42578125" style="1025" bestFit="1" customWidth="1"/>
    <col min="11792" max="11792" width="15" style="1025" bestFit="1" customWidth="1"/>
    <col min="11793" max="12032" width="9.140625" style="1025"/>
    <col min="12033" max="12033" width="4.140625" style="1025" customWidth="1"/>
    <col min="12034" max="12034" width="6.140625" style="1025" customWidth="1"/>
    <col min="12035" max="12035" width="29.85546875" style="1025" customWidth="1"/>
    <col min="12036" max="12036" width="17.7109375" style="1025" bestFit="1" customWidth="1"/>
    <col min="12037" max="12037" width="7.42578125" style="1025" bestFit="1" customWidth="1"/>
    <col min="12038" max="12038" width="21.7109375" style="1025" bestFit="1" customWidth="1"/>
    <col min="12039" max="12041" width="15.140625" style="1025" bestFit="1" customWidth="1"/>
    <col min="12042" max="12042" width="12.28515625" style="1025" customWidth="1"/>
    <col min="12043" max="12043" width="12.42578125" style="1025" customWidth="1"/>
    <col min="12044" max="12044" width="13" style="1025" customWidth="1"/>
    <col min="12045" max="12045" width="12.140625" style="1025" customWidth="1"/>
    <col min="12046" max="12046" width="11.5703125" style="1025" customWidth="1"/>
    <col min="12047" max="12047" width="12.42578125" style="1025" bestFit="1" customWidth="1"/>
    <col min="12048" max="12048" width="15" style="1025" bestFit="1" customWidth="1"/>
    <col min="12049" max="12288" width="9.140625" style="1025"/>
    <col min="12289" max="12289" width="4.140625" style="1025" customWidth="1"/>
    <col min="12290" max="12290" width="6.140625" style="1025" customWidth="1"/>
    <col min="12291" max="12291" width="29.85546875" style="1025" customWidth="1"/>
    <col min="12292" max="12292" width="17.7109375" style="1025" bestFit="1" customWidth="1"/>
    <col min="12293" max="12293" width="7.42578125" style="1025" bestFit="1" customWidth="1"/>
    <col min="12294" max="12294" width="21.7109375" style="1025" bestFit="1" customWidth="1"/>
    <col min="12295" max="12297" width="15.140625" style="1025" bestFit="1" customWidth="1"/>
    <col min="12298" max="12298" width="12.28515625" style="1025" customWidth="1"/>
    <col min="12299" max="12299" width="12.42578125" style="1025" customWidth="1"/>
    <col min="12300" max="12300" width="13" style="1025" customWidth="1"/>
    <col min="12301" max="12301" width="12.140625" style="1025" customWidth="1"/>
    <col min="12302" max="12302" width="11.5703125" style="1025" customWidth="1"/>
    <col min="12303" max="12303" width="12.42578125" style="1025" bestFit="1" customWidth="1"/>
    <col min="12304" max="12304" width="15" style="1025" bestFit="1" customWidth="1"/>
    <col min="12305" max="12544" width="9.140625" style="1025"/>
    <col min="12545" max="12545" width="4.140625" style="1025" customWidth="1"/>
    <col min="12546" max="12546" width="6.140625" style="1025" customWidth="1"/>
    <col min="12547" max="12547" width="29.85546875" style="1025" customWidth="1"/>
    <col min="12548" max="12548" width="17.7109375" style="1025" bestFit="1" customWidth="1"/>
    <col min="12549" max="12549" width="7.42578125" style="1025" bestFit="1" customWidth="1"/>
    <col min="12550" max="12550" width="21.7109375" style="1025" bestFit="1" customWidth="1"/>
    <col min="12551" max="12553" width="15.140625" style="1025" bestFit="1" customWidth="1"/>
    <col min="12554" max="12554" width="12.28515625" style="1025" customWidth="1"/>
    <col min="12555" max="12555" width="12.42578125" style="1025" customWidth="1"/>
    <col min="12556" max="12556" width="13" style="1025" customWidth="1"/>
    <col min="12557" max="12557" width="12.140625" style="1025" customWidth="1"/>
    <col min="12558" max="12558" width="11.5703125" style="1025" customWidth="1"/>
    <col min="12559" max="12559" width="12.42578125" style="1025" bestFit="1" customWidth="1"/>
    <col min="12560" max="12560" width="15" style="1025" bestFit="1" customWidth="1"/>
    <col min="12561" max="12800" width="9.140625" style="1025"/>
    <col min="12801" max="12801" width="4.140625" style="1025" customWidth="1"/>
    <col min="12802" max="12802" width="6.140625" style="1025" customWidth="1"/>
    <col min="12803" max="12803" width="29.85546875" style="1025" customWidth="1"/>
    <col min="12804" max="12804" width="17.7109375" style="1025" bestFit="1" customWidth="1"/>
    <col min="12805" max="12805" width="7.42578125" style="1025" bestFit="1" customWidth="1"/>
    <col min="12806" max="12806" width="21.7109375" style="1025" bestFit="1" customWidth="1"/>
    <col min="12807" max="12809" width="15.140625" style="1025" bestFit="1" customWidth="1"/>
    <col min="12810" max="12810" width="12.28515625" style="1025" customWidth="1"/>
    <col min="12811" max="12811" width="12.42578125" style="1025" customWidth="1"/>
    <col min="12812" max="12812" width="13" style="1025" customWidth="1"/>
    <col min="12813" max="12813" width="12.140625" style="1025" customWidth="1"/>
    <col min="12814" max="12814" width="11.5703125" style="1025" customWidth="1"/>
    <col min="12815" max="12815" width="12.42578125" style="1025" bestFit="1" customWidth="1"/>
    <col min="12816" max="12816" width="15" style="1025" bestFit="1" customWidth="1"/>
    <col min="12817" max="13056" width="9.140625" style="1025"/>
    <col min="13057" max="13057" width="4.140625" style="1025" customWidth="1"/>
    <col min="13058" max="13058" width="6.140625" style="1025" customWidth="1"/>
    <col min="13059" max="13059" width="29.85546875" style="1025" customWidth="1"/>
    <col min="13060" max="13060" width="17.7109375" style="1025" bestFit="1" customWidth="1"/>
    <col min="13061" max="13061" width="7.42578125" style="1025" bestFit="1" customWidth="1"/>
    <col min="13062" max="13062" width="21.7109375" style="1025" bestFit="1" customWidth="1"/>
    <col min="13063" max="13065" width="15.140625" style="1025" bestFit="1" customWidth="1"/>
    <col min="13066" max="13066" width="12.28515625" style="1025" customWidth="1"/>
    <col min="13067" max="13067" width="12.42578125" style="1025" customWidth="1"/>
    <col min="13068" max="13068" width="13" style="1025" customWidth="1"/>
    <col min="13069" max="13069" width="12.140625" style="1025" customWidth="1"/>
    <col min="13070" max="13070" width="11.5703125" style="1025" customWidth="1"/>
    <col min="13071" max="13071" width="12.42578125" style="1025" bestFit="1" customWidth="1"/>
    <col min="13072" max="13072" width="15" style="1025" bestFit="1" customWidth="1"/>
    <col min="13073" max="13312" width="9.140625" style="1025"/>
    <col min="13313" max="13313" width="4.140625" style="1025" customWidth="1"/>
    <col min="13314" max="13314" width="6.140625" style="1025" customWidth="1"/>
    <col min="13315" max="13315" width="29.85546875" style="1025" customWidth="1"/>
    <col min="13316" max="13316" width="17.7109375" style="1025" bestFit="1" customWidth="1"/>
    <col min="13317" max="13317" width="7.42578125" style="1025" bestFit="1" customWidth="1"/>
    <col min="13318" max="13318" width="21.7109375" style="1025" bestFit="1" customWidth="1"/>
    <col min="13319" max="13321" width="15.140625" style="1025" bestFit="1" customWidth="1"/>
    <col min="13322" max="13322" width="12.28515625" style="1025" customWidth="1"/>
    <col min="13323" max="13323" width="12.42578125" style="1025" customWidth="1"/>
    <col min="13324" max="13324" width="13" style="1025" customWidth="1"/>
    <col min="13325" max="13325" width="12.140625" style="1025" customWidth="1"/>
    <col min="13326" max="13326" width="11.5703125" style="1025" customWidth="1"/>
    <col min="13327" max="13327" width="12.42578125" style="1025" bestFit="1" customWidth="1"/>
    <col min="13328" max="13328" width="15" style="1025" bestFit="1" customWidth="1"/>
    <col min="13329" max="13568" width="9.140625" style="1025"/>
    <col min="13569" max="13569" width="4.140625" style="1025" customWidth="1"/>
    <col min="13570" max="13570" width="6.140625" style="1025" customWidth="1"/>
    <col min="13571" max="13571" width="29.85546875" style="1025" customWidth="1"/>
    <col min="13572" max="13572" width="17.7109375" style="1025" bestFit="1" customWidth="1"/>
    <col min="13573" max="13573" width="7.42578125" style="1025" bestFit="1" customWidth="1"/>
    <col min="13574" max="13574" width="21.7109375" style="1025" bestFit="1" customWidth="1"/>
    <col min="13575" max="13577" width="15.140625" style="1025" bestFit="1" customWidth="1"/>
    <col min="13578" max="13578" width="12.28515625" style="1025" customWidth="1"/>
    <col min="13579" max="13579" width="12.42578125" style="1025" customWidth="1"/>
    <col min="13580" max="13580" width="13" style="1025" customWidth="1"/>
    <col min="13581" max="13581" width="12.140625" style="1025" customWidth="1"/>
    <col min="13582" max="13582" width="11.5703125" style="1025" customWidth="1"/>
    <col min="13583" max="13583" width="12.42578125" style="1025" bestFit="1" customWidth="1"/>
    <col min="13584" max="13584" width="15" style="1025" bestFit="1" customWidth="1"/>
    <col min="13585" max="13824" width="9.140625" style="1025"/>
    <col min="13825" max="13825" width="4.140625" style="1025" customWidth="1"/>
    <col min="13826" max="13826" width="6.140625" style="1025" customWidth="1"/>
    <col min="13827" max="13827" width="29.85546875" style="1025" customWidth="1"/>
    <col min="13828" max="13828" width="17.7109375" style="1025" bestFit="1" customWidth="1"/>
    <col min="13829" max="13829" width="7.42578125" style="1025" bestFit="1" customWidth="1"/>
    <col min="13830" max="13830" width="21.7109375" style="1025" bestFit="1" customWidth="1"/>
    <col min="13831" max="13833" width="15.140625" style="1025" bestFit="1" customWidth="1"/>
    <col min="13834" max="13834" width="12.28515625" style="1025" customWidth="1"/>
    <col min="13835" max="13835" width="12.42578125" style="1025" customWidth="1"/>
    <col min="13836" max="13836" width="13" style="1025" customWidth="1"/>
    <col min="13837" max="13837" width="12.140625" style="1025" customWidth="1"/>
    <col min="13838" max="13838" width="11.5703125" style="1025" customWidth="1"/>
    <col min="13839" max="13839" width="12.42578125" style="1025" bestFit="1" customWidth="1"/>
    <col min="13840" max="13840" width="15" style="1025" bestFit="1" customWidth="1"/>
    <col min="13841" max="14080" width="9.140625" style="1025"/>
    <col min="14081" max="14081" width="4.140625" style="1025" customWidth="1"/>
    <col min="14082" max="14082" width="6.140625" style="1025" customWidth="1"/>
    <col min="14083" max="14083" width="29.85546875" style="1025" customWidth="1"/>
    <col min="14084" max="14084" width="17.7109375" style="1025" bestFit="1" customWidth="1"/>
    <col min="14085" max="14085" width="7.42578125" style="1025" bestFit="1" customWidth="1"/>
    <col min="14086" max="14086" width="21.7109375" style="1025" bestFit="1" customWidth="1"/>
    <col min="14087" max="14089" width="15.140625" style="1025" bestFit="1" customWidth="1"/>
    <col min="14090" max="14090" width="12.28515625" style="1025" customWidth="1"/>
    <col min="14091" max="14091" width="12.42578125" style="1025" customWidth="1"/>
    <col min="14092" max="14092" width="13" style="1025" customWidth="1"/>
    <col min="14093" max="14093" width="12.140625" style="1025" customWidth="1"/>
    <col min="14094" max="14094" width="11.5703125" style="1025" customWidth="1"/>
    <col min="14095" max="14095" width="12.42578125" style="1025" bestFit="1" customWidth="1"/>
    <col min="14096" max="14096" width="15" style="1025" bestFit="1" customWidth="1"/>
    <col min="14097" max="14336" width="9.140625" style="1025"/>
    <col min="14337" max="14337" width="4.140625" style="1025" customWidth="1"/>
    <col min="14338" max="14338" width="6.140625" style="1025" customWidth="1"/>
    <col min="14339" max="14339" width="29.85546875" style="1025" customWidth="1"/>
    <col min="14340" max="14340" width="17.7109375" style="1025" bestFit="1" customWidth="1"/>
    <col min="14341" max="14341" width="7.42578125" style="1025" bestFit="1" customWidth="1"/>
    <col min="14342" max="14342" width="21.7109375" style="1025" bestFit="1" customWidth="1"/>
    <col min="14343" max="14345" width="15.140625" style="1025" bestFit="1" customWidth="1"/>
    <col min="14346" max="14346" width="12.28515625" style="1025" customWidth="1"/>
    <col min="14347" max="14347" width="12.42578125" style="1025" customWidth="1"/>
    <col min="14348" max="14348" width="13" style="1025" customWidth="1"/>
    <col min="14349" max="14349" width="12.140625" style="1025" customWidth="1"/>
    <col min="14350" max="14350" width="11.5703125" style="1025" customWidth="1"/>
    <col min="14351" max="14351" width="12.42578125" style="1025" bestFit="1" customWidth="1"/>
    <col min="14352" max="14352" width="15" style="1025" bestFit="1" customWidth="1"/>
    <col min="14353" max="14592" width="9.140625" style="1025"/>
    <col min="14593" max="14593" width="4.140625" style="1025" customWidth="1"/>
    <col min="14594" max="14594" width="6.140625" style="1025" customWidth="1"/>
    <col min="14595" max="14595" width="29.85546875" style="1025" customWidth="1"/>
    <col min="14596" max="14596" width="17.7109375" style="1025" bestFit="1" customWidth="1"/>
    <col min="14597" max="14597" width="7.42578125" style="1025" bestFit="1" customWidth="1"/>
    <col min="14598" max="14598" width="21.7109375" style="1025" bestFit="1" customWidth="1"/>
    <col min="14599" max="14601" width="15.140625" style="1025" bestFit="1" customWidth="1"/>
    <col min="14602" max="14602" width="12.28515625" style="1025" customWidth="1"/>
    <col min="14603" max="14603" width="12.42578125" style="1025" customWidth="1"/>
    <col min="14604" max="14604" width="13" style="1025" customWidth="1"/>
    <col min="14605" max="14605" width="12.140625" style="1025" customWidth="1"/>
    <col min="14606" max="14606" width="11.5703125" style="1025" customWidth="1"/>
    <col min="14607" max="14607" width="12.42578125" style="1025" bestFit="1" customWidth="1"/>
    <col min="14608" max="14608" width="15" style="1025" bestFit="1" customWidth="1"/>
    <col min="14609" max="14848" width="9.140625" style="1025"/>
    <col min="14849" max="14849" width="4.140625" style="1025" customWidth="1"/>
    <col min="14850" max="14850" width="6.140625" style="1025" customWidth="1"/>
    <col min="14851" max="14851" width="29.85546875" style="1025" customWidth="1"/>
    <col min="14852" max="14852" width="17.7109375" style="1025" bestFit="1" customWidth="1"/>
    <col min="14853" max="14853" width="7.42578125" style="1025" bestFit="1" customWidth="1"/>
    <col min="14854" max="14854" width="21.7109375" style="1025" bestFit="1" customWidth="1"/>
    <col min="14855" max="14857" width="15.140625" style="1025" bestFit="1" customWidth="1"/>
    <col min="14858" max="14858" width="12.28515625" style="1025" customWidth="1"/>
    <col min="14859" max="14859" width="12.42578125" style="1025" customWidth="1"/>
    <col min="14860" max="14860" width="13" style="1025" customWidth="1"/>
    <col min="14861" max="14861" width="12.140625" style="1025" customWidth="1"/>
    <col min="14862" max="14862" width="11.5703125" style="1025" customWidth="1"/>
    <col min="14863" max="14863" width="12.42578125" style="1025" bestFit="1" customWidth="1"/>
    <col min="14864" max="14864" width="15" style="1025" bestFit="1" customWidth="1"/>
    <col min="14865" max="15104" width="9.140625" style="1025"/>
    <col min="15105" max="15105" width="4.140625" style="1025" customWidth="1"/>
    <col min="15106" max="15106" width="6.140625" style="1025" customWidth="1"/>
    <col min="15107" max="15107" width="29.85546875" style="1025" customWidth="1"/>
    <col min="15108" max="15108" width="17.7109375" style="1025" bestFit="1" customWidth="1"/>
    <col min="15109" max="15109" width="7.42578125" style="1025" bestFit="1" customWidth="1"/>
    <col min="15110" max="15110" width="21.7109375" style="1025" bestFit="1" customWidth="1"/>
    <col min="15111" max="15113" width="15.140625" style="1025" bestFit="1" customWidth="1"/>
    <col min="15114" max="15114" width="12.28515625" style="1025" customWidth="1"/>
    <col min="15115" max="15115" width="12.42578125" style="1025" customWidth="1"/>
    <col min="15116" max="15116" width="13" style="1025" customWidth="1"/>
    <col min="15117" max="15117" width="12.140625" style="1025" customWidth="1"/>
    <col min="15118" max="15118" width="11.5703125" style="1025" customWidth="1"/>
    <col min="15119" max="15119" width="12.42578125" style="1025" bestFit="1" customWidth="1"/>
    <col min="15120" max="15120" width="15" style="1025" bestFit="1" customWidth="1"/>
    <col min="15121" max="15360" width="9.140625" style="1025"/>
    <col min="15361" max="15361" width="4.140625" style="1025" customWidth="1"/>
    <col min="15362" max="15362" width="6.140625" style="1025" customWidth="1"/>
    <col min="15363" max="15363" width="29.85546875" style="1025" customWidth="1"/>
    <col min="15364" max="15364" width="17.7109375" style="1025" bestFit="1" customWidth="1"/>
    <col min="15365" max="15365" width="7.42578125" style="1025" bestFit="1" customWidth="1"/>
    <col min="15366" max="15366" width="21.7109375" style="1025" bestFit="1" customWidth="1"/>
    <col min="15367" max="15369" width="15.140625" style="1025" bestFit="1" customWidth="1"/>
    <col min="15370" max="15370" width="12.28515625" style="1025" customWidth="1"/>
    <col min="15371" max="15371" width="12.42578125" style="1025" customWidth="1"/>
    <col min="15372" max="15372" width="13" style="1025" customWidth="1"/>
    <col min="15373" max="15373" width="12.140625" style="1025" customWidth="1"/>
    <col min="15374" max="15374" width="11.5703125" style="1025" customWidth="1"/>
    <col min="15375" max="15375" width="12.42578125" style="1025" bestFit="1" customWidth="1"/>
    <col min="15376" max="15376" width="15" style="1025" bestFit="1" customWidth="1"/>
    <col min="15377" max="15616" width="9.140625" style="1025"/>
    <col min="15617" max="15617" width="4.140625" style="1025" customWidth="1"/>
    <col min="15618" max="15618" width="6.140625" style="1025" customWidth="1"/>
    <col min="15619" max="15619" width="29.85546875" style="1025" customWidth="1"/>
    <col min="15620" max="15620" width="17.7109375" style="1025" bestFit="1" customWidth="1"/>
    <col min="15621" max="15621" width="7.42578125" style="1025" bestFit="1" customWidth="1"/>
    <col min="15622" max="15622" width="21.7109375" style="1025" bestFit="1" customWidth="1"/>
    <col min="15623" max="15625" width="15.140625" style="1025" bestFit="1" customWidth="1"/>
    <col min="15626" max="15626" width="12.28515625" style="1025" customWidth="1"/>
    <col min="15627" max="15627" width="12.42578125" style="1025" customWidth="1"/>
    <col min="15628" max="15628" width="13" style="1025" customWidth="1"/>
    <col min="15629" max="15629" width="12.140625" style="1025" customWidth="1"/>
    <col min="15630" max="15630" width="11.5703125" style="1025" customWidth="1"/>
    <col min="15631" max="15631" width="12.42578125" style="1025" bestFit="1" customWidth="1"/>
    <col min="15632" max="15632" width="15" style="1025" bestFit="1" customWidth="1"/>
    <col min="15633" max="15872" width="9.140625" style="1025"/>
    <col min="15873" max="15873" width="4.140625" style="1025" customWidth="1"/>
    <col min="15874" max="15874" width="6.140625" style="1025" customWidth="1"/>
    <col min="15875" max="15875" width="29.85546875" style="1025" customWidth="1"/>
    <col min="15876" max="15876" width="17.7109375" style="1025" bestFit="1" customWidth="1"/>
    <col min="15877" max="15877" width="7.42578125" style="1025" bestFit="1" customWidth="1"/>
    <col min="15878" max="15878" width="21.7109375" style="1025" bestFit="1" customWidth="1"/>
    <col min="15879" max="15881" width="15.140625" style="1025" bestFit="1" customWidth="1"/>
    <col min="15882" max="15882" width="12.28515625" style="1025" customWidth="1"/>
    <col min="15883" max="15883" width="12.42578125" style="1025" customWidth="1"/>
    <col min="15884" max="15884" width="13" style="1025" customWidth="1"/>
    <col min="15885" max="15885" width="12.140625" style="1025" customWidth="1"/>
    <col min="15886" max="15886" width="11.5703125" style="1025" customWidth="1"/>
    <col min="15887" max="15887" width="12.42578125" style="1025" bestFit="1" customWidth="1"/>
    <col min="15888" max="15888" width="15" style="1025" bestFit="1" customWidth="1"/>
    <col min="15889" max="16128" width="9.140625" style="1025"/>
    <col min="16129" max="16129" width="4.140625" style="1025" customWidth="1"/>
    <col min="16130" max="16130" width="6.140625" style="1025" customWidth="1"/>
    <col min="16131" max="16131" width="29.85546875" style="1025" customWidth="1"/>
    <col min="16132" max="16132" width="17.7109375" style="1025" bestFit="1" customWidth="1"/>
    <col min="16133" max="16133" width="7.42578125" style="1025" bestFit="1" customWidth="1"/>
    <col min="16134" max="16134" width="21.7109375" style="1025" bestFit="1" customWidth="1"/>
    <col min="16135" max="16137" width="15.140625" style="1025" bestFit="1" customWidth="1"/>
    <col min="16138" max="16138" width="12.28515625" style="1025" customWidth="1"/>
    <col min="16139" max="16139" width="12.42578125" style="1025" customWidth="1"/>
    <col min="16140" max="16140" width="13" style="1025" customWidth="1"/>
    <col min="16141" max="16141" width="12.140625" style="1025" customWidth="1"/>
    <col min="16142" max="16142" width="11.5703125" style="1025" customWidth="1"/>
    <col min="16143" max="16143" width="12.42578125" style="1025" bestFit="1" customWidth="1"/>
    <col min="16144" max="16144" width="15" style="1025" bestFit="1" customWidth="1"/>
    <col min="16145" max="16384" width="9.140625" style="1025"/>
  </cols>
  <sheetData>
    <row r="1" spans="2:15" x14ac:dyDescent="0.2">
      <c r="B1" s="1154" t="s">
        <v>70</v>
      </c>
      <c r="C1" s="1154"/>
      <c r="D1" s="1154"/>
      <c r="E1" s="1154"/>
      <c r="F1" s="1154"/>
      <c r="G1" s="1154"/>
      <c r="H1" s="1154"/>
      <c r="I1" s="1154"/>
      <c r="J1" s="1154"/>
      <c r="K1" s="1154"/>
      <c r="L1" s="1154"/>
      <c r="M1" s="1154"/>
      <c r="N1" s="1046"/>
    </row>
    <row r="2" spans="2:15" x14ac:dyDescent="0.2">
      <c r="B2" s="1154" t="s">
        <v>187</v>
      </c>
      <c r="C2" s="1154"/>
      <c r="D2" s="1154"/>
      <c r="E2" s="1154"/>
      <c r="F2" s="1154"/>
      <c r="G2" s="1154"/>
      <c r="H2" s="1154"/>
      <c r="I2" s="1154"/>
      <c r="J2" s="1154"/>
      <c r="K2" s="1154"/>
      <c r="L2" s="1154"/>
      <c r="M2" s="1154"/>
      <c r="N2" s="1046"/>
    </row>
    <row r="3" spans="2:15" x14ac:dyDescent="0.2">
      <c r="B3" s="1167" t="s">
        <v>1921</v>
      </c>
      <c r="C3" s="1154"/>
      <c r="D3" s="1154"/>
      <c r="E3" s="1154"/>
      <c r="F3" s="1154"/>
      <c r="G3" s="1154"/>
      <c r="H3" s="1154"/>
      <c r="I3" s="1154"/>
      <c r="J3" s="1154"/>
      <c r="K3" s="1154"/>
      <c r="L3" s="1154"/>
      <c r="M3" s="1154"/>
      <c r="N3" s="1046"/>
    </row>
    <row r="4" spans="2:15" x14ac:dyDescent="0.2">
      <c r="N4" s="1046"/>
    </row>
    <row r="6" spans="2:15" ht="38.25" x14ac:dyDescent="0.2">
      <c r="B6" s="1068" t="s">
        <v>95</v>
      </c>
      <c r="C6" s="1068" t="s">
        <v>1864</v>
      </c>
      <c r="D6" s="1068" t="s">
        <v>1793</v>
      </c>
      <c r="E6" s="1068" t="s">
        <v>93</v>
      </c>
      <c r="F6" s="1068" t="s">
        <v>237</v>
      </c>
      <c r="G6" s="1068" t="s">
        <v>89</v>
      </c>
      <c r="H6" s="1068" t="s">
        <v>1794</v>
      </c>
      <c r="I6" s="1068" t="s">
        <v>801</v>
      </c>
      <c r="J6" s="1068" t="s">
        <v>163</v>
      </c>
      <c r="K6" s="1068" t="s">
        <v>802</v>
      </c>
      <c r="L6" s="1068" t="s">
        <v>1800</v>
      </c>
      <c r="M6" s="1068" t="s">
        <v>1922</v>
      </c>
      <c r="N6" s="1168"/>
      <c r="O6" s="1169" t="s">
        <v>131</v>
      </c>
    </row>
    <row r="8" spans="2:15" x14ac:dyDescent="0.2">
      <c r="B8" s="1086"/>
      <c r="C8" s="1170" t="s">
        <v>1923</v>
      </c>
      <c r="E8" s="60">
        <f>1-E12</f>
        <v>0.66999999999999993</v>
      </c>
    </row>
    <row r="9" spans="2:15" x14ac:dyDescent="0.2">
      <c r="B9" s="1086">
        <v>1</v>
      </c>
      <c r="C9" s="1025" t="s">
        <v>1924</v>
      </c>
      <c r="D9" s="1171">
        <f>D$21*E8</f>
        <v>898223872.55590594</v>
      </c>
      <c r="E9" s="1172"/>
      <c r="F9" s="1025" t="s">
        <v>1925</v>
      </c>
      <c r="G9" s="1160">
        <f>$D9*G27</f>
        <v>626763685.12755406</v>
      </c>
      <c r="H9" s="1160">
        <f t="shared" ref="H9:M9" si="0">$D9*H27</f>
        <v>216922750.53164324</v>
      </c>
      <c r="I9" s="1160">
        <f t="shared" si="0"/>
        <v>39524865.006057143</v>
      </c>
      <c r="J9" s="1160">
        <f t="shared" si="0"/>
        <v>6500067.1842214158</v>
      </c>
      <c r="K9" s="1160">
        <f t="shared" si="0"/>
        <v>837698.87118672137</v>
      </c>
      <c r="L9" s="1160">
        <f t="shared" si="0"/>
        <v>3826051.5778556843</v>
      </c>
      <c r="M9" s="1160">
        <f t="shared" si="0"/>
        <v>3848754.2573876069</v>
      </c>
      <c r="N9" s="1160"/>
      <c r="O9" s="1173">
        <f>SUM(G9:M9)-D9</f>
        <v>0</v>
      </c>
    </row>
    <row r="10" spans="2:15" x14ac:dyDescent="0.2">
      <c r="D10" s="1160"/>
      <c r="E10" s="1172"/>
      <c r="G10" s="1160"/>
      <c r="H10" s="1160"/>
      <c r="I10" s="1160"/>
      <c r="J10" s="1160"/>
      <c r="K10" s="1160"/>
      <c r="L10" s="1160"/>
      <c r="M10" s="1160"/>
      <c r="N10" s="1160"/>
    </row>
    <row r="11" spans="2:15" x14ac:dyDescent="0.2">
      <c r="D11" s="1160"/>
      <c r="E11" s="1174"/>
      <c r="G11" s="1160"/>
      <c r="H11" s="1160"/>
      <c r="I11" s="1160"/>
      <c r="J11" s="1160"/>
      <c r="K11" s="1160"/>
      <c r="L11" s="1160"/>
      <c r="M11" s="1160"/>
      <c r="N11" s="1160"/>
      <c r="O11" s="1071"/>
    </row>
    <row r="12" spans="2:15" x14ac:dyDescent="0.2">
      <c r="B12" s="1086"/>
      <c r="C12" s="1170" t="s">
        <v>373</v>
      </c>
      <c r="D12" s="1160"/>
      <c r="E12" s="1175">
        <v>0.33</v>
      </c>
      <c r="G12" s="1160"/>
      <c r="H12" s="1160"/>
      <c r="I12" s="1160"/>
      <c r="J12" s="1160"/>
      <c r="K12" s="1160"/>
      <c r="L12" s="1160"/>
      <c r="M12" s="1160"/>
      <c r="N12" s="1160"/>
      <c r="O12" s="1071"/>
    </row>
    <row r="13" spans="2:15" x14ac:dyDescent="0.2">
      <c r="B13" s="1086">
        <f>B9+1</f>
        <v>2</v>
      </c>
      <c r="C13" s="1025" t="s">
        <v>1926</v>
      </c>
      <c r="D13" s="1171">
        <f>D$21*E12</f>
        <v>442408773.0499239</v>
      </c>
      <c r="G13" s="1160"/>
      <c r="H13" s="1160"/>
      <c r="I13" s="1160"/>
      <c r="J13" s="1160"/>
      <c r="K13" s="1160"/>
      <c r="L13" s="1160"/>
      <c r="M13" s="1160"/>
      <c r="N13" s="1160"/>
      <c r="O13" s="1071"/>
    </row>
    <row r="14" spans="2:15" x14ac:dyDescent="0.2">
      <c r="D14" s="1160"/>
      <c r="G14" s="1160"/>
      <c r="H14" s="1160"/>
      <c r="I14" s="1160"/>
      <c r="J14" s="1160"/>
      <c r="K14" s="1160"/>
      <c r="L14" s="1160"/>
      <c r="M14" s="1160"/>
      <c r="N14" s="1160"/>
      <c r="O14" s="1071"/>
    </row>
    <row r="15" spans="2:15" x14ac:dyDescent="0.2">
      <c r="B15" s="1086">
        <f>B13+1</f>
        <v>3</v>
      </c>
      <c r="C15" s="1025" t="s">
        <v>1927</v>
      </c>
      <c r="D15" s="1171">
        <f>D13-D16-D17-D18</f>
        <v>246481559.12828511</v>
      </c>
      <c r="F15" s="1025" t="s">
        <v>76</v>
      </c>
      <c r="G15" s="1160">
        <f>$D15*G30</f>
        <v>123978477.94992417</v>
      </c>
      <c r="H15" s="1160">
        <f t="shared" ref="H15:M15" si="1">$D15*H30</f>
        <v>45784380.992015168</v>
      </c>
      <c r="I15" s="1160">
        <f t="shared" si="1"/>
        <v>17505690.293646369</v>
      </c>
      <c r="J15" s="1160">
        <f t="shared" si="1"/>
        <v>18593338.221062034</v>
      </c>
      <c r="K15" s="1160">
        <f t="shared" si="1"/>
        <v>3158591.6963168038</v>
      </c>
      <c r="L15" s="1160">
        <f t="shared" si="1"/>
        <v>29321576.100381333</v>
      </c>
      <c r="M15" s="1160">
        <f t="shared" si="1"/>
        <v>8139503.8749392424</v>
      </c>
      <c r="N15" s="1160"/>
      <c r="O15" s="1173">
        <f>SUM(G15:M15)-D15</f>
        <v>0</v>
      </c>
    </row>
    <row r="16" spans="2:15" x14ac:dyDescent="0.2">
      <c r="B16" s="1086">
        <f>B15+1</f>
        <v>4</v>
      </c>
      <c r="C16" s="1025" t="s">
        <v>1928</v>
      </c>
      <c r="D16" s="1176">
        <f>($D$21*$E$12*('JKP-8.6 - Costs'!C31/'JKP-8.6 - Costs'!C33))*E16</f>
        <v>36890223.780144095</v>
      </c>
      <c r="E16" s="1172">
        <f>1-E17</f>
        <v>0.32999999999999996</v>
      </c>
      <c r="F16" s="1025" t="s">
        <v>76</v>
      </c>
      <c r="G16" s="1160">
        <f>$D16*G30</f>
        <v>18555521.198703416</v>
      </c>
      <c r="H16" s="1160">
        <f t="shared" ref="H16:M16" si="2">$D16*H30</f>
        <v>6852423.6312208306</v>
      </c>
      <c r="I16" s="1160">
        <f t="shared" si="2"/>
        <v>2620028.9978789049</v>
      </c>
      <c r="J16" s="1160">
        <f t="shared" si="2"/>
        <v>2782814.3014865103</v>
      </c>
      <c r="K16" s="1160">
        <f t="shared" si="2"/>
        <v>472737.81827461836</v>
      </c>
      <c r="L16" s="1160">
        <f t="shared" si="2"/>
        <v>4388480.4516617628</v>
      </c>
      <c r="M16" s="1160">
        <f t="shared" si="2"/>
        <v>1218217.3809180569</v>
      </c>
      <c r="N16" s="1160"/>
      <c r="O16" s="1173">
        <f>SUM(G16:M16)-D16</f>
        <v>0</v>
      </c>
    </row>
    <row r="17" spans="2:16" x14ac:dyDescent="0.2">
      <c r="B17" s="1086">
        <f>B16+1</f>
        <v>5</v>
      </c>
      <c r="C17" s="1025" t="s">
        <v>1928</v>
      </c>
      <c r="D17" s="1176">
        <f>($D$21*$E$12*('JKP-8.6 - Costs'!C31/'JKP-8.6 - Costs'!C33))*E17</f>
        <v>74898333.129383489</v>
      </c>
      <c r="E17" s="21">
        <v>0.67</v>
      </c>
      <c r="F17" s="1025" t="s">
        <v>1929</v>
      </c>
      <c r="G17" s="1160">
        <f>$D17*G33</f>
        <v>44425222.734141096</v>
      </c>
      <c r="H17" s="1160">
        <f>$D17*H33</f>
        <v>16405922.680681642</v>
      </c>
      <c r="I17" s="1160">
        <f>$D17*I33</f>
        <v>6272816.0828385735</v>
      </c>
      <c r="J17" s="1160">
        <f>$D17*J33</f>
        <v>6662553.0938969301</v>
      </c>
      <c r="K17" s="1160">
        <f>$D17*K33</f>
        <v>1131818.5378252452</v>
      </c>
      <c r="L17" s="1160">
        <f>$D17*L34</f>
        <v>0</v>
      </c>
      <c r="M17" s="1160">
        <f>$D17*M34</f>
        <v>0</v>
      </c>
      <c r="N17" s="1160"/>
      <c r="O17" s="1173"/>
    </row>
    <row r="18" spans="2:16" x14ac:dyDescent="0.2">
      <c r="B18" s="1086">
        <f>B17+1</f>
        <v>6</v>
      </c>
      <c r="C18" s="1025" t="s">
        <v>1930</v>
      </c>
      <c r="D18" s="1177">
        <f>D21*E12*('JKP-8.6 - Costs'!C30/'JKP-8.6 - Costs'!C33)</f>
        <v>84138657.012111172</v>
      </c>
      <c r="F18" s="1025" t="s">
        <v>1931</v>
      </c>
      <c r="G18" s="1178">
        <f>$D18*G36</f>
        <v>54778864.935238205</v>
      </c>
      <c r="H18" s="1178">
        <f t="shared" ref="H18:M18" si="3">$D18*H36</f>
        <v>20229450.014042698</v>
      </c>
      <c r="I18" s="1178">
        <f t="shared" si="3"/>
        <v>7734744.4496059101</v>
      </c>
      <c r="J18" s="1178">
        <f t="shared" si="3"/>
        <v>0</v>
      </c>
      <c r="K18" s="1178">
        <f t="shared" si="3"/>
        <v>1395597.6132243602</v>
      </c>
      <c r="L18" s="1178">
        <f t="shared" si="3"/>
        <v>0</v>
      </c>
      <c r="M18" s="1178">
        <f t="shared" si="3"/>
        <v>0</v>
      </c>
      <c r="N18" s="1179"/>
      <c r="O18" s="1173">
        <f>SUM(G18:M18)-D18</f>
        <v>0</v>
      </c>
    </row>
    <row r="19" spans="2:16" x14ac:dyDescent="0.2">
      <c r="B19" s="1086">
        <f>B18+1</f>
        <v>7</v>
      </c>
      <c r="C19" s="1025" t="s">
        <v>1932</v>
      </c>
      <c r="D19" s="1171">
        <f>SUM(D15:D18)</f>
        <v>442408773.0499239</v>
      </c>
      <c r="G19" s="1160">
        <f>SUM(G15:G18)</f>
        <v>241738086.8180069</v>
      </c>
      <c r="H19" s="1160">
        <f t="shared" ref="H19:M19" si="4">SUM(H15:H18)</f>
        <v>89272177.317960352</v>
      </c>
      <c r="I19" s="1160">
        <f t="shared" si="4"/>
        <v>34133279.823969759</v>
      </c>
      <c r="J19" s="1160">
        <f t="shared" si="4"/>
        <v>28038705.616445474</v>
      </c>
      <c r="K19" s="1160">
        <f t="shared" si="4"/>
        <v>6158745.6656410275</v>
      </c>
      <c r="L19" s="1160">
        <f t="shared" si="4"/>
        <v>33710056.552043095</v>
      </c>
      <c r="M19" s="1160">
        <f t="shared" si="4"/>
        <v>9357721.2558573</v>
      </c>
      <c r="N19" s="1160"/>
      <c r="O19" s="1173">
        <f>SUM(G19:M19)-D19</f>
        <v>0</v>
      </c>
      <c r="P19" s="1071"/>
    </row>
    <row r="20" spans="2:16" x14ac:dyDescent="0.2">
      <c r="G20" s="1160"/>
      <c r="H20" s="1160"/>
      <c r="I20" s="1160"/>
      <c r="J20" s="1160"/>
      <c r="K20" s="1160"/>
      <c r="L20" s="1160"/>
      <c r="M20" s="1160"/>
      <c r="N20" s="1160"/>
      <c r="O20" s="1071"/>
    </row>
    <row r="21" spans="2:16" x14ac:dyDescent="0.2">
      <c r="B21" s="1086">
        <f>B19+1</f>
        <v>8</v>
      </c>
      <c r="C21" s="1025" t="s">
        <v>1933</v>
      </c>
      <c r="D21" s="1180">
        <v>1340632645.60583</v>
      </c>
      <c r="G21" s="1160">
        <f>SUM(G19,G9)</f>
        <v>868501771.94556093</v>
      </c>
      <c r="H21" s="1160">
        <f t="shared" ref="H21:M21" si="5">SUM(H19,H9)</f>
        <v>306194927.84960359</v>
      </c>
      <c r="I21" s="1160">
        <f t="shared" si="5"/>
        <v>73658144.830026895</v>
      </c>
      <c r="J21" s="1160">
        <f t="shared" si="5"/>
        <v>34538772.800666891</v>
      </c>
      <c r="K21" s="1160">
        <f t="shared" si="5"/>
        <v>6996444.5368277486</v>
      </c>
      <c r="L21" s="1160">
        <f t="shared" si="5"/>
        <v>37536108.129898779</v>
      </c>
      <c r="M21" s="1160">
        <f t="shared" si="5"/>
        <v>13206475.513244906</v>
      </c>
      <c r="N21" s="1160"/>
      <c r="O21" s="1173">
        <f>SUM(G21:M21)-D21</f>
        <v>0</v>
      </c>
      <c r="P21" s="1160"/>
    </row>
    <row r="22" spans="2:16" x14ac:dyDescent="0.2">
      <c r="B22" s="1086">
        <f>B21+1</f>
        <v>9</v>
      </c>
      <c r="C22" s="1025" t="s">
        <v>93</v>
      </c>
      <c r="D22" s="1181">
        <f>SUM(G22:M22)</f>
        <v>0.99999999999999989</v>
      </c>
      <c r="G22" s="1182">
        <f>G21/$D21</f>
        <v>0.64782979497943394</v>
      </c>
      <c r="H22" s="1182">
        <f t="shared" ref="H22:M22" si="6">H21/$D21</f>
        <v>0.2283958464335579</v>
      </c>
      <c r="I22" s="1182">
        <f t="shared" si="6"/>
        <v>5.4942824994941762E-2</v>
      </c>
      <c r="J22" s="1182">
        <f t="shared" si="6"/>
        <v>2.5763040243629805E-2</v>
      </c>
      <c r="K22" s="1182">
        <f t="shared" si="6"/>
        <v>5.2187633650126915E-3</v>
      </c>
      <c r="L22" s="1182">
        <f t="shared" si="6"/>
        <v>2.7998802097599425E-2</v>
      </c>
      <c r="M22" s="1182">
        <f t="shared" si="6"/>
        <v>9.8509278858243225E-3</v>
      </c>
      <c r="N22" s="1182"/>
      <c r="O22" s="1173">
        <f>SUM(G22:M22)-D22</f>
        <v>0</v>
      </c>
    </row>
    <row r="23" spans="2:16" x14ac:dyDescent="0.2">
      <c r="B23" s="1086"/>
      <c r="D23" s="1181"/>
      <c r="G23" s="1182"/>
      <c r="H23" s="1182"/>
      <c r="I23" s="1182"/>
      <c r="J23" s="1182"/>
      <c r="K23" s="1182"/>
      <c r="L23" s="1182"/>
      <c r="M23" s="1182"/>
      <c r="N23" s="1182"/>
      <c r="O23" s="1071"/>
    </row>
    <row r="24" spans="2:16" x14ac:dyDescent="0.2">
      <c r="O24" s="1071"/>
    </row>
    <row r="25" spans="2:16" x14ac:dyDescent="0.2">
      <c r="B25" s="1086"/>
      <c r="C25" s="1170" t="s">
        <v>1934</v>
      </c>
      <c r="O25" s="1071"/>
    </row>
    <row r="26" spans="2:16" x14ac:dyDescent="0.2">
      <c r="B26" s="1086">
        <f>B22+1</f>
        <v>10</v>
      </c>
      <c r="C26" s="1025" t="s">
        <v>1925</v>
      </c>
      <c r="D26" s="1071">
        <f>SUM(G26:M26)</f>
        <v>8981178.5777747463</v>
      </c>
      <c r="G26" s="1070">
        <v>6266897.1001373474</v>
      </c>
      <c r="H26" s="1070">
        <v>2168971.4776373985</v>
      </c>
      <c r="I26" s="1070">
        <v>395202</v>
      </c>
      <c r="J26" s="1070">
        <v>64993</v>
      </c>
      <c r="K26" s="1070">
        <v>8376</v>
      </c>
      <c r="L26" s="1070">
        <v>38256</v>
      </c>
      <c r="M26" s="1070">
        <v>38483</v>
      </c>
      <c r="N26" s="329"/>
      <c r="O26" s="1173">
        <f>SUM(G26:M26)-D26</f>
        <v>0</v>
      </c>
    </row>
    <row r="27" spans="2:16" x14ac:dyDescent="0.2">
      <c r="B27" s="1086">
        <f>B26+1</f>
        <v>11</v>
      </c>
      <c r="C27" s="1025" t="s">
        <v>93</v>
      </c>
      <c r="D27" s="1181">
        <f>SUM(G27:M27)</f>
        <v>0.99999999999999989</v>
      </c>
      <c r="G27" s="23">
        <f t="shared" ref="G27:M27" si="7">G26/$D26</f>
        <v>0.69778114819425929</v>
      </c>
      <c r="H27" s="23">
        <f t="shared" si="7"/>
        <v>0.24150187626876043</v>
      </c>
      <c r="I27" s="23">
        <f t="shared" si="7"/>
        <v>4.4003356194028447E-2</v>
      </c>
      <c r="J27" s="23">
        <f t="shared" si="7"/>
        <v>7.2365780768277764E-3</v>
      </c>
      <c r="K27" s="23">
        <f t="shared" si="7"/>
        <v>9.3261701985613004E-4</v>
      </c>
      <c r="L27" s="23">
        <f t="shared" si="7"/>
        <v>4.2595745835262789E-3</v>
      </c>
      <c r="M27" s="23">
        <f t="shared" si="7"/>
        <v>4.2848496627415772E-3</v>
      </c>
      <c r="N27" s="1182"/>
      <c r="O27" s="1173">
        <f>SUM(G27:M27)-D27</f>
        <v>0</v>
      </c>
    </row>
    <row r="28" spans="2:16" x14ac:dyDescent="0.2">
      <c r="G28" s="1074"/>
      <c r="H28" s="1074"/>
      <c r="I28" s="1074"/>
      <c r="J28" s="1074"/>
      <c r="K28" s="1074"/>
      <c r="L28" s="1074"/>
      <c r="M28" s="1074"/>
      <c r="O28" s="1071"/>
    </row>
    <row r="29" spans="2:16" x14ac:dyDescent="0.2">
      <c r="B29" s="1086">
        <f>B27+1</f>
        <v>12</v>
      </c>
      <c r="C29" s="1025" t="s">
        <v>1935</v>
      </c>
      <c r="D29" s="1071">
        <f>SUM(G29:M29)</f>
        <v>1089556625</v>
      </c>
      <c r="G29" s="1070">
        <v>548039263</v>
      </c>
      <c r="H29" s="1070">
        <v>202387050</v>
      </c>
      <c r="I29" s="1070">
        <v>77382831</v>
      </c>
      <c r="J29" s="1183">
        <v>82190712</v>
      </c>
      <c r="K29" s="1184">
        <v>13962361</v>
      </c>
      <c r="L29" s="1185">
        <v>129614230</v>
      </c>
      <c r="M29" s="1183">
        <v>35980178</v>
      </c>
      <c r="N29" s="329"/>
      <c r="O29" s="1173">
        <f>SUM(G29:M29)-D29</f>
        <v>0</v>
      </c>
    </row>
    <row r="30" spans="2:16" x14ac:dyDescent="0.2">
      <c r="B30" s="1086">
        <f>B29+1</f>
        <v>13</v>
      </c>
      <c r="C30" s="1025" t="s">
        <v>93</v>
      </c>
      <c r="D30" s="1181">
        <f>SUM(G30:M30)</f>
        <v>1</v>
      </c>
      <c r="G30" s="23">
        <f>G29/$D29</f>
        <v>0.50299291512269961</v>
      </c>
      <c r="H30" s="23">
        <f t="shared" ref="H30:M30" si="8">H29/$D$29</f>
        <v>0.18575175016718384</v>
      </c>
      <c r="I30" s="23">
        <f t="shared" si="8"/>
        <v>7.1022312401615662E-2</v>
      </c>
      <c r="J30" s="23">
        <f t="shared" si="8"/>
        <v>7.5435007336126292E-2</v>
      </c>
      <c r="K30" s="23">
        <f t="shared" si="8"/>
        <v>1.2814718096913962E-2</v>
      </c>
      <c r="L30" s="23">
        <f t="shared" si="8"/>
        <v>0.1189605267188385</v>
      </c>
      <c r="M30" s="23">
        <f t="shared" si="8"/>
        <v>3.3022770156622194E-2</v>
      </c>
      <c r="N30" s="1182"/>
      <c r="O30" s="1173">
        <f>SUM(G30:M30)-D30</f>
        <v>0</v>
      </c>
    </row>
    <row r="31" spans="2:16" x14ac:dyDescent="0.2">
      <c r="B31" s="1086"/>
      <c r="D31" s="1181"/>
      <c r="G31" s="1182"/>
      <c r="H31" s="1182"/>
      <c r="I31" s="1182"/>
      <c r="J31" s="1182"/>
      <c r="K31" s="1182"/>
      <c r="L31" s="1182"/>
      <c r="M31" s="1182"/>
      <c r="N31" s="1182"/>
      <c r="O31" s="1173"/>
    </row>
    <row r="32" spans="2:16" x14ac:dyDescent="0.2">
      <c r="B32" s="1086">
        <f>B30+1</f>
        <v>14</v>
      </c>
      <c r="C32" s="1025" t="s">
        <v>1929</v>
      </c>
      <c r="D32" s="1071">
        <f>SUM(G32:M32)</f>
        <v>923962217</v>
      </c>
      <c r="G32" s="1072">
        <f>G29</f>
        <v>548039263</v>
      </c>
      <c r="H32" s="1072">
        <f>H29</f>
        <v>202387050</v>
      </c>
      <c r="I32" s="1072">
        <f>I29</f>
        <v>77382831</v>
      </c>
      <c r="J32" s="1072">
        <f>J29</f>
        <v>82190712</v>
      </c>
      <c r="K32" s="1072">
        <f>K29</f>
        <v>13962361</v>
      </c>
      <c r="L32" s="1185">
        <v>0</v>
      </c>
      <c r="M32" s="1183">
        <v>0</v>
      </c>
      <c r="N32" s="1182"/>
      <c r="O32" s="1173">
        <f>SUM(G32:M32)-D32</f>
        <v>0</v>
      </c>
    </row>
    <row r="33" spans="2:15" x14ac:dyDescent="0.2">
      <c r="B33" s="1086">
        <f>B32+1</f>
        <v>15</v>
      </c>
      <c r="C33" s="1025" t="s">
        <v>93</v>
      </c>
      <c r="D33" s="1181">
        <f>SUM(G33:M33)</f>
        <v>1</v>
      </c>
      <c r="G33" s="1182">
        <f t="shared" ref="G33:M33" si="9">G32/$D32</f>
        <v>0.59314033941714739</v>
      </c>
      <c r="H33" s="1182">
        <f t="shared" si="9"/>
        <v>0.21904256069812864</v>
      </c>
      <c r="I33" s="1182">
        <f t="shared" si="9"/>
        <v>8.3751077236960222E-2</v>
      </c>
      <c r="J33" s="1182">
        <f t="shared" si="9"/>
        <v>8.895462442919351E-2</v>
      </c>
      <c r="K33" s="1182">
        <f t="shared" si="9"/>
        <v>1.5111398218570229E-2</v>
      </c>
      <c r="L33" s="1182">
        <f t="shared" si="9"/>
        <v>0</v>
      </c>
      <c r="M33" s="1182">
        <f t="shared" si="9"/>
        <v>0</v>
      </c>
      <c r="N33" s="1182"/>
      <c r="O33" s="1173">
        <f>SUM(G33:M33)-D33</f>
        <v>0</v>
      </c>
    </row>
    <row r="34" spans="2:15" x14ac:dyDescent="0.2">
      <c r="B34" s="1086"/>
      <c r="D34" s="1181"/>
      <c r="G34" s="1182"/>
      <c r="H34" s="1182"/>
      <c r="I34" s="1182"/>
      <c r="J34" s="1182"/>
      <c r="K34" s="1182"/>
      <c r="L34" s="1182"/>
      <c r="M34" s="1182"/>
      <c r="N34" s="1182"/>
      <c r="O34" s="1071"/>
    </row>
    <row r="35" spans="2:15" x14ac:dyDescent="0.2">
      <c r="B35" s="1086">
        <f>B33+1</f>
        <v>16</v>
      </c>
      <c r="C35" s="1025" t="s">
        <v>1931</v>
      </c>
      <c r="D35" s="1071">
        <f>SUM(G35:M35)</f>
        <v>841771505</v>
      </c>
      <c r="G35" s="1072">
        <f>G29</f>
        <v>548039263</v>
      </c>
      <c r="H35" s="1072">
        <f>H29</f>
        <v>202387050</v>
      </c>
      <c r="I35" s="1072">
        <f>I29</f>
        <v>77382831</v>
      </c>
      <c r="J35" s="329">
        <v>0</v>
      </c>
      <c r="K35" s="1072">
        <f>K29</f>
        <v>13962361</v>
      </c>
      <c r="L35" s="329">
        <v>0</v>
      </c>
      <c r="M35" s="329">
        <v>0</v>
      </c>
      <c r="N35" s="329"/>
      <c r="O35" s="1173">
        <f>SUM(G35:M35)-D35</f>
        <v>0</v>
      </c>
    </row>
    <row r="36" spans="2:15" x14ac:dyDescent="0.2">
      <c r="B36" s="1086">
        <f>B35+1</f>
        <v>17</v>
      </c>
      <c r="C36" s="1025" t="s">
        <v>93</v>
      </c>
      <c r="D36" s="1181">
        <f>SUM(G36:M36)</f>
        <v>1</v>
      </c>
      <c r="G36" s="1182">
        <f t="shared" ref="G36:M36" si="10">G35/$D35</f>
        <v>0.65105466239321086</v>
      </c>
      <c r="H36" s="1182">
        <f t="shared" si="10"/>
        <v>0.2404299133409131</v>
      </c>
      <c r="I36" s="1182">
        <f t="shared" si="10"/>
        <v>9.192854657155447E-2</v>
      </c>
      <c r="J36" s="1182">
        <f t="shared" si="10"/>
        <v>0</v>
      </c>
      <c r="K36" s="1182">
        <f t="shared" si="10"/>
        <v>1.6586877694321572E-2</v>
      </c>
      <c r="L36" s="1182">
        <f t="shared" si="10"/>
        <v>0</v>
      </c>
      <c r="M36" s="1182">
        <f t="shared" si="10"/>
        <v>0</v>
      </c>
      <c r="N36" s="1182"/>
      <c r="O36" s="1173">
        <f>SUM(G36:M36)-D36</f>
        <v>0</v>
      </c>
    </row>
    <row r="37" spans="2:15" x14ac:dyDescent="0.2">
      <c r="D37" s="330"/>
      <c r="I37" s="330"/>
    </row>
    <row r="38" spans="2:15" x14ac:dyDescent="0.2">
      <c r="B38" s="1086">
        <f>B36+1</f>
        <v>18</v>
      </c>
      <c r="C38" s="1074" t="s">
        <v>1936</v>
      </c>
      <c r="D38" s="330"/>
      <c r="H38" s="1186"/>
      <c r="I38" s="330"/>
      <c r="J38" s="1160">
        <f>SUM(J21,L21:M21)</f>
        <v>85281356.443810582</v>
      </c>
    </row>
    <row r="39" spans="2:15" x14ac:dyDescent="0.2">
      <c r="B39" s="1086">
        <f>B38+1</f>
        <v>19</v>
      </c>
      <c r="C39" s="1074" t="s">
        <v>1937</v>
      </c>
      <c r="D39" s="330"/>
      <c r="I39" s="1071"/>
      <c r="J39" s="50">
        <f>J38/D21</f>
        <v>6.3612770227053556E-2</v>
      </c>
    </row>
    <row r="40" spans="2:15" x14ac:dyDescent="0.2">
      <c r="D40" s="330"/>
    </row>
    <row r="41" spans="2:15" x14ac:dyDescent="0.2">
      <c r="D41" s="330"/>
    </row>
    <row r="42" spans="2:15" x14ac:dyDescent="0.2">
      <c r="C42" s="1026"/>
      <c r="D42" s="1077"/>
      <c r="E42" s="1026"/>
      <c r="F42" s="1026"/>
      <c r="G42" s="1026"/>
      <c r="H42" s="1026"/>
      <c r="I42" s="1026"/>
      <c r="J42" s="1026"/>
      <c r="K42" s="1026"/>
      <c r="L42" s="1026"/>
    </row>
    <row r="43" spans="2:15" x14ac:dyDescent="0.2">
      <c r="C43" s="1026" t="s">
        <v>131</v>
      </c>
      <c r="D43" s="1034">
        <f>D21-SUM(D9,D13)</f>
        <v>0</v>
      </c>
      <c r="E43" s="1026"/>
      <c r="F43" s="1026"/>
      <c r="G43" s="1026"/>
      <c r="H43" s="1026"/>
      <c r="I43" s="1026"/>
      <c r="J43" s="1026"/>
      <c r="K43" s="1026"/>
      <c r="L43" s="1026"/>
    </row>
    <row r="44" spans="2:15" x14ac:dyDescent="0.2">
      <c r="C44" s="1026"/>
      <c r="D44" s="1026"/>
      <c r="E44" s="1026"/>
      <c r="F44" s="1026"/>
      <c r="G44" s="1026"/>
      <c r="H44" s="1187"/>
      <c r="I44" s="1026"/>
      <c r="J44" s="1026"/>
      <c r="K44" s="1026"/>
      <c r="L44" s="1026"/>
    </row>
    <row r="45" spans="2:15" x14ac:dyDescent="0.2">
      <c r="C45" s="1026"/>
      <c r="D45" s="1026"/>
      <c r="E45" s="1077"/>
      <c r="F45" s="1026"/>
      <c r="G45" s="1026"/>
      <c r="H45" s="1032"/>
      <c r="I45" s="1026"/>
      <c r="J45" s="1026"/>
      <c r="K45" s="1077"/>
      <c r="L45" s="1026"/>
    </row>
    <row r="46" spans="2:15" x14ac:dyDescent="0.2">
      <c r="C46" s="1026"/>
      <c r="D46" s="1026"/>
      <c r="E46" s="1077"/>
      <c r="F46" s="1026"/>
      <c r="G46" s="1026"/>
      <c r="H46" s="1039"/>
      <c r="I46" s="1026"/>
      <c r="J46" s="1026"/>
      <c r="K46" s="1077"/>
      <c r="L46" s="1026"/>
    </row>
    <row r="47" spans="2:15" x14ac:dyDescent="0.2">
      <c r="C47" s="1026"/>
      <c r="D47" s="1026"/>
      <c r="E47" s="1077"/>
      <c r="F47" s="1026"/>
      <c r="G47" s="1026"/>
      <c r="H47" s="1032"/>
      <c r="I47" s="1188"/>
      <c r="J47" s="1026"/>
      <c r="K47" s="1077"/>
      <c r="L47" s="1026"/>
    </row>
    <row r="48" spans="2:15" x14ac:dyDescent="0.2">
      <c r="C48" s="1026"/>
      <c r="D48" s="1026"/>
      <c r="E48" s="1077"/>
      <c r="F48" s="1026"/>
      <c r="G48" s="1026"/>
      <c r="H48" s="1032"/>
      <c r="I48" s="1188"/>
      <c r="J48" s="1026"/>
      <c r="K48" s="1077"/>
      <c r="L48" s="1028"/>
    </row>
    <row r="49" spans="3:12" x14ac:dyDescent="0.2">
      <c r="C49" s="1026"/>
      <c r="D49" s="1026"/>
      <c r="E49" s="1077"/>
      <c r="F49" s="1026"/>
      <c r="G49" s="1026"/>
      <c r="H49" s="1032"/>
      <c r="I49" s="1077"/>
      <c r="J49" s="1026"/>
      <c r="K49" s="1077"/>
      <c r="L49" s="1026"/>
    </row>
    <row r="50" spans="3:12" x14ac:dyDescent="0.2">
      <c r="C50" s="1026"/>
      <c r="D50" s="1026"/>
      <c r="E50" s="1077"/>
      <c r="F50" s="1026"/>
      <c r="G50" s="1026"/>
      <c r="H50" s="1032"/>
      <c r="I50" s="1188"/>
      <c r="J50" s="1026"/>
      <c r="K50" s="1077"/>
      <c r="L50" s="1026"/>
    </row>
    <row r="51" spans="3:12" x14ac:dyDescent="0.2">
      <c r="C51" s="1026"/>
      <c r="D51" s="1026"/>
      <c r="E51" s="1077"/>
      <c r="F51" s="1026"/>
      <c r="G51" s="1026"/>
      <c r="H51" s="1032"/>
      <c r="I51" s="1026"/>
      <c r="J51" s="1026"/>
      <c r="K51" s="1077"/>
      <c r="L51" s="1028"/>
    </row>
    <row r="52" spans="3:12" x14ac:dyDescent="0.2">
      <c r="C52" s="1026"/>
      <c r="D52" s="1026"/>
      <c r="E52" s="1077"/>
      <c r="F52" s="1026"/>
      <c r="G52" s="1026"/>
      <c r="H52" s="1032"/>
      <c r="I52" s="1026"/>
      <c r="J52" s="1026"/>
      <c r="K52" s="1077"/>
      <c r="L52" s="1026"/>
    </row>
    <row r="53" spans="3:12" x14ac:dyDescent="0.2">
      <c r="C53" s="1026"/>
      <c r="D53" s="1026"/>
      <c r="E53" s="1026"/>
      <c r="F53" s="1026"/>
      <c r="G53" s="1026"/>
      <c r="H53" s="1032"/>
      <c r="I53" s="1026"/>
      <c r="J53" s="1026"/>
      <c r="K53" s="1077"/>
      <c r="L53" s="1026"/>
    </row>
    <row r="54" spans="3:12" x14ac:dyDescent="0.2">
      <c r="C54" s="1026"/>
      <c r="D54" s="1026"/>
      <c r="E54" s="1026"/>
      <c r="F54" s="1026"/>
      <c r="G54" s="1026"/>
      <c r="H54" s="1032"/>
      <c r="I54" s="1026"/>
      <c r="J54" s="1026"/>
      <c r="K54" s="1077"/>
      <c r="L54" s="1028"/>
    </row>
    <row r="55" spans="3:12" x14ac:dyDescent="0.2">
      <c r="C55" s="1026"/>
      <c r="D55" s="1026"/>
      <c r="E55" s="1026"/>
      <c r="F55" s="1026"/>
      <c r="G55" s="1026"/>
      <c r="H55" s="1032"/>
      <c r="I55" s="1026"/>
      <c r="J55" s="1026"/>
      <c r="K55" s="1077"/>
      <c r="L55" s="1026"/>
    </row>
    <row r="56" spans="3:12" x14ac:dyDescent="0.2">
      <c r="C56" s="1026"/>
      <c r="D56" s="1026"/>
      <c r="E56" s="1026"/>
      <c r="F56" s="1026"/>
      <c r="G56" s="1026"/>
      <c r="H56" s="1032"/>
      <c r="I56" s="1026"/>
      <c r="J56" s="1026"/>
      <c r="K56" s="1077"/>
      <c r="L56" s="1026"/>
    </row>
    <row r="57" spans="3:12" x14ac:dyDescent="0.2">
      <c r="C57" s="1189"/>
      <c r="D57" s="1077"/>
      <c r="E57" s="1026"/>
      <c r="F57" s="1026"/>
      <c r="G57" s="1026"/>
      <c r="H57" s="1032"/>
      <c r="I57" s="1026"/>
      <c r="J57" s="1026"/>
      <c r="K57" s="1077"/>
      <c r="L57" s="1026"/>
    </row>
    <row r="58" spans="3:12" x14ac:dyDescent="0.2">
      <c r="C58" s="1189"/>
      <c r="D58" s="1077"/>
      <c r="E58" s="1026"/>
      <c r="F58" s="1026"/>
      <c r="G58" s="1026"/>
      <c r="H58" s="1026"/>
      <c r="I58" s="1026"/>
      <c r="J58" s="1026"/>
      <c r="K58" s="1026"/>
      <c r="L58" s="1026"/>
    </row>
    <row r="59" spans="3:12" x14ac:dyDescent="0.2">
      <c r="C59" s="1189"/>
      <c r="D59" s="1077"/>
      <c r="E59" s="1026"/>
      <c r="F59" s="1026"/>
      <c r="G59" s="1026"/>
      <c r="H59" s="1026"/>
      <c r="I59" s="1026"/>
      <c r="J59" s="1026"/>
      <c r="K59" s="1026"/>
      <c r="L59" s="1026"/>
    </row>
    <row r="60" spans="3:12" x14ac:dyDescent="0.2">
      <c r="C60" s="1077"/>
      <c r="D60" s="1077"/>
      <c r="E60" s="1026"/>
      <c r="F60" s="1026"/>
      <c r="G60" s="1026"/>
      <c r="H60" s="1026"/>
      <c r="I60" s="1026"/>
      <c r="J60" s="1026"/>
      <c r="K60" s="1026"/>
      <c r="L60" s="1026"/>
    </row>
    <row r="61" spans="3:12" x14ac:dyDescent="0.2">
      <c r="C61" s="1077"/>
      <c r="D61" s="1077"/>
      <c r="E61" s="1026"/>
      <c r="F61" s="1026"/>
      <c r="G61" s="1026"/>
      <c r="H61" s="1026"/>
      <c r="I61" s="1026"/>
      <c r="J61" s="1026"/>
      <c r="K61" s="1026"/>
      <c r="L61" s="1026"/>
    </row>
    <row r="62" spans="3:12" x14ac:dyDescent="0.2">
      <c r="C62" s="1026"/>
      <c r="D62" s="1026"/>
      <c r="E62" s="1026"/>
      <c r="F62" s="1026"/>
      <c r="G62" s="1026"/>
      <c r="H62" s="1026"/>
      <c r="I62" s="1026"/>
      <c r="J62" s="1026"/>
      <c r="K62" s="1026"/>
      <c r="L62" s="1026"/>
    </row>
    <row r="65" spans="4:4" x14ac:dyDescent="0.2">
      <c r="D65" s="330"/>
    </row>
    <row r="66" spans="4:4" x14ac:dyDescent="0.2">
      <c r="D66" s="330"/>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Q221"/>
  <sheetViews>
    <sheetView topLeftCell="A2" workbookViewId="0">
      <selection activeCell="O22" sqref="O22"/>
    </sheetView>
  </sheetViews>
  <sheetFormatPr defaultRowHeight="12.75" x14ac:dyDescent="0.2"/>
  <cols>
    <col min="1" max="1" width="2.140625" style="1502" customWidth="1"/>
    <col min="2" max="2" width="4.28515625" style="1502" bestFit="1" customWidth="1"/>
    <col min="3" max="3" width="27.5703125" style="1502" customWidth="1"/>
    <col min="4" max="4" width="7.28515625" style="1502" bestFit="1" customWidth="1"/>
    <col min="5" max="5" width="11.5703125" style="1626" customWidth="1"/>
    <col min="6" max="6" width="8.7109375" style="1637" customWidth="1"/>
    <col min="7" max="7" width="13" style="1635" customWidth="1"/>
    <col min="8" max="8" width="3" style="1492" customWidth="1"/>
    <col min="9" max="9" width="8.28515625" style="1636" customWidth="1"/>
    <col min="10" max="10" width="13.28515625" style="1635" customWidth="1"/>
    <col min="11" max="11" width="2.5703125" style="1635" customWidth="1"/>
    <col min="12" max="12" width="9.5703125" style="1635" customWidth="1"/>
    <col min="13" max="13" width="11.85546875" style="1634" customWidth="1"/>
    <col min="14" max="14" width="2.140625" style="1511" customWidth="1"/>
    <col min="15" max="15" width="13.7109375" style="1502" bestFit="1" customWidth="1"/>
    <col min="16" max="16" width="2.7109375" style="1502" customWidth="1"/>
    <col min="17" max="17" width="8.85546875" style="1502" bestFit="1" customWidth="1"/>
    <col min="18" max="16384" width="9.140625" style="1502"/>
  </cols>
  <sheetData>
    <row r="1" spans="1:17" hidden="1" x14ac:dyDescent="0.2">
      <c r="M1" s="1836">
        <f>'Exhibit No._(CTM-4), Pg. 4'!M1+1</f>
        <v>5</v>
      </c>
    </row>
    <row r="2" spans="1:17" x14ac:dyDescent="0.2">
      <c r="A2" s="1830"/>
      <c r="B2" s="1834"/>
      <c r="C2" s="1830"/>
      <c r="D2" s="1830"/>
      <c r="E2" s="1830"/>
      <c r="F2" s="1830"/>
      <c r="G2" s="1830"/>
      <c r="H2" s="1830"/>
      <c r="I2" s="1830"/>
      <c r="J2" s="1830"/>
      <c r="K2" s="1830"/>
      <c r="L2" s="1834"/>
      <c r="M2" s="1826" t="str">
        <f>'Exhibit No._(CTM-4), Pg. 1'!$K$2</f>
        <v>Exhibit No.__ (CTM-4)</v>
      </c>
      <c r="N2" s="1505"/>
      <c r="O2" s="1503"/>
      <c r="P2" s="1503"/>
      <c r="Q2" s="1503"/>
    </row>
    <row r="3" spans="1:17" ht="13.5" thickBot="1" x14ac:dyDescent="0.25">
      <c r="A3" s="1830"/>
      <c r="B3" s="1834"/>
      <c r="C3" s="1830"/>
      <c r="D3" s="1830"/>
      <c r="E3" s="1830"/>
      <c r="F3" s="1830"/>
      <c r="G3" s="1830"/>
      <c r="H3" s="1830"/>
      <c r="I3" s="1830"/>
      <c r="J3" s="1830"/>
      <c r="K3" s="1830"/>
      <c r="L3" s="1834"/>
      <c r="M3" s="1827" t="s">
        <v>2131</v>
      </c>
      <c r="N3" s="1505"/>
      <c r="O3" s="1503"/>
      <c r="P3" s="1503"/>
      <c r="Q3" s="1503"/>
    </row>
    <row r="4" spans="1:17" ht="14.25" thickTop="1" thickBot="1" x14ac:dyDescent="0.25">
      <c r="A4" s="1830"/>
      <c r="B4" s="1834"/>
      <c r="C4" s="1830"/>
      <c r="D4" s="1830"/>
      <c r="E4" s="1830"/>
      <c r="F4" s="1830"/>
      <c r="G4" s="1830"/>
      <c r="H4" s="1830"/>
      <c r="I4" s="1830"/>
      <c r="J4" s="1830"/>
      <c r="K4" s="1830"/>
      <c r="L4" s="1834"/>
      <c r="M4" s="1828" t="str">
        <f>"Page "&amp;M1&amp;" of "&amp;'Exhibit No._(CTM-4), Pg. 6'!$K$1</f>
        <v>Page 5 of 6</v>
      </c>
      <c r="N4" s="1505"/>
      <c r="O4" s="1503"/>
      <c r="P4" s="1503"/>
      <c r="Q4" s="1503"/>
    </row>
    <row r="5" spans="1:17" ht="13.5" thickTop="1" x14ac:dyDescent="0.2">
      <c r="A5" s="1848"/>
      <c r="B5" s="1848"/>
      <c r="C5" s="1863" t="s">
        <v>2132</v>
      </c>
      <c r="D5" s="1863"/>
      <c r="E5" s="1863"/>
      <c r="F5" s="1863"/>
      <c r="G5" s="1863"/>
      <c r="H5" s="1863"/>
      <c r="I5" s="1863"/>
      <c r="J5" s="1863"/>
      <c r="K5" s="1863"/>
      <c r="L5" s="1863"/>
      <c r="M5" s="1863"/>
      <c r="N5" s="1505"/>
      <c r="O5" s="1503"/>
      <c r="P5" s="1503"/>
      <c r="Q5" s="1503"/>
    </row>
    <row r="6" spans="1:17" x14ac:dyDescent="0.2">
      <c r="A6" s="1848"/>
      <c r="B6" s="1848"/>
      <c r="C6" s="1863" t="s">
        <v>2138</v>
      </c>
      <c r="D6" s="1863"/>
      <c r="E6" s="1863"/>
      <c r="F6" s="1863"/>
      <c r="G6" s="1863"/>
      <c r="H6" s="1863"/>
      <c r="I6" s="1863"/>
      <c r="J6" s="1863"/>
      <c r="K6" s="1863"/>
      <c r="L6" s="1863"/>
      <c r="M6" s="1863"/>
      <c r="N6" s="1505"/>
      <c r="O6" s="1503"/>
      <c r="P6" s="1503"/>
      <c r="Q6" s="1503"/>
    </row>
    <row r="7" spans="1:17" x14ac:dyDescent="0.2">
      <c r="A7" s="1848"/>
      <c r="B7" s="1848"/>
      <c r="C7" s="1863" t="s">
        <v>2134</v>
      </c>
      <c r="D7" s="1863"/>
      <c r="E7" s="1863"/>
      <c r="F7" s="1863"/>
      <c r="G7" s="1863"/>
      <c r="H7" s="1863"/>
      <c r="I7" s="1863"/>
      <c r="J7" s="1863"/>
      <c r="K7" s="1863"/>
      <c r="L7" s="1863"/>
      <c r="M7" s="1863"/>
      <c r="N7" s="1505"/>
      <c r="O7" s="1503"/>
      <c r="P7" s="1503"/>
      <c r="Q7" s="1503"/>
    </row>
    <row r="8" spans="1:17" s="1507" customFormat="1" x14ac:dyDescent="0.2">
      <c r="C8" s="1810"/>
      <c r="D8" s="1506"/>
      <c r="E8" s="1492"/>
      <c r="F8" s="1508"/>
      <c r="G8" s="1509"/>
      <c r="H8" s="1492"/>
      <c r="I8" s="1510"/>
      <c r="J8" s="1509"/>
      <c r="K8" s="1509"/>
      <c r="L8" s="1509"/>
      <c r="M8" s="1511"/>
      <c r="N8" s="1512"/>
    </row>
    <row r="9" spans="1:17" x14ac:dyDescent="0.2">
      <c r="B9" s="1513" t="s">
        <v>95</v>
      </c>
      <c r="C9" s="1514"/>
      <c r="D9" s="1514"/>
      <c r="E9" s="1515" t="s">
        <v>0</v>
      </c>
      <c r="F9" s="1516" t="s">
        <v>22</v>
      </c>
      <c r="G9" s="1517"/>
      <c r="H9" s="1515"/>
      <c r="I9" s="1518" t="s">
        <v>1</v>
      </c>
      <c r="J9" s="1517"/>
      <c r="K9" s="1519"/>
      <c r="L9" s="1866" t="s">
        <v>2</v>
      </c>
      <c r="M9" s="1867"/>
      <c r="N9" s="1505"/>
      <c r="O9" s="1520" t="s">
        <v>117</v>
      </c>
      <c r="Q9" s="1521" t="s">
        <v>170</v>
      </c>
    </row>
    <row r="10" spans="1:17" x14ac:dyDescent="0.2">
      <c r="B10" s="1522" t="s">
        <v>770</v>
      </c>
      <c r="C10" s="1523" t="s">
        <v>3</v>
      </c>
      <c r="D10" s="1523" t="s">
        <v>75</v>
      </c>
      <c r="E10" s="1524" t="s">
        <v>4</v>
      </c>
      <c r="F10" s="1525" t="s">
        <v>5</v>
      </c>
      <c r="G10" s="1526" t="s">
        <v>27</v>
      </c>
      <c r="H10" s="1524"/>
      <c r="I10" s="1527" t="s">
        <v>5</v>
      </c>
      <c r="J10" s="1526" t="s">
        <v>27</v>
      </c>
      <c r="K10" s="1526"/>
      <c r="L10" s="1526" t="s">
        <v>6</v>
      </c>
      <c r="M10" s="1528" t="s">
        <v>7</v>
      </c>
      <c r="N10" s="1529"/>
      <c r="O10" s="1530" t="s">
        <v>65</v>
      </c>
      <c r="Q10" s="1531" t="s">
        <v>93</v>
      </c>
    </row>
    <row r="11" spans="1:17" x14ac:dyDescent="0.2">
      <c r="C11" s="1522" t="s">
        <v>102</v>
      </c>
      <c r="D11" s="1608" t="s">
        <v>103</v>
      </c>
      <c r="E11" s="1567" t="s">
        <v>104</v>
      </c>
      <c r="F11" s="1597" t="s">
        <v>105</v>
      </c>
      <c r="G11" s="1648" t="s">
        <v>106</v>
      </c>
      <c r="H11" s="1567"/>
      <c r="I11" s="1857" t="s">
        <v>107</v>
      </c>
      <c r="J11" s="1648" t="s">
        <v>108</v>
      </c>
      <c r="K11" s="1648"/>
      <c r="L11" s="1648" t="s">
        <v>109</v>
      </c>
      <c r="M11" s="1668" t="s">
        <v>116</v>
      </c>
      <c r="N11" s="1529"/>
      <c r="O11" s="1520"/>
      <c r="Q11" s="1521"/>
    </row>
    <row r="12" spans="1:17" x14ac:dyDescent="0.2">
      <c r="B12" s="1563">
        <v>1</v>
      </c>
      <c r="C12" s="1537" t="s">
        <v>134</v>
      </c>
      <c r="D12" s="1538"/>
      <c r="E12" s="1539"/>
      <c r="F12" s="1540"/>
      <c r="G12" s="1541"/>
      <c r="H12" s="1542"/>
      <c r="I12" s="1543"/>
      <c r="J12" s="1544"/>
      <c r="K12" s="1544"/>
      <c r="L12" s="1541"/>
      <c r="M12" s="1545"/>
      <c r="N12" s="1512"/>
      <c r="O12" s="1546" t="s">
        <v>196</v>
      </c>
    </row>
    <row r="13" spans="1:17" x14ac:dyDescent="0.2">
      <c r="B13" s="1563">
        <v>2</v>
      </c>
      <c r="C13" s="1547"/>
      <c r="D13" s="1507"/>
      <c r="E13" s="1492"/>
      <c r="F13" s="1508"/>
      <c r="G13" s="1548"/>
      <c r="H13" s="1534"/>
      <c r="I13" s="1510"/>
      <c r="J13" s="1549"/>
      <c r="K13" s="1535"/>
      <c r="L13" s="1548"/>
      <c r="M13" s="1550"/>
      <c r="N13" s="1512"/>
      <c r="O13" s="1669">
        <f>'Exhibit No._(CTM-4), Pg. 2'!J18</f>
        <v>15602.66086783683</v>
      </c>
    </row>
    <row r="14" spans="1:17" x14ac:dyDescent="0.2">
      <c r="B14" s="1563">
        <v>3</v>
      </c>
      <c r="C14" s="1532" t="s">
        <v>142</v>
      </c>
      <c r="D14" s="1533" t="s">
        <v>67</v>
      </c>
      <c r="E14" s="1492">
        <v>421</v>
      </c>
      <c r="F14" s="1510">
        <v>558.67999999999995</v>
      </c>
      <c r="G14" s="1548">
        <f>ROUND(E14*F14,2)</f>
        <v>235204.28</v>
      </c>
      <c r="I14" s="1510">
        <f>ROUND(F14*(1+$O$20),2)</f>
        <v>559.21</v>
      </c>
      <c r="J14" s="1549">
        <f>ROUND(E14*I14,2)</f>
        <v>235427.41</v>
      </c>
      <c r="K14" s="1535"/>
      <c r="L14" s="1548">
        <f>J14-G14</f>
        <v>223.13000000000466</v>
      </c>
      <c r="M14" s="1550"/>
      <c r="N14" s="1512"/>
      <c r="O14" s="1551" t="s">
        <v>118</v>
      </c>
      <c r="Q14" s="1552">
        <f>I14/F14-1</f>
        <v>9.4866470967303052E-4</v>
      </c>
    </row>
    <row r="15" spans="1:17" x14ac:dyDescent="0.2">
      <c r="B15" s="1563">
        <v>4</v>
      </c>
      <c r="C15" s="1547" t="s">
        <v>24</v>
      </c>
      <c r="D15" s="1507" t="s">
        <v>74</v>
      </c>
      <c r="E15" s="1492">
        <v>120500</v>
      </c>
      <c r="F15" s="1510">
        <v>1.1399999999999999</v>
      </c>
      <c r="G15" s="1548">
        <f>ROUND(E15*F15,2)</f>
        <v>137370</v>
      </c>
      <c r="I15" s="1510">
        <f>$I$127</f>
        <v>1.1499999999999999</v>
      </c>
      <c r="J15" s="1549">
        <f>ROUND(E15*I15,2)</f>
        <v>138575</v>
      </c>
      <c r="K15" s="1535"/>
      <c r="L15" s="1548">
        <f>J15-G15</f>
        <v>1205</v>
      </c>
      <c r="M15" s="1550"/>
      <c r="N15" s="1512"/>
      <c r="O15" s="1553">
        <f>L23+L43-O13</f>
        <v>-193.08814783629532</v>
      </c>
      <c r="Q15" s="1552">
        <f>I15/F15-1</f>
        <v>8.7719298245614308E-3</v>
      </c>
    </row>
    <row r="16" spans="1:17" x14ac:dyDescent="0.2">
      <c r="B16" s="1563">
        <v>5</v>
      </c>
      <c r="C16" s="1547" t="s">
        <v>66</v>
      </c>
      <c r="D16" s="1507" t="s">
        <v>10</v>
      </c>
      <c r="E16" s="1492">
        <f>E23</f>
        <v>17284828</v>
      </c>
      <c r="F16" s="1554">
        <v>6.7600000000000004E-3</v>
      </c>
      <c r="G16" s="1548">
        <f>F16*E16</f>
        <v>116845.43728000001</v>
      </c>
      <c r="I16" s="1554">
        <f>ROUND(F16*(1+$O$20),5)</f>
        <v>6.77E-3</v>
      </c>
      <c r="J16" s="1549">
        <f>ROUND(E16*I16,2)</f>
        <v>117018.29</v>
      </c>
      <c r="K16" s="1509"/>
      <c r="L16" s="1548">
        <f>J16-G16</f>
        <v>172.85271999998076</v>
      </c>
      <c r="M16" s="1550"/>
      <c r="N16" s="1512"/>
      <c r="O16" s="1671"/>
      <c r="Q16" s="1552">
        <f>I16/F16-1</f>
        <v>1.4792899408282434E-3</v>
      </c>
    </row>
    <row r="17" spans="2:17" x14ac:dyDescent="0.2">
      <c r="B17" s="1563">
        <v>6</v>
      </c>
      <c r="C17" s="1547" t="s">
        <v>127</v>
      </c>
      <c r="D17" s="1507"/>
      <c r="E17" s="1492"/>
      <c r="F17" s="1554"/>
      <c r="G17" s="1578">
        <f>16634+17392</f>
        <v>34026</v>
      </c>
      <c r="I17" s="1554"/>
      <c r="J17" s="1548">
        <f>G17</f>
        <v>34026</v>
      </c>
      <c r="K17" s="1509"/>
      <c r="L17" s="1548">
        <f>J17-G17</f>
        <v>0</v>
      </c>
      <c r="M17" s="1550"/>
      <c r="N17" s="1512"/>
      <c r="O17" s="1671"/>
    </row>
    <row r="18" spans="2:17" x14ac:dyDescent="0.2">
      <c r="B18" s="1563">
        <v>7</v>
      </c>
      <c r="C18" s="1547"/>
      <c r="D18" s="1507"/>
      <c r="E18" s="1492"/>
      <c r="F18" s="1554"/>
      <c r="G18" s="1548"/>
      <c r="I18" s="1554"/>
      <c r="J18" s="1549"/>
      <c r="K18" s="1535"/>
      <c r="L18" s="1548"/>
      <c r="M18" s="1550"/>
      <c r="N18" s="1512"/>
      <c r="O18" s="1555"/>
    </row>
    <row r="19" spans="2:17" x14ac:dyDescent="0.2">
      <c r="B19" s="1563">
        <v>8</v>
      </c>
      <c r="C19" s="1547" t="s">
        <v>85</v>
      </c>
      <c r="D19" s="1507"/>
      <c r="E19" s="1492"/>
      <c r="F19" s="1554"/>
      <c r="G19" s="1548"/>
      <c r="I19" s="1554"/>
      <c r="J19" s="1549"/>
      <c r="K19" s="1535"/>
      <c r="L19" s="1548"/>
      <c r="M19" s="1550"/>
      <c r="N19" s="1512"/>
      <c r="O19" s="1555"/>
    </row>
    <row r="20" spans="2:17" x14ac:dyDescent="0.2">
      <c r="B20" s="1563">
        <v>9</v>
      </c>
      <c r="C20" s="1547" t="s">
        <v>13</v>
      </c>
      <c r="D20" s="1507" t="s">
        <v>10</v>
      </c>
      <c r="E20" s="1492">
        <f>6826872+1953031</f>
        <v>8779903</v>
      </c>
      <c r="F20" s="1554">
        <v>0.10491</v>
      </c>
      <c r="G20" s="1548">
        <f>ROUND(E20*F20,2)</f>
        <v>921099.62</v>
      </c>
      <c r="I20" s="1554">
        <f>ROUND(F20*(1+$O$20),5)</f>
        <v>0.10501000000000001</v>
      </c>
      <c r="J20" s="1549">
        <f>ROUND(E20*I20,2)</f>
        <v>921977.61</v>
      </c>
      <c r="K20" s="1535"/>
      <c r="L20" s="1548">
        <f>J20-G20</f>
        <v>877.98999999999069</v>
      </c>
      <c r="M20" s="1550"/>
      <c r="N20" s="1512"/>
      <c r="O20" s="1813">
        <f>'Exhibit No._(CTM-4), Pg. 2'!I18+O22</f>
        <v>9.4680280334551528E-4</v>
      </c>
      <c r="P20" s="1496"/>
      <c r="Q20" s="1552">
        <f>I20/F20-1</f>
        <v>9.5319797922033267E-4</v>
      </c>
    </row>
    <row r="21" spans="2:17" x14ac:dyDescent="0.2">
      <c r="B21" s="1563">
        <v>10</v>
      </c>
      <c r="C21" s="1547" t="s">
        <v>14</v>
      </c>
      <c r="D21" s="1507" t="s">
        <v>10</v>
      </c>
      <c r="E21" s="1492">
        <f>3135067+653271</f>
        <v>3788338</v>
      </c>
      <c r="F21" s="1554">
        <v>5.3780000000000001E-2</v>
      </c>
      <c r="G21" s="1548">
        <f>ROUND(E21*F21,2)</f>
        <v>203736.82</v>
      </c>
      <c r="I21" s="1554">
        <f>ROUND(F21*(1+$O$20),5)</f>
        <v>5.3830000000000003E-2</v>
      </c>
      <c r="J21" s="1549">
        <f>ROUND(E21*I21,2)</f>
        <v>203926.23</v>
      </c>
      <c r="K21" s="1535"/>
      <c r="L21" s="1548">
        <f>J21-G21</f>
        <v>189.41000000000349</v>
      </c>
      <c r="M21" s="1550"/>
      <c r="N21" s="1512"/>
      <c r="O21" s="1554"/>
      <c r="P21" s="1554"/>
      <c r="Q21" s="1552">
        <f>I21/F21-1</f>
        <v>9.2971364819627311E-4</v>
      </c>
    </row>
    <row r="22" spans="2:17" x14ac:dyDescent="0.2">
      <c r="B22" s="1563">
        <v>11</v>
      </c>
      <c r="C22" s="1547" t="s">
        <v>15</v>
      </c>
      <c r="D22" s="1507" t="s">
        <v>10</v>
      </c>
      <c r="E22" s="1492">
        <f>4460777+255810</f>
        <v>4716587</v>
      </c>
      <c r="F22" s="1554">
        <v>5.1619999999999999E-2</v>
      </c>
      <c r="G22" s="1548">
        <f>ROUND(E22*F22,2)</f>
        <v>243470.22</v>
      </c>
      <c r="I22" s="1554">
        <f>ROUND(F22*(1+$O$20),5)</f>
        <v>5.1670000000000001E-2</v>
      </c>
      <c r="J22" s="1549">
        <f>ROUND(E22*I22,2)</f>
        <v>243706.05</v>
      </c>
      <c r="K22" s="1535"/>
      <c r="L22" s="1548">
        <f>J22-G22</f>
        <v>235.82999999998719</v>
      </c>
      <c r="M22" s="1556"/>
      <c r="N22" s="1512"/>
      <c r="O22" s="1819">
        <v>-8.7527297599999997E-4</v>
      </c>
      <c r="P22" s="1554"/>
      <c r="Q22" s="1552">
        <f>I22/F22-1</f>
        <v>9.6861681518789489E-4</v>
      </c>
    </row>
    <row r="23" spans="2:17" x14ac:dyDescent="0.2">
      <c r="B23" s="1563">
        <v>12</v>
      </c>
      <c r="C23" s="1557" t="s">
        <v>184</v>
      </c>
      <c r="D23" s="1533"/>
      <c r="E23" s="1539">
        <f>SUM(E20:E22)</f>
        <v>17284828</v>
      </c>
      <c r="F23" s="1509"/>
      <c r="G23" s="1558">
        <f>SUM(G14:G22)</f>
        <v>1891752.3772800001</v>
      </c>
      <c r="I23" s="1510"/>
      <c r="J23" s="1558">
        <f>SUM(J14:J22)</f>
        <v>1894656.59</v>
      </c>
      <c r="K23" s="1535"/>
      <c r="L23" s="1558">
        <f>SUM(L14:L22)</f>
        <v>2904.2127199999668</v>
      </c>
      <c r="M23" s="1559">
        <f>L23/G23</f>
        <v>1.5351970769957232E-3</v>
      </c>
      <c r="N23" s="1512"/>
      <c r="O23" s="1560"/>
      <c r="P23" s="1477"/>
      <c r="Q23" s="1561"/>
    </row>
    <row r="24" spans="2:17" ht="12.75" customHeight="1" x14ac:dyDescent="0.2">
      <c r="B24" s="1563">
        <v>13</v>
      </c>
      <c r="C24" s="1532"/>
      <c r="D24" s="1533"/>
      <c r="E24" s="1492"/>
      <c r="F24" s="1509"/>
      <c r="G24" s="1549"/>
      <c r="I24" s="1510"/>
      <c r="J24" s="1549"/>
      <c r="K24" s="1535"/>
      <c r="L24" s="1548"/>
      <c r="M24" s="1550"/>
      <c r="N24" s="1512"/>
      <c r="O24" s="1562"/>
      <c r="P24" s="1563"/>
      <c r="Q24" s="1564"/>
    </row>
    <row r="25" spans="2:17" ht="12.75" customHeight="1" x14ac:dyDescent="0.2">
      <c r="B25" s="1563">
        <v>14</v>
      </c>
      <c r="C25" s="1565" t="s">
        <v>145</v>
      </c>
      <c r="D25" s="1533"/>
      <c r="E25" s="1492"/>
      <c r="F25" s="1509"/>
      <c r="G25" s="1549"/>
      <c r="I25" s="1510"/>
      <c r="J25" s="1549"/>
      <c r="K25" s="1535"/>
      <c r="L25" s="1548"/>
      <c r="M25" s="1550"/>
      <c r="N25" s="1512"/>
      <c r="O25" s="1562"/>
      <c r="P25" s="1563"/>
      <c r="Q25" s="1564"/>
    </row>
    <row r="26" spans="2:17" x14ac:dyDescent="0.2">
      <c r="B26" s="1563">
        <v>15</v>
      </c>
      <c r="C26" s="1547" t="s">
        <v>86</v>
      </c>
      <c r="D26" s="1507" t="s">
        <v>10</v>
      </c>
      <c r="E26" s="1566">
        <f>E23</f>
        <v>17284828</v>
      </c>
      <c r="F26" s="1554">
        <v>0.66166999999999998</v>
      </c>
      <c r="G26" s="1549">
        <f>E26*F26</f>
        <v>11436852.142759999</v>
      </c>
      <c r="H26" s="1567"/>
      <c r="I26" s="1554">
        <f>F26</f>
        <v>0.66166999999999998</v>
      </c>
      <c r="J26" s="1549">
        <f>$E26*I26</f>
        <v>11436852.142759999</v>
      </c>
      <c r="K26" s="1535"/>
      <c r="L26" s="1548">
        <f>J26-G26</f>
        <v>0</v>
      </c>
      <c r="M26" s="1550"/>
      <c r="N26" s="1568"/>
    </row>
    <row r="27" spans="2:17" x14ac:dyDescent="0.2">
      <c r="B27" s="1563">
        <v>16</v>
      </c>
      <c r="C27" s="1547" t="s">
        <v>24</v>
      </c>
      <c r="D27" s="1507" t="s">
        <v>74</v>
      </c>
      <c r="E27" s="1566">
        <f>E15</f>
        <v>120500</v>
      </c>
      <c r="F27" s="1510">
        <v>1.05</v>
      </c>
      <c r="G27" s="1549">
        <f>E27*F27</f>
        <v>126525</v>
      </c>
      <c r="H27" s="1567"/>
      <c r="I27" s="1510">
        <f>F27</f>
        <v>1.05</v>
      </c>
      <c r="J27" s="1549">
        <f>$E27*I27</f>
        <v>126525</v>
      </c>
      <c r="K27" s="1535"/>
      <c r="L27" s="1548">
        <f>J27-G27</f>
        <v>0</v>
      </c>
      <c r="M27" s="1556"/>
      <c r="N27" s="1512"/>
    </row>
    <row r="28" spans="2:17" x14ac:dyDescent="0.2">
      <c r="B28" s="1563">
        <v>17</v>
      </c>
      <c r="C28" s="1532" t="s">
        <v>185</v>
      </c>
      <c r="D28" s="1533"/>
      <c r="E28" s="1473"/>
      <c r="F28" s="1509"/>
      <c r="G28" s="1558">
        <f>SUM(G26:G27)</f>
        <v>11563377.142759999</v>
      </c>
      <c r="H28" s="1473"/>
      <c r="I28" s="1510"/>
      <c r="J28" s="1558">
        <f>SUM(J26:J27)</f>
        <v>11563377.142759999</v>
      </c>
      <c r="K28" s="1509"/>
      <c r="L28" s="1558">
        <f>SUM(L26:L27)</f>
        <v>0</v>
      </c>
      <c r="M28" s="1559">
        <f>ROUND(L28/G28,5)</f>
        <v>0</v>
      </c>
      <c r="N28" s="1512"/>
      <c r="O28" s="1562"/>
      <c r="P28" s="1563"/>
      <c r="Q28" s="1564"/>
    </row>
    <row r="29" spans="2:17" x14ac:dyDescent="0.2">
      <c r="B29" s="1563">
        <v>18</v>
      </c>
      <c r="C29" s="1547"/>
      <c r="D29" s="1507"/>
      <c r="E29" s="1492"/>
      <c r="F29" s="1510"/>
      <c r="G29" s="1549"/>
      <c r="I29" s="1510"/>
      <c r="J29" s="1549"/>
      <c r="K29" s="1535"/>
      <c r="L29" s="1548"/>
      <c r="M29" s="1556"/>
      <c r="N29" s="1512"/>
    </row>
    <row r="30" spans="2:17" x14ac:dyDescent="0.2">
      <c r="B30" s="1563">
        <v>19</v>
      </c>
      <c r="C30" s="1547" t="s">
        <v>26</v>
      </c>
      <c r="D30" s="1507"/>
      <c r="E30" s="1492"/>
      <c r="F30" s="1554"/>
      <c r="G30" s="1558">
        <f>G23+G28</f>
        <v>13455129.52004</v>
      </c>
      <c r="I30" s="1510"/>
      <c r="J30" s="1558">
        <f>J23+J28</f>
        <v>13458033.732759999</v>
      </c>
      <c r="K30" s="1535"/>
      <c r="L30" s="1558">
        <f>L23+L28</f>
        <v>2904.2127199999668</v>
      </c>
      <c r="M30" s="1559">
        <f>L30/G30</f>
        <v>2.1584427824900885E-4</v>
      </c>
      <c r="N30" s="1512"/>
    </row>
    <row r="31" spans="2:17" x14ac:dyDescent="0.2">
      <c r="B31" s="1563">
        <v>20</v>
      </c>
      <c r="C31" s="1570"/>
      <c r="D31" s="1571"/>
      <c r="E31" s="1572"/>
      <c r="F31" s="1573"/>
      <c r="G31" s="1574"/>
      <c r="H31" s="1572"/>
      <c r="I31" s="1575"/>
      <c r="J31" s="1574"/>
      <c r="K31" s="1576"/>
      <c r="L31" s="1574"/>
      <c r="M31" s="1577"/>
      <c r="N31" s="1512"/>
    </row>
    <row r="32" spans="2:17" x14ac:dyDescent="0.2">
      <c r="B32" s="1563">
        <v>21</v>
      </c>
      <c r="C32" s="1537" t="s">
        <v>135</v>
      </c>
      <c r="D32" s="1538"/>
      <c r="E32" s="1539"/>
      <c r="F32" s="1540"/>
      <c r="G32" s="1541"/>
      <c r="H32" s="1542"/>
      <c r="I32" s="1543"/>
      <c r="J32" s="1544"/>
      <c r="K32" s="1544"/>
      <c r="L32" s="1541"/>
      <c r="M32" s="1545"/>
      <c r="N32" s="1512"/>
      <c r="O32" s="1581"/>
      <c r="P32" s="1582"/>
      <c r="Q32" s="1492"/>
    </row>
    <row r="33" spans="2:17" x14ac:dyDescent="0.2">
      <c r="B33" s="1563">
        <v>22</v>
      </c>
      <c r="C33" s="1547"/>
      <c r="D33" s="1507"/>
      <c r="E33" s="1492"/>
      <c r="F33" s="1508"/>
      <c r="G33" s="1548"/>
      <c r="H33" s="1534"/>
      <c r="I33" s="1510"/>
      <c r="J33" s="1549"/>
      <c r="K33" s="1535"/>
      <c r="L33" s="1548"/>
      <c r="M33" s="1550"/>
      <c r="N33" s="1512"/>
      <c r="O33" s="1473"/>
      <c r="P33" s="1473"/>
      <c r="Q33" s="1492"/>
    </row>
    <row r="34" spans="2:17" x14ac:dyDescent="0.2">
      <c r="B34" s="1563">
        <v>23</v>
      </c>
      <c r="C34" s="1532" t="s">
        <v>142</v>
      </c>
      <c r="D34" s="1533" t="s">
        <v>67</v>
      </c>
      <c r="E34" s="1492">
        <v>1173</v>
      </c>
      <c r="F34" s="1510">
        <v>893.87</v>
      </c>
      <c r="G34" s="1548">
        <f>ROUND(E34*F34,2)</f>
        <v>1048509.51</v>
      </c>
      <c r="I34" s="1510">
        <f>ROUND(F34*(1+$O$20),2)</f>
        <v>894.72</v>
      </c>
      <c r="J34" s="1549">
        <f>ROUND(E34*I34,2)</f>
        <v>1049506.56</v>
      </c>
      <c r="K34" s="1535"/>
      <c r="L34" s="1548">
        <f>J34-G34</f>
        <v>997.05000000004657</v>
      </c>
      <c r="M34" s="1550"/>
      <c r="N34" s="1512"/>
      <c r="O34" s="1582"/>
      <c r="P34" s="1582"/>
      <c r="Q34" s="1552">
        <f>I34/F34-1</f>
        <v>9.5092127490570277E-4</v>
      </c>
    </row>
    <row r="35" spans="2:17" x14ac:dyDescent="0.2">
      <c r="B35" s="1563">
        <v>24</v>
      </c>
      <c r="C35" s="1547" t="s">
        <v>24</v>
      </c>
      <c r="D35" s="1507" t="s">
        <v>74</v>
      </c>
      <c r="E35" s="1492">
        <v>693267</v>
      </c>
      <c r="F35" s="1510">
        <v>1.1399999999999999</v>
      </c>
      <c r="G35" s="1548">
        <f>ROUND(E35*F35,2)</f>
        <v>790324.38</v>
      </c>
      <c r="I35" s="1510">
        <f>$I$15</f>
        <v>1.1499999999999999</v>
      </c>
      <c r="J35" s="1549">
        <f>ROUND(E35*I35,2)</f>
        <v>797257.05</v>
      </c>
      <c r="K35" s="1535"/>
      <c r="L35" s="1548">
        <f>J35-G35</f>
        <v>6932.6700000000419</v>
      </c>
      <c r="M35" s="1550"/>
      <c r="N35" s="1512"/>
      <c r="O35" s="1473"/>
      <c r="P35" s="1473"/>
      <c r="Q35" s="1552">
        <f>I35/F35-1</f>
        <v>8.7719298245614308E-3</v>
      </c>
    </row>
    <row r="36" spans="2:17" x14ac:dyDescent="0.2">
      <c r="B36" s="1563">
        <v>25</v>
      </c>
      <c r="C36" s="1547" t="s">
        <v>127</v>
      </c>
      <c r="D36" s="1507"/>
      <c r="E36" s="1492"/>
      <c r="F36" s="1510"/>
      <c r="G36" s="1549">
        <f>10369+18059</f>
        <v>28428</v>
      </c>
      <c r="I36" s="1510"/>
      <c r="J36" s="1549">
        <f>G36</f>
        <v>28428</v>
      </c>
      <c r="K36" s="1535"/>
      <c r="L36" s="1548">
        <f>J36-G36</f>
        <v>0</v>
      </c>
      <c r="M36" s="1550"/>
      <c r="N36" s="1512"/>
      <c r="O36" s="1473"/>
      <c r="P36" s="1473"/>
      <c r="Q36" s="1492"/>
    </row>
    <row r="37" spans="2:17" x14ac:dyDescent="0.2">
      <c r="B37" s="1563">
        <v>26</v>
      </c>
      <c r="C37" s="1547"/>
      <c r="D37" s="1507"/>
      <c r="E37" s="1492"/>
      <c r="F37" s="1554"/>
      <c r="G37" s="1507"/>
      <c r="I37" s="1554"/>
      <c r="J37" s="1507"/>
      <c r="K37" s="1509"/>
      <c r="L37" s="1548"/>
      <c r="M37" s="1550"/>
      <c r="N37" s="1512"/>
      <c r="O37" s="1473"/>
      <c r="P37" s="1473"/>
      <c r="Q37" s="1492"/>
    </row>
    <row r="38" spans="2:17" x14ac:dyDescent="0.2">
      <c r="B38" s="1563">
        <v>27</v>
      </c>
      <c r="C38" s="1547"/>
      <c r="D38" s="1507"/>
      <c r="E38" s="1492"/>
      <c r="F38" s="1554"/>
      <c r="G38" s="1548"/>
      <c r="I38" s="1554"/>
      <c r="J38" s="1549"/>
      <c r="K38" s="1535"/>
      <c r="L38" s="1548"/>
      <c r="M38" s="1550"/>
      <c r="N38" s="1512"/>
      <c r="O38" s="1507"/>
      <c r="P38" s="1473"/>
      <c r="Q38" s="1492"/>
    </row>
    <row r="39" spans="2:17" x14ac:dyDescent="0.2">
      <c r="B39" s="1563">
        <v>28</v>
      </c>
      <c r="C39" s="1547" t="s">
        <v>85</v>
      </c>
      <c r="D39" s="1507"/>
      <c r="E39" s="1492"/>
      <c r="F39" s="1554"/>
      <c r="G39" s="1548"/>
      <c r="I39" s="1554"/>
      <c r="J39" s="1549"/>
      <c r="K39" s="1535"/>
      <c r="L39" s="1548"/>
      <c r="M39" s="1550"/>
      <c r="N39" s="1512"/>
      <c r="O39" s="1473"/>
      <c r="P39" s="1473"/>
      <c r="Q39" s="1492"/>
    </row>
    <row r="40" spans="2:17" x14ac:dyDescent="0.2">
      <c r="B40" s="1563">
        <v>29</v>
      </c>
      <c r="C40" s="1547" t="s">
        <v>13</v>
      </c>
      <c r="D40" s="1507" t="s">
        <v>10</v>
      </c>
      <c r="E40" s="1492">
        <f>9821446+16785634</f>
        <v>26607080</v>
      </c>
      <c r="F40" s="1554">
        <v>0.10491</v>
      </c>
      <c r="G40" s="1548">
        <f>ROUND(E40*F40,2)</f>
        <v>2791348.76</v>
      </c>
      <c r="I40" s="1554">
        <f>I20</f>
        <v>0.10501000000000001</v>
      </c>
      <c r="J40" s="1549">
        <f>ROUND(E40*I40,2)</f>
        <v>2794009.47</v>
      </c>
      <c r="K40" s="1535"/>
      <c r="L40" s="1548">
        <f>J40-G40</f>
        <v>2660.7100000004284</v>
      </c>
      <c r="M40" s="1550"/>
      <c r="N40" s="1512"/>
      <c r="O40" s="1473"/>
      <c r="P40" s="1473"/>
      <c r="Q40" s="1552">
        <f>I40/F40-1</f>
        <v>9.5319797922033267E-4</v>
      </c>
    </row>
    <row r="41" spans="2:17" x14ac:dyDescent="0.2">
      <c r="B41" s="1563">
        <v>30</v>
      </c>
      <c r="C41" s="1547" t="s">
        <v>14</v>
      </c>
      <c r="D41" s="1507" t="s">
        <v>10</v>
      </c>
      <c r="E41" s="1492">
        <f>6521125+10041904</f>
        <v>16563029</v>
      </c>
      <c r="F41" s="1554">
        <v>5.3780000000000001E-2</v>
      </c>
      <c r="G41" s="1548">
        <f>ROUND(E41*F41,2)</f>
        <v>890759.7</v>
      </c>
      <c r="I41" s="1554">
        <f>I21</f>
        <v>5.3830000000000003E-2</v>
      </c>
      <c r="J41" s="1549">
        <f>ROUND(E41*I41,2)</f>
        <v>891587.85</v>
      </c>
      <c r="K41" s="1535"/>
      <c r="L41" s="1548">
        <f>J41-G41</f>
        <v>828.15000000002328</v>
      </c>
      <c r="M41" s="1550"/>
      <c r="N41" s="1512"/>
      <c r="O41" s="1473"/>
      <c r="P41" s="1473"/>
      <c r="Q41" s="1552">
        <f>I41/F41-1</f>
        <v>9.2971364819627311E-4</v>
      </c>
    </row>
    <row r="42" spans="2:17" x14ac:dyDescent="0.2">
      <c r="B42" s="1563">
        <v>31</v>
      </c>
      <c r="C42" s="1547" t="s">
        <v>18</v>
      </c>
      <c r="D42" s="1507" t="s">
        <v>10</v>
      </c>
      <c r="E42" s="1492">
        <f>6607556+15128219</f>
        <v>21735775</v>
      </c>
      <c r="F42" s="1554">
        <v>5.1619999999999999E-2</v>
      </c>
      <c r="G42" s="1574">
        <f>ROUND(E42*F42,2)</f>
        <v>1122000.71</v>
      </c>
      <c r="I42" s="1554">
        <f>I22</f>
        <v>5.1670000000000001E-2</v>
      </c>
      <c r="J42" s="1549">
        <f>ROUND(E42*I42,2)</f>
        <v>1123087.49</v>
      </c>
      <c r="K42" s="1535"/>
      <c r="L42" s="1548">
        <f>J42-G42</f>
        <v>1086.7800000000279</v>
      </c>
      <c r="M42" s="1556"/>
      <c r="N42" s="1512"/>
      <c r="O42" s="1473"/>
      <c r="P42" s="1473"/>
      <c r="Q42" s="1552">
        <f>I42/F42-1</f>
        <v>9.6861681518789489E-4</v>
      </c>
    </row>
    <row r="43" spans="2:17" x14ac:dyDescent="0.2">
      <c r="B43" s="1563">
        <v>32</v>
      </c>
      <c r="C43" s="1557" t="s">
        <v>184</v>
      </c>
      <c r="D43" s="1533"/>
      <c r="E43" s="1539">
        <f>SUM(E40:E42)</f>
        <v>64905884</v>
      </c>
      <c r="F43" s="1509"/>
      <c r="G43" s="1558">
        <f>SUM(G34:G42)</f>
        <v>6671371.0600000005</v>
      </c>
      <c r="I43" s="1510"/>
      <c r="J43" s="1558">
        <f>SUM(J34:J42)</f>
        <v>6683876.4199999999</v>
      </c>
      <c r="K43" s="1535"/>
      <c r="L43" s="1558">
        <f>SUM(L34:L42)</f>
        <v>12505.360000000568</v>
      </c>
      <c r="M43" s="1559">
        <f>L43/G43</f>
        <v>1.8744812554318583E-3</v>
      </c>
      <c r="N43" s="1512"/>
      <c r="O43" s="1473"/>
      <c r="P43" s="1473"/>
      <c r="Q43" s="1492"/>
    </row>
    <row r="44" spans="2:17" x14ac:dyDescent="0.2">
      <c r="B44" s="1563">
        <v>33</v>
      </c>
      <c r="C44" s="1532"/>
      <c r="D44" s="1533"/>
      <c r="E44" s="1492"/>
      <c r="F44" s="1509"/>
      <c r="G44" s="1549"/>
      <c r="I44" s="1510"/>
      <c r="J44" s="1549"/>
      <c r="K44" s="1535"/>
      <c r="L44" s="1548"/>
      <c r="M44" s="1550"/>
      <c r="N44" s="1512"/>
      <c r="O44" s="1582"/>
      <c r="P44" s="1473"/>
      <c r="Q44" s="1492"/>
    </row>
    <row r="45" spans="2:17" x14ac:dyDescent="0.2">
      <c r="B45" s="1563">
        <v>34</v>
      </c>
      <c r="C45" s="1547" t="s">
        <v>120</v>
      </c>
      <c r="D45" s="1507" t="s">
        <v>10</v>
      </c>
      <c r="E45" s="1566">
        <f>E43</f>
        <v>64905884</v>
      </c>
      <c r="F45" s="1554">
        <v>6.9999999999999999E-4</v>
      </c>
      <c r="G45" s="1549">
        <f>F45*E45</f>
        <v>45434.118799999997</v>
      </c>
      <c r="H45" s="1567"/>
      <c r="I45" s="1554">
        <f>F45</f>
        <v>6.9999999999999999E-4</v>
      </c>
      <c r="J45" s="1548">
        <f>I45*E45</f>
        <v>45434.118799999997</v>
      </c>
      <c r="K45" s="1535"/>
      <c r="L45" s="1548">
        <f>J45-G45</f>
        <v>0</v>
      </c>
      <c r="M45" s="1550"/>
      <c r="N45" s="1512"/>
      <c r="O45" s="1582"/>
      <c r="P45" s="1582"/>
      <c r="Q45" s="1492"/>
    </row>
    <row r="46" spans="2:17" x14ac:dyDescent="0.2">
      <c r="B46" s="1563">
        <v>35</v>
      </c>
      <c r="C46" s="1547"/>
      <c r="D46" s="1507"/>
      <c r="E46" s="1566"/>
      <c r="F46" s="1554"/>
      <c r="G46" s="1549"/>
      <c r="H46" s="1567"/>
      <c r="I46" s="1554"/>
      <c r="J46" s="1548"/>
      <c r="K46" s="1535"/>
      <c r="L46" s="1548"/>
      <c r="M46" s="1550"/>
      <c r="N46" s="1512"/>
      <c r="O46" s="1582"/>
      <c r="P46" s="1582"/>
      <c r="Q46" s="1492"/>
    </row>
    <row r="47" spans="2:17" x14ac:dyDescent="0.2">
      <c r="B47" s="1563">
        <v>36</v>
      </c>
      <c r="C47" s="1532" t="s">
        <v>26</v>
      </c>
      <c r="D47" s="1507"/>
      <c r="E47" s="1492"/>
      <c r="F47" s="1510"/>
      <c r="G47" s="1558">
        <f>G45+G43</f>
        <v>6716805.1788000008</v>
      </c>
      <c r="H47" s="1473"/>
      <c r="I47" s="1510"/>
      <c r="J47" s="1558">
        <f>J45+J43</f>
        <v>6729310.5388000002</v>
      </c>
      <c r="K47" s="1509"/>
      <c r="L47" s="1558">
        <f>L45+L43</f>
        <v>12505.360000000568</v>
      </c>
      <c r="M47" s="1559">
        <f>ROUND(L47/G47,5)</f>
        <v>1.8600000000000001E-3</v>
      </c>
      <c r="N47" s="1512"/>
      <c r="O47" s="1583"/>
      <c r="P47" s="1473"/>
      <c r="Q47" s="1567"/>
    </row>
    <row r="48" spans="2:17" x14ac:dyDescent="0.2">
      <c r="B48" s="1563">
        <v>37</v>
      </c>
      <c r="C48" s="1570"/>
      <c r="D48" s="1571"/>
      <c r="E48" s="1572"/>
      <c r="F48" s="1573"/>
      <c r="G48" s="1574"/>
      <c r="H48" s="1572"/>
      <c r="I48" s="1575"/>
      <c r="J48" s="1584"/>
      <c r="K48" s="1576"/>
      <c r="L48" s="1574"/>
      <c r="M48" s="1577"/>
      <c r="N48" s="1512"/>
      <c r="O48" s="1473"/>
      <c r="P48" s="1473"/>
      <c r="Q48" s="1492"/>
    </row>
    <row r="49" spans="2:17" x14ac:dyDescent="0.2">
      <c r="B49" s="1563">
        <v>38</v>
      </c>
      <c r="C49" s="1585" t="s">
        <v>139</v>
      </c>
      <c r="D49" s="1538"/>
      <c r="E49" s="1539"/>
      <c r="F49" s="1540"/>
      <c r="G49" s="1541"/>
      <c r="H49" s="1542"/>
      <c r="I49" s="1543"/>
      <c r="J49" s="1544"/>
      <c r="K49" s="1544"/>
      <c r="L49" s="1541"/>
      <c r="M49" s="1545"/>
      <c r="N49" s="1512"/>
      <c r="O49" s="1473"/>
      <c r="P49" s="1473"/>
      <c r="Q49" s="1492"/>
    </row>
    <row r="50" spans="2:17" x14ac:dyDescent="0.2">
      <c r="B50" s="1563">
        <v>39</v>
      </c>
      <c r="C50" s="1547"/>
      <c r="D50" s="1507"/>
      <c r="E50" s="1492"/>
      <c r="F50" s="1554"/>
      <c r="G50" s="1569"/>
      <c r="H50" s="1534"/>
      <c r="I50" s="1510"/>
      <c r="J50" s="1578"/>
      <c r="K50" s="1579"/>
      <c r="L50" s="1569"/>
      <c r="M50" s="1586"/>
      <c r="N50" s="1512"/>
      <c r="O50" s="1473"/>
      <c r="P50" s="1473"/>
      <c r="Q50" s="1492"/>
    </row>
    <row r="51" spans="2:17" x14ac:dyDescent="0.2">
      <c r="B51" s="1563">
        <v>40</v>
      </c>
      <c r="C51" s="1532" t="s">
        <v>142</v>
      </c>
      <c r="D51" s="1533" t="s">
        <v>67</v>
      </c>
      <c r="E51" s="1492">
        <f>E34+E14</f>
        <v>1594</v>
      </c>
      <c r="F51" s="1510"/>
      <c r="G51" s="1569">
        <f>G14+G34</f>
        <v>1283713.79</v>
      </c>
      <c r="I51" s="1510"/>
      <c r="J51" s="1569">
        <f>J14+J34</f>
        <v>1284933.97</v>
      </c>
      <c r="K51" s="1579"/>
      <c r="L51" s="1569">
        <f>J51-G51</f>
        <v>1220.1799999999348</v>
      </c>
      <c r="M51" s="1586"/>
      <c r="N51" s="1512"/>
      <c r="O51" s="1473"/>
      <c r="P51" s="1473"/>
      <c r="Q51" s="1552"/>
    </row>
    <row r="52" spans="2:17" x14ac:dyDescent="0.2">
      <c r="B52" s="1563">
        <v>41</v>
      </c>
      <c r="C52" s="1547" t="s">
        <v>24</v>
      </c>
      <c r="D52" s="1507" t="s">
        <v>74</v>
      </c>
      <c r="E52" s="1492">
        <f>E35+E15</f>
        <v>813767</v>
      </c>
      <c r="F52" s="1510"/>
      <c r="G52" s="1569">
        <f>G15+G35</f>
        <v>927694.38</v>
      </c>
      <c r="I52" s="1510"/>
      <c r="J52" s="1569">
        <f>J15+J35</f>
        <v>935832.05</v>
      </c>
      <c r="K52" s="1579"/>
      <c r="L52" s="1569">
        <f>J52-G52</f>
        <v>8137.6700000000419</v>
      </c>
      <c r="M52" s="1586"/>
      <c r="N52" s="1512"/>
      <c r="O52" s="1473"/>
      <c r="P52" s="1473"/>
      <c r="Q52" s="1552"/>
    </row>
    <row r="53" spans="2:17" x14ac:dyDescent="0.2">
      <c r="B53" s="1563">
        <v>42</v>
      </c>
      <c r="C53" s="1547" t="s">
        <v>66</v>
      </c>
      <c r="D53" s="1507" t="s">
        <v>10</v>
      </c>
      <c r="E53" s="1492">
        <f>E36+E16</f>
        <v>17284828</v>
      </c>
      <c r="F53" s="1510"/>
      <c r="G53" s="1569">
        <f>G16</f>
        <v>116845.43728000001</v>
      </c>
      <c r="I53" s="1510"/>
      <c r="J53" s="1569">
        <f>J16</f>
        <v>117018.29</v>
      </c>
      <c r="K53" s="1579"/>
      <c r="L53" s="1569">
        <f>J53-G53</f>
        <v>172.85271999998076</v>
      </c>
      <c r="M53" s="1586"/>
      <c r="N53" s="1512"/>
      <c r="O53" s="1473"/>
      <c r="P53" s="1473"/>
      <c r="Q53" s="1552"/>
    </row>
    <row r="54" spans="2:17" x14ac:dyDescent="0.2">
      <c r="B54" s="1563">
        <v>43</v>
      </c>
      <c r="C54" s="1547" t="s">
        <v>127</v>
      </c>
      <c r="D54" s="1507"/>
      <c r="E54" s="1492"/>
      <c r="F54" s="1510"/>
      <c r="G54" s="1578">
        <f>G17+G36</f>
        <v>62454</v>
      </c>
      <c r="I54" s="1510"/>
      <c r="J54" s="1578">
        <f>J17+J36</f>
        <v>62454</v>
      </c>
      <c r="K54" s="1579"/>
      <c r="L54" s="1569">
        <f>J54-G54</f>
        <v>0</v>
      </c>
      <c r="M54" s="1586"/>
      <c r="N54" s="1512"/>
      <c r="O54" s="1473"/>
      <c r="P54" s="1473"/>
      <c r="Q54" s="1492"/>
    </row>
    <row r="55" spans="2:17" x14ac:dyDescent="0.2">
      <c r="B55" s="1563">
        <v>44</v>
      </c>
      <c r="C55" s="1547"/>
      <c r="D55" s="1507"/>
      <c r="E55" s="1492"/>
      <c r="F55" s="1554"/>
      <c r="G55" s="1473"/>
      <c r="I55" s="1554"/>
      <c r="J55" s="1473"/>
      <c r="K55" s="1510"/>
      <c r="L55" s="1569"/>
      <c r="M55" s="1586"/>
      <c r="N55" s="1512"/>
      <c r="O55" s="1473"/>
      <c r="P55" s="1473"/>
      <c r="Q55" s="1492"/>
    </row>
    <row r="56" spans="2:17" x14ac:dyDescent="0.2">
      <c r="B56" s="1563">
        <v>45</v>
      </c>
      <c r="C56" s="1547" t="s">
        <v>85</v>
      </c>
      <c r="D56" s="1507"/>
      <c r="E56" s="1492"/>
      <c r="F56" s="1554"/>
      <c r="G56" s="1569"/>
      <c r="I56" s="1554"/>
      <c r="J56" s="1569"/>
      <c r="K56" s="1579"/>
      <c r="L56" s="1569"/>
      <c r="M56" s="1586"/>
      <c r="N56" s="1512"/>
      <c r="O56" s="1473"/>
      <c r="P56" s="1473"/>
      <c r="Q56" s="1492"/>
    </row>
    <row r="57" spans="2:17" x14ac:dyDescent="0.2">
      <c r="B57" s="1563">
        <v>46</v>
      </c>
      <c r="C57" s="1547" t="s">
        <v>13</v>
      </c>
      <c r="D57" s="1507" t="s">
        <v>10</v>
      </c>
      <c r="E57" s="1492">
        <f>E40+E20</f>
        <v>35386983</v>
      </c>
      <c r="F57" s="1554"/>
      <c r="G57" s="1569">
        <f>G20+G40</f>
        <v>3712448.38</v>
      </c>
      <c r="I57" s="1554"/>
      <c r="J57" s="1569">
        <f>J20+J40</f>
        <v>3715987.08</v>
      </c>
      <c r="K57" s="1579"/>
      <c r="L57" s="1569">
        <f>J57-G57</f>
        <v>3538.7000000001863</v>
      </c>
      <c r="M57" s="1586"/>
      <c r="N57" s="1512"/>
      <c r="O57" s="1473"/>
      <c r="P57" s="1473"/>
      <c r="Q57" s="1492"/>
    </row>
    <row r="58" spans="2:17" x14ac:dyDescent="0.2">
      <c r="B58" s="1563">
        <v>47</v>
      </c>
      <c r="C58" s="1547" t="s">
        <v>14</v>
      </c>
      <c r="D58" s="1507" t="s">
        <v>10</v>
      </c>
      <c r="E58" s="1492">
        <f>E41+E21</f>
        <v>20351367</v>
      </c>
      <c r="F58" s="1554"/>
      <c r="G58" s="1569">
        <f>G21+G41</f>
        <v>1094496.52</v>
      </c>
      <c r="I58" s="1554"/>
      <c r="J58" s="1569">
        <f>J21+J41</f>
        <v>1095514.08</v>
      </c>
      <c r="K58" s="1579"/>
      <c r="L58" s="1569">
        <f>J58-G58</f>
        <v>1017.5600000000559</v>
      </c>
      <c r="M58" s="1586"/>
      <c r="N58" s="1512"/>
      <c r="O58" s="1473"/>
      <c r="P58" s="1473"/>
      <c r="Q58" s="1492"/>
    </row>
    <row r="59" spans="2:17" x14ac:dyDescent="0.2">
      <c r="B59" s="1563">
        <v>48</v>
      </c>
      <c r="C59" s="1547" t="s">
        <v>15</v>
      </c>
      <c r="D59" s="1507" t="s">
        <v>10</v>
      </c>
      <c r="E59" s="1492">
        <f>E42+E22</f>
        <v>26452362</v>
      </c>
      <c r="F59" s="1554"/>
      <c r="G59" s="1587">
        <f>G22+G42</f>
        <v>1365470.93</v>
      </c>
      <c r="I59" s="1554"/>
      <c r="J59" s="1587">
        <f>J22+J42</f>
        <v>1366793.54</v>
      </c>
      <c r="K59" s="1579"/>
      <c r="L59" s="1569">
        <f>J59-G59</f>
        <v>1322.6100000001024</v>
      </c>
      <c r="M59" s="1588"/>
      <c r="N59" s="1512"/>
      <c r="O59" s="1473"/>
      <c r="P59" s="1473"/>
      <c r="Q59" s="1492"/>
    </row>
    <row r="60" spans="2:17" x14ac:dyDescent="0.2">
      <c r="B60" s="1563">
        <v>49</v>
      </c>
      <c r="C60" s="1557" t="s">
        <v>184</v>
      </c>
      <c r="D60" s="1533"/>
      <c r="E60" s="1539">
        <f>SUM(E57:E59)</f>
        <v>82190712</v>
      </c>
      <c r="F60" s="1510"/>
      <c r="G60" s="1589">
        <f>SUM(G51:G59)</f>
        <v>8563123.4372799993</v>
      </c>
      <c r="I60" s="1510"/>
      <c r="J60" s="1589">
        <f>SUM(J51:J59)</f>
        <v>8578533.0100000016</v>
      </c>
      <c r="K60" s="1579"/>
      <c r="L60" s="1589">
        <f>SUM(L51:L59)</f>
        <v>15409.572720000302</v>
      </c>
      <c r="M60" s="1559">
        <f>L60/G60</f>
        <v>1.7995271039669863E-3</v>
      </c>
      <c r="N60" s="1512"/>
      <c r="O60" s="1473"/>
      <c r="P60" s="1473"/>
      <c r="Q60" s="1492"/>
    </row>
    <row r="61" spans="2:17" x14ac:dyDescent="0.2">
      <c r="B61" s="1563">
        <v>50</v>
      </c>
      <c r="C61" s="1532"/>
      <c r="D61" s="1533"/>
      <c r="E61" s="1492"/>
      <c r="F61" s="1510"/>
      <c r="G61" s="1578"/>
      <c r="I61" s="1510"/>
      <c r="J61" s="1578"/>
      <c r="K61" s="1579"/>
      <c r="L61" s="1569"/>
      <c r="M61" s="1586"/>
      <c r="N61" s="1512"/>
      <c r="O61" s="1473"/>
      <c r="P61" s="1473"/>
      <c r="Q61" s="1492"/>
    </row>
    <row r="62" spans="2:17" x14ac:dyDescent="0.2">
      <c r="B62" s="1563">
        <v>51</v>
      </c>
      <c r="C62" s="1565" t="s">
        <v>145</v>
      </c>
      <c r="D62" s="1533"/>
      <c r="E62" s="1492"/>
      <c r="F62" s="1510"/>
      <c r="G62" s="1578"/>
      <c r="I62" s="1510"/>
      <c r="J62" s="1578"/>
      <c r="K62" s="1579"/>
      <c r="L62" s="1569"/>
      <c r="M62" s="1586"/>
      <c r="N62" s="1512"/>
      <c r="O62" s="1473"/>
      <c r="P62" s="1473"/>
      <c r="Q62" s="1492"/>
    </row>
    <row r="63" spans="2:17" x14ac:dyDescent="0.2">
      <c r="B63" s="1563">
        <v>52</v>
      </c>
      <c r="C63" s="1547" t="s">
        <v>86</v>
      </c>
      <c r="D63" s="1533"/>
      <c r="E63" s="1492">
        <f>E26</f>
        <v>17284828</v>
      </c>
      <c r="F63" s="1510"/>
      <c r="G63" s="1578">
        <f>G26</f>
        <v>11436852.142759999</v>
      </c>
      <c r="I63" s="1510"/>
      <c r="J63" s="1578">
        <f>J26</f>
        <v>11436852.142759999</v>
      </c>
      <c r="K63" s="1579"/>
      <c r="L63" s="1569">
        <f>J63-G63</f>
        <v>0</v>
      </c>
      <c r="M63" s="1586"/>
      <c r="N63" s="1512"/>
      <c r="O63" s="1473"/>
      <c r="P63" s="1473"/>
      <c r="Q63" s="1492"/>
    </row>
    <row r="64" spans="2:17" x14ac:dyDescent="0.2">
      <c r="B64" s="1563">
        <v>53</v>
      </c>
      <c r="C64" s="1547" t="s">
        <v>24</v>
      </c>
      <c r="D64" s="1533"/>
      <c r="E64" s="1492">
        <f>E27</f>
        <v>120500</v>
      </c>
      <c r="F64" s="1510"/>
      <c r="G64" s="1578">
        <f>G27</f>
        <v>126525</v>
      </c>
      <c r="I64" s="1510"/>
      <c r="J64" s="1578">
        <f>J27</f>
        <v>126525</v>
      </c>
      <c r="K64" s="1579"/>
      <c r="L64" s="1569">
        <f>J64-G64</f>
        <v>0</v>
      </c>
      <c r="M64" s="1586"/>
      <c r="N64" s="1512"/>
      <c r="O64" s="1473"/>
      <c r="P64" s="1473"/>
      <c r="Q64" s="1492"/>
    </row>
    <row r="65" spans="2:17" x14ac:dyDescent="0.2">
      <c r="B65" s="1563">
        <v>54</v>
      </c>
      <c r="C65" s="1547" t="s">
        <v>120</v>
      </c>
      <c r="D65" s="1507" t="s">
        <v>10</v>
      </c>
      <c r="E65" s="1492">
        <f>E45</f>
        <v>64905884</v>
      </c>
      <c r="F65" s="1510"/>
      <c r="G65" s="1578">
        <f>G45</f>
        <v>45434.118799999997</v>
      </c>
      <c r="I65" s="1510"/>
      <c r="J65" s="1578">
        <f>J45</f>
        <v>45434.118799999997</v>
      </c>
      <c r="K65" s="1579"/>
      <c r="L65" s="1569">
        <f>J65-G65</f>
        <v>0</v>
      </c>
      <c r="M65" s="1586"/>
      <c r="N65" s="1512"/>
      <c r="O65" s="1473"/>
      <c r="P65" s="1473"/>
      <c r="Q65" s="1492"/>
    </row>
    <row r="66" spans="2:17" x14ac:dyDescent="0.2">
      <c r="B66" s="1563">
        <v>55</v>
      </c>
      <c r="C66" s="1532" t="s">
        <v>185</v>
      </c>
      <c r="D66" s="1533"/>
      <c r="E66" s="1492"/>
      <c r="F66" s="1510"/>
      <c r="G66" s="1589">
        <f>SUM(G63:G65)</f>
        <v>11608811.261559999</v>
      </c>
      <c r="I66" s="1510"/>
      <c r="J66" s="1589">
        <f>SUM(J63:J65)</f>
        <v>11608811.261559999</v>
      </c>
      <c r="K66" s="1579"/>
      <c r="L66" s="1589">
        <f>SUM(L63:L65)</f>
        <v>0</v>
      </c>
      <c r="M66" s="1559">
        <f>L66/G66</f>
        <v>0</v>
      </c>
      <c r="N66" s="1512"/>
      <c r="O66" s="1473"/>
      <c r="P66" s="1473"/>
      <c r="Q66" s="1492"/>
    </row>
    <row r="67" spans="2:17" x14ac:dyDescent="0.2">
      <c r="B67" s="1563">
        <v>56</v>
      </c>
      <c r="C67" s="1532"/>
      <c r="D67" s="1533"/>
      <c r="E67" s="1492"/>
      <c r="F67" s="1510"/>
      <c r="G67" s="1578"/>
      <c r="I67" s="1510"/>
      <c r="J67" s="1578"/>
      <c r="K67" s="1579"/>
      <c r="L67" s="1569"/>
      <c r="M67" s="1586"/>
      <c r="N67" s="1512"/>
      <c r="O67" s="1473"/>
      <c r="P67" s="1473"/>
      <c r="Q67" s="1492"/>
    </row>
    <row r="68" spans="2:17" x14ac:dyDescent="0.2">
      <c r="B68" s="1563">
        <v>57</v>
      </c>
      <c r="C68" s="1547" t="s">
        <v>26</v>
      </c>
      <c r="D68" s="1507"/>
      <c r="E68" s="1492"/>
      <c r="F68" s="1510"/>
      <c r="G68" s="1589">
        <f>G60+G66</f>
        <v>20171934.69884</v>
      </c>
      <c r="I68" s="1510"/>
      <c r="J68" s="1589">
        <f>J60+J66</f>
        <v>20187344.271559998</v>
      </c>
      <c r="K68" s="1579"/>
      <c r="L68" s="1589">
        <f>L60+L66</f>
        <v>15409.572720000302</v>
      </c>
      <c r="M68" s="1559">
        <f>L68/G68</f>
        <v>7.6391149138939254E-4</v>
      </c>
      <c r="N68" s="1512"/>
    </row>
    <row r="69" spans="2:17" x14ac:dyDescent="0.2">
      <c r="B69" s="1563">
        <v>58</v>
      </c>
      <c r="C69" s="1570"/>
      <c r="D69" s="1571"/>
      <c r="E69" s="1572"/>
      <c r="F69" s="1590"/>
      <c r="G69" s="1587"/>
      <c r="H69" s="1572"/>
      <c r="I69" s="1575"/>
      <c r="J69" s="1591"/>
      <c r="K69" s="1592"/>
      <c r="L69" s="1587"/>
      <c r="M69" s="1593"/>
      <c r="N69" s="1512"/>
    </row>
    <row r="70" spans="2:17" x14ac:dyDescent="0.2">
      <c r="B70" s="1563">
        <v>59</v>
      </c>
      <c r="C70" s="1537" t="s">
        <v>148</v>
      </c>
      <c r="D70" s="1538"/>
      <c r="E70" s="1539"/>
      <c r="F70" s="1540"/>
      <c r="G70" s="1541"/>
      <c r="H70" s="1539"/>
      <c r="I70" s="1543"/>
      <c r="J70" s="1558"/>
      <c r="K70" s="1544"/>
      <c r="L70" s="1541"/>
      <c r="M70" s="1594"/>
      <c r="N70" s="1595"/>
      <c r="O70" s="1596" t="s">
        <v>197</v>
      </c>
    </row>
    <row r="71" spans="2:17" x14ac:dyDescent="0.2">
      <c r="B71" s="1563">
        <v>60</v>
      </c>
      <c r="C71" s="1547"/>
      <c r="D71" s="1507"/>
      <c r="E71" s="1492"/>
      <c r="F71" s="1508"/>
      <c r="G71" s="1548"/>
      <c r="H71" s="1534"/>
      <c r="I71" s="1510"/>
      <c r="J71" s="1549"/>
      <c r="K71" s="1535"/>
      <c r="L71" s="1548"/>
      <c r="M71" s="1550"/>
      <c r="N71" s="1595"/>
      <c r="O71" s="1812">
        <f>'Exhibit No._(CTM-4), Pg. 2'!J19</f>
        <v>0</v>
      </c>
    </row>
    <row r="72" spans="2:17" x14ac:dyDescent="0.2">
      <c r="B72" s="1563">
        <v>61</v>
      </c>
      <c r="C72" s="1532" t="s">
        <v>142</v>
      </c>
      <c r="D72" s="1533" t="s">
        <v>67</v>
      </c>
      <c r="E72" s="1492">
        <v>4023</v>
      </c>
      <c r="F72" s="1510">
        <v>142.79</v>
      </c>
      <c r="G72" s="1548">
        <f>ROUND(E72*F72,2)</f>
        <v>574444.17000000004</v>
      </c>
      <c r="I72" s="1510">
        <f>ROUND(F72*(1+$O$78),2)</f>
        <v>142.79</v>
      </c>
      <c r="J72" s="1549">
        <f>ROUND(E72*I72,2)</f>
        <v>574444.17000000004</v>
      </c>
      <c r="K72" s="1535"/>
      <c r="L72" s="1548">
        <f>J72-G72</f>
        <v>0</v>
      </c>
      <c r="M72" s="1550"/>
      <c r="N72" s="1512"/>
      <c r="O72" s="1551" t="s">
        <v>118</v>
      </c>
      <c r="Q72" s="1552">
        <f>I72/F72-1</f>
        <v>0</v>
      </c>
    </row>
    <row r="73" spans="2:17" x14ac:dyDescent="0.2">
      <c r="B73" s="1563">
        <v>62</v>
      </c>
      <c r="C73" s="1547" t="s">
        <v>24</v>
      </c>
      <c r="D73" s="1507" t="s">
        <v>74</v>
      </c>
      <c r="E73" s="1492">
        <v>109265</v>
      </c>
      <c r="F73" s="1510">
        <v>1.1399999999999999</v>
      </c>
      <c r="G73" s="1548">
        <f>ROUND(E73*F73,2)</f>
        <v>124562.1</v>
      </c>
      <c r="I73" s="1510">
        <f>$I$127</f>
        <v>1.1499999999999999</v>
      </c>
      <c r="J73" s="1549">
        <f>ROUND(E73*I73,2)</f>
        <v>125654.75</v>
      </c>
      <c r="K73" s="1535"/>
      <c r="L73" s="1548">
        <f>J73-G73</f>
        <v>1092.6499999999942</v>
      </c>
      <c r="M73" s="1550"/>
      <c r="N73" s="1512"/>
      <c r="O73" s="1553">
        <f>L80+L98-O71</f>
        <v>1092.6499999999942</v>
      </c>
      <c r="Q73" s="1552">
        <f>I73/F73-1</f>
        <v>8.7719298245614308E-3</v>
      </c>
    </row>
    <row r="74" spans="2:17" x14ac:dyDescent="0.2">
      <c r="B74" s="1563">
        <v>63</v>
      </c>
      <c r="C74" s="1547" t="s">
        <v>66</v>
      </c>
      <c r="D74" s="1507" t="s">
        <v>10</v>
      </c>
      <c r="E74" s="1492">
        <f>E80</f>
        <v>13889578</v>
      </c>
      <c r="F74" s="1554">
        <v>6.7499999999999999E-3</v>
      </c>
      <c r="G74" s="1548">
        <f>ROUND(E74*F74,2)</f>
        <v>93754.65</v>
      </c>
      <c r="I74" s="1554">
        <f>ROUND(F74*(1+$O$78),5)</f>
        <v>6.7499999999999999E-3</v>
      </c>
      <c r="J74" s="1549">
        <f>ROUND(E80*I74,2)</f>
        <v>93754.65</v>
      </c>
      <c r="K74" s="1535"/>
      <c r="L74" s="1548">
        <f>J74-G74</f>
        <v>0</v>
      </c>
      <c r="M74" s="1550"/>
      <c r="N74" s="1512"/>
      <c r="Q74" s="1552">
        <f>I74/F74-1</f>
        <v>0</v>
      </c>
    </row>
    <row r="75" spans="2:17" x14ac:dyDescent="0.2">
      <c r="B75" s="1563">
        <v>64</v>
      </c>
      <c r="C75" s="1547" t="s">
        <v>127</v>
      </c>
      <c r="D75" s="1507"/>
      <c r="E75" s="1492"/>
      <c r="F75" s="1554"/>
      <c r="G75" s="1549">
        <f>26978+1255</f>
        <v>28233</v>
      </c>
      <c r="I75" s="1554"/>
      <c r="J75" s="1549">
        <f>G75</f>
        <v>28233</v>
      </c>
      <c r="K75" s="1535"/>
      <c r="L75" s="1548">
        <f>J75-G75</f>
        <v>0</v>
      </c>
      <c r="M75" s="1550"/>
      <c r="N75" s="1512"/>
      <c r="O75" s="1555"/>
    </row>
    <row r="76" spans="2:17" x14ac:dyDescent="0.2">
      <c r="B76" s="1563">
        <v>65</v>
      </c>
      <c r="C76" s="1547"/>
      <c r="D76" s="1507"/>
      <c r="E76" s="1492"/>
      <c r="F76" s="1554"/>
      <c r="G76" s="1548"/>
      <c r="I76" s="1554"/>
      <c r="J76" s="1549"/>
      <c r="K76" s="1535"/>
      <c r="L76" s="1548"/>
      <c r="M76" s="1550"/>
      <c r="N76" s="1512"/>
      <c r="O76" s="1520"/>
      <c r="P76" s="1563"/>
      <c r="Q76" s="1563"/>
    </row>
    <row r="77" spans="2:17" x14ac:dyDescent="0.2">
      <c r="B77" s="1563">
        <v>66</v>
      </c>
      <c r="C77" s="1547" t="s">
        <v>85</v>
      </c>
      <c r="D77" s="1507"/>
      <c r="E77" s="1492"/>
      <c r="F77" s="1554"/>
      <c r="G77" s="1548"/>
      <c r="I77" s="1554"/>
      <c r="J77" s="1549"/>
      <c r="K77" s="1535"/>
      <c r="L77" s="1548"/>
      <c r="M77" s="1550"/>
      <c r="N77" s="1512"/>
      <c r="O77" s="1597"/>
      <c r="P77" s="1520"/>
      <c r="Q77" s="1563"/>
    </row>
    <row r="78" spans="2:17" x14ac:dyDescent="0.2">
      <c r="B78" s="1563">
        <v>67</v>
      </c>
      <c r="C78" s="1598" t="s">
        <v>16</v>
      </c>
      <c r="D78" s="1473" t="s">
        <v>10</v>
      </c>
      <c r="E78" s="1492">
        <f>3136311+97605</f>
        <v>3233916</v>
      </c>
      <c r="F78" s="1554">
        <v>0.20305999999999999</v>
      </c>
      <c r="G78" s="1548">
        <f>ROUND(E78*F78,2)</f>
        <v>656678.98</v>
      </c>
      <c r="I78" s="1554">
        <f>ROUND(F78*(1+$O$78),5)</f>
        <v>0.20305999999999999</v>
      </c>
      <c r="J78" s="1549">
        <f>ROUND(E78*I78,2)</f>
        <v>656678.98</v>
      </c>
      <c r="K78" s="1535"/>
      <c r="L78" s="1548">
        <f>J78-G78</f>
        <v>0</v>
      </c>
      <c r="M78" s="1550"/>
      <c r="N78" s="1512"/>
      <c r="O78" s="1813">
        <v>0</v>
      </c>
      <c r="P78" s="1563"/>
      <c r="Q78" s="1552">
        <f>I78/F78-1</f>
        <v>0</v>
      </c>
    </row>
    <row r="79" spans="2:17" ht="12.75" customHeight="1" x14ac:dyDescent="0.2">
      <c r="B79" s="1563">
        <v>68</v>
      </c>
      <c r="C79" s="1598" t="s">
        <v>17</v>
      </c>
      <c r="D79" s="1473" t="s">
        <v>10</v>
      </c>
      <c r="E79" s="1492">
        <f>9920935+734727</f>
        <v>10655662</v>
      </c>
      <c r="F79" s="1554">
        <v>0.14559</v>
      </c>
      <c r="G79" s="1548">
        <f>ROUND(E79*F79,2)</f>
        <v>1551357.83</v>
      </c>
      <c r="I79" s="1554">
        <f>ROUND(F79*(1+$O$78),5)</f>
        <v>0.14559</v>
      </c>
      <c r="J79" s="1549">
        <f>ROUND(E79*I79,2)</f>
        <v>1551357.83</v>
      </c>
      <c r="K79" s="1535"/>
      <c r="L79" s="1548">
        <f>J79-G79</f>
        <v>0</v>
      </c>
      <c r="M79" s="1550"/>
      <c r="N79" s="1512"/>
      <c r="O79" s="1597"/>
      <c r="P79" s="1563"/>
      <c r="Q79" s="1552">
        <f>I79/F79-1</f>
        <v>0</v>
      </c>
    </row>
    <row r="80" spans="2:17" ht="12.75" customHeight="1" x14ac:dyDescent="0.2">
      <c r="B80" s="1563">
        <v>69</v>
      </c>
      <c r="C80" s="1557" t="s">
        <v>184</v>
      </c>
      <c r="D80" s="1507" t="s">
        <v>10</v>
      </c>
      <c r="E80" s="1539">
        <f>SUM(E78:E79)</f>
        <v>13889578</v>
      </c>
      <c r="F80" s="1508"/>
      <c r="G80" s="1558">
        <f>SUM(G72:G79)</f>
        <v>3029030.73</v>
      </c>
      <c r="I80" s="1510"/>
      <c r="J80" s="1558">
        <f>SUM(J72:J79)</f>
        <v>3030123.38</v>
      </c>
      <c r="K80" s="1535"/>
      <c r="L80" s="1558">
        <f>SUM(L72:L79)</f>
        <v>1092.6499999999942</v>
      </c>
      <c r="M80" s="1545">
        <f>L80/G80</f>
        <v>3.6072595407442238E-4</v>
      </c>
      <c r="N80" s="1512"/>
      <c r="O80" s="1599"/>
      <c r="P80" s="1563"/>
      <c r="Q80" s="1564"/>
    </row>
    <row r="81" spans="1:17" x14ac:dyDescent="0.2">
      <c r="B81" s="1563">
        <v>70</v>
      </c>
      <c r="C81" s="1532"/>
      <c r="D81" s="1533"/>
      <c r="E81" s="1492"/>
      <c r="F81" s="1508"/>
      <c r="G81" s="1549"/>
      <c r="I81" s="1510"/>
      <c r="J81" s="1549"/>
      <c r="K81" s="1535"/>
      <c r="L81" s="1548"/>
      <c r="M81" s="1556"/>
      <c r="N81" s="1568"/>
      <c r="O81" s="1562"/>
      <c r="P81" s="1563"/>
      <c r="Q81" s="1564"/>
    </row>
    <row r="82" spans="1:17" x14ac:dyDescent="0.2">
      <c r="B82" s="1563">
        <v>71</v>
      </c>
      <c r="C82" s="1565" t="s">
        <v>145</v>
      </c>
      <c r="D82" s="1533"/>
      <c r="E82" s="1492"/>
      <c r="F82" s="1508"/>
      <c r="G82" s="1549"/>
      <c r="I82" s="1510"/>
      <c r="J82" s="1549"/>
      <c r="K82" s="1535"/>
      <c r="L82" s="1548"/>
      <c r="M82" s="1556"/>
      <c r="N82" s="1512"/>
    </row>
    <row r="83" spans="1:17" x14ac:dyDescent="0.2">
      <c r="B83" s="1563">
        <v>72</v>
      </c>
      <c r="C83" s="1547" t="s">
        <v>86</v>
      </c>
      <c r="D83" s="1507" t="s">
        <v>10</v>
      </c>
      <c r="E83" s="1566">
        <f>E80</f>
        <v>13889578</v>
      </c>
      <c r="F83" s="1554">
        <v>0.66600000000000004</v>
      </c>
      <c r="G83" s="1549">
        <f>+E83*F83</f>
        <v>9250458.9480000008</v>
      </c>
      <c r="H83" s="1567"/>
      <c r="I83" s="1554">
        <f>F83</f>
        <v>0.66600000000000004</v>
      </c>
      <c r="J83" s="1549">
        <f>+E83*I83</f>
        <v>9250458.9480000008</v>
      </c>
      <c r="K83" s="1535"/>
      <c r="L83" s="1548">
        <f>J83-G83</f>
        <v>0</v>
      </c>
      <c r="M83" s="1550"/>
      <c r="N83" s="1512"/>
      <c r="O83" s="1562"/>
      <c r="P83" s="1563"/>
      <c r="Q83" s="1564"/>
    </row>
    <row r="84" spans="1:17" x14ac:dyDescent="0.2">
      <c r="B84" s="1563">
        <v>73</v>
      </c>
      <c r="C84" s="1547" t="s">
        <v>24</v>
      </c>
      <c r="D84" s="1507" t="s">
        <v>74</v>
      </c>
      <c r="E84" s="1566">
        <f>E73</f>
        <v>109265</v>
      </c>
      <c r="F84" s="1510">
        <v>1.05</v>
      </c>
      <c r="G84" s="1549">
        <f>E84*F84</f>
        <v>114728.25</v>
      </c>
      <c r="H84" s="1567"/>
      <c r="I84" s="1510">
        <f>I27</f>
        <v>1.05</v>
      </c>
      <c r="J84" s="1549">
        <f>E84*I84</f>
        <v>114728.25</v>
      </c>
      <c r="K84" s="1535"/>
      <c r="L84" s="1548">
        <f>J84-G84</f>
        <v>0</v>
      </c>
      <c r="M84" s="1556"/>
      <c r="N84" s="1512"/>
    </row>
    <row r="85" spans="1:17" x14ac:dyDescent="0.2">
      <c r="B85" s="1563">
        <v>74</v>
      </c>
      <c r="C85" s="1532" t="s">
        <v>185</v>
      </c>
      <c r="D85" s="1533"/>
      <c r="E85" s="1473"/>
      <c r="F85" s="1509"/>
      <c r="G85" s="1558">
        <f>SUM(G83:G84)</f>
        <v>9365187.1980000008</v>
      </c>
      <c r="H85" s="1473"/>
      <c r="I85" s="1510"/>
      <c r="J85" s="1558">
        <f>SUM(J83:J84)</f>
        <v>9365187.1980000008</v>
      </c>
      <c r="K85" s="1509"/>
      <c r="L85" s="1558">
        <f>SUM(L83:L84)</f>
        <v>0</v>
      </c>
      <c r="M85" s="1545">
        <f>ROUND(L85/G85,5)</f>
        <v>0</v>
      </c>
      <c r="N85" s="1512"/>
    </row>
    <row r="86" spans="1:17" x14ac:dyDescent="0.2">
      <c r="B86" s="1563">
        <v>75</v>
      </c>
      <c r="C86" s="1547"/>
      <c r="D86" s="1507"/>
      <c r="E86" s="1492"/>
      <c r="F86" s="1508"/>
      <c r="G86" s="1549"/>
      <c r="I86" s="1510"/>
      <c r="J86" s="1549"/>
      <c r="K86" s="1535"/>
      <c r="L86" s="1548"/>
      <c r="M86" s="1556"/>
      <c r="N86" s="1512"/>
    </row>
    <row r="87" spans="1:17" s="1507" customFormat="1" x14ac:dyDescent="0.2">
      <c r="B87" s="1563">
        <v>76</v>
      </c>
      <c r="C87" s="1547" t="s">
        <v>26</v>
      </c>
      <c r="E87" s="1492"/>
      <c r="F87" s="1509"/>
      <c r="G87" s="1558">
        <f>G85+G80</f>
        <v>12394217.928000001</v>
      </c>
      <c r="H87" s="1492"/>
      <c r="I87" s="1510"/>
      <c r="J87" s="1558">
        <f>J85+J80</f>
        <v>12395310.578000002</v>
      </c>
      <c r="K87" s="1535"/>
      <c r="L87" s="1558">
        <f>L85+L80</f>
        <v>1092.6499999999942</v>
      </c>
      <c r="M87" s="1545">
        <f>L87/G87</f>
        <v>8.815804323817551E-5</v>
      </c>
      <c r="N87" s="1512"/>
    </row>
    <row r="88" spans="1:17" x14ac:dyDescent="0.2">
      <c r="A88" s="1507"/>
      <c r="B88" s="1563">
        <v>77</v>
      </c>
      <c r="C88" s="1570"/>
      <c r="D88" s="1571"/>
      <c r="E88" s="1572"/>
      <c r="F88" s="1600"/>
      <c r="G88" s="1587"/>
      <c r="H88" s="1572"/>
      <c r="I88" s="1575"/>
      <c r="J88" s="1591"/>
      <c r="K88" s="1576"/>
      <c r="L88" s="1574"/>
      <c r="M88" s="1601"/>
      <c r="N88" s="1512"/>
    </row>
    <row r="89" spans="1:17" x14ac:dyDescent="0.2">
      <c r="A89" s="1507"/>
      <c r="B89" s="1563">
        <v>78</v>
      </c>
      <c r="C89" s="1537" t="s">
        <v>149</v>
      </c>
      <c r="D89" s="1538"/>
      <c r="E89" s="1539"/>
      <c r="F89" s="1540"/>
      <c r="G89" s="1541"/>
      <c r="H89" s="1539"/>
      <c r="I89" s="1543"/>
      <c r="J89" s="1558"/>
      <c r="K89" s="1544"/>
      <c r="L89" s="1541"/>
      <c r="M89" s="1594"/>
      <c r="N89" s="1512"/>
    </row>
    <row r="90" spans="1:17" x14ac:dyDescent="0.2">
      <c r="A90" s="1507"/>
      <c r="B90" s="1563">
        <v>79</v>
      </c>
      <c r="C90" s="1547"/>
      <c r="D90" s="1507"/>
      <c r="E90" s="1492"/>
      <c r="F90" s="1508"/>
      <c r="G90" s="1548"/>
      <c r="H90" s="1534"/>
      <c r="I90" s="1510"/>
      <c r="J90" s="1549"/>
      <c r="K90" s="1535"/>
      <c r="L90" s="1548"/>
      <c r="M90" s="1550"/>
      <c r="N90" s="1512"/>
    </row>
    <row r="91" spans="1:17" x14ac:dyDescent="0.2">
      <c r="A91" s="1507"/>
      <c r="B91" s="1563">
        <v>80</v>
      </c>
      <c r="C91" s="1532" t="s">
        <v>142</v>
      </c>
      <c r="D91" s="1533" t="s">
        <v>67</v>
      </c>
      <c r="E91" s="1492">
        <v>12</v>
      </c>
      <c r="F91" s="1510">
        <v>454.33</v>
      </c>
      <c r="G91" s="1548">
        <f>ROUND(E91*F91,2)</f>
        <v>5451.96</v>
      </c>
      <c r="I91" s="1510">
        <f>ROUND(F91*(1+$O$78),2)</f>
        <v>454.33</v>
      </c>
      <c r="J91" s="1549">
        <f>ROUND(E91*I91,2)</f>
        <v>5451.96</v>
      </c>
      <c r="K91" s="1535"/>
      <c r="L91" s="1548">
        <f>J91-G91</f>
        <v>0</v>
      </c>
      <c r="M91" s="1550"/>
      <c r="N91" s="1512"/>
      <c r="Q91" s="1552">
        <f>I91/F91-1</f>
        <v>0</v>
      </c>
    </row>
    <row r="92" spans="1:17" x14ac:dyDescent="0.2">
      <c r="A92" s="1507"/>
      <c r="B92" s="1563">
        <v>81</v>
      </c>
      <c r="C92" s="1547" t="s">
        <v>24</v>
      </c>
      <c r="D92" s="1507" t="s">
        <v>74</v>
      </c>
      <c r="E92" s="1492">
        <v>0</v>
      </c>
      <c r="F92" s="1510">
        <v>1.1399999999999999</v>
      </c>
      <c r="G92" s="1548">
        <f>ROUND(E92*F92,2)</f>
        <v>0</v>
      </c>
      <c r="I92" s="1510">
        <f>I73</f>
        <v>1.1499999999999999</v>
      </c>
      <c r="J92" s="1549">
        <f>ROUND(E92*I92,2)</f>
        <v>0</v>
      </c>
      <c r="K92" s="1535"/>
      <c r="L92" s="1548">
        <f>J92-G92</f>
        <v>0</v>
      </c>
      <c r="M92" s="1550"/>
      <c r="N92" s="1512"/>
      <c r="Q92" s="1552">
        <f>I92/F92-1</f>
        <v>8.7719298245614308E-3</v>
      </c>
    </row>
    <row r="93" spans="1:17" x14ac:dyDescent="0.2">
      <c r="A93" s="1507"/>
      <c r="B93" s="1563">
        <v>82</v>
      </c>
      <c r="C93" s="1547" t="s">
        <v>127</v>
      </c>
      <c r="D93" s="1507"/>
      <c r="E93" s="1492"/>
      <c r="F93" s="1554"/>
      <c r="G93" s="1549">
        <v>68</v>
      </c>
      <c r="I93" s="1554"/>
      <c r="J93" s="1549">
        <f>G93</f>
        <v>68</v>
      </c>
      <c r="K93" s="1535"/>
      <c r="L93" s="1548">
        <f>J93-G93</f>
        <v>0</v>
      </c>
      <c r="M93" s="1550"/>
      <c r="N93" s="1512"/>
    </row>
    <row r="94" spans="1:17" x14ac:dyDescent="0.2">
      <c r="A94" s="1507"/>
      <c r="B94" s="1563">
        <v>83</v>
      </c>
      <c r="C94" s="1547"/>
      <c r="D94" s="1507"/>
      <c r="E94" s="1492"/>
      <c r="F94" s="1554"/>
      <c r="G94" s="1548"/>
      <c r="I94" s="1554"/>
      <c r="J94" s="1549"/>
      <c r="K94" s="1535"/>
      <c r="L94" s="1548"/>
      <c r="M94" s="1550"/>
      <c r="N94" s="1512"/>
    </row>
    <row r="95" spans="1:17" x14ac:dyDescent="0.2">
      <c r="A95" s="1507"/>
      <c r="B95" s="1563">
        <v>84</v>
      </c>
      <c r="C95" s="1547" t="s">
        <v>85</v>
      </c>
      <c r="D95" s="1507"/>
      <c r="E95" s="1492"/>
      <c r="F95" s="1554"/>
      <c r="G95" s="1548"/>
      <c r="I95" s="1554"/>
      <c r="J95" s="1549"/>
      <c r="K95" s="1535"/>
      <c r="L95" s="1548"/>
      <c r="M95" s="1550"/>
      <c r="N95" s="1512"/>
    </row>
    <row r="96" spans="1:17" x14ac:dyDescent="0.2">
      <c r="A96" s="1507"/>
      <c r="B96" s="1563">
        <v>85</v>
      </c>
      <c r="C96" s="1598" t="s">
        <v>16</v>
      </c>
      <c r="D96" s="1473" t="s">
        <v>10</v>
      </c>
      <c r="E96" s="1492">
        <v>8251</v>
      </c>
      <c r="F96" s="1554">
        <v>0.20305999999999999</v>
      </c>
      <c r="G96" s="1548">
        <f>ROUND(E96*F96,2)</f>
        <v>1675.45</v>
      </c>
      <c r="I96" s="1554">
        <f>I78</f>
        <v>0.20305999999999999</v>
      </c>
      <c r="J96" s="1549">
        <f>ROUND(E96*I96,2)</f>
        <v>1675.45</v>
      </c>
      <c r="K96" s="1535"/>
      <c r="L96" s="1548">
        <f>J96-G96</f>
        <v>0</v>
      </c>
      <c r="M96" s="1550"/>
      <c r="N96" s="1512"/>
      <c r="Q96" s="1552">
        <f>I96/F96-1</f>
        <v>0</v>
      </c>
    </row>
    <row r="97" spans="1:17" x14ac:dyDescent="0.2">
      <c r="A97" s="1507"/>
      <c r="B97" s="1563">
        <v>86</v>
      </c>
      <c r="C97" s="1598" t="s">
        <v>17</v>
      </c>
      <c r="D97" s="1473" t="s">
        <v>10</v>
      </c>
      <c r="E97" s="1492">
        <v>64532</v>
      </c>
      <c r="F97" s="1554">
        <v>0.14559</v>
      </c>
      <c r="G97" s="1548">
        <f>ROUND(E97*F97,2)</f>
        <v>9395.2099999999991</v>
      </c>
      <c r="I97" s="1554">
        <f>I79</f>
        <v>0.14559</v>
      </c>
      <c r="J97" s="1549">
        <f>ROUND(E97*I97,2)</f>
        <v>9395.2099999999991</v>
      </c>
      <c r="K97" s="1535"/>
      <c r="L97" s="1548">
        <f>J97-G97</f>
        <v>0</v>
      </c>
      <c r="M97" s="1550"/>
      <c r="N97" s="1512"/>
      <c r="Q97" s="1552">
        <f>I97/F97-1</f>
        <v>0</v>
      </c>
    </row>
    <row r="98" spans="1:17" x14ac:dyDescent="0.2">
      <c r="A98" s="1507"/>
      <c r="B98" s="1563">
        <v>87</v>
      </c>
      <c r="C98" s="1557" t="s">
        <v>184</v>
      </c>
      <c r="D98" s="1507" t="s">
        <v>10</v>
      </c>
      <c r="E98" s="1539">
        <f>SUM(E96:E97)</f>
        <v>72783</v>
      </c>
      <c r="F98" s="1508"/>
      <c r="G98" s="1558">
        <f>SUM(G91:G97)</f>
        <v>16590.62</v>
      </c>
      <c r="I98" s="1510"/>
      <c r="J98" s="1558">
        <f>SUM(J91:J97)</f>
        <v>16590.62</v>
      </c>
      <c r="K98" s="1535"/>
      <c r="L98" s="1558">
        <f>SUM(L91:L97)</f>
        <v>0</v>
      </c>
      <c r="M98" s="1545"/>
      <c r="N98" s="1512"/>
    </row>
    <row r="99" spans="1:17" x14ac:dyDescent="0.2">
      <c r="A99" s="1507"/>
      <c r="B99" s="1563">
        <v>88</v>
      </c>
      <c r="C99" s="1532"/>
      <c r="D99" s="1533"/>
      <c r="E99" s="1492"/>
      <c r="F99" s="1508"/>
      <c r="G99" s="1549"/>
      <c r="I99" s="1510"/>
      <c r="J99" s="1549"/>
      <c r="K99" s="1535"/>
      <c r="L99" s="1548"/>
      <c r="M99" s="1556"/>
      <c r="N99" s="1512"/>
    </row>
    <row r="100" spans="1:17" x14ac:dyDescent="0.2">
      <c r="A100" s="1507"/>
      <c r="B100" s="1563">
        <v>89</v>
      </c>
      <c r="C100" s="1547" t="s">
        <v>120</v>
      </c>
      <c r="D100" s="1507" t="s">
        <v>10</v>
      </c>
      <c r="E100" s="1566">
        <f>E98</f>
        <v>72783</v>
      </c>
      <c r="F100" s="1554">
        <v>6.9999999999999999E-4</v>
      </c>
      <c r="G100" s="1549">
        <f>F100*E100</f>
        <v>50.948099999999997</v>
      </c>
      <c r="H100" s="1567"/>
      <c r="I100" s="1554">
        <f>F100</f>
        <v>6.9999999999999999E-4</v>
      </c>
      <c r="J100" s="1548">
        <f>I100*E100</f>
        <v>50.948099999999997</v>
      </c>
      <c r="K100" s="1535"/>
      <c r="L100" s="1548">
        <f>J100-G100</f>
        <v>0</v>
      </c>
      <c r="M100" s="1550"/>
      <c r="N100" s="1512"/>
    </row>
    <row r="101" spans="1:17" x14ac:dyDescent="0.2">
      <c r="A101" s="1507"/>
      <c r="B101" s="1563">
        <v>90</v>
      </c>
      <c r="C101" s="1547"/>
      <c r="D101" s="1507"/>
      <c r="E101" s="1566"/>
      <c r="F101" s="1554"/>
      <c r="G101" s="1549"/>
      <c r="H101" s="1567"/>
      <c r="I101" s="1554"/>
      <c r="J101" s="1548"/>
      <c r="K101" s="1535"/>
      <c r="L101" s="1548"/>
      <c r="M101" s="1550"/>
      <c r="N101" s="1512"/>
    </row>
    <row r="102" spans="1:17" x14ac:dyDescent="0.2">
      <c r="A102" s="1507"/>
      <c r="B102" s="1563">
        <v>91</v>
      </c>
      <c r="C102" s="1532" t="s">
        <v>26</v>
      </c>
      <c r="D102" s="1507"/>
      <c r="E102" s="1492"/>
      <c r="F102" s="1510"/>
      <c r="G102" s="1558">
        <f>G100+G98</f>
        <v>16641.5681</v>
      </c>
      <c r="H102" s="1558"/>
      <c r="I102" s="1510"/>
      <c r="J102" s="1558">
        <f>J100+J98</f>
        <v>16641.5681</v>
      </c>
      <c r="K102" s="1509"/>
      <c r="L102" s="1558">
        <f>L100+L98</f>
        <v>0</v>
      </c>
      <c r="M102" s="1594"/>
      <c r="N102" s="1512"/>
    </row>
    <row r="103" spans="1:17" x14ac:dyDescent="0.2">
      <c r="A103" s="1507"/>
      <c r="B103" s="1563">
        <v>92</v>
      </c>
      <c r="C103" s="1570"/>
      <c r="D103" s="1571"/>
      <c r="E103" s="1572"/>
      <c r="F103" s="1573"/>
      <c r="G103" s="1574"/>
      <c r="H103" s="1572"/>
      <c r="I103" s="1575"/>
      <c r="J103" s="1584"/>
      <c r="K103" s="1576"/>
      <c r="L103" s="1574"/>
      <c r="M103" s="1577"/>
      <c r="N103" s="1512"/>
    </row>
    <row r="104" spans="1:17" x14ac:dyDescent="0.2">
      <c r="A104" s="1507"/>
      <c r="B104" s="1563">
        <v>93</v>
      </c>
      <c r="C104" s="1537" t="s">
        <v>150</v>
      </c>
      <c r="D104" s="1538"/>
      <c r="E104" s="1539"/>
      <c r="F104" s="1540"/>
      <c r="G104" s="1541"/>
      <c r="H104" s="1539"/>
      <c r="I104" s="1543"/>
      <c r="J104" s="1558"/>
      <c r="K104" s="1544"/>
      <c r="L104" s="1541"/>
      <c r="M104" s="1594"/>
      <c r="N104" s="1512"/>
    </row>
    <row r="105" spans="1:17" x14ac:dyDescent="0.2">
      <c r="A105" s="1507"/>
      <c r="B105" s="1563">
        <v>94</v>
      </c>
      <c r="C105" s="1547"/>
      <c r="D105" s="1507"/>
      <c r="E105" s="1492"/>
      <c r="F105" s="1508"/>
      <c r="G105" s="1548"/>
      <c r="H105" s="1534"/>
      <c r="I105" s="1510"/>
      <c r="J105" s="1549"/>
      <c r="K105" s="1535"/>
      <c r="L105" s="1548"/>
      <c r="M105" s="1550"/>
      <c r="N105" s="1512"/>
    </row>
    <row r="106" spans="1:17" x14ac:dyDescent="0.2">
      <c r="A106" s="1507"/>
      <c r="B106" s="1563">
        <v>95</v>
      </c>
      <c r="C106" s="1532" t="s">
        <v>142</v>
      </c>
      <c r="D106" s="1533" t="s">
        <v>67</v>
      </c>
      <c r="E106" s="1492">
        <f>E72+E91</f>
        <v>4035</v>
      </c>
      <c r="F106" s="1510"/>
      <c r="G106" s="1548">
        <f>G72+G91</f>
        <v>579896.13</v>
      </c>
      <c r="I106" s="1510"/>
      <c r="J106" s="1548">
        <f>J72+J91</f>
        <v>579896.13</v>
      </c>
      <c r="K106" s="1535"/>
      <c r="L106" s="1548">
        <f>J106-G106</f>
        <v>0</v>
      </c>
      <c r="M106" s="1550"/>
      <c r="N106" s="1512"/>
    </row>
    <row r="107" spans="1:17" x14ac:dyDescent="0.2">
      <c r="A107" s="1507"/>
      <c r="B107" s="1563">
        <v>96</v>
      </c>
      <c r="C107" s="1547" t="s">
        <v>24</v>
      </c>
      <c r="D107" s="1507" t="s">
        <v>74</v>
      </c>
      <c r="E107" s="1492">
        <f>E73+E92</f>
        <v>109265</v>
      </c>
      <c r="F107" s="1510"/>
      <c r="G107" s="1548">
        <f>G73+G92</f>
        <v>124562.1</v>
      </c>
      <c r="I107" s="1510"/>
      <c r="J107" s="1548">
        <f>J73+J92</f>
        <v>125654.75</v>
      </c>
      <c r="K107" s="1535"/>
      <c r="L107" s="1548">
        <f>J107-G107</f>
        <v>1092.6499999999942</v>
      </c>
      <c r="M107" s="1550"/>
      <c r="N107" s="1512"/>
    </row>
    <row r="108" spans="1:17" x14ac:dyDescent="0.2">
      <c r="A108" s="1507"/>
      <c r="B108" s="1563">
        <v>97</v>
      </c>
      <c r="C108" s="1547" t="s">
        <v>66</v>
      </c>
      <c r="D108" s="1507" t="s">
        <v>10</v>
      </c>
      <c r="E108" s="1492">
        <f>E74</f>
        <v>13889578</v>
      </c>
      <c r="F108" s="1554"/>
      <c r="G108" s="1548">
        <f>G74</f>
        <v>93754.65</v>
      </c>
      <c r="I108" s="1554"/>
      <c r="J108" s="1548">
        <f>J74</f>
        <v>93754.65</v>
      </c>
      <c r="K108" s="1535"/>
      <c r="L108" s="1548">
        <f>J108-G108</f>
        <v>0</v>
      </c>
      <c r="M108" s="1550"/>
      <c r="N108" s="1512"/>
    </row>
    <row r="109" spans="1:17" x14ac:dyDescent="0.2">
      <c r="A109" s="1507"/>
      <c r="B109" s="1563">
        <v>98</v>
      </c>
      <c r="C109" s="1547" t="s">
        <v>127</v>
      </c>
      <c r="D109" s="1507"/>
      <c r="E109" s="1492"/>
      <c r="F109" s="1554"/>
      <c r="G109" s="1549">
        <f>G75+G93</f>
        <v>28301</v>
      </c>
      <c r="I109" s="1554"/>
      <c r="J109" s="1549">
        <f>J75+J93</f>
        <v>28301</v>
      </c>
      <c r="K109" s="1535"/>
      <c r="L109" s="1548">
        <f>J109-G109</f>
        <v>0</v>
      </c>
      <c r="M109" s="1550"/>
      <c r="N109" s="1512"/>
    </row>
    <row r="110" spans="1:17" x14ac:dyDescent="0.2">
      <c r="A110" s="1507"/>
      <c r="B110" s="1563">
        <v>99</v>
      </c>
      <c r="C110" s="1547"/>
      <c r="D110" s="1507"/>
      <c r="E110" s="1492"/>
      <c r="F110" s="1554"/>
      <c r="G110" s="1548"/>
      <c r="I110" s="1554"/>
      <c r="J110" s="1548"/>
      <c r="K110" s="1535"/>
      <c r="L110" s="1548"/>
      <c r="M110" s="1550"/>
      <c r="N110" s="1512"/>
    </row>
    <row r="111" spans="1:17" x14ac:dyDescent="0.2">
      <c r="A111" s="1507"/>
      <c r="B111" s="1563">
        <v>100</v>
      </c>
      <c r="C111" s="1547" t="s">
        <v>85</v>
      </c>
      <c r="D111" s="1507"/>
      <c r="E111" s="1492"/>
      <c r="F111" s="1554"/>
      <c r="G111" s="1548"/>
      <c r="I111" s="1554"/>
      <c r="J111" s="1548"/>
      <c r="K111" s="1535"/>
      <c r="L111" s="1548"/>
      <c r="M111" s="1550"/>
      <c r="N111" s="1512"/>
    </row>
    <row r="112" spans="1:17" x14ac:dyDescent="0.2">
      <c r="A112" s="1507"/>
      <c r="B112" s="1563">
        <v>101</v>
      </c>
      <c r="C112" s="1598" t="s">
        <v>16</v>
      </c>
      <c r="D112" s="1473" t="s">
        <v>10</v>
      </c>
      <c r="E112" s="1492">
        <f>E78+E96</f>
        <v>3242167</v>
      </c>
      <c r="F112" s="1554"/>
      <c r="G112" s="1548">
        <f>G78+G96</f>
        <v>658354.42999999993</v>
      </c>
      <c r="I112" s="1554"/>
      <c r="J112" s="1548">
        <f>J78+J96</f>
        <v>658354.42999999993</v>
      </c>
      <c r="K112" s="1535"/>
      <c r="L112" s="1548">
        <f>J112-G112</f>
        <v>0</v>
      </c>
      <c r="M112" s="1550"/>
      <c r="N112" s="1512"/>
    </row>
    <row r="113" spans="1:17" x14ac:dyDescent="0.2">
      <c r="A113" s="1507"/>
      <c r="B113" s="1563">
        <v>102</v>
      </c>
      <c r="C113" s="1598" t="s">
        <v>17</v>
      </c>
      <c r="D113" s="1473" t="s">
        <v>10</v>
      </c>
      <c r="E113" s="1492">
        <f>E79+E97</f>
        <v>10720194</v>
      </c>
      <c r="F113" s="1554"/>
      <c r="G113" s="1548">
        <f>G79+G97</f>
        <v>1560753.04</v>
      </c>
      <c r="I113" s="1554"/>
      <c r="J113" s="1548">
        <f>J79+J97</f>
        <v>1560753.04</v>
      </c>
      <c r="K113" s="1535"/>
      <c r="L113" s="1548">
        <f>J113-G113</f>
        <v>0</v>
      </c>
      <c r="M113" s="1550"/>
      <c r="N113" s="1512"/>
    </row>
    <row r="114" spans="1:17" x14ac:dyDescent="0.2">
      <c r="A114" s="1507"/>
      <c r="B114" s="1563">
        <v>103</v>
      </c>
      <c r="C114" s="1557" t="s">
        <v>184</v>
      </c>
      <c r="D114" s="1507" t="s">
        <v>10</v>
      </c>
      <c r="E114" s="1539">
        <f>SUM(E112:E113)</f>
        <v>13962361</v>
      </c>
      <c r="F114" s="1508"/>
      <c r="G114" s="1558">
        <f>SUM(G106:G113)</f>
        <v>3045621.35</v>
      </c>
      <c r="I114" s="1510"/>
      <c r="J114" s="1558">
        <f>SUM(J106:J113)</f>
        <v>3046714</v>
      </c>
      <c r="K114" s="1535"/>
      <c r="L114" s="1558">
        <f>SUM(L106:L113)</f>
        <v>1092.6499999999942</v>
      </c>
      <c r="M114" s="1545">
        <f>L114/G114</f>
        <v>3.5876094708884091E-4</v>
      </c>
      <c r="N114" s="1512"/>
    </row>
    <row r="115" spans="1:17" x14ac:dyDescent="0.2">
      <c r="A115" s="1507"/>
      <c r="B115" s="1563">
        <v>104</v>
      </c>
      <c r="C115" s="1532"/>
      <c r="D115" s="1533"/>
      <c r="E115" s="1492"/>
      <c r="F115" s="1508"/>
      <c r="G115" s="1549"/>
      <c r="I115" s="1510"/>
      <c r="J115" s="1549"/>
      <c r="K115" s="1535"/>
      <c r="L115" s="1548"/>
      <c r="M115" s="1556"/>
      <c r="N115" s="1512"/>
    </row>
    <row r="116" spans="1:17" x14ac:dyDescent="0.2">
      <c r="A116" s="1507"/>
      <c r="B116" s="1563">
        <v>105</v>
      </c>
      <c r="C116" s="1565" t="s">
        <v>145</v>
      </c>
      <c r="D116" s="1533"/>
      <c r="E116" s="1492"/>
      <c r="F116" s="1508"/>
      <c r="G116" s="1549"/>
      <c r="I116" s="1510"/>
      <c r="J116" s="1549"/>
      <c r="K116" s="1535"/>
      <c r="L116" s="1548"/>
      <c r="M116" s="1556"/>
      <c r="N116" s="1512"/>
    </row>
    <row r="117" spans="1:17" x14ac:dyDescent="0.2">
      <c r="A117" s="1507"/>
      <c r="B117" s="1563">
        <v>106</v>
      </c>
      <c r="C117" s="1547" t="s">
        <v>86</v>
      </c>
      <c r="D117" s="1507" t="s">
        <v>10</v>
      </c>
      <c r="E117" s="1566">
        <f>E114</f>
        <v>13962361</v>
      </c>
      <c r="F117" s="1554"/>
      <c r="G117" s="1549">
        <f>G83</f>
        <v>9250458.9480000008</v>
      </c>
      <c r="H117" s="1567"/>
      <c r="I117" s="1554"/>
      <c r="J117" s="1549">
        <f>J83</f>
        <v>9250458.9480000008</v>
      </c>
      <c r="K117" s="1535"/>
      <c r="L117" s="1548">
        <f>J117-G117</f>
        <v>0</v>
      </c>
      <c r="M117" s="1550"/>
      <c r="N117" s="1512"/>
    </row>
    <row r="118" spans="1:17" x14ac:dyDescent="0.2">
      <c r="A118" s="1507"/>
      <c r="B118" s="1563">
        <v>107</v>
      </c>
      <c r="C118" s="1547" t="s">
        <v>24</v>
      </c>
      <c r="D118" s="1507" t="s">
        <v>74</v>
      </c>
      <c r="E118" s="1566">
        <f>E107</f>
        <v>109265</v>
      </c>
      <c r="F118" s="1510"/>
      <c r="G118" s="1549">
        <f>G84</f>
        <v>114728.25</v>
      </c>
      <c r="H118" s="1567"/>
      <c r="I118" s="1510"/>
      <c r="J118" s="1549">
        <f>J84</f>
        <v>114728.25</v>
      </c>
      <c r="K118" s="1535"/>
      <c r="L118" s="1548">
        <f>J118-G118</f>
        <v>0</v>
      </c>
      <c r="M118" s="1556"/>
      <c r="N118" s="1512"/>
    </row>
    <row r="119" spans="1:17" x14ac:dyDescent="0.2">
      <c r="A119" s="1507"/>
      <c r="B119" s="1563">
        <v>108</v>
      </c>
      <c r="C119" s="1547" t="s">
        <v>120</v>
      </c>
      <c r="D119" s="1507" t="s">
        <v>10</v>
      </c>
      <c r="E119" s="1566">
        <f>E117</f>
        <v>13962361</v>
      </c>
      <c r="F119" s="1510"/>
      <c r="G119" s="1549">
        <f>G100</f>
        <v>50.948099999999997</v>
      </c>
      <c r="H119" s="1567"/>
      <c r="I119" s="1510"/>
      <c r="J119" s="1549">
        <f>J100</f>
        <v>50.948099999999997</v>
      </c>
      <c r="K119" s="1535"/>
      <c r="L119" s="1548">
        <f>J119-G119</f>
        <v>0</v>
      </c>
      <c r="M119" s="1556"/>
      <c r="N119" s="1512"/>
    </row>
    <row r="120" spans="1:17" x14ac:dyDescent="0.2">
      <c r="A120" s="1507"/>
      <c r="B120" s="1563">
        <v>109</v>
      </c>
      <c r="C120" s="1532" t="s">
        <v>185</v>
      </c>
      <c r="D120" s="1533"/>
      <c r="E120" s="1473"/>
      <c r="F120" s="1509"/>
      <c r="G120" s="1558">
        <f>SUM(G117:G119)</f>
        <v>9365238.1461000014</v>
      </c>
      <c r="H120" s="1473"/>
      <c r="I120" s="1510"/>
      <c r="J120" s="1558">
        <f>SUM(J117:J119)</f>
        <v>9365238.1461000014</v>
      </c>
      <c r="K120" s="1509"/>
      <c r="L120" s="1558">
        <f>SUM(L117:L119)</f>
        <v>0</v>
      </c>
      <c r="M120" s="1545">
        <f>ROUND(L120/G120,5)</f>
        <v>0</v>
      </c>
      <c r="N120" s="1512"/>
    </row>
    <row r="121" spans="1:17" x14ac:dyDescent="0.2">
      <c r="A121" s="1507"/>
      <c r="B121" s="1563">
        <v>110</v>
      </c>
      <c r="C121" s="1532"/>
      <c r="D121" s="1533"/>
      <c r="E121" s="1473"/>
      <c r="F121" s="1509"/>
      <c r="G121" s="1549"/>
      <c r="H121" s="1473"/>
      <c r="I121" s="1510"/>
      <c r="J121" s="1549"/>
      <c r="K121" s="1509"/>
      <c r="L121" s="1549"/>
      <c r="M121" s="1550"/>
      <c r="N121" s="1512"/>
    </row>
    <row r="122" spans="1:17" x14ac:dyDescent="0.2">
      <c r="A122" s="1507"/>
      <c r="B122" s="1563">
        <v>111</v>
      </c>
      <c r="C122" s="1532" t="s">
        <v>26</v>
      </c>
      <c r="D122" s="1533"/>
      <c r="E122" s="1473"/>
      <c r="F122" s="1509"/>
      <c r="G122" s="1558">
        <f>G114+G120</f>
        <v>12410859.496100001</v>
      </c>
      <c r="H122" s="1473"/>
      <c r="I122" s="1510"/>
      <c r="J122" s="1558">
        <f>J114+J120</f>
        <v>12411952.146100001</v>
      </c>
      <c r="K122" s="1509"/>
      <c r="L122" s="1558">
        <f>L114+L120</f>
        <v>1092.6499999999942</v>
      </c>
      <c r="M122" s="1545">
        <f>ROUND(L122/G122,5)</f>
        <v>9.0000000000000006E-5</v>
      </c>
      <c r="N122" s="1512"/>
    </row>
    <row r="123" spans="1:17" x14ac:dyDescent="0.2">
      <c r="A123" s="1507"/>
      <c r="B123" s="1563">
        <v>112</v>
      </c>
      <c r="C123" s="1570"/>
      <c r="D123" s="1571"/>
      <c r="E123" s="1572"/>
      <c r="F123" s="1573"/>
      <c r="G123" s="1574"/>
      <c r="H123" s="1572"/>
      <c r="I123" s="1575"/>
      <c r="J123" s="1584"/>
      <c r="K123" s="1576"/>
      <c r="L123" s="1574"/>
      <c r="M123" s="1601"/>
      <c r="N123" s="1512"/>
    </row>
    <row r="124" spans="1:17" x14ac:dyDescent="0.2">
      <c r="B124" s="1563">
        <v>113</v>
      </c>
      <c r="C124" s="1537" t="s">
        <v>136</v>
      </c>
      <c r="D124" s="1538"/>
      <c r="E124" s="1539"/>
      <c r="F124" s="1540"/>
      <c r="G124" s="1541"/>
      <c r="H124" s="1539"/>
      <c r="I124" s="1543"/>
      <c r="J124" s="1558"/>
      <c r="K124" s="1544"/>
      <c r="L124" s="1541"/>
      <c r="M124" s="1545"/>
      <c r="N124" s="1595"/>
      <c r="O124" s="1602" t="s">
        <v>198</v>
      </c>
    </row>
    <row r="125" spans="1:17" x14ac:dyDescent="0.2">
      <c r="B125" s="1563">
        <v>114</v>
      </c>
      <c r="C125" s="1547"/>
      <c r="D125" s="1507"/>
      <c r="E125" s="1492"/>
      <c r="F125" s="1508"/>
      <c r="G125" s="1548"/>
      <c r="I125" s="1510"/>
      <c r="J125" s="1549"/>
      <c r="K125" s="1535"/>
      <c r="L125" s="1548"/>
      <c r="M125" s="1550"/>
      <c r="N125" s="1595"/>
      <c r="O125" s="1604">
        <f>'Exhibit No._(CTM-4), Pg. 2'!J20</f>
        <v>31947.007905523882</v>
      </c>
    </row>
    <row r="126" spans="1:17" x14ac:dyDescent="0.2">
      <c r="B126" s="1563">
        <v>115</v>
      </c>
      <c r="C126" s="1532" t="s">
        <v>142</v>
      </c>
      <c r="D126" s="1533" t="s">
        <v>67</v>
      </c>
      <c r="E126" s="1492">
        <v>108</v>
      </c>
      <c r="F126" s="1510">
        <v>558.41999999999996</v>
      </c>
      <c r="G126" s="1548">
        <f>ROUND(E126*F126,2)</f>
        <v>60309.36</v>
      </c>
      <c r="I126" s="1510">
        <f>ROUND(F126*(1+$O$136),2)</f>
        <v>561.4</v>
      </c>
      <c r="J126" s="1549">
        <f>ROUND(E126*I126,2)</f>
        <v>60631.199999999997</v>
      </c>
      <c r="K126" s="1535"/>
      <c r="L126" s="1548">
        <f>J126-G126</f>
        <v>321.83999999999651</v>
      </c>
      <c r="M126" s="1603"/>
      <c r="N126" s="1595"/>
      <c r="O126" s="1604" t="s">
        <v>118</v>
      </c>
      <c r="Q126" s="1552">
        <f>I126/F126-1</f>
        <v>5.3364850829125121E-3</v>
      </c>
    </row>
    <row r="127" spans="1:17" x14ac:dyDescent="0.2">
      <c r="B127" s="1563">
        <v>116</v>
      </c>
      <c r="C127" s="1547" t="s">
        <v>24</v>
      </c>
      <c r="D127" s="1507" t="s">
        <v>74</v>
      </c>
      <c r="E127" s="1492">
        <v>6384</v>
      </c>
      <c r="F127" s="1510">
        <v>1.1399999999999999</v>
      </c>
      <c r="G127" s="1548">
        <f>ROUND(E127*F127,2)</f>
        <v>7277.76</v>
      </c>
      <c r="I127" s="1510">
        <f>ROUND(F127*(1+$O$136),2)</f>
        <v>1.1499999999999999</v>
      </c>
      <c r="J127" s="1549">
        <f>ROUND(E127*I127,2)</f>
        <v>7341.6</v>
      </c>
      <c r="K127" s="1535"/>
      <c r="L127" s="1548">
        <f>J127-G127</f>
        <v>63.840000000000146</v>
      </c>
      <c r="M127" s="1603"/>
      <c r="N127" s="1595"/>
      <c r="O127" s="1605">
        <f>+L138+L160-O125</f>
        <v>61.202094476371713</v>
      </c>
      <c r="Q127" s="1552">
        <f>I127/F127-1</f>
        <v>8.7719298245614308E-3</v>
      </c>
    </row>
    <row r="128" spans="1:17" x14ac:dyDescent="0.2">
      <c r="B128" s="1563">
        <v>117</v>
      </c>
      <c r="C128" s="1547" t="s">
        <v>66</v>
      </c>
      <c r="D128" s="1507"/>
      <c r="E128" s="1492">
        <f>E138</f>
        <v>30035655</v>
      </c>
      <c r="F128" s="1554">
        <v>5.1999999999999998E-3</v>
      </c>
      <c r="G128" s="1548">
        <f>ROUND(E128*F128,2)</f>
        <v>156185.41</v>
      </c>
      <c r="I128" s="1554">
        <f>ROUND(F128*(1+$O$136),5)</f>
        <v>5.2300000000000003E-3</v>
      </c>
      <c r="J128" s="1548">
        <f>ROUND(E128*I128,2)</f>
        <v>157086.48000000001</v>
      </c>
      <c r="K128" s="1535"/>
      <c r="L128" s="1548">
        <f>J128-G128</f>
        <v>901.07000000000698</v>
      </c>
      <c r="M128" s="1603"/>
      <c r="N128" s="1512"/>
      <c r="O128" s="1606"/>
      <c r="Q128" s="1552">
        <f>I128/F128-1</f>
        <v>5.7692307692309708E-3</v>
      </c>
    </row>
    <row r="129" spans="2:17" x14ac:dyDescent="0.2">
      <c r="B129" s="1563">
        <v>118</v>
      </c>
      <c r="C129" s="1598" t="s">
        <v>127</v>
      </c>
      <c r="D129" s="1473"/>
      <c r="E129" s="1492"/>
      <c r="F129" s="1510"/>
      <c r="G129" s="1578">
        <f>12706+70168</f>
        <v>82874</v>
      </c>
      <c r="I129" s="1554" t="s">
        <v>119</v>
      </c>
      <c r="J129" s="1549">
        <f>G129</f>
        <v>82874</v>
      </c>
      <c r="K129" s="1535"/>
      <c r="L129" s="1548">
        <f>J129-G129</f>
        <v>0</v>
      </c>
      <c r="M129" s="1603"/>
      <c r="N129" s="1512"/>
      <c r="O129" s="1607"/>
    </row>
    <row r="130" spans="2:17" x14ac:dyDescent="0.2">
      <c r="B130" s="1563">
        <v>119</v>
      </c>
      <c r="C130" s="1547"/>
      <c r="D130" s="1507"/>
      <c r="E130" s="1492"/>
      <c r="F130" s="1509"/>
      <c r="G130" s="1548"/>
      <c r="I130" s="1554"/>
      <c r="J130" s="1549"/>
      <c r="K130" s="1535"/>
      <c r="L130" s="1606"/>
      <c r="M130" s="1603"/>
      <c r="N130" s="1512"/>
      <c r="O130" s="1608"/>
    </row>
    <row r="131" spans="2:17" x14ac:dyDescent="0.2">
      <c r="B131" s="1563">
        <v>120</v>
      </c>
      <c r="C131" s="1547" t="s">
        <v>85</v>
      </c>
      <c r="D131" s="1507"/>
      <c r="E131" s="1492"/>
      <c r="F131" s="1509"/>
      <c r="G131" s="1548"/>
      <c r="I131" s="1554"/>
      <c r="J131" s="1549"/>
      <c r="K131" s="1535"/>
      <c r="L131" s="1606"/>
      <c r="M131" s="1603"/>
      <c r="N131" s="1512"/>
      <c r="O131" s="1609"/>
      <c r="P131" s="1563"/>
      <c r="Q131" s="1563"/>
    </row>
    <row r="132" spans="2:17" x14ac:dyDescent="0.2">
      <c r="B132" s="1563">
        <v>121</v>
      </c>
      <c r="C132" s="1547" t="s">
        <v>13</v>
      </c>
      <c r="D132" s="1507" t="s">
        <v>10</v>
      </c>
      <c r="E132" s="1492">
        <f>2400000+300000</f>
        <v>2700000</v>
      </c>
      <c r="F132" s="1554">
        <v>0.14158000000000001</v>
      </c>
      <c r="G132" s="1548">
        <f t="shared" ref="G132:G137" si="0">ROUND(E132*F132,2)</f>
        <v>382266</v>
      </c>
      <c r="I132" s="1554">
        <f t="shared" ref="I132:I137" si="1">ROUND(F132*(1+$O$136),5)</f>
        <v>0.14233000000000001</v>
      </c>
      <c r="J132" s="1549">
        <f t="shared" ref="J132:J137" si="2">ROUND(E132*I132,2)</f>
        <v>384291</v>
      </c>
      <c r="K132" s="1535"/>
      <c r="L132" s="1548">
        <f t="shared" ref="L132:L137" si="3">J132-G132</f>
        <v>2025</v>
      </c>
      <c r="M132" s="1603"/>
      <c r="N132" s="1512"/>
      <c r="O132" s="1606"/>
      <c r="P132" s="1520"/>
      <c r="Q132" s="1552">
        <f>I132/F132-1</f>
        <v>5.2973583839526217E-3</v>
      </c>
    </row>
    <row r="133" spans="2:17" x14ac:dyDescent="0.2">
      <c r="B133" s="1563">
        <v>122</v>
      </c>
      <c r="C133" s="1547" t="s">
        <v>14</v>
      </c>
      <c r="D133" s="1507" t="s">
        <v>10</v>
      </c>
      <c r="E133" s="1492">
        <f>2358565+300000</f>
        <v>2658565</v>
      </c>
      <c r="F133" s="1554">
        <v>8.6440000000000003E-2</v>
      </c>
      <c r="G133" s="1548">
        <f t="shared" si="0"/>
        <v>229806.36</v>
      </c>
      <c r="I133" s="1554">
        <f t="shared" si="1"/>
        <v>8.6900000000000005E-2</v>
      </c>
      <c r="J133" s="1549">
        <f t="shared" si="2"/>
        <v>231029.3</v>
      </c>
      <c r="K133" s="1535"/>
      <c r="L133" s="1548">
        <f t="shared" si="3"/>
        <v>1222.9400000000023</v>
      </c>
      <c r="M133" s="1603"/>
      <c r="N133" s="1512"/>
      <c r="O133" s="1610"/>
      <c r="P133" s="1507"/>
      <c r="Q133" s="1552">
        <f>I133/F133-1</f>
        <v>5.3216103655715497E-3</v>
      </c>
    </row>
    <row r="134" spans="2:17" x14ac:dyDescent="0.2">
      <c r="B134" s="1563">
        <v>123</v>
      </c>
      <c r="C134" s="1547" t="s">
        <v>18</v>
      </c>
      <c r="D134" s="1507" t="s">
        <v>10</v>
      </c>
      <c r="E134" s="1492">
        <f>4152365+583770</f>
        <v>4736135</v>
      </c>
      <c r="F134" s="1554">
        <v>5.5809999999999998E-2</v>
      </c>
      <c r="G134" s="1548">
        <f t="shared" si="0"/>
        <v>264323.69</v>
      </c>
      <c r="I134" s="1554">
        <f t="shared" si="1"/>
        <v>5.611E-2</v>
      </c>
      <c r="J134" s="1549">
        <f t="shared" si="2"/>
        <v>265744.53000000003</v>
      </c>
      <c r="K134" s="1535"/>
      <c r="L134" s="1548">
        <f t="shared" si="3"/>
        <v>1420.8400000000256</v>
      </c>
      <c r="M134" s="1550"/>
      <c r="N134" s="1512"/>
      <c r="O134" s="1533"/>
      <c r="P134" s="1533"/>
      <c r="Q134" s="1552">
        <f>I134/F134-1</f>
        <v>5.3753807561369715E-3</v>
      </c>
    </row>
    <row r="135" spans="2:17" x14ac:dyDescent="0.2">
      <c r="B135" s="1563">
        <v>124</v>
      </c>
      <c r="C135" s="1547" t="s">
        <v>19</v>
      </c>
      <c r="D135" s="1507" t="s">
        <v>10</v>
      </c>
      <c r="E135" s="1492">
        <f>5296246+580659</f>
        <v>5876905</v>
      </c>
      <c r="F135" s="1554">
        <v>3.6589999999999998E-2</v>
      </c>
      <c r="G135" s="1548">
        <f t="shared" si="0"/>
        <v>215035.95</v>
      </c>
      <c r="I135" s="1554">
        <f t="shared" si="1"/>
        <v>3.6790000000000003E-2</v>
      </c>
      <c r="J135" s="1549">
        <f t="shared" si="2"/>
        <v>216211.33</v>
      </c>
      <c r="K135" s="1535"/>
      <c r="L135" s="1548">
        <f t="shared" si="3"/>
        <v>1175.3799999999756</v>
      </c>
      <c r="M135" s="1550"/>
      <c r="N135" s="1512"/>
      <c r="O135" s="1507"/>
      <c r="P135" s="1507"/>
      <c r="Q135" s="1552">
        <f>I135/F135-1</f>
        <v>5.4659743099207958E-3</v>
      </c>
    </row>
    <row r="136" spans="2:17" x14ac:dyDescent="0.2">
      <c r="B136" s="1563">
        <v>125</v>
      </c>
      <c r="C136" s="1547" t="s">
        <v>20</v>
      </c>
      <c r="D136" s="1507" t="s">
        <v>10</v>
      </c>
      <c r="E136" s="1492">
        <f>4605191+24609</f>
        <v>4629800</v>
      </c>
      <c r="F136" s="1554">
        <v>2.6950000000000002E-2</v>
      </c>
      <c r="G136" s="1548">
        <f t="shared" si="0"/>
        <v>124773.11</v>
      </c>
      <c r="I136" s="1554">
        <f>ROUND(F136*(1+$O$136),5)</f>
        <v>2.7089999999999999E-2</v>
      </c>
      <c r="J136" s="1549">
        <f t="shared" si="2"/>
        <v>125421.28</v>
      </c>
      <c r="K136" s="1535"/>
      <c r="L136" s="1548">
        <f t="shared" si="3"/>
        <v>648.16999999999825</v>
      </c>
      <c r="M136" s="1550"/>
      <c r="N136" s="1512"/>
      <c r="O136" s="1813">
        <f>'Exhibit No._(CTM-4), Pg. 2'!I20+O138</f>
        <v>5.3319675960365456E-3</v>
      </c>
      <c r="P136" s="1507"/>
      <c r="Q136" s="1552">
        <f>I136/F136-1</f>
        <v>5.1948051948051965E-3</v>
      </c>
    </row>
    <row r="137" spans="2:17" x14ac:dyDescent="0.2">
      <c r="B137" s="1563">
        <v>126</v>
      </c>
      <c r="C137" s="1547" t="s">
        <v>21</v>
      </c>
      <c r="D137" s="1507" t="s">
        <v>10</v>
      </c>
      <c r="E137" s="1492">
        <f>9434250+0</f>
        <v>9434250</v>
      </c>
      <c r="F137" s="1554">
        <v>2.129E-2</v>
      </c>
      <c r="G137" s="1548">
        <f t="shared" si="0"/>
        <v>200855.18</v>
      </c>
      <c r="I137" s="1554">
        <f t="shared" si="1"/>
        <v>2.1399999999999999E-2</v>
      </c>
      <c r="J137" s="1549">
        <f t="shared" si="2"/>
        <v>201892.95</v>
      </c>
      <c r="K137" s="1535"/>
      <c r="L137" s="1548">
        <f t="shared" si="3"/>
        <v>1037.7700000000186</v>
      </c>
      <c r="M137" s="1550"/>
      <c r="N137" s="1512"/>
      <c r="O137" s="1507"/>
      <c r="P137" s="1533"/>
      <c r="Q137" s="1611"/>
    </row>
    <row r="138" spans="2:17" x14ac:dyDescent="0.2">
      <c r="B138" s="1563">
        <v>127</v>
      </c>
      <c r="C138" s="1557" t="s">
        <v>184</v>
      </c>
      <c r="D138" s="1507" t="s">
        <v>10</v>
      </c>
      <c r="E138" s="1539">
        <f>SUM(E132:E137)</f>
        <v>30035655</v>
      </c>
      <c r="F138" s="1508"/>
      <c r="G138" s="1558">
        <f>SUM(G126:G137)</f>
        <v>1723706.82</v>
      </c>
      <c r="I138" s="1510"/>
      <c r="J138" s="1558">
        <f>SUM(J126:J137)</f>
        <v>1732523.6700000002</v>
      </c>
      <c r="K138" s="1535"/>
      <c r="L138" s="1558">
        <f>J138-G138</f>
        <v>8816.8500000000931</v>
      </c>
      <c r="M138" s="1545">
        <f>L138/G138</f>
        <v>5.1150519901058886E-3</v>
      </c>
      <c r="N138" s="1512"/>
      <c r="O138" s="1819">
        <v>-1.3425974200000001E-4</v>
      </c>
      <c r="P138" s="1612"/>
      <c r="Q138" s="1611"/>
    </row>
    <row r="139" spans="2:17" x14ac:dyDescent="0.2">
      <c r="B139" s="1563">
        <v>128</v>
      </c>
      <c r="C139" s="1532"/>
      <c r="D139" s="1533"/>
      <c r="E139" s="1492"/>
      <c r="F139" s="1508"/>
      <c r="G139" s="1548"/>
      <c r="I139" s="1510"/>
      <c r="J139" s="1549"/>
      <c r="K139" s="1535"/>
      <c r="L139" s="1548"/>
      <c r="M139" s="1556"/>
      <c r="N139" s="1568"/>
      <c r="O139" s="1814"/>
      <c r="P139" s="1507"/>
      <c r="Q139" s="1492"/>
    </row>
    <row r="140" spans="2:17" x14ac:dyDescent="0.2">
      <c r="B140" s="1563">
        <v>129</v>
      </c>
      <c r="C140" s="1565" t="s">
        <v>145</v>
      </c>
      <c r="D140" s="1533"/>
      <c r="E140" s="1492"/>
      <c r="F140" s="1508"/>
      <c r="G140" s="1548"/>
      <c r="I140" s="1510"/>
      <c r="J140" s="1549"/>
      <c r="K140" s="1535"/>
      <c r="L140" s="1548"/>
      <c r="M140" s="1556"/>
      <c r="N140" s="1512"/>
      <c r="O140" s="1533"/>
      <c r="P140" s="1533"/>
      <c r="Q140" s="1473"/>
    </row>
    <row r="141" spans="2:17" x14ac:dyDescent="0.2">
      <c r="B141" s="1563">
        <v>130</v>
      </c>
      <c r="C141" s="1547" t="s">
        <v>86</v>
      </c>
      <c r="D141" s="1507" t="s">
        <v>10</v>
      </c>
      <c r="E141" s="1566">
        <f>E138</f>
        <v>30035655</v>
      </c>
      <c r="F141" s="1554">
        <v>0.65993999999999997</v>
      </c>
      <c r="G141" s="1549">
        <f>+F141*E141</f>
        <v>19821730.160700001</v>
      </c>
      <c r="H141" s="1567"/>
      <c r="I141" s="1554">
        <f>F141</f>
        <v>0.65993999999999997</v>
      </c>
      <c r="J141" s="1549">
        <f>+I141*E141</f>
        <v>19821730.160700001</v>
      </c>
      <c r="K141" s="1535"/>
      <c r="L141" s="1548">
        <f>J141-G141</f>
        <v>0</v>
      </c>
      <c r="M141" s="1550"/>
      <c r="N141" s="1512"/>
      <c r="O141" s="1507"/>
      <c r="P141" s="1507"/>
      <c r="Q141" s="1473"/>
    </row>
    <row r="142" spans="2:17" x14ac:dyDescent="0.2">
      <c r="B142" s="1563">
        <v>131</v>
      </c>
      <c r="C142" s="1547" t="s">
        <v>24</v>
      </c>
      <c r="D142" s="1507" t="s">
        <v>74</v>
      </c>
      <c r="E142" s="1566">
        <f>E127</f>
        <v>6384</v>
      </c>
      <c r="F142" s="1510">
        <v>1.05</v>
      </c>
      <c r="G142" s="1549">
        <f>E142*F142</f>
        <v>6703.2000000000007</v>
      </c>
      <c r="H142" s="1567"/>
      <c r="I142" s="1510">
        <f>I27</f>
        <v>1.05</v>
      </c>
      <c r="J142" s="1549">
        <f>E142*I142</f>
        <v>6703.2000000000007</v>
      </c>
      <c r="K142" s="1535"/>
      <c r="L142" s="1548">
        <f>J142-G142</f>
        <v>0</v>
      </c>
      <c r="M142" s="1556"/>
      <c r="N142" s="1512"/>
      <c r="O142" s="1533"/>
      <c r="P142" s="1533"/>
      <c r="Q142" s="1473"/>
    </row>
    <row r="143" spans="2:17" x14ac:dyDescent="0.2">
      <c r="B143" s="1563">
        <v>132</v>
      </c>
      <c r="C143" s="1532" t="s">
        <v>185</v>
      </c>
      <c r="D143" s="1533"/>
      <c r="E143" s="1473"/>
      <c r="F143" s="1509"/>
      <c r="G143" s="1558">
        <f>SUM(G141:G142)</f>
        <v>19828433.3607</v>
      </c>
      <c r="H143" s="1473"/>
      <c r="I143" s="1510"/>
      <c r="J143" s="1558">
        <f>SUM(J141:J142)</f>
        <v>19828433.3607</v>
      </c>
      <c r="K143" s="1558"/>
      <c r="L143" s="1558">
        <f>J143-G143</f>
        <v>0</v>
      </c>
      <c r="M143" s="1545">
        <f>ROUND(L143/G143,5)</f>
        <v>0</v>
      </c>
      <c r="N143" s="1512"/>
      <c r="O143" s="1507"/>
      <c r="P143" s="1507"/>
      <c r="Q143" s="1473"/>
    </row>
    <row r="144" spans="2:17" x14ac:dyDescent="0.2">
      <c r="B144" s="1563">
        <v>133</v>
      </c>
      <c r="C144" s="1547"/>
      <c r="D144" s="1507"/>
      <c r="E144" s="1492"/>
      <c r="F144" s="1509"/>
      <c r="G144" s="1549"/>
      <c r="I144" s="1510"/>
      <c r="J144" s="1549"/>
      <c r="K144" s="1549"/>
      <c r="L144" s="1548"/>
      <c r="M144" s="1556"/>
      <c r="N144" s="1512"/>
      <c r="O144" s="1533"/>
      <c r="P144" s="1507"/>
      <c r="Q144" s="1492"/>
    </row>
    <row r="145" spans="1:17" x14ac:dyDescent="0.2">
      <c r="B145" s="1563">
        <v>134</v>
      </c>
      <c r="C145" s="1547" t="s">
        <v>26</v>
      </c>
      <c r="D145" s="1507"/>
      <c r="E145" s="1492"/>
      <c r="F145" s="1509"/>
      <c r="G145" s="1558">
        <f>G138+G143</f>
        <v>21552140.1807</v>
      </c>
      <c r="I145" s="1510"/>
      <c r="J145" s="1558">
        <f>J138+J143</f>
        <v>21560957.030700002</v>
      </c>
      <c r="K145" s="1535"/>
      <c r="L145" s="1558">
        <f>L138+L143</f>
        <v>8816.8500000000931</v>
      </c>
      <c r="M145" s="1545">
        <f>L145/G145</f>
        <v>4.0909394269324613E-4</v>
      </c>
      <c r="N145" s="1512"/>
      <c r="O145" s="1507"/>
      <c r="P145" s="1507"/>
      <c r="Q145" s="1492"/>
    </row>
    <row r="146" spans="1:17" x14ac:dyDescent="0.2">
      <c r="A146" s="1507"/>
      <c r="B146" s="1563">
        <v>135</v>
      </c>
      <c r="C146" s="1570"/>
      <c r="D146" s="1571"/>
      <c r="E146" s="1572"/>
      <c r="F146" s="1590"/>
      <c r="G146" s="1587"/>
      <c r="H146" s="1572"/>
      <c r="I146" s="1575"/>
      <c r="J146" s="1584"/>
      <c r="K146" s="1576"/>
      <c r="L146" s="1574"/>
      <c r="M146" s="1601"/>
      <c r="N146" s="1512"/>
      <c r="O146" s="1533"/>
      <c r="P146" s="1507"/>
      <c r="Q146" s="1492"/>
    </row>
    <row r="147" spans="1:17" x14ac:dyDescent="0.2">
      <c r="A147" s="1507"/>
      <c r="B147" s="1563">
        <v>136</v>
      </c>
      <c r="C147" s="1537" t="s">
        <v>137</v>
      </c>
      <c r="D147" s="1538"/>
      <c r="E147" s="1539"/>
      <c r="F147" s="1540"/>
      <c r="G147" s="1541"/>
      <c r="H147" s="1539"/>
      <c r="I147" s="1543"/>
      <c r="J147" s="1558"/>
      <c r="K147" s="1544"/>
      <c r="L147" s="1541"/>
      <c r="M147" s="1545"/>
      <c r="N147" s="1512"/>
      <c r="O147" s="1507"/>
      <c r="P147" s="1507"/>
      <c r="Q147" s="1492"/>
    </row>
    <row r="148" spans="1:17" x14ac:dyDescent="0.2">
      <c r="A148" s="1507"/>
      <c r="B148" s="1563">
        <v>137</v>
      </c>
      <c r="C148" s="1547"/>
      <c r="D148" s="1507"/>
      <c r="E148" s="1492"/>
      <c r="F148" s="1508"/>
      <c r="G148" s="1548"/>
      <c r="I148" s="1510"/>
      <c r="J148" s="1549"/>
      <c r="K148" s="1535"/>
      <c r="L148" s="1548"/>
      <c r="M148" s="1550"/>
      <c r="N148" s="1512"/>
      <c r="O148" s="1507"/>
      <c r="P148" s="1507"/>
      <c r="Q148" s="1492"/>
    </row>
    <row r="149" spans="1:17" x14ac:dyDescent="0.2">
      <c r="A149" s="1507"/>
      <c r="B149" s="1563">
        <v>138</v>
      </c>
      <c r="C149" s="1532" t="s">
        <v>142</v>
      </c>
      <c r="D149" s="1533" t="s">
        <v>67</v>
      </c>
      <c r="E149" s="1492">
        <v>155</v>
      </c>
      <c r="F149" s="1510">
        <v>893.47</v>
      </c>
      <c r="G149" s="1548">
        <f>ROUND(E149*F149,2)</f>
        <v>138487.85</v>
      </c>
      <c r="I149" s="1510">
        <f>ROUND(F149*(1+$O$136),2)</f>
        <v>898.23</v>
      </c>
      <c r="J149" s="1549">
        <f>ROUND(E149*I149,2)</f>
        <v>139225.65</v>
      </c>
      <c r="K149" s="1535"/>
      <c r="L149" s="1548">
        <f>J149-G149</f>
        <v>737.79999999998836</v>
      </c>
      <c r="M149" s="1603"/>
      <c r="N149" s="1512"/>
      <c r="O149" s="1507"/>
      <c r="P149" s="1507"/>
      <c r="Q149" s="1552">
        <f>I149/F149-1</f>
        <v>5.3275431743651236E-3</v>
      </c>
    </row>
    <row r="150" spans="1:17" x14ac:dyDescent="0.2">
      <c r="A150" s="1507"/>
      <c r="B150" s="1563">
        <v>139</v>
      </c>
      <c r="C150" s="1547" t="s">
        <v>24</v>
      </c>
      <c r="D150" s="1507" t="s">
        <v>74</v>
      </c>
      <c r="E150" s="1492">
        <v>452875</v>
      </c>
      <c r="F150" s="1510">
        <v>1.1399999999999999</v>
      </c>
      <c r="G150" s="1548">
        <f>ROUND(E150*F150,2)</f>
        <v>516277.5</v>
      </c>
      <c r="I150" s="1510">
        <f>I127</f>
        <v>1.1499999999999999</v>
      </c>
      <c r="J150" s="1549">
        <f>ROUND(E150*I150,2)</f>
        <v>520806.25</v>
      </c>
      <c r="K150" s="1535"/>
      <c r="L150" s="1548">
        <f>J150-G150</f>
        <v>4528.75</v>
      </c>
      <c r="M150" s="1603"/>
      <c r="N150" s="1512"/>
      <c r="Q150" s="1552">
        <f>I150/F150-1</f>
        <v>8.7719298245614308E-3</v>
      </c>
    </row>
    <row r="151" spans="1:17" x14ac:dyDescent="0.2">
      <c r="A151" s="1507"/>
      <c r="B151" s="1563">
        <v>140</v>
      </c>
      <c r="C151" s="1547" t="s">
        <v>127</v>
      </c>
      <c r="D151" s="1507"/>
      <c r="E151" s="1492"/>
      <c r="F151" s="1510"/>
      <c r="G151" s="1578">
        <v>66687</v>
      </c>
      <c r="I151" s="1510"/>
      <c r="J151" s="1549">
        <f>G151</f>
        <v>66687</v>
      </c>
      <c r="K151" s="1535"/>
      <c r="L151" s="1606"/>
      <c r="M151" s="1603"/>
      <c r="N151" s="1512"/>
    </row>
    <row r="152" spans="1:17" x14ac:dyDescent="0.2">
      <c r="A152" s="1507"/>
      <c r="B152" s="1563">
        <v>141</v>
      </c>
      <c r="C152" s="1598"/>
      <c r="D152" s="1507"/>
      <c r="E152" s="1492"/>
      <c r="F152" s="1554"/>
      <c r="G152" s="1548"/>
      <c r="I152" s="1554"/>
      <c r="J152" s="1549"/>
      <c r="K152" s="1535"/>
      <c r="L152" s="1606"/>
      <c r="M152" s="1603"/>
      <c r="N152" s="1512"/>
    </row>
    <row r="153" spans="1:17" x14ac:dyDescent="0.2">
      <c r="A153" s="1507"/>
      <c r="B153" s="1563">
        <v>142</v>
      </c>
      <c r="C153" s="1547" t="s">
        <v>85</v>
      </c>
      <c r="D153" s="1507"/>
      <c r="E153" s="1492"/>
      <c r="F153" s="1509"/>
      <c r="G153" s="1548"/>
      <c r="I153" s="1554"/>
      <c r="J153" s="1549"/>
      <c r="K153" s="1535"/>
      <c r="L153" s="1606"/>
      <c r="M153" s="1603"/>
      <c r="N153" s="1512"/>
    </row>
    <row r="154" spans="1:17" x14ac:dyDescent="0.2">
      <c r="A154" s="1507"/>
      <c r="B154" s="1563">
        <v>143</v>
      </c>
      <c r="C154" s="1547" t="s">
        <v>13</v>
      </c>
      <c r="D154" s="1507" t="s">
        <v>10</v>
      </c>
      <c r="E154" s="1492">
        <f>600000+3055136</f>
        <v>3655136</v>
      </c>
      <c r="F154" s="1554">
        <v>0.14158000000000001</v>
      </c>
      <c r="G154" s="1569">
        <f t="shared" ref="G154:G159" si="4">ROUND(E154*F154,2)</f>
        <v>517494.15</v>
      </c>
      <c r="I154" s="1554">
        <f t="shared" ref="I154:I159" si="5">I132</f>
        <v>0.14233000000000001</v>
      </c>
      <c r="J154" s="1549">
        <f t="shared" ref="J154:J159" si="6">ROUND(E154*I154,2)</f>
        <v>520235.51</v>
      </c>
      <c r="K154" s="1535"/>
      <c r="L154" s="1548">
        <f t="shared" ref="L154:L159" si="7">J154-G154</f>
        <v>2741.359999999986</v>
      </c>
      <c r="M154" s="1613"/>
      <c r="N154" s="1512"/>
      <c r="Q154" s="1552">
        <f t="shared" ref="Q154:Q159" si="8">I154/F154-1</f>
        <v>5.2973583839526217E-3</v>
      </c>
    </row>
    <row r="155" spans="1:17" x14ac:dyDescent="0.2">
      <c r="A155" s="1507"/>
      <c r="B155" s="1563">
        <v>144</v>
      </c>
      <c r="C155" s="1547" t="s">
        <v>14</v>
      </c>
      <c r="D155" s="1507" t="s">
        <v>10</v>
      </c>
      <c r="E155" s="1492">
        <f>600000+2941188</f>
        <v>3541188</v>
      </c>
      <c r="F155" s="1554">
        <v>8.6440000000000003E-2</v>
      </c>
      <c r="G155" s="1569">
        <f t="shared" si="4"/>
        <v>306100.28999999998</v>
      </c>
      <c r="I155" s="1554">
        <f t="shared" si="5"/>
        <v>8.6900000000000005E-2</v>
      </c>
      <c r="J155" s="1549">
        <f t="shared" si="6"/>
        <v>307729.24</v>
      </c>
      <c r="K155" s="1535"/>
      <c r="L155" s="1548">
        <f t="shared" si="7"/>
        <v>1628.9500000000116</v>
      </c>
      <c r="M155" s="1613"/>
      <c r="N155" s="1512"/>
      <c r="Q155" s="1552">
        <f t="shared" si="8"/>
        <v>5.3216103655715497E-3</v>
      </c>
    </row>
    <row r="156" spans="1:17" x14ac:dyDescent="0.2">
      <c r="A156" s="1507"/>
      <c r="B156" s="1563">
        <v>145</v>
      </c>
      <c r="C156" s="1547" t="s">
        <v>18</v>
      </c>
      <c r="D156" s="1507" t="s">
        <v>10</v>
      </c>
      <c r="E156" s="1492">
        <f>1200000+5666088</f>
        <v>6866088</v>
      </c>
      <c r="F156" s="1554">
        <v>5.5809999999999998E-2</v>
      </c>
      <c r="G156" s="1569">
        <f t="shared" si="4"/>
        <v>383196.37</v>
      </c>
      <c r="I156" s="1554">
        <f t="shared" si="5"/>
        <v>5.611E-2</v>
      </c>
      <c r="J156" s="1549">
        <f t="shared" si="6"/>
        <v>385256.2</v>
      </c>
      <c r="K156" s="1535"/>
      <c r="L156" s="1548">
        <f t="shared" si="7"/>
        <v>2059.8300000000163</v>
      </c>
      <c r="M156" s="1613"/>
      <c r="N156" s="1512"/>
      <c r="Q156" s="1552">
        <f t="shared" si="8"/>
        <v>5.3753807561369715E-3</v>
      </c>
    </row>
    <row r="157" spans="1:17" x14ac:dyDescent="0.2">
      <c r="A157" s="1507"/>
      <c r="B157" s="1563">
        <v>146</v>
      </c>
      <c r="C157" s="1547" t="s">
        <v>19</v>
      </c>
      <c r="D157" s="1507" t="s">
        <v>10</v>
      </c>
      <c r="E157" s="1492">
        <f>2400000+10737582</f>
        <v>13137582</v>
      </c>
      <c r="F157" s="1554">
        <v>3.6589999999999998E-2</v>
      </c>
      <c r="G157" s="1569">
        <f t="shared" si="4"/>
        <v>480704.13</v>
      </c>
      <c r="I157" s="1554">
        <f t="shared" si="5"/>
        <v>3.6790000000000003E-2</v>
      </c>
      <c r="J157" s="1549">
        <f t="shared" si="6"/>
        <v>483331.64</v>
      </c>
      <c r="K157" s="1535"/>
      <c r="L157" s="1548">
        <f t="shared" si="7"/>
        <v>2627.5100000000093</v>
      </c>
      <c r="M157" s="1613"/>
      <c r="N157" s="1512"/>
      <c r="Q157" s="1552">
        <f t="shared" si="8"/>
        <v>5.4659743099207958E-3</v>
      </c>
    </row>
    <row r="158" spans="1:17" x14ac:dyDescent="0.2">
      <c r="A158" s="1507"/>
      <c r="B158" s="1563">
        <v>147</v>
      </c>
      <c r="C158" s="1547" t="s">
        <v>20</v>
      </c>
      <c r="D158" s="1507" t="s">
        <v>10</v>
      </c>
      <c r="E158" s="1492">
        <f>4687224+25496642</f>
        <v>30183866</v>
      </c>
      <c r="F158" s="1554">
        <v>2.6950000000000002E-2</v>
      </c>
      <c r="G158" s="1569">
        <f t="shared" si="4"/>
        <v>813455.19</v>
      </c>
      <c r="I158" s="1554">
        <f t="shared" si="5"/>
        <v>2.7089999999999999E-2</v>
      </c>
      <c r="J158" s="1549">
        <f t="shared" si="6"/>
        <v>817680.93</v>
      </c>
      <c r="K158" s="1535"/>
      <c r="L158" s="1548">
        <f t="shared" si="7"/>
        <v>4225.7400000001071</v>
      </c>
      <c r="M158" s="1613"/>
      <c r="N158" s="1512"/>
      <c r="Q158" s="1552">
        <f t="shared" si="8"/>
        <v>5.1948051948051965E-3</v>
      </c>
    </row>
    <row r="159" spans="1:17" x14ac:dyDescent="0.2">
      <c r="A159" s="1507"/>
      <c r="B159" s="1563">
        <v>148</v>
      </c>
      <c r="C159" s="1547" t="s">
        <v>21</v>
      </c>
      <c r="D159" s="1507" t="s">
        <v>10</v>
      </c>
      <c r="E159" s="1572">
        <f>10110121+32084594</f>
        <v>42194715</v>
      </c>
      <c r="F159" s="1554">
        <v>2.129E-2</v>
      </c>
      <c r="G159" s="1569">
        <f t="shared" si="4"/>
        <v>898325.48</v>
      </c>
      <c r="I159" s="1554">
        <f t="shared" si="5"/>
        <v>2.1399999999999999E-2</v>
      </c>
      <c r="J159" s="1549">
        <f t="shared" si="6"/>
        <v>902966.9</v>
      </c>
      <c r="K159" s="1535"/>
      <c r="L159" s="1548">
        <f t="shared" si="7"/>
        <v>4641.4200000000419</v>
      </c>
      <c r="M159" s="1613"/>
      <c r="N159" s="1512"/>
      <c r="Q159" s="1552">
        <f t="shared" si="8"/>
        <v>5.1667449506809238E-3</v>
      </c>
    </row>
    <row r="160" spans="1:17" x14ac:dyDescent="0.2">
      <c r="A160" s="1507"/>
      <c r="B160" s="1563">
        <v>149</v>
      </c>
      <c r="C160" s="1557" t="s">
        <v>184</v>
      </c>
      <c r="D160" s="1507"/>
      <c r="E160" s="1492">
        <f>SUM(E154:E159)</f>
        <v>99578575</v>
      </c>
      <c r="F160" s="1554"/>
      <c r="G160" s="1589">
        <f>SUM(G149:G159)</f>
        <v>4120727.96</v>
      </c>
      <c r="I160" s="1554"/>
      <c r="J160" s="1589">
        <f>SUM(J149:J159)</f>
        <v>4143919.3200000003</v>
      </c>
      <c r="K160" s="1535"/>
      <c r="L160" s="1589">
        <f>SUM(L149:L159)</f>
        <v>23191.360000000161</v>
      </c>
      <c r="M160" s="1545">
        <f>L160/G160</f>
        <v>5.6279764704487215E-3</v>
      </c>
      <c r="N160" s="1512"/>
    </row>
    <row r="161" spans="1:15" x14ac:dyDescent="0.2">
      <c r="A161" s="1507"/>
      <c r="B161" s="1563">
        <v>150</v>
      </c>
      <c r="C161" s="1547"/>
      <c r="D161" s="1533"/>
      <c r="E161" s="1492"/>
      <c r="F161" s="1554"/>
      <c r="G161" s="1548"/>
      <c r="I161" s="1510"/>
      <c r="J161" s="1549"/>
      <c r="K161" s="1535"/>
      <c r="L161" s="1548"/>
      <c r="M161" s="1556"/>
      <c r="N161" s="1512"/>
    </row>
    <row r="162" spans="1:15" x14ac:dyDescent="0.2">
      <c r="A162" s="1507"/>
      <c r="B162" s="1563">
        <v>151</v>
      </c>
      <c r="C162" s="1532" t="s">
        <v>120</v>
      </c>
      <c r="D162" s="1507" t="s">
        <v>10</v>
      </c>
      <c r="E162" s="1566">
        <f>E160</f>
        <v>99578575</v>
      </c>
      <c r="F162" s="1554">
        <v>6.9999999999999999E-4</v>
      </c>
      <c r="G162" s="1549">
        <f>+F162*E162</f>
        <v>69705.002500000002</v>
      </c>
      <c r="H162" s="1567"/>
      <c r="I162" s="1554">
        <f>F162</f>
        <v>6.9999999999999999E-4</v>
      </c>
      <c r="J162" s="1549">
        <f>+I162*E162</f>
        <v>69705.002500000002</v>
      </c>
      <c r="K162" s="1535"/>
      <c r="L162" s="1548">
        <f>J162-G162</f>
        <v>0</v>
      </c>
      <c r="M162" s="1550"/>
      <c r="N162" s="1512"/>
    </row>
    <row r="163" spans="1:15" x14ac:dyDescent="0.2">
      <c r="A163" s="1507"/>
      <c r="B163" s="1563">
        <v>152</v>
      </c>
      <c r="C163" s="1532"/>
      <c r="D163" s="1507"/>
      <c r="E163" s="1566"/>
      <c r="F163" s="1554"/>
      <c r="G163" s="1549"/>
      <c r="H163" s="1567"/>
      <c r="I163" s="1554"/>
      <c r="J163" s="1549"/>
      <c r="K163" s="1535"/>
      <c r="L163" s="1548"/>
      <c r="M163" s="1550"/>
      <c r="N163" s="1512"/>
    </row>
    <row r="164" spans="1:15" x14ac:dyDescent="0.2">
      <c r="A164" s="1507"/>
      <c r="B164" s="1563">
        <v>153</v>
      </c>
      <c r="C164" s="1547" t="s">
        <v>26</v>
      </c>
      <c r="D164" s="1507"/>
      <c r="E164" s="1492"/>
      <c r="F164" s="1509"/>
      <c r="G164" s="1558">
        <f>G162+G160</f>
        <v>4190432.9624999999</v>
      </c>
      <c r="I164" s="1510"/>
      <c r="J164" s="1558">
        <f>J162+J160</f>
        <v>4213624.3225000007</v>
      </c>
      <c r="K164" s="1535"/>
      <c r="L164" s="1558">
        <f>L162+L160</f>
        <v>23191.360000000161</v>
      </c>
      <c r="M164" s="1545">
        <f>L164/G164</f>
        <v>5.5343589093391115E-3</v>
      </c>
      <c r="N164" s="1512"/>
      <c r="O164" s="1614"/>
    </row>
    <row r="165" spans="1:15" s="1507" customFormat="1" x14ac:dyDescent="0.2">
      <c r="B165" s="1563">
        <v>154</v>
      </c>
      <c r="C165" s="1570"/>
      <c r="D165" s="1571"/>
      <c r="E165" s="1572"/>
      <c r="F165" s="1590"/>
      <c r="G165" s="1587"/>
      <c r="H165" s="1572"/>
      <c r="I165" s="1575"/>
      <c r="J165" s="1584"/>
      <c r="K165" s="1576"/>
      <c r="L165" s="1574"/>
      <c r="M165" s="1601"/>
      <c r="N165" s="1512"/>
    </row>
    <row r="166" spans="1:15" x14ac:dyDescent="0.2">
      <c r="A166" s="1507"/>
      <c r="B166" s="1563">
        <v>155</v>
      </c>
      <c r="C166" s="1585" t="s">
        <v>141</v>
      </c>
      <c r="D166" s="1615"/>
      <c r="E166" s="1539"/>
      <c r="F166" s="1616"/>
      <c r="G166" s="1617"/>
      <c r="H166" s="1539"/>
      <c r="I166" s="1543"/>
      <c r="J166" s="1589"/>
      <c r="K166" s="1618"/>
      <c r="L166" s="1617"/>
      <c r="M166" s="1559"/>
      <c r="N166" s="1512"/>
    </row>
    <row r="167" spans="1:15" x14ac:dyDescent="0.2">
      <c r="A167" s="1507"/>
      <c r="B167" s="1563">
        <v>156</v>
      </c>
      <c r="C167" s="1598"/>
      <c r="D167" s="1473"/>
      <c r="E167" s="1492"/>
      <c r="F167" s="1554"/>
      <c r="G167" s="1569"/>
      <c r="I167" s="1510"/>
      <c r="J167" s="1578"/>
      <c r="K167" s="1579"/>
      <c r="L167" s="1569"/>
      <c r="M167" s="1586"/>
      <c r="N167" s="1512"/>
    </row>
    <row r="168" spans="1:15" x14ac:dyDescent="0.2">
      <c r="A168" s="1507"/>
      <c r="B168" s="1563">
        <v>157</v>
      </c>
      <c r="C168" s="1619" t="s">
        <v>142</v>
      </c>
      <c r="D168" s="1582" t="s">
        <v>67</v>
      </c>
      <c r="E168" s="1492">
        <f>E149+E126</f>
        <v>263</v>
      </c>
      <c r="F168" s="1510"/>
      <c r="G168" s="1569">
        <f>G149+G126</f>
        <v>198797.21000000002</v>
      </c>
      <c r="I168" s="1510"/>
      <c r="J168" s="1569">
        <f>J149+J126</f>
        <v>199856.84999999998</v>
      </c>
      <c r="K168" s="1579"/>
      <c r="L168" s="1578">
        <f>J168-G168</f>
        <v>1059.6399999999558</v>
      </c>
      <c r="M168" s="1620"/>
      <c r="N168" s="1512"/>
    </row>
    <row r="169" spans="1:15" x14ac:dyDescent="0.2">
      <c r="A169" s="1507"/>
      <c r="B169" s="1563">
        <v>158</v>
      </c>
      <c r="C169" s="1598" t="s">
        <v>24</v>
      </c>
      <c r="D169" s="1473" t="s">
        <v>74</v>
      </c>
      <c r="E169" s="1492">
        <f>E150+E127</f>
        <v>459259</v>
      </c>
      <c r="F169" s="1510"/>
      <c r="G169" s="1569">
        <f>G150+G127</f>
        <v>523555.26</v>
      </c>
      <c r="I169" s="1510"/>
      <c r="J169" s="1569">
        <f>J150+J127</f>
        <v>528147.85</v>
      </c>
      <c r="K169" s="1579"/>
      <c r="L169" s="1578">
        <f>J169-G169</f>
        <v>4592.5899999999674</v>
      </c>
      <c r="M169" s="1620"/>
      <c r="N169" s="1512"/>
    </row>
    <row r="170" spans="1:15" x14ac:dyDescent="0.2">
      <c r="A170" s="1507"/>
      <c r="B170" s="1563">
        <v>159</v>
      </c>
      <c r="C170" s="1598" t="s">
        <v>66</v>
      </c>
      <c r="D170" s="1473"/>
      <c r="E170" s="1492"/>
      <c r="F170" s="1510"/>
      <c r="G170" s="1569">
        <f>G128</f>
        <v>156185.41</v>
      </c>
      <c r="I170" s="1510"/>
      <c r="J170" s="1569">
        <f>J128</f>
        <v>157086.48000000001</v>
      </c>
      <c r="K170" s="1579"/>
      <c r="L170" s="1578">
        <f>J170-G170</f>
        <v>901.07000000000698</v>
      </c>
      <c r="M170" s="1620"/>
      <c r="N170" s="1512"/>
    </row>
    <row r="171" spans="1:15" x14ac:dyDescent="0.2">
      <c r="A171" s="1507"/>
      <c r="B171" s="1563">
        <v>160</v>
      </c>
      <c r="C171" s="1598" t="s">
        <v>127</v>
      </c>
      <c r="D171" s="1473"/>
      <c r="E171" s="1492"/>
      <c r="F171" s="1510"/>
      <c r="G171" s="1578">
        <f>G151+G129</f>
        <v>149561</v>
      </c>
      <c r="I171" s="1510"/>
      <c r="J171" s="1578">
        <f>J151+J129</f>
        <v>149561</v>
      </c>
      <c r="K171" s="1579"/>
      <c r="L171" s="1578">
        <f>J171-G171</f>
        <v>0</v>
      </c>
      <c r="M171" s="1620"/>
      <c r="N171" s="1512"/>
    </row>
    <row r="172" spans="1:15" x14ac:dyDescent="0.2">
      <c r="A172" s="1507"/>
      <c r="B172" s="1563">
        <v>161</v>
      </c>
      <c r="C172" s="1598"/>
      <c r="D172" s="1473"/>
      <c r="E172" s="1492"/>
      <c r="F172" s="1510"/>
      <c r="G172" s="1578"/>
      <c r="I172" s="1554"/>
      <c r="J172" s="1578"/>
      <c r="K172" s="1579"/>
      <c r="L172" s="1578"/>
      <c r="M172" s="1620"/>
      <c r="N172" s="1512"/>
    </row>
    <row r="173" spans="1:15" ht="12" customHeight="1" x14ac:dyDescent="0.2">
      <c r="A173" s="1507"/>
      <c r="B173" s="1563">
        <v>162</v>
      </c>
      <c r="C173" s="1598" t="s">
        <v>85</v>
      </c>
      <c r="D173" s="1473"/>
      <c r="E173" s="1492"/>
      <c r="F173" s="1510"/>
      <c r="G173" s="1569"/>
      <c r="I173" s="1554"/>
      <c r="J173" s="1569"/>
      <c r="K173" s="1579"/>
      <c r="L173" s="1578"/>
      <c r="M173" s="1620"/>
      <c r="N173" s="1512"/>
    </row>
    <row r="174" spans="1:15" x14ac:dyDescent="0.2">
      <c r="A174" s="1507"/>
      <c r="B174" s="1563">
        <v>163</v>
      </c>
      <c r="C174" s="1598" t="s">
        <v>13</v>
      </c>
      <c r="D174" s="1473" t="s">
        <v>10</v>
      </c>
      <c r="E174" s="1492">
        <f t="shared" ref="E174:E179" si="9">E154+E132</f>
        <v>6355136</v>
      </c>
      <c r="F174" s="1554"/>
      <c r="G174" s="1569">
        <f t="shared" ref="G174:G179" si="10">G154+G132</f>
        <v>899760.15</v>
      </c>
      <c r="I174" s="1554"/>
      <c r="J174" s="1569">
        <f t="shared" ref="J174:J179" si="11">J154+J132</f>
        <v>904526.51</v>
      </c>
      <c r="K174" s="1579"/>
      <c r="L174" s="1578">
        <f t="shared" ref="L174:L179" si="12">J174-G174</f>
        <v>4766.359999999986</v>
      </c>
      <c r="M174" s="1620"/>
      <c r="N174" s="1512"/>
    </row>
    <row r="175" spans="1:15" x14ac:dyDescent="0.2">
      <c r="A175" s="1507"/>
      <c r="B175" s="1563">
        <v>164</v>
      </c>
      <c r="C175" s="1598" t="s">
        <v>14</v>
      </c>
      <c r="D175" s="1473" t="s">
        <v>10</v>
      </c>
      <c r="E175" s="1492">
        <f t="shared" si="9"/>
        <v>6199753</v>
      </c>
      <c r="F175" s="1554"/>
      <c r="G175" s="1569">
        <f t="shared" si="10"/>
        <v>535906.64999999991</v>
      </c>
      <c r="I175" s="1554"/>
      <c r="J175" s="1569">
        <f t="shared" si="11"/>
        <v>538758.54</v>
      </c>
      <c r="K175" s="1579"/>
      <c r="L175" s="1578">
        <f t="shared" si="12"/>
        <v>2851.8900000001304</v>
      </c>
      <c r="M175" s="1620"/>
      <c r="N175" s="1512"/>
    </row>
    <row r="176" spans="1:15" x14ac:dyDescent="0.2">
      <c r="A176" s="1507"/>
      <c r="B176" s="1563">
        <v>165</v>
      </c>
      <c r="C176" s="1598" t="s">
        <v>18</v>
      </c>
      <c r="D176" s="1473" t="s">
        <v>10</v>
      </c>
      <c r="E176" s="1492">
        <f t="shared" si="9"/>
        <v>11602223</v>
      </c>
      <c r="F176" s="1554"/>
      <c r="G176" s="1569">
        <f t="shared" si="10"/>
        <v>647520.06000000006</v>
      </c>
      <c r="I176" s="1554"/>
      <c r="J176" s="1569">
        <f t="shared" si="11"/>
        <v>651000.73</v>
      </c>
      <c r="K176" s="1579"/>
      <c r="L176" s="1578">
        <f t="shared" si="12"/>
        <v>3480.6699999999255</v>
      </c>
      <c r="M176" s="1586"/>
      <c r="N176" s="1512"/>
    </row>
    <row r="177" spans="1:16" x14ac:dyDescent="0.2">
      <c r="A177" s="1507"/>
      <c r="B177" s="1563">
        <v>166</v>
      </c>
      <c r="C177" s="1598" t="s">
        <v>19</v>
      </c>
      <c r="D177" s="1473" t="s">
        <v>10</v>
      </c>
      <c r="E177" s="1492">
        <f t="shared" si="9"/>
        <v>19014487</v>
      </c>
      <c r="F177" s="1554"/>
      <c r="G177" s="1569">
        <f t="shared" si="10"/>
        <v>695740.08000000007</v>
      </c>
      <c r="I177" s="1554"/>
      <c r="J177" s="1569">
        <f t="shared" si="11"/>
        <v>699542.97</v>
      </c>
      <c r="K177" s="1579"/>
      <c r="L177" s="1578">
        <f t="shared" si="12"/>
        <v>3802.8899999998976</v>
      </c>
      <c r="M177" s="1586"/>
      <c r="N177" s="1512"/>
    </row>
    <row r="178" spans="1:16" x14ac:dyDescent="0.2">
      <c r="A178" s="1507"/>
      <c r="B178" s="1563">
        <v>167</v>
      </c>
      <c r="C178" s="1598" t="s">
        <v>20</v>
      </c>
      <c r="D178" s="1473" t="s">
        <v>10</v>
      </c>
      <c r="E178" s="1492">
        <f t="shared" si="9"/>
        <v>34813666</v>
      </c>
      <c r="F178" s="1554"/>
      <c r="G178" s="1569">
        <f t="shared" si="10"/>
        <v>938228.29999999993</v>
      </c>
      <c r="I178" s="1554"/>
      <c r="J178" s="1569">
        <f t="shared" si="11"/>
        <v>943102.21000000008</v>
      </c>
      <c r="K178" s="1579"/>
      <c r="L178" s="1578">
        <f t="shared" si="12"/>
        <v>4873.910000000149</v>
      </c>
      <c r="M178" s="1586"/>
      <c r="N178" s="1512"/>
    </row>
    <row r="179" spans="1:16" x14ac:dyDescent="0.2">
      <c r="A179" s="1507"/>
      <c r="B179" s="1563">
        <v>168</v>
      </c>
      <c r="C179" s="1598" t="s">
        <v>21</v>
      </c>
      <c r="D179" s="1473" t="s">
        <v>10</v>
      </c>
      <c r="E179" s="1492">
        <f t="shared" si="9"/>
        <v>51628965</v>
      </c>
      <c r="F179" s="1554"/>
      <c r="G179" s="1569">
        <f t="shared" si="10"/>
        <v>1099180.6599999999</v>
      </c>
      <c r="I179" s="1554"/>
      <c r="J179" s="1569">
        <f t="shared" si="11"/>
        <v>1104859.8500000001</v>
      </c>
      <c r="K179" s="1579"/>
      <c r="L179" s="1578">
        <f t="shared" si="12"/>
        <v>5679.190000000177</v>
      </c>
      <c r="M179" s="1586"/>
      <c r="N179" s="1512"/>
    </row>
    <row r="180" spans="1:16" x14ac:dyDescent="0.2">
      <c r="A180" s="1507"/>
      <c r="B180" s="1563">
        <v>169</v>
      </c>
      <c r="C180" s="1557" t="s">
        <v>184</v>
      </c>
      <c r="D180" s="1473" t="s">
        <v>10</v>
      </c>
      <c r="E180" s="1539">
        <f>SUM(E174:E179)</f>
        <v>129614230</v>
      </c>
      <c r="F180" s="1554"/>
      <c r="G180" s="1617">
        <f>SUM(G168:G179)</f>
        <v>5844434.7800000003</v>
      </c>
      <c r="I180" s="1510"/>
      <c r="J180" s="1617">
        <f>SUM(J168:J179)</f>
        <v>5876442.9900000002</v>
      </c>
      <c r="K180" s="1579"/>
      <c r="L180" s="1617">
        <f>SUM(L168:L179)</f>
        <v>32008.210000000196</v>
      </c>
      <c r="M180" s="1559">
        <f>L180/G180</f>
        <v>5.4766989802904759E-3</v>
      </c>
      <c r="N180" s="1512"/>
      <c r="P180" s="1612"/>
    </row>
    <row r="181" spans="1:16" x14ac:dyDescent="0.2">
      <c r="A181" s="1507"/>
      <c r="B181" s="1563">
        <v>170</v>
      </c>
      <c r="C181" s="1619"/>
      <c r="D181" s="1582"/>
      <c r="E181" s="1492"/>
      <c r="F181" s="1554"/>
      <c r="G181" s="1569"/>
      <c r="I181" s="1510"/>
      <c r="J181" s="1578"/>
      <c r="K181" s="1579"/>
      <c r="L181" s="1569"/>
      <c r="M181" s="1588"/>
      <c r="N181" s="1512"/>
    </row>
    <row r="182" spans="1:16" x14ac:dyDescent="0.2">
      <c r="A182" s="1507"/>
      <c r="B182" s="1563">
        <v>171</v>
      </c>
      <c r="C182" s="1621" t="s">
        <v>145</v>
      </c>
      <c r="D182" s="1582"/>
      <c r="E182" s="1492"/>
      <c r="F182" s="1554"/>
      <c r="G182" s="1569"/>
      <c r="I182" s="1510"/>
      <c r="J182" s="1578"/>
      <c r="K182" s="1579"/>
      <c r="L182" s="1569"/>
      <c r="M182" s="1588"/>
      <c r="N182" s="1512"/>
    </row>
    <row r="183" spans="1:16" x14ac:dyDescent="0.2">
      <c r="A183" s="1507"/>
      <c r="B183" s="1563">
        <v>172</v>
      </c>
      <c r="C183" s="1598" t="s">
        <v>86</v>
      </c>
      <c r="D183" s="1582"/>
      <c r="E183" s="1492"/>
      <c r="F183" s="1554"/>
      <c r="G183" s="1569">
        <f>G141</f>
        <v>19821730.160700001</v>
      </c>
      <c r="I183" s="1510"/>
      <c r="J183" s="1569">
        <f>J141</f>
        <v>19821730.160700001</v>
      </c>
      <c r="K183" s="1579"/>
      <c r="L183" s="1578">
        <f>J183-G183</f>
        <v>0</v>
      </c>
      <c r="M183" s="1588"/>
      <c r="N183" s="1512"/>
    </row>
    <row r="184" spans="1:16" x14ac:dyDescent="0.2">
      <c r="A184" s="1507"/>
      <c r="B184" s="1563">
        <v>173</v>
      </c>
      <c r="C184" s="1598" t="s">
        <v>24</v>
      </c>
      <c r="D184" s="1582"/>
      <c r="E184" s="1492"/>
      <c r="F184" s="1554"/>
      <c r="G184" s="1569">
        <f>G142</f>
        <v>6703.2000000000007</v>
      </c>
      <c r="I184" s="1510"/>
      <c r="J184" s="1569">
        <f>J142</f>
        <v>6703.2000000000007</v>
      </c>
      <c r="K184" s="1579"/>
      <c r="L184" s="1578">
        <f>J184-G184</f>
        <v>0</v>
      </c>
      <c r="M184" s="1588"/>
      <c r="N184" s="1512"/>
    </row>
    <row r="185" spans="1:16" x14ac:dyDescent="0.2">
      <c r="A185" s="1507"/>
      <c r="B185" s="1563">
        <v>174</v>
      </c>
      <c r="C185" s="1598" t="s">
        <v>120</v>
      </c>
      <c r="D185" s="1473" t="s">
        <v>10</v>
      </c>
      <c r="E185" s="1492">
        <f>E162</f>
        <v>99578575</v>
      </c>
      <c r="F185" s="1554"/>
      <c r="G185" s="1578">
        <f>G162</f>
        <v>69705.002500000002</v>
      </c>
      <c r="H185" s="1567"/>
      <c r="I185" s="1554"/>
      <c r="J185" s="1578">
        <f>J162</f>
        <v>69705.002500000002</v>
      </c>
      <c r="K185" s="1579"/>
      <c r="L185" s="1578">
        <f>J185-G185</f>
        <v>0</v>
      </c>
      <c r="M185" s="1586"/>
      <c r="N185" s="1512"/>
    </row>
    <row r="186" spans="1:16" x14ac:dyDescent="0.2">
      <c r="A186" s="1507"/>
      <c r="B186" s="1563">
        <v>175</v>
      </c>
      <c r="C186" s="1532" t="s">
        <v>185</v>
      </c>
      <c r="D186" s="1473"/>
      <c r="E186" s="1567"/>
      <c r="F186" s="1554"/>
      <c r="G186" s="1589">
        <f>SUM(G183:G185)</f>
        <v>19898138.363200001</v>
      </c>
      <c r="H186" s="1567"/>
      <c r="I186" s="1554"/>
      <c r="J186" s="1589">
        <f>SUM(J183:J185)</f>
        <v>19898138.363200001</v>
      </c>
      <c r="K186" s="1589"/>
      <c r="L186" s="1589">
        <f>SUM(L183:L185)</f>
        <v>0</v>
      </c>
      <c r="M186" s="1559">
        <f>L186/G186</f>
        <v>0</v>
      </c>
      <c r="N186" s="1512"/>
    </row>
    <row r="187" spans="1:16" x14ac:dyDescent="0.2">
      <c r="A187" s="1507"/>
      <c r="B187" s="1563">
        <v>176</v>
      </c>
      <c r="C187" s="1619"/>
      <c r="D187" s="1473"/>
      <c r="E187" s="1567"/>
      <c r="F187" s="1554"/>
      <c r="G187" s="1578"/>
      <c r="H187" s="1567"/>
      <c r="I187" s="1554"/>
      <c r="J187" s="1578"/>
      <c r="K187" s="1579"/>
      <c r="L187" s="1569"/>
      <c r="M187" s="1586"/>
      <c r="N187" s="1512"/>
    </row>
    <row r="188" spans="1:16" x14ac:dyDescent="0.2">
      <c r="A188" s="1507"/>
      <c r="B188" s="1563">
        <v>177</v>
      </c>
      <c r="C188" s="1619" t="s">
        <v>26</v>
      </c>
      <c r="D188" s="1582"/>
      <c r="E188" s="1569"/>
      <c r="F188" s="1510"/>
      <c r="G188" s="1617">
        <f>G180+G186</f>
        <v>25742573.143200003</v>
      </c>
      <c r="H188" s="1473"/>
      <c r="I188" s="1510"/>
      <c r="J188" s="1617">
        <f>J180+J186</f>
        <v>25774581.353200004</v>
      </c>
      <c r="K188" s="1510"/>
      <c r="L188" s="1617">
        <f>L180+L186</f>
        <v>32008.210000000196</v>
      </c>
      <c r="M188" s="1622">
        <f>ROUND(L188/G188,5)</f>
        <v>1.24E-3</v>
      </c>
      <c r="N188" s="1512"/>
    </row>
    <row r="189" spans="1:16" x14ac:dyDescent="0.2">
      <c r="A189" s="1507"/>
      <c r="B189" s="1563">
        <v>178</v>
      </c>
      <c r="C189" s="1570"/>
      <c r="D189" s="1571"/>
      <c r="E189" s="1572"/>
      <c r="F189" s="1623"/>
      <c r="G189" s="1584"/>
      <c r="H189" s="1572"/>
      <c r="I189" s="1575"/>
      <c r="J189" s="1591"/>
      <c r="K189" s="1576"/>
      <c r="L189" s="1574"/>
      <c r="M189" s="1577"/>
      <c r="N189" s="1512"/>
    </row>
    <row r="190" spans="1:16" x14ac:dyDescent="0.2">
      <c r="B190" s="1563">
        <v>179</v>
      </c>
      <c r="C190" s="1585" t="s">
        <v>179</v>
      </c>
      <c r="D190" s="1650"/>
      <c r="E190" s="1539"/>
      <c r="F190" s="1540"/>
      <c r="G190" s="1849"/>
      <c r="H190" s="1539"/>
      <c r="I190" s="1616"/>
      <c r="J190" s="1849"/>
      <c r="K190" s="1849"/>
      <c r="L190" s="1849"/>
      <c r="M190" s="1850"/>
      <c r="N190" s="1512"/>
      <c r="O190" s="1671"/>
    </row>
    <row r="191" spans="1:16" x14ac:dyDescent="0.2">
      <c r="B191" s="1563">
        <v>180</v>
      </c>
      <c r="C191" s="1547"/>
      <c r="D191" s="1507"/>
      <c r="E191" s="1524" t="s">
        <v>10</v>
      </c>
      <c r="F191" s="1508"/>
      <c r="G191" s="1625" t="s">
        <v>22</v>
      </c>
      <c r="I191" s="1473"/>
      <c r="J191" s="1625" t="s">
        <v>1</v>
      </c>
      <c r="K191" s="1548"/>
      <c r="L191" s="1625" t="s">
        <v>132</v>
      </c>
      <c r="M191" s="1666"/>
      <c r="N191" s="1512"/>
      <c r="O191" s="1671"/>
    </row>
    <row r="192" spans="1:16" x14ac:dyDescent="0.2">
      <c r="B192" s="1563">
        <v>181</v>
      </c>
      <c r="C192" s="1721" t="s">
        <v>122</v>
      </c>
      <c r="D192" s="1507"/>
      <c r="E192" s="1492"/>
      <c r="F192" s="1508"/>
      <c r="G192" s="1628"/>
      <c r="H192" s="1629"/>
      <c r="I192" s="1629"/>
      <c r="J192" s="1628"/>
      <c r="K192" s="1628"/>
      <c r="L192" s="1628"/>
      <c r="M192" s="1666"/>
      <c r="N192" s="1512"/>
      <c r="O192" s="1671"/>
    </row>
    <row r="193" spans="2:15" x14ac:dyDescent="0.2">
      <c r="B193" s="1563">
        <v>182</v>
      </c>
      <c r="C193" s="1547" t="s">
        <v>181</v>
      </c>
      <c r="D193" s="1507"/>
      <c r="E193" s="1630"/>
      <c r="F193" s="1508"/>
      <c r="G193" s="1628">
        <f>G28+G45</f>
        <v>11608811.261559999</v>
      </c>
      <c r="H193" s="1629"/>
      <c r="I193" s="1629"/>
      <c r="J193" s="1628">
        <f>J28+J45</f>
        <v>11608811.261559999</v>
      </c>
      <c r="K193" s="1628"/>
      <c r="L193" s="1628">
        <f>J193-G193</f>
        <v>0</v>
      </c>
      <c r="M193" s="1666"/>
      <c r="N193" s="1512"/>
      <c r="O193" s="1671"/>
    </row>
    <row r="194" spans="2:15" x14ac:dyDescent="0.2">
      <c r="B194" s="1563">
        <v>183</v>
      </c>
      <c r="C194" s="1547" t="s">
        <v>183</v>
      </c>
      <c r="D194" s="1507"/>
      <c r="E194" s="1630"/>
      <c r="F194" s="1508"/>
      <c r="G194" s="1628">
        <f>G85+G100</f>
        <v>9365238.1461000014</v>
      </c>
      <c r="H194" s="1629"/>
      <c r="I194" s="1629"/>
      <c r="J194" s="1628">
        <f>J85+J100</f>
        <v>9365238.1461000014</v>
      </c>
      <c r="K194" s="1628"/>
      <c r="L194" s="1628">
        <f>J194-G194</f>
        <v>0</v>
      </c>
      <c r="M194" s="1666"/>
      <c r="N194" s="1512"/>
      <c r="O194" s="1671"/>
    </row>
    <row r="195" spans="2:15" x14ac:dyDescent="0.2">
      <c r="B195" s="1563">
        <v>184</v>
      </c>
      <c r="C195" s="1547" t="s">
        <v>182</v>
      </c>
      <c r="D195" s="1507"/>
      <c r="E195" s="1630"/>
      <c r="F195" s="1508"/>
      <c r="G195" s="1628">
        <f>G143+G162</f>
        <v>19898138.363200001</v>
      </c>
      <c r="H195" s="1629"/>
      <c r="I195" s="1629"/>
      <c r="J195" s="1628">
        <f>J143+J162</f>
        <v>19898138.363200001</v>
      </c>
      <c r="K195" s="1628"/>
      <c r="L195" s="1628">
        <f>J195-G195</f>
        <v>0</v>
      </c>
      <c r="M195" s="1666"/>
      <c r="N195" s="1512"/>
      <c r="O195" s="1671"/>
    </row>
    <row r="196" spans="2:15" x14ac:dyDescent="0.2">
      <c r="B196" s="1563">
        <v>185</v>
      </c>
      <c r="C196" s="1547" t="s">
        <v>23</v>
      </c>
      <c r="D196" s="1507"/>
      <c r="E196" s="1630"/>
      <c r="F196" s="1508"/>
      <c r="G196" s="1631">
        <f>SUM(G193:G195)</f>
        <v>40872187.770860001</v>
      </c>
      <c r="H196" s="1629"/>
      <c r="I196" s="1629"/>
      <c r="J196" s="1631">
        <f>SUM(J193:J195)</f>
        <v>40872187.770860001</v>
      </c>
      <c r="K196" s="1628"/>
      <c r="L196" s="1631">
        <f>SUM(L193:L195)</f>
        <v>0</v>
      </c>
      <c r="M196" s="1666"/>
      <c r="N196" s="1512"/>
      <c r="O196" s="1671"/>
    </row>
    <row r="197" spans="2:15" x14ac:dyDescent="0.2">
      <c r="B197" s="1563">
        <v>186</v>
      </c>
      <c r="C197" s="1547"/>
      <c r="D197" s="1507"/>
      <c r="E197" s="1630"/>
      <c r="F197" s="1508"/>
      <c r="G197" s="1628"/>
      <c r="H197" s="1629"/>
      <c r="I197" s="1629"/>
      <c r="J197" s="1628"/>
      <c r="K197" s="1628"/>
      <c r="L197" s="1628"/>
      <c r="M197" s="1666"/>
      <c r="N197" s="1512"/>
      <c r="O197" s="1671"/>
    </row>
    <row r="198" spans="2:15" x14ac:dyDescent="0.2">
      <c r="B198" s="1563">
        <v>187</v>
      </c>
      <c r="C198" s="1721" t="s">
        <v>123</v>
      </c>
      <c r="D198" s="1507"/>
      <c r="E198" s="1630"/>
      <c r="F198" s="1508"/>
      <c r="G198" s="1628"/>
      <c r="H198" s="1629"/>
      <c r="I198" s="1629"/>
      <c r="J198" s="1628"/>
      <c r="K198" s="1628"/>
      <c r="L198" s="1628"/>
      <c r="M198" s="1666"/>
      <c r="N198" s="1512"/>
      <c r="O198" s="1671"/>
    </row>
    <row r="199" spans="2:15" x14ac:dyDescent="0.2">
      <c r="B199" s="1563">
        <v>188</v>
      </c>
      <c r="C199" s="1547" t="s">
        <v>181</v>
      </c>
      <c r="D199" s="1507"/>
      <c r="E199" s="1630"/>
      <c r="F199" s="1508"/>
      <c r="G199" s="1628">
        <f>G23+G43</f>
        <v>8563123.4372800011</v>
      </c>
      <c r="H199" s="1629"/>
      <c r="I199" s="1629"/>
      <c r="J199" s="1628">
        <f>J23+J43</f>
        <v>8578533.0099999998</v>
      </c>
      <c r="K199" s="1628"/>
      <c r="L199" s="1628">
        <f>J199-G199</f>
        <v>15409.572719998658</v>
      </c>
      <c r="M199" s="1666"/>
      <c r="N199" s="1512"/>
      <c r="O199" s="1671"/>
    </row>
    <row r="200" spans="2:15" x14ac:dyDescent="0.2">
      <c r="B200" s="1563">
        <v>189</v>
      </c>
      <c r="C200" s="1547" t="s">
        <v>183</v>
      </c>
      <c r="D200" s="1507"/>
      <c r="E200" s="1630"/>
      <c r="F200" s="1508"/>
      <c r="G200" s="1628">
        <f>G80+G98</f>
        <v>3045621.35</v>
      </c>
      <c r="H200" s="1629"/>
      <c r="I200" s="1629"/>
      <c r="J200" s="1628">
        <f>J80+J98</f>
        <v>3046714</v>
      </c>
      <c r="K200" s="1628"/>
      <c r="L200" s="1628">
        <f>J200-G200</f>
        <v>1092.6499999999069</v>
      </c>
      <c r="M200" s="1666"/>
      <c r="N200" s="1512"/>
      <c r="O200" s="1671"/>
    </row>
    <row r="201" spans="2:15" x14ac:dyDescent="0.2">
      <c r="B201" s="1563">
        <v>190</v>
      </c>
      <c r="C201" s="1547" t="s">
        <v>182</v>
      </c>
      <c r="D201" s="1507"/>
      <c r="E201" s="1630"/>
      <c r="F201" s="1508"/>
      <c r="G201" s="1628">
        <f>G138+G160</f>
        <v>5844434.7800000003</v>
      </c>
      <c r="H201" s="1629"/>
      <c r="I201" s="1629"/>
      <c r="J201" s="1628">
        <f>J138+J160</f>
        <v>5876442.9900000002</v>
      </c>
      <c r="K201" s="1628"/>
      <c r="L201" s="1628">
        <f>J201-G201</f>
        <v>32008.209999999963</v>
      </c>
      <c r="M201" s="1666"/>
      <c r="N201" s="1512"/>
      <c r="O201" s="1671"/>
    </row>
    <row r="202" spans="2:15" x14ac:dyDescent="0.2">
      <c r="B202" s="1563">
        <v>191</v>
      </c>
      <c r="C202" s="1547" t="s">
        <v>23</v>
      </c>
      <c r="D202" s="1507"/>
      <c r="E202" s="1630"/>
      <c r="F202" s="1508"/>
      <c r="G202" s="1631">
        <f>SUM(G199:G201)</f>
        <v>17453179.567280002</v>
      </c>
      <c r="H202" s="1629"/>
      <c r="I202" s="1629"/>
      <c r="J202" s="1631">
        <f>SUM(J199:J201)</f>
        <v>17501690</v>
      </c>
      <c r="K202" s="1628"/>
      <c r="L202" s="1631">
        <f>SUM(L199:L201)</f>
        <v>48510.432719998527</v>
      </c>
      <c r="M202" s="1666"/>
      <c r="N202" s="1512"/>
      <c r="O202" s="1671"/>
    </row>
    <row r="203" spans="2:15" x14ac:dyDescent="0.2">
      <c r="B203" s="1563">
        <v>192</v>
      </c>
      <c r="C203" s="1547"/>
      <c r="D203" s="1507"/>
      <c r="E203" s="1630"/>
      <c r="F203" s="1508"/>
      <c r="G203" s="1628"/>
      <c r="H203" s="1629"/>
      <c r="I203" s="1629"/>
      <c r="J203" s="1628"/>
      <c r="K203" s="1628"/>
      <c r="L203" s="1628"/>
      <c r="M203" s="1666"/>
      <c r="N203" s="1512"/>
      <c r="O203" s="1671"/>
    </row>
    <row r="204" spans="2:15" x14ac:dyDescent="0.2">
      <c r="B204" s="1563">
        <v>193</v>
      </c>
      <c r="C204" s="1845" t="s">
        <v>124</v>
      </c>
      <c r="D204" s="1507"/>
      <c r="E204" s="1630"/>
      <c r="F204" s="1508"/>
      <c r="G204" s="1628"/>
      <c r="H204" s="1629"/>
      <c r="I204" s="1629"/>
      <c r="J204" s="1628"/>
      <c r="K204" s="1628"/>
      <c r="L204" s="1628"/>
      <c r="M204" s="1666"/>
      <c r="N204" s="1512"/>
      <c r="O204" s="1671"/>
    </row>
    <row r="205" spans="2:15" x14ac:dyDescent="0.2">
      <c r="B205" s="1563">
        <v>194</v>
      </c>
      <c r="C205" s="1547" t="s">
        <v>181</v>
      </c>
      <c r="D205" s="1507"/>
      <c r="E205" s="1630">
        <f>E60</f>
        <v>82190712</v>
      </c>
      <c r="F205" s="1508"/>
      <c r="G205" s="1628">
        <f>G193+G199</f>
        <v>20171934.69884</v>
      </c>
      <c r="H205" s="1629"/>
      <c r="I205" s="1629"/>
      <c r="J205" s="1628">
        <f>J193+J199</f>
        <v>20187344.271559998</v>
      </c>
      <c r="K205" s="1628"/>
      <c r="L205" s="1628">
        <f>J205-G205</f>
        <v>15409.572719998658</v>
      </c>
      <c r="M205" s="1666"/>
      <c r="N205" s="1512"/>
      <c r="O205" s="1671"/>
    </row>
    <row r="206" spans="2:15" x14ac:dyDescent="0.2">
      <c r="B206" s="1563">
        <v>195</v>
      </c>
      <c r="C206" s="1547" t="s">
        <v>183</v>
      </c>
      <c r="D206" s="1507"/>
      <c r="E206" s="1630">
        <f>E114</f>
        <v>13962361</v>
      </c>
      <c r="F206" s="1508"/>
      <c r="G206" s="1628">
        <f>G194+G200</f>
        <v>12410859.496100001</v>
      </c>
      <c r="H206" s="1629"/>
      <c r="I206" s="1629"/>
      <c r="J206" s="1628">
        <f>J194+J200</f>
        <v>12411952.146100001</v>
      </c>
      <c r="K206" s="1628"/>
      <c r="L206" s="1628">
        <f>J206-G206</f>
        <v>1092.6500000003725</v>
      </c>
      <c r="M206" s="1666"/>
      <c r="N206" s="1512"/>
      <c r="O206" s="1671"/>
    </row>
    <row r="207" spans="2:15" x14ac:dyDescent="0.2">
      <c r="B207" s="1563">
        <v>196</v>
      </c>
      <c r="C207" s="1547" t="s">
        <v>182</v>
      </c>
      <c r="D207" s="1507"/>
      <c r="E207" s="1630">
        <f>E180</f>
        <v>129614230</v>
      </c>
      <c r="F207" s="1508"/>
      <c r="G207" s="1628">
        <f>G195+G201</f>
        <v>25742573.143200003</v>
      </c>
      <c r="H207" s="1629"/>
      <c r="I207" s="1629"/>
      <c r="J207" s="1628">
        <f>J195+J201</f>
        <v>25774581.353200004</v>
      </c>
      <c r="K207" s="1628"/>
      <c r="L207" s="1628">
        <f>J207-G207</f>
        <v>32008.210000000894</v>
      </c>
      <c r="M207" s="1666"/>
      <c r="N207" s="1512"/>
      <c r="O207" s="1671"/>
    </row>
    <row r="208" spans="2:15" x14ac:dyDescent="0.2">
      <c r="B208" s="1563">
        <v>197</v>
      </c>
      <c r="C208" s="1547" t="s">
        <v>23</v>
      </c>
      <c r="D208" s="1507"/>
      <c r="E208" s="1632">
        <f>SUM(E205:E207)</f>
        <v>225767303</v>
      </c>
      <c r="F208" s="1508"/>
      <c r="G208" s="1631">
        <f>SUM(G205:G207)</f>
        <v>58325367.338140003</v>
      </c>
      <c r="H208" s="1629"/>
      <c r="I208" s="1629"/>
      <c r="J208" s="1631">
        <f>SUM(J205:J207)</f>
        <v>58373877.770860001</v>
      </c>
      <c r="K208" s="1628"/>
      <c r="L208" s="1631">
        <f>SUM(L205:L207)</f>
        <v>48510.432719999924</v>
      </c>
      <c r="M208" s="1666"/>
      <c r="N208" s="1512"/>
      <c r="O208" s="1671"/>
    </row>
    <row r="209" spans="2:15" x14ac:dyDescent="0.2">
      <c r="B209" s="1563">
        <v>198</v>
      </c>
      <c r="C209" s="1547"/>
      <c r="D209" s="1507"/>
      <c r="E209" s="1492"/>
      <c r="F209" s="1508"/>
      <c r="G209" s="1628"/>
      <c r="H209" s="1629"/>
      <c r="I209" s="1629"/>
      <c r="J209" s="1628"/>
      <c r="K209" s="1628"/>
      <c r="L209" s="1628"/>
      <c r="M209" s="1666"/>
      <c r="N209" s="1512"/>
      <c r="O209" s="1671"/>
    </row>
    <row r="210" spans="2:15" x14ac:dyDescent="0.2">
      <c r="B210" s="1563">
        <v>199</v>
      </c>
      <c r="C210" s="1845" t="s">
        <v>180</v>
      </c>
      <c r="D210" s="1507"/>
      <c r="E210" s="1492"/>
      <c r="F210" s="1630"/>
      <c r="G210" s="1628"/>
      <c r="H210" s="1633"/>
      <c r="I210" s="1629"/>
      <c r="J210" s="1628"/>
      <c r="K210" s="1628"/>
      <c r="L210" s="1628"/>
      <c r="M210" s="1536"/>
    </row>
    <row r="211" spans="2:15" x14ac:dyDescent="0.2">
      <c r="B211" s="1563">
        <v>200</v>
      </c>
      <c r="C211" s="1851" t="s">
        <v>23</v>
      </c>
      <c r="D211" s="1507"/>
      <c r="E211" s="1630">
        <f>'Exhibit No._(CTM-4), Pg. 3'!E15+'Exhibit No._(CTM-4), Pg. 3'!E25+'Exhibit No._(CTM-4), Pg. 3'!E36+'Exhibit No._(CTM-4), Pg. 4'!E36+'Exhibit No._(CTM-4), Pg. 4'!E98+'Exhibit No._(CTM-4), Pg. 5'!E60+'Exhibit No._(CTM-4), Pg. 5'!E114+'Exhibit No._(CTM-4), Pg. 5'!E180</f>
        <v>1053576447</v>
      </c>
      <c r="F211" s="1492"/>
      <c r="G211" s="1628">
        <f>'Exhibit No._(CTM-4), Pg. 3'!G20+'Exhibit No._(CTM-4), Pg. 3'!G30+'Exhibit No._(CTM-4), Pg. 3'!G40+'Exhibit No._(CTM-4), Pg. 4'!G42+'Exhibit No._(CTM-4), Pg. 4'!G47+'Exhibit No._(CTM-4), Pg. 4'!G108+'Exhibit No._(CTM-4), Pg. 5'!G68+'Exhibit No._(CTM-4), Pg. 5'!G122+'Exhibit No._(CTM-4), Pg. 5'!G188</f>
        <v>1038763617.18153</v>
      </c>
      <c r="H211" s="1629"/>
      <c r="I211" s="1629"/>
      <c r="J211" s="1628">
        <f>'Exhibit No._(CTM-4), Pg. 3'!J20+'Exhibit No._(CTM-4), Pg. 3'!J30+'Exhibit No._(CTM-4), Pg. 3'!J40+'Exhibit No._(CTM-4), Pg. 4'!J42+'Exhibit No._(CTM-4), Pg. 4'!J47+'Exhibit No._(CTM-4), Pg. 4'!J108+'Exhibit No._(CTM-4), Pg. 5'!J68+'Exhibit No._(CTM-4), Pg. 5'!J122+'Exhibit No._(CTM-4), Pg. 5'!J188</f>
        <v>1040225424.0951301</v>
      </c>
      <c r="K211" s="1628"/>
      <c r="L211" s="1628">
        <f>J211-G211</f>
        <v>1461806.9136000872</v>
      </c>
      <c r="M211" s="1550">
        <f>L211/G211</f>
        <v>1.4072565590681715E-3</v>
      </c>
      <c r="O211" s="1614"/>
    </row>
    <row r="212" spans="2:15" x14ac:dyDescent="0.2">
      <c r="B212" s="1563">
        <v>201</v>
      </c>
      <c r="C212" s="1851" t="s">
        <v>173</v>
      </c>
      <c r="D212" s="1507"/>
      <c r="E212" s="1492">
        <f>'Exhibit No._(CTM-4), Pg. 2'!F22</f>
        <v>35980178</v>
      </c>
      <c r="F212" s="1492"/>
      <c r="G212" s="1861">
        <f>'Exhibit No._(CTM-4), Pg. 2'!C22</f>
        <v>1658615.8571500001</v>
      </c>
      <c r="H212" s="1629"/>
      <c r="I212" s="1629"/>
      <c r="J212" s="1861">
        <f>'Exhibit No._(CTM-4), Pg. 2'!M22</f>
        <v>1739140.8571500001</v>
      </c>
      <c r="K212" s="1628"/>
      <c r="L212" s="1628">
        <f>J212-G212</f>
        <v>80525</v>
      </c>
      <c r="M212" s="1550">
        <f>L212/G212</f>
        <v>4.8549517751727105E-2</v>
      </c>
      <c r="O212" s="1614"/>
    </row>
    <row r="213" spans="2:15" x14ac:dyDescent="0.2">
      <c r="B213" s="1563">
        <v>202</v>
      </c>
      <c r="C213" s="1851" t="s">
        <v>176</v>
      </c>
      <c r="D213" s="1507"/>
      <c r="E213" s="1492"/>
      <c r="F213" s="1492"/>
      <c r="G213" s="1628">
        <f>'Exhibit No._(CTM-4), Pg. 2'!C21</f>
        <v>8138781.5399999991</v>
      </c>
      <c r="H213" s="1629"/>
      <c r="I213" s="1629"/>
      <c r="J213" s="1628">
        <f>'Exhibit No._(CTM-4), Pg. 2'!M21</f>
        <v>8138781.5399999991</v>
      </c>
      <c r="K213" s="1628"/>
      <c r="L213" s="1628">
        <f>J213-G213</f>
        <v>0</v>
      </c>
      <c r="M213" s="1550">
        <f>L213/G213</f>
        <v>0</v>
      </c>
      <c r="O213" s="1614"/>
    </row>
    <row r="214" spans="2:15" x14ac:dyDescent="0.2">
      <c r="B214" s="1563">
        <v>203</v>
      </c>
      <c r="C214" s="1851" t="s">
        <v>143</v>
      </c>
      <c r="D214" s="1507"/>
      <c r="E214" s="1539">
        <f>SUM(E211:E213)</f>
        <v>1089556625</v>
      </c>
      <c r="F214" s="1492"/>
      <c r="G214" s="1631">
        <f>SUM(G211:G213)</f>
        <v>1048561014.5786799</v>
      </c>
      <c r="H214" s="1629"/>
      <c r="I214" s="1629"/>
      <c r="J214" s="1631">
        <f>SUM(J211:J213)</f>
        <v>1050103346.49228</v>
      </c>
      <c r="K214" s="1628"/>
      <c r="L214" s="1631">
        <f>SUM(L211:L213)</f>
        <v>1542331.9136000872</v>
      </c>
      <c r="M214" s="1550">
        <f>L214/G214</f>
        <v>1.4709033543649421E-3</v>
      </c>
      <c r="O214" s="1614"/>
    </row>
    <row r="215" spans="2:15" x14ac:dyDescent="0.2">
      <c r="B215" s="1563">
        <v>204</v>
      </c>
      <c r="C215" s="1852" t="s">
        <v>178</v>
      </c>
      <c r="D215" s="1473"/>
      <c r="E215" s="1492">
        <f>'Exhibit No._(CTM-4), Pg. 2'!F26</f>
        <v>1089556625</v>
      </c>
      <c r="F215" s="1492"/>
      <c r="G215" s="1628">
        <f>'Exhibit No._(CTM-4), Pg. 2'!C23</f>
        <v>1048561014.9930999</v>
      </c>
      <c r="H215" s="1629"/>
      <c r="I215" s="1629"/>
      <c r="J215" s="1628">
        <f>'Exhibit No._(CTM-4), Pg. 2'!M23</f>
        <v>1050103346.4922799</v>
      </c>
      <c r="K215" s="1628"/>
      <c r="L215" s="1628">
        <f>'Exhibit No._(CTM-4), Pg. 2'!N23</f>
        <v>1542331.499179991</v>
      </c>
      <c r="M215" s="1550">
        <f>L215/G215</f>
        <v>1.4709029585561507E-3</v>
      </c>
    </row>
    <row r="216" spans="2:15" x14ac:dyDescent="0.2">
      <c r="B216" s="1563">
        <v>205</v>
      </c>
      <c r="C216" s="1851" t="s">
        <v>131</v>
      </c>
      <c r="D216" s="1507"/>
      <c r="E216" s="1492">
        <f>E214-E215</f>
        <v>0</v>
      </c>
      <c r="F216" s="1492"/>
      <c r="G216" s="1628">
        <f>G214-G215</f>
        <v>-0.41442000865936279</v>
      </c>
      <c r="H216" s="1629"/>
      <c r="I216" s="1629"/>
      <c r="J216" s="1628">
        <f>J214-J215</f>
        <v>0</v>
      </c>
      <c r="K216" s="1628"/>
      <c r="L216" s="1628">
        <f>L214-L215</f>
        <v>0.41442009620368481</v>
      </c>
      <c r="M216" s="1536"/>
    </row>
    <row r="217" spans="2:15" x14ac:dyDescent="0.2">
      <c r="B217" s="1563">
        <v>206</v>
      </c>
      <c r="C217" s="1547" t="s">
        <v>131</v>
      </c>
      <c r="D217" s="1507"/>
      <c r="E217" s="1492">
        <f>E208+'Exhibit No._(CTM-4), Pg. 4'!E125+'Exhibit No._(CTM-4), Pg. 3'!E46-E211</f>
        <v>0</v>
      </c>
      <c r="F217" s="1508"/>
      <c r="G217" s="1628">
        <f>G208+'Exhibit No._(CTM-4), Pg. 4'!G125+'Exhibit No._(CTM-4), Pg. 3'!G46-G211</f>
        <v>0</v>
      </c>
      <c r="H217" s="1629"/>
      <c r="I217" s="1629"/>
      <c r="J217" s="1628">
        <f>J208+'Exhibit No._(CTM-4), Pg. 4'!J125+'Exhibit No._(CTM-4), Pg. 3'!J46-J211</f>
        <v>0</v>
      </c>
      <c r="K217" s="1628"/>
      <c r="L217" s="1628">
        <f>L208+'Exhibit No._(CTM-4), Pg. 4'!L125+'Exhibit No._(CTM-4), Pg. 3'!L46-L211</f>
        <v>-1.1734664440155029E-7</v>
      </c>
      <c r="M217" s="1536"/>
    </row>
    <row r="218" spans="2:15" x14ac:dyDescent="0.2">
      <c r="B218" s="1563">
        <v>207</v>
      </c>
      <c r="C218" s="1547"/>
      <c r="D218" s="1507"/>
      <c r="E218" s="1492"/>
      <c r="F218" s="1508"/>
      <c r="G218" s="1628"/>
      <c r="H218" s="1629"/>
      <c r="I218" s="1629"/>
      <c r="J218" s="1628"/>
      <c r="K218" s="1628"/>
      <c r="L218" s="1628"/>
      <c r="M218" s="1536"/>
    </row>
    <row r="219" spans="2:15" x14ac:dyDescent="0.2">
      <c r="B219" s="1563">
        <v>208</v>
      </c>
      <c r="C219" s="1841" t="s">
        <v>189</v>
      </c>
      <c r="D219" s="1571"/>
      <c r="E219" s="1572"/>
      <c r="F219" s="1573"/>
      <c r="G219" s="1623"/>
      <c r="H219" s="1572"/>
      <c r="I219" s="1575"/>
      <c r="J219" s="1623"/>
      <c r="K219" s="1623"/>
      <c r="L219" s="1623"/>
      <c r="M219" s="1853"/>
    </row>
    <row r="221" spans="2:15" x14ac:dyDescent="0.2">
      <c r="E221" s="1637"/>
    </row>
  </sheetData>
  <mergeCells count="4">
    <mergeCell ref="L9:M9"/>
    <mergeCell ref="C5:M5"/>
    <mergeCell ref="C6:M6"/>
    <mergeCell ref="C7:M7"/>
  </mergeCells>
  <phoneticPr fontId="0" type="noConversion"/>
  <pageMargins left="0.2" right="0.2" top="0.25" bottom="0.25" header="0" footer="0"/>
  <pageSetup scale="87" fitToHeight="0" orientation="portrait" r:id="rId1"/>
  <rowBreaks count="1" manualBreakCount="1">
    <brk id="20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3"/>
  <sheetViews>
    <sheetView workbookViewId="0">
      <selection activeCell="C35" sqref="C35"/>
    </sheetView>
  </sheetViews>
  <sheetFormatPr defaultRowHeight="12.75" x14ac:dyDescent="0.2"/>
  <cols>
    <col min="1" max="1" width="13.140625" customWidth="1"/>
    <col min="2" max="2" width="16.140625" customWidth="1"/>
    <col min="3" max="3" width="14.28515625" customWidth="1"/>
    <col min="4" max="4" width="4.28515625" customWidth="1"/>
    <col min="5" max="5" width="12.42578125" customWidth="1"/>
    <col min="6" max="6" width="13.42578125" bestFit="1" customWidth="1"/>
    <col min="7" max="7" width="11.28515625" bestFit="1" customWidth="1"/>
    <col min="9" max="9" width="4.7109375" customWidth="1"/>
    <col min="11" max="11" width="10" customWidth="1"/>
    <col min="12" max="12" width="15" bestFit="1" customWidth="1"/>
    <col min="13" max="13" width="13.85546875" bestFit="1" customWidth="1"/>
    <col min="14" max="14" width="9.42578125" bestFit="1" customWidth="1"/>
    <col min="15" max="15" width="12.5703125" bestFit="1" customWidth="1"/>
    <col min="257" max="257" width="13.140625" customWidth="1"/>
    <col min="258" max="258" width="16.140625" customWidth="1"/>
    <col min="259" max="259" width="14.28515625" customWidth="1"/>
    <col min="260" max="260" width="4.28515625" customWidth="1"/>
    <col min="261" max="261" width="12.42578125" customWidth="1"/>
    <col min="262" max="262" width="13.42578125" bestFit="1" customWidth="1"/>
    <col min="263" max="263" width="11.28515625" bestFit="1" customWidth="1"/>
    <col min="265" max="265" width="4.7109375" customWidth="1"/>
    <col min="267" max="267" width="10" customWidth="1"/>
    <col min="268" max="268" width="15" bestFit="1" customWidth="1"/>
    <col min="269" max="269" width="13.85546875" bestFit="1" customWidth="1"/>
    <col min="270" max="270" width="9.42578125" bestFit="1" customWidth="1"/>
    <col min="271" max="271" width="12.5703125" bestFit="1" customWidth="1"/>
    <col min="513" max="513" width="13.140625" customWidth="1"/>
    <col min="514" max="514" width="16.140625" customWidth="1"/>
    <col min="515" max="515" width="14.28515625" customWidth="1"/>
    <col min="516" max="516" width="4.28515625" customWidth="1"/>
    <col min="517" max="517" width="12.42578125" customWidth="1"/>
    <col min="518" max="518" width="13.42578125" bestFit="1" customWidth="1"/>
    <col min="519" max="519" width="11.28515625" bestFit="1" customWidth="1"/>
    <col min="521" max="521" width="4.7109375" customWidth="1"/>
    <col min="523" max="523" width="10" customWidth="1"/>
    <col min="524" max="524" width="15" bestFit="1" customWidth="1"/>
    <col min="525" max="525" width="13.85546875" bestFit="1" customWidth="1"/>
    <col min="526" max="526" width="9.42578125" bestFit="1" customWidth="1"/>
    <col min="527" max="527" width="12.5703125" bestFit="1" customWidth="1"/>
    <col min="769" max="769" width="13.140625" customWidth="1"/>
    <col min="770" max="770" width="16.140625" customWidth="1"/>
    <col min="771" max="771" width="14.28515625" customWidth="1"/>
    <col min="772" max="772" width="4.28515625" customWidth="1"/>
    <col min="773" max="773" width="12.42578125" customWidth="1"/>
    <col min="774" max="774" width="13.42578125" bestFit="1" customWidth="1"/>
    <col min="775" max="775" width="11.28515625" bestFit="1" customWidth="1"/>
    <col min="777" max="777" width="4.7109375" customWidth="1"/>
    <col min="779" max="779" width="10" customWidth="1"/>
    <col min="780" max="780" width="15" bestFit="1" customWidth="1"/>
    <col min="781" max="781" width="13.85546875" bestFit="1" customWidth="1"/>
    <col min="782" max="782" width="9.42578125" bestFit="1" customWidth="1"/>
    <col min="783" max="783" width="12.5703125" bestFit="1" customWidth="1"/>
    <col min="1025" max="1025" width="13.140625" customWidth="1"/>
    <col min="1026" max="1026" width="16.140625" customWidth="1"/>
    <col min="1027" max="1027" width="14.28515625" customWidth="1"/>
    <col min="1028" max="1028" width="4.28515625" customWidth="1"/>
    <col min="1029" max="1029" width="12.42578125" customWidth="1"/>
    <col min="1030" max="1030" width="13.42578125" bestFit="1" customWidth="1"/>
    <col min="1031" max="1031" width="11.28515625" bestFit="1" customWidth="1"/>
    <col min="1033" max="1033" width="4.7109375" customWidth="1"/>
    <col min="1035" max="1035" width="10" customWidth="1"/>
    <col min="1036" max="1036" width="15" bestFit="1" customWidth="1"/>
    <col min="1037" max="1037" width="13.85546875" bestFit="1" customWidth="1"/>
    <col min="1038" max="1038" width="9.42578125" bestFit="1" customWidth="1"/>
    <col min="1039" max="1039" width="12.5703125" bestFit="1" customWidth="1"/>
    <col min="1281" max="1281" width="13.140625" customWidth="1"/>
    <col min="1282" max="1282" width="16.140625" customWidth="1"/>
    <col min="1283" max="1283" width="14.28515625" customWidth="1"/>
    <col min="1284" max="1284" width="4.28515625" customWidth="1"/>
    <col min="1285" max="1285" width="12.42578125" customWidth="1"/>
    <col min="1286" max="1286" width="13.42578125" bestFit="1" customWidth="1"/>
    <col min="1287" max="1287" width="11.28515625" bestFit="1" customWidth="1"/>
    <col min="1289" max="1289" width="4.7109375" customWidth="1"/>
    <col min="1291" max="1291" width="10" customWidth="1"/>
    <col min="1292" max="1292" width="15" bestFit="1" customWidth="1"/>
    <col min="1293" max="1293" width="13.85546875" bestFit="1" customWidth="1"/>
    <col min="1294" max="1294" width="9.42578125" bestFit="1" customWidth="1"/>
    <col min="1295" max="1295" width="12.5703125" bestFit="1" customWidth="1"/>
    <col min="1537" max="1537" width="13.140625" customWidth="1"/>
    <col min="1538" max="1538" width="16.140625" customWidth="1"/>
    <col min="1539" max="1539" width="14.28515625" customWidth="1"/>
    <col min="1540" max="1540" width="4.28515625" customWidth="1"/>
    <col min="1541" max="1541" width="12.42578125" customWidth="1"/>
    <col min="1542" max="1542" width="13.42578125" bestFit="1" customWidth="1"/>
    <col min="1543" max="1543" width="11.28515625" bestFit="1" customWidth="1"/>
    <col min="1545" max="1545" width="4.7109375" customWidth="1"/>
    <col min="1547" max="1547" width="10" customWidth="1"/>
    <col min="1548" max="1548" width="15" bestFit="1" customWidth="1"/>
    <col min="1549" max="1549" width="13.85546875" bestFit="1" customWidth="1"/>
    <col min="1550" max="1550" width="9.42578125" bestFit="1" customWidth="1"/>
    <col min="1551" max="1551" width="12.5703125" bestFit="1" customWidth="1"/>
    <col min="1793" max="1793" width="13.140625" customWidth="1"/>
    <col min="1794" max="1794" width="16.140625" customWidth="1"/>
    <col min="1795" max="1795" width="14.28515625" customWidth="1"/>
    <col min="1796" max="1796" width="4.28515625" customWidth="1"/>
    <col min="1797" max="1797" width="12.42578125" customWidth="1"/>
    <col min="1798" max="1798" width="13.42578125" bestFit="1" customWidth="1"/>
    <col min="1799" max="1799" width="11.28515625" bestFit="1" customWidth="1"/>
    <col min="1801" max="1801" width="4.7109375" customWidth="1"/>
    <col min="1803" max="1803" width="10" customWidth="1"/>
    <col min="1804" max="1804" width="15" bestFit="1" customWidth="1"/>
    <col min="1805" max="1805" width="13.85546875" bestFit="1" customWidth="1"/>
    <col min="1806" max="1806" width="9.42578125" bestFit="1" customWidth="1"/>
    <col min="1807" max="1807" width="12.5703125" bestFit="1" customWidth="1"/>
    <col min="2049" max="2049" width="13.140625" customWidth="1"/>
    <col min="2050" max="2050" width="16.140625" customWidth="1"/>
    <col min="2051" max="2051" width="14.28515625" customWidth="1"/>
    <col min="2052" max="2052" width="4.28515625" customWidth="1"/>
    <col min="2053" max="2053" width="12.42578125" customWidth="1"/>
    <col min="2054" max="2054" width="13.42578125" bestFit="1" customWidth="1"/>
    <col min="2055" max="2055" width="11.28515625" bestFit="1" customWidth="1"/>
    <col min="2057" max="2057" width="4.7109375" customWidth="1"/>
    <col min="2059" max="2059" width="10" customWidth="1"/>
    <col min="2060" max="2060" width="15" bestFit="1" customWidth="1"/>
    <col min="2061" max="2061" width="13.85546875" bestFit="1" customWidth="1"/>
    <col min="2062" max="2062" width="9.42578125" bestFit="1" customWidth="1"/>
    <col min="2063" max="2063" width="12.5703125" bestFit="1" customWidth="1"/>
    <col min="2305" max="2305" width="13.140625" customWidth="1"/>
    <col min="2306" max="2306" width="16.140625" customWidth="1"/>
    <col min="2307" max="2307" width="14.28515625" customWidth="1"/>
    <col min="2308" max="2308" width="4.28515625" customWidth="1"/>
    <col min="2309" max="2309" width="12.42578125" customWidth="1"/>
    <col min="2310" max="2310" width="13.42578125" bestFit="1" customWidth="1"/>
    <col min="2311" max="2311" width="11.28515625" bestFit="1" customWidth="1"/>
    <col min="2313" max="2313" width="4.7109375" customWidth="1"/>
    <col min="2315" max="2315" width="10" customWidth="1"/>
    <col min="2316" max="2316" width="15" bestFit="1" customWidth="1"/>
    <col min="2317" max="2317" width="13.85546875" bestFit="1" customWidth="1"/>
    <col min="2318" max="2318" width="9.42578125" bestFit="1" customWidth="1"/>
    <col min="2319" max="2319" width="12.5703125" bestFit="1" customWidth="1"/>
    <col min="2561" max="2561" width="13.140625" customWidth="1"/>
    <col min="2562" max="2562" width="16.140625" customWidth="1"/>
    <col min="2563" max="2563" width="14.28515625" customWidth="1"/>
    <col min="2564" max="2564" width="4.28515625" customWidth="1"/>
    <col min="2565" max="2565" width="12.42578125" customWidth="1"/>
    <col min="2566" max="2566" width="13.42578125" bestFit="1" customWidth="1"/>
    <col min="2567" max="2567" width="11.28515625" bestFit="1" customWidth="1"/>
    <col min="2569" max="2569" width="4.7109375" customWidth="1"/>
    <col min="2571" max="2571" width="10" customWidth="1"/>
    <col min="2572" max="2572" width="15" bestFit="1" customWidth="1"/>
    <col min="2573" max="2573" width="13.85546875" bestFit="1" customWidth="1"/>
    <col min="2574" max="2574" width="9.42578125" bestFit="1" customWidth="1"/>
    <col min="2575" max="2575" width="12.5703125" bestFit="1" customWidth="1"/>
    <col min="2817" max="2817" width="13.140625" customWidth="1"/>
    <col min="2818" max="2818" width="16.140625" customWidth="1"/>
    <col min="2819" max="2819" width="14.28515625" customWidth="1"/>
    <col min="2820" max="2820" width="4.28515625" customWidth="1"/>
    <col min="2821" max="2821" width="12.42578125" customWidth="1"/>
    <col min="2822" max="2822" width="13.42578125" bestFit="1" customWidth="1"/>
    <col min="2823" max="2823" width="11.28515625" bestFit="1" customWidth="1"/>
    <col min="2825" max="2825" width="4.7109375" customWidth="1"/>
    <col min="2827" max="2827" width="10" customWidth="1"/>
    <col min="2828" max="2828" width="15" bestFit="1" customWidth="1"/>
    <col min="2829" max="2829" width="13.85546875" bestFit="1" customWidth="1"/>
    <col min="2830" max="2830" width="9.42578125" bestFit="1" customWidth="1"/>
    <col min="2831" max="2831" width="12.5703125" bestFit="1" customWidth="1"/>
    <col min="3073" max="3073" width="13.140625" customWidth="1"/>
    <col min="3074" max="3074" width="16.140625" customWidth="1"/>
    <col min="3075" max="3075" width="14.28515625" customWidth="1"/>
    <col min="3076" max="3076" width="4.28515625" customWidth="1"/>
    <col min="3077" max="3077" width="12.42578125" customWidth="1"/>
    <col min="3078" max="3078" width="13.42578125" bestFit="1" customWidth="1"/>
    <col min="3079" max="3079" width="11.28515625" bestFit="1" customWidth="1"/>
    <col min="3081" max="3081" width="4.7109375" customWidth="1"/>
    <col min="3083" max="3083" width="10" customWidth="1"/>
    <col min="3084" max="3084" width="15" bestFit="1" customWidth="1"/>
    <col min="3085" max="3085" width="13.85546875" bestFit="1" customWidth="1"/>
    <col min="3086" max="3086" width="9.42578125" bestFit="1" customWidth="1"/>
    <col min="3087" max="3087" width="12.5703125" bestFit="1" customWidth="1"/>
    <col min="3329" max="3329" width="13.140625" customWidth="1"/>
    <col min="3330" max="3330" width="16.140625" customWidth="1"/>
    <col min="3331" max="3331" width="14.28515625" customWidth="1"/>
    <col min="3332" max="3332" width="4.28515625" customWidth="1"/>
    <col min="3333" max="3333" width="12.42578125" customWidth="1"/>
    <col min="3334" max="3334" width="13.42578125" bestFit="1" customWidth="1"/>
    <col min="3335" max="3335" width="11.28515625" bestFit="1" customWidth="1"/>
    <col min="3337" max="3337" width="4.7109375" customWidth="1"/>
    <col min="3339" max="3339" width="10" customWidth="1"/>
    <col min="3340" max="3340" width="15" bestFit="1" customWidth="1"/>
    <col min="3341" max="3341" width="13.85546875" bestFit="1" customWidth="1"/>
    <col min="3342" max="3342" width="9.42578125" bestFit="1" customWidth="1"/>
    <col min="3343" max="3343" width="12.5703125" bestFit="1" customWidth="1"/>
    <col min="3585" max="3585" width="13.140625" customWidth="1"/>
    <col min="3586" max="3586" width="16.140625" customWidth="1"/>
    <col min="3587" max="3587" width="14.28515625" customWidth="1"/>
    <col min="3588" max="3588" width="4.28515625" customWidth="1"/>
    <col min="3589" max="3589" width="12.42578125" customWidth="1"/>
    <col min="3590" max="3590" width="13.42578125" bestFit="1" customWidth="1"/>
    <col min="3591" max="3591" width="11.28515625" bestFit="1" customWidth="1"/>
    <col min="3593" max="3593" width="4.7109375" customWidth="1"/>
    <col min="3595" max="3595" width="10" customWidth="1"/>
    <col min="3596" max="3596" width="15" bestFit="1" customWidth="1"/>
    <col min="3597" max="3597" width="13.85546875" bestFit="1" customWidth="1"/>
    <col min="3598" max="3598" width="9.42578125" bestFit="1" customWidth="1"/>
    <col min="3599" max="3599" width="12.5703125" bestFit="1" customWidth="1"/>
    <col min="3841" max="3841" width="13.140625" customWidth="1"/>
    <col min="3842" max="3842" width="16.140625" customWidth="1"/>
    <col min="3843" max="3843" width="14.28515625" customWidth="1"/>
    <col min="3844" max="3844" width="4.28515625" customWidth="1"/>
    <col min="3845" max="3845" width="12.42578125" customWidth="1"/>
    <col min="3846" max="3846" width="13.42578125" bestFit="1" customWidth="1"/>
    <col min="3847" max="3847" width="11.28515625" bestFit="1" customWidth="1"/>
    <col min="3849" max="3849" width="4.7109375" customWidth="1"/>
    <col min="3851" max="3851" width="10" customWidth="1"/>
    <col min="3852" max="3852" width="15" bestFit="1" customWidth="1"/>
    <col min="3853" max="3853" width="13.85546875" bestFit="1" customWidth="1"/>
    <col min="3854" max="3854" width="9.42578125" bestFit="1" customWidth="1"/>
    <col min="3855" max="3855" width="12.5703125" bestFit="1" customWidth="1"/>
    <col min="4097" max="4097" width="13.140625" customWidth="1"/>
    <col min="4098" max="4098" width="16.140625" customWidth="1"/>
    <col min="4099" max="4099" width="14.28515625" customWidth="1"/>
    <col min="4100" max="4100" width="4.28515625" customWidth="1"/>
    <col min="4101" max="4101" width="12.42578125" customWidth="1"/>
    <col min="4102" max="4102" width="13.42578125" bestFit="1" customWidth="1"/>
    <col min="4103" max="4103" width="11.28515625" bestFit="1" customWidth="1"/>
    <col min="4105" max="4105" width="4.7109375" customWidth="1"/>
    <col min="4107" max="4107" width="10" customWidth="1"/>
    <col min="4108" max="4108" width="15" bestFit="1" customWidth="1"/>
    <col min="4109" max="4109" width="13.85546875" bestFit="1" customWidth="1"/>
    <col min="4110" max="4110" width="9.42578125" bestFit="1" customWidth="1"/>
    <col min="4111" max="4111" width="12.5703125" bestFit="1" customWidth="1"/>
    <col min="4353" max="4353" width="13.140625" customWidth="1"/>
    <col min="4354" max="4354" width="16.140625" customWidth="1"/>
    <col min="4355" max="4355" width="14.28515625" customWidth="1"/>
    <col min="4356" max="4356" width="4.28515625" customWidth="1"/>
    <col min="4357" max="4357" width="12.42578125" customWidth="1"/>
    <col min="4358" max="4358" width="13.42578125" bestFit="1" customWidth="1"/>
    <col min="4359" max="4359" width="11.28515625" bestFit="1" customWidth="1"/>
    <col min="4361" max="4361" width="4.7109375" customWidth="1"/>
    <col min="4363" max="4363" width="10" customWidth="1"/>
    <col min="4364" max="4364" width="15" bestFit="1" customWidth="1"/>
    <col min="4365" max="4365" width="13.85546875" bestFit="1" customWidth="1"/>
    <col min="4366" max="4366" width="9.42578125" bestFit="1" customWidth="1"/>
    <col min="4367" max="4367" width="12.5703125" bestFit="1" customWidth="1"/>
    <col min="4609" max="4609" width="13.140625" customWidth="1"/>
    <col min="4610" max="4610" width="16.140625" customWidth="1"/>
    <col min="4611" max="4611" width="14.28515625" customWidth="1"/>
    <col min="4612" max="4612" width="4.28515625" customWidth="1"/>
    <col min="4613" max="4613" width="12.42578125" customWidth="1"/>
    <col min="4614" max="4614" width="13.42578125" bestFit="1" customWidth="1"/>
    <col min="4615" max="4615" width="11.28515625" bestFit="1" customWidth="1"/>
    <col min="4617" max="4617" width="4.7109375" customWidth="1"/>
    <col min="4619" max="4619" width="10" customWidth="1"/>
    <col min="4620" max="4620" width="15" bestFit="1" customWidth="1"/>
    <col min="4621" max="4621" width="13.85546875" bestFit="1" customWidth="1"/>
    <col min="4622" max="4622" width="9.42578125" bestFit="1" customWidth="1"/>
    <col min="4623" max="4623" width="12.5703125" bestFit="1" customWidth="1"/>
    <col min="4865" max="4865" width="13.140625" customWidth="1"/>
    <col min="4866" max="4866" width="16.140625" customWidth="1"/>
    <col min="4867" max="4867" width="14.28515625" customWidth="1"/>
    <col min="4868" max="4868" width="4.28515625" customWidth="1"/>
    <col min="4869" max="4869" width="12.42578125" customWidth="1"/>
    <col min="4870" max="4870" width="13.42578125" bestFit="1" customWidth="1"/>
    <col min="4871" max="4871" width="11.28515625" bestFit="1" customWidth="1"/>
    <col min="4873" max="4873" width="4.7109375" customWidth="1"/>
    <col min="4875" max="4875" width="10" customWidth="1"/>
    <col min="4876" max="4876" width="15" bestFit="1" customWidth="1"/>
    <col min="4877" max="4877" width="13.85546875" bestFit="1" customWidth="1"/>
    <col min="4878" max="4878" width="9.42578125" bestFit="1" customWidth="1"/>
    <col min="4879" max="4879" width="12.5703125" bestFit="1" customWidth="1"/>
    <col min="5121" max="5121" width="13.140625" customWidth="1"/>
    <col min="5122" max="5122" width="16.140625" customWidth="1"/>
    <col min="5123" max="5123" width="14.28515625" customWidth="1"/>
    <col min="5124" max="5124" width="4.28515625" customWidth="1"/>
    <col min="5125" max="5125" width="12.42578125" customWidth="1"/>
    <col min="5126" max="5126" width="13.42578125" bestFit="1" customWidth="1"/>
    <col min="5127" max="5127" width="11.28515625" bestFit="1" customWidth="1"/>
    <col min="5129" max="5129" width="4.7109375" customWidth="1"/>
    <col min="5131" max="5131" width="10" customWidth="1"/>
    <col min="5132" max="5132" width="15" bestFit="1" customWidth="1"/>
    <col min="5133" max="5133" width="13.85546875" bestFit="1" customWidth="1"/>
    <col min="5134" max="5134" width="9.42578125" bestFit="1" customWidth="1"/>
    <col min="5135" max="5135" width="12.5703125" bestFit="1" customWidth="1"/>
    <col min="5377" max="5377" width="13.140625" customWidth="1"/>
    <col min="5378" max="5378" width="16.140625" customWidth="1"/>
    <col min="5379" max="5379" width="14.28515625" customWidth="1"/>
    <col min="5380" max="5380" width="4.28515625" customWidth="1"/>
    <col min="5381" max="5381" width="12.42578125" customWidth="1"/>
    <col min="5382" max="5382" width="13.42578125" bestFit="1" customWidth="1"/>
    <col min="5383" max="5383" width="11.28515625" bestFit="1" customWidth="1"/>
    <col min="5385" max="5385" width="4.7109375" customWidth="1"/>
    <col min="5387" max="5387" width="10" customWidth="1"/>
    <col min="5388" max="5388" width="15" bestFit="1" customWidth="1"/>
    <col min="5389" max="5389" width="13.85546875" bestFit="1" customWidth="1"/>
    <col min="5390" max="5390" width="9.42578125" bestFit="1" customWidth="1"/>
    <col min="5391" max="5391" width="12.5703125" bestFit="1" customWidth="1"/>
    <col min="5633" max="5633" width="13.140625" customWidth="1"/>
    <col min="5634" max="5634" width="16.140625" customWidth="1"/>
    <col min="5635" max="5635" width="14.28515625" customWidth="1"/>
    <col min="5636" max="5636" width="4.28515625" customWidth="1"/>
    <col min="5637" max="5637" width="12.42578125" customWidth="1"/>
    <col min="5638" max="5638" width="13.42578125" bestFit="1" customWidth="1"/>
    <col min="5639" max="5639" width="11.28515625" bestFit="1" customWidth="1"/>
    <col min="5641" max="5641" width="4.7109375" customWidth="1"/>
    <col min="5643" max="5643" width="10" customWidth="1"/>
    <col min="5644" max="5644" width="15" bestFit="1" customWidth="1"/>
    <col min="5645" max="5645" width="13.85546875" bestFit="1" customWidth="1"/>
    <col min="5646" max="5646" width="9.42578125" bestFit="1" customWidth="1"/>
    <col min="5647" max="5647" width="12.5703125" bestFit="1" customWidth="1"/>
    <col min="5889" max="5889" width="13.140625" customWidth="1"/>
    <col min="5890" max="5890" width="16.140625" customWidth="1"/>
    <col min="5891" max="5891" width="14.28515625" customWidth="1"/>
    <col min="5892" max="5892" width="4.28515625" customWidth="1"/>
    <col min="5893" max="5893" width="12.42578125" customWidth="1"/>
    <col min="5894" max="5894" width="13.42578125" bestFit="1" customWidth="1"/>
    <col min="5895" max="5895" width="11.28515625" bestFit="1" customWidth="1"/>
    <col min="5897" max="5897" width="4.7109375" customWidth="1"/>
    <col min="5899" max="5899" width="10" customWidth="1"/>
    <col min="5900" max="5900" width="15" bestFit="1" customWidth="1"/>
    <col min="5901" max="5901" width="13.85546875" bestFit="1" customWidth="1"/>
    <col min="5902" max="5902" width="9.42578125" bestFit="1" customWidth="1"/>
    <col min="5903" max="5903" width="12.5703125" bestFit="1" customWidth="1"/>
    <col min="6145" max="6145" width="13.140625" customWidth="1"/>
    <col min="6146" max="6146" width="16.140625" customWidth="1"/>
    <col min="6147" max="6147" width="14.28515625" customWidth="1"/>
    <col min="6148" max="6148" width="4.28515625" customWidth="1"/>
    <col min="6149" max="6149" width="12.42578125" customWidth="1"/>
    <col min="6150" max="6150" width="13.42578125" bestFit="1" customWidth="1"/>
    <col min="6151" max="6151" width="11.28515625" bestFit="1" customWidth="1"/>
    <col min="6153" max="6153" width="4.7109375" customWidth="1"/>
    <col min="6155" max="6155" width="10" customWidth="1"/>
    <col min="6156" max="6156" width="15" bestFit="1" customWidth="1"/>
    <col min="6157" max="6157" width="13.85546875" bestFit="1" customWidth="1"/>
    <col min="6158" max="6158" width="9.42578125" bestFit="1" customWidth="1"/>
    <col min="6159" max="6159" width="12.5703125" bestFit="1" customWidth="1"/>
    <col min="6401" max="6401" width="13.140625" customWidth="1"/>
    <col min="6402" max="6402" width="16.140625" customWidth="1"/>
    <col min="6403" max="6403" width="14.28515625" customWidth="1"/>
    <col min="6404" max="6404" width="4.28515625" customWidth="1"/>
    <col min="6405" max="6405" width="12.42578125" customWidth="1"/>
    <col min="6406" max="6406" width="13.42578125" bestFit="1" customWidth="1"/>
    <col min="6407" max="6407" width="11.28515625" bestFit="1" customWidth="1"/>
    <col min="6409" max="6409" width="4.7109375" customWidth="1"/>
    <col min="6411" max="6411" width="10" customWidth="1"/>
    <col min="6412" max="6412" width="15" bestFit="1" customWidth="1"/>
    <col min="6413" max="6413" width="13.85546875" bestFit="1" customWidth="1"/>
    <col min="6414" max="6414" width="9.42578125" bestFit="1" customWidth="1"/>
    <col min="6415" max="6415" width="12.5703125" bestFit="1" customWidth="1"/>
    <col min="6657" max="6657" width="13.140625" customWidth="1"/>
    <col min="6658" max="6658" width="16.140625" customWidth="1"/>
    <col min="6659" max="6659" width="14.28515625" customWidth="1"/>
    <col min="6660" max="6660" width="4.28515625" customWidth="1"/>
    <col min="6661" max="6661" width="12.42578125" customWidth="1"/>
    <col min="6662" max="6662" width="13.42578125" bestFit="1" customWidth="1"/>
    <col min="6663" max="6663" width="11.28515625" bestFit="1" customWidth="1"/>
    <col min="6665" max="6665" width="4.7109375" customWidth="1"/>
    <col min="6667" max="6667" width="10" customWidth="1"/>
    <col min="6668" max="6668" width="15" bestFit="1" customWidth="1"/>
    <col min="6669" max="6669" width="13.85546875" bestFit="1" customWidth="1"/>
    <col min="6670" max="6670" width="9.42578125" bestFit="1" customWidth="1"/>
    <col min="6671" max="6671" width="12.5703125" bestFit="1" customWidth="1"/>
    <col min="6913" max="6913" width="13.140625" customWidth="1"/>
    <col min="6914" max="6914" width="16.140625" customWidth="1"/>
    <col min="6915" max="6915" width="14.28515625" customWidth="1"/>
    <col min="6916" max="6916" width="4.28515625" customWidth="1"/>
    <col min="6917" max="6917" width="12.42578125" customWidth="1"/>
    <col min="6918" max="6918" width="13.42578125" bestFit="1" customWidth="1"/>
    <col min="6919" max="6919" width="11.28515625" bestFit="1" customWidth="1"/>
    <col min="6921" max="6921" width="4.7109375" customWidth="1"/>
    <col min="6923" max="6923" width="10" customWidth="1"/>
    <col min="6924" max="6924" width="15" bestFit="1" customWidth="1"/>
    <col min="6925" max="6925" width="13.85546875" bestFit="1" customWidth="1"/>
    <col min="6926" max="6926" width="9.42578125" bestFit="1" customWidth="1"/>
    <col min="6927" max="6927" width="12.5703125" bestFit="1" customWidth="1"/>
    <col min="7169" max="7169" width="13.140625" customWidth="1"/>
    <col min="7170" max="7170" width="16.140625" customWidth="1"/>
    <col min="7171" max="7171" width="14.28515625" customWidth="1"/>
    <col min="7172" max="7172" width="4.28515625" customWidth="1"/>
    <col min="7173" max="7173" width="12.42578125" customWidth="1"/>
    <col min="7174" max="7174" width="13.42578125" bestFit="1" customWidth="1"/>
    <col min="7175" max="7175" width="11.28515625" bestFit="1" customWidth="1"/>
    <col min="7177" max="7177" width="4.7109375" customWidth="1"/>
    <col min="7179" max="7179" width="10" customWidth="1"/>
    <col min="7180" max="7180" width="15" bestFit="1" customWidth="1"/>
    <col min="7181" max="7181" width="13.85546875" bestFit="1" customWidth="1"/>
    <col min="7182" max="7182" width="9.42578125" bestFit="1" customWidth="1"/>
    <col min="7183" max="7183" width="12.5703125" bestFit="1" customWidth="1"/>
    <col min="7425" max="7425" width="13.140625" customWidth="1"/>
    <col min="7426" max="7426" width="16.140625" customWidth="1"/>
    <col min="7427" max="7427" width="14.28515625" customWidth="1"/>
    <col min="7428" max="7428" width="4.28515625" customWidth="1"/>
    <col min="7429" max="7429" width="12.42578125" customWidth="1"/>
    <col min="7430" max="7430" width="13.42578125" bestFit="1" customWidth="1"/>
    <col min="7431" max="7431" width="11.28515625" bestFit="1" customWidth="1"/>
    <col min="7433" max="7433" width="4.7109375" customWidth="1"/>
    <col min="7435" max="7435" width="10" customWidth="1"/>
    <col min="7436" max="7436" width="15" bestFit="1" customWidth="1"/>
    <col min="7437" max="7437" width="13.85546875" bestFit="1" customWidth="1"/>
    <col min="7438" max="7438" width="9.42578125" bestFit="1" customWidth="1"/>
    <col min="7439" max="7439" width="12.5703125" bestFit="1" customWidth="1"/>
    <col min="7681" max="7681" width="13.140625" customWidth="1"/>
    <col min="7682" max="7682" width="16.140625" customWidth="1"/>
    <col min="7683" max="7683" width="14.28515625" customWidth="1"/>
    <col min="7684" max="7684" width="4.28515625" customWidth="1"/>
    <col min="7685" max="7685" width="12.42578125" customWidth="1"/>
    <col min="7686" max="7686" width="13.42578125" bestFit="1" customWidth="1"/>
    <col min="7687" max="7687" width="11.28515625" bestFit="1" customWidth="1"/>
    <col min="7689" max="7689" width="4.7109375" customWidth="1"/>
    <col min="7691" max="7691" width="10" customWidth="1"/>
    <col min="7692" max="7692" width="15" bestFit="1" customWidth="1"/>
    <col min="7693" max="7693" width="13.85546875" bestFit="1" customWidth="1"/>
    <col min="7694" max="7694" width="9.42578125" bestFit="1" customWidth="1"/>
    <col min="7695" max="7695" width="12.5703125" bestFit="1" customWidth="1"/>
    <col min="7937" max="7937" width="13.140625" customWidth="1"/>
    <col min="7938" max="7938" width="16.140625" customWidth="1"/>
    <col min="7939" max="7939" width="14.28515625" customWidth="1"/>
    <col min="7940" max="7940" width="4.28515625" customWidth="1"/>
    <col min="7941" max="7941" width="12.42578125" customWidth="1"/>
    <col min="7942" max="7942" width="13.42578125" bestFit="1" customWidth="1"/>
    <col min="7943" max="7943" width="11.28515625" bestFit="1" customWidth="1"/>
    <col min="7945" max="7945" width="4.7109375" customWidth="1"/>
    <col min="7947" max="7947" width="10" customWidth="1"/>
    <col min="7948" max="7948" width="15" bestFit="1" customWidth="1"/>
    <col min="7949" max="7949" width="13.85546875" bestFit="1" customWidth="1"/>
    <col min="7950" max="7950" width="9.42578125" bestFit="1" customWidth="1"/>
    <col min="7951" max="7951" width="12.5703125" bestFit="1" customWidth="1"/>
    <col min="8193" max="8193" width="13.140625" customWidth="1"/>
    <col min="8194" max="8194" width="16.140625" customWidth="1"/>
    <col min="8195" max="8195" width="14.28515625" customWidth="1"/>
    <col min="8196" max="8196" width="4.28515625" customWidth="1"/>
    <col min="8197" max="8197" width="12.42578125" customWidth="1"/>
    <col min="8198" max="8198" width="13.42578125" bestFit="1" customWidth="1"/>
    <col min="8199" max="8199" width="11.28515625" bestFit="1" customWidth="1"/>
    <col min="8201" max="8201" width="4.7109375" customWidth="1"/>
    <col min="8203" max="8203" width="10" customWidth="1"/>
    <col min="8204" max="8204" width="15" bestFit="1" customWidth="1"/>
    <col min="8205" max="8205" width="13.85546875" bestFit="1" customWidth="1"/>
    <col min="8206" max="8206" width="9.42578125" bestFit="1" customWidth="1"/>
    <col min="8207" max="8207" width="12.5703125" bestFit="1" customWidth="1"/>
    <col min="8449" max="8449" width="13.140625" customWidth="1"/>
    <col min="8450" max="8450" width="16.140625" customWidth="1"/>
    <col min="8451" max="8451" width="14.28515625" customWidth="1"/>
    <col min="8452" max="8452" width="4.28515625" customWidth="1"/>
    <col min="8453" max="8453" width="12.42578125" customWidth="1"/>
    <col min="8454" max="8454" width="13.42578125" bestFit="1" customWidth="1"/>
    <col min="8455" max="8455" width="11.28515625" bestFit="1" customWidth="1"/>
    <col min="8457" max="8457" width="4.7109375" customWidth="1"/>
    <col min="8459" max="8459" width="10" customWidth="1"/>
    <col min="8460" max="8460" width="15" bestFit="1" customWidth="1"/>
    <col min="8461" max="8461" width="13.85546875" bestFit="1" customWidth="1"/>
    <col min="8462" max="8462" width="9.42578125" bestFit="1" customWidth="1"/>
    <col min="8463" max="8463" width="12.5703125" bestFit="1" customWidth="1"/>
    <col min="8705" max="8705" width="13.140625" customWidth="1"/>
    <col min="8706" max="8706" width="16.140625" customWidth="1"/>
    <col min="8707" max="8707" width="14.28515625" customWidth="1"/>
    <col min="8708" max="8708" width="4.28515625" customWidth="1"/>
    <col min="8709" max="8709" width="12.42578125" customWidth="1"/>
    <col min="8710" max="8710" width="13.42578125" bestFit="1" customWidth="1"/>
    <col min="8711" max="8711" width="11.28515625" bestFit="1" customWidth="1"/>
    <col min="8713" max="8713" width="4.7109375" customWidth="1"/>
    <col min="8715" max="8715" width="10" customWidth="1"/>
    <col min="8716" max="8716" width="15" bestFit="1" customWidth="1"/>
    <col min="8717" max="8717" width="13.85546875" bestFit="1" customWidth="1"/>
    <col min="8718" max="8718" width="9.42578125" bestFit="1" customWidth="1"/>
    <col min="8719" max="8719" width="12.5703125" bestFit="1" customWidth="1"/>
    <col min="8961" max="8961" width="13.140625" customWidth="1"/>
    <col min="8962" max="8962" width="16.140625" customWidth="1"/>
    <col min="8963" max="8963" width="14.28515625" customWidth="1"/>
    <col min="8964" max="8964" width="4.28515625" customWidth="1"/>
    <col min="8965" max="8965" width="12.42578125" customWidth="1"/>
    <col min="8966" max="8966" width="13.42578125" bestFit="1" customWidth="1"/>
    <col min="8967" max="8967" width="11.28515625" bestFit="1" customWidth="1"/>
    <col min="8969" max="8969" width="4.7109375" customWidth="1"/>
    <col min="8971" max="8971" width="10" customWidth="1"/>
    <col min="8972" max="8972" width="15" bestFit="1" customWidth="1"/>
    <col min="8973" max="8973" width="13.85546875" bestFit="1" customWidth="1"/>
    <col min="8974" max="8974" width="9.42578125" bestFit="1" customWidth="1"/>
    <col min="8975" max="8975" width="12.5703125" bestFit="1" customWidth="1"/>
    <col min="9217" max="9217" width="13.140625" customWidth="1"/>
    <col min="9218" max="9218" width="16.140625" customWidth="1"/>
    <col min="9219" max="9219" width="14.28515625" customWidth="1"/>
    <col min="9220" max="9220" width="4.28515625" customWidth="1"/>
    <col min="9221" max="9221" width="12.42578125" customWidth="1"/>
    <col min="9222" max="9222" width="13.42578125" bestFit="1" customWidth="1"/>
    <col min="9223" max="9223" width="11.28515625" bestFit="1" customWidth="1"/>
    <col min="9225" max="9225" width="4.7109375" customWidth="1"/>
    <col min="9227" max="9227" width="10" customWidth="1"/>
    <col min="9228" max="9228" width="15" bestFit="1" customWidth="1"/>
    <col min="9229" max="9229" width="13.85546875" bestFit="1" customWidth="1"/>
    <col min="9230" max="9230" width="9.42578125" bestFit="1" customWidth="1"/>
    <col min="9231" max="9231" width="12.5703125" bestFit="1" customWidth="1"/>
    <col min="9473" max="9473" width="13.140625" customWidth="1"/>
    <col min="9474" max="9474" width="16.140625" customWidth="1"/>
    <col min="9475" max="9475" width="14.28515625" customWidth="1"/>
    <col min="9476" max="9476" width="4.28515625" customWidth="1"/>
    <col min="9477" max="9477" width="12.42578125" customWidth="1"/>
    <col min="9478" max="9478" width="13.42578125" bestFit="1" customWidth="1"/>
    <col min="9479" max="9479" width="11.28515625" bestFit="1" customWidth="1"/>
    <col min="9481" max="9481" width="4.7109375" customWidth="1"/>
    <col min="9483" max="9483" width="10" customWidth="1"/>
    <col min="9484" max="9484" width="15" bestFit="1" customWidth="1"/>
    <col min="9485" max="9485" width="13.85546875" bestFit="1" customWidth="1"/>
    <col min="9486" max="9486" width="9.42578125" bestFit="1" customWidth="1"/>
    <col min="9487" max="9487" width="12.5703125" bestFit="1" customWidth="1"/>
    <col min="9729" max="9729" width="13.140625" customWidth="1"/>
    <col min="9730" max="9730" width="16.140625" customWidth="1"/>
    <col min="9731" max="9731" width="14.28515625" customWidth="1"/>
    <col min="9732" max="9732" width="4.28515625" customWidth="1"/>
    <col min="9733" max="9733" width="12.42578125" customWidth="1"/>
    <col min="9734" max="9734" width="13.42578125" bestFit="1" customWidth="1"/>
    <col min="9735" max="9735" width="11.28515625" bestFit="1" customWidth="1"/>
    <col min="9737" max="9737" width="4.7109375" customWidth="1"/>
    <col min="9739" max="9739" width="10" customWidth="1"/>
    <col min="9740" max="9740" width="15" bestFit="1" customWidth="1"/>
    <col min="9741" max="9741" width="13.85546875" bestFit="1" customWidth="1"/>
    <col min="9742" max="9742" width="9.42578125" bestFit="1" customWidth="1"/>
    <col min="9743" max="9743" width="12.5703125" bestFit="1" customWidth="1"/>
    <col min="9985" max="9985" width="13.140625" customWidth="1"/>
    <col min="9986" max="9986" width="16.140625" customWidth="1"/>
    <col min="9987" max="9987" width="14.28515625" customWidth="1"/>
    <col min="9988" max="9988" width="4.28515625" customWidth="1"/>
    <col min="9989" max="9989" width="12.42578125" customWidth="1"/>
    <col min="9990" max="9990" width="13.42578125" bestFit="1" customWidth="1"/>
    <col min="9991" max="9991" width="11.28515625" bestFit="1" customWidth="1"/>
    <col min="9993" max="9993" width="4.7109375" customWidth="1"/>
    <col min="9995" max="9995" width="10" customWidth="1"/>
    <col min="9996" max="9996" width="15" bestFit="1" customWidth="1"/>
    <col min="9997" max="9997" width="13.85546875" bestFit="1" customWidth="1"/>
    <col min="9998" max="9998" width="9.42578125" bestFit="1" customWidth="1"/>
    <col min="9999" max="9999" width="12.5703125" bestFit="1" customWidth="1"/>
    <col min="10241" max="10241" width="13.140625" customWidth="1"/>
    <col min="10242" max="10242" width="16.140625" customWidth="1"/>
    <col min="10243" max="10243" width="14.28515625" customWidth="1"/>
    <col min="10244" max="10244" width="4.28515625" customWidth="1"/>
    <col min="10245" max="10245" width="12.42578125" customWidth="1"/>
    <col min="10246" max="10246" width="13.42578125" bestFit="1" customWidth="1"/>
    <col min="10247" max="10247" width="11.28515625" bestFit="1" customWidth="1"/>
    <col min="10249" max="10249" width="4.7109375" customWidth="1"/>
    <col min="10251" max="10251" width="10" customWidth="1"/>
    <col min="10252" max="10252" width="15" bestFit="1" customWidth="1"/>
    <col min="10253" max="10253" width="13.85546875" bestFit="1" customWidth="1"/>
    <col min="10254" max="10254" width="9.42578125" bestFit="1" customWidth="1"/>
    <col min="10255" max="10255" width="12.5703125" bestFit="1" customWidth="1"/>
    <col min="10497" max="10497" width="13.140625" customWidth="1"/>
    <col min="10498" max="10498" width="16.140625" customWidth="1"/>
    <col min="10499" max="10499" width="14.28515625" customWidth="1"/>
    <col min="10500" max="10500" width="4.28515625" customWidth="1"/>
    <col min="10501" max="10501" width="12.42578125" customWidth="1"/>
    <col min="10502" max="10502" width="13.42578125" bestFit="1" customWidth="1"/>
    <col min="10503" max="10503" width="11.28515625" bestFit="1" customWidth="1"/>
    <col min="10505" max="10505" width="4.7109375" customWidth="1"/>
    <col min="10507" max="10507" width="10" customWidth="1"/>
    <col min="10508" max="10508" width="15" bestFit="1" customWidth="1"/>
    <col min="10509" max="10509" width="13.85546875" bestFit="1" customWidth="1"/>
    <col min="10510" max="10510" width="9.42578125" bestFit="1" customWidth="1"/>
    <col min="10511" max="10511" width="12.5703125" bestFit="1" customWidth="1"/>
    <col min="10753" max="10753" width="13.140625" customWidth="1"/>
    <col min="10754" max="10754" width="16.140625" customWidth="1"/>
    <col min="10755" max="10755" width="14.28515625" customWidth="1"/>
    <col min="10756" max="10756" width="4.28515625" customWidth="1"/>
    <col min="10757" max="10757" width="12.42578125" customWidth="1"/>
    <col min="10758" max="10758" width="13.42578125" bestFit="1" customWidth="1"/>
    <col min="10759" max="10759" width="11.28515625" bestFit="1" customWidth="1"/>
    <col min="10761" max="10761" width="4.7109375" customWidth="1"/>
    <col min="10763" max="10763" width="10" customWidth="1"/>
    <col min="10764" max="10764" width="15" bestFit="1" customWidth="1"/>
    <col min="10765" max="10765" width="13.85546875" bestFit="1" customWidth="1"/>
    <col min="10766" max="10766" width="9.42578125" bestFit="1" customWidth="1"/>
    <col min="10767" max="10767" width="12.5703125" bestFit="1" customWidth="1"/>
    <col min="11009" max="11009" width="13.140625" customWidth="1"/>
    <col min="11010" max="11010" width="16.140625" customWidth="1"/>
    <col min="11011" max="11011" width="14.28515625" customWidth="1"/>
    <col min="11012" max="11012" width="4.28515625" customWidth="1"/>
    <col min="11013" max="11013" width="12.42578125" customWidth="1"/>
    <col min="11014" max="11014" width="13.42578125" bestFit="1" customWidth="1"/>
    <col min="11015" max="11015" width="11.28515625" bestFit="1" customWidth="1"/>
    <col min="11017" max="11017" width="4.7109375" customWidth="1"/>
    <col min="11019" max="11019" width="10" customWidth="1"/>
    <col min="11020" max="11020" width="15" bestFit="1" customWidth="1"/>
    <col min="11021" max="11021" width="13.85546875" bestFit="1" customWidth="1"/>
    <col min="11022" max="11022" width="9.42578125" bestFit="1" customWidth="1"/>
    <col min="11023" max="11023" width="12.5703125" bestFit="1" customWidth="1"/>
    <col min="11265" max="11265" width="13.140625" customWidth="1"/>
    <col min="11266" max="11266" width="16.140625" customWidth="1"/>
    <col min="11267" max="11267" width="14.28515625" customWidth="1"/>
    <col min="11268" max="11268" width="4.28515625" customWidth="1"/>
    <col min="11269" max="11269" width="12.42578125" customWidth="1"/>
    <col min="11270" max="11270" width="13.42578125" bestFit="1" customWidth="1"/>
    <col min="11271" max="11271" width="11.28515625" bestFit="1" customWidth="1"/>
    <col min="11273" max="11273" width="4.7109375" customWidth="1"/>
    <col min="11275" max="11275" width="10" customWidth="1"/>
    <col min="11276" max="11276" width="15" bestFit="1" customWidth="1"/>
    <col min="11277" max="11277" width="13.85546875" bestFit="1" customWidth="1"/>
    <col min="11278" max="11278" width="9.42578125" bestFit="1" customWidth="1"/>
    <col min="11279" max="11279" width="12.5703125" bestFit="1" customWidth="1"/>
    <col min="11521" max="11521" width="13.140625" customWidth="1"/>
    <col min="11522" max="11522" width="16.140625" customWidth="1"/>
    <col min="11523" max="11523" width="14.28515625" customWidth="1"/>
    <col min="11524" max="11524" width="4.28515625" customWidth="1"/>
    <col min="11525" max="11525" width="12.42578125" customWidth="1"/>
    <col min="11526" max="11526" width="13.42578125" bestFit="1" customWidth="1"/>
    <col min="11527" max="11527" width="11.28515625" bestFit="1" customWidth="1"/>
    <col min="11529" max="11529" width="4.7109375" customWidth="1"/>
    <col min="11531" max="11531" width="10" customWidth="1"/>
    <col min="11532" max="11532" width="15" bestFit="1" customWidth="1"/>
    <col min="11533" max="11533" width="13.85546875" bestFit="1" customWidth="1"/>
    <col min="11534" max="11534" width="9.42578125" bestFit="1" customWidth="1"/>
    <col min="11535" max="11535" width="12.5703125" bestFit="1" customWidth="1"/>
    <col min="11777" max="11777" width="13.140625" customWidth="1"/>
    <col min="11778" max="11778" width="16.140625" customWidth="1"/>
    <col min="11779" max="11779" width="14.28515625" customWidth="1"/>
    <col min="11780" max="11780" width="4.28515625" customWidth="1"/>
    <col min="11781" max="11781" width="12.42578125" customWidth="1"/>
    <col min="11782" max="11782" width="13.42578125" bestFit="1" customWidth="1"/>
    <col min="11783" max="11783" width="11.28515625" bestFit="1" customWidth="1"/>
    <col min="11785" max="11785" width="4.7109375" customWidth="1"/>
    <col min="11787" max="11787" width="10" customWidth="1"/>
    <col min="11788" max="11788" width="15" bestFit="1" customWidth="1"/>
    <col min="11789" max="11789" width="13.85546875" bestFit="1" customWidth="1"/>
    <col min="11790" max="11790" width="9.42578125" bestFit="1" customWidth="1"/>
    <col min="11791" max="11791" width="12.5703125" bestFit="1" customWidth="1"/>
    <col min="12033" max="12033" width="13.140625" customWidth="1"/>
    <col min="12034" max="12034" width="16.140625" customWidth="1"/>
    <col min="12035" max="12035" width="14.28515625" customWidth="1"/>
    <col min="12036" max="12036" width="4.28515625" customWidth="1"/>
    <col min="12037" max="12037" width="12.42578125" customWidth="1"/>
    <col min="12038" max="12038" width="13.42578125" bestFit="1" customWidth="1"/>
    <col min="12039" max="12039" width="11.28515625" bestFit="1" customWidth="1"/>
    <col min="12041" max="12041" width="4.7109375" customWidth="1"/>
    <col min="12043" max="12043" width="10" customWidth="1"/>
    <col min="12044" max="12044" width="15" bestFit="1" customWidth="1"/>
    <col min="12045" max="12045" width="13.85546875" bestFit="1" customWidth="1"/>
    <col min="12046" max="12046" width="9.42578125" bestFit="1" customWidth="1"/>
    <col min="12047" max="12047" width="12.5703125" bestFit="1" customWidth="1"/>
    <col min="12289" max="12289" width="13.140625" customWidth="1"/>
    <col min="12290" max="12290" width="16.140625" customWidth="1"/>
    <col min="12291" max="12291" width="14.28515625" customWidth="1"/>
    <col min="12292" max="12292" width="4.28515625" customWidth="1"/>
    <col min="12293" max="12293" width="12.42578125" customWidth="1"/>
    <col min="12294" max="12294" width="13.42578125" bestFit="1" customWidth="1"/>
    <col min="12295" max="12295" width="11.28515625" bestFit="1" customWidth="1"/>
    <col min="12297" max="12297" width="4.7109375" customWidth="1"/>
    <col min="12299" max="12299" width="10" customWidth="1"/>
    <col min="12300" max="12300" width="15" bestFit="1" customWidth="1"/>
    <col min="12301" max="12301" width="13.85546875" bestFit="1" customWidth="1"/>
    <col min="12302" max="12302" width="9.42578125" bestFit="1" customWidth="1"/>
    <col min="12303" max="12303" width="12.5703125" bestFit="1" customWidth="1"/>
    <col min="12545" max="12545" width="13.140625" customWidth="1"/>
    <col min="12546" max="12546" width="16.140625" customWidth="1"/>
    <col min="12547" max="12547" width="14.28515625" customWidth="1"/>
    <col min="12548" max="12548" width="4.28515625" customWidth="1"/>
    <col min="12549" max="12549" width="12.42578125" customWidth="1"/>
    <col min="12550" max="12550" width="13.42578125" bestFit="1" customWidth="1"/>
    <col min="12551" max="12551" width="11.28515625" bestFit="1" customWidth="1"/>
    <col min="12553" max="12553" width="4.7109375" customWidth="1"/>
    <col min="12555" max="12555" width="10" customWidth="1"/>
    <col min="12556" max="12556" width="15" bestFit="1" customWidth="1"/>
    <col min="12557" max="12557" width="13.85546875" bestFit="1" customWidth="1"/>
    <col min="12558" max="12558" width="9.42578125" bestFit="1" customWidth="1"/>
    <col min="12559" max="12559" width="12.5703125" bestFit="1" customWidth="1"/>
    <col min="12801" max="12801" width="13.140625" customWidth="1"/>
    <col min="12802" max="12802" width="16.140625" customWidth="1"/>
    <col min="12803" max="12803" width="14.28515625" customWidth="1"/>
    <col min="12804" max="12804" width="4.28515625" customWidth="1"/>
    <col min="12805" max="12805" width="12.42578125" customWidth="1"/>
    <col min="12806" max="12806" width="13.42578125" bestFit="1" customWidth="1"/>
    <col min="12807" max="12807" width="11.28515625" bestFit="1" customWidth="1"/>
    <col min="12809" max="12809" width="4.7109375" customWidth="1"/>
    <col min="12811" max="12811" width="10" customWidth="1"/>
    <col min="12812" max="12812" width="15" bestFit="1" customWidth="1"/>
    <col min="12813" max="12813" width="13.85546875" bestFit="1" customWidth="1"/>
    <col min="12814" max="12814" width="9.42578125" bestFit="1" customWidth="1"/>
    <col min="12815" max="12815" width="12.5703125" bestFit="1" customWidth="1"/>
    <col min="13057" max="13057" width="13.140625" customWidth="1"/>
    <col min="13058" max="13058" width="16.140625" customWidth="1"/>
    <col min="13059" max="13059" width="14.28515625" customWidth="1"/>
    <col min="13060" max="13060" width="4.28515625" customWidth="1"/>
    <col min="13061" max="13061" width="12.42578125" customWidth="1"/>
    <col min="13062" max="13062" width="13.42578125" bestFit="1" customWidth="1"/>
    <col min="13063" max="13063" width="11.28515625" bestFit="1" customWidth="1"/>
    <col min="13065" max="13065" width="4.7109375" customWidth="1"/>
    <col min="13067" max="13067" width="10" customWidth="1"/>
    <col min="13068" max="13068" width="15" bestFit="1" customWidth="1"/>
    <col min="13069" max="13069" width="13.85546875" bestFit="1" customWidth="1"/>
    <col min="13070" max="13070" width="9.42578125" bestFit="1" customWidth="1"/>
    <col min="13071" max="13071" width="12.5703125" bestFit="1" customWidth="1"/>
    <col min="13313" max="13313" width="13.140625" customWidth="1"/>
    <col min="13314" max="13314" width="16.140625" customWidth="1"/>
    <col min="13315" max="13315" width="14.28515625" customWidth="1"/>
    <col min="13316" max="13316" width="4.28515625" customWidth="1"/>
    <col min="13317" max="13317" width="12.42578125" customWidth="1"/>
    <col min="13318" max="13318" width="13.42578125" bestFit="1" customWidth="1"/>
    <col min="13319" max="13319" width="11.28515625" bestFit="1" customWidth="1"/>
    <col min="13321" max="13321" width="4.7109375" customWidth="1"/>
    <col min="13323" max="13323" width="10" customWidth="1"/>
    <col min="13324" max="13324" width="15" bestFit="1" customWidth="1"/>
    <col min="13325" max="13325" width="13.85546875" bestFit="1" customWidth="1"/>
    <col min="13326" max="13326" width="9.42578125" bestFit="1" customWidth="1"/>
    <col min="13327" max="13327" width="12.5703125" bestFit="1" customWidth="1"/>
    <col min="13569" max="13569" width="13.140625" customWidth="1"/>
    <col min="13570" max="13570" width="16.140625" customWidth="1"/>
    <col min="13571" max="13571" width="14.28515625" customWidth="1"/>
    <col min="13572" max="13572" width="4.28515625" customWidth="1"/>
    <col min="13573" max="13573" width="12.42578125" customWidth="1"/>
    <col min="13574" max="13574" width="13.42578125" bestFit="1" customWidth="1"/>
    <col min="13575" max="13575" width="11.28515625" bestFit="1" customWidth="1"/>
    <col min="13577" max="13577" width="4.7109375" customWidth="1"/>
    <col min="13579" max="13579" width="10" customWidth="1"/>
    <col min="13580" max="13580" width="15" bestFit="1" customWidth="1"/>
    <col min="13581" max="13581" width="13.85546875" bestFit="1" customWidth="1"/>
    <col min="13582" max="13582" width="9.42578125" bestFit="1" customWidth="1"/>
    <col min="13583" max="13583" width="12.5703125" bestFit="1" customWidth="1"/>
    <col min="13825" max="13825" width="13.140625" customWidth="1"/>
    <col min="13826" max="13826" width="16.140625" customWidth="1"/>
    <col min="13827" max="13827" width="14.28515625" customWidth="1"/>
    <col min="13828" max="13828" width="4.28515625" customWidth="1"/>
    <col min="13829" max="13829" width="12.42578125" customWidth="1"/>
    <col min="13830" max="13830" width="13.42578125" bestFit="1" customWidth="1"/>
    <col min="13831" max="13831" width="11.28515625" bestFit="1" customWidth="1"/>
    <col min="13833" max="13833" width="4.7109375" customWidth="1"/>
    <col min="13835" max="13835" width="10" customWidth="1"/>
    <col min="13836" max="13836" width="15" bestFit="1" customWidth="1"/>
    <col min="13837" max="13837" width="13.85546875" bestFit="1" customWidth="1"/>
    <col min="13838" max="13838" width="9.42578125" bestFit="1" customWidth="1"/>
    <col min="13839" max="13839" width="12.5703125" bestFit="1" customWidth="1"/>
    <col min="14081" max="14081" width="13.140625" customWidth="1"/>
    <col min="14082" max="14082" width="16.140625" customWidth="1"/>
    <col min="14083" max="14083" width="14.28515625" customWidth="1"/>
    <col min="14084" max="14084" width="4.28515625" customWidth="1"/>
    <col min="14085" max="14085" width="12.42578125" customWidth="1"/>
    <col min="14086" max="14086" width="13.42578125" bestFit="1" customWidth="1"/>
    <col min="14087" max="14087" width="11.28515625" bestFit="1" customWidth="1"/>
    <col min="14089" max="14089" width="4.7109375" customWidth="1"/>
    <col min="14091" max="14091" width="10" customWidth="1"/>
    <col min="14092" max="14092" width="15" bestFit="1" customWidth="1"/>
    <col min="14093" max="14093" width="13.85546875" bestFit="1" customWidth="1"/>
    <col min="14094" max="14094" width="9.42578125" bestFit="1" customWidth="1"/>
    <col min="14095" max="14095" width="12.5703125" bestFit="1" customWidth="1"/>
    <col min="14337" max="14337" width="13.140625" customWidth="1"/>
    <col min="14338" max="14338" width="16.140625" customWidth="1"/>
    <col min="14339" max="14339" width="14.28515625" customWidth="1"/>
    <col min="14340" max="14340" width="4.28515625" customWidth="1"/>
    <col min="14341" max="14341" width="12.42578125" customWidth="1"/>
    <col min="14342" max="14342" width="13.42578125" bestFit="1" customWidth="1"/>
    <col min="14343" max="14343" width="11.28515625" bestFit="1" customWidth="1"/>
    <col min="14345" max="14345" width="4.7109375" customWidth="1"/>
    <col min="14347" max="14347" width="10" customWidth="1"/>
    <col min="14348" max="14348" width="15" bestFit="1" customWidth="1"/>
    <col min="14349" max="14349" width="13.85546875" bestFit="1" customWidth="1"/>
    <col min="14350" max="14350" width="9.42578125" bestFit="1" customWidth="1"/>
    <col min="14351" max="14351" width="12.5703125" bestFit="1" customWidth="1"/>
    <col min="14593" max="14593" width="13.140625" customWidth="1"/>
    <col min="14594" max="14594" width="16.140625" customWidth="1"/>
    <col min="14595" max="14595" width="14.28515625" customWidth="1"/>
    <col min="14596" max="14596" width="4.28515625" customWidth="1"/>
    <col min="14597" max="14597" width="12.42578125" customWidth="1"/>
    <col min="14598" max="14598" width="13.42578125" bestFit="1" customWidth="1"/>
    <col min="14599" max="14599" width="11.28515625" bestFit="1" customWidth="1"/>
    <col min="14601" max="14601" width="4.7109375" customWidth="1"/>
    <col min="14603" max="14603" width="10" customWidth="1"/>
    <col min="14604" max="14604" width="15" bestFit="1" customWidth="1"/>
    <col min="14605" max="14605" width="13.85546875" bestFit="1" customWidth="1"/>
    <col min="14606" max="14606" width="9.42578125" bestFit="1" customWidth="1"/>
    <col min="14607" max="14607" width="12.5703125" bestFit="1" customWidth="1"/>
    <col min="14849" max="14849" width="13.140625" customWidth="1"/>
    <col min="14850" max="14850" width="16.140625" customWidth="1"/>
    <col min="14851" max="14851" width="14.28515625" customWidth="1"/>
    <col min="14852" max="14852" width="4.28515625" customWidth="1"/>
    <col min="14853" max="14853" width="12.42578125" customWidth="1"/>
    <col min="14854" max="14854" width="13.42578125" bestFit="1" customWidth="1"/>
    <col min="14855" max="14855" width="11.28515625" bestFit="1" customWidth="1"/>
    <col min="14857" max="14857" width="4.7109375" customWidth="1"/>
    <col min="14859" max="14859" width="10" customWidth="1"/>
    <col min="14860" max="14860" width="15" bestFit="1" customWidth="1"/>
    <col min="14861" max="14861" width="13.85546875" bestFit="1" customWidth="1"/>
    <col min="14862" max="14862" width="9.42578125" bestFit="1" customWidth="1"/>
    <col min="14863" max="14863" width="12.5703125" bestFit="1" customWidth="1"/>
    <col min="15105" max="15105" width="13.140625" customWidth="1"/>
    <col min="15106" max="15106" width="16.140625" customWidth="1"/>
    <col min="15107" max="15107" width="14.28515625" customWidth="1"/>
    <col min="15108" max="15108" width="4.28515625" customWidth="1"/>
    <col min="15109" max="15109" width="12.42578125" customWidth="1"/>
    <col min="15110" max="15110" width="13.42578125" bestFit="1" customWidth="1"/>
    <col min="15111" max="15111" width="11.28515625" bestFit="1" customWidth="1"/>
    <col min="15113" max="15113" width="4.7109375" customWidth="1"/>
    <col min="15115" max="15115" width="10" customWidth="1"/>
    <col min="15116" max="15116" width="15" bestFit="1" customWidth="1"/>
    <col min="15117" max="15117" width="13.85546875" bestFit="1" customWidth="1"/>
    <col min="15118" max="15118" width="9.42578125" bestFit="1" customWidth="1"/>
    <col min="15119" max="15119" width="12.5703125" bestFit="1" customWidth="1"/>
    <col min="15361" max="15361" width="13.140625" customWidth="1"/>
    <col min="15362" max="15362" width="16.140625" customWidth="1"/>
    <col min="15363" max="15363" width="14.28515625" customWidth="1"/>
    <col min="15364" max="15364" width="4.28515625" customWidth="1"/>
    <col min="15365" max="15365" width="12.42578125" customWidth="1"/>
    <col min="15366" max="15366" width="13.42578125" bestFit="1" customWidth="1"/>
    <col min="15367" max="15367" width="11.28515625" bestFit="1" customWidth="1"/>
    <col min="15369" max="15369" width="4.7109375" customWidth="1"/>
    <col min="15371" max="15371" width="10" customWidth="1"/>
    <col min="15372" max="15372" width="15" bestFit="1" customWidth="1"/>
    <col min="15373" max="15373" width="13.85546875" bestFit="1" customWidth="1"/>
    <col min="15374" max="15374" width="9.42578125" bestFit="1" customWidth="1"/>
    <col min="15375" max="15375" width="12.5703125" bestFit="1" customWidth="1"/>
    <col min="15617" max="15617" width="13.140625" customWidth="1"/>
    <col min="15618" max="15618" width="16.140625" customWidth="1"/>
    <col min="15619" max="15619" width="14.28515625" customWidth="1"/>
    <col min="15620" max="15620" width="4.28515625" customWidth="1"/>
    <col min="15621" max="15621" width="12.42578125" customWidth="1"/>
    <col min="15622" max="15622" width="13.42578125" bestFit="1" customWidth="1"/>
    <col min="15623" max="15623" width="11.28515625" bestFit="1" customWidth="1"/>
    <col min="15625" max="15625" width="4.7109375" customWidth="1"/>
    <col min="15627" max="15627" width="10" customWidth="1"/>
    <col min="15628" max="15628" width="15" bestFit="1" customWidth="1"/>
    <col min="15629" max="15629" width="13.85546875" bestFit="1" customWidth="1"/>
    <col min="15630" max="15630" width="9.42578125" bestFit="1" customWidth="1"/>
    <col min="15631" max="15631" width="12.5703125" bestFit="1" customWidth="1"/>
    <col min="15873" max="15873" width="13.140625" customWidth="1"/>
    <col min="15874" max="15874" width="16.140625" customWidth="1"/>
    <col min="15875" max="15875" width="14.28515625" customWidth="1"/>
    <col min="15876" max="15876" width="4.28515625" customWidth="1"/>
    <col min="15877" max="15877" width="12.42578125" customWidth="1"/>
    <col min="15878" max="15878" width="13.42578125" bestFit="1" customWidth="1"/>
    <col min="15879" max="15879" width="11.28515625" bestFit="1" customWidth="1"/>
    <col min="15881" max="15881" width="4.7109375" customWidth="1"/>
    <col min="15883" max="15883" width="10" customWidth="1"/>
    <col min="15884" max="15884" width="15" bestFit="1" customWidth="1"/>
    <col min="15885" max="15885" width="13.85546875" bestFit="1" customWidth="1"/>
    <col min="15886" max="15886" width="9.42578125" bestFit="1" customWidth="1"/>
    <col min="15887" max="15887" width="12.5703125" bestFit="1" customWidth="1"/>
    <col min="16129" max="16129" width="13.140625" customWidth="1"/>
    <col min="16130" max="16130" width="16.140625" customWidth="1"/>
    <col min="16131" max="16131" width="14.28515625" customWidth="1"/>
    <col min="16132" max="16132" width="4.28515625" customWidth="1"/>
    <col min="16133" max="16133" width="12.42578125" customWidth="1"/>
    <col min="16134" max="16134" width="13.42578125" bestFit="1" customWidth="1"/>
    <col min="16135" max="16135" width="11.28515625" bestFit="1" customWidth="1"/>
    <col min="16137" max="16137" width="4.7109375" customWidth="1"/>
    <col min="16139" max="16139" width="10" customWidth="1"/>
    <col min="16140" max="16140" width="15" bestFit="1" customWidth="1"/>
    <col min="16141" max="16141" width="13.85546875" bestFit="1" customWidth="1"/>
    <col min="16142" max="16142" width="9.42578125" bestFit="1" customWidth="1"/>
    <col min="16143" max="16143" width="12.5703125" bestFit="1" customWidth="1"/>
  </cols>
  <sheetData>
    <row r="1" spans="1:14" x14ac:dyDescent="0.2">
      <c r="A1" s="9" t="s">
        <v>405</v>
      </c>
      <c r="J1" t="s">
        <v>406</v>
      </c>
    </row>
    <row r="2" spans="1:14" x14ac:dyDescent="0.2">
      <c r="A2" s="9" t="s">
        <v>407</v>
      </c>
      <c r="J2" s="9" t="s">
        <v>407</v>
      </c>
    </row>
    <row r="3" spans="1:14" x14ac:dyDescent="0.2">
      <c r="A3" s="9" t="s">
        <v>408</v>
      </c>
      <c r="E3" t="s">
        <v>409</v>
      </c>
      <c r="J3" s="9" t="s">
        <v>408</v>
      </c>
      <c r="N3" s="8"/>
    </row>
    <row r="4" spans="1:14" x14ac:dyDescent="0.2">
      <c r="A4" s="218"/>
      <c r="B4" s="218" t="s">
        <v>410</v>
      </c>
      <c r="C4" s="219"/>
      <c r="D4" s="219"/>
      <c r="F4" s="17"/>
      <c r="G4" s="17"/>
      <c r="H4" s="17" t="s">
        <v>93</v>
      </c>
      <c r="J4" s="219"/>
      <c r="K4" s="219"/>
      <c r="L4" s="218" t="s">
        <v>410</v>
      </c>
      <c r="M4" s="219"/>
      <c r="N4" s="84"/>
    </row>
    <row r="5" spans="1:14" x14ac:dyDescent="0.2">
      <c r="A5" s="220" t="s">
        <v>411</v>
      </c>
      <c r="B5" s="220" t="s">
        <v>408</v>
      </c>
      <c r="C5" s="221" t="s">
        <v>412</v>
      </c>
      <c r="D5" s="84"/>
      <c r="F5" s="40" t="s">
        <v>315</v>
      </c>
      <c r="G5" s="40" t="s">
        <v>413</v>
      </c>
      <c r="H5" s="40" t="s">
        <v>414</v>
      </c>
      <c r="J5" s="221" t="s">
        <v>415</v>
      </c>
      <c r="K5" s="221" t="s">
        <v>411</v>
      </c>
      <c r="L5" s="220" t="s">
        <v>408</v>
      </c>
      <c r="M5" s="221" t="s">
        <v>412</v>
      </c>
      <c r="N5" s="84"/>
    </row>
    <row r="6" spans="1:14" x14ac:dyDescent="0.2">
      <c r="A6" s="9" t="s">
        <v>416</v>
      </c>
      <c r="B6" s="222">
        <f>SUMIF('JKP-8.7c - G376 123110 Final'!$D$2:$D$897,'JKP-8.7c - By Size'!A6,'JKP-8.7c - G376 123110 Final'!$P$2:$P$897)</f>
        <v>1825922.2034282696</v>
      </c>
      <c r="C6" s="223">
        <f>SUMIF('JKP-8.7c - G376 123110 Final'!$D$2:$D$897,'JKP-8.7c - By Size'!A6,'JKP-8.7c - G376 123110 Final'!$J$2:$J$897)</f>
        <v>79029</v>
      </c>
      <c r="D6" s="224"/>
      <c r="E6" t="s">
        <v>417</v>
      </c>
      <c r="F6" s="18">
        <f>B15</f>
        <v>132229513.30934335</v>
      </c>
      <c r="G6" s="223">
        <f>C15</f>
        <v>7984913</v>
      </c>
      <c r="H6" s="225">
        <f>F6/F$8</f>
        <v>0.51026413910669854</v>
      </c>
      <c r="J6" t="s">
        <v>418</v>
      </c>
      <c r="K6" s="9" t="s">
        <v>416</v>
      </c>
      <c r="L6" s="18">
        <f t="shared" ref="L6:L13" si="0">VLOOKUP($K6,$A$6:$C$24,2,FALSE)</f>
        <v>1825922.2034282696</v>
      </c>
      <c r="M6" s="223">
        <f t="shared" ref="M6:M13" si="1">VLOOKUP($K6,$A$6:$C$24,3,FALSE)</f>
        <v>79029</v>
      </c>
      <c r="N6" s="8"/>
    </row>
    <row r="7" spans="1:14" x14ac:dyDescent="0.2">
      <c r="A7" s="9" t="s">
        <v>419</v>
      </c>
      <c r="B7" s="222">
        <f>SUMIF('JKP-8.7c - G376 123110 Final'!$D$2:$D$897,'JKP-8.7c - By Size'!A7,'JKP-8.7c - G376 123110 Final'!$P$2:$P$897)</f>
        <v>197492140.51019508</v>
      </c>
      <c r="C7" s="223">
        <f>SUMIF('JKP-8.7c - G376 123110 Final'!$D$2:$D$897,'JKP-8.7c - By Size'!A7,'JKP-8.7c - G376 123110 Final'!$J$2:$J$897)</f>
        <v>11326157</v>
      </c>
      <c r="D7" s="224"/>
      <c r="E7" t="s">
        <v>420</v>
      </c>
      <c r="F7" s="226">
        <f>B16</f>
        <v>126909828.79851651</v>
      </c>
      <c r="G7" s="227">
        <f>C16</f>
        <v>3877876</v>
      </c>
      <c r="H7" s="228">
        <f>F7/F$8</f>
        <v>0.48973586089330146</v>
      </c>
      <c r="J7" t="s">
        <v>418</v>
      </c>
      <c r="K7" s="9" t="s">
        <v>419</v>
      </c>
      <c r="L7" s="18">
        <f t="shared" si="0"/>
        <v>197492140.51019508</v>
      </c>
      <c r="M7" s="223">
        <f t="shared" si="1"/>
        <v>11326157</v>
      </c>
      <c r="N7" s="8"/>
    </row>
    <row r="8" spans="1:14" x14ac:dyDescent="0.2">
      <c r="A8" s="9" t="s">
        <v>421</v>
      </c>
      <c r="B8" s="222">
        <f>SUMIF('JKP-8.7c - G376 123110 Final'!$D$2:$D$897,'JKP-8.7c - By Size'!A8,'JKP-8.7c - G376 123110 Final'!$P$2:$P$897)</f>
        <v>502674946.35409522</v>
      </c>
      <c r="C8" s="223">
        <f>SUMIF('JKP-8.7c - G376 123110 Final'!$D$2:$D$897,'JKP-8.7c - By Size'!A8,'JKP-8.7c - G376 123110 Final'!$J$2:$J$897)</f>
        <v>24758100</v>
      </c>
      <c r="D8" s="224"/>
      <c r="E8" t="s">
        <v>23</v>
      </c>
      <c r="F8" s="18">
        <f>SUM(F6:F7)</f>
        <v>259139342.10785985</v>
      </c>
      <c r="G8" s="223">
        <f>SUM(G6:G7)</f>
        <v>11862789</v>
      </c>
      <c r="H8" s="225">
        <f>SUM(H6:H7)</f>
        <v>1</v>
      </c>
      <c r="J8" t="s">
        <v>422</v>
      </c>
      <c r="K8" s="9" t="s">
        <v>421</v>
      </c>
      <c r="L8" s="18">
        <f t="shared" si="0"/>
        <v>502674946.35409522</v>
      </c>
      <c r="M8" s="223">
        <f t="shared" si="1"/>
        <v>24758100</v>
      </c>
      <c r="N8" s="8"/>
    </row>
    <row r="9" spans="1:14" x14ac:dyDescent="0.2">
      <c r="A9" s="9" t="s">
        <v>423</v>
      </c>
      <c r="B9" s="222">
        <f>SUMIF('JKP-8.7c - G376 123110 Final'!$D$2:$D$897,'JKP-8.7c - By Size'!A9,'JKP-8.7c - G376 123110 Final'!$P$2:$P$897)</f>
        <v>3010322.9003042709</v>
      </c>
      <c r="C9" s="223">
        <f>SUMIF('JKP-8.7c - G376 123110 Final'!$D$2:$D$897,'JKP-8.7c - By Size'!A9,'JKP-8.7c - G376 123110 Final'!$J$2:$J$897)</f>
        <v>62959</v>
      </c>
      <c r="D9" s="224"/>
      <c r="J9" t="s">
        <v>422</v>
      </c>
      <c r="K9" s="9" t="s">
        <v>423</v>
      </c>
      <c r="L9" s="18">
        <f t="shared" si="0"/>
        <v>3010322.9003042709</v>
      </c>
      <c r="M9" s="223">
        <f t="shared" si="1"/>
        <v>62959</v>
      </c>
      <c r="N9" s="8"/>
    </row>
    <row r="10" spans="1:14" x14ac:dyDescent="0.2">
      <c r="A10" s="9" t="s">
        <v>424</v>
      </c>
      <c r="B10" s="222">
        <f>SUMIF('JKP-8.7c - G376 123110 Final'!$D$2:$D$897,'JKP-8.7c - By Size'!A10,'JKP-8.7c - G376 123110 Final'!$P$2:$P$897)</f>
        <v>207947381.60283411</v>
      </c>
      <c r="C10" s="223">
        <f>SUMIF('JKP-8.7c - G376 123110 Final'!$D$2:$D$897,'JKP-8.7c - By Size'!A10,'JKP-8.7c - G376 123110 Final'!$J$2:$J$897)</f>
        <v>5443203</v>
      </c>
      <c r="D10" s="224"/>
      <c r="J10" t="s">
        <v>425</v>
      </c>
      <c r="K10" s="9" t="s">
        <v>424</v>
      </c>
      <c r="L10" s="18">
        <f t="shared" si="0"/>
        <v>207947381.60283411</v>
      </c>
      <c r="M10" s="223">
        <f t="shared" si="1"/>
        <v>5443203</v>
      </c>
      <c r="N10" s="8"/>
    </row>
    <row r="11" spans="1:14" x14ac:dyDescent="0.2">
      <c r="A11" s="9" t="s">
        <v>426</v>
      </c>
      <c r="B11" s="222">
        <f>SUMIF('JKP-8.7c - G376 123110 Final'!$D$2:$D$897,'JKP-8.7c - By Size'!A11,'JKP-8.7c - G376 123110 Final'!$P$2:$P$897)</f>
        <v>180764525.59765822</v>
      </c>
      <c r="C11" s="223">
        <f>SUMIF('JKP-8.7c - G376 123110 Final'!$D$2:$D$897,'JKP-8.7c - By Size'!A11,'JKP-8.7c - G376 123110 Final'!$J$2:$J$897)</f>
        <v>2328071</v>
      </c>
      <c r="D11" s="224"/>
      <c r="F11" s="40" t="s">
        <v>315</v>
      </c>
      <c r="G11" s="40" t="s">
        <v>413</v>
      </c>
      <c r="J11" t="s">
        <v>425</v>
      </c>
      <c r="K11" s="9" t="s">
        <v>426</v>
      </c>
      <c r="L11" s="18">
        <f t="shared" si="0"/>
        <v>180764525.59765822</v>
      </c>
      <c r="M11" s="223">
        <f t="shared" si="1"/>
        <v>2328071</v>
      </c>
    </row>
    <row r="12" spans="1:14" x14ac:dyDescent="0.2">
      <c r="A12" s="9" t="s">
        <v>427</v>
      </c>
      <c r="B12" s="222">
        <f>SUMIF('JKP-8.7c - G376 123110 Final'!$D$2:$D$897,'JKP-8.7c - By Size'!A12,'JKP-8.7c - G376 123110 Final'!$P$2:$P$897)</f>
        <v>71563714.955624402</v>
      </c>
      <c r="C12" s="223">
        <f>SUMIF('JKP-8.7c - G376 123110 Final'!$D$2:$D$897,'JKP-8.7c - By Size'!A12,'JKP-8.7c - G376 123110 Final'!$J$2:$J$897)</f>
        <v>613203</v>
      </c>
      <c r="D12" s="224"/>
      <c r="E12" t="s">
        <v>428</v>
      </c>
      <c r="F12" s="18">
        <f>B14</f>
        <v>9440232.0289615374</v>
      </c>
      <c r="G12" s="223">
        <f>C14</f>
        <v>278087</v>
      </c>
      <c r="J12" t="s">
        <v>425</v>
      </c>
      <c r="K12" s="9" t="s">
        <v>427</v>
      </c>
      <c r="L12" s="18">
        <f t="shared" si="0"/>
        <v>71563714.955624402</v>
      </c>
      <c r="M12" s="223">
        <f t="shared" si="1"/>
        <v>613203</v>
      </c>
    </row>
    <row r="13" spans="1:14" x14ac:dyDescent="0.2">
      <c r="A13" s="9" t="s">
        <v>429</v>
      </c>
      <c r="B13" s="222">
        <f>SUMIF('JKP-8.7c - G376 123110 Final'!$D$2:$D$897,'JKP-8.7c - By Size'!A13,'JKP-8.7c - G376 123110 Final'!$P$2:$P$897)</f>
        <v>143766505.05580387</v>
      </c>
      <c r="C13" s="223">
        <f>SUMIF('JKP-8.7c - G376 123110 Final'!$D$2:$D$897,'JKP-8.7c - By Size'!A13,'JKP-8.7c - G376 123110 Final'!$J$2:$J$897)</f>
        <v>5043254</v>
      </c>
      <c r="D13" s="224"/>
      <c r="F13" s="18"/>
      <c r="G13" s="223"/>
      <c r="J13" t="s">
        <v>418</v>
      </c>
      <c r="K13" s="9" t="s">
        <v>429</v>
      </c>
      <c r="L13" s="18">
        <f t="shared" si="0"/>
        <v>143766505.05580387</v>
      </c>
      <c r="M13" s="223">
        <f t="shared" si="1"/>
        <v>5043254</v>
      </c>
    </row>
    <row r="14" spans="1:14" x14ac:dyDescent="0.2">
      <c r="A14" s="9" t="s">
        <v>428</v>
      </c>
      <c r="B14" s="222">
        <f>SUMIF('JKP-8.7c - G376 123110 Final'!$D$2:$D$897,'JKP-8.7c - By Size'!A14,'JKP-8.7c - G376 123110 Final'!$P$2:$P$897)</f>
        <v>9440232.0289615374</v>
      </c>
      <c r="C14" s="223">
        <f>SUMIF('JKP-8.7c - G376 123110 Final'!$D$2:$D$897,'JKP-8.7c - By Size'!A14,'JKP-8.7c - G376 123110 Final'!$J$2:$J$897)</f>
        <v>278087</v>
      </c>
      <c r="D14" s="224"/>
      <c r="J14" t="s">
        <v>418</v>
      </c>
      <c r="K14" s="9" t="s">
        <v>417</v>
      </c>
      <c r="L14" s="18">
        <f>F6+F16</f>
        <v>137046525.1785689</v>
      </c>
      <c r="M14" s="223">
        <f>G6+G16</f>
        <v>8126810.8236517645</v>
      </c>
    </row>
    <row r="15" spans="1:14" x14ac:dyDescent="0.2">
      <c r="A15" s="9" t="s">
        <v>417</v>
      </c>
      <c r="B15" s="222">
        <f>SUMIF('JKP-8.7c - G376 123110 Final'!$D$2:$D$897,'JKP-8.7c - By Size'!A15,'JKP-8.7c - G376 123110 Final'!$P$2:$P$897)</f>
        <v>132229513.30934335</v>
      </c>
      <c r="C15" s="223">
        <f>SUMIF('JKP-8.7c - G376 123110 Final'!$D$2:$D$897,'JKP-8.7c - By Size'!A15,'JKP-8.7c - G376 123110 Final'!$J$2:$J$897)</f>
        <v>7984913</v>
      </c>
      <c r="D15" s="224"/>
      <c r="F15" s="40" t="s">
        <v>315</v>
      </c>
      <c r="G15" s="40" t="s">
        <v>413</v>
      </c>
      <c r="J15" t="s">
        <v>422</v>
      </c>
      <c r="K15" s="9" t="s">
        <v>420</v>
      </c>
      <c r="L15" s="18">
        <f>F7+F17</f>
        <v>131533048.9582525</v>
      </c>
      <c r="M15" s="223">
        <f>G7+G17</f>
        <v>4014065.1763482355</v>
      </c>
    </row>
    <row r="16" spans="1:14" x14ac:dyDescent="0.2">
      <c r="A16" s="9" t="s">
        <v>420</v>
      </c>
      <c r="B16" s="222">
        <f>SUMIF('JKP-8.7c - G376 123110 Final'!$D$2:$D$897,'JKP-8.7c - By Size'!A16,'JKP-8.7c - G376 123110 Final'!$P$2:$P$897)</f>
        <v>126909828.79851651</v>
      </c>
      <c r="C16" s="223">
        <f>SUMIF('JKP-8.7c - G376 123110 Final'!$D$2:$D$897,'JKP-8.7c - By Size'!A16,'JKP-8.7c - G376 123110 Final'!$J$2:$J$897)</f>
        <v>3877876</v>
      </c>
      <c r="D16" s="224"/>
      <c r="E16" t="s">
        <v>417</v>
      </c>
      <c r="F16" s="18">
        <f>F$12*$H6</f>
        <v>4817011.8692255411</v>
      </c>
      <c r="G16" s="229">
        <f>G$12*$H6</f>
        <v>141897.82365176448</v>
      </c>
      <c r="J16" t="s">
        <v>422</v>
      </c>
      <c r="K16" s="9" t="s">
        <v>430</v>
      </c>
      <c r="L16" s="18">
        <f t="shared" ref="L16:L23" si="2">VLOOKUP($K16,$A$6:$C$24,2,FALSE)</f>
        <v>694906.38665277371</v>
      </c>
      <c r="M16" s="223">
        <f t="shared" ref="M16:M23" si="3">VLOOKUP($K16,$A$6:$C$24,3,FALSE)</f>
        <v>16798</v>
      </c>
    </row>
    <row r="17" spans="1:15" x14ac:dyDescent="0.2">
      <c r="A17" s="9" t="s">
        <v>430</v>
      </c>
      <c r="B17" s="222">
        <f>SUMIF('JKP-8.7c - G376 123110 Final'!$D$2:$D$897,'JKP-8.7c - By Size'!A17,'JKP-8.7c - G376 123110 Final'!$P$2:$P$897)</f>
        <v>694906.38665277371</v>
      </c>
      <c r="C17" s="223">
        <f>SUMIF('JKP-8.7c - G376 123110 Final'!$D$2:$D$897,'JKP-8.7c - By Size'!A17,'JKP-8.7c - G376 123110 Final'!$J$2:$J$897)</f>
        <v>16798</v>
      </c>
      <c r="D17" s="224"/>
      <c r="E17" t="s">
        <v>420</v>
      </c>
      <c r="F17" s="18">
        <f>F$12*$H7</f>
        <v>4623220.1597359963</v>
      </c>
      <c r="G17" s="229">
        <f>G$12*$H7</f>
        <v>136189.17634823552</v>
      </c>
      <c r="J17" t="s">
        <v>425</v>
      </c>
      <c r="K17" s="9" t="s">
        <v>431</v>
      </c>
      <c r="L17" s="18">
        <f t="shared" si="2"/>
        <v>154765370.95836532</v>
      </c>
      <c r="M17" s="223">
        <f t="shared" si="3"/>
        <v>2851488</v>
      </c>
    </row>
    <row r="18" spans="1:15" x14ac:dyDescent="0.2">
      <c r="A18" s="9" t="s">
        <v>431</v>
      </c>
      <c r="B18" s="222">
        <f>SUMIF('JKP-8.7c - G376 123110 Final'!$D$2:$D$897,'JKP-8.7c - By Size'!A18,'JKP-8.7c - G376 123110 Final'!$P$2:$P$897)</f>
        <v>154765370.95836532</v>
      </c>
      <c r="C18" s="223">
        <f>SUMIF('JKP-8.7c - G376 123110 Final'!$D$2:$D$897,'JKP-8.7c - By Size'!A18,'JKP-8.7c - G376 123110 Final'!$J$2:$J$897)</f>
        <v>2851488</v>
      </c>
      <c r="D18" s="224"/>
      <c r="E18" t="s">
        <v>23</v>
      </c>
      <c r="F18" s="230">
        <f>SUM(F16:F17)</f>
        <v>9440232.0289615374</v>
      </c>
      <c r="G18" s="231">
        <f>SUM(G16:G17)</f>
        <v>278087</v>
      </c>
      <c r="J18" t="s">
        <v>425</v>
      </c>
      <c r="K18" s="9" t="s">
        <v>432</v>
      </c>
      <c r="L18" s="18">
        <f t="shared" si="2"/>
        <v>9413432.4178321678</v>
      </c>
      <c r="M18" s="223">
        <f t="shared" si="3"/>
        <v>135977</v>
      </c>
    </row>
    <row r="19" spans="1:15" x14ac:dyDescent="0.2">
      <c r="A19" s="9" t="s">
        <v>432</v>
      </c>
      <c r="B19" s="222">
        <f>SUMIF('JKP-8.7c - G376 123110 Final'!$D$2:$D$897,'JKP-8.7c - By Size'!A19,'JKP-8.7c - G376 123110 Final'!$P$2:$P$897)</f>
        <v>9413432.4178321678</v>
      </c>
      <c r="C19" s="223">
        <f>SUMIF('JKP-8.7c - G376 123110 Final'!$D$2:$D$897,'JKP-8.7c - By Size'!A19,'JKP-8.7c - G376 123110 Final'!$J$2:$J$897)</f>
        <v>135977</v>
      </c>
      <c r="D19" s="224"/>
      <c r="E19" t="s">
        <v>131</v>
      </c>
      <c r="F19" s="18">
        <f>F12-F18</f>
        <v>0</v>
      </c>
      <c r="G19" s="229">
        <f>G12-G18</f>
        <v>0</v>
      </c>
      <c r="J19" t="s">
        <v>425</v>
      </c>
      <c r="K19" s="9" t="s">
        <v>433</v>
      </c>
      <c r="L19" s="18">
        <f t="shared" si="2"/>
        <v>169339767.21736005</v>
      </c>
      <c r="M19" s="223">
        <f t="shared" si="3"/>
        <v>1962418</v>
      </c>
    </row>
    <row r="20" spans="1:15" x14ac:dyDescent="0.2">
      <c r="A20" s="9" t="s">
        <v>433</v>
      </c>
      <c r="B20" s="222">
        <f>SUMIF('JKP-8.7c - G376 123110 Final'!$D$2:$D$897,'JKP-8.7c - By Size'!A20,'JKP-8.7c - G376 123110 Final'!$P$2:$P$897)</f>
        <v>169339767.21736005</v>
      </c>
      <c r="C20" s="223">
        <f>SUMIF('JKP-8.7c - G376 123110 Final'!$D$2:$D$897,'JKP-8.7c - By Size'!A20,'JKP-8.7c - G376 123110 Final'!$J$2:$J$897)</f>
        <v>1962418</v>
      </c>
      <c r="D20" s="224"/>
      <c r="E20" s="224"/>
      <c r="F20" s="232"/>
      <c r="J20" t="s">
        <v>425</v>
      </c>
      <c r="K20" s="9" t="s">
        <v>434</v>
      </c>
      <c r="L20" s="18">
        <f t="shared" si="2"/>
        <v>127526624.55614603</v>
      </c>
      <c r="M20" s="223">
        <f t="shared" si="3"/>
        <v>793458</v>
      </c>
    </row>
    <row r="21" spans="1:15" x14ac:dyDescent="0.2">
      <c r="A21" s="9" t="s">
        <v>434</v>
      </c>
      <c r="B21" s="222">
        <f>SUMIF('JKP-8.7c - G376 123110 Final'!$D$2:$D$897,'JKP-8.7c - By Size'!A21,'JKP-8.7c - G376 123110 Final'!$P$2:$P$897)</f>
        <v>127526624.55614603</v>
      </c>
      <c r="C21" s="223">
        <f>SUMIF('JKP-8.7c - G376 123110 Final'!$D$2:$D$897,'JKP-8.7c - By Size'!A21,'JKP-8.7c - G376 123110 Final'!$J$2:$J$897)</f>
        <v>793458</v>
      </c>
      <c r="D21" s="224"/>
      <c r="E21" s="224"/>
      <c r="F21" s="232"/>
      <c r="J21" t="s">
        <v>425</v>
      </c>
      <c r="K21" s="9" t="s">
        <v>435</v>
      </c>
      <c r="L21" s="18">
        <f t="shared" si="2"/>
        <v>191729936.14328754</v>
      </c>
      <c r="M21" s="223">
        <f t="shared" si="3"/>
        <v>719737</v>
      </c>
    </row>
    <row r="22" spans="1:15" x14ac:dyDescent="0.2">
      <c r="A22" s="9" t="s">
        <v>435</v>
      </c>
      <c r="B22" s="222">
        <f>SUMIF('JKP-8.7c - G376 123110 Final'!$D$2:$D$897,'JKP-8.7c - By Size'!A22,'JKP-8.7c - G376 123110 Final'!$P$2:$P$897)</f>
        <v>191729936.14328754</v>
      </c>
      <c r="C22" s="223">
        <f>SUMIF('JKP-8.7c - G376 123110 Final'!$D$2:$D$897,'JKP-8.7c - By Size'!A22,'JKP-8.7c - G376 123110 Final'!$J$2:$J$897)</f>
        <v>719737</v>
      </c>
      <c r="D22" s="224"/>
      <c r="E22" s="224"/>
      <c r="F22" s="232"/>
      <c r="J22" t="s">
        <v>425</v>
      </c>
      <c r="K22" s="9" t="s">
        <v>436</v>
      </c>
      <c r="L22" s="18">
        <f t="shared" si="2"/>
        <v>280753697.96250969</v>
      </c>
      <c r="M22" s="223">
        <f t="shared" si="3"/>
        <v>777128</v>
      </c>
    </row>
    <row r="23" spans="1:15" x14ac:dyDescent="0.2">
      <c r="A23" s="9" t="s">
        <v>436</v>
      </c>
      <c r="B23" s="222">
        <f>SUMIF('JKP-8.7c - G376 123110 Final'!$D$2:$D$897,'JKP-8.7c - By Size'!A23,'JKP-8.7c - G376 123110 Final'!$P$2:$P$897)</f>
        <v>280753697.96250969</v>
      </c>
      <c r="C23" s="223">
        <f>SUMIF('JKP-8.7c - G376 123110 Final'!$D$2:$D$897,'JKP-8.7c - By Size'!A23,'JKP-8.7c - G376 123110 Final'!$J$2:$J$897)</f>
        <v>777128</v>
      </c>
      <c r="D23" s="224"/>
      <c r="E23" s="224"/>
      <c r="F23" s="232"/>
      <c r="J23" t="s">
        <v>425</v>
      </c>
      <c r="K23" s="9" t="s">
        <v>437</v>
      </c>
      <c r="L23" s="226">
        <f t="shared" si="2"/>
        <v>12724539.878973039</v>
      </c>
      <c r="M23" s="227">
        <f t="shared" si="3"/>
        <v>39242</v>
      </c>
    </row>
    <row r="24" spans="1:15" x14ac:dyDescent="0.2">
      <c r="A24" s="9" t="s">
        <v>437</v>
      </c>
      <c r="B24" s="233">
        <f>SUMIF('JKP-8.7c - G376 123110 Final'!$D$2:$D$897,'JKP-8.7c - By Size'!A24,'JKP-8.7c - G376 123110 Final'!$P$2:$P$897)</f>
        <v>12724539.878973039</v>
      </c>
      <c r="C24" s="227">
        <f>SUMIF('JKP-8.7c - G376 123110 Final'!$D$2:$D$897,'JKP-8.7c - By Size'!A24,'JKP-8.7c - G376 123110 Final'!$J$2:$J$897)</f>
        <v>39242</v>
      </c>
      <c r="D24" s="224"/>
      <c r="E24" s="224"/>
      <c r="F24" s="232"/>
      <c r="K24" s="9" t="s">
        <v>23</v>
      </c>
      <c r="L24" s="18">
        <f>SUM(L6:L23)</f>
        <v>2524573308.8378911</v>
      </c>
      <c r="M24" s="223">
        <f>SUM(M6:M23)</f>
        <v>69091098</v>
      </c>
    </row>
    <row r="25" spans="1:15" x14ac:dyDescent="0.2">
      <c r="B25" s="222">
        <f>SUM(B6:B24)</f>
        <v>2524573308.8378911</v>
      </c>
      <c r="C25" s="234">
        <f>SUM(C6:C24)</f>
        <v>69091098</v>
      </c>
      <c r="D25" s="235"/>
      <c r="E25" s="224"/>
      <c r="F25" s="232"/>
      <c r="K25" s="9" t="s">
        <v>131</v>
      </c>
      <c r="L25" s="18">
        <f>L24-B25</f>
        <v>0</v>
      </c>
      <c r="M25" s="236">
        <f>M24-C25</f>
        <v>0</v>
      </c>
    </row>
    <row r="26" spans="1:15" x14ac:dyDescent="0.2">
      <c r="A26" t="s">
        <v>131</v>
      </c>
      <c r="B26" s="224">
        <f>B25-'JKP-8.7c - G376 123110 Final'!P902</f>
        <v>0</v>
      </c>
      <c r="C26" s="223">
        <f>C25-'JKP-8.7c - G376 123110 Final'!J902</f>
        <v>0</v>
      </c>
    </row>
    <row r="27" spans="1:15" x14ac:dyDescent="0.2">
      <c r="J27" s="38"/>
      <c r="K27" s="38"/>
      <c r="L27" s="38"/>
      <c r="M27" s="38"/>
      <c r="N27" s="38" t="s">
        <v>93</v>
      </c>
      <c r="O27" s="38" t="s">
        <v>93</v>
      </c>
    </row>
    <row r="28" spans="1:15" x14ac:dyDescent="0.2">
      <c r="J28" s="40" t="s">
        <v>415</v>
      </c>
      <c r="K28" s="40" t="s">
        <v>438</v>
      </c>
      <c r="L28" s="40" t="s">
        <v>315</v>
      </c>
      <c r="M28" s="40" t="s">
        <v>413</v>
      </c>
      <c r="N28" s="40" t="s">
        <v>414</v>
      </c>
      <c r="O28" s="40" t="s">
        <v>412</v>
      </c>
    </row>
    <row r="29" spans="1:15" x14ac:dyDescent="0.2">
      <c r="J29" s="237" t="s">
        <v>418</v>
      </c>
      <c r="K29" s="10" t="s">
        <v>439</v>
      </c>
      <c r="L29" s="238">
        <f t="shared" ref="L29:M31" si="4">SUMIF($J$6:$J$23,$J29,L$6:L$23)</f>
        <v>480131092.94799608</v>
      </c>
      <c r="M29" s="223">
        <f t="shared" si="4"/>
        <v>24575250.823651765</v>
      </c>
      <c r="N29" s="239">
        <f t="shared" ref="N29:O31" si="5">L29/L$32</f>
        <v>0.19018306628972859</v>
      </c>
      <c r="O29" s="239">
        <f t="shared" si="5"/>
        <v>0.35569344727524471</v>
      </c>
    </row>
    <row r="30" spans="1:15" x14ac:dyDescent="0.2">
      <c r="J30" s="237" t="s">
        <v>422</v>
      </c>
      <c r="K30" s="240" t="s">
        <v>440</v>
      </c>
      <c r="L30" s="238">
        <f t="shared" si="4"/>
        <v>637913224.5993048</v>
      </c>
      <c r="M30" s="223">
        <f t="shared" si="4"/>
        <v>28851922.176348235</v>
      </c>
      <c r="N30" s="239">
        <f t="shared" si="5"/>
        <v>0.2526816006356925</v>
      </c>
      <c r="O30" s="239">
        <f t="shared" si="5"/>
        <v>0.41759246866142197</v>
      </c>
    </row>
    <row r="31" spans="1:15" x14ac:dyDescent="0.2">
      <c r="J31" s="8" t="s">
        <v>425</v>
      </c>
      <c r="K31" s="241" t="s">
        <v>441</v>
      </c>
      <c r="L31" s="242">
        <f t="shared" si="4"/>
        <v>1406528991.2905903</v>
      </c>
      <c r="M31" s="227">
        <f t="shared" si="4"/>
        <v>15663925</v>
      </c>
      <c r="N31" s="243">
        <f t="shared" si="5"/>
        <v>0.55713533307457896</v>
      </c>
      <c r="O31" s="243">
        <f t="shared" si="5"/>
        <v>0.22671408406333332</v>
      </c>
    </row>
    <row r="32" spans="1:15" x14ac:dyDescent="0.2">
      <c r="K32" t="s">
        <v>23</v>
      </c>
      <c r="L32" s="18">
        <f>SUM(L29:L31)</f>
        <v>2524573308.8378911</v>
      </c>
      <c r="M32" s="234">
        <f>SUM(M29:M31)</f>
        <v>69091098</v>
      </c>
      <c r="N32" s="244">
        <f>SUM(N29:N31)</f>
        <v>1</v>
      </c>
      <c r="O32" s="244">
        <f>SUM(O29:O31)</f>
        <v>1</v>
      </c>
    </row>
    <row r="33" spans="11:13" x14ac:dyDescent="0.2">
      <c r="K33" t="s">
        <v>131</v>
      </c>
      <c r="L33" s="232">
        <f>L32-B25</f>
        <v>0</v>
      </c>
      <c r="M33" s="234">
        <f>M32-C25</f>
        <v>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R981"/>
  <sheetViews>
    <sheetView zoomScaleNormal="100" workbookViewId="0">
      <pane xSplit="1" ySplit="1" topLeftCell="H3" activePane="bottomRight" state="frozen"/>
      <selection activeCell="C35" sqref="C35"/>
      <selection pane="topRight" activeCell="C35" sqref="C35"/>
      <selection pane="bottomLeft" activeCell="C35" sqref="C35"/>
      <selection pane="bottomRight" activeCell="C35" sqref="C35"/>
    </sheetView>
  </sheetViews>
  <sheetFormatPr defaultRowHeight="12.75" x14ac:dyDescent="0.2"/>
  <cols>
    <col min="1" max="1" width="31" bestFit="1" customWidth="1"/>
    <col min="2" max="2" width="9.28515625" style="253" bestFit="1" customWidth="1"/>
    <col min="3" max="3" width="6.85546875" style="253" customWidth="1"/>
    <col min="4" max="4" width="11.5703125" style="253" customWidth="1"/>
    <col min="5" max="5" width="8.85546875" customWidth="1"/>
    <col min="6" max="6" width="36.85546875" customWidth="1"/>
    <col min="9" max="9" width="7.28515625" customWidth="1"/>
    <col min="10" max="10" width="11.85546875" style="229" customWidth="1"/>
    <col min="11" max="12" width="16.5703125" style="254" customWidth="1"/>
    <col min="13" max="13" width="18.28515625" style="254" customWidth="1"/>
    <col min="14" max="14" width="14.140625" customWidth="1"/>
    <col min="15" max="15" width="10.5703125" customWidth="1"/>
    <col min="16" max="16" width="23" style="254" bestFit="1" customWidth="1"/>
    <col min="257" max="257" width="31" bestFit="1" customWidth="1"/>
    <col min="258" max="258" width="9.28515625" bestFit="1" customWidth="1"/>
    <col min="259" max="259" width="6.85546875" customWidth="1"/>
    <col min="260" max="260" width="11.5703125" customWidth="1"/>
    <col min="261" max="261" width="8.85546875" customWidth="1"/>
    <col min="262" max="262" width="36.85546875" customWidth="1"/>
    <col min="265" max="265" width="7.28515625" customWidth="1"/>
    <col min="266" max="266" width="11.85546875" customWidth="1"/>
    <col min="267" max="268" width="16.5703125" customWidth="1"/>
    <col min="269" max="269" width="18.28515625" customWidth="1"/>
    <col min="270" max="270" width="14.140625" customWidth="1"/>
    <col min="271" max="271" width="10.5703125" customWidth="1"/>
    <col min="272" max="272" width="23" bestFit="1" customWidth="1"/>
    <col min="513" max="513" width="31" bestFit="1" customWidth="1"/>
    <col min="514" max="514" width="9.28515625" bestFit="1" customWidth="1"/>
    <col min="515" max="515" width="6.85546875" customWidth="1"/>
    <col min="516" max="516" width="11.5703125" customWidth="1"/>
    <col min="517" max="517" width="8.85546875" customWidth="1"/>
    <col min="518" max="518" width="36.85546875" customWidth="1"/>
    <col min="521" max="521" width="7.28515625" customWidth="1"/>
    <col min="522" max="522" width="11.85546875" customWidth="1"/>
    <col min="523" max="524" width="16.5703125" customWidth="1"/>
    <col min="525" max="525" width="18.28515625" customWidth="1"/>
    <col min="526" max="526" width="14.140625" customWidth="1"/>
    <col min="527" max="527" width="10.5703125" customWidth="1"/>
    <col min="528" max="528" width="23" bestFit="1" customWidth="1"/>
    <col min="769" max="769" width="31" bestFit="1" customWidth="1"/>
    <col min="770" max="770" width="9.28515625" bestFit="1" customWidth="1"/>
    <col min="771" max="771" width="6.85546875" customWidth="1"/>
    <col min="772" max="772" width="11.5703125" customWidth="1"/>
    <col min="773" max="773" width="8.85546875" customWidth="1"/>
    <col min="774" max="774" width="36.85546875" customWidth="1"/>
    <col min="777" max="777" width="7.28515625" customWidth="1"/>
    <col min="778" max="778" width="11.85546875" customWidth="1"/>
    <col min="779" max="780" width="16.5703125" customWidth="1"/>
    <col min="781" max="781" width="18.28515625" customWidth="1"/>
    <col min="782" max="782" width="14.140625" customWidth="1"/>
    <col min="783" max="783" width="10.5703125" customWidth="1"/>
    <col min="784" max="784" width="23" bestFit="1" customWidth="1"/>
    <col min="1025" max="1025" width="31" bestFit="1" customWidth="1"/>
    <col min="1026" max="1026" width="9.28515625" bestFit="1" customWidth="1"/>
    <col min="1027" max="1027" width="6.85546875" customWidth="1"/>
    <col min="1028" max="1028" width="11.5703125" customWidth="1"/>
    <col min="1029" max="1029" width="8.85546875" customWidth="1"/>
    <col min="1030" max="1030" width="36.85546875" customWidth="1"/>
    <col min="1033" max="1033" width="7.28515625" customWidth="1"/>
    <col min="1034" max="1034" width="11.85546875" customWidth="1"/>
    <col min="1035" max="1036" width="16.5703125" customWidth="1"/>
    <col min="1037" max="1037" width="18.28515625" customWidth="1"/>
    <col min="1038" max="1038" width="14.140625" customWidth="1"/>
    <col min="1039" max="1039" width="10.5703125" customWidth="1"/>
    <col min="1040" max="1040" width="23" bestFit="1" customWidth="1"/>
    <col min="1281" max="1281" width="31" bestFit="1" customWidth="1"/>
    <col min="1282" max="1282" width="9.28515625" bestFit="1" customWidth="1"/>
    <col min="1283" max="1283" width="6.85546875" customWidth="1"/>
    <col min="1284" max="1284" width="11.5703125" customWidth="1"/>
    <col min="1285" max="1285" width="8.85546875" customWidth="1"/>
    <col min="1286" max="1286" width="36.85546875" customWidth="1"/>
    <col min="1289" max="1289" width="7.28515625" customWidth="1"/>
    <col min="1290" max="1290" width="11.85546875" customWidth="1"/>
    <col min="1291" max="1292" width="16.5703125" customWidth="1"/>
    <col min="1293" max="1293" width="18.28515625" customWidth="1"/>
    <col min="1294" max="1294" width="14.140625" customWidth="1"/>
    <col min="1295" max="1295" width="10.5703125" customWidth="1"/>
    <col min="1296" max="1296" width="23" bestFit="1" customWidth="1"/>
    <col min="1537" max="1537" width="31" bestFit="1" customWidth="1"/>
    <col min="1538" max="1538" width="9.28515625" bestFit="1" customWidth="1"/>
    <col min="1539" max="1539" width="6.85546875" customWidth="1"/>
    <col min="1540" max="1540" width="11.5703125" customWidth="1"/>
    <col min="1541" max="1541" width="8.85546875" customWidth="1"/>
    <col min="1542" max="1542" width="36.85546875" customWidth="1"/>
    <col min="1545" max="1545" width="7.28515625" customWidth="1"/>
    <col min="1546" max="1546" width="11.85546875" customWidth="1"/>
    <col min="1547" max="1548" width="16.5703125" customWidth="1"/>
    <col min="1549" max="1549" width="18.28515625" customWidth="1"/>
    <col min="1550" max="1550" width="14.140625" customWidth="1"/>
    <col min="1551" max="1551" width="10.5703125" customWidth="1"/>
    <col min="1552" max="1552" width="23" bestFit="1" customWidth="1"/>
    <col min="1793" max="1793" width="31" bestFit="1" customWidth="1"/>
    <col min="1794" max="1794" width="9.28515625" bestFit="1" customWidth="1"/>
    <col min="1795" max="1795" width="6.85546875" customWidth="1"/>
    <col min="1796" max="1796" width="11.5703125" customWidth="1"/>
    <col min="1797" max="1797" width="8.85546875" customWidth="1"/>
    <col min="1798" max="1798" width="36.85546875" customWidth="1"/>
    <col min="1801" max="1801" width="7.28515625" customWidth="1"/>
    <col min="1802" max="1802" width="11.85546875" customWidth="1"/>
    <col min="1803" max="1804" width="16.5703125" customWidth="1"/>
    <col min="1805" max="1805" width="18.28515625" customWidth="1"/>
    <col min="1806" max="1806" width="14.140625" customWidth="1"/>
    <col min="1807" max="1807" width="10.5703125" customWidth="1"/>
    <col min="1808" max="1808" width="23" bestFit="1" customWidth="1"/>
    <col min="2049" max="2049" width="31" bestFit="1" customWidth="1"/>
    <col min="2050" max="2050" width="9.28515625" bestFit="1" customWidth="1"/>
    <col min="2051" max="2051" width="6.85546875" customWidth="1"/>
    <col min="2052" max="2052" width="11.5703125" customWidth="1"/>
    <col min="2053" max="2053" width="8.85546875" customWidth="1"/>
    <col min="2054" max="2054" width="36.85546875" customWidth="1"/>
    <col min="2057" max="2057" width="7.28515625" customWidth="1"/>
    <col min="2058" max="2058" width="11.85546875" customWidth="1"/>
    <col min="2059" max="2060" width="16.5703125" customWidth="1"/>
    <col min="2061" max="2061" width="18.28515625" customWidth="1"/>
    <col min="2062" max="2062" width="14.140625" customWidth="1"/>
    <col min="2063" max="2063" width="10.5703125" customWidth="1"/>
    <col min="2064" max="2064" width="23" bestFit="1" customWidth="1"/>
    <col min="2305" max="2305" width="31" bestFit="1" customWidth="1"/>
    <col min="2306" max="2306" width="9.28515625" bestFit="1" customWidth="1"/>
    <col min="2307" max="2307" width="6.85546875" customWidth="1"/>
    <col min="2308" max="2308" width="11.5703125" customWidth="1"/>
    <col min="2309" max="2309" width="8.85546875" customWidth="1"/>
    <col min="2310" max="2310" width="36.85546875" customWidth="1"/>
    <col min="2313" max="2313" width="7.28515625" customWidth="1"/>
    <col min="2314" max="2314" width="11.85546875" customWidth="1"/>
    <col min="2315" max="2316" width="16.5703125" customWidth="1"/>
    <col min="2317" max="2317" width="18.28515625" customWidth="1"/>
    <col min="2318" max="2318" width="14.140625" customWidth="1"/>
    <col min="2319" max="2319" width="10.5703125" customWidth="1"/>
    <col min="2320" max="2320" width="23" bestFit="1" customWidth="1"/>
    <col min="2561" max="2561" width="31" bestFit="1" customWidth="1"/>
    <col min="2562" max="2562" width="9.28515625" bestFit="1" customWidth="1"/>
    <col min="2563" max="2563" width="6.85546875" customWidth="1"/>
    <col min="2564" max="2564" width="11.5703125" customWidth="1"/>
    <col min="2565" max="2565" width="8.85546875" customWidth="1"/>
    <col min="2566" max="2566" width="36.85546875" customWidth="1"/>
    <col min="2569" max="2569" width="7.28515625" customWidth="1"/>
    <col min="2570" max="2570" width="11.85546875" customWidth="1"/>
    <col min="2571" max="2572" width="16.5703125" customWidth="1"/>
    <col min="2573" max="2573" width="18.28515625" customWidth="1"/>
    <col min="2574" max="2574" width="14.140625" customWidth="1"/>
    <col min="2575" max="2575" width="10.5703125" customWidth="1"/>
    <col min="2576" max="2576" width="23" bestFit="1" customWidth="1"/>
    <col min="2817" max="2817" width="31" bestFit="1" customWidth="1"/>
    <col min="2818" max="2818" width="9.28515625" bestFit="1" customWidth="1"/>
    <col min="2819" max="2819" width="6.85546875" customWidth="1"/>
    <col min="2820" max="2820" width="11.5703125" customWidth="1"/>
    <col min="2821" max="2821" width="8.85546875" customWidth="1"/>
    <col min="2822" max="2822" width="36.85546875" customWidth="1"/>
    <col min="2825" max="2825" width="7.28515625" customWidth="1"/>
    <col min="2826" max="2826" width="11.85546875" customWidth="1"/>
    <col min="2827" max="2828" width="16.5703125" customWidth="1"/>
    <col min="2829" max="2829" width="18.28515625" customWidth="1"/>
    <col min="2830" max="2830" width="14.140625" customWidth="1"/>
    <col min="2831" max="2831" width="10.5703125" customWidth="1"/>
    <col min="2832" max="2832" width="23" bestFit="1" customWidth="1"/>
    <col min="3073" max="3073" width="31" bestFit="1" customWidth="1"/>
    <col min="3074" max="3074" width="9.28515625" bestFit="1" customWidth="1"/>
    <col min="3075" max="3075" width="6.85546875" customWidth="1"/>
    <col min="3076" max="3076" width="11.5703125" customWidth="1"/>
    <col min="3077" max="3077" width="8.85546875" customWidth="1"/>
    <col min="3078" max="3078" width="36.85546875" customWidth="1"/>
    <col min="3081" max="3081" width="7.28515625" customWidth="1"/>
    <col min="3082" max="3082" width="11.85546875" customWidth="1"/>
    <col min="3083" max="3084" width="16.5703125" customWidth="1"/>
    <col min="3085" max="3085" width="18.28515625" customWidth="1"/>
    <col min="3086" max="3086" width="14.140625" customWidth="1"/>
    <col min="3087" max="3087" width="10.5703125" customWidth="1"/>
    <col min="3088" max="3088" width="23" bestFit="1" customWidth="1"/>
    <col min="3329" max="3329" width="31" bestFit="1" customWidth="1"/>
    <col min="3330" max="3330" width="9.28515625" bestFit="1" customWidth="1"/>
    <col min="3331" max="3331" width="6.85546875" customWidth="1"/>
    <col min="3332" max="3332" width="11.5703125" customWidth="1"/>
    <col min="3333" max="3333" width="8.85546875" customWidth="1"/>
    <col min="3334" max="3334" width="36.85546875" customWidth="1"/>
    <col min="3337" max="3337" width="7.28515625" customWidth="1"/>
    <col min="3338" max="3338" width="11.85546875" customWidth="1"/>
    <col min="3339" max="3340" width="16.5703125" customWidth="1"/>
    <col min="3341" max="3341" width="18.28515625" customWidth="1"/>
    <col min="3342" max="3342" width="14.140625" customWidth="1"/>
    <col min="3343" max="3343" width="10.5703125" customWidth="1"/>
    <col min="3344" max="3344" width="23" bestFit="1" customWidth="1"/>
    <col min="3585" max="3585" width="31" bestFit="1" customWidth="1"/>
    <col min="3586" max="3586" width="9.28515625" bestFit="1" customWidth="1"/>
    <col min="3587" max="3587" width="6.85546875" customWidth="1"/>
    <col min="3588" max="3588" width="11.5703125" customWidth="1"/>
    <col min="3589" max="3589" width="8.85546875" customWidth="1"/>
    <col min="3590" max="3590" width="36.85546875" customWidth="1"/>
    <col min="3593" max="3593" width="7.28515625" customWidth="1"/>
    <col min="3594" max="3594" width="11.85546875" customWidth="1"/>
    <col min="3595" max="3596" width="16.5703125" customWidth="1"/>
    <col min="3597" max="3597" width="18.28515625" customWidth="1"/>
    <col min="3598" max="3598" width="14.140625" customWidth="1"/>
    <col min="3599" max="3599" width="10.5703125" customWidth="1"/>
    <col min="3600" max="3600" width="23" bestFit="1" customWidth="1"/>
    <col min="3841" max="3841" width="31" bestFit="1" customWidth="1"/>
    <col min="3842" max="3842" width="9.28515625" bestFit="1" customWidth="1"/>
    <col min="3843" max="3843" width="6.85546875" customWidth="1"/>
    <col min="3844" max="3844" width="11.5703125" customWidth="1"/>
    <col min="3845" max="3845" width="8.85546875" customWidth="1"/>
    <col min="3846" max="3846" width="36.85546875" customWidth="1"/>
    <col min="3849" max="3849" width="7.28515625" customWidth="1"/>
    <col min="3850" max="3850" width="11.85546875" customWidth="1"/>
    <col min="3851" max="3852" width="16.5703125" customWidth="1"/>
    <col min="3853" max="3853" width="18.28515625" customWidth="1"/>
    <col min="3854" max="3854" width="14.140625" customWidth="1"/>
    <col min="3855" max="3855" width="10.5703125" customWidth="1"/>
    <col min="3856" max="3856" width="23" bestFit="1" customWidth="1"/>
    <col min="4097" max="4097" width="31" bestFit="1" customWidth="1"/>
    <col min="4098" max="4098" width="9.28515625" bestFit="1" customWidth="1"/>
    <col min="4099" max="4099" width="6.85546875" customWidth="1"/>
    <col min="4100" max="4100" width="11.5703125" customWidth="1"/>
    <col min="4101" max="4101" width="8.85546875" customWidth="1"/>
    <col min="4102" max="4102" width="36.85546875" customWidth="1"/>
    <col min="4105" max="4105" width="7.28515625" customWidth="1"/>
    <col min="4106" max="4106" width="11.85546875" customWidth="1"/>
    <col min="4107" max="4108" width="16.5703125" customWidth="1"/>
    <col min="4109" max="4109" width="18.28515625" customWidth="1"/>
    <col min="4110" max="4110" width="14.140625" customWidth="1"/>
    <col min="4111" max="4111" width="10.5703125" customWidth="1"/>
    <col min="4112" max="4112" width="23" bestFit="1" customWidth="1"/>
    <col min="4353" max="4353" width="31" bestFit="1" customWidth="1"/>
    <col min="4354" max="4354" width="9.28515625" bestFit="1" customWidth="1"/>
    <col min="4355" max="4355" width="6.85546875" customWidth="1"/>
    <col min="4356" max="4356" width="11.5703125" customWidth="1"/>
    <col min="4357" max="4357" width="8.85546875" customWidth="1"/>
    <col min="4358" max="4358" width="36.85546875" customWidth="1"/>
    <col min="4361" max="4361" width="7.28515625" customWidth="1"/>
    <col min="4362" max="4362" width="11.85546875" customWidth="1"/>
    <col min="4363" max="4364" width="16.5703125" customWidth="1"/>
    <col min="4365" max="4365" width="18.28515625" customWidth="1"/>
    <col min="4366" max="4366" width="14.140625" customWidth="1"/>
    <col min="4367" max="4367" width="10.5703125" customWidth="1"/>
    <col min="4368" max="4368" width="23" bestFit="1" customWidth="1"/>
    <col min="4609" max="4609" width="31" bestFit="1" customWidth="1"/>
    <col min="4610" max="4610" width="9.28515625" bestFit="1" customWidth="1"/>
    <col min="4611" max="4611" width="6.85546875" customWidth="1"/>
    <col min="4612" max="4612" width="11.5703125" customWidth="1"/>
    <col min="4613" max="4613" width="8.85546875" customWidth="1"/>
    <col min="4614" max="4614" width="36.85546875" customWidth="1"/>
    <col min="4617" max="4617" width="7.28515625" customWidth="1"/>
    <col min="4618" max="4618" width="11.85546875" customWidth="1"/>
    <col min="4619" max="4620" width="16.5703125" customWidth="1"/>
    <col min="4621" max="4621" width="18.28515625" customWidth="1"/>
    <col min="4622" max="4622" width="14.140625" customWidth="1"/>
    <col min="4623" max="4623" width="10.5703125" customWidth="1"/>
    <col min="4624" max="4624" width="23" bestFit="1" customWidth="1"/>
    <col min="4865" max="4865" width="31" bestFit="1" customWidth="1"/>
    <col min="4866" max="4866" width="9.28515625" bestFit="1" customWidth="1"/>
    <col min="4867" max="4867" width="6.85546875" customWidth="1"/>
    <col min="4868" max="4868" width="11.5703125" customWidth="1"/>
    <col min="4869" max="4869" width="8.85546875" customWidth="1"/>
    <col min="4870" max="4870" width="36.85546875" customWidth="1"/>
    <col min="4873" max="4873" width="7.28515625" customWidth="1"/>
    <col min="4874" max="4874" width="11.85546875" customWidth="1"/>
    <col min="4875" max="4876" width="16.5703125" customWidth="1"/>
    <col min="4877" max="4877" width="18.28515625" customWidth="1"/>
    <col min="4878" max="4878" width="14.140625" customWidth="1"/>
    <col min="4879" max="4879" width="10.5703125" customWidth="1"/>
    <col min="4880" max="4880" width="23" bestFit="1" customWidth="1"/>
    <col min="5121" max="5121" width="31" bestFit="1" customWidth="1"/>
    <col min="5122" max="5122" width="9.28515625" bestFit="1" customWidth="1"/>
    <col min="5123" max="5123" width="6.85546875" customWidth="1"/>
    <col min="5124" max="5124" width="11.5703125" customWidth="1"/>
    <col min="5125" max="5125" width="8.85546875" customWidth="1"/>
    <col min="5126" max="5126" width="36.85546875" customWidth="1"/>
    <col min="5129" max="5129" width="7.28515625" customWidth="1"/>
    <col min="5130" max="5130" width="11.85546875" customWidth="1"/>
    <col min="5131" max="5132" width="16.5703125" customWidth="1"/>
    <col min="5133" max="5133" width="18.28515625" customWidth="1"/>
    <col min="5134" max="5134" width="14.140625" customWidth="1"/>
    <col min="5135" max="5135" width="10.5703125" customWidth="1"/>
    <col min="5136" max="5136" width="23" bestFit="1" customWidth="1"/>
    <col min="5377" max="5377" width="31" bestFit="1" customWidth="1"/>
    <col min="5378" max="5378" width="9.28515625" bestFit="1" customWidth="1"/>
    <col min="5379" max="5379" width="6.85546875" customWidth="1"/>
    <col min="5380" max="5380" width="11.5703125" customWidth="1"/>
    <col min="5381" max="5381" width="8.85546875" customWidth="1"/>
    <col min="5382" max="5382" width="36.85546875" customWidth="1"/>
    <col min="5385" max="5385" width="7.28515625" customWidth="1"/>
    <col min="5386" max="5386" width="11.85546875" customWidth="1"/>
    <col min="5387" max="5388" width="16.5703125" customWidth="1"/>
    <col min="5389" max="5389" width="18.28515625" customWidth="1"/>
    <col min="5390" max="5390" width="14.140625" customWidth="1"/>
    <col min="5391" max="5391" width="10.5703125" customWidth="1"/>
    <col min="5392" max="5392" width="23" bestFit="1" customWidth="1"/>
    <col min="5633" max="5633" width="31" bestFit="1" customWidth="1"/>
    <col min="5634" max="5634" width="9.28515625" bestFit="1" customWidth="1"/>
    <col min="5635" max="5635" width="6.85546875" customWidth="1"/>
    <col min="5636" max="5636" width="11.5703125" customWidth="1"/>
    <col min="5637" max="5637" width="8.85546875" customWidth="1"/>
    <col min="5638" max="5638" width="36.85546875" customWidth="1"/>
    <col min="5641" max="5641" width="7.28515625" customWidth="1"/>
    <col min="5642" max="5642" width="11.85546875" customWidth="1"/>
    <col min="5643" max="5644" width="16.5703125" customWidth="1"/>
    <col min="5645" max="5645" width="18.28515625" customWidth="1"/>
    <col min="5646" max="5646" width="14.140625" customWidth="1"/>
    <col min="5647" max="5647" width="10.5703125" customWidth="1"/>
    <col min="5648" max="5648" width="23" bestFit="1" customWidth="1"/>
    <col min="5889" max="5889" width="31" bestFit="1" customWidth="1"/>
    <col min="5890" max="5890" width="9.28515625" bestFit="1" customWidth="1"/>
    <col min="5891" max="5891" width="6.85546875" customWidth="1"/>
    <col min="5892" max="5892" width="11.5703125" customWidth="1"/>
    <col min="5893" max="5893" width="8.85546875" customWidth="1"/>
    <col min="5894" max="5894" width="36.85546875" customWidth="1"/>
    <col min="5897" max="5897" width="7.28515625" customWidth="1"/>
    <col min="5898" max="5898" width="11.85546875" customWidth="1"/>
    <col min="5899" max="5900" width="16.5703125" customWidth="1"/>
    <col min="5901" max="5901" width="18.28515625" customWidth="1"/>
    <col min="5902" max="5902" width="14.140625" customWidth="1"/>
    <col min="5903" max="5903" width="10.5703125" customWidth="1"/>
    <col min="5904" max="5904" width="23" bestFit="1" customWidth="1"/>
    <col min="6145" max="6145" width="31" bestFit="1" customWidth="1"/>
    <col min="6146" max="6146" width="9.28515625" bestFit="1" customWidth="1"/>
    <col min="6147" max="6147" width="6.85546875" customWidth="1"/>
    <col min="6148" max="6148" width="11.5703125" customWidth="1"/>
    <col min="6149" max="6149" width="8.85546875" customWidth="1"/>
    <col min="6150" max="6150" width="36.85546875" customWidth="1"/>
    <col min="6153" max="6153" width="7.28515625" customWidth="1"/>
    <col min="6154" max="6154" width="11.85546875" customWidth="1"/>
    <col min="6155" max="6156" width="16.5703125" customWidth="1"/>
    <col min="6157" max="6157" width="18.28515625" customWidth="1"/>
    <col min="6158" max="6158" width="14.140625" customWidth="1"/>
    <col min="6159" max="6159" width="10.5703125" customWidth="1"/>
    <col min="6160" max="6160" width="23" bestFit="1" customWidth="1"/>
    <col min="6401" max="6401" width="31" bestFit="1" customWidth="1"/>
    <col min="6402" max="6402" width="9.28515625" bestFit="1" customWidth="1"/>
    <col min="6403" max="6403" width="6.85546875" customWidth="1"/>
    <col min="6404" max="6404" width="11.5703125" customWidth="1"/>
    <col min="6405" max="6405" width="8.85546875" customWidth="1"/>
    <col min="6406" max="6406" width="36.85546875" customWidth="1"/>
    <col min="6409" max="6409" width="7.28515625" customWidth="1"/>
    <col min="6410" max="6410" width="11.85546875" customWidth="1"/>
    <col min="6411" max="6412" width="16.5703125" customWidth="1"/>
    <col min="6413" max="6413" width="18.28515625" customWidth="1"/>
    <col min="6414" max="6414" width="14.140625" customWidth="1"/>
    <col min="6415" max="6415" width="10.5703125" customWidth="1"/>
    <col min="6416" max="6416" width="23" bestFit="1" customWidth="1"/>
    <col min="6657" max="6657" width="31" bestFit="1" customWidth="1"/>
    <col min="6658" max="6658" width="9.28515625" bestFit="1" customWidth="1"/>
    <col min="6659" max="6659" width="6.85546875" customWidth="1"/>
    <col min="6660" max="6660" width="11.5703125" customWidth="1"/>
    <col min="6661" max="6661" width="8.85546875" customWidth="1"/>
    <col min="6662" max="6662" width="36.85546875" customWidth="1"/>
    <col min="6665" max="6665" width="7.28515625" customWidth="1"/>
    <col min="6666" max="6666" width="11.85546875" customWidth="1"/>
    <col min="6667" max="6668" width="16.5703125" customWidth="1"/>
    <col min="6669" max="6669" width="18.28515625" customWidth="1"/>
    <col min="6670" max="6670" width="14.140625" customWidth="1"/>
    <col min="6671" max="6671" width="10.5703125" customWidth="1"/>
    <col min="6672" max="6672" width="23" bestFit="1" customWidth="1"/>
    <col min="6913" max="6913" width="31" bestFit="1" customWidth="1"/>
    <col min="6914" max="6914" width="9.28515625" bestFit="1" customWidth="1"/>
    <col min="6915" max="6915" width="6.85546875" customWidth="1"/>
    <col min="6916" max="6916" width="11.5703125" customWidth="1"/>
    <col min="6917" max="6917" width="8.85546875" customWidth="1"/>
    <col min="6918" max="6918" width="36.85546875" customWidth="1"/>
    <col min="6921" max="6921" width="7.28515625" customWidth="1"/>
    <col min="6922" max="6922" width="11.85546875" customWidth="1"/>
    <col min="6923" max="6924" width="16.5703125" customWidth="1"/>
    <col min="6925" max="6925" width="18.28515625" customWidth="1"/>
    <col min="6926" max="6926" width="14.140625" customWidth="1"/>
    <col min="6927" max="6927" width="10.5703125" customWidth="1"/>
    <col min="6928" max="6928" width="23" bestFit="1" customWidth="1"/>
    <col min="7169" max="7169" width="31" bestFit="1" customWidth="1"/>
    <col min="7170" max="7170" width="9.28515625" bestFit="1" customWidth="1"/>
    <col min="7171" max="7171" width="6.85546875" customWidth="1"/>
    <col min="7172" max="7172" width="11.5703125" customWidth="1"/>
    <col min="7173" max="7173" width="8.85546875" customWidth="1"/>
    <col min="7174" max="7174" width="36.85546875" customWidth="1"/>
    <col min="7177" max="7177" width="7.28515625" customWidth="1"/>
    <col min="7178" max="7178" width="11.85546875" customWidth="1"/>
    <col min="7179" max="7180" width="16.5703125" customWidth="1"/>
    <col min="7181" max="7181" width="18.28515625" customWidth="1"/>
    <col min="7182" max="7182" width="14.140625" customWidth="1"/>
    <col min="7183" max="7183" width="10.5703125" customWidth="1"/>
    <col min="7184" max="7184" width="23" bestFit="1" customWidth="1"/>
    <col min="7425" max="7425" width="31" bestFit="1" customWidth="1"/>
    <col min="7426" max="7426" width="9.28515625" bestFit="1" customWidth="1"/>
    <col min="7427" max="7427" width="6.85546875" customWidth="1"/>
    <col min="7428" max="7428" width="11.5703125" customWidth="1"/>
    <col min="7429" max="7429" width="8.85546875" customWidth="1"/>
    <col min="7430" max="7430" width="36.85546875" customWidth="1"/>
    <col min="7433" max="7433" width="7.28515625" customWidth="1"/>
    <col min="7434" max="7434" width="11.85546875" customWidth="1"/>
    <col min="7435" max="7436" width="16.5703125" customWidth="1"/>
    <col min="7437" max="7437" width="18.28515625" customWidth="1"/>
    <col min="7438" max="7438" width="14.140625" customWidth="1"/>
    <col min="7439" max="7439" width="10.5703125" customWidth="1"/>
    <col min="7440" max="7440" width="23" bestFit="1" customWidth="1"/>
    <col min="7681" max="7681" width="31" bestFit="1" customWidth="1"/>
    <col min="7682" max="7682" width="9.28515625" bestFit="1" customWidth="1"/>
    <col min="7683" max="7683" width="6.85546875" customWidth="1"/>
    <col min="7684" max="7684" width="11.5703125" customWidth="1"/>
    <col min="7685" max="7685" width="8.85546875" customWidth="1"/>
    <col min="7686" max="7686" width="36.85546875" customWidth="1"/>
    <col min="7689" max="7689" width="7.28515625" customWidth="1"/>
    <col min="7690" max="7690" width="11.85546875" customWidth="1"/>
    <col min="7691" max="7692" width="16.5703125" customWidth="1"/>
    <col min="7693" max="7693" width="18.28515625" customWidth="1"/>
    <col min="7694" max="7694" width="14.140625" customWidth="1"/>
    <col min="7695" max="7695" width="10.5703125" customWidth="1"/>
    <col min="7696" max="7696" width="23" bestFit="1" customWidth="1"/>
    <col min="7937" max="7937" width="31" bestFit="1" customWidth="1"/>
    <col min="7938" max="7938" width="9.28515625" bestFit="1" customWidth="1"/>
    <col min="7939" max="7939" width="6.85546875" customWidth="1"/>
    <col min="7940" max="7940" width="11.5703125" customWidth="1"/>
    <col min="7941" max="7941" width="8.85546875" customWidth="1"/>
    <col min="7942" max="7942" width="36.85546875" customWidth="1"/>
    <col min="7945" max="7945" width="7.28515625" customWidth="1"/>
    <col min="7946" max="7946" width="11.85546875" customWidth="1"/>
    <col min="7947" max="7948" width="16.5703125" customWidth="1"/>
    <col min="7949" max="7949" width="18.28515625" customWidth="1"/>
    <col min="7950" max="7950" width="14.140625" customWidth="1"/>
    <col min="7951" max="7951" width="10.5703125" customWidth="1"/>
    <col min="7952" max="7952" width="23" bestFit="1" customWidth="1"/>
    <col min="8193" max="8193" width="31" bestFit="1" customWidth="1"/>
    <col min="8194" max="8194" width="9.28515625" bestFit="1" customWidth="1"/>
    <col min="8195" max="8195" width="6.85546875" customWidth="1"/>
    <col min="8196" max="8196" width="11.5703125" customWidth="1"/>
    <col min="8197" max="8197" width="8.85546875" customWidth="1"/>
    <col min="8198" max="8198" width="36.85546875" customWidth="1"/>
    <col min="8201" max="8201" width="7.28515625" customWidth="1"/>
    <col min="8202" max="8202" width="11.85546875" customWidth="1"/>
    <col min="8203" max="8204" width="16.5703125" customWidth="1"/>
    <col min="8205" max="8205" width="18.28515625" customWidth="1"/>
    <col min="8206" max="8206" width="14.140625" customWidth="1"/>
    <col min="8207" max="8207" width="10.5703125" customWidth="1"/>
    <col min="8208" max="8208" width="23" bestFit="1" customWidth="1"/>
    <col min="8449" max="8449" width="31" bestFit="1" customWidth="1"/>
    <col min="8450" max="8450" width="9.28515625" bestFit="1" customWidth="1"/>
    <col min="8451" max="8451" width="6.85546875" customWidth="1"/>
    <col min="8452" max="8452" width="11.5703125" customWidth="1"/>
    <col min="8453" max="8453" width="8.85546875" customWidth="1"/>
    <col min="8454" max="8454" width="36.85546875" customWidth="1"/>
    <col min="8457" max="8457" width="7.28515625" customWidth="1"/>
    <col min="8458" max="8458" width="11.85546875" customWidth="1"/>
    <col min="8459" max="8460" width="16.5703125" customWidth="1"/>
    <col min="8461" max="8461" width="18.28515625" customWidth="1"/>
    <col min="8462" max="8462" width="14.140625" customWidth="1"/>
    <col min="8463" max="8463" width="10.5703125" customWidth="1"/>
    <col min="8464" max="8464" width="23" bestFit="1" customWidth="1"/>
    <col min="8705" max="8705" width="31" bestFit="1" customWidth="1"/>
    <col min="8706" max="8706" width="9.28515625" bestFit="1" customWidth="1"/>
    <col min="8707" max="8707" width="6.85546875" customWidth="1"/>
    <col min="8708" max="8708" width="11.5703125" customWidth="1"/>
    <col min="8709" max="8709" width="8.85546875" customWidth="1"/>
    <col min="8710" max="8710" width="36.85546875" customWidth="1"/>
    <col min="8713" max="8713" width="7.28515625" customWidth="1"/>
    <col min="8714" max="8714" width="11.85546875" customWidth="1"/>
    <col min="8715" max="8716" width="16.5703125" customWidth="1"/>
    <col min="8717" max="8717" width="18.28515625" customWidth="1"/>
    <col min="8718" max="8718" width="14.140625" customWidth="1"/>
    <col min="8719" max="8719" width="10.5703125" customWidth="1"/>
    <col min="8720" max="8720" width="23" bestFit="1" customWidth="1"/>
    <col min="8961" max="8961" width="31" bestFit="1" customWidth="1"/>
    <col min="8962" max="8962" width="9.28515625" bestFit="1" customWidth="1"/>
    <col min="8963" max="8963" width="6.85546875" customWidth="1"/>
    <col min="8964" max="8964" width="11.5703125" customWidth="1"/>
    <col min="8965" max="8965" width="8.85546875" customWidth="1"/>
    <col min="8966" max="8966" width="36.85546875" customWidth="1"/>
    <col min="8969" max="8969" width="7.28515625" customWidth="1"/>
    <col min="8970" max="8970" width="11.85546875" customWidth="1"/>
    <col min="8971" max="8972" width="16.5703125" customWidth="1"/>
    <col min="8973" max="8973" width="18.28515625" customWidth="1"/>
    <col min="8974" max="8974" width="14.140625" customWidth="1"/>
    <col min="8975" max="8975" width="10.5703125" customWidth="1"/>
    <col min="8976" max="8976" width="23" bestFit="1" customWidth="1"/>
    <col min="9217" max="9217" width="31" bestFit="1" customWidth="1"/>
    <col min="9218" max="9218" width="9.28515625" bestFit="1" customWidth="1"/>
    <col min="9219" max="9219" width="6.85546875" customWidth="1"/>
    <col min="9220" max="9220" width="11.5703125" customWidth="1"/>
    <col min="9221" max="9221" width="8.85546875" customWidth="1"/>
    <col min="9222" max="9222" width="36.85546875" customWidth="1"/>
    <col min="9225" max="9225" width="7.28515625" customWidth="1"/>
    <col min="9226" max="9226" width="11.85546875" customWidth="1"/>
    <col min="9227" max="9228" width="16.5703125" customWidth="1"/>
    <col min="9229" max="9229" width="18.28515625" customWidth="1"/>
    <col min="9230" max="9230" width="14.140625" customWidth="1"/>
    <col min="9231" max="9231" width="10.5703125" customWidth="1"/>
    <col min="9232" max="9232" width="23" bestFit="1" customWidth="1"/>
    <col min="9473" max="9473" width="31" bestFit="1" customWidth="1"/>
    <col min="9474" max="9474" width="9.28515625" bestFit="1" customWidth="1"/>
    <col min="9475" max="9475" width="6.85546875" customWidth="1"/>
    <col min="9476" max="9476" width="11.5703125" customWidth="1"/>
    <col min="9477" max="9477" width="8.85546875" customWidth="1"/>
    <col min="9478" max="9478" width="36.85546875" customWidth="1"/>
    <col min="9481" max="9481" width="7.28515625" customWidth="1"/>
    <col min="9482" max="9482" width="11.85546875" customWidth="1"/>
    <col min="9483" max="9484" width="16.5703125" customWidth="1"/>
    <col min="9485" max="9485" width="18.28515625" customWidth="1"/>
    <col min="9486" max="9486" width="14.140625" customWidth="1"/>
    <col min="9487" max="9487" width="10.5703125" customWidth="1"/>
    <col min="9488" max="9488" width="23" bestFit="1" customWidth="1"/>
    <col min="9729" max="9729" width="31" bestFit="1" customWidth="1"/>
    <col min="9730" max="9730" width="9.28515625" bestFit="1" customWidth="1"/>
    <col min="9731" max="9731" width="6.85546875" customWidth="1"/>
    <col min="9732" max="9732" width="11.5703125" customWidth="1"/>
    <col min="9733" max="9733" width="8.85546875" customWidth="1"/>
    <col min="9734" max="9734" width="36.85546875" customWidth="1"/>
    <col min="9737" max="9737" width="7.28515625" customWidth="1"/>
    <col min="9738" max="9738" width="11.85546875" customWidth="1"/>
    <col min="9739" max="9740" width="16.5703125" customWidth="1"/>
    <col min="9741" max="9741" width="18.28515625" customWidth="1"/>
    <col min="9742" max="9742" width="14.140625" customWidth="1"/>
    <col min="9743" max="9743" width="10.5703125" customWidth="1"/>
    <col min="9744" max="9744" width="23" bestFit="1" customWidth="1"/>
    <col min="9985" max="9985" width="31" bestFit="1" customWidth="1"/>
    <col min="9986" max="9986" width="9.28515625" bestFit="1" customWidth="1"/>
    <col min="9987" max="9987" width="6.85546875" customWidth="1"/>
    <col min="9988" max="9988" width="11.5703125" customWidth="1"/>
    <col min="9989" max="9989" width="8.85546875" customWidth="1"/>
    <col min="9990" max="9990" width="36.85546875" customWidth="1"/>
    <col min="9993" max="9993" width="7.28515625" customWidth="1"/>
    <col min="9994" max="9994" width="11.85546875" customWidth="1"/>
    <col min="9995" max="9996" width="16.5703125" customWidth="1"/>
    <col min="9997" max="9997" width="18.28515625" customWidth="1"/>
    <col min="9998" max="9998" width="14.140625" customWidth="1"/>
    <col min="9999" max="9999" width="10.5703125" customWidth="1"/>
    <col min="10000" max="10000" width="23" bestFit="1" customWidth="1"/>
    <col min="10241" max="10241" width="31" bestFit="1" customWidth="1"/>
    <col min="10242" max="10242" width="9.28515625" bestFit="1" customWidth="1"/>
    <col min="10243" max="10243" width="6.85546875" customWidth="1"/>
    <col min="10244" max="10244" width="11.5703125" customWidth="1"/>
    <col min="10245" max="10245" width="8.85546875" customWidth="1"/>
    <col min="10246" max="10246" width="36.85546875" customWidth="1"/>
    <col min="10249" max="10249" width="7.28515625" customWidth="1"/>
    <col min="10250" max="10250" width="11.85546875" customWidth="1"/>
    <col min="10251" max="10252" width="16.5703125" customWidth="1"/>
    <col min="10253" max="10253" width="18.28515625" customWidth="1"/>
    <col min="10254" max="10254" width="14.140625" customWidth="1"/>
    <col min="10255" max="10255" width="10.5703125" customWidth="1"/>
    <col min="10256" max="10256" width="23" bestFit="1" customWidth="1"/>
    <col min="10497" max="10497" width="31" bestFit="1" customWidth="1"/>
    <col min="10498" max="10498" width="9.28515625" bestFit="1" customWidth="1"/>
    <col min="10499" max="10499" width="6.85546875" customWidth="1"/>
    <col min="10500" max="10500" width="11.5703125" customWidth="1"/>
    <col min="10501" max="10501" width="8.85546875" customWidth="1"/>
    <col min="10502" max="10502" width="36.85546875" customWidth="1"/>
    <col min="10505" max="10505" width="7.28515625" customWidth="1"/>
    <col min="10506" max="10506" width="11.85546875" customWidth="1"/>
    <col min="10507" max="10508" width="16.5703125" customWidth="1"/>
    <col min="10509" max="10509" width="18.28515625" customWidth="1"/>
    <col min="10510" max="10510" width="14.140625" customWidth="1"/>
    <col min="10511" max="10511" width="10.5703125" customWidth="1"/>
    <col min="10512" max="10512" width="23" bestFit="1" customWidth="1"/>
    <col min="10753" max="10753" width="31" bestFit="1" customWidth="1"/>
    <col min="10754" max="10754" width="9.28515625" bestFit="1" customWidth="1"/>
    <col min="10755" max="10755" width="6.85546875" customWidth="1"/>
    <col min="10756" max="10756" width="11.5703125" customWidth="1"/>
    <col min="10757" max="10757" width="8.85546875" customWidth="1"/>
    <col min="10758" max="10758" width="36.85546875" customWidth="1"/>
    <col min="10761" max="10761" width="7.28515625" customWidth="1"/>
    <col min="10762" max="10762" width="11.85546875" customWidth="1"/>
    <col min="10763" max="10764" width="16.5703125" customWidth="1"/>
    <col min="10765" max="10765" width="18.28515625" customWidth="1"/>
    <col min="10766" max="10766" width="14.140625" customWidth="1"/>
    <col min="10767" max="10767" width="10.5703125" customWidth="1"/>
    <col min="10768" max="10768" width="23" bestFit="1" customWidth="1"/>
    <col min="11009" max="11009" width="31" bestFit="1" customWidth="1"/>
    <col min="11010" max="11010" width="9.28515625" bestFit="1" customWidth="1"/>
    <col min="11011" max="11011" width="6.85546875" customWidth="1"/>
    <col min="11012" max="11012" width="11.5703125" customWidth="1"/>
    <col min="11013" max="11013" width="8.85546875" customWidth="1"/>
    <col min="11014" max="11014" width="36.85546875" customWidth="1"/>
    <col min="11017" max="11017" width="7.28515625" customWidth="1"/>
    <col min="11018" max="11018" width="11.85546875" customWidth="1"/>
    <col min="11019" max="11020" width="16.5703125" customWidth="1"/>
    <col min="11021" max="11021" width="18.28515625" customWidth="1"/>
    <col min="11022" max="11022" width="14.140625" customWidth="1"/>
    <col min="11023" max="11023" width="10.5703125" customWidth="1"/>
    <col min="11024" max="11024" width="23" bestFit="1" customWidth="1"/>
    <col min="11265" max="11265" width="31" bestFit="1" customWidth="1"/>
    <col min="11266" max="11266" width="9.28515625" bestFit="1" customWidth="1"/>
    <col min="11267" max="11267" width="6.85546875" customWidth="1"/>
    <col min="11268" max="11268" width="11.5703125" customWidth="1"/>
    <col min="11269" max="11269" width="8.85546875" customWidth="1"/>
    <col min="11270" max="11270" width="36.85546875" customWidth="1"/>
    <col min="11273" max="11273" width="7.28515625" customWidth="1"/>
    <col min="11274" max="11274" width="11.85546875" customWidth="1"/>
    <col min="11275" max="11276" width="16.5703125" customWidth="1"/>
    <col min="11277" max="11277" width="18.28515625" customWidth="1"/>
    <col min="11278" max="11278" width="14.140625" customWidth="1"/>
    <col min="11279" max="11279" width="10.5703125" customWidth="1"/>
    <col min="11280" max="11280" width="23" bestFit="1" customWidth="1"/>
    <col min="11521" max="11521" width="31" bestFit="1" customWidth="1"/>
    <col min="11522" max="11522" width="9.28515625" bestFit="1" customWidth="1"/>
    <col min="11523" max="11523" width="6.85546875" customWidth="1"/>
    <col min="11524" max="11524" width="11.5703125" customWidth="1"/>
    <col min="11525" max="11525" width="8.85546875" customWidth="1"/>
    <col min="11526" max="11526" width="36.85546875" customWidth="1"/>
    <col min="11529" max="11529" width="7.28515625" customWidth="1"/>
    <col min="11530" max="11530" width="11.85546875" customWidth="1"/>
    <col min="11531" max="11532" width="16.5703125" customWidth="1"/>
    <col min="11533" max="11533" width="18.28515625" customWidth="1"/>
    <col min="11534" max="11534" width="14.140625" customWidth="1"/>
    <col min="11535" max="11535" width="10.5703125" customWidth="1"/>
    <col min="11536" max="11536" width="23" bestFit="1" customWidth="1"/>
    <col min="11777" max="11777" width="31" bestFit="1" customWidth="1"/>
    <col min="11778" max="11778" width="9.28515625" bestFit="1" customWidth="1"/>
    <col min="11779" max="11779" width="6.85546875" customWidth="1"/>
    <col min="11780" max="11780" width="11.5703125" customWidth="1"/>
    <col min="11781" max="11781" width="8.85546875" customWidth="1"/>
    <col min="11782" max="11782" width="36.85546875" customWidth="1"/>
    <col min="11785" max="11785" width="7.28515625" customWidth="1"/>
    <col min="11786" max="11786" width="11.85546875" customWidth="1"/>
    <col min="11787" max="11788" width="16.5703125" customWidth="1"/>
    <col min="11789" max="11789" width="18.28515625" customWidth="1"/>
    <col min="11790" max="11790" width="14.140625" customWidth="1"/>
    <col min="11791" max="11791" width="10.5703125" customWidth="1"/>
    <col min="11792" max="11792" width="23" bestFit="1" customWidth="1"/>
    <col min="12033" max="12033" width="31" bestFit="1" customWidth="1"/>
    <col min="12034" max="12034" width="9.28515625" bestFit="1" customWidth="1"/>
    <col min="12035" max="12035" width="6.85546875" customWidth="1"/>
    <col min="12036" max="12036" width="11.5703125" customWidth="1"/>
    <col min="12037" max="12037" width="8.85546875" customWidth="1"/>
    <col min="12038" max="12038" width="36.85546875" customWidth="1"/>
    <col min="12041" max="12041" width="7.28515625" customWidth="1"/>
    <col min="12042" max="12042" width="11.85546875" customWidth="1"/>
    <col min="12043" max="12044" width="16.5703125" customWidth="1"/>
    <col min="12045" max="12045" width="18.28515625" customWidth="1"/>
    <col min="12046" max="12046" width="14.140625" customWidth="1"/>
    <col min="12047" max="12047" width="10.5703125" customWidth="1"/>
    <col min="12048" max="12048" width="23" bestFit="1" customWidth="1"/>
    <col min="12289" max="12289" width="31" bestFit="1" customWidth="1"/>
    <col min="12290" max="12290" width="9.28515625" bestFit="1" customWidth="1"/>
    <col min="12291" max="12291" width="6.85546875" customWidth="1"/>
    <col min="12292" max="12292" width="11.5703125" customWidth="1"/>
    <col min="12293" max="12293" width="8.85546875" customWidth="1"/>
    <col min="12294" max="12294" width="36.85546875" customWidth="1"/>
    <col min="12297" max="12297" width="7.28515625" customWidth="1"/>
    <col min="12298" max="12298" width="11.85546875" customWidth="1"/>
    <col min="12299" max="12300" width="16.5703125" customWidth="1"/>
    <col min="12301" max="12301" width="18.28515625" customWidth="1"/>
    <col min="12302" max="12302" width="14.140625" customWidth="1"/>
    <col min="12303" max="12303" width="10.5703125" customWidth="1"/>
    <col min="12304" max="12304" width="23" bestFit="1" customWidth="1"/>
    <col min="12545" max="12545" width="31" bestFit="1" customWidth="1"/>
    <col min="12546" max="12546" width="9.28515625" bestFit="1" customWidth="1"/>
    <col min="12547" max="12547" width="6.85546875" customWidth="1"/>
    <col min="12548" max="12548" width="11.5703125" customWidth="1"/>
    <col min="12549" max="12549" width="8.85546875" customWidth="1"/>
    <col min="12550" max="12550" width="36.85546875" customWidth="1"/>
    <col min="12553" max="12553" width="7.28515625" customWidth="1"/>
    <col min="12554" max="12554" width="11.85546875" customWidth="1"/>
    <col min="12555" max="12556" width="16.5703125" customWidth="1"/>
    <col min="12557" max="12557" width="18.28515625" customWidth="1"/>
    <col min="12558" max="12558" width="14.140625" customWidth="1"/>
    <col min="12559" max="12559" width="10.5703125" customWidth="1"/>
    <col min="12560" max="12560" width="23" bestFit="1" customWidth="1"/>
    <col min="12801" max="12801" width="31" bestFit="1" customWidth="1"/>
    <col min="12802" max="12802" width="9.28515625" bestFit="1" customWidth="1"/>
    <col min="12803" max="12803" width="6.85546875" customWidth="1"/>
    <col min="12804" max="12804" width="11.5703125" customWidth="1"/>
    <col min="12805" max="12805" width="8.85546875" customWidth="1"/>
    <col min="12806" max="12806" width="36.85546875" customWidth="1"/>
    <col min="12809" max="12809" width="7.28515625" customWidth="1"/>
    <col min="12810" max="12810" width="11.85546875" customWidth="1"/>
    <col min="12811" max="12812" width="16.5703125" customWidth="1"/>
    <col min="12813" max="12813" width="18.28515625" customWidth="1"/>
    <col min="12814" max="12814" width="14.140625" customWidth="1"/>
    <col min="12815" max="12815" width="10.5703125" customWidth="1"/>
    <col min="12816" max="12816" width="23" bestFit="1" customWidth="1"/>
    <col min="13057" max="13057" width="31" bestFit="1" customWidth="1"/>
    <col min="13058" max="13058" width="9.28515625" bestFit="1" customWidth="1"/>
    <col min="13059" max="13059" width="6.85546875" customWidth="1"/>
    <col min="13060" max="13060" width="11.5703125" customWidth="1"/>
    <col min="13061" max="13061" width="8.85546875" customWidth="1"/>
    <col min="13062" max="13062" width="36.85546875" customWidth="1"/>
    <col min="13065" max="13065" width="7.28515625" customWidth="1"/>
    <col min="13066" max="13066" width="11.85546875" customWidth="1"/>
    <col min="13067" max="13068" width="16.5703125" customWidth="1"/>
    <col min="13069" max="13069" width="18.28515625" customWidth="1"/>
    <col min="13070" max="13070" width="14.140625" customWidth="1"/>
    <col min="13071" max="13071" width="10.5703125" customWidth="1"/>
    <col min="13072" max="13072" width="23" bestFit="1" customWidth="1"/>
    <col min="13313" max="13313" width="31" bestFit="1" customWidth="1"/>
    <col min="13314" max="13314" width="9.28515625" bestFit="1" customWidth="1"/>
    <col min="13315" max="13315" width="6.85546875" customWidth="1"/>
    <col min="13316" max="13316" width="11.5703125" customWidth="1"/>
    <col min="13317" max="13317" width="8.85546875" customWidth="1"/>
    <col min="13318" max="13318" width="36.85546875" customWidth="1"/>
    <col min="13321" max="13321" width="7.28515625" customWidth="1"/>
    <col min="13322" max="13322" width="11.85546875" customWidth="1"/>
    <col min="13323" max="13324" width="16.5703125" customWidth="1"/>
    <col min="13325" max="13325" width="18.28515625" customWidth="1"/>
    <col min="13326" max="13326" width="14.140625" customWidth="1"/>
    <col min="13327" max="13327" width="10.5703125" customWidth="1"/>
    <col min="13328" max="13328" width="23" bestFit="1" customWidth="1"/>
    <col min="13569" max="13569" width="31" bestFit="1" customWidth="1"/>
    <col min="13570" max="13570" width="9.28515625" bestFit="1" customWidth="1"/>
    <col min="13571" max="13571" width="6.85546875" customWidth="1"/>
    <col min="13572" max="13572" width="11.5703125" customWidth="1"/>
    <col min="13573" max="13573" width="8.85546875" customWidth="1"/>
    <col min="13574" max="13574" width="36.85546875" customWidth="1"/>
    <col min="13577" max="13577" width="7.28515625" customWidth="1"/>
    <col min="13578" max="13578" width="11.85546875" customWidth="1"/>
    <col min="13579" max="13580" width="16.5703125" customWidth="1"/>
    <col min="13581" max="13581" width="18.28515625" customWidth="1"/>
    <col min="13582" max="13582" width="14.140625" customWidth="1"/>
    <col min="13583" max="13583" width="10.5703125" customWidth="1"/>
    <col min="13584" max="13584" width="23" bestFit="1" customWidth="1"/>
    <col min="13825" max="13825" width="31" bestFit="1" customWidth="1"/>
    <col min="13826" max="13826" width="9.28515625" bestFit="1" customWidth="1"/>
    <col min="13827" max="13827" width="6.85546875" customWidth="1"/>
    <col min="13828" max="13828" width="11.5703125" customWidth="1"/>
    <col min="13829" max="13829" width="8.85546875" customWidth="1"/>
    <col min="13830" max="13830" width="36.85546875" customWidth="1"/>
    <col min="13833" max="13833" width="7.28515625" customWidth="1"/>
    <col min="13834" max="13834" width="11.85546875" customWidth="1"/>
    <col min="13835" max="13836" width="16.5703125" customWidth="1"/>
    <col min="13837" max="13837" width="18.28515625" customWidth="1"/>
    <col min="13838" max="13838" width="14.140625" customWidth="1"/>
    <col min="13839" max="13839" width="10.5703125" customWidth="1"/>
    <col min="13840" max="13840" width="23" bestFit="1" customWidth="1"/>
    <col min="14081" max="14081" width="31" bestFit="1" customWidth="1"/>
    <col min="14082" max="14082" width="9.28515625" bestFit="1" customWidth="1"/>
    <col min="14083" max="14083" width="6.85546875" customWidth="1"/>
    <col min="14084" max="14084" width="11.5703125" customWidth="1"/>
    <col min="14085" max="14085" width="8.85546875" customWidth="1"/>
    <col min="14086" max="14086" width="36.85546875" customWidth="1"/>
    <col min="14089" max="14089" width="7.28515625" customWidth="1"/>
    <col min="14090" max="14090" width="11.85546875" customWidth="1"/>
    <col min="14091" max="14092" width="16.5703125" customWidth="1"/>
    <col min="14093" max="14093" width="18.28515625" customWidth="1"/>
    <col min="14094" max="14094" width="14.140625" customWidth="1"/>
    <col min="14095" max="14095" width="10.5703125" customWidth="1"/>
    <col min="14096" max="14096" width="23" bestFit="1" customWidth="1"/>
    <col min="14337" max="14337" width="31" bestFit="1" customWidth="1"/>
    <col min="14338" max="14338" width="9.28515625" bestFit="1" customWidth="1"/>
    <col min="14339" max="14339" width="6.85546875" customWidth="1"/>
    <col min="14340" max="14340" width="11.5703125" customWidth="1"/>
    <col min="14341" max="14341" width="8.85546875" customWidth="1"/>
    <col min="14342" max="14342" width="36.85546875" customWidth="1"/>
    <col min="14345" max="14345" width="7.28515625" customWidth="1"/>
    <col min="14346" max="14346" width="11.85546875" customWidth="1"/>
    <col min="14347" max="14348" width="16.5703125" customWidth="1"/>
    <col min="14349" max="14349" width="18.28515625" customWidth="1"/>
    <col min="14350" max="14350" width="14.140625" customWidth="1"/>
    <col min="14351" max="14351" width="10.5703125" customWidth="1"/>
    <col min="14352" max="14352" width="23" bestFit="1" customWidth="1"/>
    <col min="14593" max="14593" width="31" bestFit="1" customWidth="1"/>
    <col min="14594" max="14594" width="9.28515625" bestFit="1" customWidth="1"/>
    <col min="14595" max="14595" width="6.85546875" customWidth="1"/>
    <col min="14596" max="14596" width="11.5703125" customWidth="1"/>
    <col min="14597" max="14597" width="8.85546875" customWidth="1"/>
    <col min="14598" max="14598" width="36.85546875" customWidth="1"/>
    <col min="14601" max="14601" width="7.28515625" customWidth="1"/>
    <col min="14602" max="14602" width="11.85546875" customWidth="1"/>
    <col min="14603" max="14604" width="16.5703125" customWidth="1"/>
    <col min="14605" max="14605" width="18.28515625" customWidth="1"/>
    <col min="14606" max="14606" width="14.140625" customWidth="1"/>
    <col min="14607" max="14607" width="10.5703125" customWidth="1"/>
    <col min="14608" max="14608" width="23" bestFit="1" customWidth="1"/>
    <col min="14849" max="14849" width="31" bestFit="1" customWidth="1"/>
    <col min="14850" max="14850" width="9.28515625" bestFit="1" customWidth="1"/>
    <col min="14851" max="14851" width="6.85546875" customWidth="1"/>
    <col min="14852" max="14852" width="11.5703125" customWidth="1"/>
    <col min="14853" max="14853" width="8.85546875" customWidth="1"/>
    <col min="14854" max="14854" width="36.85546875" customWidth="1"/>
    <col min="14857" max="14857" width="7.28515625" customWidth="1"/>
    <col min="14858" max="14858" width="11.85546875" customWidth="1"/>
    <col min="14859" max="14860" width="16.5703125" customWidth="1"/>
    <col min="14861" max="14861" width="18.28515625" customWidth="1"/>
    <col min="14862" max="14862" width="14.140625" customWidth="1"/>
    <col min="14863" max="14863" width="10.5703125" customWidth="1"/>
    <col min="14864" max="14864" width="23" bestFit="1" customWidth="1"/>
    <col min="15105" max="15105" width="31" bestFit="1" customWidth="1"/>
    <col min="15106" max="15106" width="9.28515625" bestFit="1" customWidth="1"/>
    <col min="15107" max="15107" width="6.85546875" customWidth="1"/>
    <col min="15108" max="15108" width="11.5703125" customWidth="1"/>
    <col min="15109" max="15109" width="8.85546875" customWidth="1"/>
    <col min="15110" max="15110" width="36.85546875" customWidth="1"/>
    <col min="15113" max="15113" width="7.28515625" customWidth="1"/>
    <col min="15114" max="15114" width="11.85546875" customWidth="1"/>
    <col min="15115" max="15116" width="16.5703125" customWidth="1"/>
    <col min="15117" max="15117" width="18.28515625" customWidth="1"/>
    <col min="15118" max="15118" width="14.140625" customWidth="1"/>
    <col min="15119" max="15119" width="10.5703125" customWidth="1"/>
    <col min="15120" max="15120" width="23" bestFit="1" customWidth="1"/>
    <col min="15361" max="15361" width="31" bestFit="1" customWidth="1"/>
    <col min="15362" max="15362" width="9.28515625" bestFit="1" customWidth="1"/>
    <col min="15363" max="15363" width="6.85546875" customWidth="1"/>
    <col min="15364" max="15364" width="11.5703125" customWidth="1"/>
    <col min="15365" max="15365" width="8.85546875" customWidth="1"/>
    <col min="15366" max="15366" width="36.85546875" customWidth="1"/>
    <col min="15369" max="15369" width="7.28515625" customWidth="1"/>
    <col min="15370" max="15370" width="11.85546875" customWidth="1"/>
    <col min="15371" max="15372" width="16.5703125" customWidth="1"/>
    <col min="15373" max="15373" width="18.28515625" customWidth="1"/>
    <col min="15374" max="15374" width="14.140625" customWidth="1"/>
    <col min="15375" max="15375" width="10.5703125" customWidth="1"/>
    <col min="15376" max="15376" width="23" bestFit="1" customWidth="1"/>
    <col min="15617" max="15617" width="31" bestFit="1" customWidth="1"/>
    <col min="15618" max="15618" width="9.28515625" bestFit="1" customWidth="1"/>
    <col min="15619" max="15619" width="6.85546875" customWidth="1"/>
    <col min="15620" max="15620" width="11.5703125" customWidth="1"/>
    <col min="15621" max="15621" width="8.85546875" customWidth="1"/>
    <col min="15622" max="15622" width="36.85546875" customWidth="1"/>
    <col min="15625" max="15625" width="7.28515625" customWidth="1"/>
    <col min="15626" max="15626" width="11.85546875" customWidth="1"/>
    <col min="15627" max="15628" width="16.5703125" customWidth="1"/>
    <col min="15629" max="15629" width="18.28515625" customWidth="1"/>
    <col min="15630" max="15630" width="14.140625" customWidth="1"/>
    <col min="15631" max="15631" width="10.5703125" customWidth="1"/>
    <col min="15632" max="15632" width="23" bestFit="1" customWidth="1"/>
    <col min="15873" max="15873" width="31" bestFit="1" customWidth="1"/>
    <col min="15874" max="15874" width="9.28515625" bestFit="1" customWidth="1"/>
    <col min="15875" max="15875" width="6.85546875" customWidth="1"/>
    <col min="15876" max="15876" width="11.5703125" customWidth="1"/>
    <col min="15877" max="15877" width="8.85546875" customWidth="1"/>
    <col min="15878" max="15878" width="36.85546875" customWidth="1"/>
    <col min="15881" max="15881" width="7.28515625" customWidth="1"/>
    <col min="15882" max="15882" width="11.85546875" customWidth="1"/>
    <col min="15883" max="15884" width="16.5703125" customWidth="1"/>
    <col min="15885" max="15885" width="18.28515625" customWidth="1"/>
    <col min="15886" max="15886" width="14.140625" customWidth="1"/>
    <col min="15887" max="15887" width="10.5703125" customWidth="1"/>
    <col min="15888" max="15888" width="23" bestFit="1" customWidth="1"/>
    <col min="16129" max="16129" width="31" bestFit="1" customWidth="1"/>
    <col min="16130" max="16130" width="9.28515625" bestFit="1" customWidth="1"/>
    <col min="16131" max="16131" width="6.85546875" customWidth="1"/>
    <col min="16132" max="16132" width="11.5703125" customWidth="1"/>
    <col min="16133" max="16133" width="8.85546875" customWidth="1"/>
    <col min="16134" max="16134" width="36.85546875" customWidth="1"/>
    <col min="16137" max="16137" width="7.28515625" customWidth="1"/>
    <col min="16138" max="16138" width="11.85546875" customWidth="1"/>
    <col min="16139" max="16140" width="16.5703125" customWidth="1"/>
    <col min="16141" max="16141" width="18.28515625" customWidth="1"/>
    <col min="16142" max="16142" width="14.140625" customWidth="1"/>
    <col min="16143" max="16143" width="10.5703125" customWidth="1"/>
    <col min="16144" max="16144" width="23" bestFit="1" customWidth="1"/>
  </cols>
  <sheetData>
    <row r="1" spans="1:252" ht="51" x14ac:dyDescent="0.2">
      <c r="A1" s="245" t="s">
        <v>442</v>
      </c>
      <c r="B1" s="245" t="s">
        <v>443</v>
      </c>
      <c r="C1" s="245" t="s">
        <v>444</v>
      </c>
      <c r="D1" s="245" t="s">
        <v>445</v>
      </c>
      <c r="E1" s="245" t="s">
        <v>446</v>
      </c>
      <c r="F1" s="245" t="s">
        <v>447</v>
      </c>
      <c r="G1" s="246" t="s">
        <v>448</v>
      </c>
      <c r="H1" s="245" t="s">
        <v>449</v>
      </c>
      <c r="I1" s="245" t="s">
        <v>450</v>
      </c>
      <c r="J1" s="247" t="s">
        <v>451</v>
      </c>
      <c r="K1" s="248" t="s">
        <v>452</v>
      </c>
      <c r="L1" s="248" t="s">
        <v>453</v>
      </c>
      <c r="M1" s="249" t="s">
        <v>454</v>
      </c>
      <c r="N1" s="250" t="s">
        <v>455</v>
      </c>
      <c r="O1" s="251" t="s">
        <v>456</v>
      </c>
      <c r="P1" s="252" t="s">
        <v>457</v>
      </c>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row>
    <row r="2" spans="1:252" x14ac:dyDescent="0.2">
      <c r="A2" t="s">
        <v>458</v>
      </c>
      <c r="E2" t="s">
        <v>459</v>
      </c>
      <c r="F2" t="s">
        <v>460</v>
      </c>
      <c r="G2" t="s">
        <v>461</v>
      </c>
      <c r="H2" t="s">
        <v>462</v>
      </c>
      <c r="I2">
        <f t="shared" ref="I2:I65" si="0">+G2*1</f>
        <v>2008</v>
      </c>
      <c r="J2" s="229">
        <v>0</v>
      </c>
      <c r="K2" s="254">
        <v>118.57</v>
      </c>
      <c r="L2" s="254">
        <v>8.14</v>
      </c>
      <c r="M2" s="254">
        <v>110.43</v>
      </c>
      <c r="N2" s="255">
        <v>731</v>
      </c>
      <c r="O2" s="256">
        <v>711</v>
      </c>
      <c r="P2" s="254">
        <f t="shared" ref="P2:P65" si="1">+(O2/N2)*K2</f>
        <v>115.32595075239396</v>
      </c>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row>
    <row r="3" spans="1:252" x14ac:dyDescent="0.2">
      <c r="A3" t="s">
        <v>458</v>
      </c>
      <c r="E3" t="s">
        <v>459</v>
      </c>
      <c r="F3" t="s">
        <v>460</v>
      </c>
      <c r="G3" t="s">
        <v>463</v>
      </c>
      <c r="H3" t="s">
        <v>462</v>
      </c>
      <c r="I3">
        <f t="shared" si="0"/>
        <v>1984</v>
      </c>
      <c r="J3" s="229">
        <v>1</v>
      </c>
      <c r="K3" s="254">
        <v>47259</v>
      </c>
      <c r="L3" s="254">
        <v>34381.440000000002</v>
      </c>
      <c r="M3" s="254">
        <v>12877.56</v>
      </c>
      <c r="N3" s="255">
        <v>271</v>
      </c>
      <c r="O3" s="256">
        <v>711</v>
      </c>
      <c r="P3" s="254">
        <f t="shared" si="1"/>
        <v>123989.47970479706</v>
      </c>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row>
    <row r="4" spans="1:252" x14ac:dyDescent="0.2">
      <c r="A4" t="s">
        <v>458</v>
      </c>
      <c r="E4" t="s">
        <v>459</v>
      </c>
      <c r="F4" t="s">
        <v>460</v>
      </c>
      <c r="G4" t="s">
        <v>464</v>
      </c>
      <c r="H4" t="s">
        <v>462</v>
      </c>
      <c r="I4">
        <f t="shared" si="0"/>
        <v>1985</v>
      </c>
      <c r="J4" s="229">
        <v>1</v>
      </c>
      <c r="K4" s="254">
        <v>90938</v>
      </c>
      <c r="L4" s="254">
        <v>63661.86</v>
      </c>
      <c r="M4" s="254">
        <v>27276.14</v>
      </c>
      <c r="N4" s="255">
        <v>270</v>
      </c>
      <c r="O4" s="256">
        <v>711</v>
      </c>
      <c r="P4" s="254">
        <f t="shared" si="1"/>
        <v>239470.06666666665</v>
      </c>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row>
    <row r="5" spans="1:252" x14ac:dyDescent="0.2">
      <c r="A5" t="s">
        <v>458</v>
      </c>
      <c r="E5" t="s">
        <v>459</v>
      </c>
      <c r="F5" t="s">
        <v>460</v>
      </c>
      <c r="G5" t="s">
        <v>465</v>
      </c>
      <c r="H5" t="s">
        <v>462</v>
      </c>
      <c r="I5">
        <f t="shared" si="0"/>
        <v>1991</v>
      </c>
      <c r="J5" s="229">
        <v>1</v>
      </c>
      <c r="K5" s="254">
        <v>9643</v>
      </c>
      <c r="L5" s="254">
        <v>5162.2700000000004</v>
      </c>
      <c r="M5" s="254">
        <v>4480.7299999999996</v>
      </c>
      <c r="N5" s="255">
        <v>312</v>
      </c>
      <c r="O5" s="256">
        <v>711</v>
      </c>
      <c r="P5" s="254">
        <f t="shared" si="1"/>
        <v>21974.913461538461</v>
      </c>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row>
    <row r="6" spans="1:252" x14ac:dyDescent="0.2">
      <c r="A6" t="s">
        <v>458</v>
      </c>
      <c r="E6" t="s">
        <v>459</v>
      </c>
      <c r="F6" t="s">
        <v>460</v>
      </c>
      <c r="G6" t="s">
        <v>461</v>
      </c>
      <c r="H6" t="s">
        <v>462</v>
      </c>
      <c r="I6">
        <f t="shared" si="0"/>
        <v>2008</v>
      </c>
      <c r="J6" s="229">
        <v>1</v>
      </c>
      <c r="K6" s="254">
        <v>113835.22</v>
      </c>
      <c r="L6" s="254">
        <v>7812.87</v>
      </c>
      <c r="M6" s="254">
        <v>106022.35</v>
      </c>
      <c r="N6" s="255">
        <v>731</v>
      </c>
      <c r="O6" s="256">
        <v>711</v>
      </c>
      <c r="P6" s="254">
        <f t="shared" si="1"/>
        <v>110720.71329685362</v>
      </c>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row>
    <row r="7" spans="1:252" x14ac:dyDescent="0.2">
      <c r="A7" t="s">
        <v>458</v>
      </c>
      <c r="E7" t="s">
        <v>459</v>
      </c>
      <c r="F7" t="s">
        <v>460</v>
      </c>
      <c r="G7" t="s">
        <v>466</v>
      </c>
      <c r="H7" t="s">
        <v>462</v>
      </c>
      <c r="I7">
        <f t="shared" si="0"/>
        <v>1989</v>
      </c>
      <c r="J7" s="229">
        <v>2</v>
      </c>
      <c r="K7" s="254">
        <v>96226.47</v>
      </c>
      <c r="L7" s="254">
        <v>56797.18</v>
      </c>
      <c r="M7" s="254">
        <v>39429.29</v>
      </c>
      <c r="N7" s="255">
        <v>300</v>
      </c>
      <c r="O7" s="256">
        <v>711</v>
      </c>
      <c r="P7" s="254">
        <f t="shared" si="1"/>
        <v>228056.73390000002</v>
      </c>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row>
    <row r="8" spans="1:252" x14ac:dyDescent="0.2">
      <c r="A8" t="s">
        <v>458</v>
      </c>
      <c r="E8" t="s">
        <v>459</v>
      </c>
      <c r="F8" t="s">
        <v>460</v>
      </c>
      <c r="G8" t="s">
        <v>467</v>
      </c>
      <c r="H8" t="s">
        <v>462</v>
      </c>
      <c r="I8">
        <f t="shared" si="0"/>
        <v>1996</v>
      </c>
      <c r="J8" s="229">
        <v>2</v>
      </c>
      <c r="K8" s="254">
        <v>11546.21</v>
      </c>
      <c r="L8" s="254">
        <v>4596.22</v>
      </c>
      <c r="M8" s="254">
        <v>6949.99</v>
      </c>
      <c r="N8" s="255">
        <v>359</v>
      </c>
      <c r="O8" s="256">
        <v>711</v>
      </c>
      <c r="P8" s="254">
        <f t="shared" si="1"/>
        <v>22867.284986072424</v>
      </c>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row>
    <row r="9" spans="1:252" x14ac:dyDescent="0.2">
      <c r="A9" t="s">
        <v>458</v>
      </c>
      <c r="E9" t="s">
        <v>459</v>
      </c>
      <c r="F9" t="s">
        <v>460</v>
      </c>
      <c r="G9" t="s">
        <v>461</v>
      </c>
      <c r="H9" t="s">
        <v>462</v>
      </c>
      <c r="I9">
        <f t="shared" si="0"/>
        <v>2008</v>
      </c>
      <c r="J9" s="229">
        <v>2</v>
      </c>
      <c r="K9" s="254">
        <v>103657.5</v>
      </c>
      <c r="L9" s="254">
        <v>7114.34</v>
      </c>
      <c r="M9" s="254">
        <v>96543.16</v>
      </c>
      <c r="N9" s="255">
        <v>731</v>
      </c>
      <c r="O9" s="256">
        <v>711</v>
      </c>
      <c r="P9" s="254">
        <f t="shared" si="1"/>
        <v>100821.45348837209</v>
      </c>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row>
    <row r="10" spans="1:252" x14ac:dyDescent="0.2">
      <c r="A10" t="s">
        <v>458</v>
      </c>
      <c r="E10" t="s">
        <v>459</v>
      </c>
      <c r="F10" t="s">
        <v>460</v>
      </c>
      <c r="G10" t="s">
        <v>461</v>
      </c>
      <c r="H10" t="s">
        <v>462</v>
      </c>
      <c r="I10">
        <f t="shared" si="0"/>
        <v>2008</v>
      </c>
      <c r="J10" s="229">
        <v>2</v>
      </c>
      <c r="K10" s="254">
        <v>457100.33</v>
      </c>
      <c r="L10" s="254">
        <v>31372.22</v>
      </c>
      <c r="M10" s="254">
        <v>425728.11</v>
      </c>
      <c r="N10" s="255">
        <v>731</v>
      </c>
      <c r="O10" s="256">
        <v>711</v>
      </c>
      <c r="P10" s="254">
        <f t="shared" si="1"/>
        <v>444594.16502051981</v>
      </c>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row>
    <row r="11" spans="1:252" x14ac:dyDescent="0.2">
      <c r="A11" t="s">
        <v>458</v>
      </c>
      <c r="E11" t="s">
        <v>459</v>
      </c>
      <c r="F11" t="s">
        <v>460</v>
      </c>
      <c r="G11" t="s">
        <v>468</v>
      </c>
      <c r="H11" t="s">
        <v>462</v>
      </c>
      <c r="I11">
        <f t="shared" si="0"/>
        <v>2009</v>
      </c>
      <c r="J11" s="229">
        <v>2</v>
      </c>
      <c r="K11" s="254">
        <v>387.36</v>
      </c>
      <c r="L11" s="254">
        <v>15.95</v>
      </c>
      <c r="M11" s="254">
        <v>371.41</v>
      </c>
      <c r="N11" s="255">
        <v>673</v>
      </c>
      <c r="O11" s="256">
        <v>711</v>
      </c>
      <c r="P11" s="254">
        <f t="shared" si="1"/>
        <v>409.23173848439825</v>
      </c>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row>
    <row r="12" spans="1:252" x14ac:dyDescent="0.2">
      <c r="A12" t="s">
        <v>458</v>
      </c>
      <c r="E12" t="s">
        <v>459</v>
      </c>
      <c r="F12" t="s">
        <v>460</v>
      </c>
      <c r="G12" t="s">
        <v>469</v>
      </c>
      <c r="H12" t="s">
        <v>462</v>
      </c>
      <c r="I12">
        <f t="shared" si="0"/>
        <v>2010</v>
      </c>
      <c r="J12" s="229">
        <v>2</v>
      </c>
      <c r="K12" s="254">
        <v>1360.26</v>
      </c>
      <c r="L12" s="254">
        <v>18.670000000000002</v>
      </c>
      <c r="M12" s="254">
        <v>1341.59</v>
      </c>
      <c r="N12" s="255">
        <v>711</v>
      </c>
      <c r="O12" s="256">
        <v>711</v>
      </c>
      <c r="P12" s="254">
        <f t="shared" si="1"/>
        <v>1360.26</v>
      </c>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row>
    <row r="13" spans="1:252" x14ac:dyDescent="0.2">
      <c r="A13" t="s">
        <v>458</v>
      </c>
      <c r="E13" t="s">
        <v>459</v>
      </c>
      <c r="F13" t="s">
        <v>460</v>
      </c>
      <c r="G13" t="s">
        <v>470</v>
      </c>
      <c r="H13" t="s">
        <v>462</v>
      </c>
      <c r="I13">
        <f t="shared" si="0"/>
        <v>2007</v>
      </c>
      <c r="J13" s="229">
        <v>4</v>
      </c>
      <c r="K13" s="254">
        <v>28015.87</v>
      </c>
      <c r="L13" s="254">
        <v>2691.94</v>
      </c>
      <c r="M13" s="254">
        <v>25323.93</v>
      </c>
      <c r="N13" s="255">
        <v>608</v>
      </c>
      <c r="O13" s="256">
        <v>711</v>
      </c>
      <c r="P13" s="254">
        <f t="shared" si="1"/>
        <v>32761.979555921051</v>
      </c>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row>
    <row r="14" spans="1:252" x14ac:dyDescent="0.2">
      <c r="A14" t="s">
        <v>458</v>
      </c>
      <c r="E14" t="s">
        <v>459</v>
      </c>
      <c r="F14" t="s">
        <v>460</v>
      </c>
      <c r="G14" t="s">
        <v>468</v>
      </c>
      <c r="H14" t="s">
        <v>462</v>
      </c>
      <c r="I14">
        <f t="shared" si="0"/>
        <v>2009</v>
      </c>
      <c r="J14" s="229">
        <v>4</v>
      </c>
      <c r="K14" s="254">
        <v>1367.97</v>
      </c>
      <c r="L14" s="254">
        <v>56.33</v>
      </c>
      <c r="M14" s="254">
        <v>1311.64</v>
      </c>
      <c r="N14" s="255">
        <v>673</v>
      </c>
      <c r="O14" s="256">
        <v>711</v>
      </c>
      <c r="P14" s="254">
        <f t="shared" si="1"/>
        <v>1445.2105052005945</v>
      </c>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row>
    <row r="15" spans="1:252" x14ac:dyDescent="0.2">
      <c r="A15" t="s">
        <v>458</v>
      </c>
      <c r="E15" t="s">
        <v>459</v>
      </c>
      <c r="F15" t="s">
        <v>460</v>
      </c>
      <c r="G15" t="s">
        <v>461</v>
      </c>
      <c r="H15" t="s">
        <v>462</v>
      </c>
      <c r="I15">
        <f t="shared" si="0"/>
        <v>2008</v>
      </c>
      <c r="J15" s="229">
        <v>5</v>
      </c>
      <c r="K15" s="254">
        <v>127020.93</v>
      </c>
      <c r="L15" s="254">
        <v>8717.84</v>
      </c>
      <c r="M15" s="254">
        <v>118303.09</v>
      </c>
      <c r="N15" s="255">
        <v>731</v>
      </c>
      <c r="O15" s="256">
        <v>711</v>
      </c>
      <c r="P15" s="254">
        <f t="shared" si="1"/>
        <v>123545.66515731873</v>
      </c>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row>
    <row r="16" spans="1:252" x14ac:dyDescent="0.2">
      <c r="A16" t="s">
        <v>458</v>
      </c>
      <c r="E16" t="s">
        <v>459</v>
      </c>
      <c r="F16" t="s">
        <v>460</v>
      </c>
      <c r="G16" t="s">
        <v>469</v>
      </c>
      <c r="H16" t="s">
        <v>462</v>
      </c>
      <c r="I16">
        <f t="shared" si="0"/>
        <v>2010</v>
      </c>
      <c r="J16" s="229">
        <v>6</v>
      </c>
      <c r="K16" s="254">
        <v>10466.93</v>
      </c>
      <c r="L16" s="254">
        <v>143.68</v>
      </c>
      <c r="M16" s="254">
        <v>10323.25</v>
      </c>
      <c r="N16" s="255">
        <v>711</v>
      </c>
      <c r="O16" s="256">
        <v>711</v>
      </c>
      <c r="P16" s="254">
        <f t="shared" si="1"/>
        <v>10466.93</v>
      </c>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row>
    <row r="17" spans="1:252" x14ac:dyDescent="0.2">
      <c r="A17" t="s">
        <v>458</v>
      </c>
      <c r="E17" t="s">
        <v>459</v>
      </c>
      <c r="F17" t="s">
        <v>460</v>
      </c>
      <c r="G17" t="s">
        <v>468</v>
      </c>
      <c r="H17" t="s">
        <v>462</v>
      </c>
      <c r="I17">
        <f t="shared" si="0"/>
        <v>2009</v>
      </c>
      <c r="J17" s="229">
        <v>7</v>
      </c>
      <c r="K17" s="254">
        <v>290665.17</v>
      </c>
      <c r="L17" s="254">
        <v>11969.56</v>
      </c>
      <c r="M17" s="254">
        <v>278695.61</v>
      </c>
      <c r="N17" s="255">
        <v>673</v>
      </c>
      <c r="O17" s="256">
        <v>711</v>
      </c>
      <c r="P17" s="254">
        <f t="shared" si="1"/>
        <v>307077.1706835067</v>
      </c>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row>
    <row r="18" spans="1:252" x14ac:dyDescent="0.2">
      <c r="A18" t="s">
        <v>458</v>
      </c>
      <c r="E18" t="s">
        <v>459</v>
      </c>
      <c r="F18" t="s">
        <v>460</v>
      </c>
      <c r="G18" t="s">
        <v>468</v>
      </c>
      <c r="H18" t="s">
        <v>462</v>
      </c>
      <c r="I18">
        <f t="shared" si="0"/>
        <v>2009</v>
      </c>
      <c r="J18" s="229">
        <v>7</v>
      </c>
      <c r="K18" s="254">
        <v>47829.65</v>
      </c>
      <c r="L18" s="254">
        <v>1969.62</v>
      </c>
      <c r="M18" s="254">
        <v>45860.03</v>
      </c>
      <c r="N18" s="255">
        <v>673</v>
      </c>
      <c r="O18" s="256">
        <v>711</v>
      </c>
      <c r="P18" s="254">
        <f t="shared" si="1"/>
        <v>50530.284026745918</v>
      </c>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row>
    <row r="19" spans="1:252" x14ac:dyDescent="0.2">
      <c r="A19" t="s">
        <v>458</v>
      </c>
      <c r="E19" t="s">
        <v>459</v>
      </c>
      <c r="F19" t="s">
        <v>460</v>
      </c>
      <c r="G19" t="s">
        <v>461</v>
      </c>
      <c r="H19" t="s">
        <v>462</v>
      </c>
      <c r="I19">
        <f t="shared" si="0"/>
        <v>2008</v>
      </c>
      <c r="J19" s="229">
        <v>11</v>
      </c>
      <c r="K19" s="254">
        <v>472542.79</v>
      </c>
      <c r="L19" s="254">
        <v>32432.09</v>
      </c>
      <c r="M19" s="254">
        <v>440110.7</v>
      </c>
      <c r="N19" s="255">
        <v>731</v>
      </c>
      <c r="O19" s="256">
        <v>711</v>
      </c>
      <c r="P19" s="254">
        <f t="shared" si="1"/>
        <v>459614.12269493839</v>
      </c>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row>
    <row r="20" spans="1:252" x14ac:dyDescent="0.2">
      <c r="A20" t="s">
        <v>458</v>
      </c>
      <c r="E20" t="s">
        <v>459</v>
      </c>
      <c r="F20" t="s">
        <v>460</v>
      </c>
      <c r="G20" t="s">
        <v>468</v>
      </c>
      <c r="H20" t="s">
        <v>462</v>
      </c>
      <c r="I20">
        <f t="shared" si="0"/>
        <v>2009</v>
      </c>
      <c r="J20" s="229">
        <v>12</v>
      </c>
      <c r="K20" s="254">
        <v>1077585.6000000001</v>
      </c>
      <c r="L20" s="254">
        <v>44374.85</v>
      </c>
      <c r="M20" s="254">
        <v>1033210.75</v>
      </c>
      <c r="N20" s="255">
        <v>673</v>
      </c>
      <c r="O20" s="256">
        <v>711</v>
      </c>
      <c r="P20" s="254">
        <f t="shared" si="1"/>
        <v>1138429.9578008917</v>
      </c>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row>
    <row r="21" spans="1:252" x14ac:dyDescent="0.2">
      <c r="A21" t="s">
        <v>458</v>
      </c>
      <c r="E21" t="s">
        <v>459</v>
      </c>
      <c r="F21" t="s">
        <v>460</v>
      </c>
      <c r="G21" t="s">
        <v>468</v>
      </c>
      <c r="H21" t="s">
        <v>462</v>
      </c>
      <c r="I21">
        <f t="shared" si="0"/>
        <v>2009</v>
      </c>
      <c r="J21" s="229">
        <v>20</v>
      </c>
      <c r="K21" s="254">
        <v>842871.61</v>
      </c>
      <c r="L21" s="254">
        <v>34709.35</v>
      </c>
      <c r="M21" s="254">
        <v>808162.26</v>
      </c>
      <c r="N21" s="255">
        <v>673</v>
      </c>
      <c r="O21" s="256">
        <v>711</v>
      </c>
      <c r="P21" s="254">
        <f t="shared" si="1"/>
        <v>890463.17193164933</v>
      </c>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row>
    <row r="22" spans="1:252" x14ac:dyDescent="0.2">
      <c r="A22" t="s">
        <v>458</v>
      </c>
      <c r="E22" t="s">
        <v>459</v>
      </c>
      <c r="F22" t="s">
        <v>460</v>
      </c>
      <c r="G22" t="s">
        <v>469</v>
      </c>
      <c r="H22" t="s">
        <v>462</v>
      </c>
      <c r="I22">
        <f t="shared" si="0"/>
        <v>2010</v>
      </c>
      <c r="J22" s="229">
        <v>20</v>
      </c>
      <c r="K22" s="254">
        <v>295278.77</v>
      </c>
      <c r="L22" s="254">
        <v>4053.18</v>
      </c>
      <c r="M22" s="254">
        <v>291225.59000000003</v>
      </c>
      <c r="N22" s="255">
        <v>711</v>
      </c>
      <c r="O22" s="256">
        <v>711</v>
      </c>
      <c r="P22" s="254">
        <f t="shared" si="1"/>
        <v>295278.77</v>
      </c>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row>
    <row r="23" spans="1:252" x14ac:dyDescent="0.2">
      <c r="A23" t="s">
        <v>458</v>
      </c>
      <c r="E23" t="s">
        <v>459</v>
      </c>
      <c r="F23" t="s">
        <v>460</v>
      </c>
      <c r="G23" t="s">
        <v>469</v>
      </c>
      <c r="H23" t="s">
        <v>462</v>
      </c>
      <c r="I23">
        <f t="shared" si="0"/>
        <v>2010</v>
      </c>
      <c r="J23" s="229">
        <v>35</v>
      </c>
      <c r="K23" s="254">
        <v>84344.36</v>
      </c>
      <c r="L23" s="254">
        <v>1157.76</v>
      </c>
      <c r="M23" s="254">
        <v>83186.600000000006</v>
      </c>
      <c r="N23" s="255">
        <v>711</v>
      </c>
      <c r="O23" s="256">
        <v>711</v>
      </c>
      <c r="P23" s="254">
        <f t="shared" si="1"/>
        <v>84344.36</v>
      </c>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row>
    <row r="24" spans="1:252" x14ac:dyDescent="0.2">
      <c r="A24" t="s">
        <v>458</v>
      </c>
      <c r="E24" t="s">
        <v>459</v>
      </c>
      <c r="F24" t="s">
        <v>460</v>
      </c>
      <c r="G24" t="s">
        <v>461</v>
      </c>
      <c r="H24" t="s">
        <v>462</v>
      </c>
      <c r="I24">
        <f t="shared" si="0"/>
        <v>2008</v>
      </c>
      <c r="J24" s="229">
        <v>53</v>
      </c>
      <c r="K24" s="254">
        <v>593292.73</v>
      </c>
      <c r="L24" s="254">
        <v>40719.53</v>
      </c>
      <c r="M24" s="254">
        <v>552573.19999999995</v>
      </c>
      <c r="N24" s="255">
        <v>731</v>
      </c>
      <c r="O24" s="256">
        <v>711</v>
      </c>
      <c r="P24" s="254">
        <f t="shared" si="1"/>
        <v>577060.37076607381</v>
      </c>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row>
    <row r="25" spans="1:252" x14ac:dyDescent="0.2">
      <c r="A25" t="s">
        <v>458</v>
      </c>
      <c r="E25" t="s">
        <v>459</v>
      </c>
      <c r="F25" t="s">
        <v>460</v>
      </c>
      <c r="G25" t="s">
        <v>471</v>
      </c>
      <c r="H25" t="s">
        <v>462</v>
      </c>
      <c r="I25">
        <f t="shared" si="0"/>
        <v>2003</v>
      </c>
      <c r="J25" s="229">
        <v>64</v>
      </c>
      <c r="K25" s="254">
        <v>1437751.2</v>
      </c>
      <c r="L25" s="254">
        <v>296032.05</v>
      </c>
      <c r="M25" s="254">
        <v>1141719.1499999999</v>
      </c>
      <c r="N25" s="255">
        <v>413</v>
      </c>
      <c r="O25" s="256">
        <v>711</v>
      </c>
      <c r="P25" s="254">
        <f t="shared" si="1"/>
        <v>2475160.0561743341</v>
      </c>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row>
    <row r="26" spans="1:252" x14ac:dyDescent="0.2">
      <c r="A26" t="s">
        <v>458</v>
      </c>
      <c r="E26" t="s">
        <v>459</v>
      </c>
      <c r="F26" t="s">
        <v>460</v>
      </c>
      <c r="G26" t="s">
        <v>472</v>
      </c>
      <c r="H26" t="s">
        <v>462</v>
      </c>
      <c r="I26">
        <f t="shared" si="0"/>
        <v>2000</v>
      </c>
      <c r="J26" s="229">
        <v>91</v>
      </c>
      <c r="K26" s="254">
        <v>1595549.89</v>
      </c>
      <c r="L26" s="254">
        <v>459931.78</v>
      </c>
      <c r="M26" s="254">
        <v>1135618.1100000001</v>
      </c>
      <c r="N26" s="255">
        <v>396</v>
      </c>
      <c r="O26" s="256">
        <v>711</v>
      </c>
      <c r="P26" s="254">
        <f t="shared" si="1"/>
        <v>2864737.3024999998</v>
      </c>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row>
    <row r="27" spans="1:252" x14ac:dyDescent="0.2">
      <c r="A27" t="s">
        <v>458</v>
      </c>
      <c r="E27" t="s">
        <v>459</v>
      </c>
      <c r="F27" t="s">
        <v>460</v>
      </c>
      <c r="G27" t="s">
        <v>473</v>
      </c>
      <c r="H27" t="s">
        <v>462</v>
      </c>
      <c r="I27">
        <f t="shared" si="0"/>
        <v>1997</v>
      </c>
      <c r="J27" s="229">
        <v>109</v>
      </c>
      <c r="K27" s="254">
        <v>253261.41</v>
      </c>
      <c r="L27" s="254">
        <v>93863.45</v>
      </c>
      <c r="M27" s="254">
        <v>159397.96</v>
      </c>
      <c r="N27" s="255">
        <v>368</v>
      </c>
      <c r="O27" s="256">
        <v>711</v>
      </c>
      <c r="P27" s="254">
        <f t="shared" si="1"/>
        <v>489317.56116847828</v>
      </c>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row>
    <row r="28" spans="1:252" x14ac:dyDescent="0.2">
      <c r="A28" t="s">
        <v>458</v>
      </c>
      <c r="E28" t="s">
        <v>459</v>
      </c>
      <c r="F28" t="s">
        <v>460</v>
      </c>
      <c r="G28" t="s">
        <v>469</v>
      </c>
      <c r="H28" t="s">
        <v>462</v>
      </c>
      <c r="I28">
        <f t="shared" si="0"/>
        <v>2010</v>
      </c>
      <c r="J28" s="229">
        <v>111</v>
      </c>
      <c r="K28" s="254">
        <v>785848.42</v>
      </c>
      <c r="L28" s="254">
        <v>10787.04</v>
      </c>
      <c r="M28" s="254">
        <v>775061.38</v>
      </c>
      <c r="N28" s="255">
        <v>711</v>
      </c>
      <c r="O28" s="256">
        <v>711</v>
      </c>
      <c r="P28" s="254">
        <f t="shared" si="1"/>
        <v>785848.42</v>
      </c>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row>
    <row r="29" spans="1:252" x14ac:dyDescent="0.2">
      <c r="A29" t="s">
        <v>458</v>
      </c>
      <c r="E29" t="s">
        <v>459</v>
      </c>
      <c r="F29" t="s">
        <v>460</v>
      </c>
      <c r="G29" t="s">
        <v>474</v>
      </c>
      <c r="H29" t="s">
        <v>462</v>
      </c>
      <c r="I29">
        <f t="shared" si="0"/>
        <v>2005</v>
      </c>
      <c r="J29" s="229">
        <v>139</v>
      </c>
      <c r="K29" s="254">
        <v>1164051.8400000001</v>
      </c>
      <c r="L29" s="254">
        <v>175763.53</v>
      </c>
      <c r="M29" s="254">
        <v>988288.31</v>
      </c>
      <c r="N29" s="255">
        <v>595</v>
      </c>
      <c r="O29" s="256">
        <v>711</v>
      </c>
      <c r="P29" s="254">
        <f t="shared" si="1"/>
        <v>1390993.0390588236</v>
      </c>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row>
    <row r="30" spans="1:252" x14ac:dyDescent="0.2">
      <c r="A30" t="s">
        <v>458</v>
      </c>
      <c r="E30" t="s">
        <v>459</v>
      </c>
      <c r="F30" t="s">
        <v>460</v>
      </c>
      <c r="G30" t="s">
        <v>470</v>
      </c>
      <c r="H30" t="s">
        <v>462</v>
      </c>
      <c r="I30">
        <f t="shared" si="0"/>
        <v>2007</v>
      </c>
      <c r="J30" s="229">
        <v>189</v>
      </c>
      <c r="K30" s="254">
        <v>1144268.02</v>
      </c>
      <c r="L30" s="254">
        <v>109948.56</v>
      </c>
      <c r="M30" s="254">
        <v>1034319.46</v>
      </c>
      <c r="N30" s="255">
        <v>608</v>
      </c>
      <c r="O30" s="256">
        <v>711</v>
      </c>
      <c r="P30" s="254">
        <f t="shared" si="1"/>
        <v>1338116.0562828947</v>
      </c>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row>
    <row r="31" spans="1:252" x14ac:dyDescent="0.2">
      <c r="A31" t="s">
        <v>458</v>
      </c>
      <c r="E31" t="s">
        <v>459</v>
      </c>
      <c r="F31" t="s">
        <v>460</v>
      </c>
      <c r="G31" t="s">
        <v>475</v>
      </c>
      <c r="H31" t="s">
        <v>462</v>
      </c>
      <c r="I31">
        <f t="shared" si="0"/>
        <v>2002</v>
      </c>
      <c r="J31" s="229">
        <v>233</v>
      </c>
      <c r="K31" s="254">
        <v>1584981.25</v>
      </c>
      <c r="L31" s="254">
        <v>369859.5</v>
      </c>
      <c r="M31" s="254">
        <v>1215121.75</v>
      </c>
      <c r="N31" s="255">
        <v>407</v>
      </c>
      <c r="O31" s="256">
        <v>711</v>
      </c>
      <c r="P31" s="254">
        <f t="shared" si="1"/>
        <v>2768849.3089680588</v>
      </c>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row>
    <row r="32" spans="1:252" x14ac:dyDescent="0.2">
      <c r="A32" t="s">
        <v>458</v>
      </c>
      <c r="E32" t="s">
        <v>459</v>
      </c>
      <c r="F32" t="s">
        <v>460</v>
      </c>
      <c r="G32" t="s">
        <v>476</v>
      </c>
      <c r="H32" t="s">
        <v>462</v>
      </c>
      <c r="I32">
        <f t="shared" si="0"/>
        <v>2004</v>
      </c>
      <c r="J32" s="229">
        <v>349</v>
      </c>
      <c r="K32" s="254">
        <v>2634839.2200000002</v>
      </c>
      <c r="L32" s="254">
        <v>470176.81</v>
      </c>
      <c r="M32" s="254">
        <v>2164662.41</v>
      </c>
      <c r="N32" s="255">
        <v>477</v>
      </c>
      <c r="O32" s="256">
        <v>711</v>
      </c>
      <c r="P32" s="254">
        <f t="shared" si="1"/>
        <v>3927401.8562264149</v>
      </c>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row>
    <row r="33" spans="1:252" x14ac:dyDescent="0.2">
      <c r="A33" t="s">
        <v>458</v>
      </c>
      <c r="E33" t="s">
        <v>459</v>
      </c>
      <c r="F33" t="s">
        <v>460</v>
      </c>
      <c r="G33" t="s">
        <v>470</v>
      </c>
      <c r="H33" t="s">
        <v>462</v>
      </c>
      <c r="I33">
        <f t="shared" si="0"/>
        <v>2007</v>
      </c>
      <c r="J33" s="229">
        <v>427</v>
      </c>
      <c r="K33" s="254">
        <v>5570827.4400000004</v>
      </c>
      <c r="L33" s="254">
        <v>535280.59</v>
      </c>
      <c r="M33" s="254">
        <v>5035546.8499999996</v>
      </c>
      <c r="N33" s="255">
        <v>608</v>
      </c>
      <c r="O33" s="256">
        <v>711</v>
      </c>
      <c r="P33" s="254">
        <f t="shared" si="1"/>
        <v>6514569.5885526314</v>
      </c>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row>
    <row r="34" spans="1:252" x14ac:dyDescent="0.2">
      <c r="A34" t="s">
        <v>458</v>
      </c>
      <c r="E34" t="s">
        <v>459</v>
      </c>
      <c r="F34" t="s">
        <v>460</v>
      </c>
      <c r="G34" t="s">
        <v>477</v>
      </c>
      <c r="H34" t="s">
        <v>462</v>
      </c>
      <c r="I34">
        <f t="shared" si="0"/>
        <v>2006</v>
      </c>
      <c r="J34" s="229">
        <v>583</v>
      </c>
      <c r="K34" s="254">
        <v>1493124.79</v>
      </c>
      <c r="L34" s="254">
        <v>184460.07</v>
      </c>
      <c r="M34" s="254">
        <v>1308664.72</v>
      </c>
      <c r="N34" s="255">
        <v>644</v>
      </c>
      <c r="O34" s="256">
        <v>711</v>
      </c>
      <c r="P34" s="254">
        <f t="shared" si="1"/>
        <v>1648465.4125621116</v>
      </c>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row>
    <row r="35" spans="1:252" x14ac:dyDescent="0.2">
      <c r="A35" t="s">
        <v>458</v>
      </c>
      <c r="E35" t="s">
        <v>459</v>
      </c>
      <c r="F35" t="s">
        <v>460</v>
      </c>
      <c r="G35" t="s">
        <v>478</v>
      </c>
      <c r="H35" t="s">
        <v>462</v>
      </c>
      <c r="I35">
        <f t="shared" si="0"/>
        <v>2001</v>
      </c>
      <c r="J35" s="229">
        <v>801</v>
      </c>
      <c r="K35" s="254">
        <v>3257741.97</v>
      </c>
      <c r="L35" s="254">
        <v>849638.16</v>
      </c>
      <c r="M35" s="254">
        <v>2408103.81</v>
      </c>
      <c r="N35" s="255">
        <v>399</v>
      </c>
      <c r="O35" s="256">
        <v>711</v>
      </c>
      <c r="P35" s="254">
        <f t="shared" si="1"/>
        <v>5805149.2247368423</v>
      </c>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row>
    <row r="36" spans="1:252" x14ac:dyDescent="0.2">
      <c r="A36" t="s">
        <v>458</v>
      </c>
      <c r="E36" t="s">
        <v>459</v>
      </c>
      <c r="F36" t="s">
        <v>460</v>
      </c>
      <c r="G36" t="s">
        <v>479</v>
      </c>
      <c r="H36" t="s">
        <v>462</v>
      </c>
      <c r="I36">
        <f t="shared" si="0"/>
        <v>1998</v>
      </c>
      <c r="J36" s="229">
        <v>860</v>
      </c>
      <c r="K36" s="254">
        <v>2251004.64</v>
      </c>
      <c r="L36" s="254">
        <v>772467.34</v>
      </c>
      <c r="M36" s="254">
        <v>1478537.3</v>
      </c>
      <c r="N36" s="255">
        <v>372</v>
      </c>
      <c r="O36" s="256">
        <v>711</v>
      </c>
      <c r="P36" s="254">
        <f t="shared" si="1"/>
        <v>4302323.3845161293</v>
      </c>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row>
    <row r="37" spans="1:252" x14ac:dyDescent="0.2">
      <c r="A37" t="s">
        <v>458</v>
      </c>
      <c r="E37" t="s">
        <v>459</v>
      </c>
      <c r="F37" t="s">
        <v>460</v>
      </c>
      <c r="G37" t="s">
        <v>480</v>
      </c>
      <c r="H37" t="s">
        <v>462</v>
      </c>
      <c r="I37">
        <f t="shared" si="0"/>
        <v>1999</v>
      </c>
      <c r="J37" s="229">
        <v>3259</v>
      </c>
      <c r="K37" s="254">
        <v>1115260.73</v>
      </c>
      <c r="L37" s="254">
        <v>352101.59</v>
      </c>
      <c r="M37" s="254">
        <v>763159.14</v>
      </c>
      <c r="N37" s="255">
        <v>382</v>
      </c>
      <c r="O37" s="256">
        <v>711</v>
      </c>
      <c r="P37" s="254">
        <f t="shared" si="1"/>
        <v>2075786.3325392671</v>
      </c>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row>
    <row r="38" spans="1:252" x14ac:dyDescent="0.2">
      <c r="A38" t="s">
        <v>481</v>
      </c>
      <c r="E38" t="s">
        <v>482</v>
      </c>
      <c r="F38" t="s">
        <v>483</v>
      </c>
      <c r="G38" t="s">
        <v>475</v>
      </c>
      <c r="H38" t="s">
        <v>462</v>
      </c>
      <c r="I38">
        <f t="shared" si="0"/>
        <v>2002</v>
      </c>
      <c r="J38" s="229">
        <v>8</v>
      </c>
      <c r="K38" s="254">
        <v>0</v>
      </c>
      <c r="L38" s="254">
        <v>0</v>
      </c>
      <c r="M38" s="254">
        <v>0</v>
      </c>
      <c r="N38" s="255">
        <v>373</v>
      </c>
      <c r="O38" s="256">
        <v>491</v>
      </c>
      <c r="P38" s="254">
        <f t="shared" si="1"/>
        <v>0</v>
      </c>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row>
    <row r="39" spans="1:252" x14ac:dyDescent="0.2">
      <c r="A39" t="s">
        <v>481</v>
      </c>
      <c r="E39" t="s">
        <v>484</v>
      </c>
      <c r="F39" t="s">
        <v>485</v>
      </c>
      <c r="G39" t="s">
        <v>486</v>
      </c>
      <c r="H39" t="s">
        <v>462</v>
      </c>
      <c r="I39">
        <f t="shared" si="0"/>
        <v>1978</v>
      </c>
      <c r="J39" s="229">
        <v>0</v>
      </c>
      <c r="K39" s="254">
        <v>0</v>
      </c>
      <c r="L39" s="254">
        <v>0</v>
      </c>
      <c r="M39" s="254">
        <v>0</v>
      </c>
      <c r="N39" s="255">
        <v>173</v>
      </c>
      <c r="O39" s="256">
        <v>711</v>
      </c>
      <c r="P39" s="254">
        <f t="shared" si="1"/>
        <v>0</v>
      </c>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row>
    <row r="40" spans="1:252" x14ac:dyDescent="0.2">
      <c r="A40" t="s">
        <v>481</v>
      </c>
      <c r="E40" t="s">
        <v>487</v>
      </c>
      <c r="F40" t="s">
        <v>488</v>
      </c>
      <c r="G40" t="s">
        <v>489</v>
      </c>
      <c r="H40" t="s">
        <v>462</v>
      </c>
      <c r="I40">
        <f t="shared" si="0"/>
        <v>1990</v>
      </c>
      <c r="J40" s="229">
        <v>0</v>
      </c>
      <c r="K40" s="254">
        <v>0</v>
      </c>
      <c r="L40" s="254">
        <v>0</v>
      </c>
      <c r="M40" s="254">
        <f>+K40-L40</f>
        <v>0</v>
      </c>
      <c r="N40" s="255">
        <v>304</v>
      </c>
      <c r="O40" s="256">
        <v>711</v>
      </c>
      <c r="P40" s="254">
        <f t="shared" si="1"/>
        <v>0</v>
      </c>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row>
    <row r="41" spans="1:252" x14ac:dyDescent="0.2">
      <c r="A41" t="s">
        <v>481</v>
      </c>
      <c r="E41" t="s">
        <v>487</v>
      </c>
      <c r="F41" t="s">
        <v>488</v>
      </c>
      <c r="G41" t="s">
        <v>490</v>
      </c>
      <c r="H41" t="s">
        <v>462</v>
      </c>
      <c r="I41">
        <f t="shared" si="0"/>
        <v>1992</v>
      </c>
      <c r="J41" s="229">
        <v>0</v>
      </c>
      <c r="K41" s="254">
        <v>0</v>
      </c>
      <c r="L41" s="254">
        <v>0</v>
      </c>
      <c r="M41" s="254">
        <v>0</v>
      </c>
      <c r="N41" s="255">
        <v>315</v>
      </c>
      <c r="O41" s="256">
        <v>711</v>
      </c>
      <c r="P41" s="254">
        <f t="shared" si="1"/>
        <v>0</v>
      </c>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row>
    <row r="42" spans="1:252" x14ac:dyDescent="0.2">
      <c r="A42" t="s">
        <v>481</v>
      </c>
      <c r="E42" t="s">
        <v>487</v>
      </c>
      <c r="F42" t="s">
        <v>488</v>
      </c>
      <c r="G42" t="s">
        <v>491</v>
      </c>
      <c r="H42" t="s">
        <v>462</v>
      </c>
      <c r="I42">
        <f t="shared" si="0"/>
        <v>1993</v>
      </c>
      <c r="J42" s="229">
        <v>0</v>
      </c>
      <c r="K42" s="254">
        <v>0</v>
      </c>
      <c r="L42" s="254">
        <v>0</v>
      </c>
      <c r="M42" s="254">
        <v>0</v>
      </c>
      <c r="N42" s="255">
        <v>324</v>
      </c>
      <c r="O42" s="256">
        <v>711</v>
      </c>
      <c r="P42" s="254">
        <f t="shared" si="1"/>
        <v>0</v>
      </c>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row>
    <row r="43" spans="1:252" x14ac:dyDescent="0.2">
      <c r="A43" t="s">
        <v>481</v>
      </c>
      <c r="E43" t="s">
        <v>487</v>
      </c>
      <c r="F43" t="s">
        <v>488</v>
      </c>
      <c r="G43" t="s">
        <v>467</v>
      </c>
      <c r="H43" t="s">
        <v>462</v>
      </c>
      <c r="I43">
        <f t="shared" si="0"/>
        <v>1996</v>
      </c>
      <c r="J43" s="229">
        <v>0</v>
      </c>
      <c r="K43" s="254">
        <v>0</v>
      </c>
      <c r="L43" s="254">
        <v>0</v>
      </c>
      <c r="M43" s="254">
        <v>0</v>
      </c>
      <c r="N43" s="255">
        <v>359</v>
      </c>
      <c r="O43" s="256">
        <v>711</v>
      </c>
      <c r="P43" s="254">
        <f t="shared" si="1"/>
        <v>0</v>
      </c>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row>
    <row r="44" spans="1:252" x14ac:dyDescent="0.2">
      <c r="A44" t="s">
        <v>481</v>
      </c>
      <c r="E44" t="s">
        <v>487</v>
      </c>
      <c r="F44" t="s">
        <v>488</v>
      </c>
      <c r="G44" t="s">
        <v>479</v>
      </c>
      <c r="H44" t="s">
        <v>462</v>
      </c>
      <c r="I44">
        <f t="shared" si="0"/>
        <v>1998</v>
      </c>
      <c r="J44" s="229">
        <v>0</v>
      </c>
      <c r="K44" s="254">
        <v>0</v>
      </c>
      <c r="L44" s="254">
        <v>0</v>
      </c>
      <c r="M44" s="254">
        <v>0</v>
      </c>
      <c r="N44" s="255">
        <v>372</v>
      </c>
      <c r="O44" s="256">
        <v>711</v>
      </c>
      <c r="P44" s="254">
        <f t="shared" si="1"/>
        <v>0</v>
      </c>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row>
    <row r="45" spans="1:252" x14ac:dyDescent="0.2">
      <c r="A45" t="s">
        <v>481</v>
      </c>
      <c r="E45" t="s">
        <v>487</v>
      </c>
      <c r="F45" t="s">
        <v>488</v>
      </c>
      <c r="G45" t="s">
        <v>480</v>
      </c>
      <c r="H45" t="s">
        <v>462</v>
      </c>
      <c r="I45">
        <f t="shared" si="0"/>
        <v>1999</v>
      </c>
      <c r="J45" s="229">
        <v>0</v>
      </c>
      <c r="K45" s="254">
        <v>0</v>
      </c>
      <c r="L45" s="254">
        <v>0</v>
      </c>
      <c r="M45" s="254">
        <v>0</v>
      </c>
      <c r="N45" s="255">
        <v>382</v>
      </c>
      <c r="O45" s="256">
        <v>711</v>
      </c>
      <c r="P45" s="254">
        <f t="shared" si="1"/>
        <v>0</v>
      </c>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row>
    <row r="46" spans="1:252" x14ac:dyDescent="0.2">
      <c r="A46" t="s">
        <v>481</v>
      </c>
      <c r="E46" t="s">
        <v>487</v>
      </c>
      <c r="F46" t="s">
        <v>488</v>
      </c>
      <c r="G46" t="s">
        <v>472</v>
      </c>
      <c r="H46" t="s">
        <v>462</v>
      </c>
      <c r="I46">
        <f t="shared" si="0"/>
        <v>2000</v>
      </c>
      <c r="J46" s="229">
        <v>0</v>
      </c>
      <c r="K46" s="254">
        <v>0</v>
      </c>
      <c r="L46" s="254">
        <v>0</v>
      </c>
      <c r="M46" s="254">
        <v>0</v>
      </c>
      <c r="N46" s="255">
        <v>396</v>
      </c>
      <c r="O46" s="256">
        <v>711</v>
      </c>
      <c r="P46" s="254">
        <f t="shared" si="1"/>
        <v>0</v>
      </c>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row>
    <row r="47" spans="1:252" x14ac:dyDescent="0.2">
      <c r="A47" t="s">
        <v>481</v>
      </c>
      <c r="E47" t="s">
        <v>487</v>
      </c>
      <c r="F47" t="s">
        <v>488</v>
      </c>
      <c r="G47" t="s">
        <v>475</v>
      </c>
      <c r="H47" t="s">
        <v>462</v>
      </c>
      <c r="I47">
        <f t="shared" si="0"/>
        <v>2002</v>
      </c>
      <c r="J47" s="229">
        <v>0</v>
      </c>
      <c r="K47" s="254">
        <v>0</v>
      </c>
      <c r="L47" s="254">
        <v>0</v>
      </c>
      <c r="M47" s="254">
        <v>0</v>
      </c>
      <c r="N47" s="255">
        <v>407</v>
      </c>
      <c r="O47" s="256">
        <v>711</v>
      </c>
      <c r="P47" s="254">
        <f t="shared" si="1"/>
        <v>0</v>
      </c>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row>
    <row r="48" spans="1:252" x14ac:dyDescent="0.2">
      <c r="A48" t="s">
        <v>481</v>
      </c>
      <c r="E48" t="s">
        <v>487</v>
      </c>
      <c r="F48" t="s">
        <v>488</v>
      </c>
      <c r="G48" t="s">
        <v>471</v>
      </c>
      <c r="H48" t="s">
        <v>462</v>
      </c>
      <c r="I48">
        <f t="shared" si="0"/>
        <v>2003</v>
      </c>
      <c r="J48" s="229">
        <v>0</v>
      </c>
      <c r="K48" s="254">
        <v>0</v>
      </c>
      <c r="L48" s="254">
        <v>0</v>
      </c>
      <c r="M48" s="254">
        <v>0</v>
      </c>
      <c r="N48" s="255">
        <v>413</v>
      </c>
      <c r="O48" s="256">
        <v>711</v>
      </c>
      <c r="P48" s="254">
        <f t="shared" si="1"/>
        <v>0</v>
      </c>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row>
    <row r="49" spans="1:252" x14ac:dyDescent="0.2">
      <c r="A49" t="s">
        <v>481</v>
      </c>
      <c r="E49" t="s">
        <v>487</v>
      </c>
      <c r="F49" t="s">
        <v>488</v>
      </c>
      <c r="G49" t="s">
        <v>470</v>
      </c>
      <c r="H49" t="s">
        <v>462</v>
      </c>
      <c r="I49">
        <f t="shared" si="0"/>
        <v>2007</v>
      </c>
      <c r="J49" s="229">
        <v>0</v>
      </c>
      <c r="K49" s="254">
        <v>0</v>
      </c>
      <c r="L49" s="254">
        <v>0</v>
      </c>
      <c r="M49" s="254">
        <v>0</v>
      </c>
      <c r="N49" s="255">
        <v>608</v>
      </c>
      <c r="O49" s="256">
        <v>711</v>
      </c>
      <c r="P49" s="254">
        <f t="shared" si="1"/>
        <v>0</v>
      </c>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row>
    <row r="50" spans="1:252" x14ac:dyDescent="0.2">
      <c r="A50" t="s">
        <v>481</v>
      </c>
      <c r="E50" t="s">
        <v>487</v>
      </c>
      <c r="F50" t="s">
        <v>488</v>
      </c>
      <c r="G50" t="s">
        <v>464</v>
      </c>
      <c r="H50" t="s">
        <v>462</v>
      </c>
      <c r="I50">
        <f t="shared" si="0"/>
        <v>1985</v>
      </c>
      <c r="J50" s="229">
        <v>1</v>
      </c>
      <c r="K50" s="254">
        <v>0</v>
      </c>
      <c r="L50" s="254">
        <v>0</v>
      </c>
      <c r="M50" s="254">
        <v>0</v>
      </c>
      <c r="N50" s="255">
        <v>270</v>
      </c>
      <c r="O50" s="256">
        <v>711</v>
      </c>
      <c r="P50" s="254">
        <f t="shared" si="1"/>
        <v>0</v>
      </c>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row>
    <row r="51" spans="1:252" x14ac:dyDescent="0.2">
      <c r="A51" t="s">
        <v>481</v>
      </c>
      <c r="E51" t="s">
        <v>487</v>
      </c>
      <c r="F51" t="s">
        <v>488</v>
      </c>
      <c r="G51" t="s">
        <v>465</v>
      </c>
      <c r="H51" t="s">
        <v>462</v>
      </c>
      <c r="I51">
        <f t="shared" si="0"/>
        <v>1991</v>
      </c>
      <c r="J51" s="229">
        <v>1</v>
      </c>
      <c r="K51" s="254">
        <v>0</v>
      </c>
      <c r="L51" s="254">
        <v>0</v>
      </c>
      <c r="M51" s="254">
        <v>0</v>
      </c>
      <c r="N51" s="255">
        <v>312</v>
      </c>
      <c r="O51" s="256">
        <v>711</v>
      </c>
      <c r="P51" s="254">
        <f t="shared" si="1"/>
        <v>0</v>
      </c>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row>
    <row r="52" spans="1:252" x14ac:dyDescent="0.2">
      <c r="A52" t="s">
        <v>481</v>
      </c>
      <c r="E52" t="s">
        <v>487</v>
      </c>
      <c r="F52" t="s">
        <v>488</v>
      </c>
      <c r="G52" t="s">
        <v>473</v>
      </c>
      <c r="H52" t="s">
        <v>462</v>
      </c>
      <c r="I52">
        <f t="shared" si="0"/>
        <v>1997</v>
      </c>
      <c r="J52" s="229">
        <v>1</v>
      </c>
      <c r="K52" s="254">
        <v>0</v>
      </c>
      <c r="L52" s="254">
        <v>0</v>
      </c>
      <c r="M52" s="254">
        <v>0</v>
      </c>
      <c r="N52" s="255">
        <v>368</v>
      </c>
      <c r="O52" s="256">
        <v>711</v>
      </c>
      <c r="P52" s="254">
        <f t="shared" si="1"/>
        <v>0</v>
      </c>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row>
    <row r="53" spans="1:252" x14ac:dyDescent="0.2">
      <c r="A53" t="s">
        <v>481</v>
      </c>
      <c r="E53" t="s">
        <v>487</v>
      </c>
      <c r="F53" t="s">
        <v>488</v>
      </c>
      <c r="G53" t="s">
        <v>463</v>
      </c>
      <c r="H53" t="s">
        <v>462</v>
      </c>
      <c r="I53">
        <f t="shared" si="0"/>
        <v>1984</v>
      </c>
      <c r="J53" s="229">
        <v>2</v>
      </c>
      <c r="K53" s="254">
        <v>0</v>
      </c>
      <c r="L53" s="254">
        <v>0</v>
      </c>
      <c r="M53" s="254">
        <v>0</v>
      </c>
      <c r="N53" s="255">
        <v>271</v>
      </c>
      <c r="O53" s="256">
        <v>711</v>
      </c>
      <c r="P53" s="254">
        <f t="shared" si="1"/>
        <v>0</v>
      </c>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row>
    <row r="54" spans="1:252" x14ac:dyDescent="0.2">
      <c r="A54" t="s">
        <v>481</v>
      </c>
      <c r="E54" t="s">
        <v>487</v>
      </c>
      <c r="F54" t="s">
        <v>488</v>
      </c>
      <c r="G54" t="s">
        <v>478</v>
      </c>
      <c r="H54" t="s">
        <v>462</v>
      </c>
      <c r="I54">
        <f t="shared" si="0"/>
        <v>2001</v>
      </c>
      <c r="J54" s="229">
        <v>2</v>
      </c>
      <c r="K54" s="254">
        <v>0</v>
      </c>
      <c r="L54" s="254">
        <v>0</v>
      </c>
      <c r="M54" s="254">
        <v>0</v>
      </c>
      <c r="N54" s="255">
        <v>399</v>
      </c>
      <c r="O54" s="256">
        <v>711</v>
      </c>
      <c r="P54" s="254">
        <f t="shared" si="1"/>
        <v>0</v>
      </c>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row>
    <row r="55" spans="1:252" x14ac:dyDescent="0.2">
      <c r="A55" t="s">
        <v>492</v>
      </c>
      <c r="B55" s="257" t="s">
        <v>493</v>
      </c>
      <c r="C55" s="257" t="s">
        <v>494</v>
      </c>
      <c r="D55" s="257" t="str">
        <f t="shared" ref="D55:D118" si="2">B55&amp;" "&amp;C55</f>
        <v>.75-2.75 ST</v>
      </c>
      <c r="E55" t="s">
        <v>484</v>
      </c>
      <c r="F55" t="s">
        <v>485</v>
      </c>
      <c r="G55" t="s">
        <v>495</v>
      </c>
      <c r="H55" t="s">
        <v>462</v>
      </c>
      <c r="I55">
        <f t="shared" si="0"/>
        <v>1957</v>
      </c>
      <c r="J55" s="229">
        <v>33654</v>
      </c>
      <c r="K55" s="254">
        <v>88488.03</v>
      </c>
      <c r="L55" s="254">
        <v>59236.45</v>
      </c>
      <c r="M55" s="254">
        <v>29251.58</v>
      </c>
      <c r="N55" s="255">
        <v>52</v>
      </c>
      <c r="O55" s="256">
        <v>711</v>
      </c>
      <c r="P55" s="254">
        <f t="shared" si="1"/>
        <v>1209903.6409615385</v>
      </c>
    </row>
    <row r="56" spans="1:252" x14ac:dyDescent="0.2">
      <c r="A56" t="s">
        <v>492</v>
      </c>
      <c r="B56" s="257" t="s">
        <v>493</v>
      </c>
      <c r="C56" s="257" t="s">
        <v>494</v>
      </c>
      <c r="D56" s="257" t="str">
        <f t="shared" si="2"/>
        <v>.75-2.75 ST</v>
      </c>
      <c r="E56" t="s">
        <v>484</v>
      </c>
      <c r="F56" t="s">
        <v>485</v>
      </c>
      <c r="G56" t="s">
        <v>496</v>
      </c>
      <c r="H56" t="s">
        <v>462</v>
      </c>
      <c r="I56">
        <f t="shared" si="0"/>
        <v>1958</v>
      </c>
      <c r="J56" s="229">
        <v>244433</v>
      </c>
      <c r="K56" s="254">
        <v>636663.93999999994</v>
      </c>
      <c r="L56" s="254">
        <v>426201.27</v>
      </c>
      <c r="M56" s="254">
        <v>210462.67</v>
      </c>
      <c r="N56" s="255">
        <v>55</v>
      </c>
      <c r="O56" s="256">
        <v>711</v>
      </c>
      <c r="P56" s="254">
        <f t="shared" si="1"/>
        <v>8230328.3879999993</v>
      </c>
    </row>
    <row r="57" spans="1:252" x14ac:dyDescent="0.2">
      <c r="A57" t="s">
        <v>497</v>
      </c>
      <c r="B57" s="253">
        <v>3</v>
      </c>
      <c r="C57" s="257" t="s">
        <v>494</v>
      </c>
      <c r="D57" s="257" t="str">
        <f t="shared" si="2"/>
        <v>3 ST</v>
      </c>
      <c r="E57" t="s">
        <v>484</v>
      </c>
      <c r="F57" t="s">
        <v>485</v>
      </c>
      <c r="G57" t="s">
        <v>498</v>
      </c>
      <c r="H57" t="s">
        <v>462</v>
      </c>
      <c r="I57">
        <f t="shared" si="0"/>
        <v>1954</v>
      </c>
      <c r="J57" s="229">
        <v>1504</v>
      </c>
      <c r="K57" s="254">
        <v>2726.96</v>
      </c>
      <c r="L57" s="254">
        <v>1825.51</v>
      </c>
      <c r="M57" s="254">
        <v>901.45</v>
      </c>
      <c r="N57" s="255">
        <v>44</v>
      </c>
      <c r="O57" s="256">
        <v>711</v>
      </c>
      <c r="P57" s="254">
        <f t="shared" si="1"/>
        <v>44065.194545454549</v>
      </c>
    </row>
    <row r="58" spans="1:252" x14ac:dyDescent="0.2">
      <c r="A58" t="s">
        <v>497</v>
      </c>
      <c r="B58" s="253">
        <v>3</v>
      </c>
      <c r="C58" s="257" t="s">
        <v>494</v>
      </c>
      <c r="D58" s="257" t="str">
        <f t="shared" si="2"/>
        <v>3 ST</v>
      </c>
      <c r="E58" t="s">
        <v>484</v>
      </c>
      <c r="F58" t="s">
        <v>485</v>
      </c>
      <c r="G58" t="s">
        <v>499</v>
      </c>
      <c r="H58" t="s">
        <v>462</v>
      </c>
      <c r="I58">
        <f t="shared" si="0"/>
        <v>1953</v>
      </c>
      <c r="J58" s="229">
        <v>2911</v>
      </c>
      <c r="K58" s="254">
        <v>1144.78</v>
      </c>
      <c r="L58" s="254">
        <v>766.35</v>
      </c>
      <c r="M58" s="254">
        <v>378.43</v>
      </c>
      <c r="N58" s="255">
        <v>41</v>
      </c>
      <c r="O58" s="256">
        <v>711</v>
      </c>
      <c r="P58" s="254">
        <f t="shared" si="1"/>
        <v>19852.160487804875</v>
      </c>
    </row>
    <row r="59" spans="1:252" x14ac:dyDescent="0.2">
      <c r="A59" t="s">
        <v>500</v>
      </c>
      <c r="B59" s="258" t="s">
        <v>501</v>
      </c>
      <c r="C59" s="257" t="s">
        <v>494</v>
      </c>
      <c r="D59" s="257" t="str">
        <f t="shared" si="2"/>
        <v>4-5 ST</v>
      </c>
      <c r="E59" t="s">
        <v>484</v>
      </c>
      <c r="F59" t="s">
        <v>485</v>
      </c>
      <c r="G59" t="s">
        <v>496</v>
      </c>
      <c r="H59" t="s">
        <v>462</v>
      </c>
      <c r="I59">
        <f t="shared" si="0"/>
        <v>1958</v>
      </c>
      <c r="J59" s="229">
        <v>59262</v>
      </c>
      <c r="K59" s="254">
        <v>271771.34999999998</v>
      </c>
      <c r="L59" s="254">
        <v>181931.61</v>
      </c>
      <c r="M59" s="254">
        <v>89839.74</v>
      </c>
      <c r="N59" s="255">
        <v>55</v>
      </c>
      <c r="O59" s="256">
        <v>711</v>
      </c>
      <c r="P59" s="254">
        <f t="shared" si="1"/>
        <v>3513262.3609090908</v>
      </c>
    </row>
    <row r="60" spans="1:252" x14ac:dyDescent="0.2">
      <c r="A60" t="s">
        <v>500</v>
      </c>
      <c r="B60" s="258" t="s">
        <v>501</v>
      </c>
      <c r="C60" s="257" t="s">
        <v>494</v>
      </c>
      <c r="D60" s="257" t="str">
        <f t="shared" si="2"/>
        <v>4-5 ST</v>
      </c>
      <c r="E60" t="s">
        <v>484</v>
      </c>
      <c r="F60" t="s">
        <v>485</v>
      </c>
      <c r="G60" t="s">
        <v>495</v>
      </c>
      <c r="H60" t="s">
        <v>462</v>
      </c>
      <c r="I60">
        <f t="shared" si="0"/>
        <v>1957</v>
      </c>
      <c r="J60" s="229">
        <v>76715</v>
      </c>
      <c r="K60" s="254">
        <v>431517.36</v>
      </c>
      <c r="L60" s="254">
        <v>288870.21000000002</v>
      </c>
      <c r="M60" s="254">
        <v>142647.15</v>
      </c>
      <c r="N60" s="255">
        <v>52</v>
      </c>
      <c r="O60" s="256">
        <v>711</v>
      </c>
      <c r="P60" s="254">
        <f t="shared" si="1"/>
        <v>5900170.0569230765</v>
      </c>
    </row>
    <row r="61" spans="1:252" x14ac:dyDescent="0.2">
      <c r="A61" t="s">
        <v>502</v>
      </c>
      <c r="B61" s="253">
        <v>6</v>
      </c>
      <c r="C61" s="257" t="s">
        <v>494</v>
      </c>
      <c r="D61" s="257" t="str">
        <f t="shared" si="2"/>
        <v>6 ST</v>
      </c>
      <c r="E61" t="s">
        <v>484</v>
      </c>
      <c r="F61" t="s">
        <v>485</v>
      </c>
      <c r="G61" t="s">
        <v>495</v>
      </c>
      <c r="H61" t="s">
        <v>462</v>
      </c>
      <c r="I61">
        <f t="shared" si="0"/>
        <v>1957</v>
      </c>
      <c r="J61" s="229">
        <v>6968</v>
      </c>
      <c r="K61" s="254">
        <v>46867.53</v>
      </c>
      <c r="L61" s="254">
        <v>31374.48</v>
      </c>
      <c r="M61" s="254">
        <v>15493.05</v>
      </c>
      <c r="N61" s="255">
        <v>52</v>
      </c>
      <c r="O61" s="256">
        <v>711</v>
      </c>
      <c r="P61" s="254">
        <f t="shared" si="1"/>
        <v>640823.34288461541</v>
      </c>
    </row>
    <row r="62" spans="1:252" x14ac:dyDescent="0.2">
      <c r="A62" t="s">
        <v>502</v>
      </c>
      <c r="B62" s="253">
        <v>6</v>
      </c>
      <c r="C62" s="257" t="s">
        <v>494</v>
      </c>
      <c r="D62" s="257" t="str">
        <f t="shared" si="2"/>
        <v>6 ST</v>
      </c>
      <c r="E62" t="s">
        <v>484</v>
      </c>
      <c r="F62" t="s">
        <v>485</v>
      </c>
      <c r="G62" t="s">
        <v>496</v>
      </c>
      <c r="H62" t="s">
        <v>462</v>
      </c>
      <c r="I62">
        <f t="shared" si="0"/>
        <v>1958</v>
      </c>
      <c r="J62" s="229">
        <v>38402</v>
      </c>
      <c r="K62" s="254">
        <v>252496.14</v>
      </c>
      <c r="L62" s="254">
        <v>169028.23</v>
      </c>
      <c r="M62" s="254">
        <v>83467.91</v>
      </c>
      <c r="N62" s="255">
        <v>55</v>
      </c>
      <c r="O62" s="256">
        <v>711</v>
      </c>
      <c r="P62" s="254">
        <f t="shared" si="1"/>
        <v>3264086.4643636364</v>
      </c>
    </row>
    <row r="63" spans="1:252" x14ac:dyDescent="0.2">
      <c r="A63" t="s">
        <v>503</v>
      </c>
      <c r="B63" s="253">
        <v>8</v>
      </c>
      <c r="C63" s="257" t="s">
        <v>494</v>
      </c>
      <c r="D63" s="257" t="str">
        <f t="shared" si="2"/>
        <v>8 ST</v>
      </c>
      <c r="E63" t="s">
        <v>484</v>
      </c>
      <c r="F63" t="s">
        <v>485</v>
      </c>
      <c r="G63" t="s">
        <v>496</v>
      </c>
      <c r="H63" t="s">
        <v>462</v>
      </c>
      <c r="I63">
        <f t="shared" si="0"/>
        <v>1958</v>
      </c>
      <c r="J63" s="229">
        <v>9808</v>
      </c>
      <c r="K63" s="254">
        <v>91863.29</v>
      </c>
      <c r="L63" s="254">
        <v>61495.95</v>
      </c>
      <c r="M63" s="254">
        <v>30367.34</v>
      </c>
      <c r="N63" s="255">
        <v>55</v>
      </c>
      <c r="O63" s="256">
        <v>711</v>
      </c>
      <c r="P63" s="254">
        <f t="shared" si="1"/>
        <v>1187541.8034545453</v>
      </c>
    </row>
    <row r="64" spans="1:252" x14ac:dyDescent="0.2">
      <c r="A64" t="s">
        <v>504</v>
      </c>
      <c r="B64" s="257" t="s">
        <v>505</v>
      </c>
      <c r="C64" s="257" t="s">
        <v>494</v>
      </c>
      <c r="D64" s="257" t="str">
        <f t="shared" si="2"/>
        <v>.75-1.75 ST</v>
      </c>
      <c r="E64" t="s">
        <v>487</v>
      </c>
      <c r="F64" t="s">
        <v>488</v>
      </c>
      <c r="G64" t="s">
        <v>506</v>
      </c>
      <c r="H64" t="s">
        <v>462</v>
      </c>
      <c r="I64">
        <f t="shared" si="0"/>
        <v>1959</v>
      </c>
      <c r="J64" s="229">
        <v>571358</v>
      </c>
      <c r="K64" s="254">
        <v>1374647.9</v>
      </c>
      <c r="L64" s="254">
        <v>1428249.7188508797</v>
      </c>
      <c r="M64" s="254">
        <v>-53601.81885087979</v>
      </c>
      <c r="N64" s="255">
        <v>57</v>
      </c>
      <c r="O64" s="256">
        <v>711</v>
      </c>
      <c r="P64" s="254">
        <f t="shared" si="1"/>
        <v>17146923.805263154</v>
      </c>
    </row>
    <row r="65" spans="1:16" x14ac:dyDescent="0.2">
      <c r="A65" t="s">
        <v>504</v>
      </c>
      <c r="B65" s="257" t="s">
        <v>505</v>
      </c>
      <c r="C65" s="257" t="s">
        <v>494</v>
      </c>
      <c r="D65" s="257" t="str">
        <f t="shared" si="2"/>
        <v>.75-1.75 ST</v>
      </c>
      <c r="E65" t="s">
        <v>487</v>
      </c>
      <c r="F65" t="s">
        <v>488</v>
      </c>
      <c r="G65" t="s">
        <v>507</v>
      </c>
      <c r="H65" t="s">
        <v>462</v>
      </c>
      <c r="I65">
        <f t="shared" si="0"/>
        <v>1960</v>
      </c>
      <c r="J65" s="229">
        <v>700659</v>
      </c>
      <c r="K65" s="254">
        <v>1712774.29</v>
      </c>
      <c r="L65" s="254">
        <v>1777976.400019662</v>
      </c>
      <c r="M65" s="254">
        <v>-65202.110019661952</v>
      </c>
      <c r="N65" s="255">
        <v>61</v>
      </c>
      <c r="O65" s="256">
        <v>711</v>
      </c>
      <c r="P65" s="254">
        <f t="shared" si="1"/>
        <v>19963647.871967215</v>
      </c>
    </row>
    <row r="66" spans="1:16" x14ac:dyDescent="0.2">
      <c r="A66" t="s">
        <v>504</v>
      </c>
      <c r="B66" s="257" t="s">
        <v>505</v>
      </c>
      <c r="C66" s="257" t="s">
        <v>494</v>
      </c>
      <c r="D66" s="257" t="str">
        <f t="shared" si="2"/>
        <v>.75-1.75 ST</v>
      </c>
      <c r="E66" t="s">
        <v>487</v>
      </c>
      <c r="F66" t="s">
        <v>488</v>
      </c>
      <c r="G66" t="s">
        <v>508</v>
      </c>
      <c r="H66" t="s">
        <v>462</v>
      </c>
      <c r="I66">
        <f t="shared" ref="I66:I129" si="3">+G66*1</f>
        <v>1961</v>
      </c>
      <c r="J66" s="229">
        <v>780331</v>
      </c>
      <c r="K66" s="254">
        <v>1979937.79</v>
      </c>
      <c r="L66" s="254">
        <v>2053168.3299366529</v>
      </c>
      <c r="M66" s="254">
        <v>-73230.539936652873</v>
      </c>
      <c r="N66" s="255">
        <v>63</v>
      </c>
      <c r="O66" s="256">
        <v>711</v>
      </c>
      <c r="P66" s="254">
        <f t="shared" ref="P66:P129" si="4">+(O66/N66)*K66</f>
        <v>22345012.201428574</v>
      </c>
    </row>
    <row r="67" spans="1:16" x14ac:dyDescent="0.2">
      <c r="A67" t="s">
        <v>504</v>
      </c>
      <c r="B67" s="257" t="s">
        <v>505</v>
      </c>
      <c r="C67" s="257" t="s">
        <v>494</v>
      </c>
      <c r="D67" s="257" t="str">
        <f t="shared" si="2"/>
        <v>.75-1.75 ST</v>
      </c>
      <c r="E67" t="s">
        <v>487</v>
      </c>
      <c r="F67" t="s">
        <v>488</v>
      </c>
      <c r="G67" t="s">
        <v>509</v>
      </c>
      <c r="H67" t="s">
        <v>462</v>
      </c>
      <c r="I67">
        <f t="shared" si="3"/>
        <v>1964</v>
      </c>
      <c r="J67" s="229">
        <v>932422</v>
      </c>
      <c r="K67" s="254">
        <v>2397681.33</v>
      </c>
      <c r="L67" s="254">
        <v>2475251.6069137831</v>
      </c>
      <c r="M67" s="254">
        <v>-77570.276913783047</v>
      </c>
      <c r="N67" s="255">
        <v>67</v>
      </c>
      <c r="O67" s="256">
        <v>711</v>
      </c>
      <c r="P67" s="254">
        <f t="shared" si="4"/>
        <v>25444051.128805973</v>
      </c>
    </row>
    <row r="68" spans="1:16" x14ac:dyDescent="0.2">
      <c r="A68" t="s">
        <v>504</v>
      </c>
      <c r="B68" s="257" t="s">
        <v>505</v>
      </c>
      <c r="C68" s="257" t="s">
        <v>494</v>
      </c>
      <c r="D68" s="257" t="str">
        <f t="shared" si="2"/>
        <v>.75-1.75 ST</v>
      </c>
      <c r="E68" t="s">
        <v>487</v>
      </c>
      <c r="F68" t="s">
        <v>488</v>
      </c>
      <c r="G68" t="s">
        <v>510</v>
      </c>
      <c r="H68" t="s">
        <v>462</v>
      </c>
      <c r="I68">
        <f t="shared" si="3"/>
        <v>1962</v>
      </c>
      <c r="J68" s="229">
        <v>1020431</v>
      </c>
      <c r="K68" s="254">
        <v>2608089.0699999998</v>
      </c>
      <c r="L68" s="254">
        <v>2701213.7246273006</v>
      </c>
      <c r="M68" s="254">
        <v>-93124.654627300799</v>
      </c>
      <c r="N68" s="255">
        <v>64</v>
      </c>
      <c r="O68" s="256">
        <v>711</v>
      </c>
      <c r="P68" s="254">
        <f t="shared" si="4"/>
        <v>28974239.51203125</v>
      </c>
    </row>
    <row r="69" spans="1:16" x14ac:dyDescent="0.2">
      <c r="A69" t="s">
        <v>504</v>
      </c>
      <c r="B69" s="257" t="s">
        <v>505</v>
      </c>
      <c r="C69" s="257" t="s">
        <v>494</v>
      </c>
      <c r="D69" s="257" t="str">
        <f t="shared" si="2"/>
        <v>.75-1.75 ST</v>
      </c>
      <c r="E69" t="s">
        <v>487</v>
      </c>
      <c r="F69" t="s">
        <v>488</v>
      </c>
      <c r="G69" t="s">
        <v>511</v>
      </c>
      <c r="H69" t="s">
        <v>462</v>
      </c>
      <c r="I69">
        <f t="shared" si="3"/>
        <v>1963</v>
      </c>
      <c r="J69" s="229">
        <v>1038053</v>
      </c>
      <c r="K69" s="254">
        <v>2732800.26</v>
      </c>
      <c r="L69" s="254">
        <v>2826206.1031684238</v>
      </c>
      <c r="M69" s="254">
        <v>-93405.843168423977</v>
      </c>
      <c r="N69" s="255">
        <v>65</v>
      </c>
      <c r="O69" s="256">
        <v>711</v>
      </c>
      <c r="P69" s="254">
        <f t="shared" si="4"/>
        <v>29892630.536307689</v>
      </c>
    </row>
    <row r="70" spans="1:16" x14ac:dyDescent="0.2">
      <c r="A70" t="s">
        <v>512</v>
      </c>
      <c r="B70" s="253">
        <v>1.25</v>
      </c>
      <c r="C70" s="257" t="s">
        <v>494</v>
      </c>
      <c r="D70" s="257" t="str">
        <f t="shared" si="2"/>
        <v>1.25 ST</v>
      </c>
      <c r="E70" t="s">
        <v>487</v>
      </c>
      <c r="F70" t="s">
        <v>488</v>
      </c>
      <c r="G70" t="s">
        <v>461</v>
      </c>
      <c r="H70" t="s">
        <v>462</v>
      </c>
      <c r="I70">
        <f t="shared" si="3"/>
        <v>2008</v>
      </c>
      <c r="J70" s="229">
        <v>0</v>
      </c>
      <c r="K70" s="254">
        <v>0</v>
      </c>
      <c r="L70" s="254">
        <v>0</v>
      </c>
      <c r="M70" s="254">
        <v>0</v>
      </c>
      <c r="N70" s="255">
        <v>731</v>
      </c>
      <c r="O70" s="256">
        <v>711</v>
      </c>
      <c r="P70" s="254">
        <f t="shared" si="4"/>
        <v>0</v>
      </c>
    </row>
    <row r="71" spans="1:16" x14ac:dyDescent="0.2">
      <c r="A71" t="s">
        <v>512</v>
      </c>
      <c r="B71" s="253">
        <v>1.25</v>
      </c>
      <c r="C71" s="257" t="s">
        <v>494</v>
      </c>
      <c r="D71" s="257" t="str">
        <f t="shared" si="2"/>
        <v>1.25 ST</v>
      </c>
      <c r="E71" t="s">
        <v>487</v>
      </c>
      <c r="F71" t="s">
        <v>488</v>
      </c>
      <c r="G71" t="s">
        <v>470</v>
      </c>
      <c r="H71" t="s">
        <v>462</v>
      </c>
      <c r="I71">
        <f t="shared" si="3"/>
        <v>2007</v>
      </c>
      <c r="J71" s="229">
        <v>2</v>
      </c>
      <c r="K71" s="254">
        <v>140.6</v>
      </c>
      <c r="L71" s="254">
        <v>13.717709804404215</v>
      </c>
      <c r="M71" s="254">
        <v>126.88229019559577</v>
      </c>
      <c r="N71" s="255">
        <v>608</v>
      </c>
      <c r="O71" s="256">
        <v>711</v>
      </c>
      <c r="P71" s="254">
        <f t="shared" si="4"/>
        <v>164.41874999999999</v>
      </c>
    </row>
    <row r="72" spans="1:16" x14ac:dyDescent="0.2">
      <c r="A72" t="s">
        <v>512</v>
      </c>
      <c r="B72" s="253">
        <v>1.25</v>
      </c>
      <c r="C72" s="257" t="s">
        <v>494</v>
      </c>
      <c r="D72" s="257" t="str">
        <f t="shared" si="2"/>
        <v>1.25 ST</v>
      </c>
      <c r="E72" t="s">
        <v>487</v>
      </c>
      <c r="F72" t="s">
        <v>488</v>
      </c>
      <c r="G72" t="s">
        <v>461</v>
      </c>
      <c r="H72" t="s">
        <v>462</v>
      </c>
      <c r="I72">
        <f t="shared" si="3"/>
        <v>2008</v>
      </c>
      <c r="J72" s="229">
        <v>4</v>
      </c>
      <c r="K72" s="254">
        <v>201.35</v>
      </c>
      <c r="L72" s="254">
        <v>14.051041032125095</v>
      </c>
      <c r="M72" s="254">
        <v>187.29895896787491</v>
      </c>
      <c r="N72" s="255">
        <v>731</v>
      </c>
      <c r="O72" s="256">
        <v>711</v>
      </c>
      <c r="P72" s="254">
        <f t="shared" si="4"/>
        <v>195.84110807113541</v>
      </c>
    </row>
    <row r="73" spans="1:16" x14ac:dyDescent="0.2">
      <c r="A73" t="s">
        <v>512</v>
      </c>
      <c r="B73" s="253">
        <v>1.25</v>
      </c>
      <c r="C73" s="257" t="s">
        <v>494</v>
      </c>
      <c r="D73" s="257" t="str">
        <f t="shared" si="2"/>
        <v>1.25 ST</v>
      </c>
      <c r="E73" t="s">
        <v>487</v>
      </c>
      <c r="F73" t="s">
        <v>488</v>
      </c>
      <c r="G73" t="s">
        <v>461</v>
      </c>
      <c r="H73" t="s">
        <v>462</v>
      </c>
      <c r="I73">
        <f t="shared" si="3"/>
        <v>2008</v>
      </c>
      <c r="J73" s="229">
        <v>4</v>
      </c>
      <c r="K73" s="254">
        <v>3606.3</v>
      </c>
      <c r="L73" s="254">
        <v>251.67775154781592</v>
      </c>
      <c r="M73" s="254">
        <v>3354.6222484521841</v>
      </c>
      <c r="N73" s="255">
        <v>731</v>
      </c>
      <c r="O73" s="256">
        <v>711</v>
      </c>
      <c r="P73" s="254">
        <f t="shared" si="4"/>
        <v>3507.6324213406292</v>
      </c>
    </row>
    <row r="74" spans="1:16" x14ac:dyDescent="0.2">
      <c r="A74" t="s">
        <v>512</v>
      </c>
      <c r="B74" s="253">
        <v>1.25</v>
      </c>
      <c r="C74" s="257" t="s">
        <v>494</v>
      </c>
      <c r="D74" s="257" t="str">
        <f t="shared" si="2"/>
        <v>1.25 ST</v>
      </c>
      <c r="E74" t="s">
        <v>487</v>
      </c>
      <c r="F74" t="s">
        <v>488</v>
      </c>
      <c r="G74" t="s">
        <v>470</v>
      </c>
      <c r="H74" t="s">
        <v>462</v>
      </c>
      <c r="I74">
        <f t="shared" si="3"/>
        <v>2007</v>
      </c>
      <c r="J74" s="229">
        <v>10</v>
      </c>
      <c r="K74" s="254">
        <v>3642.53</v>
      </c>
      <c r="L74" s="254">
        <v>355.36973822074316</v>
      </c>
      <c r="M74" s="254">
        <v>3287.1602617792569</v>
      </c>
      <c r="N74" s="255">
        <v>608</v>
      </c>
      <c r="O74" s="256">
        <v>711</v>
      </c>
      <c r="P74" s="254">
        <f t="shared" si="4"/>
        <v>4259.6033388157894</v>
      </c>
    </row>
    <row r="75" spans="1:16" x14ac:dyDescent="0.2">
      <c r="A75" t="s">
        <v>512</v>
      </c>
      <c r="B75" s="253">
        <v>1.25</v>
      </c>
      <c r="C75" s="257" t="s">
        <v>494</v>
      </c>
      <c r="D75" s="257" t="str">
        <f t="shared" si="2"/>
        <v>1.25 ST</v>
      </c>
      <c r="E75" t="s">
        <v>487</v>
      </c>
      <c r="F75" t="s">
        <v>488</v>
      </c>
      <c r="G75" t="s">
        <v>468</v>
      </c>
      <c r="H75" t="s">
        <v>462</v>
      </c>
      <c r="I75">
        <f t="shared" si="3"/>
        <v>2009</v>
      </c>
      <c r="J75" s="229">
        <v>10</v>
      </c>
      <c r="K75" s="254">
        <v>16417.12</v>
      </c>
      <c r="L75" s="254">
        <v>696.5202331726922</v>
      </c>
      <c r="M75" s="254">
        <v>15720.599766827307</v>
      </c>
      <c r="N75" s="255">
        <v>673</v>
      </c>
      <c r="O75" s="256">
        <v>711</v>
      </c>
      <c r="P75" s="254">
        <f t="shared" si="4"/>
        <v>17344.089628528975</v>
      </c>
    </row>
    <row r="76" spans="1:16" x14ac:dyDescent="0.2">
      <c r="A76" t="s">
        <v>512</v>
      </c>
      <c r="B76" s="253">
        <v>1.25</v>
      </c>
      <c r="C76" s="257" t="s">
        <v>494</v>
      </c>
      <c r="D76" s="257" t="str">
        <f t="shared" si="2"/>
        <v>1.25 ST</v>
      </c>
      <c r="E76" t="s">
        <v>487</v>
      </c>
      <c r="F76" t="s">
        <v>488</v>
      </c>
      <c r="G76" t="s">
        <v>469</v>
      </c>
      <c r="H76" t="s">
        <v>462</v>
      </c>
      <c r="I76">
        <f t="shared" si="3"/>
        <v>2010</v>
      </c>
      <c r="J76" s="229">
        <v>10</v>
      </c>
      <c r="K76" s="254">
        <v>7954.78</v>
      </c>
      <c r="L76" s="254">
        <v>116.40620055390154</v>
      </c>
      <c r="M76" s="254">
        <v>7838.373799446098</v>
      </c>
      <c r="N76" s="255">
        <v>711</v>
      </c>
      <c r="O76" s="256">
        <v>711</v>
      </c>
      <c r="P76" s="254">
        <f t="shared" si="4"/>
        <v>7954.78</v>
      </c>
    </row>
    <row r="77" spans="1:16" x14ac:dyDescent="0.2">
      <c r="A77" t="s">
        <v>512</v>
      </c>
      <c r="B77" s="253">
        <v>1.25</v>
      </c>
      <c r="C77" s="257" t="s">
        <v>494</v>
      </c>
      <c r="D77" s="257" t="str">
        <f t="shared" si="2"/>
        <v>1.25 ST</v>
      </c>
      <c r="E77" t="s">
        <v>487</v>
      </c>
      <c r="F77" t="s">
        <v>488</v>
      </c>
      <c r="G77" t="s">
        <v>476</v>
      </c>
      <c r="H77" t="s">
        <v>462</v>
      </c>
      <c r="I77">
        <f t="shared" si="3"/>
        <v>2004</v>
      </c>
      <c r="J77" s="229">
        <v>13</v>
      </c>
      <c r="K77" s="254">
        <v>10298.19</v>
      </c>
      <c r="L77" s="254">
        <v>1916.8147014979902</v>
      </c>
      <c r="M77" s="254">
        <v>8381.375298502011</v>
      </c>
      <c r="N77" s="255">
        <v>477</v>
      </c>
      <c r="O77" s="256">
        <v>711</v>
      </c>
      <c r="P77" s="254">
        <f t="shared" si="4"/>
        <v>15350.132264150943</v>
      </c>
    </row>
    <row r="78" spans="1:16" x14ac:dyDescent="0.2">
      <c r="A78" t="s">
        <v>512</v>
      </c>
      <c r="B78" s="253">
        <v>1.25</v>
      </c>
      <c r="C78" s="257" t="s">
        <v>494</v>
      </c>
      <c r="D78" s="257" t="str">
        <f t="shared" si="2"/>
        <v>1.25 ST</v>
      </c>
      <c r="E78" t="s">
        <v>487</v>
      </c>
      <c r="F78" t="s">
        <v>488</v>
      </c>
      <c r="G78" t="s">
        <v>470</v>
      </c>
      <c r="H78" t="s">
        <v>462</v>
      </c>
      <c r="I78">
        <f t="shared" si="3"/>
        <v>2007</v>
      </c>
      <c r="J78" s="229">
        <v>25</v>
      </c>
      <c r="K78" s="254">
        <v>14413.64</v>
      </c>
      <c r="L78" s="254">
        <v>1406.2203722983838</v>
      </c>
      <c r="M78" s="254">
        <v>13007.419627701616</v>
      </c>
      <c r="N78" s="255">
        <v>608</v>
      </c>
      <c r="O78" s="256">
        <v>711</v>
      </c>
      <c r="P78" s="254">
        <f t="shared" si="4"/>
        <v>16855.424407894734</v>
      </c>
    </row>
    <row r="79" spans="1:16" x14ac:dyDescent="0.2">
      <c r="A79" t="s">
        <v>512</v>
      </c>
      <c r="B79" s="253">
        <v>1.25</v>
      </c>
      <c r="C79" s="257" t="s">
        <v>494</v>
      </c>
      <c r="D79" s="257" t="str">
        <f t="shared" si="2"/>
        <v>1.25 ST</v>
      </c>
      <c r="E79" t="s">
        <v>487</v>
      </c>
      <c r="F79" t="s">
        <v>488</v>
      </c>
      <c r="G79" t="s">
        <v>474</v>
      </c>
      <c r="H79" t="s">
        <v>462</v>
      </c>
      <c r="I79">
        <f t="shared" si="3"/>
        <v>2005</v>
      </c>
      <c r="J79" s="229">
        <v>32</v>
      </c>
      <c r="K79" s="254">
        <v>13760.67</v>
      </c>
      <c r="L79" s="254">
        <v>2141.414566672624</v>
      </c>
      <c r="M79" s="254">
        <v>11619.255433327377</v>
      </c>
      <c r="N79" s="255">
        <v>595</v>
      </c>
      <c r="O79" s="256">
        <v>711</v>
      </c>
      <c r="P79" s="254">
        <f t="shared" si="4"/>
        <v>16443.422470588233</v>
      </c>
    </row>
    <row r="80" spans="1:16" x14ac:dyDescent="0.2">
      <c r="A80" t="s">
        <v>512</v>
      </c>
      <c r="B80" s="253">
        <v>1.25</v>
      </c>
      <c r="C80" s="257" t="s">
        <v>494</v>
      </c>
      <c r="D80" s="257" t="str">
        <f t="shared" si="2"/>
        <v>1.25 ST</v>
      </c>
      <c r="E80" t="s">
        <v>487</v>
      </c>
      <c r="F80" t="s">
        <v>488</v>
      </c>
      <c r="G80" t="s">
        <v>471</v>
      </c>
      <c r="H80" t="s">
        <v>462</v>
      </c>
      <c r="I80">
        <f t="shared" si="3"/>
        <v>2003</v>
      </c>
      <c r="J80" s="229">
        <v>40</v>
      </c>
      <c r="K80" s="254">
        <v>1819.06</v>
      </c>
      <c r="L80" s="254">
        <v>395.95974819914318</v>
      </c>
      <c r="M80" s="254">
        <v>1423.1002518008568</v>
      </c>
      <c r="N80" s="255">
        <v>413</v>
      </c>
      <c r="O80" s="256">
        <v>711</v>
      </c>
      <c r="P80" s="254">
        <f t="shared" si="4"/>
        <v>3131.6020823244553</v>
      </c>
    </row>
    <row r="81" spans="1:16" x14ac:dyDescent="0.2">
      <c r="A81" t="s">
        <v>512</v>
      </c>
      <c r="B81" s="253">
        <v>1.25</v>
      </c>
      <c r="C81" s="257" t="s">
        <v>494</v>
      </c>
      <c r="D81" s="257" t="str">
        <f t="shared" si="2"/>
        <v>1.25 ST</v>
      </c>
      <c r="E81" t="s">
        <v>487</v>
      </c>
      <c r="F81" t="s">
        <v>488</v>
      </c>
      <c r="G81" t="s">
        <v>468</v>
      </c>
      <c r="H81" t="s">
        <v>462</v>
      </c>
      <c r="I81">
        <f t="shared" si="3"/>
        <v>2009</v>
      </c>
      <c r="J81" s="229">
        <v>40</v>
      </c>
      <c r="K81" s="254">
        <v>9733.9699999999993</v>
      </c>
      <c r="L81" s="254">
        <v>412.98376248062937</v>
      </c>
      <c r="M81" s="254">
        <v>9320.9862375193698</v>
      </c>
      <c r="N81" s="255">
        <v>673</v>
      </c>
      <c r="O81" s="256">
        <v>711</v>
      </c>
      <c r="P81" s="254">
        <f t="shared" si="4"/>
        <v>10283.584947994055</v>
      </c>
    </row>
    <row r="82" spans="1:16" x14ac:dyDescent="0.2">
      <c r="A82" t="s">
        <v>512</v>
      </c>
      <c r="B82" s="253">
        <v>1.25</v>
      </c>
      <c r="C82" s="257" t="s">
        <v>494</v>
      </c>
      <c r="D82" s="257" t="str">
        <f t="shared" si="2"/>
        <v>1.25 ST</v>
      </c>
      <c r="E82" t="s">
        <v>487</v>
      </c>
      <c r="F82" t="s">
        <v>488</v>
      </c>
      <c r="G82" t="s">
        <v>477</v>
      </c>
      <c r="H82" t="s">
        <v>462</v>
      </c>
      <c r="I82">
        <f t="shared" si="3"/>
        <v>2006</v>
      </c>
      <c r="J82" s="229">
        <v>58</v>
      </c>
      <c r="K82" s="254">
        <v>11046.33</v>
      </c>
      <c r="L82" s="254">
        <v>1393.0257257730043</v>
      </c>
      <c r="M82" s="254">
        <v>9653.3042742269954</v>
      </c>
      <c r="N82" s="255">
        <v>644</v>
      </c>
      <c r="O82" s="256">
        <v>711</v>
      </c>
      <c r="P82" s="254">
        <f t="shared" si="4"/>
        <v>12195.559984472049</v>
      </c>
    </row>
    <row r="83" spans="1:16" x14ac:dyDescent="0.2">
      <c r="A83" t="s">
        <v>512</v>
      </c>
      <c r="B83" s="253">
        <v>1.25</v>
      </c>
      <c r="C83" s="257" t="s">
        <v>494</v>
      </c>
      <c r="D83" s="257" t="str">
        <f t="shared" si="2"/>
        <v>1.25 ST</v>
      </c>
      <c r="E83" t="s">
        <v>487</v>
      </c>
      <c r="F83" t="s">
        <v>488</v>
      </c>
      <c r="G83" t="s">
        <v>479</v>
      </c>
      <c r="H83" t="s">
        <v>462</v>
      </c>
      <c r="I83">
        <f t="shared" si="3"/>
        <v>1998</v>
      </c>
      <c r="J83" s="229">
        <v>63</v>
      </c>
      <c r="K83" s="254">
        <v>5155.08</v>
      </c>
      <c r="L83" s="254">
        <v>1996.742678936615</v>
      </c>
      <c r="M83" s="254">
        <v>3158.3373210633849</v>
      </c>
      <c r="N83" s="255">
        <v>372</v>
      </c>
      <c r="O83" s="256">
        <v>711</v>
      </c>
      <c r="P83" s="254">
        <f t="shared" si="4"/>
        <v>9852.8545161290331</v>
      </c>
    </row>
    <row r="84" spans="1:16" x14ac:dyDescent="0.2">
      <c r="A84" t="s">
        <v>512</v>
      </c>
      <c r="B84" s="253">
        <v>1.25</v>
      </c>
      <c r="C84" s="257" t="s">
        <v>494</v>
      </c>
      <c r="D84" s="257" t="str">
        <f t="shared" si="2"/>
        <v>1.25 ST</v>
      </c>
      <c r="E84" t="s">
        <v>487</v>
      </c>
      <c r="F84" t="s">
        <v>488</v>
      </c>
      <c r="G84" t="s">
        <v>468</v>
      </c>
      <c r="H84" t="s">
        <v>462</v>
      </c>
      <c r="I84">
        <f t="shared" si="3"/>
        <v>2009</v>
      </c>
      <c r="J84" s="229">
        <v>69</v>
      </c>
      <c r="K84" s="254">
        <v>30334.51</v>
      </c>
      <c r="L84" s="254">
        <v>1286.9933935903107</v>
      </c>
      <c r="M84" s="254">
        <v>29047.516606409688</v>
      </c>
      <c r="N84" s="255">
        <v>673</v>
      </c>
      <c r="O84" s="256">
        <v>711</v>
      </c>
      <c r="P84" s="254">
        <f t="shared" si="4"/>
        <v>32047.305512630013</v>
      </c>
    </row>
    <row r="85" spans="1:16" x14ac:dyDescent="0.2">
      <c r="A85" t="s">
        <v>512</v>
      </c>
      <c r="B85" s="253">
        <v>1.25</v>
      </c>
      <c r="C85" s="257" t="s">
        <v>494</v>
      </c>
      <c r="D85" s="257" t="str">
        <f t="shared" si="2"/>
        <v>1.25 ST</v>
      </c>
      <c r="E85" t="s">
        <v>487</v>
      </c>
      <c r="F85" t="s">
        <v>488</v>
      </c>
      <c r="G85" t="s">
        <v>513</v>
      </c>
      <c r="H85" t="s">
        <v>462</v>
      </c>
      <c r="I85">
        <f t="shared" si="3"/>
        <v>1995</v>
      </c>
      <c r="J85" s="229">
        <v>149</v>
      </c>
      <c r="K85" s="254">
        <v>8866.67</v>
      </c>
      <c r="L85" s="254">
        <v>4375.7962040641305</v>
      </c>
      <c r="M85" s="254">
        <v>4490.8737959358696</v>
      </c>
      <c r="N85" s="255">
        <v>358</v>
      </c>
      <c r="O85" s="256">
        <v>711</v>
      </c>
      <c r="P85" s="254">
        <f t="shared" si="4"/>
        <v>17609.503826815642</v>
      </c>
    </row>
    <row r="86" spans="1:16" x14ac:dyDescent="0.2">
      <c r="A86" t="s">
        <v>512</v>
      </c>
      <c r="B86" s="253">
        <v>1.25</v>
      </c>
      <c r="C86" s="257" t="s">
        <v>494</v>
      </c>
      <c r="D86" s="257" t="str">
        <f t="shared" si="2"/>
        <v>1.25 ST</v>
      </c>
      <c r="E86" t="s">
        <v>487</v>
      </c>
      <c r="F86" t="s">
        <v>488</v>
      </c>
      <c r="G86" t="s">
        <v>467</v>
      </c>
      <c r="H86" t="s">
        <v>462</v>
      </c>
      <c r="I86">
        <f t="shared" si="3"/>
        <v>1996</v>
      </c>
      <c r="J86" s="229">
        <v>376</v>
      </c>
      <c r="K86" s="254">
        <v>12016.27</v>
      </c>
      <c r="L86" s="254">
        <v>5505.3689124563889</v>
      </c>
      <c r="M86" s="254">
        <v>6510.9010875436115</v>
      </c>
      <c r="N86" s="255">
        <v>359</v>
      </c>
      <c r="O86" s="256">
        <v>711</v>
      </c>
      <c r="P86" s="254">
        <f t="shared" si="4"/>
        <v>23798.239470752091</v>
      </c>
    </row>
    <row r="87" spans="1:16" x14ac:dyDescent="0.2">
      <c r="A87" t="s">
        <v>512</v>
      </c>
      <c r="B87" s="253">
        <v>1.25</v>
      </c>
      <c r="C87" s="257" t="s">
        <v>494</v>
      </c>
      <c r="D87" s="257" t="str">
        <f t="shared" si="2"/>
        <v>1.25 ST</v>
      </c>
      <c r="E87" t="s">
        <v>487</v>
      </c>
      <c r="F87" t="s">
        <v>488</v>
      </c>
      <c r="G87" t="s">
        <v>514</v>
      </c>
      <c r="H87" t="s">
        <v>462</v>
      </c>
      <c r="I87">
        <f t="shared" si="3"/>
        <v>1994</v>
      </c>
      <c r="J87" s="229">
        <v>388</v>
      </c>
      <c r="K87" s="254">
        <v>72444.94</v>
      </c>
      <c r="L87" s="254">
        <v>38294.022520038947</v>
      </c>
      <c r="M87" s="254">
        <v>34150.917479961056</v>
      </c>
      <c r="N87" s="255">
        <v>346</v>
      </c>
      <c r="O87" s="256">
        <v>711</v>
      </c>
      <c r="P87" s="254">
        <f t="shared" si="4"/>
        <v>148868.07034682084</v>
      </c>
    </row>
    <row r="88" spans="1:16" x14ac:dyDescent="0.2">
      <c r="A88" t="s">
        <v>512</v>
      </c>
      <c r="B88" s="253">
        <v>1.25</v>
      </c>
      <c r="C88" s="257" t="s">
        <v>494</v>
      </c>
      <c r="D88" s="257" t="str">
        <f t="shared" si="2"/>
        <v>1.25 ST</v>
      </c>
      <c r="E88" t="s">
        <v>487</v>
      </c>
      <c r="F88" t="s">
        <v>488</v>
      </c>
      <c r="G88" t="s">
        <v>491</v>
      </c>
      <c r="H88" t="s">
        <v>462</v>
      </c>
      <c r="I88">
        <f t="shared" si="3"/>
        <v>1993</v>
      </c>
      <c r="J88" s="229">
        <v>463</v>
      </c>
      <c r="K88" s="254">
        <v>61771.199999999997</v>
      </c>
      <c r="L88" s="254">
        <v>34790.067225247607</v>
      </c>
      <c r="M88" s="254">
        <v>26981.13277475239</v>
      </c>
      <c r="N88" s="255">
        <v>324</v>
      </c>
      <c r="O88" s="256">
        <v>711</v>
      </c>
      <c r="P88" s="254">
        <f t="shared" si="4"/>
        <v>135553.46666666667</v>
      </c>
    </row>
    <row r="89" spans="1:16" x14ac:dyDescent="0.2">
      <c r="A89" t="s">
        <v>512</v>
      </c>
      <c r="B89" s="253">
        <v>1.25</v>
      </c>
      <c r="C89" s="257" t="s">
        <v>494</v>
      </c>
      <c r="D89" s="257" t="str">
        <f t="shared" si="2"/>
        <v>1.25 ST</v>
      </c>
      <c r="E89" t="s">
        <v>487</v>
      </c>
      <c r="F89" t="s">
        <v>488</v>
      </c>
      <c r="G89" t="s">
        <v>475</v>
      </c>
      <c r="H89" t="s">
        <v>462</v>
      </c>
      <c r="I89">
        <f t="shared" si="3"/>
        <v>2002</v>
      </c>
      <c r="J89" s="229">
        <v>484</v>
      </c>
      <c r="K89" s="254">
        <v>29460.62</v>
      </c>
      <c r="L89" s="254">
        <v>7369.7754738110016</v>
      </c>
      <c r="M89" s="254">
        <v>22090.844526188997</v>
      </c>
      <c r="N89" s="255">
        <v>407</v>
      </c>
      <c r="O89" s="256">
        <v>711</v>
      </c>
      <c r="P89" s="254">
        <f t="shared" si="4"/>
        <v>51465.603980343978</v>
      </c>
    </row>
    <row r="90" spans="1:16" x14ac:dyDescent="0.2">
      <c r="A90" t="s">
        <v>512</v>
      </c>
      <c r="B90" s="253">
        <v>1.25</v>
      </c>
      <c r="C90" s="257" t="s">
        <v>494</v>
      </c>
      <c r="D90" s="257" t="str">
        <f t="shared" si="2"/>
        <v>1.25 ST</v>
      </c>
      <c r="E90" t="s">
        <v>487</v>
      </c>
      <c r="F90" t="s">
        <v>488</v>
      </c>
      <c r="G90" t="s">
        <v>480</v>
      </c>
      <c r="H90" t="s">
        <v>462</v>
      </c>
      <c r="I90">
        <f t="shared" si="3"/>
        <v>1999</v>
      </c>
      <c r="J90" s="229">
        <v>530</v>
      </c>
      <c r="K90" s="254">
        <v>56670.3</v>
      </c>
      <c r="L90" s="254">
        <v>19961.017517272605</v>
      </c>
      <c r="M90" s="254">
        <v>36709.282482727402</v>
      </c>
      <c r="N90" s="255">
        <v>382</v>
      </c>
      <c r="O90" s="256">
        <v>711</v>
      </c>
      <c r="P90" s="254">
        <f t="shared" si="4"/>
        <v>105477.96675392671</v>
      </c>
    </row>
    <row r="91" spans="1:16" x14ac:dyDescent="0.2">
      <c r="A91" t="s">
        <v>512</v>
      </c>
      <c r="B91" s="253">
        <v>1.25</v>
      </c>
      <c r="C91" s="257" t="s">
        <v>494</v>
      </c>
      <c r="D91" s="257" t="str">
        <f t="shared" si="2"/>
        <v>1.25 ST</v>
      </c>
      <c r="E91" t="s">
        <v>487</v>
      </c>
      <c r="F91" t="s">
        <v>488</v>
      </c>
      <c r="G91" t="s">
        <v>473</v>
      </c>
      <c r="H91" t="s">
        <v>462</v>
      </c>
      <c r="I91">
        <f t="shared" si="3"/>
        <v>1997</v>
      </c>
      <c r="J91" s="229">
        <v>775</v>
      </c>
      <c r="K91" s="254">
        <v>36964.25</v>
      </c>
      <c r="L91" s="254">
        <v>15624.82693554373</v>
      </c>
      <c r="M91" s="254">
        <v>21339.42306445627</v>
      </c>
      <c r="N91" s="255">
        <v>368</v>
      </c>
      <c r="O91" s="256">
        <v>711</v>
      </c>
      <c r="P91" s="254">
        <f t="shared" si="4"/>
        <v>71417.341711956527</v>
      </c>
    </row>
    <row r="92" spans="1:16" x14ac:dyDescent="0.2">
      <c r="A92" t="s">
        <v>512</v>
      </c>
      <c r="B92" s="253">
        <v>1.25</v>
      </c>
      <c r="C92" s="257" t="s">
        <v>494</v>
      </c>
      <c r="D92" s="257" t="str">
        <f t="shared" si="2"/>
        <v>1.25 ST</v>
      </c>
      <c r="E92" t="s">
        <v>487</v>
      </c>
      <c r="F92" t="s">
        <v>488</v>
      </c>
      <c r="G92" t="s">
        <v>472</v>
      </c>
      <c r="H92" t="s">
        <v>462</v>
      </c>
      <c r="I92">
        <f t="shared" si="3"/>
        <v>2000</v>
      </c>
      <c r="J92" s="229">
        <v>1010</v>
      </c>
      <c r="K92" s="254">
        <v>21517.3</v>
      </c>
      <c r="L92" s="254">
        <v>6832.9399016664784</v>
      </c>
      <c r="M92" s="254">
        <v>14684.36009833352</v>
      </c>
      <c r="N92" s="255">
        <v>396</v>
      </c>
      <c r="O92" s="256">
        <v>711</v>
      </c>
      <c r="P92" s="254">
        <f t="shared" si="4"/>
        <v>38633.334090909091</v>
      </c>
    </row>
    <row r="93" spans="1:16" x14ac:dyDescent="0.2">
      <c r="A93" t="s">
        <v>512</v>
      </c>
      <c r="B93" s="253">
        <v>1.25</v>
      </c>
      <c r="C93" s="257" t="s">
        <v>494</v>
      </c>
      <c r="D93" s="257" t="str">
        <f t="shared" si="2"/>
        <v>1.25 ST</v>
      </c>
      <c r="E93" t="s">
        <v>487</v>
      </c>
      <c r="F93" t="s">
        <v>488</v>
      </c>
      <c r="G93" t="s">
        <v>478</v>
      </c>
      <c r="H93" t="s">
        <v>462</v>
      </c>
      <c r="I93">
        <f t="shared" si="3"/>
        <v>2001</v>
      </c>
      <c r="J93" s="229">
        <v>1428</v>
      </c>
      <c r="K93" s="254">
        <v>117410.88</v>
      </c>
      <c r="L93" s="254">
        <v>33285.168228447561</v>
      </c>
      <c r="M93" s="254">
        <v>84125.711771552451</v>
      </c>
      <c r="N93" s="255">
        <v>399</v>
      </c>
      <c r="O93" s="256">
        <v>711</v>
      </c>
      <c r="P93" s="254">
        <f t="shared" si="4"/>
        <v>209220.89142857143</v>
      </c>
    </row>
    <row r="94" spans="1:16" x14ac:dyDescent="0.2">
      <c r="A94" t="s">
        <v>512</v>
      </c>
      <c r="B94" s="253">
        <v>1.25</v>
      </c>
      <c r="C94" s="257" t="s">
        <v>494</v>
      </c>
      <c r="D94" s="257" t="str">
        <f t="shared" si="2"/>
        <v>1.25 ST</v>
      </c>
      <c r="E94" t="s">
        <v>487</v>
      </c>
      <c r="F94" t="s">
        <v>488</v>
      </c>
      <c r="G94" t="s">
        <v>515</v>
      </c>
      <c r="H94" t="s">
        <v>462</v>
      </c>
      <c r="I94">
        <f t="shared" si="3"/>
        <v>1986</v>
      </c>
      <c r="J94" s="229">
        <v>2355</v>
      </c>
      <c r="K94" s="254">
        <v>50313.95</v>
      </c>
      <c r="L94" s="254">
        <v>39193.608966666456</v>
      </c>
      <c r="M94" s="254">
        <v>11120.341033333541</v>
      </c>
      <c r="N94" s="255">
        <v>260</v>
      </c>
      <c r="O94" s="256">
        <v>711</v>
      </c>
      <c r="P94" s="254">
        <f t="shared" si="4"/>
        <v>137589.30173076922</v>
      </c>
    </row>
    <row r="95" spans="1:16" x14ac:dyDescent="0.2">
      <c r="A95" t="s">
        <v>512</v>
      </c>
      <c r="B95" s="253">
        <v>1.25</v>
      </c>
      <c r="C95" s="257" t="s">
        <v>494</v>
      </c>
      <c r="D95" s="257" t="str">
        <f t="shared" si="2"/>
        <v>1.25 ST</v>
      </c>
      <c r="E95" t="s">
        <v>487</v>
      </c>
      <c r="F95" t="s">
        <v>488</v>
      </c>
      <c r="G95" t="s">
        <v>516</v>
      </c>
      <c r="H95" t="s">
        <v>462</v>
      </c>
      <c r="I95">
        <f t="shared" si="3"/>
        <v>1988</v>
      </c>
      <c r="J95" s="229">
        <v>4000</v>
      </c>
      <c r="K95" s="254">
        <v>145712.12</v>
      </c>
      <c r="L95" s="254">
        <v>105415.92012762818</v>
      </c>
      <c r="M95" s="254">
        <v>40296.199872371813</v>
      </c>
      <c r="N95" s="255">
        <v>286</v>
      </c>
      <c r="O95" s="256">
        <v>711</v>
      </c>
      <c r="P95" s="254">
        <f t="shared" si="4"/>
        <v>362242.36825174821</v>
      </c>
    </row>
    <row r="96" spans="1:16" x14ac:dyDescent="0.2">
      <c r="A96" t="s">
        <v>512</v>
      </c>
      <c r="B96" s="253">
        <v>1.25</v>
      </c>
      <c r="C96" s="257" t="s">
        <v>494</v>
      </c>
      <c r="D96" s="257" t="str">
        <f t="shared" si="2"/>
        <v>1.25 ST</v>
      </c>
      <c r="E96" t="s">
        <v>487</v>
      </c>
      <c r="F96" t="s">
        <v>488</v>
      </c>
      <c r="G96" t="s">
        <v>489</v>
      </c>
      <c r="H96" t="s">
        <v>462</v>
      </c>
      <c r="I96">
        <f t="shared" si="3"/>
        <v>1990</v>
      </c>
      <c r="J96" s="229">
        <v>5368</v>
      </c>
      <c r="K96" s="254">
        <v>94363.24</v>
      </c>
      <c r="L96" s="254">
        <v>62518.674410550128</v>
      </c>
      <c r="M96" s="254">
        <v>31844.565589449878</v>
      </c>
      <c r="N96" s="255">
        <v>304</v>
      </c>
      <c r="O96" s="256">
        <v>711</v>
      </c>
      <c r="P96" s="254">
        <f t="shared" si="4"/>
        <v>220698.23565789472</v>
      </c>
    </row>
    <row r="97" spans="1:16" x14ac:dyDescent="0.2">
      <c r="A97" t="s">
        <v>512</v>
      </c>
      <c r="B97" s="253">
        <v>1.25</v>
      </c>
      <c r="C97" s="257" t="s">
        <v>494</v>
      </c>
      <c r="D97" s="257" t="str">
        <f t="shared" si="2"/>
        <v>1.25 ST</v>
      </c>
      <c r="E97" t="s">
        <v>487</v>
      </c>
      <c r="F97" t="s">
        <v>488</v>
      </c>
      <c r="G97" t="s">
        <v>464</v>
      </c>
      <c r="H97" t="s">
        <v>462</v>
      </c>
      <c r="I97">
        <f t="shared" si="3"/>
        <v>1985</v>
      </c>
      <c r="J97" s="229">
        <v>5829</v>
      </c>
      <c r="K97" s="254">
        <v>67993.179999999993</v>
      </c>
      <c r="L97" s="254">
        <v>54701.338407671552</v>
      </c>
      <c r="M97" s="254">
        <v>13291.841592328441</v>
      </c>
      <c r="N97" s="255">
        <v>270</v>
      </c>
      <c r="O97" s="256">
        <v>711</v>
      </c>
      <c r="P97" s="254">
        <f t="shared" si="4"/>
        <v>179048.70733333332</v>
      </c>
    </row>
    <row r="98" spans="1:16" x14ac:dyDescent="0.2">
      <c r="A98" t="s">
        <v>512</v>
      </c>
      <c r="B98" s="253">
        <v>1.25</v>
      </c>
      <c r="C98" s="257" t="s">
        <v>494</v>
      </c>
      <c r="D98" s="257" t="str">
        <f t="shared" si="2"/>
        <v>1.25 ST</v>
      </c>
      <c r="E98" t="s">
        <v>487</v>
      </c>
      <c r="F98" t="s">
        <v>488</v>
      </c>
      <c r="G98" t="s">
        <v>490</v>
      </c>
      <c r="H98" t="s">
        <v>462</v>
      </c>
      <c r="I98">
        <f t="shared" si="3"/>
        <v>1992</v>
      </c>
      <c r="J98" s="229">
        <v>7303</v>
      </c>
      <c r="K98" s="254">
        <v>146165.89000000001</v>
      </c>
      <c r="L98" s="254">
        <v>87287.585010117138</v>
      </c>
      <c r="M98" s="254">
        <v>58878.304989882876</v>
      </c>
      <c r="N98" s="255">
        <v>315</v>
      </c>
      <c r="O98" s="256">
        <v>711</v>
      </c>
      <c r="P98" s="254">
        <f t="shared" si="4"/>
        <v>329917.29457142862</v>
      </c>
    </row>
    <row r="99" spans="1:16" x14ac:dyDescent="0.2">
      <c r="A99" t="s">
        <v>512</v>
      </c>
      <c r="B99" s="253">
        <v>1.25</v>
      </c>
      <c r="C99" s="257" t="s">
        <v>494</v>
      </c>
      <c r="D99" s="257" t="str">
        <f t="shared" si="2"/>
        <v>1.25 ST</v>
      </c>
      <c r="E99" t="s">
        <v>487</v>
      </c>
      <c r="F99" t="s">
        <v>488</v>
      </c>
      <c r="G99" t="s">
        <v>466</v>
      </c>
      <c r="H99" t="s">
        <v>462</v>
      </c>
      <c r="I99">
        <f t="shared" si="3"/>
        <v>1989</v>
      </c>
      <c r="J99" s="229">
        <v>8403</v>
      </c>
      <c r="K99" s="254">
        <v>91152.38</v>
      </c>
      <c r="L99" s="254">
        <v>63224.868342964292</v>
      </c>
      <c r="M99" s="254">
        <v>27927.511657035713</v>
      </c>
      <c r="N99" s="255">
        <v>300</v>
      </c>
      <c r="O99" s="256">
        <v>711</v>
      </c>
      <c r="P99" s="254">
        <f t="shared" si="4"/>
        <v>216031.14060000001</v>
      </c>
    </row>
    <row r="100" spans="1:16" x14ac:dyDescent="0.2">
      <c r="A100" t="s">
        <v>512</v>
      </c>
      <c r="B100" s="253">
        <v>1.25</v>
      </c>
      <c r="C100" s="257" t="s">
        <v>494</v>
      </c>
      <c r="D100" s="257" t="str">
        <f t="shared" si="2"/>
        <v>1.25 ST</v>
      </c>
      <c r="E100" t="s">
        <v>487</v>
      </c>
      <c r="F100" t="s">
        <v>488</v>
      </c>
      <c r="G100" t="s">
        <v>517</v>
      </c>
      <c r="H100" t="s">
        <v>462</v>
      </c>
      <c r="I100">
        <f t="shared" si="3"/>
        <v>1983</v>
      </c>
      <c r="J100" s="229">
        <v>9348</v>
      </c>
      <c r="K100" s="254">
        <v>107483.23</v>
      </c>
      <c r="L100" s="254">
        <v>91451.803845519447</v>
      </c>
      <c r="M100" s="254">
        <v>16031.426154480549</v>
      </c>
      <c r="N100" s="255">
        <v>260</v>
      </c>
      <c r="O100" s="256">
        <v>711</v>
      </c>
      <c r="P100" s="254">
        <f t="shared" si="4"/>
        <v>293925.29434615385</v>
      </c>
    </row>
    <row r="101" spans="1:16" x14ac:dyDescent="0.2">
      <c r="A101" t="s">
        <v>512</v>
      </c>
      <c r="B101" s="253">
        <v>1.25</v>
      </c>
      <c r="C101" s="257" t="s">
        <v>494</v>
      </c>
      <c r="D101" s="257" t="str">
        <f t="shared" si="2"/>
        <v>1.25 ST</v>
      </c>
      <c r="E101" t="s">
        <v>487</v>
      </c>
      <c r="F101" t="s">
        <v>488</v>
      </c>
      <c r="G101" t="s">
        <v>518</v>
      </c>
      <c r="H101" t="s">
        <v>462</v>
      </c>
      <c r="I101">
        <f t="shared" si="3"/>
        <v>1982</v>
      </c>
      <c r="J101" s="229">
        <v>11915</v>
      </c>
      <c r="K101" s="254">
        <v>123005.47</v>
      </c>
      <c r="L101" s="254">
        <v>107213.29500792567</v>
      </c>
      <c r="M101" s="254">
        <v>15792.174992074331</v>
      </c>
      <c r="N101" s="255">
        <v>252</v>
      </c>
      <c r="O101" s="256">
        <v>711</v>
      </c>
      <c r="P101" s="254">
        <f t="shared" si="4"/>
        <v>347051.14750000002</v>
      </c>
    </row>
    <row r="102" spans="1:16" x14ac:dyDescent="0.2">
      <c r="A102" t="s">
        <v>512</v>
      </c>
      <c r="B102" s="253">
        <v>1.25</v>
      </c>
      <c r="C102" s="257" t="s">
        <v>494</v>
      </c>
      <c r="D102" s="257" t="str">
        <f t="shared" si="2"/>
        <v>1.25 ST</v>
      </c>
      <c r="E102" t="s">
        <v>487</v>
      </c>
      <c r="F102" t="s">
        <v>488</v>
      </c>
      <c r="G102" t="s">
        <v>463</v>
      </c>
      <c r="H102" t="s">
        <v>462</v>
      </c>
      <c r="I102">
        <f t="shared" si="3"/>
        <v>1984</v>
      </c>
      <c r="J102" s="229">
        <v>17110</v>
      </c>
      <c r="K102" s="254">
        <v>197803.17</v>
      </c>
      <c r="L102" s="254">
        <v>163875.42654161615</v>
      </c>
      <c r="M102" s="254">
        <v>33927.743458383862</v>
      </c>
      <c r="N102" s="255">
        <v>271</v>
      </c>
      <c r="O102" s="256">
        <v>711</v>
      </c>
      <c r="P102" s="254">
        <f t="shared" si="4"/>
        <v>518959.60837638384</v>
      </c>
    </row>
    <row r="103" spans="1:16" x14ac:dyDescent="0.2">
      <c r="A103" t="s">
        <v>512</v>
      </c>
      <c r="B103" s="253">
        <v>1.25</v>
      </c>
      <c r="C103" s="257" t="s">
        <v>494</v>
      </c>
      <c r="D103" s="257" t="str">
        <f t="shared" si="2"/>
        <v>1.25 ST</v>
      </c>
      <c r="E103" t="s">
        <v>487</v>
      </c>
      <c r="F103" t="s">
        <v>488</v>
      </c>
      <c r="G103" t="s">
        <v>465</v>
      </c>
      <c r="H103" t="s">
        <v>462</v>
      </c>
      <c r="I103">
        <f t="shared" si="3"/>
        <v>1991</v>
      </c>
      <c r="J103" s="229">
        <v>17421</v>
      </c>
      <c r="K103" s="254">
        <v>198453.3</v>
      </c>
      <c r="L103" s="254">
        <v>125093.94219151046</v>
      </c>
      <c r="M103" s="254">
        <v>73359.357808489527</v>
      </c>
      <c r="N103" s="255">
        <v>312</v>
      </c>
      <c r="O103" s="256">
        <v>711</v>
      </c>
      <c r="P103" s="254">
        <f t="shared" si="4"/>
        <v>452244.5394230769</v>
      </c>
    </row>
    <row r="104" spans="1:16" x14ac:dyDescent="0.2">
      <c r="A104" t="s">
        <v>512</v>
      </c>
      <c r="B104" s="253">
        <v>1.25</v>
      </c>
      <c r="C104" s="257" t="s">
        <v>494</v>
      </c>
      <c r="D104" s="257" t="str">
        <f t="shared" si="2"/>
        <v>1.25 ST</v>
      </c>
      <c r="E104" t="s">
        <v>487</v>
      </c>
      <c r="F104" t="s">
        <v>488</v>
      </c>
      <c r="G104" t="s">
        <v>519</v>
      </c>
      <c r="H104" t="s">
        <v>462</v>
      </c>
      <c r="I104">
        <f t="shared" si="3"/>
        <v>1979</v>
      </c>
      <c r="J104" s="229">
        <v>18614</v>
      </c>
      <c r="K104" s="254">
        <v>111758.85</v>
      </c>
      <c r="L104" s="254">
        <v>103315.70829924566</v>
      </c>
      <c r="M104" s="254">
        <v>8443.1417007543496</v>
      </c>
      <c r="N104" s="255">
        <v>187</v>
      </c>
      <c r="O104" s="256">
        <v>711</v>
      </c>
      <c r="P104" s="254">
        <f t="shared" si="4"/>
        <v>424922.6863636364</v>
      </c>
    </row>
    <row r="105" spans="1:16" x14ac:dyDescent="0.2">
      <c r="A105" t="s">
        <v>512</v>
      </c>
      <c r="B105" s="253">
        <v>1.25</v>
      </c>
      <c r="C105" s="257" t="s">
        <v>494</v>
      </c>
      <c r="D105" s="257" t="str">
        <f t="shared" si="2"/>
        <v>1.25 ST</v>
      </c>
      <c r="E105" t="s">
        <v>487</v>
      </c>
      <c r="F105" t="s">
        <v>488</v>
      </c>
      <c r="G105" t="s">
        <v>520</v>
      </c>
      <c r="H105" t="s">
        <v>462</v>
      </c>
      <c r="I105">
        <f t="shared" si="3"/>
        <v>1981</v>
      </c>
      <c r="J105" s="229">
        <v>24596</v>
      </c>
      <c r="K105" s="254">
        <v>134691.19</v>
      </c>
      <c r="L105" s="254">
        <v>119980.8157946648</v>
      </c>
      <c r="M105" s="254">
        <v>14710.374205335203</v>
      </c>
      <c r="N105" s="255">
        <v>231</v>
      </c>
      <c r="O105" s="256">
        <v>711</v>
      </c>
      <c r="P105" s="254">
        <f t="shared" si="4"/>
        <v>414568.98740259738</v>
      </c>
    </row>
    <row r="106" spans="1:16" x14ac:dyDescent="0.2">
      <c r="A106" t="s">
        <v>512</v>
      </c>
      <c r="B106" s="253">
        <v>1.25</v>
      </c>
      <c r="C106" s="257" t="s">
        <v>494</v>
      </c>
      <c r="D106" s="257" t="str">
        <f t="shared" si="2"/>
        <v>1.25 ST</v>
      </c>
      <c r="E106" t="s">
        <v>487</v>
      </c>
      <c r="F106" t="s">
        <v>488</v>
      </c>
      <c r="G106" t="s">
        <v>521</v>
      </c>
      <c r="H106" t="s">
        <v>462</v>
      </c>
      <c r="I106">
        <f t="shared" si="3"/>
        <v>1980</v>
      </c>
      <c r="J106" s="229">
        <v>28937</v>
      </c>
      <c r="K106" s="254">
        <v>141787.22</v>
      </c>
      <c r="L106" s="254">
        <v>128797.14490564166</v>
      </c>
      <c r="M106" s="254">
        <v>12990.075094358341</v>
      </c>
      <c r="N106" s="255">
        <v>204</v>
      </c>
      <c r="O106" s="256">
        <v>711</v>
      </c>
      <c r="P106" s="254">
        <f t="shared" si="4"/>
        <v>494170.16382352944</v>
      </c>
    </row>
    <row r="107" spans="1:16" x14ac:dyDescent="0.2">
      <c r="A107" t="s">
        <v>512</v>
      </c>
      <c r="B107" s="253">
        <v>1.25</v>
      </c>
      <c r="C107" s="257" t="s">
        <v>494</v>
      </c>
      <c r="D107" s="257" t="str">
        <f t="shared" si="2"/>
        <v>1.25 ST</v>
      </c>
      <c r="E107" t="s">
        <v>487</v>
      </c>
      <c r="F107" t="s">
        <v>488</v>
      </c>
      <c r="G107" t="s">
        <v>522</v>
      </c>
      <c r="H107" t="s">
        <v>462</v>
      </c>
      <c r="I107">
        <f t="shared" si="3"/>
        <v>1976</v>
      </c>
      <c r="J107" s="229">
        <v>40635</v>
      </c>
      <c r="K107" s="254">
        <v>170890.77</v>
      </c>
      <c r="L107" s="254">
        <v>164748.12079951057</v>
      </c>
      <c r="M107" s="254">
        <v>6142.6492004894244</v>
      </c>
      <c r="N107" s="255">
        <v>146</v>
      </c>
      <c r="O107" s="256">
        <v>711</v>
      </c>
      <c r="P107" s="254">
        <f t="shared" si="4"/>
        <v>832214.64020547946</v>
      </c>
    </row>
    <row r="108" spans="1:16" x14ac:dyDescent="0.2">
      <c r="A108" t="s">
        <v>512</v>
      </c>
      <c r="B108" s="253">
        <v>1.25</v>
      </c>
      <c r="C108" s="257" t="s">
        <v>494</v>
      </c>
      <c r="D108" s="257" t="str">
        <f t="shared" si="2"/>
        <v>1.25 ST</v>
      </c>
      <c r="E108" t="s">
        <v>487</v>
      </c>
      <c r="F108" t="s">
        <v>488</v>
      </c>
      <c r="G108" t="s">
        <v>523</v>
      </c>
      <c r="H108" t="s">
        <v>462</v>
      </c>
      <c r="I108">
        <f t="shared" si="3"/>
        <v>1987</v>
      </c>
      <c r="J108" s="229">
        <v>41689</v>
      </c>
      <c r="K108" s="254">
        <v>105029.01</v>
      </c>
      <c r="L108" s="254">
        <v>78975.059268306315</v>
      </c>
      <c r="M108" s="254">
        <v>26053.95073169368</v>
      </c>
      <c r="N108" s="255">
        <v>268</v>
      </c>
      <c r="O108" s="256">
        <v>711</v>
      </c>
      <c r="P108" s="254">
        <f t="shared" si="4"/>
        <v>278640.39593283582</v>
      </c>
    </row>
    <row r="109" spans="1:16" x14ac:dyDescent="0.2">
      <c r="A109" t="s">
        <v>512</v>
      </c>
      <c r="B109" s="253">
        <v>1.25</v>
      </c>
      <c r="C109" s="257" t="s">
        <v>494</v>
      </c>
      <c r="D109" s="257" t="str">
        <f t="shared" si="2"/>
        <v>1.25 ST</v>
      </c>
      <c r="E109" t="s">
        <v>487</v>
      </c>
      <c r="F109" t="s">
        <v>488</v>
      </c>
      <c r="G109" t="s">
        <v>486</v>
      </c>
      <c r="H109" t="s">
        <v>462</v>
      </c>
      <c r="I109">
        <f t="shared" si="3"/>
        <v>1978</v>
      </c>
      <c r="J109" s="229">
        <v>66098</v>
      </c>
      <c r="K109" s="254">
        <v>219494.52</v>
      </c>
      <c r="L109" s="254">
        <v>206114.4959873186</v>
      </c>
      <c r="M109" s="254">
        <v>13380.024012681388</v>
      </c>
      <c r="N109" s="255">
        <v>173</v>
      </c>
      <c r="O109" s="256">
        <v>711</v>
      </c>
      <c r="P109" s="254">
        <f t="shared" si="4"/>
        <v>902084.41456647404</v>
      </c>
    </row>
    <row r="110" spans="1:16" x14ac:dyDescent="0.2">
      <c r="A110" t="s">
        <v>512</v>
      </c>
      <c r="B110" s="253">
        <v>1.25</v>
      </c>
      <c r="C110" s="257" t="s">
        <v>494</v>
      </c>
      <c r="D110" s="257" t="str">
        <f t="shared" si="2"/>
        <v>1.25 ST</v>
      </c>
      <c r="E110" t="s">
        <v>487</v>
      </c>
      <c r="F110" t="s">
        <v>488</v>
      </c>
      <c r="G110" t="s">
        <v>524</v>
      </c>
      <c r="H110" t="s">
        <v>462</v>
      </c>
      <c r="I110">
        <f t="shared" si="3"/>
        <v>1975</v>
      </c>
      <c r="J110" s="229">
        <v>97455</v>
      </c>
      <c r="K110" s="254">
        <v>358806.49</v>
      </c>
      <c r="L110" s="254">
        <v>349705.47516256658</v>
      </c>
      <c r="M110" s="254">
        <v>9101.0148374334094</v>
      </c>
      <c r="N110" s="255">
        <v>134</v>
      </c>
      <c r="O110" s="256">
        <v>711</v>
      </c>
      <c r="P110" s="254">
        <f t="shared" si="4"/>
        <v>1903816.5252985074</v>
      </c>
    </row>
    <row r="111" spans="1:16" x14ac:dyDescent="0.2">
      <c r="A111" t="s">
        <v>512</v>
      </c>
      <c r="B111" s="253">
        <v>1.25</v>
      </c>
      <c r="C111" s="257" t="s">
        <v>494</v>
      </c>
      <c r="D111" s="257" t="str">
        <f t="shared" si="2"/>
        <v>1.25 ST</v>
      </c>
      <c r="E111" t="s">
        <v>487</v>
      </c>
      <c r="F111" t="s">
        <v>488</v>
      </c>
      <c r="G111" t="s">
        <v>525</v>
      </c>
      <c r="H111" t="s">
        <v>462</v>
      </c>
      <c r="I111">
        <f t="shared" si="3"/>
        <v>1974</v>
      </c>
      <c r="J111" s="229">
        <v>244295</v>
      </c>
      <c r="K111" s="254">
        <v>656744.92000000004</v>
      </c>
      <c r="L111" s="254">
        <v>646264.64262358937</v>
      </c>
      <c r="M111" s="254">
        <v>10480.277376410668</v>
      </c>
      <c r="N111" s="255">
        <v>117</v>
      </c>
      <c r="O111" s="256">
        <v>711</v>
      </c>
      <c r="P111" s="254">
        <f t="shared" si="4"/>
        <v>3990988.36</v>
      </c>
    </row>
    <row r="112" spans="1:16" x14ac:dyDescent="0.2">
      <c r="A112" t="s">
        <v>512</v>
      </c>
      <c r="B112" s="253">
        <v>1.25</v>
      </c>
      <c r="C112" s="257" t="s">
        <v>494</v>
      </c>
      <c r="D112" s="257" t="str">
        <f t="shared" si="2"/>
        <v>1.25 ST</v>
      </c>
      <c r="E112" t="s">
        <v>487</v>
      </c>
      <c r="F112" t="s">
        <v>488</v>
      </c>
      <c r="G112" t="s">
        <v>526</v>
      </c>
      <c r="H112" t="s">
        <v>462</v>
      </c>
      <c r="I112">
        <f t="shared" si="3"/>
        <v>1977</v>
      </c>
      <c r="J112" s="229">
        <v>280015</v>
      </c>
      <c r="K112" s="254">
        <v>701343.27</v>
      </c>
      <c r="L112" s="254">
        <v>667829.97817519144</v>
      </c>
      <c r="M112" s="254">
        <v>33513.291824808577</v>
      </c>
      <c r="N112" s="255">
        <v>157</v>
      </c>
      <c r="O112" s="256">
        <v>711</v>
      </c>
      <c r="P112" s="254">
        <f t="shared" si="4"/>
        <v>3176146.9106369424</v>
      </c>
    </row>
    <row r="113" spans="1:16" x14ac:dyDescent="0.2">
      <c r="A113" t="s">
        <v>512</v>
      </c>
      <c r="B113" s="253">
        <v>1.25</v>
      </c>
      <c r="C113" s="257" t="s">
        <v>494</v>
      </c>
      <c r="D113" s="257" t="str">
        <f t="shared" si="2"/>
        <v>1.25 ST</v>
      </c>
      <c r="E113" t="s">
        <v>487</v>
      </c>
      <c r="F113" t="s">
        <v>488</v>
      </c>
      <c r="G113" t="s">
        <v>527</v>
      </c>
      <c r="H113" t="s">
        <v>462</v>
      </c>
      <c r="I113">
        <f t="shared" si="3"/>
        <v>1971</v>
      </c>
      <c r="J113" s="229">
        <v>443844</v>
      </c>
      <c r="K113" s="254">
        <v>1009132.51</v>
      </c>
      <c r="L113" s="254">
        <v>1015314.6458056191</v>
      </c>
      <c r="M113" s="254">
        <v>-6182.1358056190656</v>
      </c>
      <c r="N113" s="255">
        <v>92</v>
      </c>
      <c r="O113" s="256">
        <v>711</v>
      </c>
      <c r="P113" s="254">
        <f t="shared" si="4"/>
        <v>7798839.2892391309</v>
      </c>
    </row>
    <row r="114" spans="1:16" x14ac:dyDescent="0.2">
      <c r="A114" t="s">
        <v>512</v>
      </c>
      <c r="B114" s="253">
        <v>1.25</v>
      </c>
      <c r="C114" s="257" t="s">
        <v>494</v>
      </c>
      <c r="D114" s="257" t="str">
        <f t="shared" si="2"/>
        <v>1.25 ST</v>
      </c>
      <c r="E114" t="s">
        <v>487</v>
      </c>
      <c r="F114" t="s">
        <v>488</v>
      </c>
      <c r="G114" t="s">
        <v>528</v>
      </c>
      <c r="H114" t="s">
        <v>462</v>
      </c>
      <c r="I114">
        <f t="shared" si="3"/>
        <v>1972</v>
      </c>
      <c r="J114" s="229">
        <v>456371</v>
      </c>
      <c r="K114" s="254">
        <v>1186725.04</v>
      </c>
      <c r="L114" s="254">
        <v>1186368.6240963014</v>
      </c>
      <c r="M114" s="254">
        <v>356.41590369865298</v>
      </c>
      <c r="N114" s="255">
        <v>96</v>
      </c>
      <c r="O114" s="256">
        <v>711</v>
      </c>
      <c r="P114" s="254">
        <f t="shared" si="4"/>
        <v>8789182.3275000006</v>
      </c>
    </row>
    <row r="115" spans="1:16" x14ac:dyDescent="0.2">
      <c r="A115" t="s">
        <v>512</v>
      </c>
      <c r="B115" s="253">
        <v>1.25</v>
      </c>
      <c r="C115" s="257" t="s">
        <v>494</v>
      </c>
      <c r="D115" s="257" t="str">
        <f t="shared" si="2"/>
        <v>1.25 ST</v>
      </c>
      <c r="E115" t="s">
        <v>487</v>
      </c>
      <c r="F115" t="s">
        <v>488</v>
      </c>
      <c r="G115" t="s">
        <v>529</v>
      </c>
      <c r="H115" t="s">
        <v>462</v>
      </c>
      <c r="I115">
        <f t="shared" si="3"/>
        <v>1973</v>
      </c>
      <c r="J115" s="229">
        <v>465945</v>
      </c>
      <c r="K115" s="254">
        <v>1152909.81</v>
      </c>
      <c r="L115" s="254">
        <v>1144109.3398373458</v>
      </c>
      <c r="M115" s="254">
        <v>8800.4701626542956</v>
      </c>
      <c r="N115" s="255">
        <v>100</v>
      </c>
      <c r="O115" s="256">
        <v>711</v>
      </c>
      <c r="P115" s="254">
        <f t="shared" si="4"/>
        <v>8197188.7491000006</v>
      </c>
    </row>
    <row r="116" spans="1:16" x14ac:dyDescent="0.2">
      <c r="A116" t="s">
        <v>512</v>
      </c>
      <c r="B116" s="253">
        <v>1.25</v>
      </c>
      <c r="C116" s="257" t="s">
        <v>494</v>
      </c>
      <c r="D116" s="257" t="str">
        <f t="shared" si="2"/>
        <v>1.25 ST</v>
      </c>
      <c r="E116" t="s">
        <v>487</v>
      </c>
      <c r="F116" t="s">
        <v>488</v>
      </c>
      <c r="G116" t="s">
        <v>530</v>
      </c>
      <c r="H116" t="s">
        <v>462</v>
      </c>
      <c r="I116">
        <f t="shared" si="3"/>
        <v>1965</v>
      </c>
      <c r="J116" s="229">
        <v>563427</v>
      </c>
      <c r="K116" s="254">
        <v>1428664.1</v>
      </c>
      <c r="L116" s="254">
        <v>1471758.4408305145</v>
      </c>
      <c r="M116" s="254">
        <v>-43094.34083051444</v>
      </c>
      <c r="N116" s="255">
        <v>70</v>
      </c>
      <c r="O116" s="256">
        <v>711</v>
      </c>
      <c r="P116" s="254">
        <f t="shared" si="4"/>
        <v>14511145.358571429</v>
      </c>
    </row>
    <row r="117" spans="1:16" x14ac:dyDescent="0.2">
      <c r="A117" t="s">
        <v>512</v>
      </c>
      <c r="B117" s="253">
        <v>1.25</v>
      </c>
      <c r="C117" s="257" t="s">
        <v>494</v>
      </c>
      <c r="D117" s="257" t="str">
        <f t="shared" si="2"/>
        <v>1.25 ST</v>
      </c>
      <c r="E117" t="s">
        <v>487</v>
      </c>
      <c r="F117" t="s">
        <v>488</v>
      </c>
      <c r="G117" t="s">
        <v>531</v>
      </c>
      <c r="H117" t="s">
        <v>462</v>
      </c>
      <c r="I117">
        <f t="shared" si="3"/>
        <v>1970</v>
      </c>
      <c r="J117" s="229">
        <v>704902</v>
      </c>
      <c r="K117" s="254">
        <v>1475979.52</v>
      </c>
      <c r="L117" s="254">
        <v>1493303.6853727156</v>
      </c>
      <c r="M117" s="254">
        <v>-17324.165372715564</v>
      </c>
      <c r="N117" s="255">
        <v>86</v>
      </c>
      <c r="O117" s="256">
        <v>711</v>
      </c>
      <c r="P117" s="254">
        <f t="shared" si="4"/>
        <v>12202574.868837209</v>
      </c>
    </row>
    <row r="118" spans="1:16" x14ac:dyDescent="0.2">
      <c r="A118" t="s">
        <v>512</v>
      </c>
      <c r="B118" s="253">
        <v>1.25</v>
      </c>
      <c r="C118" s="257" t="s">
        <v>494</v>
      </c>
      <c r="D118" s="257" t="str">
        <f t="shared" si="2"/>
        <v>1.25 ST</v>
      </c>
      <c r="E118" t="s">
        <v>487</v>
      </c>
      <c r="F118" t="s">
        <v>488</v>
      </c>
      <c r="G118" t="s">
        <v>532</v>
      </c>
      <c r="H118" t="s">
        <v>462</v>
      </c>
      <c r="I118">
        <f t="shared" si="3"/>
        <v>1967</v>
      </c>
      <c r="J118" s="229">
        <v>965136</v>
      </c>
      <c r="K118" s="254">
        <v>1463807.24</v>
      </c>
      <c r="L118" s="254">
        <v>1499619.1179054473</v>
      </c>
      <c r="M118" s="254">
        <v>-35811.877905447269</v>
      </c>
      <c r="N118" s="255">
        <v>75</v>
      </c>
      <c r="O118" s="256">
        <v>711</v>
      </c>
      <c r="P118" s="254">
        <f t="shared" si="4"/>
        <v>13876892.635200001</v>
      </c>
    </row>
    <row r="119" spans="1:16" x14ac:dyDescent="0.2">
      <c r="A119" t="s">
        <v>512</v>
      </c>
      <c r="B119" s="253">
        <v>1.25</v>
      </c>
      <c r="C119" s="257" t="s">
        <v>494</v>
      </c>
      <c r="D119" s="257" t="str">
        <f t="shared" ref="D119:D182" si="5">B119&amp;" "&amp;C119</f>
        <v>1.25 ST</v>
      </c>
      <c r="E119" t="s">
        <v>487</v>
      </c>
      <c r="F119" t="s">
        <v>488</v>
      </c>
      <c r="G119" t="s">
        <v>533</v>
      </c>
      <c r="H119" t="s">
        <v>462</v>
      </c>
      <c r="I119">
        <f t="shared" si="3"/>
        <v>1969</v>
      </c>
      <c r="J119" s="229">
        <v>1118092</v>
      </c>
      <c r="K119" s="254">
        <v>1950375.44</v>
      </c>
      <c r="L119" s="254">
        <v>1982781.7788844751</v>
      </c>
      <c r="M119" s="254">
        <v>-32406.338884475175</v>
      </c>
      <c r="N119" s="255">
        <v>82</v>
      </c>
      <c r="O119" s="256">
        <v>711</v>
      </c>
      <c r="P119" s="254">
        <f t="shared" si="4"/>
        <v>16911182.168780487</v>
      </c>
    </row>
    <row r="120" spans="1:16" x14ac:dyDescent="0.2">
      <c r="A120" t="s">
        <v>512</v>
      </c>
      <c r="B120" s="253">
        <v>1.25</v>
      </c>
      <c r="C120" s="257" t="s">
        <v>494</v>
      </c>
      <c r="D120" s="257" t="str">
        <f t="shared" si="5"/>
        <v>1.25 ST</v>
      </c>
      <c r="E120" t="s">
        <v>487</v>
      </c>
      <c r="F120" t="s">
        <v>488</v>
      </c>
      <c r="G120" t="s">
        <v>534</v>
      </c>
      <c r="H120" t="s">
        <v>462</v>
      </c>
      <c r="I120">
        <f t="shared" si="3"/>
        <v>1966</v>
      </c>
      <c r="J120" s="229">
        <v>1154762</v>
      </c>
      <c r="K120" s="254">
        <v>1641639</v>
      </c>
      <c r="L120" s="254">
        <v>1686874.2593143124</v>
      </c>
      <c r="M120" s="254">
        <v>-45235.259314312367</v>
      </c>
      <c r="N120" s="255">
        <v>72</v>
      </c>
      <c r="O120" s="256">
        <v>711</v>
      </c>
      <c r="P120" s="254">
        <f t="shared" si="4"/>
        <v>16211185.125</v>
      </c>
    </row>
    <row r="121" spans="1:16" x14ac:dyDescent="0.2">
      <c r="A121" t="s">
        <v>512</v>
      </c>
      <c r="B121" s="253">
        <v>1.25</v>
      </c>
      <c r="C121" s="257" t="s">
        <v>494</v>
      </c>
      <c r="D121" s="257" t="str">
        <f t="shared" si="5"/>
        <v>1.25 ST</v>
      </c>
      <c r="E121" t="s">
        <v>487</v>
      </c>
      <c r="F121" t="s">
        <v>488</v>
      </c>
      <c r="G121" t="s">
        <v>535</v>
      </c>
      <c r="H121" t="s">
        <v>462</v>
      </c>
      <c r="I121">
        <f t="shared" si="3"/>
        <v>1968</v>
      </c>
      <c r="J121" s="229">
        <v>1175065</v>
      </c>
      <c r="K121" s="254">
        <v>1898376.44</v>
      </c>
      <c r="L121" s="254">
        <v>1937931.6075180511</v>
      </c>
      <c r="M121" s="254">
        <v>-39555.167518051108</v>
      </c>
      <c r="N121" s="255">
        <v>78</v>
      </c>
      <c r="O121" s="256">
        <v>711</v>
      </c>
      <c r="P121" s="254">
        <f t="shared" si="4"/>
        <v>17304431.395384613</v>
      </c>
    </row>
    <row r="122" spans="1:16" x14ac:dyDescent="0.2">
      <c r="A122" t="s">
        <v>536</v>
      </c>
      <c r="B122" s="253">
        <v>2</v>
      </c>
      <c r="C122" s="257" t="s">
        <v>494</v>
      </c>
      <c r="D122" s="257" t="str">
        <f t="shared" si="5"/>
        <v>2 ST</v>
      </c>
      <c r="E122" t="s">
        <v>487</v>
      </c>
      <c r="F122" t="s">
        <v>488</v>
      </c>
      <c r="G122" t="s">
        <v>476</v>
      </c>
      <c r="H122" t="s">
        <v>462</v>
      </c>
      <c r="I122">
        <f t="shared" si="3"/>
        <v>2004</v>
      </c>
      <c r="J122" s="229">
        <v>0</v>
      </c>
      <c r="K122" s="254">
        <v>175.82</v>
      </c>
      <c r="L122" s="254">
        <v>32.729641093956964</v>
      </c>
      <c r="M122" s="254">
        <v>143.09035890604304</v>
      </c>
      <c r="N122" s="255">
        <v>477</v>
      </c>
      <c r="O122" s="256">
        <v>711</v>
      </c>
      <c r="P122" s="254">
        <f t="shared" si="4"/>
        <v>262.07132075471696</v>
      </c>
    </row>
    <row r="123" spans="1:16" x14ac:dyDescent="0.2">
      <c r="A123" t="s">
        <v>536</v>
      </c>
      <c r="B123" s="253">
        <v>2</v>
      </c>
      <c r="C123" s="257" t="s">
        <v>494</v>
      </c>
      <c r="D123" s="257" t="str">
        <f t="shared" si="5"/>
        <v>2 ST</v>
      </c>
      <c r="E123" t="s">
        <v>487</v>
      </c>
      <c r="F123" t="s">
        <v>488</v>
      </c>
      <c r="G123" t="s">
        <v>468</v>
      </c>
      <c r="H123" t="s">
        <v>462</v>
      </c>
      <c r="I123">
        <f t="shared" si="3"/>
        <v>2009</v>
      </c>
      <c r="J123" s="229">
        <v>2</v>
      </c>
      <c r="K123" s="254">
        <v>3283.41</v>
      </c>
      <c r="L123" s="254">
        <v>139.30004586684811</v>
      </c>
      <c r="M123" s="254">
        <v>3144.1099541331519</v>
      </c>
      <c r="N123" s="255">
        <v>673</v>
      </c>
      <c r="O123" s="256">
        <v>711</v>
      </c>
      <c r="P123" s="254">
        <f t="shared" si="4"/>
        <v>3468.803135215453</v>
      </c>
    </row>
    <row r="124" spans="1:16" x14ac:dyDescent="0.2">
      <c r="A124" t="s">
        <v>536</v>
      </c>
      <c r="B124" s="253">
        <v>2</v>
      </c>
      <c r="C124" s="257" t="s">
        <v>494</v>
      </c>
      <c r="D124" s="257" t="str">
        <f t="shared" si="5"/>
        <v>2 ST</v>
      </c>
      <c r="E124" t="s">
        <v>487</v>
      </c>
      <c r="F124" t="s">
        <v>488</v>
      </c>
      <c r="G124" t="s">
        <v>469</v>
      </c>
      <c r="H124" t="s">
        <v>462</v>
      </c>
      <c r="I124">
        <f t="shared" si="3"/>
        <v>2010</v>
      </c>
      <c r="J124" s="229">
        <v>3</v>
      </c>
      <c r="K124" s="254">
        <v>17556.009999999998</v>
      </c>
      <c r="L124" s="254">
        <v>256.90268423341701</v>
      </c>
      <c r="M124" s="254">
        <v>17299.107315766581</v>
      </c>
      <c r="N124" s="255">
        <v>711</v>
      </c>
      <c r="O124" s="256">
        <v>711</v>
      </c>
      <c r="P124" s="254">
        <f t="shared" si="4"/>
        <v>17556.009999999998</v>
      </c>
    </row>
    <row r="125" spans="1:16" x14ac:dyDescent="0.2">
      <c r="A125" t="s">
        <v>536</v>
      </c>
      <c r="B125" s="253">
        <v>2</v>
      </c>
      <c r="C125" s="257" t="s">
        <v>494</v>
      </c>
      <c r="D125" s="257" t="str">
        <f t="shared" si="5"/>
        <v>2 ST</v>
      </c>
      <c r="E125" t="s">
        <v>487</v>
      </c>
      <c r="F125" t="s">
        <v>488</v>
      </c>
      <c r="G125" t="s">
        <v>468</v>
      </c>
      <c r="H125" t="s">
        <v>462</v>
      </c>
      <c r="I125">
        <f t="shared" si="3"/>
        <v>2009</v>
      </c>
      <c r="J125" s="229">
        <v>25</v>
      </c>
      <c r="K125" s="254">
        <v>37581.19</v>
      </c>
      <c r="L125" s="254">
        <v>1594.4407654635679</v>
      </c>
      <c r="M125" s="254">
        <v>35986.749234536437</v>
      </c>
      <c r="N125" s="255">
        <v>673</v>
      </c>
      <c r="O125" s="256">
        <v>711</v>
      </c>
      <c r="P125" s="254">
        <f t="shared" si="4"/>
        <v>39703.159123328383</v>
      </c>
    </row>
    <row r="126" spans="1:16" x14ac:dyDescent="0.2">
      <c r="A126" t="s">
        <v>536</v>
      </c>
      <c r="B126" s="253">
        <v>2</v>
      </c>
      <c r="C126" s="257" t="s">
        <v>494</v>
      </c>
      <c r="D126" s="257" t="str">
        <f t="shared" si="5"/>
        <v>2 ST</v>
      </c>
      <c r="E126" t="s">
        <v>487</v>
      </c>
      <c r="F126" t="s">
        <v>488</v>
      </c>
      <c r="G126" t="s">
        <v>469</v>
      </c>
      <c r="H126" t="s">
        <v>462</v>
      </c>
      <c r="I126">
        <f t="shared" si="3"/>
        <v>2010</v>
      </c>
      <c r="J126" s="229">
        <v>37</v>
      </c>
      <c r="K126" s="254">
        <v>25211.16</v>
      </c>
      <c r="L126" s="254">
        <v>368.92245456901395</v>
      </c>
      <c r="M126" s="254">
        <v>24842.237545430988</v>
      </c>
      <c r="N126" s="255">
        <v>711</v>
      </c>
      <c r="O126" s="256">
        <v>711</v>
      </c>
      <c r="P126" s="254">
        <f t="shared" si="4"/>
        <v>25211.16</v>
      </c>
    </row>
    <row r="127" spans="1:16" x14ac:dyDescent="0.2">
      <c r="A127" t="s">
        <v>536</v>
      </c>
      <c r="B127" s="253">
        <v>2</v>
      </c>
      <c r="C127" s="257" t="s">
        <v>494</v>
      </c>
      <c r="D127" s="257" t="str">
        <f t="shared" si="5"/>
        <v>2 ST</v>
      </c>
      <c r="E127" t="s">
        <v>487</v>
      </c>
      <c r="F127" t="s">
        <v>488</v>
      </c>
      <c r="G127" t="s">
        <v>515</v>
      </c>
      <c r="H127" t="s">
        <v>462</v>
      </c>
      <c r="I127">
        <f t="shared" si="3"/>
        <v>1986</v>
      </c>
      <c r="J127" s="229">
        <v>44</v>
      </c>
      <c r="K127" s="254">
        <v>1879.18</v>
      </c>
      <c r="L127" s="254">
        <v>1463.8430448807987</v>
      </c>
      <c r="M127" s="254">
        <v>415.33695511920132</v>
      </c>
      <c r="N127" s="255">
        <v>260</v>
      </c>
      <c r="O127" s="256">
        <v>711</v>
      </c>
      <c r="P127" s="254">
        <f t="shared" si="4"/>
        <v>5138.8345384615386</v>
      </c>
    </row>
    <row r="128" spans="1:16" x14ac:dyDescent="0.2">
      <c r="A128" t="s">
        <v>536</v>
      </c>
      <c r="B128" s="253">
        <v>2</v>
      </c>
      <c r="C128" s="257" t="s">
        <v>494</v>
      </c>
      <c r="D128" s="257" t="str">
        <f t="shared" si="5"/>
        <v>2 ST</v>
      </c>
      <c r="E128" t="s">
        <v>487</v>
      </c>
      <c r="F128" t="s">
        <v>488</v>
      </c>
      <c r="G128" t="s">
        <v>470</v>
      </c>
      <c r="H128" t="s">
        <v>462</v>
      </c>
      <c r="I128">
        <f t="shared" si="3"/>
        <v>2007</v>
      </c>
      <c r="J128" s="229">
        <v>79</v>
      </c>
      <c r="K128" s="254">
        <v>34316.18</v>
      </c>
      <c r="L128" s="254">
        <v>3347.9517285611655</v>
      </c>
      <c r="M128" s="254">
        <v>30968.228271438835</v>
      </c>
      <c r="N128" s="255">
        <v>608</v>
      </c>
      <c r="O128" s="256">
        <v>711</v>
      </c>
      <c r="P128" s="254">
        <f t="shared" si="4"/>
        <v>40129.611809210524</v>
      </c>
    </row>
    <row r="129" spans="1:16" x14ac:dyDescent="0.2">
      <c r="A129" t="s">
        <v>536</v>
      </c>
      <c r="B129" s="253">
        <v>2</v>
      </c>
      <c r="C129" s="257" t="s">
        <v>494</v>
      </c>
      <c r="D129" s="257" t="str">
        <f t="shared" si="5"/>
        <v>2 ST</v>
      </c>
      <c r="E129" t="s">
        <v>487</v>
      </c>
      <c r="F129" t="s">
        <v>488</v>
      </c>
      <c r="G129" t="s">
        <v>470</v>
      </c>
      <c r="H129" t="s">
        <v>462</v>
      </c>
      <c r="I129">
        <f t="shared" si="3"/>
        <v>2007</v>
      </c>
      <c r="J129" s="229">
        <v>81</v>
      </c>
      <c r="K129" s="254">
        <v>10570.85</v>
      </c>
      <c r="L129" s="254">
        <v>1031.3096528156921</v>
      </c>
      <c r="M129" s="254">
        <v>9539.5403471843092</v>
      </c>
      <c r="N129" s="255">
        <v>608</v>
      </c>
      <c r="O129" s="256">
        <v>711</v>
      </c>
      <c r="P129" s="254">
        <f t="shared" si="4"/>
        <v>12361.635444078947</v>
      </c>
    </row>
    <row r="130" spans="1:16" x14ac:dyDescent="0.2">
      <c r="A130" t="s">
        <v>536</v>
      </c>
      <c r="B130" s="253">
        <v>2</v>
      </c>
      <c r="C130" s="257" t="s">
        <v>494</v>
      </c>
      <c r="D130" s="257" t="str">
        <f t="shared" si="5"/>
        <v>2 ST</v>
      </c>
      <c r="E130" t="s">
        <v>487</v>
      </c>
      <c r="F130" t="s">
        <v>488</v>
      </c>
      <c r="G130" t="s">
        <v>470</v>
      </c>
      <c r="H130" t="s">
        <v>462</v>
      </c>
      <c r="I130">
        <f t="shared" ref="I130:I193" si="6">+G130*1</f>
        <v>2007</v>
      </c>
      <c r="J130" s="229">
        <v>119</v>
      </c>
      <c r="K130" s="254">
        <v>62555.45</v>
      </c>
      <c r="L130" s="254">
        <v>6103.0302296153459</v>
      </c>
      <c r="M130" s="254">
        <v>56452.419770384651</v>
      </c>
      <c r="N130" s="255">
        <v>608</v>
      </c>
      <c r="O130" s="256">
        <v>711</v>
      </c>
      <c r="P130" s="254">
        <f t="shared" ref="P130:P193" si="7">+(O130/N130)*K130</f>
        <v>73152.837088815781</v>
      </c>
    </row>
    <row r="131" spans="1:16" x14ac:dyDescent="0.2">
      <c r="A131" t="s">
        <v>536</v>
      </c>
      <c r="B131" s="253">
        <v>2</v>
      </c>
      <c r="C131" s="257" t="s">
        <v>494</v>
      </c>
      <c r="D131" s="257" t="str">
        <f t="shared" si="5"/>
        <v>2 ST</v>
      </c>
      <c r="E131" t="s">
        <v>487</v>
      </c>
      <c r="F131" t="s">
        <v>488</v>
      </c>
      <c r="G131" t="s">
        <v>516</v>
      </c>
      <c r="H131" t="s">
        <v>462</v>
      </c>
      <c r="I131">
        <f t="shared" si="6"/>
        <v>1988</v>
      </c>
      <c r="J131" s="229">
        <v>130</v>
      </c>
      <c r="K131" s="254">
        <v>9471.6200000000008</v>
      </c>
      <c r="L131" s="254">
        <v>6852.2793765120277</v>
      </c>
      <c r="M131" s="254">
        <v>2619.3406234879731</v>
      </c>
      <c r="N131" s="255">
        <v>286</v>
      </c>
      <c r="O131" s="256">
        <v>711</v>
      </c>
      <c r="P131" s="254">
        <f t="shared" si="7"/>
        <v>23546.579790209791</v>
      </c>
    </row>
    <row r="132" spans="1:16" x14ac:dyDescent="0.2">
      <c r="A132" t="s">
        <v>536</v>
      </c>
      <c r="B132" s="253">
        <v>2</v>
      </c>
      <c r="C132" s="257" t="s">
        <v>494</v>
      </c>
      <c r="D132" s="257" t="str">
        <f t="shared" si="5"/>
        <v>2 ST</v>
      </c>
      <c r="E132" t="s">
        <v>487</v>
      </c>
      <c r="F132" t="s">
        <v>488</v>
      </c>
      <c r="G132" t="s">
        <v>469</v>
      </c>
      <c r="H132" t="s">
        <v>462</v>
      </c>
      <c r="I132">
        <f t="shared" si="6"/>
        <v>2010</v>
      </c>
      <c r="J132" s="229">
        <v>170</v>
      </c>
      <c r="K132" s="254">
        <v>100402.58</v>
      </c>
      <c r="L132" s="254">
        <v>1469.2255779052525</v>
      </c>
      <c r="M132" s="254">
        <v>98933.354422094751</v>
      </c>
      <c r="N132" s="255">
        <v>711</v>
      </c>
      <c r="O132" s="256">
        <v>711</v>
      </c>
      <c r="P132" s="254">
        <f t="shared" si="7"/>
        <v>100402.58</v>
      </c>
    </row>
    <row r="133" spans="1:16" x14ac:dyDescent="0.2">
      <c r="A133" t="s">
        <v>536</v>
      </c>
      <c r="B133" s="253">
        <v>2</v>
      </c>
      <c r="C133" s="257" t="s">
        <v>494</v>
      </c>
      <c r="D133" s="257" t="str">
        <f t="shared" si="5"/>
        <v>2 ST</v>
      </c>
      <c r="E133" t="s">
        <v>487</v>
      </c>
      <c r="F133" t="s">
        <v>488</v>
      </c>
      <c r="G133" t="s">
        <v>461</v>
      </c>
      <c r="H133" t="s">
        <v>462</v>
      </c>
      <c r="I133">
        <f t="shared" si="6"/>
        <v>2008</v>
      </c>
      <c r="J133" s="229">
        <v>183</v>
      </c>
      <c r="K133" s="254">
        <v>90408</v>
      </c>
      <c r="L133" s="254">
        <v>6309.437524868963</v>
      </c>
      <c r="M133" s="254">
        <v>84098.562475131039</v>
      </c>
      <c r="N133" s="255">
        <v>731</v>
      </c>
      <c r="O133" s="256">
        <v>711</v>
      </c>
      <c r="P133" s="254">
        <f t="shared" si="7"/>
        <v>87934.456908344728</v>
      </c>
    </row>
    <row r="134" spans="1:16" x14ac:dyDescent="0.2">
      <c r="A134" t="s">
        <v>536</v>
      </c>
      <c r="B134" s="253">
        <v>2</v>
      </c>
      <c r="C134" s="257" t="s">
        <v>494</v>
      </c>
      <c r="D134" s="257" t="str">
        <f t="shared" si="5"/>
        <v>2 ST</v>
      </c>
      <c r="E134" t="s">
        <v>487</v>
      </c>
      <c r="F134" t="s">
        <v>488</v>
      </c>
      <c r="G134" t="s">
        <v>468</v>
      </c>
      <c r="H134" t="s">
        <v>462</v>
      </c>
      <c r="I134">
        <f t="shared" si="6"/>
        <v>2009</v>
      </c>
      <c r="J134" s="229">
        <v>202</v>
      </c>
      <c r="K134" s="254">
        <v>135087.12</v>
      </c>
      <c r="L134" s="254">
        <v>5731.2875054959368</v>
      </c>
      <c r="M134" s="254">
        <v>129355.83249450405</v>
      </c>
      <c r="N134" s="255">
        <v>673</v>
      </c>
      <c r="O134" s="256">
        <v>711</v>
      </c>
      <c r="P134" s="254">
        <f t="shared" si="7"/>
        <v>142714.62454680534</v>
      </c>
    </row>
    <row r="135" spans="1:16" x14ac:dyDescent="0.2">
      <c r="A135" t="s">
        <v>536</v>
      </c>
      <c r="B135" s="253">
        <v>2</v>
      </c>
      <c r="C135" s="257" t="s">
        <v>494</v>
      </c>
      <c r="D135" s="257" t="str">
        <f t="shared" si="5"/>
        <v>2 ST</v>
      </c>
      <c r="E135" t="s">
        <v>487</v>
      </c>
      <c r="F135" t="s">
        <v>488</v>
      </c>
      <c r="G135" t="s">
        <v>461</v>
      </c>
      <c r="H135" t="s">
        <v>462</v>
      </c>
      <c r="I135">
        <f t="shared" si="6"/>
        <v>2008</v>
      </c>
      <c r="J135" s="229">
        <v>323</v>
      </c>
      <c r="K135" s="254">
        <v>161033.47</v>
      </c>
      <c r="L135" s="254">
        <v>11238.2902742264</v>
      </c>
      <c r="M135" s="254">
        <v>149795.1797257736</v>
      </c>
      <c r="N135" s="255">
        <v>731</v>
      </c>
      <c r="O135" s="256">
        <v>711</v>
      </c>
      <c r="P135" s="254">
        <f t="shared" si="7"/>
        <v>156627.62950752393</v>
      </c>
    </row>
    <row r="136" spans="1:16" x14ac:dyDescent="0.2">
      <c r="A136" t="s">
        <v>536</v>
      </c>
      <c r="B136" s="253">
        <v>2</v>
      </c>
      <c r="C136" s="257" t="s">
        <v>494</v>
      </c>
      <c r="D136" s="257" t="str">
        <f t="shared" si="5"/>
        <v>2 ST</v>
      </c>
      <c r="E136" t="s">
        <v>487</v>
      </c>
      <c r="F136" t="s">
        <v>488</v>
      </c>
      <c r="G136" t="s">
        <v>461</v>
      </c>
      <c r="H136" t="s">
        <v>462</v>
      </c>
      <c r="I136">
        <f t="shared" si="6"/>
        <v>2008</v>
      </c>
      <c r="J136" s="229">
        <v>492</v>
      </c>
      <c r="K136" s="254">
        <v>310412.28999999998</v>
      </c>
      <c r="L136" s="254">
        <v>21663.211465437867</v>
      </c>
      <c r="M136" s="254">
        <v>288749.07853456214</v>
      </c>
      <c r="N136" s="255">
        <v>731</v>
      </c>
      <c r="O136" s="256">
        <v>711</v>
      </c>
      <c r="P136" s="254">
        <f t="shared" si="7"/>
        <v>301919.47768809844</v>
      </c>
    </row>
    <row r="137" spans="1:16" x14ac:dyDescent="0.2">
      <c r="A137" t="s">
        <v>536</v>
      </c>
      <c r="B137" s="253">
        <v>2</v>
      </c>
      <c r="C137" s="257" t="s">
        <v>494</v>
      </c>
      <c r="D137" s="257" t="str">
        <f t="shared" si="5"/>
        <v>2 ST</v>
      </c>
      <c r="E137" t="s">
        <v>487</v>
      </c>
      <c r="F137" t="s">
        <v>488</v>
      </c>
      <c r="G137" t="s">
        <v>469</v>
      </c>
      <c r="H137" t="s">
        <v>462</v>
      </c>
      <c r="I137">
        <f t="shared" si="6"/>
        <v>2010</v>
      </c>
      <c r="J137" s="229">
        <v>568</v>
      </c>
      <c r="K137" s="254">
        <v>225935.81</v>
      </c>
      <c r="L137" s="254">
        <v>3306.1991956117195</v>
      </c>
      <c r="M137" s="254">
        <v>222629.61080438827</v>
      </c>
      <c r="N137" s="255">
        <v>711</v>
      </c>
      <c r="O137" s="256">
        <v>711</v>
      </c>
      <c r="P137" s="254">
        <f t="shared" si="7"/>
        <v>225935.81</v>
      </c>
    </row>
    <row r="138" spans="1:16" x14ac:dyDescent="0.2">
      <c r="A138" t="s">
        <v>536</v>
      </c>
      <c r="B138" s="253">
        <v>2</v>
      </c>
      <c r="C138" s="257" t="s">
        <v>494</v>
      </c>
      <c r="D138" s="257" t="str">
        <f t="shared" si="5"/>
        <v>2 ST</v>
      </c>
      <c r="E138" t="s">
        <v>487</v>
      </c>
      <c r="F138" t="s">
        <v>488</v>
      </c>
      <c r="G138" t="s">
        <v>470</v>
      </c>
      <c r="H138" t="s">
        <v>462</v>
      </c>
      <c r="I138">
        <f t="shared" si="6"/>
        <v>2007</v>
      </c>
      <c r="J138" s="229">
        <v>573</v>
      </c>
      <c r="K138" s="254">
        <v>271791.90000000002</v>
      </c>
      <c r="L138" s="254">
        <v>26516.523715417137</v>
      </c>
      <c r="M138" s="254">
        <v>245275.37628458289</v>
      </c>
      <c r="N138" s="255">
        <v>608</v>
      </c>
      <c r="O138" s="256">
        <v>711</v>
      </c>
      <c r="P138" s="254">
        <f t="shared" si="7"/>
        <v>317835.59358552634</v>
      </c>
    </row>
    <row r="139" spans="1:16" x14ac:dyDescent="0.2">
      <c r="A139" t="s">
        <v>536</v>
      </c>
      <c r="B139" s="253">
        <v>2</v>
      </c>
      <c r="C139" s="257" t="s">
        <v>494</v>
      </c>
      <c r="D139" s="257" t="str">
        <f t="shared" si="5"/>
        <v>2 ST</v>
      </c>
      <c r="E139" t="s">
        <v>487</v>
      </c>
      <c r="F139" t="s">
        <v>488</v>
      </c>
      <c r="G139" t="s">
        <v>477</v>
      </c>
      <c r="H139" t="s">
        <v>462</v>
      </c>
      <c r="I139">
        <f t="shared" si="6"/>
        <v>2006</v>
      </c>
      <c r="J139" s="229">
        <v>661</v>
      </c>
      <c r="K139" s="254">
        <v>500161.28000000003</v>
      </c>
      <c r="L139" s="254">
        <v>63074.236355898727</v>
      </c>
      <c r="M139" s="254">
        <v>437087.0436441013</v>
      </c>
      <c r="N139" s="255">
        <v>644</v>
      </c>
      <c r="O139" s="256">
        <v>711</v>
      </c>
      <c r="P139" s="254">
        <f t="shared" si="7"/>
        <v>552196.69267080748</v>
      </c>
    </row>
    <row r="140" spans="1:16" x14ac:dyDescent="0.2">
      <c r="A140" t="s">
        <v>536</v>
      </c>
      <c r="B140" s="253">
        <v>2</v>
      </c>
      <c r="C140" s="257" t="s">
        <v>494</v>
      </c>
      <c r="D140" s="257" t="str">
        <f t="shared" si="5"/>
        <v>2 ST</v>
      </c>
      <c r="E140" t="s">
        <v>487</v>
      </c>
      <c r="F140" t="s">
        <v>488</v>
      </c>
      <c r="G140" t="s">
        <v>468</v>
      </c>
      <c r="H140" t="s">
        <v>462</v>
      </c>
      <c r="I140">
        <f t="shared" si="6"/>
        <v>2009</v>
      </c>
      <c r="J140" s="229">
        <v>797</v>
      </c>
      <c r="K140" s="254">
        <v>538178.41</v>
      </c>
      <c r="L140" s="254">
        <v>22833.081026142754</v>
      </c>
      <c r="M140" s="254">
        <v>515345.32897385728</v>
      </c>
      <c r="N140" s="255">
        <v>673</v>
      </c>
      <c r="O140" s="256">
        <v>711</v>
      </c>
      <c r="P140" s="254">
        <f t="shared" si="7"/>
        <v>568565.89823179797</v>
      </c>
    </row>
    <row r="141" spans="1:16" x14ac:dyDescent="0.2">
      <c r="A141" t="s">
        <v>536</v>
      </c>
      <c r="B141" s="253">
        <v>2</v>
      </c>
      <c r="C141" s="257" t="s">
        <v>494</v>
      </c>
      <c r="D141" s="257" t="str">
        <f t="shared" si="5"/>
        <v>2 ST</v>
      </c>
      <c r="E141" t="s">
        <v>487</v>
      </c>
      <c r="F141" t="s">
        <v>488</v>
      </c>
      <c r="G141" t="s">
        <v>461</v>
      </c>
      <c r="H141" t="s">
        <v>462</v>
      </c>
      <c r="I141">
        <f t="shared" si="6"/>
        <v>2008</v>
      </c>
      <c r="J141" s="229">
        <v>800</v>
      </c>
      <c r="K141" s="254">
        <v>232148.18</v>
      </c>
      <c r="L141" s="254">
        <v>16201.279851071084</v>
      </c>
      <c r="M141" s="254">
        <v>215946.90014892892</v>
      </c>
      <c r="N141" s="255">
        <v>731</v>
      </c>
      <c r="O141" s="256">
        <v>711</v>
      </c>
      <c r="P141" s="254">
        <f t="shared" si="7"/>
        <v>225796.65660738712</v>
      </c>
    </row>
    <row r="142" spans="1:16" x14ac:dyDescent="0.2">
      <c r="A142" t="s">
        <v>536</v>
      </c>
      <c r="B142" s="253">
        <v>2</v>
      </c>
      <c r="C142" s="257" t="s">
        <v>494</v>
      </c>
      <c r="D142" s="257" t="str">
        <f t="shared" si="5"/>
        <v>2 ST</v>
      </c>
      <c r="E142" t="s">
        <v>487</v>
      </c>
      <c r="F142" t="s">
        <v>488</v>
      </c>
      <c r="G142" t="s">
        <v>471</v>
      </c>
      <c r="H142" t="s">
        <v>462</v>
      </c>
      <c r="I142">
        <f t="shared" si="6"/>
        <v>2003</v>
      </c>
      <c r="J142" s="229">
        <v>898</v>
      </c>
      <c r="K142" s="254">
        <v>490000.58</v>
      </c>
      <c r="L142" s="254">
        <v>106658.59919366821</v>
      </c>
      <c r="M142" s="254">
        <v>383341.98080633179</v>
      </c>
      <c r="N142" s="255">
        <v>413</v>
      </c>
      <c r="O142" s="256">
        <v>711</v>
      </c>
      <c r="P142" s="254">
        <f t="shared" si="7"/>
        <v>843560.32053268771</v>
      </c>
    </row>
    <row r="143" spans="1:16" x14ac:dyDescent="0.2">
      <c r="A143" t="s">
        <v>536</v>
      </c>
      <c r="B143" s="253">
        <v>2</v>
      </c>
      <c r="C143" s="257" t="s">
        <v>494</v>
      </c>
      <c r="D143" s="257" t="str">
        <f t="shared" si="5"/>
        <v>2 ST</v>
      </c>
      <c r="E143" t="s">
        <v>487</v>
      </c>
      <c r="F143" t="s">
        <v>488</v>
      </c>
      <c r="G143" t="s">
        <v>461</v>
      </c>
      <c r="H143" t="s">
        <v>462</v>
      </c>
      <c r="I143">
        <f t="shared" si="6"/>
        <v>2008</v>
      </c>
      <c r="J143" s="229">
        <v>1198</v>
      </c>
      <c r="K143" s="254">
        <v>481791.74</v>
      </c>
      <c r="L143" s="254">
        <v>33623.52906172807</v>
      </c>
      <c r="M143" s="254">
        <v>448168.21093827195</v>
      </c>
      <c r="N143" s="255">
        <v>731</v>
      </c>
      <c r="O143" s="256">
        <v>711</v>
      </c>
      <c r="P143" s="254">
        <f t="shared" si="7"/>
        <v>468610.02344733238</v>
      </c>
    </row>
    <row r="144" spans="1:16" x14ac:dyDescent="0.2">
      <c r="A144" t="s">
        <v>536</v>
      </c>
      <c r="B144" s="253">
        <v>2</v>
      </c>
      <c r="C144" s="257" t="s">
        <v>494</v>
      </c>
      <c r="D144" s="257" t="str">
        <f t="shared" si="5"/>
        <v>2 ST</v>
      </c>
      <c r="E144" t="s">
        <v>487</v>
      </c>
      <c r="F144" t="s">
        <v>488</v>
      </c>
      <c r="G144" t="s">
        <v>470</v>
      </c>
      <c r="H144" t="s">
        <v>462</v>
      </c>
      <c r="I144">
        <f t="shared" si="6"/>
        <v>2007</v>
      </c>
      <c r="J144" s="229">
        <v>1209</v>
      </c>
      <c r="K144" s="254">
        <v>649049.59</v>
      </c>
      <c r="L144" s="254">
        <v>63322.48064998247</v>
      </c>
      <c r="M144" s="254">
        <v>585727.1093500175</v>
      </c>
      <c r="N144" s="255">
        <v>608</v>
      </c>
      <c r="O144" s="256">
        <v>711</v>
      </c>
      <c r="P144" s="254">
        <f t="shared" si="7"/>
        <v>759003.71462171047</v>
      </c>
    </row>
    <row r="145" spans="1:16" x14ac:dyDescent="0.2">
      <c r="A145" t="s">
        <v>536</v>
      </c>
      <c r="B145" s="253">
        <v>2</v>
      </c>
      <c r="C145" s="257" t="s">
        <v>494</v>
      </c>
      <c r="D145" s="257" t="str">
        <f t="shared" si="5"/>
        <v>2 ST</v>
      </c>
      <c r="E145" t="s">
        <v>487</v>
      </c>
      <c r="F145" t="s">
        <v>488</v>
      </c>
      <c r="G145" t="s">
        <v>474</v>
      </c>
      <c r="H145" t="s">
        <v>462</v>
      </c>
      <c r="I145">
        <f t="shared" si="6"/>
        <v>2005</v>
      </c>
      <c r="J145" s="229">
        <v>1322</v>
      </c>
      <c r="K145" s="254">
        <v>578461.43999999994</v>
      </c>
      <c r="L145" s="254">
        <v>90019.219947068137</v>
      </c>
      <c r="M145" s="254">
        <v>488442.22005293181</v>
      </c>
      <c r="N145" s="255">
        <v>595</v>
      </c>
      <c r="O145" s="256">
        <v>711</v>
      </c>
      <c r="P145" s="254">
        <f t="shared" si="7"/>
        <v>691237.11569747888</v>
      </c>
    </row>
    <row r="146" spans="1:16" x14ac:dyDescent="0.2">
      <c r="A146" t="s">
        <v>536</v>
      </c>
      <c r="B146" s="253">
        <v>2</v>
      </c>
      <c r="C146" s="257" t="s">
        <v>494</v>
      </c>
      <c r="D146" s="257" t="str">
        <f t="shared" si="5"/>
        <v>2 ST</v>
      </c>
      <c r="E146" t="s">
        <v>487</v>
      </c>
      <c r="F146" t="s">
        <v>488</v>
      </c>
      <c r="G146" t="s">
        <v>514</v>
      </c>
      <c r="H146" t="s">
        <v>462</v>
      </c>
      <c r="I146">
        <f t="shared" si="6"/>
        <v>1994</v>
      </c>
      <c r="J146" s="229">
        <v>1461</v>
      </c>
      <c r="K146" s="254">
        <v>335845.14</v>
      </c>
      <c r="L146" s="254">
        <v>177525.9960763834</v>
      </c>
      <c r="M146" s="254">
        <v>158319.14392361662</v>
      </c>
      <c r="N146" s="255">
        <v>346</v>
      </c>
      <c r="O146" s="256">
        <v>711</v>
      </c>
      <c r="P146" s="254">
        <f t="shared" si="7"/>
        <v>690132.64317919081</v>
      </c>
    </row>
    <row r="147" spans="1:16" x14ac:dyDescent="0.2">
      <c r="A147" t="s">
        <v>536</v>
      </c>
      <c r="B147" s="253">
        <v>2</v>
      </c>
      <c r="C147" s="257" t="s">
        <v>494</v>
      </c>
      <c r="D147" s="257" t="str">
        <f t="shared" si="5"/>
        <v>2 ST</v>
      </c>
      <c r="E147" t="s">
        <v>487</v>
      </c>
      <c r="F147" t="s">
        <v>488</v>
      </c>
      <c r="G147" t="s">
        <v>467</v>
      </c>
      <c r="H147" t="s">
        <v>462</v>
      </c>
      <c r="I147">
        <f t="shared" si="6"/>
        <v>1996</v>
      </c>
      <c r="J147" s="229">
        <v>1641</v>
      </c>
      <c r="K147" s="254">
        <v>117499.41</v>
      </c>
      <c r="L147" s="254">
        <v>53833.463082992246</v>
      </c>
      <c r="M147" s="254">
        <v>63665.946917007757</v>
      </c>
      <c r="N147" s="255">
        <v>359</v>
      </c>
      <c r="O147" s="256">
        <v>711</v>
      </c>
      <c r="P147" s="254">
        <f t="shared" si="7"/>
        <v>232707.74515320334</v>
      </c>
    </row>
    <row r="148" spans="1:16" x14ac:dyDescent="0.2">
      <c r="A148" t="s">
        <v>536</v>
      </c>
      <c r="B148" s="253">
        <v>2</v>
      </c>
      <c r="C148" s="257" t="s">
        <v>494</v>
      </c>
      <c r="D148" s="257" t="str">
        <f t="shared" si="5"/>
        <v>2 ST</v>
      </c>
      <c r="E148" t="s">
        <v>487</v>
      </c>
      <c r="F148" t="s">
        <v>488</v>
      </c>
      <c r="G148" t="s">
        <v>469</v>
      </c>
      <c r="H148" t="s">
        <v>462</v>
      </c>
      <c r="I148">
        <f t="shared" si="6"/>
        <v>2010</v>
      </c>
      <c r="J148" s="229">
        <v>1663</v>
      </c>
      <c r="K148" s="254">
        <v>711254.89</v>
      </c>
      <c r="L148" s="254">
        <v>10408.041679114091</v>
      </c>
      <c r="M148" s="254">
        <v>700846.84832088591</v>
      </c>
      <c r="N148" s="255">
        <v>711</v>
      </c>
      <c r="O148" s="256">
        <v>711</v>
      </c>
      <c r="P148" s="254">
        <f t="shared" si="7"/>
        <v>711254.89</v>
      </c>
    </row>
    <row r="149" spans="1:16" x14ac:dyDescent="0.2">
      <c r="A149" t="s">
        <v>536</v>
      </c>
      <c r="B149" s="253">
        <v>2</v>
      </c>
      <c r="C149" s="257" t="s">
        <v>494</v>
      </c>
      <c r="D149" s="257" t="str">
        <f t="shared" si="5"/>
        <v>2 ST</v>
      </c>
      <c r="E149" t="s">
        <v>487</v>
      </c>
      <c r="F149" t="s">
        <v>488</v>
      </c>
      <c r="G149" t="s">
        <v>475</v>
      </c>
      <c r="H149" t="s">
        <v>462</v>
      </c>
      <c r="I149">
        <f t="shared" si="6"/>
        <v>2002</v>
      </c>
      <c r="J149" s="229">
        <v>1707</v>
      </c>
      <c r="K149" s="254">
        <v>558936.69999999995</v>
      </c>
      <c r="L149" s="254">
        <v>139821.8193074775</v>
      </c>
      <c r="M149" s="254">
        <v>419114.88069252245</v>
      </c>
      <c r="N149" s="255">
        <v>407</v>
      </c>
      <c r="O149" s="256">
        <v>711</v>
      </c>
      <c r="P149" s="254">
        <f t="shared" si="7"/>
        <v>976422.5889434889</v>
      </c>
    </row>
    <row r="150" spans="1:16" x14ac:dyDescent="0.2">
      <c r="A150" t="s">
        <v>536</v>
      </c>
      <c r="B150" s="253">
        <v>2</v>
      </c>
      <c r="C150" s="257" t="s">
        <v>494</v>
      </c>
      <c r="D150" s="257" t="str">
        <f t="shared" si="5"/>
        <v>2 ST</v>
      </c>
      <c r="E150" t="s">
        <v>487</v>
      </c>
      <c r="F150" t="s">
        <v>488</v>
      </c>
      <c r="G150" t="s">
        <v>479</v>
      </c>
      <c r="H150" t="s">
        <v>462</v>
      </c>
      <c r="I150">
        <f t="shared" si="6"/>
        <v>1998</v>
      </c>
      <c r="J150" s="229">
        <v>1744</v>
      </c>
      <c r="K150" s="254">
        <v>126713.33</v>
      </c>
      <c r="L150" s="254">
        <v>49080.398328518539</v>
      </c>
      <c r="M150" s="254">
        <v>77632.931671481463</v>
      </c>
      <c r="N150" s="255">
        <v>372</v>
      </c>
      <c r="O150" s="256">
        <v>711</v>
      </c>
      <c r="P150" s="254">
        <f t="shared" si="7"/>
        <v>242185.96137096777</v>
      </c>
    </row>
    <row r="151" spans="1:16" x14ac:dyDescent="0.2">
      <c r="A151" t="s">
        <v>536</v>
      </c>
      <c r="B151" s="253">
        <v>2</v>
      </c>
      <c r="C151" s="257" t="s">
        <v>494</v>
      </c>
      <c r="D151" s="257" t="str">
        <f t="shared" si="5"/>
        <v>2 ST</v>
      </c>
      <c r="E151" t="s">
        <v>487</v>
      </c>
      <c r="F151" t="s">
        <v>488</v>
      </c>
      <c r="G151" t="s">
        <v>476</v>
      </c>
      <c r="H151" t="s">
        <v>462</v>
      </c>
      <c r="I151">
        <f t="shared" si="6"/>
        <v>2004</v>
      </c>
      <c r="J151" s="229">
        <v>1816</v>
      </c>
      <c r="K151" s="254">
        <v>814915.88</v>
      </c>
      <c r="L151" s="254">
        <v>151681.59593201059</v>
      </c>
      <c r="M151" s="254">
        <v>663234.28406798944</v>
      </c>
      <c r="N151" s="255">
        <v>477</v>
      </c>
      <c r="O151" s="256">
        <v>711</v>
      </c>
      <c r="P151" s="254">
        <f t="shared" si="7"/>
        <v>1214685.9343396225</v>
      </c>
    </row>
    <row r="152" spans="1:16" x14ac:dyDescent="0.2">
      <c r="A152" t="s">
        <v>536</v>
      </c>
      <c r="B152" s="253">
        <v>2</v>
      </c>
      <c r="C152" s="257" t="s">
        <v>494</v>
      </c>
      <c r="D152" s="257" t="str">
        <f t="shared" si="5"/>
        <v>2 ST</v>
      </c>
      <c r="E152" t="s">
        <v>487</v>
      </c>
      <c r="F152" t="s">
        <v>488</v>
      </c>
      <c r="G152" t="s">
        <v>468</v>
      </c>
      <c r="H152" t="s">
        <v>462</v>
      </c>
      <c r="I152">
        <f t="shared" si="6"/>
        <v>2009</v>
      </c>
      <c r="J152" s="229">
        <v>1893</v>
      </c>
      <c r="K152" s="254">
        <v>634731.55000000005</v>
      </c>
      <c r="L152" s="254">
        <v>26929.505519912404</v>
      </c>
      <c r="M152" s="254">
        <v>607802.0444800877</v>
      </c>
      <c r="N152" s="255">
        <v>673</v>
      </c>
      <c r="O152" s="256">
        <v>711</v>
      </c>
      <c r="P152" s="254">
        <f t="shared" si="7"/>
        <v>670570.77570579504</v>
      </c>
    </row>
    <row r="153" spans="1:16" x14ac:dyDescent="0.2">
      <c r="A153" t="s">
        <v>536</v>
      </c>
      <c r="B153" s="253">
        <v>2</v>
      </c>
      <c r="C153" s="257" t="s">
        <v>494</v>
      </c>
      <c r="D153" s="257" t="str">
        <f t="shared" si="5"/>
        <v>2 ST</v>
      </c>
      <c r="E153" t="s">
        <v>487</v>
      </c>
      <c r="F153" t="s">
        <v>488</v>
      </c>
      <c r="G153" t="s">
        <v>464</v>
      </c>
      <c r="H153" t="s">
        <v>462</v>
      </c>
      <c r="I153">
        <f t="shared" si="6"/>
        <v>1985</v>
      </c>
      <c r="J153" s="229">
        <v>2014</v>
      </c>
      <c r="K153" s="254">
        <v>46984.639999999999</v>
      </c>
      <c r="L153" s="254">
        <v>37799.716403871993</v>
      </c>
      <c r="M153" s="254">
        <v>9184.9235961280065</v>
      </c>
      <c r="N153" s="255">
        <v>270</v>
      </c>
      <c r="O153" s="256">
        <v>711</v>
      </c>
      <c r="P153" s="254">
        <f t="shared" si="7"/>
        <v>123726.21866666667</v>
      </c>
    </row>
    <row r="154" spans="1:16" x14ac:dyDescent="0.2">
      <c r="A154" t="s">
        <v>536</v>
      </c>
      <c r="B154" s="253">
        <v>2</v>
      </c>
      <c r="C154" s="257" t="s">
        <v>494</v>
      </c>
      <c r="D154" s="257" t="str">
        <f t="shared" si="5"/>
        <v>2 ST</v>
      </c>
      <c r="E154" t="s">
        <v>487</v>
      </c>
      <c r="F154" t="s">
        <v>488</v>
      </c>
      <c r="G154" t="s">
        <v>478</v>
      </c>
      <c r="H154" t="s">
        <v>462</v>
      </c>
      <c r="I154">
        <f t="shared" si="6"/>
        <v>2001</v>
      </c>
      <c r="J154" s="229">
        <v>2425</v>
      </c>
      <c r="K154" s="254">
        <v>333053.06</v>
      </c>
      <c r="L154" s="254">
        <v>94418.24297260899</v>
      </c>
      <c r="M154" s="254">
        <v>238634.81702739099</v>
      </c>
      <c r="N154" s="255">
        <v>399</v>
      </c>
      <c r="O154" s="256">
        <v>711</v>
      </c>
      <c r="P154" s="254">
        <f t="shared" si="7"/>
        <v>593485.52796992485</v>
      </c>
    </row>
    <row r="155" spans="1:16" x14ac:dyDescent="0.2">
      <c r="A155" t="s">
        <v>536</v>
      </c>
      <c r="B155" s="253">
        <v>2</v>
      </c>
      <c r="C155" s="257" t="s">
        <v>494</v>
      </c>
      <c r="D155" s="257" t="str">
        <f t="shared" si="5"/>
        <v>2 ST</v>
      </c>
      <c r="E155" t="s">
        <v>487</v>
      </c>
      <c r="F155" t="s">
        <v>488</v>
      </c>
      <c r="G155" t="s">
        <v>480</v>
      </c>
      <c r="H155" t="s">
        <v>462</v>
      </c>
      <c r="I155">
        <f t="shared" si="6"/>
        <v>1999</v>
      </c>
      <c r="J155" s="229">
        <v>2855</v>
      </c>
      <c r="K155" s="254">
        <v>275811.34000000003</v>
      </c>
      <c r="L155" s="254">
        <v>97149.214121506855</v>
      </c>
      <c r="M155" s="254">
        <v>178662.12587849319</v>
      </c>
      <c r="N155" s="255">
        <v>382</v>
      </c>
      <c r="O155" s="256">
        <v>711</v>
      </c>
      <c r="P155" s="254">
        <f t="shared" si="7"/>
        <v>513355.66162303672</v>
      </c>
    </row>
    <row r="156" spans="1:16" x14ac:dyDescent="0.2">
      <c r="A156" t="s">
        <v>536</v>
      </c>
      <c r="B156" s="253">
        <v>2</v>
      </c>
      <c r="C156" s="257" t="s">
        <v>494</v>
      </c>
      <c r="D156" s="257" t="str">
        <f t="shared" si="5"/>
        <v>2 ST</v>
      </c>
      <c r="E156" t="s">
        <v>487</v>
      </c>
      <c r="F156" t="s">
        <v>488</v>
      </c>
      <c r="G156" t="s">
        <v>519</v>
      </c>
      <c r="H156" t="s">
        <v>462</v>
      </c>
      <c r="I156">
        <f t="shared" si="6"/>
        <v>1979</v>
      </c>
      <c r="J156" s="229">
        <v>3110</v>
      </c>
      <c r="K156" s="254">
        <v>37342.99</v>
      </c>
      <c r="L156" s="254">
        <v>34521.807703760802</v>
      </c>
      <c r="M156" s="254">
        <v>2821.1822962391961</v>
      </c>
      <c r="N156" s="255">
        <v>187</v>
      </c>
      <c r="O156" s="256">
        <v>711</v>
      </c>
      <c r="P156" s="254">
        <f t="shared" si="7"/>
        <v>141983.24005347592</v>
      </c>
    </row>
    <row r="157" spans="1:16" x14ac:dyDescent="0.2">
      <c r="A157" t="s">
        <v>536</v>
      </c>
      <c r="B157" s="253">
        <v>2</v>
      </c>
      <c r="C157" s="257" t="s">
        <v>494</v>
      </c>
      <c r="D157" s="257" t="str">
        <f t="shared" si="5"/>
        <v>2 ST</v>
      </c>
      <c r="E157" t="s">
        <v>487</v>
      </c>
      <c r="F157" t="s">
        <v>488</v>
      </c>
      <c r="G157" t="s">
        <v>517</v>
      </c>
      <c r="H157" t="s">
        <v>462</v>
      </c>
      <c r="I157">
        <f t="shared" si="6"/>
        <v>1983</v>
      </c>
      <c r="J157" s="229">
        <v>3139</v>
      </c>
      <c r="K157" s="254">
        <v>72181.02</v>
      </c>
      <c r="L157" s="254">
        <v>61415.018047979349</v>
      </c>
      <c r="M157" s="254">
        <v>10766.001952020655</v>
      </c>
      <c r="N157" s="255">
        <v>260</v>
      </c>
      <c r="O157" s="256">
        <v>711</v>
      </c>
      <c r="P157" s="254">
        <f t="shared" si="7"/>
        <v>197387.32776923079</v>
      </c>
    </row>
    <row r="158" spans="1:16" x14ac:dyDescent="0.2">
      <c r="A158" t="s">
        <v>536</v>
      </c>
      <c r="B158" s="253">
        <v>2</v>
      </c>
      <c r="C158" s="257" t="s">
        <v>494</v>
      </c>
      <c r="D158" s="257" t="str">
        <f t="shared" si="5"/>
        <v>2 ST</v>
      </c>
      <c r="E158" t="s">
        <v>487</v>
      </c>
      <c r="F158" t="s">
        <v>488</v>
      </c>
      <c r="G158" t="s">
        <v>513</v>
      </c>
      <c r="H158" t="s">
        <v>462</v>
      </c>
      <c r="I158">
        <f t="shared" si="6"/>
        <v>1995</v>
      </c>
      <c r="J158" s="229">
        <v>3364</v>
      </c>
      <c r="K158" s="254">
        <v>278610.34999999998</v>
      </c>
      <c r="L158" s="254">
        <v>137497.097605288</v>
      </c>
      <c r="M158" s="254">
        <v>141113.25239471198</v>
      </c>
      <c r="N158" s="255">
        <v>358</v>
      </c>
      <c r="O158" s="256">
        <v>711</v>
      </c>
      <c r="P158" s="254">
        <f t="shared" si="7"/>
        <v>553329.49399441341</v>
      </c>
    </row>
    <row r="159" spans="1:16" x14ac:dyDescent="0.2">
      <c r="A159" t="s">
        <v>536</v>
      </c>
      <c r="B159" s="253">
        <v>2</v>
      </c>
      <c r="C159" s="257" t="s">
        <v>494</v>
      </c>
      <c r="D159" s="257" t="str">
        <f t="shared" si="5"/>
        <v>2 ST</v>
      </c>
      <c r="E159" t="s">
        <v>487</v>
      </c>
      <c r="F159" t="s">
        <v>488</v>
      </c>
      <c r="G159" t="s">
        <v>490</v>
      </c>
      <c r="H159" t="s">
        <v>462</v>
      </c>
      <c r="I159">
        <f t="shared" si="6"/>
        <v>1992</v>
      </c>
      <c r="J159" s="229">
        <v>3425</v>
      </c>
      <c r="K159" s="254">
        <v>137100.43</v>
      </c>
      <c r="L159" s="254">
        <v>81873.85790539853</v>
      </c>
      <c r="M159" s="254">
        <v>55226.572094601463</v>
      </c>
      <c r="N159" s="255">
        <v>315</v>
      </c>
      <c r="O159" s="256">
        <v>711</v>
      </c>
      <c r="P159" s="254">
        <f t="shared" si="7"/>
        <v>309455.25628571428</v>
      </c>
    </row>
    <row r="160" spans="1:16" x14ac:dyDescent="0.2">
      <c r="A160" t="s">
        <v>536</v>
      </c>
      <c r="B160" s="253">
        <v>2</v>
      </c>
      <c r="C160" s="257" t="s">
        <v>494</v>
      </c>
      <c r="D160" s="257" t="str">
        <f t="shared" si="5"/>
        <v>2 ST</v>
      </c>
      <c r="E160" t="s">
        <v>487</v>
      </c>
      <c r="F160" t="s">
        <v>488</v>
      </c>
      <c r="G160" t="s">
        <v>466</v>
      </c>
      <c r="H160" t="s">
        <v>462</v>
      </c>
      <c r="I160">
        <f t="shared" si="6"/>
        <v>1989</v>
      </c>
      <c r="J160" s="229">
        <v>3503</v>
      </c>
      <c r="K160" s="254">
        <v>75998.3</v>
      </c>
      <c r="L160" s="254">
        <v>52713.727368620574</v>
      </c>
      <c r="M160" s="254">
        <v>23284.572631379429</v>
      </c>
      <c r="N160" s="255">
        <v>300</v>
      </c>
      <c r="O160" s="256">
        <v>711</v>
      </c>
      <c r="P160" s="254">
        <f t="shared" si="7"/>
        <v>180115.97100000002</v>
      </c>
    </row>
    <row r="161" spans="1:16" x14ac:dyDescent="0.2">
      <c r="A161" t="s">
        <v>536</v>
      </c>
      <c r="B161" s="253">
        <v>2</v>
      </c>
      <c r="C161" s="257" t="s">
        <v>494</v>
      </c>
      <c r="D161" s="257" t="str">
        <f t="shared" si="5"/>
        <v>2 ST</v>
      </c>
      <c r="E161" t="s">
        <v>487</v>
      </c>
      <c r="F161" t="s">
        <v>488</v>
      </c>
      <c r="G161" t="s">
        <v>472</v>
      </c>
      <c r="H161" t="s">
        <v>462</v>
      </c>
      <c r="I161">
        <f t="shared" si="6"/>
        <v>2000</v>
      </c>
      <c r="J161" s="229">
        <v>4775</v>
      </c>
      <c r="K161" s="254">
        <v>82744.570000000007</v>
      </c>
      <c r="L161" s="254">
        <v>26276.017300499367</v>
      </c>
      <c r="M161" s="254">
        <v>56468.552699500637</v>
      </c>
      <c r="N161" s="255">
        <v>396</v>
      </c>
      <c r="O161" s="256">
        <v>711</v>
      </c>
      <c r="P161" s="254">
        <f t="shared" si="7"/>
        <v>148564.11431818182</v>
      </c>
    </row>
    <row r="162" spans="1:16" x14ac:dyDescent="0.2">
      <c r="A162" t="s">
        <v>536</v>
      </c>
      <c r="B162" s="253">
        <v>2</v>
      </c>
      <c r="C162" s="257" t="s">
        <v>494</v>
      </c>
      <c r="D162" s="257" t="str">
        <f t="shared" si="5"/>
        <v>2 ST</v>
      </c>
      <c r="E162" t="s">
        <v>487</v>
      </c>
      <c r="F162" t="s">
        <v>488</v>
      </c>
      <c r="G162" t="s">
        <v>473</v>
      </c>
      <c r="H162" t="s">
        <v>462</v>
      </c>
      <c r="I162">
        <f t="shared" si="6"/>
        <v>1997</v>
      </c>
      <c r="J162" s="229">
        <v>5178</v>
      </c>
      <c r="K162" s="254">
        <v>1027866.77</v>
      </c>
      <c r="L162" s="254">
        <v>434480.26309921971</v>
      </c>
      <c r="M162" s="254">
        <v>593386.50690078037</v>
      </c>
      <c r="N162" s="255">
        <v>368</v>
      </c>
      <c r="O162" s="256">
        <v>711</v>
      </c>
      <c r="P162" s="254">
        <f t="shared" si="7"/>
        <v>1985905.6344293479</v>
      </c>
    </row>
    <row r="163" spans="1:16" x14ac:dyDescent="0.2">
      <c r="A163" t="s">
        <v>536</v>
      </c>
      <c r="B163" s="253">
        <v>2</v>
      </c>
      <c r="C163" s="257" t="s">
        <v>494</v>
      </c>
      <c r="D163" s="257" t="str">
        <f t="shared" si="5"/>
        <v>2 ST</v>
      </c>
      <c r="E163" t="s">
        <v>487</v>
      </c>
      <c r="F163" t="s">
        <v>488</v>
      </c>
      <c r="G163" t="s">
        <v>518</v>
      </c>
      <c r="H163" t="s">
        <v>462</v>
      </c>
      <c r="I163">
        <f t="shared" si="6"/>
        <v>1982</v>
      </c>
      <c r="J163" s="229">
        <v>5458</v>
      </c>
      <c r="K163" s="254">
        <v>112682.5</v>
      </c>
      <c r="L163" s="254">
        <v>98215.648947615773</v>
      </c>
      <c r="M163" s="254">
        <v>14466.851052384227</v>
      </c>
      <c r="N163" s="255">
        <v>252</v>
      </c>
      <c r="O163" s="256">
        <v>711</v>
      </c>
      <c r="P163" s="254">
        <f t="shared" si="7"/>
        <v>317925.625</v>
      </c>
    </row>
    <row r="164" spans="1:16" x14ac:dyDescent="0.2">
      <c r="A164" t="s">
        <v>536</v>
      </c>
      <c r="B164" s="253">
        <v>2</v>
      </c>
      <c r="C164" s="257" t="s">
        <v>494</v>
      </c>
      <c r="D164" s="257" t="str">
        <f t="shared" si="5"/>
        <v>2 ST</v>
      </c>
      <c r="E164" t="s">
        <v>487</v>
      </c>
      <c r="F164" t="s">
        <v>488</v>
      </c>
      <c r="G164" t="s">
        <v>465</v>
      </c>
      <c r="H164" t="s">
        <v>462</v>
      </c>
      <c r="I164">
        <f t="shared" si="6"/>
        <v>1991</v>
      </c>
      <c r="J164" s="229">
        <v>6172</v>
      </c>
      <c r="K164" s="254">
        <v>140609.9</v>
      </c>
      <c r="L164" s="254">
        <v>88632.680347270958</v>
      </c>
      <c r="M164" s="254">
        <v>51977.219652729036</v>
      </c>
      <c r="N164" s="255">
        <v>312</v>
      </c>
      <c r="O164" s="256">
        <v>711</v>
      </c>
      <c r="P164" s="254">
        <f t="shared" si="7"/>
        <v>320428.32980769227</v>
      </c>
    </row>
    <row r="165" spans="1:16" x14ac:dyDescent="0.2">
      <c r="A165" t="s">
        <v>536</v>
      </c>
      <c r="B165" s="253">
        <v>2</v>
      </c>
      <c r="C165" s="257" t="s">
        <v>494</v>
      </c>
      <c r="D165" s="257" t="str">
        <f t="shared" si="5"/>
        <v>2 ST</v>
      </c>
      <c r="E165" t="s">
        <v>487</v>
      </c>
      <c r="F165" t="s">
        <v>488</v>
      </c>
      <c r="G165" t="s">
        <v>463</v>
      </c>
      <c r="H165" t="s">
        <v>462</v>
      </c>
      <c r="I165">
        <f t="shared" si="6"/>
        <v>1984</v>
      </c>
      <c r="J165" s="229">
        <v>8545</v>
      </c>
      <c r="K165" s="254">
        <v>197560.41</v>
      </c>
      <c r="L165" s="254">
        <v>163674.30322986571</v>
      </c>
      <c r="M165" s="254">
        <v>33886.106770134298</v>
      </c>
      <c r="N165" s="255">
        <v>271</v>
      </c>
      <c r="O165" s="256">
        <v>711</v>
      </c>
      <c r="P165" s="254">
        <f t="shared" si="7"/>
        <v>518322.69929889304</v>
      </c>
    </row>
    <row r="166" spans="1:16" x14ac:dyDescent="0.2">
      <c r="A166" t="s">
        <v>536</v>
      </c>
      <c r="B166" s="253">
        <v>2</v>
      </c>
      <c r="C166" s="257" t="s">
        <v>494</v>
      </c>
      <c r="D166" s="257" t="str">
        <f t="shared" si="5"/>
        <v>2 ST</v>
      </c>
      <c r="E166" t="s">
        <v>487</v>
      </c>
      <c r="F166" t="s">
        <v>488</v>
      </c>
      <c r="G166" t="s">
        <v>520</v>
      </c>
      <c r="H166" t="s">
        <v>462</v>
      </c>
      <c r="I166">
        <f t="shared" si="6"/>
        <v>1981</v>
      </c>
      <c r="J166" s="229">
        <v>8655</v>
      </c>
      <c r="K166" s="254">
        <v>94795.02</v>
      </c>
      <c r="L166" s="254">
        <v>84441.928087216875</v>
      </c>
      <c r="M166" s="254">
        <v>10353.091912783129</v>
      </c>
      <c r="N166" s="255">
        <v>231</v>
      </c>
      <c r="O166" s="256">
        <v>711</v>
      </c>
      <c r="P166" s="254">
        <f t="shared" si="7"/>
        <v>291771.68493506493</v>
      </c>
    </row>
    <row r="167" spans="1:16" x14ac:dyDescent="0.2">
      <c r="A167" t="s">
        <v>536</v>
      </c>
      <c r="B167" s="253">
        <v>2</v>
      </c>
      <c r="C167" s="257" t="s">
        <v>494</v>
      </c>
      <c r="D167" s="257" t="str">
        <f t="shared" si="5"/>
        <v>2 ST</v>
      </c>
      <c r="E167" t="s">
        <v>487</v>
      </c>
      <c r="F167" t="s">
        <v>488</v>
      </c>
      <c r="G167" t="s">
        <v>521</v>
      </c>
      <c r="H167" t="s">
        <v>462</v>
      </c>
      <c r="I167">
        <f t="shared" si="6"/>
        <v>1980</v>
      </c>
      <c r="J167" s="229">
        <v>10940</v>
      </c>
      <c r="K167" s="254">
        <v>126151.37</v>
      </c>
      <c r="L167" s="254">
        <v>114593.79751342833</v>
      </c>
      <c r="M167" s="254">
        <v>11557.572486571662</v>
      </c>
      <c r="N167" s="255">
        <v>204</v>
      </c>
      <c r="O167" s="256">
        <v>711</v>
      </c>
      <c r="P167" s="254">
        <f t="shared" si="7"/>
        <v>439674.62779411761</v>
      </c>
    </row>
    <row r="168" spans="1:16" x14ac:dyDescent="0.2">
      <c r="A168" t="s">
        <v>536</v>
      </c>
      <c r="B168" s="253">
        <v>2</v>
      </c>
      <c r="C168" s="257" t="s">
        <v>494</v>
      </c>
      <c r="D168" s="257" t="str">
        <f t="shared" si="5"/>
        <v>2 ST</v>
      </c>
      <c r="E168" t="s">
        <v>487</v>
      </c>
      <c r="F168" t="s">
        <v>488</v>
      </c>
      <c r="G168" t="s">
        <v>522</v>
      </c>
      <c r="H168" t="s">
        <v>462</v>
      </c>
      <c r="I168">
        <f t="shared" si="6"/>
        <v>1976</v>
      </c>
      <c r="J168" s="229">
        <v>17634</v>
      </c>
      <c r="K168" s="254">
        <v>148319.9</v>
      </c>
      <c r="L168" s="254">
        <v>142988.56312530761</v>
      </c>
      <c r="M168" s="254">
        <v>5331.3368746923807</v>
      </c>
      <c r="N168" s="255">
        <v>146</v>
      </c>
      <c r="O168" s="256">
        <v>711</v>
      </c>
      <c r="P168" s="254">
        <f t="shared" si="7"/>
        <v>722297.59520547942</v>
      </c>
    </row>
    <row r="169" spans="1:16" x14ac:dyDescent="0.2">
      <c r="A169" t="s">
        <v>536</v>
      </c>
      <c r="B169" s="253">
        <v>2</v>
      </c>
      <c r="C169" s="257" t="s">
        <v>494</v>
      </c>
      <c r="D169" s="257" t="str">
        <f t="shared" si="5"/>
        <v>2 ST</v>
      </c>
      <c r="E169" t="s">
        <v>487</v>
      </c>
      <c r="F169" t="s">
        <v>488</v>
      </c>
      <c r="G169" t="s">
        <v>523</v>
      </c>
      <c r="H169" t="s">
        <v>462</v>
      </c>
      <c r="I169">
        <f t="shared" si="6"/>
        <v>1987</v>
      </c>
      <c r="J169" s="229">
        <v>20834</v>
      </c>
      <c r="K169" s="254">
        <v>104976.11</v>
      </c>
      <c r="L169" s="254">
        <v>78935.276367533545</v>
      </c>
      <c r="M169" s="254">
        <v>26040.833632466456</v>
      </c>
      <c r="N169" s="255">
        <v>268</v>
      </c>
      <c r="O169" s="256">
        <v>711</v>
      </c>
      <c r="P169" s="254">
        <f t="shared" si="7"/>
        <v>278500.05302238808</v>
      </c>
    </row>
    <row r="170" spans="1:16" x14ac:dyDescent="0.2">
      <c r="A170" t="s">
        <v>536</v>
      </c>
      <c r="B170" s="253">
        <v>2</v>
      </c>
      <c r="C170" s="257" t="s">
        <v>494</v>
      </c>
      <c r="D170" s="257" t="str">
        <f t="shared" si="5"/>
        <v>2 ST</v>
      </c>
      <c r="E170" t="s">
        <v>487</v>
      </c>
      <c r="F170" t="s">
        <v>488</v>
      </c>
      <c r="G170" t="s">
        <v>486</v>
      </c>
      <c r="H170" t="s">
        <v>462</v>
      </c>
      <c r="I170">
        <f t="shared" si="6"/>
        <v>1978</v>
      </c>
      <c r="J170" s="229">
        <v>30998</v>
      </c>
      <c r="K170" s="254">
        <v>205872.55</v>
      </c>
      <c r="L170" s="254">
        <v>193322.89902626383</v>
      </c>
      <c r="M170" s="254">
        <v>12549.650973736163</v>
      </c>
      <c r="N170" s="255">
        <v>173</v>
      </c>
      <c r="O170" s="256">
        <v>711</v>
      </c>
      <c r="P170" s="254">
        <f t="shared" si="7"/>
        <v>846100.48005780345</v>
      </c>
    </row>
    <row r="171" spans="1:16" x14ac:dyDescent="0.2">
      <c r="A171" t="s">
        <v>536</v>
      </c>
      <c r="B171" s="253">
        <v>2</v>
      </c>
      <c r="C171" s="257" t="s">
        <v>494</v>
      </c>
      <c r="D171" s="257" t="str">
        <f t="shared" si="5"/>
        <v>2 ST</v>
      </c>
      <c r="E171" t="s">
        <v>487</v>
      </c>
      <c r="F171" t="s">
        <v>488</v>
      </c>
      <c r="G171" t="s">
        <v>524</v>
      </c>
      <c r="H171" t="s">
        <v>462</v>
      </c>
      <c r="I171">
        <f t="shared" si="6"/>
        <v>1975</v>
      </c>
      <c r="J171" s="229">
        <v>46449</v>
      </c>
      <c r="K171" s="254">
        <v>342029.65</v>
      </c>
      <c r="L171" s="254">
        <v>333354.17520413897</v>
      </c>
      <c r="M171" s="254">
        <v>8675.4747958610533</v>
      </c>
      <c r="N171" s="255">
        <v>134</v>
      </c>
      <c r="O171" s="256">
        <v>711</v>
      </c>
      <c r="P171" s="254">
        <f t="shared" si="7"/>
        <v>1814799.1130597016</v>
      </c>
    </row>
    <row r="172" spans="1:16" x14ac:dyDescent="0.2">
      <c r="A172" t="s">
        <v>536</v>
      </c>
      <c r="B172" s="253">
        <v>2</v>
      </c>
      <c r="C172" s="257" t="s">
        <v>494</v>
      </c>
      <c r="D172" s="257" t="str">
        <f t="shared" si="5"/>
        <v>2 ST</v>
      </c>
      <c r="E172" t="s">
        <v>487</v>
      </c>
      <c r="F172" t="s">
        <v>488</v>
      </c>
      <c r="G172" t="s">
        <v>525</v>
      </c>
      <c r="H172" t="s">
        <v>462</v>
      </c>
      <c r="I172">
        <f t="shared" si="6"/>
        <v>1974</v>
      </c>
      <c r="J172" s="229">
        <v>114184</v>
      </c>
      <c r="K172" s="254">
        <v>613918.64</v>
      </c>
      <c r="L172" s="254">
        <v>604121.77424348856</v>
      </c>
      <c r="M172" s="254">
        <v>9796.8657565114554</v>
      </c>
      <c r="N172" s="255">
        <v>117</v>
      </c>
      <c r="O172" s="256">
        <v>711</v>
      </c>
      <c r="P172" s="254">
        <f t="shared" si="7"/>
        <v>3730736.3507692306</v>
      </c>
    </row>
    <row r="173" spans="1:16" x14ac:dyDescent="0.2">
      <c r="A173" t="s">
        <v>536</v>
      </c>
      <c r="B173" s="253">
        <v>2</v>
      </c>
      <c r="C173" s="257" t="s">
        <v>494</v>
      </c>
      <c r="D173" s="257" t="str">
        <f t="shared" si="5"/>
        <v>2 ST</v>
      </c>
      <c r="E173" t="s">
        <v>487</v>
      </c>
      <c r="F173" t="s">
        <v>488</v>
      </c>
      <c r="G173" t="s">
        <v>526</v>
      </c>
      <c r="H173" t="s">
        <v>462</v>
      </c>
      <c r="I173">
        <f t="shared" si="6"/>
        <v>1977</v>
      </c>
      <c r="J173" s="229">
        <v>139358</v>
      </c>
      <c r="K173" s="254">
        <v>698087.98</v>
      </c>
      <c r="L173" s="254">
        <v>664730.23967128538</v>
      </c>
      <c r="M173" s="254">
        <v>33357.740328714601</v>
      </c>
      <c r="N173" s="255">
        <v>157</v>
      </c>
      <c r="O173" s="256">
        <v>711</v>
      </c>
      <c r="P173" s="254">
        <f t="shared" si="7"/>
        <v>3161404.8011464966</v>
      </c>
    </row>
    <row r="174" spans="1:16" x14ac:dyDescent="0.2">
      <c r="A174" t="s">
        <v>536</v>
      </c>
      <c r="B174" s="253">
        <v>2</v>
      </c>
      <c r="C174" s="257" t="s">
        <v>494</v>
      </c>
      <c r="D174" s="257" t="str">
        <f t="shared" si="5"/>
        <v>2 ST</v>
      </c>
      <c r="E174" t="s">
        <v>487</v>
      </c>
      <c r="F174" t="s">
        <v>488</v>
      </c>
      <c r="G174" t="s">
        <v>527</v>
      </c>
      <c r="H174" t="s">
        <v>462</v>
      </c>
      <c r="I174">
        <f t="shared" si="6"/>
        <v>1971</v>
      </c>
      <c r="J174" s="229">
        <v>207242</v>
      </c>
      <c r="K174" s="254">
        <v>942358.1</v>
      </c>
      <c r="L174" s="254">
        <v>948131.16422922991</v>
      </c>
      <c r="M174" s="254">
        <v>-5773.0642292299308</v>
      </c>
      <c r="N174" s="255">
        <v>92</v>
      </c>
      <c r="O174" s="256">
        <v>711</v>
      </c>
      <c r="P174" s="254">
        <f t="shared" si="7"/>
        <v>7282789.229347826</v>
      </c>
    </row>
    <row r="175" spans="1:16" x14ac:dyDescent="0.2">
      <c r="A175" t="s">
        <v>536</v>
      </c>
      <c r="B175" s="253">
        <v>2</v>
      </c>
      <c r="C175" s="257" t="s">
        <v>494</v>
      </c>
      <c r="D175" s="257" t="str">
        <f t="shared" si="5"/>
        <v>2 ST</v>
      </c>
      <c r="E175" t="s">
        <v>487</v>
      </c>
      <c r="F175" t="s">
        <v>488</v>
      </c>
      <c r="G175" t="s">
        <v>528</v>
      </c>
      <c r="H175" t="s">
        <v>462</v>
      </c>
      <c r="I175">
        <f t="shared" si="6"/>
        <v>1972</v>
      </c>
      <c r="J175" s="229">
        <v>221040</v>
      </c>
      <c r="K175" s="254">
        <v>1149568.97</v>
      </c>
      <c r="L175" s="254">
        <v>1149223.7166423034</v>
      </c>
      <c r="M175" s="254">
        <v>345.25335769657977</v>
      </c>
      <c r="N175" s="255">
        <v>96</v>
      </c>
      <c r="O175" s="256">
        <v>711</v>
      </c>
      <c r="P175" s="254">
        <f t="shared" si="7"/>
        <v>8513995.1840624996</v>
      </c>
    </row>
    <row r="176" spans="1:16" x14ac:dyDescent="0.2">
      <c r="A176" t="s">
        <v>536</v>
      </c>
      <c r="B176" s="253">
        <v>2</v>
      </c>
      <c r="C176" s="257" t="s">
        <v>494</v>
      </c>
      <c r="D176" s="257" t="str">
        <f t="shared" si="5"/>
        <v>2 ST</v>
      </c>
      <c r="E176" t="s">
        <v>487</v>
      </c>
      <c r="F176" t="s">
        <v>488</v>
      </c>
      <c r="G176" t="s">
        <v>529</v>
      </c>
      <c r="H176" t="s">
        <v>462</v>
      </c>
      <c r="I176">
        <f t="shared" si="6"/>
        <v>1973</v>
      </c>
      <c r="J176" s="229">
        <v>224660</v>
      </c>
      <c r="K176" s="254">
        <v>1111767.7</v>
      </c>
      <c r="L176" s="254">
        <v>1103281.2838087478</v>
      </c>
      <c r="M176" s="254">
        <v>8486.4161912521813</v>
      </c>
      <c r="N176" s="255">
        <v>100</v>
      </c>
      <c r="O176" s="256">
        <v>711</v>
      </c>
      <c r="P176" s="254">
        <f t="shared" si="7"/>
        <v>7904668.3470000001</v>
      </c>
    </row>
    <row r="177" spans="1:16" x14ac:dyDescent="0.2">
      <c r="A177" t="s">
        <v>536</v>
      </c>
      <c r="B177" s="253">
        <v>2</v>
      </c>
      <c r="C177" s="257" t="s">
        <v>494</v>
      </c>
      <c r="D177" s="257" t="str">
        <f t="shared" si="5"/>
        <v>2 ST</v>
      </c>
      <c r="E177" t="s">
        <v>487</v>
      </c>
      <c r="F177" t="s">
        <v>488</v>
      </c>
      <c r="G177" t="s">
        <v>530</v>
      </c>
      <c r="H177" t="s">
        <v>462</v>
      </c>
      <c r="I177">
        <f t="shared" si="6"/>
        <v>1965</v>
      </c>
      <c r="J177" s="229">
        <v>283979</v>
      </c>
      <c r="K177" s="254">
        <v>199361.95</v>
      </c>
      <c r="L177" s="254">
        <v>205375.52201735522</v>
      </c>
      <c r="M177" s="254">
        <v>-6013.5720173552108</v>
      </c>
      <c r="N177" s="255">
        <v>70</v>
      </c>
      <c r="O177" s="256">
        <v>711</v>
      </c>
      <c r="P177" s="254">
        <f t="shared" si="7"/>
        <v>2024947.8064285715</v>
      </c>
    </row>
    <row r="178" spans="1:16" x14ac:dyDescent="0.2">
      <c r="A178" t="s">
        <v>536</v>
      </c>
      <c r="B178" s="253">
        <v>2</v>
      </c>
      <c r="C178" s="257" t="s">
        <v>494</v>
      </c>
      <c r="D178" s="257" t="str">
        <f t="shared" si="5"/>
        <v>2 ST</v>
      </c>
      <c r="E178" t="s">
        <v>487</v>
      </c>
      <c r="F178" t="s">
        <v>488</v>
      </c>
      <c r="G178" t="s">
        <v>531</v>
      </c>
      <c r="H178" t="s">
        <v>462</v>
      </c>
      <c r="I178">
        <f t="shared" si="6"/>
        <v>1970</v>
      </c>
      <c r="J178" s="229">
        <v>334257</v>
      </c>
      <c r="K178" s="254">
        <v>1399755.2</v>
      </c>
      <c r="L178" s="254">
        <v>1416184.6956102829</v>
      </c>
      <c r="M178" s="254">
        <v>-16429.495610282989</v>
      </c>
      <c r="N178" s="255">
        <v>86</v>
      </c>
      <c r="O178" s="256">
        <v>711</v>
      </c>
      <c r="P178" s="254">
        <f t="shared" si="7"/>
        <v>11572394.73488372</v>
      </c>
    </row>
    <row r="179" spans="1:16" x14ac:dyDescent="0.2">
      <c r="A179" t="s">
        <v>536</v>
      </c>
      <c r="B179" s="253">
        <v>2</v>
      </c>
      <c r="C179" s="257" t="s">
        <v>494</v>
      </c>
      <c r="D179" s="257" t="str">
        <f t="shared" si="5"/>
        <v>2 ST</v>
      </c>
      <c r="E179" t="s">
        <v>487</v>
      </c>
      <c r="F179" t="s">
        <v>488</v>
      </c>
      <c r="G179" t="s">
        <v>532</v>
      </c>
      <c r="H179" t="s">
        <v>462</v>
      </c>
      <c r="I179">
        <f t="shared" si="6"/>
        <v>1967</v>
      </c>
      <c r="J179" s="229">
        <v>464065</v>
      </c>
      <c r="K179" s="254">
        <v>1407745.06</v>
      </c>
      <c r="L179" s="254">
        <v>1442185.3837344495</v>
      </c>
      <c r="M179" s="254">
        <v>-34440.323734449456</v>
      </c>
      <c r="N179" s="255">
        <v>75</v>
      </c>
      <c r="O179" s="256">
        <v>711</v>
      </c>
      <c r="P179" s="254">
        <f t="shared" si="7"/>
        <v>13345423.168800002</v>
      </c>
    </row>
    <row r="180" spans="1:16" x14ac:dyDescent="0.2">
      <c r="A180" t="s">
        <v>536</v>
      </c>
      <c r="B180" s="253">
        <v>2</v>
      </c>
      <c r="C180" s="257" t="s">
        <v>494</v>
      </c>
      <c r="D180" s="257" t="str">
        <f t="shared" si="5"/>
        <v>2 ST</v>
      </c>
      <c r="E180" t="s">
        <v>487</v>
      </c>
      <c r="F180" t="s">
        <v>488</v>
      </c>
      <c r="G180" t="s">
        <v>533</v>
      </c>
      <c r="H180" t="s">
        <v>462</v>
      </c>
      <c r="I180">
        <f t="shared" si="6"/>
        <v>1969</v>
      </c>
      <c r="J180" s="229">
        <v>536692</v>
      </c>
      <c r="K180" s="254">
        <v>1872437.53</v>
      </c>
      <c r="L180" s="254">
        <v>1903548.8951572932</v>
      </c>
      <c r="M180" s="254">
        <v>-31111.365157293156</v>
      </c>
      <c r="N180" s="255">
        <v>82</v>
      </c>
      <c r="O180" s="256">
        <v>711</v>
      </c>
      <c r="P180" s="254">
        <f t="shared" si="7"/>
        <v>16235403.461341463</v>
      </c>
    </row>
    <row r="181" spans="1:16" x14ac:dyDescent="0.2">
      <c r="A181" t="s">
        <v>536</v>
      </c>
      <c r="B181" s="253">
        <v>2</v>
      </c>
      <c r="C181" s="257" t="s">
        <v>494</v>
      </c>
      <c r="D181" s="257" t="str">
        <f t="shared" si="5"/>
        <v>2 ST</v>
      </c>
      <c r="E181" t="s">
        <v>487</v>
      </c>
      <c r="F181" t="s">
        <v>488</v>
      </c>
      <c r="G181" t="s">
        <v>534</v>
      </c>
      <c r="H181" t="s">
        <v>462</v>
      </c>
      <c r="I181">
        <f t="shared" si="6"/>
        <v>1966</v>
      </c>
      <c r="J181" s="229">
        <v>548893</v>
      </c>
      <c r="K181" s="254">
        <v>1560676.12</v>
      </c>
      <c r="L181" s="254">
        <v>1603680.4497128276</v>
      </c>
      <c r="M181" s="254">
        <v>-43004.329712827457</v>
      </c>
      <c r="N181" s="255">
        <v>72</v>
      </c>
      <c r="O181" s="256">
        <v>711</v>
      </c>
      <c r="P181" s="254">
        <f t="shared" si="7"/>
        <v>15411676.685000001</v>
      </c>
    </row>
    <row r="182" spans="1:16" x14ac:dyDescent="0.2">
      <c r="A182" t="s">
        <v>536</v>
      </c>
      <c r="B182" s="253">
        <v>2</v>
      </c>
      <c r="C182" s="257" t="s">
        <v>494</v>
      </c>
      <c r="D182" s="257" t="str">
        <f t="shared" si="5"/>
        <v>2 ST</v>
      </c>
      <c r="E182" t="s">
        <v>487</v>
      </c>
      <c r="F182" t="s">
        <v>488</v>
      </c>
      <c r="G182" t="s">
        <v>535</v>
      </c>
      <c r="H182" t="s">
        <v>462</v>
      </c>
      <c r="I182">
        <f t="shared" si="6"/>
        <v>1968</v>
      </c>
      <c r="J182" s="229">
        <v>554061</v>
      </c>
      <c r="K182" s="254">
        <v>1785682.61</v>
      </c>
      <c r="L182" s="254">
        <v>1822889.6579491543</v>
      </c>
      <c r="M182" s="254">
        <v>-37207.047949154163</v>
      </c>
      <c r="N182" s="255">
        <v>78</v>
      </c>
      <c r="O182" s="256">
        <v>711</v>
      </c>
      <c r="P182" s="254">
        <f t="shared" si="7"/>
        <v>16277183.791153846</v>
      </c>
    </row>
    <row r="183" spans="1:16" x14ac:dyDescent="0.2">
      <c r="A183" t="s">
        <v>537</v>
      </c>
      <c r="B183" s="253">
        <v>3</v>
      </c>
      <c r="C183" s="257" t="s">
        <v>494</v>
      </c>
      <c r="D183" s="257" t="str">
        <f t="shared" ref="D183:D246" si="8">B183&amp;" "&amp;C183</f>
        <v>3 ST</v>
      </c>
      <c r="E183" t="s">
        <v>487</v>
      </c>
      <c r="F183" t="s">
        <v>488</v>
      </c>
      <c r="G183" t="s">
        <v>533</v>
      </c>
      <c r="H183" t="s">
        <v>462</v>
      </c>
      <c r="I183">
        <f t="shared" si="6"/>
        <v>1969</v>
      </c>
      <c r="J183" s="229">
        <v>20</v>
      </c>
      <c r="K183" s="254">
        <v>194.48</v>
      </c>
      <c r="L183" s="254">
        <v>197.71066431550875</v>
      </c>
      <c r="M183" s="254">
        <v>-3.2306643155087613</v>
      </c>
      <c r="N183" s="255">
        <v>82</v>
      </c>
      <c r="O183" s="256">
        <v>711</v>
      </c>
      <c r="P183" s="254">
        <f t="shared" si="7"/>
        <v>1686.2839024390241</v>
      </c>
    </row>
    <row r="184" spans="1:16" x14ac:dyDescent="0.2">
      <c r="A184" t="s">
        <v>537</v>
      </c>
      <c r="B184" s="253">
        <v>3</v>
      </c>
      <c r="C184" s="257" t="s">
        <v>494</v>
      </c>
      <c r="D184" s="257" t="str">
        <f t="shared" si="8"/>
        <v>3 ST</v>
      </c>
      <c r="E184" t="s">
        <v>487</v>
      </c>
      <c r="F184" t="s">
        <v>488</v>
      </c>
      <c r="G184" t="s">
        <v>527</v>
      </c>
      <c r="H184" t="s">
        <v>462</v>
      </c>
      <c r="I184">
        <f t="shared" si="6"/>
        <v>1971</v>
      </c>
      <c r="J184" s="229">
        <v>1843</v>
      </c>
      <c r="K184" s="254">
        <v>14749.08</v>
      </c>
      <c r="L184" s="254">
        <v>14839.438766158904</v>
      </c>
      <c r="M184" s="254">
        <v>-90.358766158904473</v>
      </c>
      <c r="N184" s="255">
        <v>92</v>
      </c>
      <c r="O184" s="256">
        <v>711</v>
      </c>
      <c r="P184" s="254">
        <f t="shared" si="7"/>
        <v>113984.73782608696</v>
      </c>
    </row>
    <row r="185" spans="1:16" x14ac:dyDescent="0.2">
      <c r="A185" t="s">
        <v>537</v>
      </c>
      <c r="B185" s="253">
        <v>3</v>
      </c>
      <c r="C185" s="257" t="s">
        <v>494</v>
      </c>
      <c r="D185" s="257" t="str">
        <f t="shared" si="8"/>
        <v>3 ST</v>
      </c>
      <c r="E185" t="s">
        <v>487</v>
      </c>
      <c r="F185" t="s">
        <v>488</v>
      </c>
      <c r="G185" t="s">
        <v>528</v>
      </c>
      <c r="H185" t="s">
        <v>462</v>
      </c>
      <c r="I185">
        <f t="shared" si="6"/>
        <v>1972</v>
      </c>
      <c r="J185" s="229">
        <v>2679</v>
      </c>
      <c r="K185" s="254">
        <v>18246.23</v>
      </c>
      <c r="L185" s="254">
        <v>18240.75053246383</v>
      </c>
      <c r="M185" s="254">
        <v>5.4794675361699774</v>
      </c>
      <c r="N185" s="255">
        <v>96</v>
      </c>
      <c r="O185" s="256">
        <v>711</v>
      </c>
      <c r="P185" s="254">
        <f t="shared" si="7"/>
        <v>135136.14093749999</v>
      </c>
    </row>
    <row r="186" spans="1:16" x14ac:dyDescent="0.2">
      <c r="A186" t="s">
        <v>537</v>
      </c>
      <c r="B186" s="253">
        <v>3</v>
      </c>
      <c r="C186" s="257" t="s">
        <v>494</v>
      </c>
      <c r="D186" s="257" t="str">
        <f t="shared" si="8"/>
        <v>3 ST</v>
      </c>
      <c r="E186" t="s">
        <v>487</v>
      </c>
      <c r="F186" t="s">
        <v>488</v>
      </c>
      <c r="G186" t="s">
        <v>531</v>
      </c>
      <c r="H186" t="s">
        <v>462</v>
      </c>
      <c r="I186">
        <f t="shared" si="6"/>
        <v>1970</v>
      </c>
      <c r="J186" s="229">
        <v>7841</v>
      </c>
      <c r="K186" s="254">
        <v>45985.43</v>
      </c>
      <c r="L186" s="254">
        <v>46525.181612167456</v>
      </c>
      <c r="M186" s="254">
        <v>-539.75161216745619</v>
      </c>
      <c r="N186" s="255">
        <v>86</v>
      </c>
      <c r="O186" s="256">
        <v>711</v>
      </c>
      <c r="P186" s="254">
        <f t="shared" si="7"/>
        <v>380181.86895348836</v>
      </c>
    </row>
    <row r="187" spans="1:16" x14ac:dyDescent="0.2">
      <c r="A187" t="s">
        <v>538</v>
      </c>
      <c r="B187" s="253">
        <v>4</v>
      </c>
      <c r="C187" s="257" t="s">
        <v>494</v>
      </c>
      <c r="D187" s="257" t="str">
        <f t="shared" si="8"/>
        <v>4 ST</v>
      </c>
      <c r="E187" t="s">
        <v>487</v>
      </c>
      <c r="F187" t="s">
        <v>488</v>
      </c>
      <c r="G187" t="s">
        <v>468</v>
      </c>
      <c r="H187" t="s">
        <v>462</v>
      </c>
      <c r="I187">
        <f t="shared" si="6"/>
        <v>2009</v>
      </c>
      <c r="J187" s="229">
        <v>7</v>
      </c>
      <c r="K187" s="254">
        <v>9857.1299999999992</v>
      </c>
      <c r="L187" s="254">
        <v>418.20051596221134</v>
      </c>
      <c r="M187" s="254">
        <v>9438.9294840377879</v>
      </c>
      <c r="N187" s="255">
        <v>673</v>
      </c>
      <c r="O187" s="256">
        <v>711</v>
      </c>
      <c r="P187" s="254">
        <f t="shared" si="7"/>
        <v>10413.699004457652</v>
      </c>
    </row>
    <row r="188" spans="1:16" x14ac:dyDescent="0.2">
      <c r="A188" t="s">
        <v>538</v>
      </c>
      <c r="B188" s="253">
        <v>4</v>
      </c>
      <c r="C188" s="257" t="s">
        <v>494</v>
      </c>
      <c r="D188" s="257" t="str">
        <f t="shared" si="8"/>
        <v>4 ST</v>
      </c>
      <c r="E188" t="s">
        <v>487</v>
      </c>
      <c r="F188" t="s">
        <v>488</v>
      </c>
      <c r="G188" t="s">
        <v>469</v>
      </c>
      <c r="H188" t="s">
        <v>462</v>
      </c>
      <c r="I188">
        <f t="shared" si="6"/>
        <v>2010</v>
      </c>
      <c r="J188" s="229">
        <v>13</v>
      </c>
      <c r="K188" s="254">
        <v>52547.4</v>
      </c>
      <c r="L188" s="254">
        <v>768.94143795128036</v>
      </c>
      <c r="M188" s="254">
        <v>51778.45856204872</v>
      </c>
      <c r="N188" s="255">
        <v>711</v>
      </c>
      <c r="O188" s="256">
        <v>711</v>
      </c>
      <c r="P188" s="254">
        <f t="shared" si="7"/>
        <v>52547.4</v>
      </c>
    </row>
    <row r="189" spans="1:16" x14ac:dyDescent="0.2">
      <c r="A189" t="s">
        <v>538</v>
      </c>
      <c r="B189" s="253">
        <v>4</v>
      </c>
      <c r="C189" s="257" t="s">
        <v>494</v>
      </c>
      <c r="D189" s="257" t="str">
        <f t="shared" si="8"/>
        <v>4 ST</v>
      </c>
      <c r="E189" t="s">
        <v>487</v>
      </c>
      <c r="F189" t="s">
        <v>488</v>
      </c>
      <c r="G189" t="s">
        <v>470</v>
      </c>
      <c r="H189" t="s">
        <v>462</v>
      </c>
      <c r="I189">
        <f t="shared" si="6"/>
        <v>2007</v>
      </c>
      <c r="J189" s="229">
        <v>15</v>
      </c>
      <c r="K189" s="254">
        <v>746.06</v>
      </c>
      <c r="L189" s="254">
        <v>72.790910218163646</v>
      </c>
      <c r="M189" s="254">
        <v>673.26908978183633</v>
      </c>
      <c r="N189" s="255">
        <v>608</v>
      </c>
      <c r="O189" s="256">
        <v>711</v>
      </c>
      <c r="P189" s="254">
        <f t="shared" si="7"/>
        <v>872.44845394736831</v>
      </c>
    </row>
    <row r="190" spans="1:16" x14ac:dyDescent="0.2">
      <c r="A190" t="s">
        <v>538</v>
      </c>
      <c r="B190" s="253">
        <v>4</v>
      </c>
      <c r="C190" s="257" t="s">
        <v>494</v>
      </c>
      <c r="D190" s="257" t="str">
        <f t="shared" si="8"/>
        <v>4 ST</v>
      </c>
      <c r="E190" t="s">
        <v>487</v>
      </c>
      <c r="F190" t="s">
        <v>488</v>
      </c>
      <c r="G190" t="s">
        <v>461</v>
      </c>
      <c r="H190" t="s">
        <v>462</v>
      </c>
      <c r="I190">
        <f t="shared" si="6"/>
        <v>2008</v>
      </c>
      <c r="J190" s="229">
        <v>16</v>
      </c>
      <c r="K190" s="254">
        <v>78662.13</v>
      </c>
      <c r="L190" s="254">
        <v>5489.7134398031212</v>
      </c>
      <c r="M190" s="254">
        <v>73172.416560196885</v>
      </c>
      <c r="N190" s="255">
        <v>731</v>
      </c>
      <c r="O190" s="256">
        <v>711</v>
      </c>
      <c r="P190" s="254">
        <f t="shared" si="7"/>
        <v>76509.951340629268</v>
      </c>
    </row>
    <row r="191" spans="1:16" x14ac:dyDescent="0.2">
      <c r="A191" t="s">
        <v>538</v>
      </c>
      <c r="B191" s="253">
        <v>4</v>
      </c>
      <c r="C191" s="257" t="s">
        <v>494</v>
      </c>
      <c r="D191" s="257" t="str">
        <f t="shared" si="8"/>
        <v>4 ST</v>
      </c>
      <c r="E191" t="s">
        <v>487</v>
      </c>
      <c r="F191" t="s">
        <v>488</v>
      </c>
      <c r="G191" t="s">
        <v>469</v>
      </c>
      <c r="H191" t="s">
        <v>462</v>
      </c>
      <c r="I191">
        <f t="shared" si="6"/>
        <v>2010</v>
      </c>
      <c r="J191" s="229">
        <v>16</v>
      </c>
      <c r="K191" s="254">
        <v>38346.07</v>
      </c>
      <c r="L191" s="254">
        <v>561.13270767688698</v>
      </c>
      <c r="M191" s="254">
        <v>37784.937292323113</v>
      </c>
      <c r="N191" s="255">
        <v>711</v>
      </c>
      <c r="O191" s="256">
        <v>711</v>
      </c>
      <c r="P191" s="254">
        <f t="shared" si="7"/>
        <v>38346.07</v>
      </c>
    </row>
    <row r="192" spans="1:16" x14ac:dyDescent="0.2">
      <c r="A192" t="s">
        <v>538</v>
      </c>
      <c r="B192" s="253">
        <v>4</v>
      </c>
      <c r="C192" s="257" t="s">
        <v>494</v>
      </c>
      <c r="D192" s="257" t="str">
        <f t="shared" si="8"/>
        <v>4 ST</v>
      </c>
      <c r="E192" t="s">
        <v>487</v>
      </c>
      <c r="F192" t="s">
        <v>488</v>
      </c>
      <c r="G192" t="s">
        <v>470</v>
      </c>
      <c r="H192" t="s">
        <v>462</v>
      </c>
      <c r="I192">
        <f t="shared" si="6"/>
        <v>2007</v>
      </c>
      <c r="J192" s="229">
        <v>20</v>
      </c>
      <c r="K192" s="254">
        <v>50068.53</v>
      </c>
      <c r="L192" s="254">
        <v>4884.7755090548117</v>
      </c>
      <c r="M192" s="254">
        <v>45183.75449094519</v>
      </c>
      <c r="N192" s="255">
        <v>608</v>
      </c>
      <c r="O192" s="256">
        <v>711</v>
      </c>
      <c r="P192" s="254">
        <f t="shared" si="7"/>
        <v>58550.534259868415</v>
      </c>
    </row>
    <row r="193" spans="1:16" x14ac:dyDescent="0.2">
      <c r="A193" t="s">
        <v>538</v>
      </c>
      <c r="B193" s="253">
        <v>4</v>
      </c>
      <c r="C193" s="257" t="s">
        <v>494</v>
      </c>
      <c r="D193" s="257" t="str">
        <f t="shared" si="8"/>
        <v>4 ST</v>
      </c>
      <c r="E193" t="s">
        <v>487</v>
      </c>
      <c r="F193" t="s">
        <v>488</v>
      </c>
      <c r="G193" t="s">
        <v>468</v>
      </c>
      <c r="H193" t="s">
        <v>462</v>
      </c>
      <c r="I193">
        <f t="shared" si="6"/>
        <v>2009</v>
      </c>
      <c r="J193" s="229">
        <v>131</v>
      </c>
      <c r="K193" s="254">
        <v>188899.53</v>
      </c>
      <c r="L193" s="254">
        <v>8014.3683103011954</v>
      </c>
      <c r="M193" s="254">
        <v>180885.16168969881</v>
      </c>
      <c r="N193" s="255">
        <v>673</v>
      </c>
      <c r="O193" s="256">
        <v>711</v>
      </c>
      <c r="P193" s="254">
        <f t="shared" si="7"/>
        <v>199565.47671619614</v>
      </c>
    </row>
    <row r="194" spans="1:16" x14ac:dyDescent="0.2">
      <c r="A194" t="s">
        <v>538</v>
      </c>
      <c r="B194" s="253">
        <v>4</v>
      </c>
      <c r="C194" s="257" t="s">
        <v>494</v>
      </c>
      <c r="D194" s="257" t="str">
        <f t="shared" si="8"/>
        <v>4 ST</v>
      </c>
      <c r="E194" t="s">
        <v>487</v>
      </c>
      <c r="F194" t="s">
        <v>488</v>
      </c>
      <c r="G194" t="s">
        <v>469</v>
      </c>
      <c r="H194" t="s">
        <v>462</v>
      </c>
      <c r="I194">
        <f t="shared" ref="I194:I257" si="9">+G194*1</f>
        <v>2010</v>
      </c>
      <c r="J194" s="229">
        <v>357</v>
      </c>
      <c r="K194" s="254">
        <v>158218.60999999999</v>
      </c>
      <c r="L194" s="254">
        <v>2315.2659213101474</v>
      </c>
      <c r="M194" s="254">
        <v>155903.34407868984</v>
      </c>
      <c r="N194" s="255">
        <v>711</v>
      </c>
      <c r="O194" s="256">
        <v>711</v>
      </c>
      <c r="P194" s="254">
        <f t="shared" ref="P194:P257" si="10">+(O194/N194)*K194</f>
        <v>158218.60999999999</v>
      </c>
    </row>
    <row r="195" spans="1:16" x14ac:dyDescent="0.2">
      <c r="A195" t="s">
        <v>538</v>
      </c>
      <c r="B195" s="253">
        <v>4</v>
      </c>
      <c r="C195" s="257" t="s">
        <v>494</v>
      </c>
      <c r="D195" s="257" t="str">
        <f t="shared" si="8"/>
        <v>4 ST</v>
      </c>
      <c r="E195" t="s">
        <v>487</v>
      </c>
      <c r="F195" t="s">
        <v>488</v>
      </c>
      <c r="G195" t="s">
        <v>469</v>
      </c>
      <c r="H195" t="s">
        <v>462</v>
      </c>
      <c r="I195">
        <f t="shared" si="9"/>
        <v>2010</v>
      </c>
      <c r="J195" s="229">
        <v>364</v>
      </c>
      <c r="K195" s="254">
        <v>361635.7</v>
      </c>
      <c r="L195" s="254">
        <v>5291.9403023654422</v>
      </c>
      <c r="M195" s="254">
        <v>356343.75969763455</v>
      </c>
      <c r="N195" s="255">
        <v>711</v>
      </c>
      <c r="O195" s="256">
        <v>711</v>
      </c>
      <c r="P195" s="254">
        <f t="shared" si="10"/>
        <v>361635.7</v>
      </c>
    </row>
    <row r="196" spans="1:16" x14ac:dyDescent="0.2">
      <c r="A196" t="s">
        <v>538</v>
      </c>
      <c r="B196" s="253">
        <v>4</v>
      </c>
      <c r="C196" s="257" t="s">
        <v>494</v>
      </c>
      <c r="D196" s="257" t="str">
        <f t="shared" si="8"/>
        <v>4 ST</v>
      </c>
      <c r="E196" t="s">
        <v>487</v>
      </c>
      <c r="F196" t="s">
        <v>488</v>
      </c>
      <c r="G196" t="s">
        <v>461</v>
      </c>
      <c r="H196" t="s">
        <v>462</v>
      </c>
      <c r="I196">
        <f t="shared" si="9"/>
        <v>2008</v>
      </c>
      <c r="J196" s="229">
        <v>415</v>
      </c>
      <c r="K196" s="254">
        <v>125269.61</v>
      </c>
      <c r="L196" s="254">
        <v>8742.3791620973843</v>
      </c>
      <c r="M196" s="254">
        <v>116527.23083790262</v>
      </c>
      <c r="N196" s="255">
        <v>731</v>
      </c>
      <c r="O196" s="256">
        <v>711</v>
      </c>
      <c r="P196" s="254">
        <f t="shared" si="10"/>
        <v>121842.26088919288</v>
      </c>
    </row>
    <row r="197" spans="1:16" x14ac:dyDescent="0.2">
      <c r="A197" t="s">
        <v>538</v>
      </c>
      <c r="B197" s="253">
        <v>4</v>
      </c>
      <c r="C197" s="257" t="s">
        <v>494</v>
      </c>
      <c r="D197" s="257" t="str">
        <f t="shared" si="8"/>
        <v>4 ST</v>
      </c>
      <c r="E197" t="s">
        <v>487</v>
      </c>
      <c r="F197" t="s">
        <v>488</v>
      </c>
      <c r="G197" t="s">
        <v>476</v>
      </c>
      <c r="H197" t="s">
        <v>462</v>
      </c>
      <c r="I197">
        <f t="shared" si="9"/>
        <v>2004</v>
      </c>
      <c r="J197" s="229">
        <v>500</v>
      </c>
      <c r="K197" s="254">
        <v>849112.29</v>
      </c>
      <c r="L197" s="254">
        <v>158046.6210929809</v>
      </c>
      <c r="M197" s="254">
        <v>691065.66890701908</v>
      </c>
      <c r="N197" s="255">
        <v>477</v>
      </c>
      <c r="O197" s="256">
        <v>711</v>
      </c>
      <c r="P197" s="254">
        <f t="shared" si="10"/>
        <v>1265657.9416981132</v>
      </c>
    </row>
    <row r="198" spans="1:16" x14ac:dyDescent="0.2">
      <c r="A198" t="s">
        <v>538</v>
      </c>
      <c r="B198" s="253">
        <v>4</v>
      </c>
      <c r="C198" s="257" t="s">
        <v>494</v>
      </c>
      <c r="D198" s="257" t="str">
        <f t="shared" si="8"/>
        <v>4 ST</v>
      </c>
      <c r="E198" t="s">
        <v>487</v>
      </c>
      <c r="F198" t="s">
        <v>488</v>
      </c>
      <c r="G198" t="s">
        <v>474</v>
      </c>
      <c r="H198" t="s">
        <v>462</v>
      </c>
      <c r="I198">
        <f t="shared" si="9"/>
        <v>2005</v>
      </c>
      <c r="J198" s="229">
        <v>522</v>
      </c>
      <c r="K198" s="254">
        <v>296117.53000000003</v>
      </c>
      <c r="L198" s="254">
        <v>46081.327611927161</v>
      </c>
      <c r="M198" s="254">
        <v>250036.20238807285</v>
      </c>
      <c r="N198" s="255">
        <v>595</v>
      </c>
      <c r="O198" s="256">
        <v>711</v>
      </c>
      <c r="P198" s="254">
        <f t="shared" si="10"/>
        <v>353848.0064369748</v>
      </c>
    </row>
    <row r="199" spans="1:16" x14ac:dyDescent="0.2">
      <c r="A199" t="s">
        <v>538</v>
      </c>
      <c r="B199" s="253">
        <v>4</v>
      </c>
      <c r="C199" s="257" t="s">
        <v>494</v>
      </c>
      <c r="D199" s="257" t="str">
        <f t="shared" si="8"/>
        <v>4 ST</v>
      </c>
      <c r="E199" t="s">
        <v>487</v>
      </c>
      <c r="F199" t="s">
        <v>488</v>
      </c>
      <c r="G199" t="s">
        <v>461</v>
      </c>
      <c r="H199" t="s">
        <v>462</v>
      </c>
      <c r="I199">
        <f t="shared" si="9"/>
        <v>2008</v>
      </c>
      <c r="J199" s="229">
        <v>547</v>
      </c>
      <c r="K199" s="254">
        <v>122891.13</v>
      </c>
      <c r="L199" s="254">
        <v>8576.3887380889955</v>
      </c>
      <c r="M199" s="254">
        <v>114314.74126191101</v>
      </c>
      <c r="N199" s="255">
        <v>731</v>
      </c>
      <c r="O199" s="256">
        <v>711</v>
      </c>
      <c r="P199" s="254">
        <f t="shared" si="10"/>
        <v>119528.85558139534</v>
      </c>
    </row>
    <row r="200" spans="1:16" x14ac:dyDescent="0.2">
      <c r="A200" t="s">
        <v>538</v>
      </c>
      <c r="B200" s="253">
        <v>4</v>
      </c>
      <c r="C200" s="257" t="s">
        <v>494</v>
      </c>
      <c r="D200" s="257" t="str">
        <f t="shared" si="8"/>
        <v>4 ST</v>
      </c>
      <c r="E200" t="s">
        <v>487</v>
      </c>
      <c r="F200" t="s">
        <v>488</v>
      </c>
      <c r="G200" t="s">
        <v>480</v>
      </c>
      <c r="H200" t="s">
        <v>462</v>
      </c>
      <c r="I200">
        <f t="shared" si="9"/>
        <v>1999</v>
      </c>
      <c r="J200" s="229">
        <v>574</v>
      </c>
      <c r="K200" s="254">
        <v>1472769.16</v>
      </c>
      <c r="L200" s="254">
        <v>518754.47933254734</v>
      </c>
      <c r="M200" s="254">
        <v>954014.68066745251</v>
      </c>
      <c r="N200" s="255">
        <v>382</v>
      </c>
      <c r="O200" s="256">
        <v>711</v>
      </c>
      <c r="P200" s="254">
        <f t="shared" si="10"/>
        <v>2741201.2375916229</v>
      </c>
    </row>
    <row r="201" spans="1:16" x14ac:dyDescent="0.2">
      <c r="A201" t="s">
        <v>538</v>
      </c>
      <c r="B201" s="253">
        <v>4</v>
      </c>
      <c r="C201" s="257" t="s">
        <v>494</v>
      </c>
      <c r="D201" s="257" t="str">
        <f t="shared" si="8"/>
        <v>4 ST</v>
      </c>
      <c r="E201" t="s">
        <v>487</v>
      </c>
      <c r="F201" t="s">
        <v>488</v>
      </c>
      <c r="G201" t="s">
        <v>471</v>
      </c>
      <c r="H201" t="s">
        <v>462</v>
      </c>
      <c r="I201">
        <f t="shared" si="9"/>
        <v>2003</v>
      </c>
      <c r="J201" s="229">
        <v>732</v>
      </c>
      <c r="K201" s="254">
        <v>398992.94</v>
      </c>
      <c r="L201" s="254">
        <v>86848.928787525336</v>
      </c>
      <c r="M201" s="254">
        <v>312144.01121247467</v>
      </c>
      <c r="N201" s="255">
        <v>413</v>
      </c>
      <c r="O201" s="256">
        <v>711</v>
      </c>
      <c r="P201" s="254">
        <f t="shared" si="10"/>
        <v>686886.15094430989</v>
      </c>
    </row>
    <row r="202" spans="1:16" x14ac:dyDescent="0.2">
      <c r="A202" t="s">
        <v>538</v>
      </c>
      <c r="B202" s="253">
        <v>4</v>
      </c>
      <c r="C202" s="257" t="s">
        <v>494</v>
      </c>
      <c r="D202" s="257" t="str">
        <f t="shared" si="8"/>
        <v>4 ST</v>
      </c>
      <c r="E202" t="s">
        <v>487</v>
      </c>
      <c r="F202" t="s">
        <v>488</v>
      </c>
      <c r="G202" t="s">
        <v>470</v>
      </c>
      <c r="H202" t="s">
        <v>462</v>
      </c>
      <c r="I202">
        <f t="shared" si="9"/>
        <v>2007</v>
      </c>
      <c r="J202" s="229">
        <v>839</v>
      </c>
      <c r="K202" s="254">
        <v>209644.07</v>
      </c>
      <c r="L202" s="254">
        <v>20453.265837654362</v>
      </c>
      <c r="M202" s="254">
        <v>189190.80416234565</v>
      </c>
      <c r="N202" s="255">
        <v>608</v>
      </c>
      <c r="O202" s="256">
        <v>711</v>
      </c>
      <c r="P202" s="254">
        <f t="shared" si="10"/>
        <v>245159.43054276315</v>
      </c>
    </row>
    <row r="203" spans="1:16" x14ac:dyDescent="0.2">
      <c r="A203" t="s">
        <v>538</v>
      </c>
      <c r="B203" s="253">
        <v>4</v>
      </c>
      <c r="C203" s="257" t="s">
        <v>494</v>
      </c>
      <c r="D203" s="257" t="str">
        <f t="shared" si="8"/>
        <v>4 ST</v>
      </c>
      <c r="E203" t="s">
        <v>487</v>
      </c>
      <c r="F203" t="s">
        <v>488</v>
      </c>
      <c r="G203" t="s">
        <v>468</v>
      </c>
      <c r="H203" t="s">
        <v>462</v>
      </c>
      <c r="I203">
        <f t="shared" si="9"/>
        <v>2009</v>
      </c>
      <c r="J203" s="229">
        <v>867</v>
      </c>
      <c r="K203" s="254">
        <v>492703.29</v>
      </c>
      <c r="L203" s="254">
        <v>20903.727396836508</v>
      </c>
      <c r="M203" s="254">
        <v>471799.56260316347</v>
      </c>
      <c r="N203" s="255">
        <v>673</v>
      </c>
      <c r="O203" s="256">
        <v>711</v>
      </c>
      <c r="P203" s="254">
        <f t="shared" si="10"/>
        <v>520523.089435364</v>
      </c>
    </row>
    <row r="204" spans="1:16" x14ac:dyDescent="0.2">
      <c r="A204" t="s">
        <v>538</v>
      </c>
      <c r="B204" s="253">
        <v>4</v>
      </c>
      <c r="C204" s="257" t="s">
        <v>494</v>
      </c>
      <c r="D204" s="257" t="str">
        <f t="shared" si="8"/>
        <v>4 ST</v>
      </c>
      <c r="E204" t="s">
        <v>487</v>
      </c>
      <c r="F204" t="s">
        <v>488</v>
      </c>
      <c r="G204" t="s">
        <v>468</v>
      </c>
      <c r="H204" t="s">
        <v>462</v>
      </c>
      <c r="I204">
        <f t="shared" si="9"/>
        <v>2009</v>
      </c>
      <c r="J204" s="229">
        <v>892</v>
      </c>
      <c r="K204" s="254">
        <v>531379.93000000005</v>
      </c>
      <c r="L204" s="254">
        <v>22544.648231327348</v>
      </c>
      <c r="M204" s="254">
        <v>508835.28176867269</v>
      </c>
      <c r="N204" s="255">
        <v>673</v>
      </c>
      <c r="O204" s="256">
        <v>711</v>
      </c>
      <c r="P204" s="254">
        <f t="shared" si="10"/>
        <v>561383.55160475487</v>
      </c>
    </row>
    <row r="205" spans="1:16" x14ac:dyDescent="0.2">
      <c r="A205" t="s">
        <v>538</v>
      </c>
      <c r="B205" s="253">
        <v>4</v>
      </c>
      <c r="C205" s="257" t="s">
        <v>494</v>
      </c>
      <c r="D205" s="257" t="str">
        <f t="shared" si="8"/>
        <v>4 ST</v>
      </c>
      <c r="E205" t="s">
        <v>487</v>
      </c>
      <c r="F205" t="s">
        <v>488</v>
      </c>
      <c r="G205" t="s">
        <v>478</v>
      </c>
      <c r="H205" t="s">
        <v>462</v>
      </c>
      <c r="I205">
        <f t="shared" si="9"/>
        <v>2001</v>
      </c>
      <c r="J205" s="229">
        <v>1020</v>
      </c>
      <c r="K205" s="254">
        <v>607329.74</v>
      </c>
      <c r="L205" s="254">
        <v>172173.7829409976</v>
      </c>
      <c r="M205" s="254">
        <v>435155.95705900236</v>
      </c>
      <c r="N205" s="255">
        <v>399</v>
      </c>
      <c r="O205" s="256">
        <v>711</v>
      </c>
      <c r="P205" s="254">
        <f t="shared" si="10"/>
        <v>1082234.1983458647</v>
      </c>
    </row>
    <row r="206" spans="1:16" x14ac:dyDescent="0.2">
      <c r="A206" t="s">
        <v>538</v>
      </c>
      <c r="B206" s="253">
        <v>4</v>
      </c>
      <c r="C206" s="257" t="s">
        <v>494</v>
      </c>
      <c r="D206" s="257" t="str">
        <f t="shared" si="8"/>
        <v>4 ST</v>
      </c>
      <c r="E206" t="s">
        <v>487</v>
      </c>
      <c r="F206" t="s">
        <v>488</v>
      </c>
      <c r="G206" t="s">
        <v>515</v>
      </c>
      <c r="H206" t="s">
        <v>462</v>
      </c>
      <c r="I206">
        <f t="shared" si="9"/>
        <v>1986</v>
      </c>
      <c r="J206" s="229">
        <v>1117</v>
      </c>
      <c r="K206" s="254">
        <v>55606.32</v>
      </c>
      <c r="L206" s="254">
        <v>43316.259173903542</v>
      </c>
      <c r="M206" s="254">
        <v>12290.060826096458</v>
      </c>
      <c r="N206" s="255">
        <v>260</v>
      </c>
      <c r="O206" s="256">
        <v>711</v>
      </c>
      <c r="P206" s="254">
        <f t="shared" si="10"/>
        <v>152061.89815384615</v>
      </c>
    </row>
    <row r="207" spans="1:16" x14ac:dyDescent="0.2">
      <c r="A207" t="s">
        <v>538</v>
      </c>
      <c r="B207" s="253">
        <v>4</v>
      </c>
      <c r="C207" s="257" t="s">
        <v>494</v>
      </c>
      <c r="D207" s="257" t="str">
        <f t="shared" si="8"/>
        <v>4 ST</v>
      </c>
      <c r="E207" t="s">
        <v>487</v>
      </c>
      <c r="F207" t="s">
        <v>488</v>
      </c>
      <c r="G207" t="s">
        <v>469</v>
      </c>
      <c r="H207" t="s">
        <v>462</v>
      </c>
      <c r="I207">
        <f t="shared" si="9"/>
        <v>2010</v>
      </c>
      <c r="J207" s="229">
        <v>1125</v>
      </c>
      <c r="K207" s="254">
        <v>664537.15</v>
      </c>
      <c r="L207" s="254">
        <v>9724.3999107100572</v>
      </c>
      <c r="M207" s="254">
        <v>654812.75008928997</v>
      </c>
      <c r="N207" s="255">
        <v>711</v>
      </c>
      <c r="O207" s="256">
        <v>711</v>
      </c>
      <c r="P207" s="254">
        <f t="shared" si="10"/>
        <v>664537.15</v>
      </c>
    </row>
    <row r="208" spans="1:16" x14ac:dyDescent="0.2">
      <c r="A208" t="s">
        <v>538</v>
      </c>
      <c r="B208" s="253">
        <v>4</v>
      </c>
      <c r="C208" s="257" t="s">
        <v>494</v>
      </c>
      <c r="D208" s="257" t="str">
        <f t="shared" si="8"/>
        <v>4 ST</v>
      </c>
      <c r="E208" t="s">
        <v>487</v>
      </c>
      <c r="F208" t="s">
        <v>488</v>
      </c>
      <c r="G208" t="s">
        <v>470</v>
      </c>
      <c r="H208" t="s">
        <v>462</v>
      </c>
      <c r="I208">
        <f t="shared" si="9"/>
        <v>2007</v>
      </c>
      <c r="J208" s="229">
        <v>1565</v>
      </c>
      <c r="K208" s="254">
        <v>547465.82999999996</v>
      </c>
      <c r="L208" s="254">
        <v>53411.78030204332</v>
      </c>
      <c r="M208" s="254">
        <v>494054.04969795665</v>
      </c>
      <c r="N208" s="255">
        <v>608</v>
      </c>
      <c r="O208" s="256">
        <v>711</v>
      </c>
      <c r="P208" s="254">
        <f t="shared" si="10"/>
        <v>640210.86370065785</v>
      </c>
    </row>
    <row r="209" spans="1:16" x14ac:dyDescent="0.2">
      <c r="A209" t="s">
        <v>538</v>
      </c>
      <c r="B209" s="253">
        <v>4</v>
      </c>
      <c r="C209" s="257" t="s">
        <v>494</v>
      </c>
      <c r="D209" s="257" t="str">
        <f t="shared" si="8"/>
        <v>4 ST</v>
      </c>
      <c r="E209" t="s">
        <v>487</v>
      </c>
      <c r="F209" t="s">
        <v>488</v>
      </c>
      <c r="G209" t="s">
        <v>477</v>
      </c>
      <c r="H209" t="s">
        <v>462</v>
      </c>
      <c r="I209">
        <f t="shared" si="9"/>
        <v>2006</v>
      </c>
      <c r="J209" s="229">
        <v>1748</v>
      </c>
      <c r="K209" s="254">
        <v>1023481.49</v>
      </c>
      <c r="L209" s="254">
        <v>129068.99263228473</v>
      </c>
      <c r="M209" s="254">
        <v>894412.49736771523</v>
      </c>
      <c r="N209" s="255">
        <v>644</v>
      </c>
      <c r="O209" s="256">
        <v>711</v>
      </c>
      <c r="P209" s="254">
        <f t="shared" si="10"/>
        <v>1129961.707127329</v>
      </c>
    </row>
    <row r="210" spans="1:16" x14ac:dyDescent="0.2">
      <c r="A210" t="s">
        <v>538</v>
      </c>
      <c r="B210" s="253">
        <v>4</v>
      </c>
      <c r="C210" s="257" t="s">
        <v>494</v>
      </c>
      <c r="D210" s="257" t="str">
        <f t="shared" si="8"/>
        <v>4 ST</v>
      </c>
      <c r="E210" t="s">
        <v>487</v>
      </c>
      <c r="F210" t="s">
        <v>488</v>
      </c>
      <c r="G210" t="s">
        <v>491</v>
      </c>
      <c r="H210" t="s">
        <v>462</v>
      </c>
      <c r="I210">
        <f t="shared" si="9"/>
        <v>1993</v>
      </c>
      <c r="J210" s="229">
        <v>1754</v>
      </c>
      <c r="K210" s="254">
        <v>75816.960000000006</v>
      </c>
      <c r="L210" s="254">
        <v>42700.757424837284</v>
      </c>
      <c r="M210" s="254">
        <v>33116.202575162722</v>
      </c>
      <c r="N210" s="255">
        <v>324</v>
      </c>
      <c r="O210" s="256">
        <v>711</v>
      </c>
      <c r="P210" s="254">
        <f t="shared" si="10"/>
        <v>166376.10666666669</v>
      </c>
    </row>
    <row r="211" spans="1:16" x14ac:dyDescent="0.2">
      <c r="A211" t="s">
        <v>538</v>
      </c>
      <c r="B211" s="253">
        <v>4</v>
      </c>
      <c r="C211" s="257" t="s">
        <v>494</v>
      </c>
      <c r="D211" s="257" t="str">
        <f t="shared" si="8"/>
        <v>4 ST</v>
      </c>
      <c r="E211" t="s">
        <v>487</v>
      </c>
      <c r="F211" t="s">
        <v>488</v>
      </c>
      <c r="G211" t="s">
        <v>472</v>
      </c>
      <c r="H211" t="s">
        <v>462</v>
      </c>
      <c r="I211">
        <f t="shared" si="9"/>
        <v>2000</v>
      </c>
      <c r="J211" s="229">
        <v>1936</v>
      </c>
      <c r="K211" s="254">
        <v>279501.76</v>
      </c>
      <c r="L211" s="254">
        <v>88757.386485776908</v>
      </c>
      <c r="M211" s="254">
        <v>190744.37351422309</v>
      </c>
      <c r="N211" s="255">
        <v>396</v>
      </c>
      <c r="O211" s="256">
        <v>711</v>
      </c>
      <c r="P211" s="254">
        <f t="shared" si="10"/>
        <v>501832.70545454544</v>
      </c>
    </row>
    <row r="212" spans="1:16" x14ac:dyDescent="0.2">
      <c r="A212" t="s">
        <v>538</v>
      </c>
      <c r="B212" s="253">
        <v>4</v>
      </c>
      <c r="C212" s="257" t="s">
        <v>494</v>
      </c>
      <c r="D212" s="257" t="str">
        <f t="shared" si="8"/>
        <v>4 ST</v>
      </c>
      <c r="E212" t="s">
        <v>487</v>
      </c>
      <c r="F212" t="s">
        <v>488</v>
      </c>
      <c r="G212" t="s">
        <v>490</v>
      </c>
      <c r="H212" t="s">
        <v>462</v>
      </c>
      <c r="I212">
        <f t="shared" si="9"/>
        <v>1992</v>
      </c>
      <c r="J212" s="229">
        <v>1963</v>
      </c>
      <c r="K212" s="254">
        <v>229074.36</v>
      </c>
      <c r="L212" s="254">
        <v>136799.00129807697</v>
      </c>
      <c r="M212" s="254">
        <v>92275.358701923018</v>
      </c>
      <c r="N212" s="255">
        <v>315</v>
      </c>
      <c r="O212" s="256">
        <v>711</v>
      </c>
      <c r="P212" s="254">
        <f t="shared" si="10"/>
        <v>517053.55542857142</v>
      </c>
    </row>
    <row r="213" spans="1:16" x14ac:dyDescent="0.2">
      <c r="A213" t="s">
        <v>538</v>
      </c>
      <c r="B213" s="253">
        <v>4</v>
      </c>
      <c r="C213" s="257" t="s">
        <v>494</v>
      </c>
      <c r="D213" s="257" t="str">
        <f t="shared" si="8"/>
        <v>4 ST</v>
      </c>
      <c r="E213" t="s">
        <v>487</v>
      </c>
      <c r="F213" t="s">
        <v>488</v>
      </c>
      <c r="G213" t="s">
        <v>513</v>
      </c>
      <c r="H213" t="s">
        <v>462</v>
      </c>
      <c r="I213">
        <f t="shared" si="9"/>
        <v>1995</v>
      </c>
      <c r="J213" s="229">
        <v>1982</v>
      </c>
      <c r="K213" s="254">
        <v>289889.25</v>
      </c>
      <c r="L213" s="254">
        <v>143063.34608404257</v>
      </c>
      <c r="M213" s="254">
        <v>146825.90391595743</v>
      </c>
      <c r="N213" s="255">
        <v>358</v>
      </c>
      <c r="O213" s="256">
        <v>711</v>
      </c>
      <c r="P213" s="254">
        <f t="shared" si="10"/>
        <v>575729.76745810057</v>
      </c>
    </row>
    <row r="214" spans="1:16" x14ac:dyDescent="0.2">
      <c r="A214" t="s">
        <v>538</v>
      </c>
      <c r="B214" s="253">
        <v>4</v>
      </c>
      <c r="C214" s="257" t="s">
        <v>494</v>
      </c>
      <c r="D214" s="257" t="str">
        <f t="shared" si="8"/>
        <v>4 ST</v>
      </c>
      <c r="E214" t="s">
        <v>487</v>
      </c>
      <c r="F214" t="s">
        <v>488</v>
      </c>
      <c r="G214" t="s">
        <v>479</v>
      </c>
      <c r="H214" t="s">
        <v>462</v>
      </c>
      <c r="I214">
        <f t="shared" si="9"/>
        <v>1998</v>
      </c>
      <c r="J214" s="229">
        <v>2045</v>
      </c>
      <c r="K214" s="254">
        <v>247851.37</v>
      </c>
      <c r="L214" s="254">
        <v>96001.290935874931</v>
      </c>
      <c r="M214" s="254">
        <v>151850.07906412508</v>
      </c>
      <c r="N214" s="255">
        <v>372</v>
      </c>
      <c r="O214" s="256">
        <v>711</v>
      </c>
      <c r="P214" s="254">
        <f t="shared" si="10"/>
        <v>473715.92491935485</v>
      </c>
    </row>
    <row r="215" spans="1:16" x14ac:dyDescent="0.2">
      <c r="A215" t="s">
        <v>538</v>
      </c>
      <c r="B215" s="253">
        <v>4</v>
      </c>
      <c r="C215" s="257" t="s">
        <v>494</v>
      </c>
      <c r="D215" s="257" t="str">
        <f t="shared" si="8"/>
        <v>4 ST</v>
      </c>
      <c r="E215" t="s">
        <v>487</v>
      </c>
      <c r="F215" t="s">
        <v>488</v>
      </c>
      <c r="G215" t="s">
        <v>461</v>
      </c>
      <c r="H215" t="s">
        <v>462</v>
      </c>
      <c r="I215">
        <f t="shared" si="9"/>
        <v>2008</v>
      </c>
      <c r="J215" s="229">
        <v>2160</v>
      </c>
      <c r="K215" s="254">
        <v>1330219.81</v>
      </c>
      <c r="L215" s="254">
        <v>92834.062635488692</v>
      </c>
      <c r="M215" s="254">
        <v>1237385.7473645112</v>
      </c>
      <c r="N215" s="255">
        <v>731</v>
      </c>
      <c r="O215" s="256">
        <v>711</v>
      </c>
      <c r="P215" s="254">
        <f t="shared" si="10"/>
        <v>1293825.2871545828</v>
      </c>
    </row>
    <row r="216" spans="1:16" x14ac:dyDescent="0.2">
      <c r="A216" t="s">
        <v>538</v>
      </c>
      <c r="B216" s="253">
        <v>4</v>
      </c>
      <c r="C216" s="257" t="s">
        <v>494</v>
      </c>
      <c r="D216" s="257" t="str">
        <f t="shared" si="8"/>
        <v>4 ST</v>
      </c>
      <c r="E216" t="s">
        <v>487</v>
      </c>
      <c r="F216" t="s">
        <v>488</v>
      </c>
      <c r="G216" t="s">
        <v>468</v>
      </c>
      <c r="H216" t="s">
        <v>462</v>
      </c>
      <c r="I216">
        <f t="shared" si="9"/>
        <v>2009</v>
      </c>
      <c r="J216" s="229">
        <v>2176</v>
      </c>
      <c r="K216" s="254">
        <v>853420.74</v>
      </c>
      <c r="L216" s="254">
        <v>36207.747346940967</v>
      </c>
      <c r="M216" s="254">
        <v>817212.99265305907</v>
      </c>
      <c r="N216" s="255">
        <v>673</v>
      </c>
      <c r="O216" s="256">
        <v>711</v>
      </c>
      <c r="P216" s="254">
        <f t="shared" si="10"/>
        <v>901607.94374442799</v>
      </c>
    </row>
    <row r="217" spans="1:16" x14ac:dyDescent="0.2">
      <c r="A217" t="s">
        <v>538</v>
      </c>
      <c r="B217" s="253">
        <v>4</v>
      </c>
      <c r="C217" s="257" t="s">
        <v>494</v>
      </c>
      <c r="D217" s="257" t="str">
        <f t="shared" si="8"/>
        <v>4 ST</v>
      </c>
      <c r="E217" t="s">
        <v>487</v>
      </c>
      <c r="F217" t="s">
        <v>488</v>
      </c>
      <c r="G217" t="s">
        <v>475</v>
      </c>
      <c r="H217" t="s">
        <v>462</v>
      </c>
      <c r="I217">
        <f t="shared" si="9"/>
        <v>2002</v>
      </c>
      <c r="J217" s="229">
        <v>2263</v>
      </c>
      <c r="K217" s="254">
        <v>496936.02</v>
      </c>
      <c r="L217" s="254">
        <v>124311.92949868854</v>
      </c>
      <c r="M217" s="254">
        <v>372624.09050131147</v>
      </c>
      <c r="N217" s="255">
        <v>407</v>
      </c>
      <c r="O217" s="256">
        <v>711</v>
      </c>
      <c r="P217" s="254">
        <f t="shared" si="10"/>
        <v>868111.81872235879</v>
      </c>
    </row>
    <row r="218" spans="1:16" x14ac:dyDescent="0.2">
      <c r="A218" t="s">
        <v>538</v>
      </c>
      <c r="B218" s="253">
        <v>4</v>
      </c>
      <c r="C218" s="257" t="s">
        <v>494</v>
      </c>
      <c r="D218" s="257" t="str">
        <f t="shared" si="8"/>
        <v>4 ST</v>
      </c>
      <c r="E218" t="s">
        <v>487</v>
      </c>
      <c r="F218" t="s">
        <v>488</v>
      </c>
      <c r="G218" t="s">
        <v>517</v>
      </c>
      <c r="H218" t="s">
        <v>462</v>
      </c>
      <c r="I218">
        <f t="shared" si="9"/>
        <v>1983</v>
      </c>
      <c r="J218" s="229">
        <v>2652</v>
      </c>
      <c r="K218" s="254">
        <v>225498.51</v>
      </c>
      <c r="L218" s="254">
        <v>191864.76521625562</v>
      </c>
      <c r="M218" s="254">
        <v>33633.744783744391</v>
      </c>
      <c r="N218" s="255">
        <v>260</v>
      </c>
      <c r="O218" s="256">
        <v>711</v>
      </c>
      <c r="P218" s="254">
        <f t="shared" si="10"/>
        <v>616651.69465384621</v>
      </c>
    </row>
    <row r="219" spans="1:16" x14ac:dyDescent="0.2">
      <c r="A219" t="s">
        <v>538</v>
      </c>
      <c r="B219" s="253">
        <v>4</v>
      </c>
      <c r="C219" s="257" t="s">
        <v>494</v>
      </c>
      <c r="D219" s="257" t="str">
        <f t="shared" si="8"/>
        <v>4 ST</v>
      </c>
      <c r="E219" t="s">
        <v>487</v>
      </c>
      <c r="F219" t="s">
        <v>488</v>
      </c>
      <c r="G219" t="s">
        <v>467</v>
      </c>
      <c r="H219" t="s">
        <v>462</v>
      </c>
      <c r="I219">
        <f t="shared" si="9"/>
        <v>1996</v>
      </c>
      <c r="J219" s="229">
        <v>3300</v>
      </c>
      <c r="K219" s="254">
        <v>343952.54</v>
      </c>
      <c r="L219" s="254">
        <v>157585.11064585869</v>
      </c>
      <c r="M219" s="254">
        <v>186367.42935414129</v>
      </c>
      <c r="N219" s="255">
        <v>359</v>
      </c>
      <c r="O219" s="256">
        <v>711</v>
      </c>
      <c r="P219" s="254">
        <f t="shared" si="10"/>
        <v>681198.48451253481</v>
      </c>
    </row>
    <row r="220" spans="1:16" x14ac:dyDescent="0.2">
      <c r="A220" t="s">
        <v>538</v>
      </c>
      <c r="B220" s="253">
        <v>4</v>
      </c>
      <c r="C220" s="257" t="s">
        <v>494</v>
      </c>
      <c r="D220" s="257" t="str">
        <f t="shared" si="8"/>
        <v>4 ST</v>
      </c>
      <c r="E220" t="s">
        <v>487</v>
      </c>
      <c r="F220" t="s">
        <v>488</v>
      </c>
      <c r="G220" t="s">
        <v>514</v>
      </c>
      <c r="H220" t="s">
        <v>462</v>
      </c>
      <c r="I220">
        <f t="shared" si="9"/>
        <v>1994</v>
      </c>
      <c r="J220" s="229">
        <v>3501</v>
      </c>
      <c r="K220" s="254">
        <v>568648.87</v>
      </c>
      <c r="L220" s="254">
        <v>300584.84187455458</v>
      </c>
      <c r="M220" s="254">
        <v>268064.02812544542</v>
      </c>
      <c r="N220" s="255">
        <v>346</v>
      </c>
      <c r="O220" s="256">
        <v>711</v>
      </c>
      <c r="P220" s="254">
        <f t="shared" si="10"/>
        <v>1168524.1230346821</v>
      </c>
    </row>
    <row r="221" spans="1:16" x14ac:dyDescent="0.2">
      <c r="A221" t="s">
        <v>538</v>
      </c>
      <c r="B221" s="253">
        <v>4</v>
      </c>
      <c r="C221" s="257" t="s">
        <v>494</v>
      </c>
      <c r="D221" s="257" t="str">
        <f t="shared" si="8"/>
        <v>4 ST</v>
      </c>
      <c r="E221" t="s">
        <v>487</v>
      </c>
      <c r="F221" t="s">
        <v>488</v>
      </c>
      <c r="G221" t="s">
        <v>464</v>
      </c>
      <c r="H221" t="s">
        <v>462</v>
      </c>
      <c r="I221">
        <f t="shared" si="9"/>
        <v>1985</v>
      </c>
      <c r="J221" s="229">
        <v>4233</v>
      </c>
      <c r="K221" s="254">
        <v>137348.74</v>
      </c>
      <c r="L221" s="254">
        <v>110498.73152148339</v>
      </c>
      <c r="M221" s="254">
        <v>26850.008478516596</v>
      </c>
      <c r="N221" s="255">
        <v>270</v>
      </c>
      <c r="O221" s="256">
        <v>711</v>
      </c>
      <c r="P221" s="254">
        <f t="shared" si="10"/>
        <v>361685.01533333329</v>
      </c>
    </row>
    <row r="222" spans="1:16" x14ac:dyDescent="0.2">
      <c r="A222" t="s">
        <v>538</v>
      </c>
      <c r="B222" s="253">
        <v>4</v>
      </c>
      <c r="C222" s="257" t="s">
        <v>494</v>
      </c>
      <c r="D222" s="257" t="str">
        <f t="shared" si="8"/>
        <v>4 ST</v>
      </c>
      <c r="E222" t="s">
        <v>487</v>
      </c>
      <c r="F222" t="s">
        <v>488</v>
      </c>
      <c r="G222" t="s">
        <v>466</v>
      </c>
      <c r="H222" t="s">
        <v>462</v>
      </c>
      <c r="I222">
        <f t="shared" si="9"/>
        <v>1989</v>
      </c>
      <c r="J222" s="229">
        <v>5395</v>
      </c>
      <c r="K222" s="254">
        <v>131741.57999999999</v>
      </c>
      <c r="L222" s="254">
        <v>91378.234052729022</v>
      </c>
      <c r="M222" s="254">
        <v>40363.345947270966</v>
      </c>
      <c r="N222" s="255">
        <v>300</v>
      </c>
      <c r="O222" s="256">
        <v>711</v>
      </c>
      <c r="P222" s="254">
        <f t="shared" si="10"/>
        <v>312227.54459999996</v>
      </c>
    </row>
    <row r="223" spans="1:16" x14ac:dyDescent="0.2">
      <c r="A223" t="s">
        <v>538</v>
      </c>
      <c r="B223" s="253">
        <v>4</v>
      </c>
      <c r="C223" s="257" t="s">
        <v>494</v>
      </c>
      <c r="D223" s="257" t="str">
        <f t="shared" si="8"/>
        <v>4 ST</v>
      </c>
      <c r="E223" t="s">
        <v>487</v>
      </c>
      <c r="F223" t="s">
        <v>488</v>
      </c>
      <c r="G223" t="s">
        <v>465</v>
      </c>
      <c r="H223" t="s">
        <v>462</v>
      </c>
      <c r="I223">
        <f t="shared" si="9"/>
        <v>1991</v>
      </c>
      <c r="J223" s="229">
        <v>6733</v>
      </c>
      <c r="K223" s="254">
        <v>246208.06</v>
      </c>
      <c r="L223" s="254">
        <v>155195.9008249313</v>
      </c>
      <c r="M223" s="254">
        <v>91012.159175068693</v>
      </c>
      <c r="N223" s="255">
        <v>312</v>
      </c>
      <c r="O223" s="256">
        <v>711</v>
      </c>
      <c r="P223" s="254">
        <f t="shared" si="10"/>
        <v>561070.29057692306</v>
      </c>
    </row>
    <row r="224" spans="1:16" x14ac:dyDescent="0.2">
      <c r="A224" t="s">
        <v>538</v>
      </c>
      <c r="B224" s="253">
        <v>4</v>
      </c>
      <c r="C224" s="257" t="s">
        <v>494</v>
      </c>
      <c r="D224" s="257" t="str">
        <f t="shared" si="8"/>
        <v>4 ST</v>
      </c>
      <c r="E224" t="s">
        <v>487</v>
      </c>
      <c r="F224" t="s">
        <v>488</v>
      </c>
      <c r="G224" t="s">
        <v>523</v>
      </c>
      <c r="H224" t="s">
        <v>462</v>
      </c>
      <c r="I224">
        <f t="shared" si="9"/>
        <v>1987</v>
      </c>
      <c r="J224" s="229">
        <v>6916</v>
      </c>
      <c r="K224" s="254">
        <v>250873.09</v>
      </c>
      <c r="L224" s="254">
        <v>188640.4166319643</v>
      </c>
      <c r="M224" s="254">
        <v>62232.673368035699</v>
      </c>
      <c r="N224" s="255">
        <v>268</v>
      </c>
      <c r="O224" s="256">
        <v>711</v>
      </c>
      <c r="P224" s="254">
        <f t="shared" si="10"/>
        <v>665562.56339552242</v>
      </c>
    </row>
    <row r="225" spans="1:16" x14ac:dyDescent="0.2">
      <c r="A225" t="s">
        <v>538</v>
      </c>
      <c r="B225" s="253">
        <v>4</v>
      </c>
      <c r="C225" s="257" t="s">
        <v>494</v>
      </c>
      <c r="D225" s="257" t="str">
        <f t="shared" si="8"/>
        <v>4 ST</v>
      </c>
      <c r="E225" t="s">
        <v>487</v>
      </c>
      <c r="F225" t="s">
        <v>488</v>
      </c>
      <c r="G225" t="s">
        <v>516</v>
      </c>
      <c r="H225" t="s">
        <v>462</v>
      </c>
      <c r="I225">
        <f t="shared" si="9"/>
        <v>1988</v>
      </c>
      <c r="J225" s="229">
        <v>8943</v>
      </c>
      <c r="K225" s="254">
        <v>314495.33</v>
      </c>
      <c r="L225" s="254">
        <v>227522.70535903511</v>
      </c>
      <c r="M225" s="254">
        <v>86972.624640964903</v>
      </c>
      <c r="N225" s="255">
        <v>286</v>
      </c>
      <c r="O225" s="256">
        <v>711</v>
      </c>
      <c r="P225" s="254">
        <f t="shared" si="10"/>
        <v>781839.78891608387</v>
      </c>
    </row>
    <row r="226" spans="1:16" x14ac:dyDescent="0.2">
      <c r="A226" t="s">
        <v>538</v>
      </c>
      <c r="B226" s="253">
        <v>4</v>
      </c>
      <c r="C226" s="257" t="s">
        <v>494</v>
      </c>
      <c r="D226" s="257" t="str">
        <f t="shared" si="8"/>
        <v>4 ST</v>
      </c>
      <c r="E226" t="s">
        <v>487</v>
      </c>
      <c r="F226" t="s">
        <v>488</v>
      </c>
      <c r="G226" t="s">
        <v>473</v>
      </c>
      <c r="H226" t="s">
        <v>462</v>
      </c>
      <c r="I226">
        <f t="shared" si="9"/>
        <v>1997</v>
      </c>
      <c r="J226" s="229">
        <v>9195</v>
      </c>
      <c r="K226" s="254">
        <v>518447.38</v>
      </c>
      <c r="L226" s="254">
        <v>219148.19907463496</v>
      </c>
      <c r="M226" s="254">
        <v>299299.18092536507</v>
      </c>
      <c r="N226" s="255">
        <v>368</v>
      </c>
      <c r="O226" s="256">
        <v>711</v>
      </c>
      <c r="P226" s="254">
        <f t="shared" si="10"/>
        <v>1001674.1499456522</v>
      </c>
    </row>
    <row r="227" spans="1:16" x14ac:dyDescent="0.2">
      <c r="A227" t="s">
        <v>538</v>
      </c>
      <c r="B227" s="253">
        <v>4</v>
      </c>
      <c r="C227" s="257" t="s">
        <v>494</v>
      </c>
      <c r="D227" s="257" t="str">
        <f t="shared" si="8"/>
        <v>4 ST</v>
      </c>
      <c r="E227" t="s">
        <v>487</v>
      </c>
      <c r="F227" t="s">
        <v>488</v>
      </c>
      <c r="G227" t="s">
        <v>518</v>
      </c>
      <c r="H227" t="s">
        <v>462</v>
      </c>
      <c r="I227">
        <f t="shared" si="9"/>
        <v>1982</v>
      </c>
      <c r="J227" s="229">
        <v>9719</v>
      </c>
      <c r="K227" s="254">
        <v>147042.26</v>
      </c>
      <c r="L227" s="254">
        <v>128164.10306588729</v>
      </c>
      <c r="M227" s="254">
        <v>18878.156934112718</v>
      </c>
      <c r="N227" s="255">
        <v>252</v>
      </c>
      <c r="O227" s="256">
        <v>711</v>
      </c>
      <c r="P227" s="254">
        <f t="shared" si="10"/>
        <v>414869.23357142863</v>
      </c>
    </row>
    <row r="228" spans="1:16" x14ac:dyDescent="0.2">
      <c r="A228" t="s">
        <v>538</v>
      </c>
      <c r="B228" s="253">
        <v>4</v>
      </c>
      <c r="C228" s="257" t="s">
        <v>494</v>
      </c>
      <c r="D228" s="257" t="str">
        <f t="shared" si="8"/>
        <v>4 ST</v>
      </c>
      <c r="E228" t="s">
        <v>487</v>
      </c>
      <c r="F228" t="s">
        <v>488</v>
      </c>
      <c r="G228" t="s">
        <v>486</v>
      </c>
      <c r="H228" t="s">
        <v>462</v>
      </c>
      <c r="I228">
        <f t="shared" si="9"/>
        <v>1978</v>
      </c>
      <c r="J228" s="229">
        <v>11124</v>
      </c>
      <c r="K228" s="254">
        <v>131875.12</v>
      </c>
      <c r="L228" s="254">
        <v>123836.23137539817</v>
      </c>
      <c r="M228" s="254">
        <v>8038.8886246018228</v>
      </c>
      <c r="N228" s="255">
        <v>173</v>
      </c>
      <c r="O228" s="256">
        <v>711</v>
      </c>
      <c r="P228" s="254">
        <f t="shared" si="10"/>
        <v>541983.87468208093</v>
      </c>
    </row>
    <row r="229" spans="1:16" x14ac:dyDescent="0.2">
      <c r="A229" t="s">
        <v>538</v>
      </c>
      <c r="B229" s="253">
        <v>4</v>
      </c>
      <c r="C229" s="257" t="s">
        <v>494</v>
      </c>
      <c r="D229" s="257" t="str">
        <f t="shared" si="8"/>
        <v>4 ST</v>
      </c>
      <c r="E229" t="s">
        <v>487</v>
      </c>
      <c r="F229" t="s">
        <v>488</v>
      </c>
      <c r="G229" t="s">
        <v>463</v>
      </c>
      <c r="H229" t="s">
        <v>462</v>
      </c>
      <c r="I229">
        <f t="shared" si="9"/>
        <v>1984</v>
      </c>
      <c r="J229" s="229">
        <v>11729</v>
      </c>
      <c r="K229" s="254">
        <v>385051.35</v>
      </c>
      <c r="L229" s="254">
        <v>319006.28430010012</v>
      </c>
      <c r="M229" s="254">
        <v>66045.06569989986</v>
      </c>
      <c r="N229" s="255">
        <v>271</v>
      </c>
      <c r="O229" s="256">
        <v>711</v>
      </c>
      <c r="P229" s="254">
        <f t="shared" si="10"/>
        <v>1010226.9736162362</v>
      </c>
    </row>
    <row r="230" spans="1:16" x14ac:dyDescent="0.2">
      <c r="A230" t="s">
        <v>538</v>
      </c>
      <c r="B230" s="253">
        <v>4</v>
      </c>
      <c r="C230" s="257" t="s">
        <v>494</v>
      </c>
      <c r="D230" s="257" t="str">
        <f t="shared" si="8"/>
        <v>4 ST</v>
      </c>
      <c r="E230" t="s">
        <v>487</v>
      </c>
      <c r="F230" t="s">
        <v>488</v>
      </c>
      <c r="G230" t="s">
        <v>519</v>
      </c>
      <c r="H230" t="s">
        <v>462</v>
      </c>
      <c r="I230">
        <f t="shared" si="9"/>
        <v>1979</v>
      </c>
      <c r="J230" s="229">
        <v>12486</v>
      </c>
      <c r="K230" s="254">
        <v>190657.54</v>
      </c>
      <c r="L230" s="254">
        <v>176253.77471082212</v>
      </c>
      <c r="M230" s="254">
        <v>14403.765289177885</v>
      </c>
      <c r="N230" s="255">
        <v>187</v>
      </c>
      <c r="O230" s="256">
        <v>711</v>
      </c>
      <c r="P230" s="254">
        <f t="shared" si="10"/>
        <v>724906.47561497334</v>
      </c>
    </row>
    <row r="231" spans="1:16" x14ac:dyDescent="0.2">
      <c r="A231" t="s">
        <v>538</v>
      </c>
      <c r="B231" s="253">
        <v>4</v>
      </c>
      <c r="C231" s="257" t="s">
        <v>494</v>
      </c>
      <c r="D231" s="257" t="str">
        <f t="shared" si="8"/>
        <v>4 ST</v>
      </c>
      <c r="E231" t="s">
        <v>487</v>
      </c>
      <c r="F231" t="s">
        <v>488</v>
      </c>
      <c r="G231" t="s">
        <v>524</v>
      </c>
      <c r="H231" t="s">
        <v>462</v>
      </c>
      <c r="I231">
        <f t="shared" si="9"/>
        <v>1975</v>
      </c>
      <c r="J231" s="229">
        <v>18989</v>
      </c>
      <c r="K231" s="254">
        <v>241273.59</v>
      </c>
      <c r="L231" s="254">
        <v>235153.76024314939</v>
      </c>
      <c r="M231" s="254">
        <v>6119.8297568506096</v>
      </c>
      <c r="N231" s="255">
        <v>134</v>
      </c>
      <c r="O231" s="256">
        <v>711</v>
      </c>
      <c r="P231" s="254">
        <f t="shared" si="10"/>
        <v>1280190.4663432837</v>
      </c>
    </row>
    <row r="232" spans="1:16" x14ac:dyDescent="0.2">
      <c r="A232" t="s">
        <v>538</v>
      </c>
      <c r="B232" s="253">
        <v>4</v>
      </c>
      <c r="C232" s="257" t="s">
        <v>494</v>
      </c>
      <c r="D232" s="257" t="str">
        <f t="shared" si="8"/>
        <v>4 ST</v>
      </c>
      <c r="E232" t="s">
        <v>487</v>
      </c>
      <c r="F232" t="s">
        <v>488</v>
      </c>
      <c r="G232" t="s">
        <v>521</v>
      </c>
      <c r="H232" t="s">
        <v>462</v>
      </c>
      <c r="I232">
        <f t="shared" si="9"/>
        <v>1980</v>
      </c>
      <c r="J232" s="229">
        <v>20216</v>
      </c>
      <c r="K232" s="254">
        <v>260328.3</v>
      </c>
      <c r="L232" s="254">
        <v>236477.88510863358</v>
      </c>
      <c r="M232" s="254">
        <v>23850.41489136641</v>
      </c>
      <c r="N232" s="255">
        <v>204</v>
      </c>
      <c r="O232" s="256">
        <v>711</v>
      </c>
      <c r="P232" s="254">
        <f t="shared" si="10"/>
        <v>907320.69264705875</v>
      </c>
    </row>
    <row r="233" spans="1:16" x14ac:dyDescent="0.2">
      <c r="A233" t="s">
        <v>538</v>
      </c>
      <c r="B233" s="253">
        <v>4</v>
      </c>
      <c r="C233" s="257" t="s">
        <v>494</v>
      </c>
      <c r="D233" s="257" t="str">
        <f t="shared" si="8"/>
        <v>4 ST</v>
      </c>
      <c r="E233" t="s">
        <v>487</v>
      </c>
      <c r="F233" t="s">
        <v>488</v>
      </c>
      <c r="G233" t="s">
        <v>522</v>
      </c>
      <c r="H233" t="s">
        <v>462</v>
      </c>
      <c r="I233">
        <f t="shared" si="9"/>
        <v>1976</v>
      </c>
      <c r="J233" s="229">
        <v>20256</v>
      </c>
      <c r="K233" s="254">
        <v>216438.51</v>
      </c>
      <c r="L233" s="254">
        <v>208658.64841093626</v>
      </c>
      <c r="M233" s="254">
        <v>7779.8615890637448</v>
      </c>
      <c r="N233" s="255">
        <v>146</v>
      </c>
      <c r="O233" s="256">
        <v>711</v>
      </c>
      <c r="P233" s="254">
        <f t="shared" si="10"/>
        <v>1054025.8945890411</v>
      </c>
    </row>
    <row r="234" spans="1:16" x14ac:dyDescent="0.2">
      <c r="A234" t="s">
        <v>538</v>
      </c>
      <c r="B234" s="253">
        <v>4</v>
      </c>
      <c r="C234" s="257" t="s">
        <v>494</v>
      </c>
      <c r="D234" s="257" t="str">
        <f t="shared" si="8"/>
        <v>4 ST</v>
      </c>
      <c r="E234" t="s">
        <v>487</v>
      </c>
      <c r="F234" t="s">
        <v>488</v>
      </c>
      <c r="G234" t="s">
        <v>520</v>
      </c>
      <c r="H234" t="s">
        <v>462</v>
      </c>
      <c r="I234">
        <f t="shared" si="9"/>
        <v>1981</v>
      </c>
      <c r="J234" s="229">
        <v>28807</v>
      </c>
      <c r="K234" s="254">
        <v>401582.61</v>
      </c>
      <c r="L234" s="254">
        <v>357723.5307921425</v>
      </c>
      <c r="M234" s="254">
        <v>43859.079207857489</v>
      </c>
      <c r="N234" s="255">
        <v>231</v>
      </c>
      <c r="O234" s="256">
        <v>711</v>
      </c>
      <c r="P234" s="254">
        <f t="shared" si="10"/>
        <v>1236039.9814285713</v>
      </c>
    </row>
    <row r="235" spans="1:16" x14ac:dyDescent="0.2">
      <c r="A235" t="s">
        <v>538</v>
      </c>
      <c r="B235" s="253">
        <v>4</v>
      </c>
      <c r="C235" s="257" t="s">
        <v>494</v>
      </c>
      <c r="D235" s="257" t="str">
        <f t="shared" si="8"/>
        <v>4 ST</v>
      </c>
      <c r="E235" t="s">
        <v>487</v>
      </c>
      <c r="F235" t="s">
        <v>488</v>
      </c>
      <c r="G235" t="s">
        <v>530</v>
      </c>
      <c r="H235" t="s">
        <v>462</v>
      </c>
      <c r="I235">
        <f t="shared" si="9"/>
        <v>1965</v>
      </c>
      <c r="J235" s="229">
        <v>44379</v>
      </c>
      <c r="K235" s="254">
        <v>207479.72</v>
      </c>
      <c r="L235" s="254">
        <v>213738.1571554697</v>
      </c>
      <c r="M235" s="254">
        <v>-6258.4371554696991</v>
      </c>
      <c r="N235" s="255">
        <v>70</v>
      </c>
      <c r="O235" s="256">
        <v>711</v>
      </c>
      <c r="P235" s="254">
        <f t="shared" si="10"/>
        <v>2107401.156</v>
      </c>
    </row>
    <row r="236" spans="1:16" x14ac:dyDescent="0.2">
      <c r="A236" t="s">
        <v>538</v>
      </c>
      <c r="B236" s="253">
        <v>4</v>
      </c>
      <c r="C236" s="257" t="s">
        <v>494</v>
      </c>
      <c r="D236" s="257" t="str">
        <f t="shared" si="8"/>
        <v>4 ST</v>
      </c>
      <c r="E236" t="s">
        <v>487</v>
      </c>
      <c r="F236" t="s">
        <v>488</v>
      </c>
      <c r="G236" t="s">
        <v>525</v>
      </c>
      <c r="H236" t="s">
        <v>462</v>
      </c>
      <c r="I236">
        <f t="shared" si="9"/>
        <v>1974</v>
      </c>
      <c r="J236" s="229">
        <v>58180</v>
      </c>
      <c r="K236" s="254">
        <v>514387.32</v>
      </c>
      <c r="L236" s="254">
        <v>506178.76644114655</v>
      </c>
      <c r="M236" s="254">
        <v>8208.5535588534549</v>
      </c>
      <c r="N236" s="255">
        <v>117</v>
      </c>
      <c r="O236" s="256">
        <v>711</v>
      </c>
      <c r="P236" s="254">
        <f t="shared" si="10"/>
        <v>3125892.1753846151</v>
      </c>
    </row>
    <row r="237" spans="1:16" x14ac:dyDescent="0.2">
      <c r="A237" t="s">
        <v>538</v>
      </c>
      <c r="B237" s="253">
        <v>4</v>
      </c>
      <c r="C237" s="257" t="s">
        <v>494</v>
      </c>
      <c r="D237" s="257" t="str">
        <f t="shared" si="8"/>
        <v>4 ST</v>
      </c>
      <c r="E237" t="s">
        <v>487</v>
      </c>
      <c r="F237" t="s">
        <v>488</v>
      </c>
      <c r="G237" t="s">
        <v>529</v>
      </c>
      <c r="H237" t="s">
        <v>462</v>
      </c>
      <c r="I237">
        <f t="shared" si="9"/>
        <v>1973</v>
      </c>
      <c r="J237" s="229">
        <v>70102</v>
      </c>
      <c r="K237" s="254">
        <v>598797.30000000005</v>
      </c>
      <c r="L237" s="254">
        <v>594226.52506444359</v>
      </c>
      <c r="M237" s="254">
        <v>4570.7749355564592</v>
      </c>
      <c r="N237" s="255">
        <v>100</v>
      </c>
      <c r="O237" s="256">
        <v>711</v>
      </c>
      <c r="P237" s="254">
        <f t="shared" si="10"/>
        <v>4257448.8030000003</v>
      </c>
    </row>
    <row r="238" spans="1:16" x14ac:dyDescent="0.2">
      <c r="A238" t="s">
        <v>538</v>
      </c>
      <c r="B238" s="253">
        <v>4</v>
      </c>
      <c r="C238" s="257" t="s">
        <v>494</v>
      </c>
      <c r="D238" s="257" t="str">
        <f t="shared" si="8"/>
        <v>4 ST</v>
      </c>
      <c r="E238" t="s">
        <v>487</v>
      </c>
      <c r="F238" t="s">
        <v>488</v>
      </c>
      <c r="G238" t="s">
        <v>526</v>
      </c>
      <c r="H238" t="s">
        <v>462</v>
      </c>
      <c r="I238">
        <f t="shared" si="9"/>
        <v>1977</v>
      </c>
      <c r="J238" s="229">
        <v>72385</v>
      </c>
      <c r="K238" s="254">
        <v>620770.96</v>
      </c>
      <c r="L238" s="254">
        <v>591107.76999062172</v>
      </c>
      <c r="M238" s="254">
        <v>29663.190009378246</v>
      </c>
      <c r="N238" s="255">
        <v>157</v>
      </c>
      <c r="O238" s="256">
        <v>711</v>
      </c>
      <c r="P238" s="254">
        <f t="shared" si="10"/>
        <v>2811262.1182165602</v>
      </c>
    </row>
    <row r="239" spans="1:16" x14ac:dyDescent="0.2">
      <c r="A239" t="s">
        <v>538</v>
      </c>
      <c r="B239" s="253">
        <v>4</v>
      </c>
      <c r="C239" s="257" t="s">
        <v>494</v>
      </c>
      <c r="D239" s="257" t="str">
        <f t="shared" si="8"/>
        <v>4 ST</v>
      </c>
      <c r="E239" t="s">
        <v>487</v>
      </c>
      <c r="F239" t="s">
        <v>488</v>
      </c>
      <c r="G239" t="s">
        <v>527</v>
      </c>
      <c r="H239" t="s">
        <v>462</v>
      </c>
      <c r="I239">
        <f t="shared" si="9"/>
        <v>1971</v>
      </c>
      <c r="J239" s="229">
        <v>74499</v>
      </c>
      <c r="K239" s="254">
        <v>548735.56999999995</v>
      </c>
      <c r="L239" s="254">
        <v>552097.22992826696</v>
      </c>
      <c r="M239" s="254">
        <v>-3361.6599282670068</v>
      </c>
      <c r="N239" s="255">
        <v>92</v>
      </c>
      <c r="O239" s="256">
        <v>711</v>
      </c>
      <c r="P239" s="254">
        <f t="shared" si="10"/>
        <v>4240771.633369565</v>
      </c>
    </row>
    <row r="240" spans="1:16" x14ac:dyDescent="0.2">
      <c r="A240" t="s">
        <v>538</v>
      </c>
      <c r="B240" s="253">
        <v>4</v>
      </c>
      <c r="C240" s="257" t="s">
        <v>494</v>
      </c>
      <c r="D240" s="257" t="str">
        <f t="shared" si="8"/>
        <v>4 ST</v>
      </c>
      <c r="E240" t="s">
        <v>487</v>
      </c>
      <c r="F240" t="s">
        <v>488</v>
      </c>
      <c r="G240" t="s">
        <v>528</v>
      </c>
      <c r="H240" t="s">
        <v>462</v>
      </c>
      <c r="I240">
        <f t="shared" si="9"/>
        <v>1972</v>
      </c>
      <c r="J240" s="229">
        <v>97474</v>
      </c>
      <c r="K240" s="254">
        <v>674050.73</v>
      </c>
      <c r="L240" s="254">
        <v>673848.29158809967</v>
      </c>
      <c r="M240" s="254">
        <v>202.43841190030798</v>
      </c>
      <c r="N240" s="255">
        <v>96</v>
      </c>
      <c r="O240" s="256">
        <v>711</v>
      </c>
      <c r="P240" s="254">
        <f t="shared" si="10"/>
        <v>4992188.2190624997</v>
      </c>
    </row>
    <row r="241" spans="1:16" x14ac:dyDescent="0.2">
      <c r="A241" t="s">
        <v>538</v>
      </c>
      <c r="B241" s="253">
        <v>4</v>
      </c>
      <c r="C241" s="257" t="s">
        <v>494</v>
      </c>
      <c r="D241" s="257" t="str">
        <f t="shared" si="8"/>
        <v>4 ST</v>
      </c>
      <c r="E241" t="s">
        <v>487</v>
      </c>
      <c r="F241" t="s">
        <v>488</v>
      </c>
      <c r="G241" t="s">
        <v>532</v>
      </c>
      <c r="H241" t="s">
        <v>462</v>
      </c>
      <c r="I241">
        <f t="shared" si="9"/>
        <v>1967</v>
      </c>
      <c r="J241" s="229">
        <v>133031</v>
      </c>
      <c r="K241" s="254">
        <v>732219.95</v>
      </c>
      <c r="L241" s="254">
        <v>750133.63129868673</v>
      </c>
      <c r="M241" s="254">
        <v>-17913.681298686774</v>
      </c>
      <c r="N241" s="255">
        <v>75</v>
      </c>
      <c r="O241" s="256">
        <v>711</v>
      </c>
      <c r="P241" s="254">
        <f t="shared" si="10"/>
        <v>6941445.1260000002</v>
      </c>
    </row>
    <row r="242" spans="1:16" x14ac:dyDescent="0.2">
      <c r="A242" t="s">
        <v>538</v>
      </c>
      <c r="B242" s="253">
        <v>4</v>
      </c>
      <c r="C242" s="257" t="s">
        <v>494</v>
      </c>
      <c r="D242" s="257" t="str">
        <f t="shared" si="8"/>
        <v>4 ST</v>
      </c>
      <c r="E242" t="s">
        <v>487</v>
      </c>
      <c r="F242" t="s">
        <v>488</v>
      </c>
      <c r="G242" t="s">
        <v>507</v>
      </c>
      <c r="H242" t="s">
        <v>462</v>
      </c>
      <c r="I242">
        <f t="shared" si="9"/>
        <v>1960</v>
      </c>
      <c r="J242" s="229">
        <v>133798</v>
      </c>
      <c r="K242" s="254">
        <v>579412.75</v>
      </c>
      <c r="L242" s="254">
        <v>601469.90211217501</v>
      </c>
      <c r="M242" s="254">
        <v>-22057.152112175012</v>
      </c>
      <c r="N242" s="255">
        <v>61</v>
      </c>
      <c r="O242" s="256">
        <v>711</v>
      </c>
      <c r="P242" s="254">
        <f t="shared" si="10"/>
        <v>6753483.0368852466</v>
      </c>
    </row>
    <row r="243" spans="1:16" x14ac:dyDescent="0.2">
      <c r="A243" t="s">
        <v>538</v>
      </c>
      <c r="B243" s="253">
        <v>4</v>
      </c>
      <c r="C243" s="257" t="s">
        <v>494</v>
      </c>
      <c r="D243" s="257" t="str">
        <f t="shared" si="8"/>
        <v>4 ST</v>
      </c>
      <c r="E243" t="s">
        <v>487</v>
      </c>
      <c r="F243" t="s">
        <v>488</v>
      </c>
      <c r="G243" t="s">
        <v>506</v>
      </c>
      <c r="H243" t="s">
        <v>462</v>
      </c>
      <c r="I243">
        <f t="shared" si="9"/>
        <v>1959</v>
      </c>
      <c r="J243" s="229">
        <v>146703</v>
      </c>
      <c r="K243" s="254">
        <v>552890.43000000005</v>
      </c>
      <c r="L243" s="254">
        <v>574449.35776011564</v>
      </c>
      <c r="M243" s="254">
        <v>-21558.927760115592</v>
      </c>
      <c r="N243" s="255">
        <v>57</v>
      </c>
      <c r="O243" s="256">
        <v>711</v>
      </c>
      <c r="P243" s="254">
        <f t="shared" si="10"/>
        <v>6896580.6268421058</v>
      </c>
    </row>
    <row r="244" spans="1:16" x14ac:dyDescent="0.2">
      <c r="A244" t="s">
        <v>538</v>
      </c>
      <c r="B244" s="253">
        <v>4</v>
      </c>
      <c r="C244" s="257" t="s">
        <v>494</v>
      </c>
      <c r="D244" s="257" t="str">
        <f t="shared" si="8"/>
        <v>4 ST</v>
      </c>
      <c r="E244" t="s">
        <v>487</v>
      </c>
      <c r="F244" t="s">
        <v>488</v>
      </c>
      <c r="G244" t="s">
        <v>533</v>
      </c>
      <c r="H244" t="s">
        <v>462</v>
      </c>
      <c r="I244">
        <f t="shared" si="9"/>
        <v>1969</v>
      </c>
      <c r="J244" s="229">
        <v>161803</v>
      </c>
      <c r="K244" s="254">
        <v>866305.52</v>
      </c>
      <c r="L244" s="254">
        <v>880699.56388416432</v>
      </c>
      <c r="M244" s="254">
        <v>-14394.043884164304</v>
      </c>
      <c r="N244" s="255">
        <v>82</v>
      </c>
      <c r="O244" s="256">
        <v>711</v>
      </c>
      <c r="P244" s="254">
        <f t="shared" si="10"/>
        <v>7511502.7404878046</v>
      </c>
    </row>
    <row r="245" spans="1:16" x14ac:dyDescent="0.2">
      <c r="A245" t="s">
        <v>538</v>
      </c>
      <c r="B245" s="253">
        <v>4</v>
      </c>
      <c r="C245" s="257" t="s">
        <v>494</v>
      </c>
      <c r="D245" s="257" t="str">
        <f t="shared" si="8"/>
        <v>4 ST</v>
      </c>
      <c r="E245" t="s">
        <v>487</v>
      </c>
      <c r="F245" t="s">
        <v>488</v>
      </c>
      <c r="G245" t="s">
        <v>509</v>
      </c>
      <c r="H245" t="s">
        <v>462</v>
      </c>
      <c r="I245">
        <f t="shared" si="9"/>
        <v>1964</v>
      </c>
      <c r="J245" s="229">
        <v>176658</v>
      </c>
      <c r="K245" s="254">
        <v>765026.32</v>
      </c>
      <c r="L245" s="254">
        <v>789776.61023678014</v>
      </c>
      <c r="M245" s="254">
        <v>-24750.290236780187</v>
      </c>
      <c r="N245" s="255">
        <v>67</v>
      </c>
      <c r="O245" s="256">
        <v>711</v>
      </c>
      <c r="P245" s="254">
        <f t="shared" si="10"/>
        <v>8118413.6346268654</v>
      </c>
    </row>
    <row r="246" spans="1:16" x14ac:dyDescent="0.2">
      <c r="A246" t="s">
        <v>538</v>
      </c>
      <c r="B246" s="253">
        <v>4</v>
      </c>
      <c r="C246" s="257" t="s">
        <v>494</v>
      </c>
      <c r="D246" s="257" t="str">
        <f t="shared" si="8"/>
        <v>4 ST</v>
      </c>
      <c r="E246" t="s">
        <v>487</v>
      </c>
      <c r="F246" t="s">
        <v>488</v>
      </c>
      <c r="G246" t="s">
        <v>508</v>
      </c>
      <c r="H246" t="s">
        <v>462</v>
      </c>
      <c r="I246">
        <f t="shared" si="9"/>
        <v>1961</v>
      </c>
      <c r="J246" s="229">
        <v>177617</v>
      </c>
      <c r="K246" s="254">
        <v>733132</v>
      </c>
      <c r="L246" s="254">
        <v>760247.83131097059</v>
      </c>
      <c r="M246" s="254">
        <v>-27115.831310970592</v>
      </c>
      <c r="N246" s="255">
        <v>63</v>
      </c>
      <c r="O246" s="256">
        <v>711</v>
      </c>
      <c r="P246" s="254">
        <f t="shared" si="10"/>
        <v>8273918.2857142864</v>
      </c>
    </row>
    <row r="247" spans="1:16" x14ac:dyDescent="0.2">
      <c r="A247" t="s">
        <v>538</v>
      </c>
      <c r="B247" s="253">
        <v>4</v>
      </c>
      <c r="C247" s="257" t="s">
        <v>494</v>
      </c>
      <c r="D247" s="257" t="str">
        <f t="shared" ref="D247:D310" si="11">B247&amp;" "&amp;C247</f>
        <v>4 ST</v>
      </c>
      <c r="E247" t="s">
        <v>487</v>
      </c>
      <c r="F247" t="s">
        <v>488</v>
      </c>
      <c r="G247" t="s">
        <v>534</v>
      </c>
      <c r="H247" t="s">
        <v>462</v>
      </c>
      <c r="I247">
        <f t="shared" si="9"/>
        <v>1966</v>
      </c>
      <c r="J247" s="229">
        <v>189367</v>
      </c>
      <c r="K247" s="254">
        <v>905916.1</v>
      </c>
      <c r="L247" s="254">
        <v>930878.55593127757</v>
      </c>
      <c r="M247" s="254">
        <v>-24962.455931277596</v>
      </c>
      <c r="N247" s="255">
        <v>72</v>
      </c>
      <c r="O247" s="256">
        <v>711</v>
      </c>
      <c r="P247" s="254">
        <f t="shared" si="10"/>
        <v>8945921.4874999989</v>
      </c>
    </row>
    <row r="248" spans="1:16" x14ac:dyDescent="0.2">
      <c r="A248" t="s">
        <v>538</v>
      </c>
      <c r="B248" s="253">
        <v>4</v>
      </c>
      <c r="C248" s="257" t="s">
        <v>494</v>
      </c>
      <c r="D248" s="257" t="str">
        <f t="shared" si="11"/>
        <v>4 ST</v>
      </c>
      <c r="E248" t="s">
        <v>487</v>
      </c>
      <c r="F248" t="s">
        <v>488</v>
      </c>
      <c r="G248" t="s">
        <v>511</v>
      </c>
      <c r="H248" t="s">
        <v>462</v>
      </c>
      <c r="I248">
        <f t="shared" si="9"/>
        <v>1963</v>
      </c>
      <c r="J248" s="229">
        <v>196448</v>
      </c>
      <c r="K248" s="254">
        <v>862283.11</v>
      </c>
      <c r="L248" s="254">
        <v>891755.54331521445</v>
      </c>
      <c r="M248" s="254">
        <v>-29472.433315214468</v>
      </c>
      <c r="N248" s="255">
        <v>65</v>
      </c>
      <c r="O248" s="256">
        <v>711</v>
      </c>
      <c r="P248" s="254">
        <f t="shared" si="10"/>
        <v>9432050.6339999996</v>
      </c>
    </row>
    <row r="249" spans="1:16" x14ac:dyDescent="0.2">
      <c r="A249" t="s">
        <v>538</v>
      </c>
      <c r="B249" s="253">
        <v>4</v>
      </c>
      <c r="C249" s="257" t="s">
        <v>494</v>
      </c>
      <c r="D249" s="257" t="str">
        <f t="shared" si="11"/>
        <v>4 ST</v>
      </c>
      <c r="E249" t="s">
        <v>487</v>
      </c>
      <c r="F249" t="s">
        <v>488</v>
      </c>
      <c r="G249" t="s">
        <v>510</v>
      </c>
      <c r="H249" t="s">
        <v>462</v>
      </c>
      <c r="I249">
        <f t="shared" si="9"/>
        <v>1962</v>
      </c>
      <c r="J249" s="229">
        <v>237812</v>
      </c>
      <c r="K249" s="254">
        <v>1070723.2</v>
      </c>
      <c r="L249" s="254">
        <v>1108954.5331325964</v>
      </c>
      <c r="M249" s="254">
        <v>-38231.333132596454</v>
      </c>
      <c r="N249" s="255">
        <v>64</v>
      </c>
      <c r="O249" s="256">
        <v>711</v>
      </c>
      <c r="P249" s="254">
        <f t="shared" si="10"/>
        <v>11895065.549999999</v>
      </c>
    </row>
    <row r="250" spans="1:16" x14ac:dyDescent="0.2">
      <c r="A250" t="s">
        <v>538</v>
      </c>
      <c r="B250" s="253">
        <v>4</v>
      </c>
      <c r="C250" s="257" t="s">
        <v>494</v>
      </c>
      <c r="D250" s="257" t="str">
        <f t="shared" si="11"/>
        <v>4 ST</v>
      </c>
      <c r="E250" t="s">
        <v>487</v>
      </c>
      <c r="F250" t="s">
        <v>488</v>
      </c>
      <c r="G250" t="s">
        <v>531</v>
      </c>
      <c r="H250" t="s">
        <v>462</v>
      </c>
      <c r="I250">
        <f t="shared" si="9"/>
        <v>1970</v>
      </c>
      <c r="J250" s="229">
        <v>247022</v>
      </c>
      <c r="K250" s="254">
        <v>1299818.3600000001</v>
      </c>
      <c r="L250" s="254">
        <v>1315074.855571242</v>
      </c>
      <c r="M250" s="254">
        <v>-15256.495571241947</v>
      </c>
      <c r="N250" s="255">
        <v>86</v>
      </c>
      <c r="O250" s="256">
        <v>711</v>
      </c>
      <c r="P250" s="254">
        <f t="shared" si="10"/>
        <v>10746172.720465116</v>
      </c>
    </row>
    <row r="251" spans="1:16" x14ac:dyDescent="0.2">
      <c r="A251" t="s">
        <v>538</v>
      </c>
      <c r="B251" s="253">
        <v>4</v>
      </c>
      <c r="C251" s="257" t="s">
        <v>494</v>
      </c>
      <c r="D251" s="257" t="str">
        <f t="shared" si="11"/>
        <v>4 ST</v>
      </c>
      <c r="E251" t="s">
        <v>487</v>
      </c>
      <c r="F251" t="s">
        <v>488</v>
      </c>
      <c r="G251" t="s">
        <v>535</v>
      </c>
      <c r="H251" t="s">
        <v>462</v>
      </c>
      <c r="I251">
        <f t="shared" si="9"/>
        <v>1968</v>
      </c>
      <c r="J251" s="229">
        <v>254264</v>
      </c>
      <c r="K251" s="254">
        <v>1258662.1599999999</v>
      </c>
      <c r="L251" s="254">
        <v>1284888.0387700184</v>
      </c>
      <c r="M251" s="254">
        <v>-26225.878770018462</v>
      </c>
      <c r="N251" s="255">
        <v>78</v>
      </c>
      <c r="O251" s="256">
        <v>711</v>
      </c>
      <c r="P251" s="254">
        <f t="shared" si="10"/>
        <v>11473189.689230768</v>
      </c>
    </row>
    <row r="252" spans="1:16" x14ac:dyDescent="0.2">
      <c r="A252" t="s">
        <v>539</v>
      </c>
      <c r="B252" s="253">
        <v>6</v>
      </c>
      <c r="C252" s="257" t="s">
        <v>494</v>
      </c>
      <c r="D252" s="257" t="str">
        <f t="shared" si="11"/>
        <v>6 ST</v>
      </c>
      <c r="E252" t="s">
        <v>487</v>
      </c>
      <c r="F252" t="s">
        <v>488</v>
      </c>
      <c r="G252" t="s">
        <v>470</v>
      </c>
      <c r="H252" t="s">
        <v>462</v>
      </c>
      <c r="I252">
        <f t="shared" si="9"/>
        <v>2007</v>
      </c>
      <c r="J252" s="229">
        <v>14</v>
      </c>
      <c r="K252" s="254">
        <v>328763.17</v>
      </c>
      <c r="L252" s="254">
        <v>32074.747736386984</v>
      </c>
      <c r="M252" s="254">
        <v>296688.42226361297</v>
      </c>
      <c r="N252" s="255">
        <v>608</v>
      </c>
      <c r="O252" s="256">
        <v>711</v>
      </c>
      <c r="P252" s="254">
        <f t="shared" si="10"/>
        <v>384458.24649671046</v>
      </c>
    </row>
    <row r="253" spans="1:16" x14ac:dyDescent="0.2">
      <c r="A253" t="s">
        <v>539</v>
      </c>
      <c r="B253" s="253">
        <v>6</v>
      </c>
      <c r="C253" s="257" t="s">
        <v>494</v>
      </c>
      <c r="D253" s="257" t="str">
        <f t="shared" si="11"/>
        <v>6 ST</v>
      </c>
      <c r="E253" t="s">
        <v>487</v>
      </c>
      <c r="F253" t="s">
        <v>488</v>
      </c>
      <c r="G253" t="s">
        <v>468</v>
      </c>
      <c r="H253" t="s">
        <v>462</v>
      </c>
      <c r="I253">
        <f t="shared" si="9"/>
        <v>2009</v>
      </c>
      <c r="J253" s="229">
        <v>17</v>
      </c>
      <c r="K253" s="254">
        <v>29158.03</v>
      </c>
      <c r="L253" s="254">
        <v>1237.0788812810258</v>
      </c>
      <c r="M253" s="254">
        <v>27920.951118718975</v>
      </c>
      <c r="N253" s="255">
        <v>673</v>
      </c>
      <c r="O253" s="256">
        <v>711</v>
      </c>
      <c r="P253" s="254">
        <f t="shared" si="10"/>
        <v>30804.397221396732</v>
      </c>
    </row>
    <row r="254" spans="1:16" x14ac:dyDescent="0.2">
      <c r="A254" t="s">
        <v>539</v>
      </c>
      <c r="B254" s="253">
        <v>6</v>
      </c>
      <c r="C254" s="257" t="s">
        <v>494</v>
      </c>
      <c r="D254" s="257" t="str">
        <f t="shared" si="11"/>
        <v>6 ST</v>
      </c>
      <c r="E254" t="s">
        <v>487</v>
      </c>
      <c r="F254" t="s">
        <v>488</v>
      </c>
      <c r="G254" t="s">
        <v>468</v>
      </c>
      <c r="H254" t="s">
        <v>462</v>
      </c>
      <c r="I254">
        <f t="shared" si="9"/>
        <v>2009</v>
      </c>
      <c r="J254" s="229">
        <v>21</v>
      </c>
      <c r="K254" s="254">
        <v>86551.31</v>
      </c>
      <c r="L254" s="254">
        <v>3672.0760431794347</v>
      </c>
      <c r="M254" s="254">
        <v>82879.233956820564</v>
      </c>
      <c r="N254" s="255">
        <v>673</v>
      </c>
      <c r="O254" s="256">
        <v>711</v>
      </c>
      <c r="P254" s="254">
        <f t="shared" si="10"/>
        <v>91438.308187221395</v>
      </c>
    </row>
    <row r="255" spans="1:16" x14ac:dyDescent="0.2">
      <c r="A255" t="s">
        <v>539</v>
      </c>
      <c r="B255" s="253">
        <v>6</v>
      </c>
      <c r="C255" s="257" t="s">
        <v>494</v>
      </c>
      <c r="D255" s="257" t="str">
        <f t="shared" si="11"/>
        <v>6 ST</v>
      </c>
      <c r="E255" t="s">
        <v>487</v>
      </c>
      <c r="F255" t="s">
        <v>488</v>
      </c>
      <c r="G255" t="s">
        <v>461</v>
      </c>
      <c r="H255" t="s">
        <v>462</v>
      </c>
      <c r="I255">
        <f t="shared" si="9"/>
        <v>2008</v>
      </c>
      <c r="J255" s="229">
        <v>63</v>
      </c>
      <c r="K255" s="254">
        <v>71585.25</v>
      </c>
      <c r="L255" s="254">
        <v>4995.8253789169758</v>
      </c>
      <c r="M255" s="254">
        <v>66589.424621083017</v>
      </c>
      <c r="N255" s="255">
        <v>731</v>
      </c>
      <c r="O255" s="256">
        <v>711</v>
      </c>
      <c r="P255" s="254">
        <f t="shared" si="10"/>
        <v>69626.693228454169</v>
      </c>
    </row>
    <row r="256" spans="1:16" x14ac:dyDescent="0.2">
      <c r="A256" t="s">
        <v>539</v>
      </c>
      <c r="B256" s="253">
        <v>6</v>
      </c>
      <c r="C256" s="257" t="s">
        <v>494</v>
      </c>
      <c r="D256" s="257" t="str">
        <f t="shared" si="11"/>
        <v>6 ST</v>
      </c>
      <c r="E256" t="s">
        <v>487</v>
      </c>
      <c r="F256" t="s">
        <v>488</v>
      </c>
      <c r="G256" t="s">
        <v>470</v>
      </c>
      <c r="H256" t="s">
        <v>462</v>
      </c>
      <c r="I256">
        <f t="shared" si="9"/>
        <v>2007</v>
      </c>
      <c r="J256" s="229">
        <v>268</v>
      </c>
      <c r="K256" s="254">
        <v>209475.86</v>
      </c>
      <c r="L256" s="254">
        <v>20436.856613854939</v>
      </c>
      <c r="M256" s="254">
        <v>189039.00338614505</v>
      </c>
      <c r="N256" s="255">
        <v>608</v>
      </c>
      <c r="O256" s="256">
        <v>711</v>
      </c>
      <c r="P256" s="254">
        <f t="shared" si="10"/>
        <v>244962.72444078943</v>
      </c>
    </row>
    <row r="257" spans="1:16" x14ac:dyDescent="0.2">
      <c r="A257" t="s">
        <v>539</v>
      </c>
      <c r="B257" s="253">
        <v>6</v>
      </c>
      <c r="C257" s="257" t="s">
        <v>494</v>
      </c>
      <c r="D257" s="257" t="str">
        <f t="shared" si="11"/>
        <v>6 ST</v>
      </c>
      <c r="E257" t="s">
        <v>487</v>
      </c>
      <c r="F257" t="s">
        <v>488</v>
      </c>
      <c r="G257" t="s">
        <v>461</v>
      </c>
      <c r="H257" t="s">
        <v>462</v>
      </c>
      <c r="I257">
        <f t="shared" si="9"/>
        <v>2008</v>
      </c>
      <c r="J257" s="229">
        <v>303</v>
      </c>
      <c r="K257" s="254">
        <v>234614.24</v>
      </c>
      <c r="L257" s="254">
        <v>16373.375077530893</v>
      </c>
      <c r="M257" s="254">
        <v>218240.8649224691</v>
      </c>
      <c r="N257" s="255">
        <v>731</v>
      </c>
      <c r="O257" s="256">
        <v>711</v>
      </c>
      <c r="P257" s="254">
        <f t="shared" si="10"/>
        <v>228195.24574555401</v>
      </c>
    </row>
    <row r="258" spans="1:16" x14ac:dyDescent="0.2">
      <c r="A258" t="s">
        <v>539</v>
      </c>
      <c r="B258" s="253">
        <v>6</v>
      </c>
      <c r="C258" s="257" t="s">
        <v>494</v>
      </c>
      <c r="D258" s="257" t="str">
        <f t="shared" si="11"/>
        <v>6 ST</v>
      </c>
      <c r="E258" t="s">
        <v>487</v>
      </c>
      <c r="F258" t="s">
        <v>488</v>
      </c>
      <c r="G258" t="s">
        <v>461</v>
      </c>
      <c r="H258" t="s">
        <v>462</v>
      </c>
      <c r="I258">
        <f t="shared" ref="I258:I321" si="12">+G258*1</f>
        <v>2008</v>
      </c>
      <c r="J258" s="229">
        <v>465</v>
      </c>
      <c r="K258" s="254">
        <v>260952.16</v>
      </c>
      <c r="L258" s="254">
        <v>18211.459318011788</v>
      </c>
      <c r="M258" s="254">
        <v>242740.70068198821</v>
      </c>
      <c r="N258" s="255">
        <v>731</v>
      </c>
      <c r="O258" s="256">
        <v>711</v>
      </c>
      <c r="P258" s="254">
        <f t="shared" ref="P258:P321" si="13">+(O258/N258)*K258</f>
        <v>253812.56601915183</v>
      </c>
    </row>
    <row r="259" spans="1:16" x14ac:dyDescent="0.2">
      <c r="A259" t="s">
        <v>539</v>
      </c>
      <c r="B259" s="253">
        <v>6</v>
      </c>
      <c r="C259" s="257" t="s">
        <v>494</v>
      </c>
      <c r="D259" s="257" t="str">
        <f t="shared" si="11"/>
        <v>6 ST</v>
      </c>
      <c r="E259" t="s">
        <v>487</v>
      </c>
      <c r="F259" t="s">
        <v>488</v>
      </c>
      <c r="G259" t="s">
        <v>469</v>
      </c>
      <c r="H259" t="s">
        <v>462</v>
      </c>
      <c r="I259">
        <f t="shared" si="12"/>
        <v>2010</v>
      </c>
      <c r="J259" s="229">
        <v>504</v>
      </c>
      <c r="K259" s="254">
        <v>203305.14</v>
      </c>
      <c r="L259" s="254">
        <v>2975.0382422743346</v>
      </c>
      <c r="M259" s="254">
        <v>200330.10175772567</v>
      </c>
      <c r="N259" s="255">
        <v>711</v>
      </c>
      <c r="O259" s="256">
        <v>711</v>
      </c>
      <c r="P259" s="254">
        <f t="shared" si="13"/>
        <v>203305.14</v>
      </c>
    </row>
    <row r="260" spans="1:16" x14ac:dyDescent="0.2">
      <c r="A260" t="s">
        <v>539</v>
      </c>
      <c r="B260" s="253">
        <v>6</v>
      </c>
      <c r="C260" s="257" t="s">
        <v>494</v>
      </c>
      <c r="D260" s="257" t="str">
        <f t="shared" si="11"/>
        <v>6 ST</v>
      </c>
      <c r="E260" t="s">
        <v>487</v>
      </c>
      <c r="F260" t="s">
        <v>488</v>
      </c>
      <c r="G260" t="s">
        <v>469</v>
      </c>
      <c r="H260" t="s">
        <v>462</v>
      </c>
      <c r="I260">
        <f t="shared" si="12"/>
        <v>2010</v>
      </c>
      <c r="J260" s="229">
        <v>551</v>
      </c>
      <c r="K260" s="254">
        <v>216903.71</v>
      </c>
      <c r="L260" s="254">
        <v>3174.0239201895338</v>
      </c>
      <c r="M260" s="254">
        <v>213729.68607981046</v>
      </c>
      <c r="N260" s="255">
        <v>711</v>
      </c>
      <c r="O260" s="256">
        <v>711</v>
      </c>
      <c r="P260" s="254">
        <f t="shared" si="13"/>
        <v>216903.71</v>
      </c>
    </row>
    <row r="261" spans="1:16" x14ac:dyDescent="0.2">
      <c r="A261" t="s">
        <v>539</v>
      </c>
      <c r="B261" s="253">
        <v>6</v>
      </c>
      <c r="C261" s="257" t="s">
        <v>494</v>
      </c>
      <c r="D261" s="257" t="str">
        <f t="shared" si="11"/>
        <v>6 ST</v>
      </c>
      <c r="E261" t="s">
        <v>487</v>
      </c>
      <c r="F261" t="s">
        <v>488</v>
      </c>
      <c r="G261" t="s">
        <v>470</v>
      </c>
      <c r="H261" t="s">
        <v>462</v>
      </c>
      <c r="I261">
        <f t="shared" si="12"/>
        <v>2007</v>
      </c>
      <c r="J261" s="229">
        <v>592</v>
      </c>
      <c r="K261" s="254">
        <v>220770.13</v>
      </c>
      <c r="L261" s="254">
        <v>21538.745935423849</v>
      </c>
      <c r="M261" s="254">
        <v>199231.38406457615</v>
      </c>
      <c r="N261" s="255">
        <v>608</v>
      </c>
      <c r="O261" s="256">
        <v>711</v>
      </c>
      <c r="P261" s="254">
        <f t="shared" si="13"/>
        <v>258170.33294407892</v>
      </c>
    </row>
    <row r="262" spans="1:16" x14ac:dyDescent="0.2">
      <c r="A262" t="s">
        <v>539</v>
      </c>
      <c r="B262" s="253">
        <v>6</v>
      </c>
      <c r="C262" s="257" t="s">
        <v>494</v>
      </c>
      <c r="D262" s="257" t="str">
        <f t="shared" si="11"/>
        <v>6 ST</v>
      </c>
      <c r="E262" t="s">
        <v>487</v>
      </c>
      <c r="F262" t="s">
        <v>488</v>
      </c>
      <c r="G262" t="s">
        <v>474</v>
      </c>
      <c r="H262" t="s">
        <v>462</v>
      </c>
      <c r="I262">
        <f t="shared" si="12"/>
        <v>2005</v>
      </c>
      <c r="J262" s="229">
        <v>1041</v>
      </c>
      <c r="K262" s="254">
        <v>998194.58</v>
      </c>
      <c r="L262" s="254">
        <v>155337.39602396265</v>
      </c>
      <c r="M262" s="254">
        <v>842857.18397603731</v>
      </c>
      <c r="N262" s="255">
        <v>595</v>
      </c>
      <c r="O262" s="256">
        <v>711</v>
      </c>
      <c r="P262" s="254">
        <f t="shared" si="13"/>
        <v>1192800.5821512605</v>
      </c>
    </row>
    <row r="263" spans="1:16" x14ac:dyDescent="0.2">
      <c r="A263" t="s">
        <v>539</v>
      </c>
      <c r="B263" s="253">
        <v>6</v>
      </c>
      <c r="C263" s="257" t="s">
        <v>494</v>
      </c>
      <c r="D263" s="257" t="str">
        <f t="shared" si="11"/>
        <v>6 ST</v>
      </c>
      <c r="E263" t="s">
        <v>487</v>
      </c>
      <c r="F263" t="s">
        <v>488</v>
      </c>
      <c r="G263" t="s">
        <v>468</v>
      </c>
      <c r="H263" t="s">
        <v>462</v>
      </c>
      <c r="I263">
        <f t="shared" si="12"/>
        <v>2009</v>
      </c>
      <c r="J263" s="229">
        <v>1058</v>
      </c>
      <c r="K263" s="254">
        <v>1016180.72</v>
      </c>
      <c r="L263" s="254">
        <v>43113.102294385018</v>
      </c>
      <c r="M263" s="254">
        <v>973067.617705615</v>
      </c>
      <c r="N263" s="255">
        <v>673</v>
      </c>
      <c r="O263" s="256">
        <v>711</v>
      </c>
      <c r="P263" s="254">
        <f t="shared" si="13"/>
        <v>1073557.937473997</v>
      </c>
    </row>
    <row r="264" spans="1:16" x14ac:dyDescent="0.2">
      <c r="A264" t="s">
        <v>539</v>
      </c>
      <c r="B264" s="253">
        <v>6</v>
      </c>
      <c r="C264" s="257" t="s">
        <v>494</v>
      </c>
      <c r="D264" s="257" t="str">
        <f t="shared" si="11"/>
        <v>6 ST</v>
      </c>
      <c r="E264" t="s">
        <v>487</v>
      </c>
      <c r="F264" t="s">
        <v>488</v>
      </c>
      <c r="G264" t="s">
        <v>464</v>
      </c>
      <c r="H264" t="s">
        <v>462</v>
      </c>
      <c r="I264">
        <f t="shared" si="12"/>
        <v>1985</v>
      </c>
      <c r="J264" s="229">
        <v>1335</v>
      </c>
      <c r="K264" s="254">
        <v>82786.86</v>
      </c>
      <c r="L264" s="254">
        <v>66603.029619472538</v>
      </c>
      <c r="M264" s="254">
        <v>16183.830380527463</v>
      </c>
      <c r="N264" s="255">
        <v>270</v>
      </c>
      <c r="O264" s="256">
        <v>711</v>
      </c>
      <c r="P264" s="254">
        <f t="shared" si="13"/>
        <v>218005.39799999999</v>
      </c>
    </row>
    <row r="265" spans="1:16" x14ac:dyDescent="0.2">
      <c r="A265" t="s">
        <v>539</v>
      </c>
      <c r="B265" s="253">
        <v>6</v>
      </c>
      <c r="C265" s="257" t="s">
        <v>494</v>
      </c>
      <c r="D265" s="257" t="str">
        <f t="shared" si="11"/>
        <v>6 ST</v>
      </c>
      <c r="E265" t="s">
        <v>487</v>
      </c>
      <c r="F265" t="s">
        <v>488</v>
      </c>
      <c r="G265" t="s">
        <v>469</v>
      </c>
      <c r="H265" t="s">
        <v>462</v>
      </c>
      <c r="I265">
        <f t="shared" si="12"/>
        <v>2010</v>
      </c>
      <c r="J265" s="229">
        <v>1636</v>
      </c>
      <c r="K265" s="254">
        <v>597802.5</v>
      </c>
      <c r="L265" s="254">
        <v>8747.8505145615254</v>
      </c>
      <c r="M265" s="254">
        <v>589054.64948543848</v>
      </c>
      <c r="N265" s="255">
        <v>711</v>
      </c>
      <c r="O265" s="256">
        <v>711</v>
      </c>
      <c r="P265" s="254">
        <f t="shared" si="13"/>
        <v>597802.5</v>
      </c>
    </row>
    <row r="266" spans="1:16" x14ac:dyDescent="0.2">
      <c r="A266" t="s">
        <v>539</v>
      </c>
      <c r="B266" s="253">
        <v>6</v>
      </c>
      <c r="C266" s="257" t="s">
        <v>494</v>
      </c>
      <c r="D266" s="257" t="str">
        <f t="shared" si="11"/>
        <v>6 ST</v>
      </c>
      <c r="E266" t="s">
        <v>487</v>
      </c>
      <c r="F266" t="s">
        <v>488</v>
      </c>
      <c r="G266" t="s">
        <v>473</v>
      </c>
      <c r="H266" t="s">
        <v>462</v>
      </c>
      <c r="I266">
        <f t="shared" si="12"/>
        <v>1997</v>
      </c>
      <c r="J266" s="229">
        <v>1804</v>
      </c>
      <c r="K266" s="254">
        <v>509874.16</v>
      </c>
      <c r="L266" s="254">
        <v>215524.2989619087</v>
      </c>
      <c r="M266" s="254">
        <v>294349.86103809124</v>
      </c>
      <c r="N266" s="255">
        <v>368</v>
      </c>
      <c r="O266" s="256">
        <v>711</v>
      </c>
      <c r="P266" s="254">
        <f t="shared" si="13"/>
        <v>985110.12978260871</v>
      </c>
    </row>
    <row r="267" spans="1:16" x14ac:dyDescent="0.2">
      <c r="A267" t="s">
        <v>539</v>
      </c>
      <c r="B267" s="253">
        <v>6</v>
      </c>
      <c r="C267" s="257" t="s">
        <v>494</v>
      </c>
      <c r="D267" s="257" t="str">
        <f t="shared" si="11"/>
        <v>6 ST</v>
      </c>
      <c r="E267" t="s">
        <v>487</v>
      </c>
      <c r="F267" t="s">
        <v>488</v>
      </c>
      <c r="G267" t="s">
        <v>469</v>
      </c>
      <c r="H267" t="s">
        <v>462</v>
      </c>
      <c r="I267">
        <f t="shared" si="12"/>
        <v>2010</v>
      </c>
      <c r="J267" s="229">
        <v>1863</v>
      </c>
      <c r="K267" s="254">
        <v>1770951.86</v>
      </c>
      <c r="L267" s="254">
        <v>25914.950188121478</v>
      </c>
      <c r="M267" s="254">
        <v>1745036.9098118786</v>
      </c>
      <c r="N267" s="255">
        <v>711</v>
      </c>
      <c r="O267" s="256">
        <v>711</v>
      </c>
      <c r="P267" s="254">
        <f t="shared" si="13"/>
        <v>1770951.86</v>
      </c>
    </row>
    <row r="268" spans="1:16" x14ac:dyDescent="0.2">
      <c r="A268" t="s">
        <v>539</v>
      </c>
      <c r="B268" s="253">
        <v>6</v>
      </c>
      <c r="C268" s="257" t="s">
        <v>494</v>
      </c>
      <c r="D268" s="257" t="str">
        <f t="shared" si="11"/>
        <v>6 ST</v>
      </c>
      <c r="E268" t="s">
        <v>487</v>
      </c>
      <c r="F268" t="s">
        <v>488</v>
      </c>
      <c r="G268" t="s">
        <v>468</v>
      </c>
      <c r="H268" t="s">
        <v>462</v>
      </c>
      <c r="I268">
        <f t="shared" si="12"/>
        <v>2009</v>
      </c>
      <c r="J268" s="229">
        <v>2275</v>
      </c>
      <c r="K268" s="254">
        <v>777798.85</v>
      </c>
      <c r="L268" s="254">
        <v>32999.360618771854</v>
      </c>
      <c r="M268" s="254">
        <v>744799.48938122811</v>
      </c>
      <c r="N268" s="255">
        <v>673</v>
      </c>
      <c r="O268" s="256">
        <v>711</v>
      </c>
      <c r="P268" s="254">
        <f t="shared" si="13"/>
        <v>821716.16991084698</v>
      </c>
    </row>
    <row r="269" spans="1:16" x14ac:dyDescent="0.2">
      <c r="A269" t="s">
        <v>539</v>
      </c>
      <c r="B269" s="253">
        <v>6</v>
      </c>
      <c r="C269" s="257" t="s">
        <v>494</v>
      </c>
      <c r="D269" s="257" t="str">
        <f t="shared" si="11"/>
        <v>6 ST</v>
      </c>
      <c r="E269" t="s">
        <v>487</v>
      </c>
      <c r="F269" t="s">
        <v>488</v>
      </c>
      <c r="G269" t="s">
        <v>472</v>
      </c>
      <c r="H269" t="s">
        <v>462</v>
      </c>
      <c r="I269">
        <f t="shared" si="12"/>
        <v>2000</v>
      </c>
      <c r="J269" s="229">
        <v>2488</v>
      </c>
      <c r="K269" s="254">
        <v>1702489.88</v>
      </c>
      <c r="L269" s="254">
        <v>540635.42607379053</v>
      </c>
      <c r="M269" s="254">
        <v>1161854.4539262094</v>
      </c>
      <c r="N269" s="255">
        <v>396</v>
      </c>
      <c r="O269" s="256">
        <v>711</v>
      </c>
      <c r="P269" s="254">
        <f t="shared" si="13"/>
        <v>3056743.1936363634</v>
      </c>
    </row>
    <row r="270" spans="1:16" x14ac:dyDescent="0.2">
      <c r="A270" t="s">
        <v>539</v>
      </c>
      <c r="B270" s="253">
        <v>6</v>
      </c>
      <c r="C270" s="257" t="s">
        <v>494</v>
      </c>
      <c r="D270" s="257" t="str">
        <f t="shared" si="11"/>
        <v>6 ST</v>
      </c>
      <c r="E270" t="s">
        <v>487</v>
      </c>
      <c r="F270" t="s">
        <v>488</v>
      </c>
      <c r="G270" t="s">
        <v>491</v>
      </c>
      <c r="H270" t="s">
        <v>462</v>
      </c>
      <c r="I270">
        <f t="shared" si="12"/>
        <v>1993</v>
      </c>
      <c r="J270" s="229">
        <v>3124</v>
      </c>
      <c r="K270" s="254">
        <v>431884.06</v>
      </c>
      <c r="L270" s="254">
        <v>243240.79237288688</v>
      </c>
      <c r="M270" s="254">
        <v>188643.26762711312</v>
      </c>
      <c r="N270" s="255">
        <v>324</v>
      </c>
      <c r="O270" s="256">
        <v>711</v>
      </c>
      <c r="P270" s="254">
        <f t="shared" si="13"/>
        <v>947745.57611111121</v>
      </c>
    </row>
    <row r="271" spans="1:16" x14ac:dyDescent="0.2">
      <c r="A271" t="s">
        <v>539</v>
      </c>
      <c r="B271" s="253">
        <v>6</v>
      </c>
      <c r="C271" s="257" t="s">
        <v>494</v>
      </c>
      <c r="D271" s="257" t="str">
        <f t="shared" si="11"/>
        <v>6 ST</v>
      </c>
      <c r="E271" t="s">
        <v>487</v>
      </c>
      <c r="F271" t="s">
        <v>488</v>
      </c>
      <c r="G271" t="s">
        <v>477</v>
      </c>
      <c r="H271" t="s">
        <v>462</v>
      </c>
      <c r="I271">
        <f t="shared" si="12"/>
        <v>2006</v>
      </c>
      <c r="J271" s="229">
        <v>3190</v>
      </c>
      <c r="K271" s="254">
        <v>1903457.64</v>
      </c>
      <c r="L271" s="254">
        <v>240040.84614577601</v>
      </c>
      <c r="M271" s="254">
        <v>1663416.7938542238</v>
      </c>
      <c r="N271" s="255">
        <v>644</v>
      </c>
      <c r="O271" s="256">
        <v>711</v>
      </c>
      <c r="P271" s="254">
        <f t="shared" si="13"/>
        <v>2101488.1708695651</v>
      </c>
    </row>
    <row r="272" spans="1:16" x14ac:dyDescent="0.2">
      <c r="A272" t="s">
        <v>539</v>
      </c>
      <c r="B272" s="253">
        <v>6</v>
      </c>
      <c r="C272" s="257" t="s">
        <v>494</v>
      </c>
      <c r="D272" s="257" t="str">
        <f t="shared" si="11"/>
        <v>6 ST</v>
      </c>
      <c r="E272" t="s">
        <v>487</v>
      </c>
      <c r="F272" t="s">
        <v>488</v>
      </c>
      <c r="G272" t="s">
        <v>471</v>
      </c>
      <c r="H272" t="s">
        <v>462</v>
      </c>
      <c r="I272">
        <f t="shared" si="12"/>
        <v>2003</v>
      </c>
      <c r="J272" s="229">
        <v>3605</v>
      </c>
      <c r="K272" s="254">
        <v>1576229.5</v>
      </c>
      <c r="L272" s="254">
        <v>343098.42258279625</v>
      </c>
      <c r="M272" s="254">
        <v>1233131.0774172037</v>
      </c>
      <c r="N272" s="255">
        <v>413</v>
      </c>
      <c r="O272" s="256">
        <v>711</v>
      </c>
      <c r="P272" s="254">
        <f t="shared" si="13"/>
        <v>2713557.3232445521</v>
      </c>
    </row>
    <row r="273" spans="1:16" x14ac:dyDescent="0.2">
      <c r="A273" t="s">
        <v>539</v>
      </c>
      <c r="B273" s="253">
        <v>6</v>
      </c>
      <c r="C273" s="257" t="s">
        <v>494</v>
      </c>
      <c r="D273" s="257" t="str">
        <f t="shared" si="11"/>
        <v>6 ST</v>
      </c>
      <c r="E273" t="s">
        <v>487</v>
      </c>
      <c r="F273" t="s">
        <v>488</v>
      </c>
      <c r="G273" t="s">
        <v>467</v>
      </c>
      <c r="H273" t="s">
        <v>462</v>
      </c>
      <c r="I273">
        <f t="shared" si="12"/>
        <v>1996</v>
      </c>
      <c r="J273" s="229">
        <v>4186</v>
      </c>
      <c r="K273" s="254">
        <v>559164.71</v>
      </c>
      <c r="L273" s="254">
        <v>256186.60181041138</v>
      </c>
      <c r="M273" s="254">
        <v>302978.10818958859</v>
      </c>
      <c r="N273" s="255">
        <v>359</v>
      </c>
      <c r="O273" s="256">
        <v>711</v>
      </c>
      <c r="P273" s="254">
        <f t="shared" si="13"/>
        <v>1107426.4869359331</v>
      </c>
    </row>
    <row r="274" spans="1:16" x14ac:dyDescent="0.2">
      <c r="A274" t="s">
        <v>539</v>
      </c>
      <c r="B274" s="253">
        <v>6</v>
      </c>
      <c r="C274" s="257" t="s">
        <v>494</v>
      </c>
      <c r="D274" s="257" t="str">
        <f t="shared" si="11"/>
        <v>6 ST</v>
      </c>
      <c r="E274" t="s">
        <v>487</v>
      </c>
      <c r="F274" t="s">
        <v>488</v>
      </c>
      <c r="G274" t="s">
        <v>476</v>
      </c>
      <c r="H274" t="s">
        <v>462</v>
      </c>
      <c r="I274">
        <f t="shared" si="12"/>
        <v>2004</v>
      </c>
      <c r="J274" s="229">
        <v>4292</v>
      </c>
      <c r="K274" s="254">
        <v>1876710.33</v>
      </c>
      <c r="L274" s="254">
        <v>349315.08945638454</v>
      </c>
      <c r="M274" s="254">
        <v>1527395.2405436155</v>
      </c>
      <c r="N274" s="255">
        <v>477</v>
      </c>
      <c r="O274" s="256">
        <v>711</v>
      </c>
      <c r="P274" s="254">
        <f t="shared" si="13"/>
        <v>2797360.6805660375</v>
      </c>
    </row>
    <row r="275" spans="1:16" x14ac:dyDescent="0.2">
      <c r="A275" t="s">
        <v>539</v>
      </c>
      <c r="B275" s="253">
        <v>6</v>
      </c>
      <c r="C275" s="257" t="s">
        <v>494</v>
      </c>
      <c r="D275" s="257" t="str">
        <f t="shared" si="11"/>
        <v>6 ST</v>
      </c>
      <c r="E275" t="s">
        <v>487</v>
      </c>
      <c r="F275" t="s">
        <v>488</v>
      </c>
      <c r="G275" t="s">
        <v>470</v>
      </c>
      <c r="H275" t="s">
        <v>462</v>
      </c>
      <c r="I275">
        <f t="shared" si="12"/>
        <v>2007</v>
      </c>
      <c r="J275" s="229">
        <v>4959</v>
      </c>
      <c r="K275" s="254">
        <v>2114746.33</v>
      </c>
      <c r="L275" s="254">
        <v>206318.57216620789</v>
      </c>
      <c r="M275" s="254">
        <v>1908427.7578337921</v>
      </c>
      <c r="N275" s="255">
        <v>608</v>
      </c>
      <c r="O275" s="256">
        <v>711</v>
      </c>
      <c r="P275" s="254">
        <f t="shared" si="13"/>
        <v>2473001.0536677632</v>
      </c>
    </row>
    <row r="276" spans="1:16" x14ac:dyDescent="0.2">
      <c r="A276" t="s">
        <v>539</v>
      </c>
      <c r="B276" s="253">
        <v>6</v>
      </c>
      <c r="C276" s="257" t="s">
        <v>494</v>
      </c>
      <c r="D276" s="257" t="str">
        <f t="shared" si="11"/>
        <v>6 ST</v>
      </c>
      <c r="E276" t="s">
        <v>487</v>
      </c>
      <c r="F276" t="s">
        <v>488</v>
      </c>
      <c r="G276" t="s">
        <v>514</v>
      </c>
      <c r="H276" t="s">
        <v>462</v>
      </c>
      <c r="I276">
        <f t="shared" si="12"/>
        <v>1994</v>
      </c>
      <c r="J276" s="229">
        <v>5499</v>
      </c>
      <c r="K276" s="254">
        <v>634943.93000000005</v>
      </c>
      <c r="L276" s="254">
        <v>335628.06716577482</v>
      </c>
      <c r="M276" s="254">
        <v>299315.86283422523</v>
      </c>
      <c r="N276" s="255">
        <v>346</v>
      </c>
      <c r="O276" s="256">
        <v>711</v>
      </c>
      <c r="P276" s="254">
        <f t="shared" si="13"/>
        <v>1304754.7232080926</v>
      </c>
    </row>
    <row r="277" spans="1:16" x14ac:dyDescent="0.2">
      <c r="A277" t="s">
        <v>539</v>
      </c>
      <c r="B277" s="253">
        <v>6</v>
      </c>
      <c r="C277" s="257" t="s">
        <v>494</v>
      </c>
      <c r="D277" s="257" t="str">
        <f t="shared" si="11"/>
        <v>6 ST</v>
      </c>
      <c r="E277" t="s">
        <v>487</v>
      </c>
      <c r="F277" t="s">
        <v>488</v>
      </c>
      <c r="G277" t="s">
        <v>478</v>
      </c>
      <c r="H277" t="s">
        <v>462</v>
      </c>
      <c r="I277">
        <f t="shared" si="12"/>
        <v>2001</v>
      </c>
      <c r="J277" s="229">
        <v>5624</v>
      </c>
      <c r="K277" s="254">
        <v>1081334.6599999999</v>
      </c>
      <c r="L277" s="254">
        <v>306550.89501226239</v>
      </c>
      <c r="M277" s="254">
        <v>774783.76498773752</v>
      </c>
      <c r="N277" s="255">
        <v>399</v>
      </c>
      <c r="O277" s="256">
        <v>711</v>
      </c>
      <c r="P277" s="254">
        <f t="shared" si="13"/>
        <v>1926889.5821052629</v>
      </c>
    </row>
    <row r="278" spans="1:16" x14ac:dyDescent="0.2">
      <c r="A278" t="s">
        <v>539</v>
      </c>
      <c r="B278" s="253">
        <v>6</v>
      </c>
      <c r="C278" s="257" t="s">
        <v>494</v>
      </c>
      <c r="D278" s="257" t="str">
        <f t="shared" si="11"/>
        <v>6 ST</v>
      </c>
      <c r="E278" t="s">
        <v>487</v>
      </c>
      <c r="F278" t="s">
        <v>488</v>
      </c>
      <c r="G278" t="s">
        <v>479</v>
      </c>
      <c r="H278" t="s">
        <v>462</v>
      </c>
      <c r="I278">
        <f t="shared" si="12"/>
        <v>1998</v>
      </c>
      <c r="J278" s="229">
        <v>5692</v>
      </c>
      <c r="K278" s="254">
        <v>1095391.21</v>
      </c>
      <c r="L278" s="254">
        <v>424282.39580352203</v>
      </c>
      <c r="M278" s="254">
        <v>671108.81419647788</v>
      </c>
      <c r="N278" s="255">
        <v>372</v>
      </c>
      <c r="O278" s="256">
        <v>711</v>
      </c>
      <c r="P278" s="254">
        <f t="shared" si="13"/>
        <v>2093610.6191129033</v>
      </c>
    </row>
    <row r="279" spans="1:16" x14ac:dyDescent="0.2">
      <c r="A279" t="s">
        <v>539</v>
      </c>
      <c r="B279" s="253">
        <v>6</v>
      </c>
      <c r="C279" s="257" t="s">
        <v>494</v>
      </c>
      <c r="D279" s="257" t="str">
        <f t="shared" si="11"/>
        <v>6 ST</v>
      </c>
      <c r="E279" t="s">
        <v>487</v>
      </c>
      <c r="F279" t="s">
        <v>488</v>
      </c>
      <c r="G279" t="s">
        <v>480</v>
      </c>
      <c r="H279" t="s">
        <v>462</v>
      </c>
      <c r="I279">
        <f t="shared" si="12"/>
        <v>1999</v>
      </c>
      <c r="J279" s="229">
        <v>6026</v>
      </c>
      <c r="K279" s="254">
        <v>1555770.23</v>
      </c>
      <c r="L279" s="254">
        <v>547990.00069823035</v>
      </c>
      <c r="M279" s="254">
        <v>1007780.2293017696</v>
      </c>
      <c r="N279" s="255">
        <v>382</v>
      </c>
      <c r="O279" s="256">
        <v>711</v>
      </c>
      <c r="P279" s="254">
        <f t="shared" si="13"/>
        <v>2895687.5223298431</v>
      </c>
    </row>
    <row r="280" spans="1:16" x14ac:dyDescent="0.2">
      <c r="A280" t="s">
        <v>539</v>
      </c>
      <c r="B280" s="253">
        <v>6</v>
      </c>
      <c r="C280" s="257" t="s">
        <v>494</v>
      </c>
      <c r="D280" s="257" t="str">
        <f t="shared" si="11"/>
        <v>6 ST</v>
      </c>
      <c r="E280" t="s">
        <v>487</v>
      </c>
      <c r="F280" t="s">
        <v>488</v>
      </c>
      <c r="G280" t="s">
        <v>515</v>
      </c>
      <c r="H280" t="s">
        <v>462</v>
      </c>
      <c r="I280">
        <f t="shared" si="12"/>
        <v>1986</v>
      </c>
      <c r="J280" s="229">
        <v>7029</v>
      </c>
      <c r="K280" s="254">
        <v>259574.05</v>
      </c>
      <c r="L280" s="254">
        <v>202203.23374931657</v>
      </c>
      <c r="M280" s="254">
        <v>57370.81625068342</v>
      </c>
      <c r="N280" s="255">
        <v>260</v>
      </c>
      <c r="O280" s="256">
        <v>711</v>
      </c>
      <c r="P280" s="254">
        <f t="shared" si="13"/>
        <v>709835.19057692308</v>
      </c>
    </row>
    <row r="281" spans="1:16" x14ac:dyDescent="0.2">
      <c r="A281" t="s">
        <v>539</v>
      </c>
      <c r="B281" s="253">
        <v>6</v>
      </c>
      <c r="C281" s="257" t="s">
        <v>494</v>
      </c>
      <c r="D281" s="257" t="str">
        <f t="shared" si="11"/>
        <v>6 ST</v>
      </c>
      <c r="E281" t="s">
        <v>487</v>
      </c>
      <c r="F281" t="s">
        <v>488</v>
      </c>
      <c r="G281" t="s">
        <v>525</v>
      </c>
      <c r="H281" t="s">
        <v>462</v>
      </c>
      <c r="I281">
        <f t="shared" si="12"/>
        <v>1974</v>
      </c>
      <c r="J281" s="229">
        <v>8934</v>
      </c>
      <c r="K281" s="254">
        <v>112336.9</v>
      </c>
      <c r="L281" s="254">
        <v>110544.23999663141</v>
      </c>
      <c r="M281" s="254">
        <v>1792.6600033685827</v>
      </c>
      <c r="N281" s="255">
        <v>117</v>
      </c>
      <c r="O281" s="256">
        <v>711</v>
      </c>
      <c r="P281" s="254">
        <f t="shared" si="13"/>
        <v>682662.7</v>
      </c>
    </row>
    <row r="282" spans="1:16" x14ac:dyDescent="0.2">
      <c r="A282" t="s">
        <v>539</v>
      </c>
      <c r="B282" s="253">
        <v>6</v>
      </c>
      <c r="C282" s="257" t="s">
        <v>494</v>
      </c>
      <c r="D282" s="257" t="str">
        <f t="shared" si="11"/>
        <v>6 ST</v>
      </c>
      <c r="E282" t="s">
        <v>487</v>
      </c>
      <c r="F282" t="s">
        <v>488</v>
      </c>
      <c r="G282" t="s">
        <v>463</v>
      </c>
      <c r="H282" t="s">
        <v>462</v>
      </c>
      <c r="I282">
        <f t="shared" si="12"/>
        <v>1984</v>
      </c>
      <c r="J282" s="229">
        <v>9494</v>
      </c>
      <c r="K282" s="254">
        <v>308524.48</v>
      </c>
      <c r="L282" s="254">
        <v>255605.5079473308</v>
      </c>
      <c r="M282" s="254">
        <v>52918.972052669182</v>
      </c>
      <c r="N282" s="255">
        <v>271</v>
      </c>
      <c r="O282" s="256">
        <v>711</v>
      </c>
      <c r="P282" s="254">
        <f t="shared" si="13"/>
        <v>809449.83498154988</v>
      </c>
    </row>
    <row r="283" spans="1:16" x14ac:dyDescent="0.2">
      <c r="A283" t="s">
        <v>539</v>
      </c>
      <c r="B283" s="253">
        <v>6</v>
      </c>
      <c r="C283" s="257" t="s">
        <v>494</v>
      </c>
      <c r="D283" s="257" t="str">
        <f t="shared" si="11"/>
        <v>6 ST</v>
      </c>
      <c r="E283" t="s">
        <v>487</v>
      </c>
      <c r="F283" t="s">
        <v>488</v>
      </c>
      <c r="G283" t="s">
        <v>517</v>
      </c>
      <c r="H283" t="s">
        <v>462</v>
      </c>
      <c r="I283">
        <f t="shared" si="12"/>
        <v>1983</v>
      </c>
      <c r="J283" s="229">
        <v>9902</v>
      </c>
      <c r="K283" s="254">
        <v>285968.77</v>
      </c>
      <c r="L283" s="254">
        <v>243315.72110442686</v>
      </c>
      <c r="M283" s="254">
        <v>42653.048895573156</v>
      </c>
      <c r="N283" s="255">
        <v>260</v>
      </c>
      <c r="O283" s="256">
        <v>711</v>
      </c>
      <c r="P283" s="254">
        <f t="shared" si="13"/>
        <v>782014.59796153847</v>
      </c>
    </row>
    <row r="284" spans="1:16" x14ac:dyDescent="0.2">
      <c r="A284" t="s">
        <v>539</v>
      </c>
      <c r="B284" s="253">
        <v>6</v>
      </c>
      <c r="C284" s="257" t="s">
        <v>494</v>
      </c>
      <c r="D284" s="257" t="str">
        <f t="shared" si="11"/>
        <v>6 ST</v>
      </c>
      <c r="E284" t="s">
        <v>487</v>
      </c>
      <c r="F284" t="s">
        <v>488</v>
      </c>
      <c r="G284" t="s">
        <v>486</v>
      </c>
      <c r="H284" t="s">
        <v>462</v>
      </c>
      <c r="I284">
        <f t="shared" si="12"/>
        <v>1978</v>
      </c>
      <c r="J284" s="229">
        <v>10015</v>
      </c>
      <c r="K284" s="254">
        <v>206226.68</v>
      </c>
      <c r="L284" s="254">
        <v>193655.43844499098</v>
      </c>
      <c r="M284" s="254">
        <v>12571.241555009008</v>
      </c>
      <c r="N284" s="255">
        <v>173</v>
      </c>
      <c r="O284" s="256">
        <v>711</v>
      </c>
      <c r="P284" s="254">
        <f t="shared" si="13"/>
        <v>847555.89294797694</v>
      </c>
    </row>
    <row r="285" spans="1:16" x14ac:dyDescent="0.2">
      <c r="A285" t="s">
        <v>539</v>
      </c>
      <c r="B285" s="253">
        <v>6</v>
      </c>
      <c r="C285" s="257" t="s">
        <v>494</v>
      </c>
      <c r="D285" s="257" t="str">
        <f t="shared" si="11"/>
        <v>6 ST</v>
      </c>
      <c r="E285" t="s">
        <v>487</v>
      </c>
      <c r="F285" t="s">
        <v>488</v>
      </c>
      <c r="G285" t="s">
        <v>513</v>
      </c>
      <c r="H285" t="s">
        <v>462</v>
      </c>
      <c r="I285">
        <f t="shared" si="12"/>
        <v>1995</v>
      </c>
      <c r="J285" s="229">
        <v>10219</v>
      </c>
      <c r="K285" s="254">
        <v>1913059.03</v>
      </c>
      <c r="L285" s="254">
        <v>944114.46263822925</v>
      </c>
      <c r="M285" s="254">
        <v>968944.56736177078</v>
      </c>
      <c r="N285" s="255">
        <v>358</v>
      </c>
      <c r="O285" s="256">
        <v>711</v>
      </c>
      <c r="P285" s="254">
        <f t="shared" si="13"/>
        <v>3799399.3584636874</v>
      </c>
    </row>
    <row r="286" spans="1:16" x14ac:dyDescent="0.2">
      <c r="A286" t="s">
        <v>539</v>
      </c>
      <c r="B286" s="253">
        <v>6</v>
      </c>
      <c r="C286" s="257" t="s">
        <v>494</v>
      </c>
      <c r="D286" s="257" t="str">
        <f t="shared" si="11"/>
        <v>6 ST</v>
      </c>
      <c r="E286" t="s">
        <v>487</v>
      </c>
      <c r="F286" t="s">
        <v>488</v>
      </c>
      <c r="G286" t="s">
        <v>526</v>
      </c>
      <c r="H286" t="s">
        <v>462</v>
      </c>
      <c r="I286">
        <f t="shared" si="12"/>
        <v>1977</v>
      </c>
      <c r="J286" s="229">
        <v>10430</v>
      </c>
      <c r="K286" s="254">
        <v>148631.97</v>
      </c>
      <c r="L286" s="254">
        <v>141529.68023767363</v>
      </c>
      <c r="M286" s="254">
        <v>7102.2897623263707</v>
      </c>
      <c r="N286" s="255">
        <v>157</v>
      </c>
      <c r="O286" s="256">
        <v>711</v>
      </c>
      <c r="P286" s="254">
        <f t="shared" si="13"/>
        <v>673104.01700636942</v>
      </c>
    </row>
    <row r="287" spans="1:16" x14ac:dyDescent="0.2">
      <c r="A287" t="s">
        <v>539</v>
      </c>
      <c r="B287" s="253">
        <v>6</v>
      </c>
      <c r="C287" s="257" t="s">
        <v>494</v>
      </c>
      <c r="D287" s="257" t="str">
        <f t="shared" si="11"/>
        <v>6 ST</v>
      </c>
      <c r="E287" t="s">
        <v>487</v>
      </c>
      <c r="F287" t="s">
        <v>488</v>
      </c>
      <c r="G287" t="s">
        <v>475</v>
      </c>
      <c r="H287" t="s">
        <v>462</v>
      </c>
      <c r="I287">
        <f t="shared" si="12"/>
        <v>2002</v>
      </c>
      <c r="J287" s="229">
        <v>10850</v>
      </c>
      <c r="K287" s="254">
        <v>2871479.77</v>
      </c>
      <c r="L287" s="254">
        <v>718320.20766271232</v>
      </c>
      <c r="M287" s="254">
        <v>2153159.5623372877</v>
      </c>
      <c r="N287" s="255">
        <v>407</v>
      </c>
      <c r="O287" s="256">
        <v>711</v>
      </c>
      <c r="P287" s="254">
        <f t="shared" si="13"/>
        <v>5016270.5564373462</v>
      </c>
    </row>
    <row r="288" spans="1:16" x14ac:dyDescent="0.2">
      <c r="A288" t="s">
        <v>539</v>
      </c>
      <c r="B288" s="253">
        <v>6</v>
      </c>
      <c r="C288" s="257" t="s">
        <v>494</v>
      </c>
      <c r="D288" s="257" t="str">
        <f t="shared" si="11"/>
        <v>6 ST</v>
      </c>
      <c r="E288" t="s">
        <v>487</v>
      </c>
      <c r="F288" t="s">
        <v>488</v>
      </c>
      <c r="G288" t="s">
        <v>470</v>
      </c>
      <c r="H288" t="s">
        <v>462</v>
      </c>
      <c r="I288">
        <f t="shared" si="12"/>
        <v>2007</v>
      </c>
      <c r="J288" s="229">
        <v>14053</v>
      </c>
      <c r="K288" s="254">
        <v>883799.74</v>
      </c>
      <c r="L288" s="254">
        <v>86225.143180141502</v>
      </c>
      <c r="M288" s="254">
        <v>797574.59681985853</v>
      </c>
      <c r="N288" s="255">
        <v>608</v>
      </c>
      <c r="O288" s="256">
        <v>711</v>
      </c>
      <c r="P288" s="254">
        <f t="shared" si="13"/>
        <v>1033522.3933223684</v>
      </c>
    </row>
    <row r="289" spans="1:16" x14ac:dyDescent="0.2">
      <c r="A289" t="s">
        <v>539</v>
      </c>
      <c r="B289" s="253">
        <v>6</v>
      </c>
      <c r="C289" s="257" t="s">
        <v>494</v>
      </c>
      <c r="D289" s="257" t="str">
        <f t="shared" si="11"/>
        <v>6 ST</v>
      </c>
      <c r="E289" t="s">
        <v>487</v>
      </c>
      <c r="F289" t="s">
        <v>488</v>
      </c>
      <c r="G289" t="s">
        <v>524</v>
      </c>
      <c r="H289" t="s">
        <v>462</v>
      </c>
      <c r="I289">
        <f t="shared" si="12"/>
        <v>1975</v>
      </c>
      <c r="J289" s="229">
        <v>14340</v>
      </c>
      <c r="K289" s="254">
        <v>183876.63</v>
      </c>
      <c r="L289" s="254">
        <v>179212.66287945808</v>
      </c>
      <c r="M289" s="254">
        <v>4663.967120541929</v>
      </c>
      <c r="N289" s="255">
        <v>134</v>
      </c>
      <c r="O289" s="256">
        <v>711</v>
      </c>
      <c r="P289" s="254">
        <f t="shared" si="13"/>
        <v>975643.90992537315</v>
      </c>
    </row>
    <row r="290" spans="1:16" x14ac:dyDescent="0.2">
      <c r="A290" t="s">
        <v>539</v>
      </c>
      <c r="B290" s="253">
        <v>6</v>
      </c>
      <c r="C290" s="257" t="s">
        <v>494</v>
      </c>
      <c r="D290" s="257" t="str">
        <f t="shared" si="11"/>
        <v>6 ST</v>
      </c>
      <c r="E290" t="s">
        <v>487</v>
      </c>
      <c r="F290" t="s">
        <v>488</v>
      </c>
      <c r="G290" t="s">
        <v>518</v>
      </c>
      <c r="H290" t="s">
        <v>462</v>
      </c>
      <c r="I290">
        <f t="shared" si="12"/>
        <v>1982</v>
      </c>
      <c r="J290" s="229">
        <v>15642</v>
      </c>
      <c r="K290" s="254">
        <v>309489.32</v>
      </c>
      <c r="L290" s="254">
        <v>269755.25085435557</v>
      </c>
      <c r="M290" s="254">
        <v>39734.069145644433</v>
      </c>
      <c r="N290" s="255">
        <v>252</v>
      </c>
      <c r="O290" s="256">
        <v>711</v>
      </c>
      <c r="P290" s="254">
        <f t="shared" si="13"/>
        <v>873202.01000000013</v>
      </c>
    </row>
    <row r="291" spans="1:16" x14ac:dyDescent="0.2">
      <c r="A291" t="s">
        <v>539</v>
      </c>
      <c r="B291" s="253">
        <v>6</v>
      </c>
      <c r="C291" s="257" t="s">
        <v>494</v>
      </c>
      <c r="D291" s="257" t="str">
        <f t="shared" si="11"/>
        <v>6 ST</v>
      </c>
      <c r="E291" t="s">
        <v>487</v>
      </c>
      <c r="F291" t="s">
        <v>488</v>
      </c>
      <c r="G291" t="s">
        <v>466</v>
      </c>
      <c r="H291" t="s">
        <v>462</v>
      </c>
      <c r="I291">
        <f t="shared" si="12"/>
        <v>1989</v>
      </c>
      <c r="J291" s="229">
        <v>16619</v>
      </c>
      <c r="K291" s="254">
        <v>594922.39</v>
      </c>
      <c r="L291" s="254">
        <v>412648.43258365995</v>
      </c>
      <c r="M291" s="254">
        <v>182273.95741634007</v>
      </c>
      <c r="N291" s="255">
        <v>300</v>
      </c>
      <c r="O291" s="256">
        <v>711</v>
      </c>
      <c r="P291" s="254">
        <f t="shared" si="13"/>
        <v>1409966.0643000002</v>
      </c>
    </row>
    <row r="292" spans="1:16" x14ac:dyDescent="0.2">
      <c r="A292" t="s">
        <v>539</v>
      </c>
      <c r="B292" s="253">
        <v>6</v>
      </c>
      <c r="C292" s="257" t="s">
        <v>494</v>
      </c>
      <c r="D292" s="257" t="str">
        <f t="shared" si="11"/>
        <v>6 ST</v>
      </c>
      <c r="E292" t="s">
        <v>487</v>
      </c>
      <c r="F292" t="s">
        <v>488</v>
      </c>
      <c r="G292" t="s">
        <v>520</v>
      </c>
      <c r="H292" t="s">
        <v>462</v>
      </c>
      <c r="I292">
        <f t="shared" si="12"/>
        <v>1981</v>
      </c>
      <c r="J292" s="229">
        <v>19433</v>
      </c>
      <c r="K292" s="254">
        <v>435248.28</v>
      </c>
      <c r="L292" s="254">
        <v>387712.37684997206</v>
      </c>
      <c r="M292" s="254">
        <v>47535.903150027967</v>
      </c>
      <c r="N292" s="255">
        <v>231</v>
      </c>
      <c r="O292" s="256">
        <v>711</v>
      </c>
      <c r="P292" s="254">
        <f t="shared" si="13"/>
        <v>1339660.2903896105</v>
      </c>
    </row>
    <row r="293" spans="1:16" x14ac:dyDescent="0.2">
      <c r="A293" t="s">
        <v>539</v>
      </c>
      <c r="B293" s="253">
        <v>6</v>
      </c>
      <c r="C293" s="257" t="s">
        <v>494</v>
      </c>
      <c r="D293" s="257" t="str">
        <f t="shared" si="11"/>
        <v>6 ST</v>
      </c>
      <c r="E293" t="s">
        <v>487</v>
      </c>
      <c r="F293" t="s">
        <v>488</v>
      </c>
      <c r="G293" t="s">
        <v>522</v>
      </c>
      <c r="H293" t="s">
        <v>462</v>
      </c>
      <c r="I293">
        <f t="shared" si="12"/>
        <v>1976</v>
      </c>
      <c r="J293" s="229">
        <v>20987</v>
      </c>
      <c r="K293" s="254">
        <v>313387.64</v>
      </c>
      <c r="L293" s="254">
        <v>302122.95461882715</v>
      </c>
      <c r="M293" s="254">
        <v>11264.685381172865</v>
      </c>
      <c r="N293" s="255">
        <v>146</v>
      </c>
      <c r="O293" s="256">
        <v>711</v>
      </c>
      <c r="P293" s="254">
        <f t="shared" si="13"/>
        <v>1526154.8769863015</v>
      </c>
    </row>
    <row r="294" spans="1:16" x14ac:dyDescent="0.2">
      <c r="A294" t="s">
        <v>539</v>
      </c>
      <c r="B294" s="253">
        <v>6</v>
      </c>
      <c r="C294" s="257" t="s">
        <v>494</v>
      </c>
      <c r="D294" s="257" t="str">
        <f t="shared" si="11"/>
        <v>6 ST</v>
      </c>
      <c r="E294" t="s">
        <v>487</v>
      </c>
      <c r="F294" t="s">
        <v>488</v>
      </c>
      <c r="G294" t="s">
        <v>523</v>
      </c>
      <c r="H294" t="s">
        <v>462</v>
      </c>
      <c r="I294">
        <f t="shared" si="12"/>
        <v>1987</v>
      </c>
      <c r="J294" s="229">
        <v>21911</v>
      </c>
      <c r="K294" s="254">
        <v>768510.27</v>
      </c>
      <c r="L294" s="254">
        <v>577870.2612792626</v>
      </c>
      <c r="M294" s="254">
        <v>190640.00872073742</v>
      </c>
      <c r="N294" s="255">
        <v>268</v>
      </c>
      <c r="O294" s="256">
        <v>711</v>
      </c>
      <c r="P294" s="254">
        <f t="shared" si="13"/>
        <v>2038846.2760074628</v>
      </c>
    </row>
    <row r="295" spans="1:16" x14ac:dyDescent="0.2">
      <c r="A295" t="s">
        <v>539</v>
      </c>
      <c r="B295" s="253">
        <v>6</v>
      </c>
      <c r="C295" s="257" t="s">
        <v>494</v>
      </c>
      <c r="D295" s="257" t="str">
        <f t="shared" si="11"/>
        <v>6 ST</v>
      </c>
      <c r="E295" t="s">
        <v>487</v>
      </c>
      <c r="F295" t="s">
        <v>488</v>
      </c>
      <c r="G295" t="s">
        <v>490</v>
      </c>
      <c r="H295" t="s">
        <v>462</v>
      </c>
      <c r="I295">
        <f t="shared" si="12"/>
        <v>1992</v>
      </c>
      <c r="J295" s="229">
        <v>23033</v>
      </c>
      <c r="K295" s="254">
        <v>1560874.21</v>
      </c>
      <c r="L295" s="254">
        <v>932125.44057509734</v>
      </c>
      <c r="M295" s="254">
        <v>628748.76942490262</v>
      </c>
      <c r="N295" s="255">
        <v>315</v>
      </c>
      <c r="O295" s="256">
        <v>711</v>
      </c>
      <c r="P295" s="254">
        <f t="shared" si="13"/>
        <v>3523116.074</v>
      </c>
    </row>
    <row r="296" spans="1:16" x14ac:dyDescent="0.2">
      <c r="A296" t="s">
        <v>539</v>
      </c>
      <c r="B296" s="253">
        <v>6</v>
      </c>
      <c r="C296" s="257" t="s">
        <v>494</v>
      </c>
      <c r="D296" s="257" t="str">
        <f t="shared" si="11"/>
        <v>6 ST</v>
      </c>
      <c r="E296" t="s">
        <v>487</v>
      </c>
      <c r="F296" t="s">
        <v>488</v>
      </c>
      <c r="G296" t="s">
        <v>528</v>
      </c>
      <c r="H296" t="s">
        <v>462</v>
      </c>
      <c r="I296">
        <f t="shared" si="12"/>
        <v>1972</v>
      </c>
      <c r="J296" s="229">
        <v>23289</v>
      </c>
      <c r="K296" s="254">
        <v>233674.67</v>
      </c>
      <c r="L296" s="254">
        <v>233604.4935561872</v>
      </c>
      <c r="M296" s="254">
        <v>70.176443812815705</v>
      </c>
      <c r="N296" s="255">
        <v>96</v>
      </c>
      <c r="O296" s="256">
        <v>711</v>
      </c>
      <c r="P296" s="254">
        <f t="shared" si="13"/>
        <v>1730653.0246875002</v>
      </c>
    </row>
    <row r="297" spans="1:16" x14ac:dyDescent="0.2">
      <c r="A297" t="s">
        <v>539</v>
      </c>
      <c r="B297" s="253">
        <v>6</v>
      </c>
      <c r="C297" s="257" t="s">
        <v>494</v>
      </c>
      <c r="D297" s="257" t="str">
        <f t="shared" si="11"/>
        <v>6 ST</v>
      </c>
      <c r="E297" t="s">
        <v>487</v>
      </c>
      <c r="F297" t="s">
        <v>488</v>
      </c>
      <c r="G297" t="s">
        <v>529</v>
      </c>
      <c r="H297" t="s">
        <v>462</v>
      </c>
      <c r="I297">
        <f t="shared" si="12"/>
        <v>1973</v>
      </c>
      <c r="J297" s="229">
        <v>32498</v>
      </c>
      <c r="K297" s="254">
        <v>381111.96</v>
      </c>
      <c r="L297" s="254">
        <v>378202.82828355412</v>
      </c>
      <c r="M297" s="254">
        <v>2909.1317164459033</v>
      </c>
      <c r="N297" s="255">
        <v>100</v>
      </c>
      <c r="O297" s="256">
        <v>711</v>
      </c>
      <c r="P297" s="254">
        <f t="shared" si="13"/>
        <v>2709706.0356000001</v>
      </c>
    </row>
    <row r="298" spans="1:16" x14ac:dyDescent="0.2">
      <c r="A298" t="s">
        <v>539</v>
      </c>
      <c r="B298" s="253">
        <v>6</v>
      </c>
      <c r="C298" s="257" t="s">
        <v>494</v>
      </c>
      <c r="D298" s="257" t="str">
        <f t="shared" si="11"/>
        <v>6 ST</v>
      </c>
      <c r="E298" t="s">
        <v>487</v>
      </c>
      <c r="F298" t="s">
        <v>488</v>
      </c>
      <c r="G298" t="s">
        <v>519</v>
      </c>
      <c r="H298" t="s">
        <v>462</v>
      </c>
      <c r="I298">
        <f t="shared" si="12"/>
        <v>1979</v>
      </c>
      <c r="J298" s="229">
        <v>32841</v>
      </c>
      <c r="K298" s="254">
        <v>593127.99</v>
      </c>
      <c r="L298" s="254">
        <v>548318.46418769239</v>
      </c>
      <c r="M298" s="254">
        <v>44809.525812307606</v>
      </c>
      <c r="N298" s="255">
        <v>187</v>
      </c>
      <c r="O298" s="256">
        <v>711</v>
      </c>
      <c r="P298" s="254">
        <f t="shared" si="13"/>
        <v>2255155.0849732622</v>
      </c>
    </row>
    <row r="299" spans="1:16" x14ac:dyDescent="0.2">
      <c r="A299" t="s">
        <v>539</v>
      </c>
      <c r="B299" s="253">
        <v>6</v>
      </c>
      <c r="C299" s="257" t="s">
        <v>494</v>
      </c>
      <c r="D299" s="257" t="str">
        <f t="shared" si="11"/>
        <v>6 ST</v>
      </c>
      <c r="E299" t="s">
        <v>487</v>
      </c>
      <c r="F299" t="s">
        <v>488</v>
      </c>
      <c r="G299" t="s">
        <v>527</v>
      </c>
      <c r="H299" t="s">
        <v>462</v>
      </c>
      <c r="I299">
        <f t="shared" si="12"/>
        <v>1971</v>
      </c>
      <c r="J299" s="229">
        <v>37219</v>
      </c>
      <c r="K299" s="254">
        <v>285721.86</v>
      </c>
      <c r="L299" s="254">
        <v>287472.24756511103</v>
      </c>
      <c r="M299" s="254">
        <v>-1750.3875651110429</v>
      </c>
      <c r="N299" s="255">
        <v>92</v>
      </c>
      <c r="O299" s="256">
        <v>711</v>
      </c>
      <c r="P299" s="254">
        <f t="shared" si="13"/>
        <v>2208133.0702173915</v>
      </c>
    </row>
    <row r="300" spans="1:16" x14ac:dyDescent="0.2">
      <c r="A300" t="s">
        <v>539</v>
      </c>
      <c r="B300" s="253">
        <v>6</v>
      </c>
      <c r="C300" s="257" t="s">
        <v>494</v>
      </c>
      <c r="D300" s="257" t="str">
        <f t="shared" si="11"/>
        <v>6 ST</v>
      </c>
      <c r="E300" t="s">
        <v>487</v>
      </c>
      <c r="F300" t="s">
        <v>488</v>
      </c>
      <c r="G300" t="s">
        <v>489</v>
      </c>
      <c r="H300" t="s">
        <v>462</v>
      </c>
      <c r="I300">
        <f t="shared" si="12"/>
        <v>1990</v>
      </c>
      <c r="J300" s="229">
        <v>39436</v>
      </c>
      <c r="K300" s="254">
        <v>1216004.08</v>
      </c>
      <c r="L300" s="254">
        <v>805641.6796131687</v>
      </c>
      <c r="M300" s="254">
        <v>410362.40038683137</v>
      </c>
      <c r="N300" s="255">
        <v>304</v>
      </c>
      <c r="O300" s="256">
        <v>711</v>
      </c>
      <c r="P300" s="254">
        <f t="shared" si="13"/>
        <v>2844009.5423684209</v>
      </c>
    </row>
    <row r="301" spans="1:16" x14ac:dyDescent="0.2">
      <c r="A301" t="s">
        <v>539</v>
      </c>
      <c r="B301" s="253">
        <v>6</v>
      </c>
      <c r="C301" s="257" t="s">
        <v>494</v>
      </c>
      <c r="D301" s="257" t="str">
        <f t="shared" si="11"/>
        <v>6 ST</v>
      </c>
      <c r="E301" t="s">
        <v>487</v>
      </c>
      <c r="F301" t="s">
        <v>488</v>
      </c>
      <c r="G301" t="s">
        <v>516</v>
      </c>
      <c r="H301" t="s">
        <v>462</v>
      </c>
      <c r="I301">
        <f t="shared" si="12"/>
        <v>1988</v>
      </c>
      <c r="J301" s="229">
        <v>43974</v>
      </c>
      <c r="K301" s="254">
        <v>1402249.31</v>
      </c>
      <c r="L301" s="254">
        <v>1014461.9823748651</v>
      </c>
      <c r="M301" s="254">
        <v>387787.32762513496</v>
      </c>
      <c r="N301" s="255">
        <v>286</v>
      </c>
      <c r="O301" s="256">
        <v>711</v>
      </c>
      <c r="P301" s="254">
        <f t="shared" si="13"/>
        <v>3486011.3965384616</v>
      </c>
    </row>
    <row r="302" spans="1:16" x14ac:dyDescent="0.2">
      <c r="A302" t="s">
        <v>539</v>
      </c>
      <c r="B302" s="253">
        <v>6</v>
      </c>
      <c r="C302" s="257" t="s">
        <v>494</v>
      </c>
      <c r="D302" s="257" t="str">
        <f t="shared" si="11"/>
        <v>6 ST</v>
      </c>
      <c r="E302" t="s">
        <v>487</v>
      </c>
      <c r="F302" t="s">
        <v>488</v>
      </c>
      <c r="G302" t="s">
        <v>533</v>
      </c>
      <c r="H302" t="s">
        <v>462</v>
      </c>
      <c r="I302">
        <f t="shared" si="12"/>
        <v>1969</v>
      </c>
      <c r="J302" s="229">
        <v>54580</v>
      </c>
      <c r="K302" s="254">
        <v>390195.15</v>
      </c>
      <c r="L302" s="254">
        <v>396678.41636049771</v>
      </c>
      <c r="M302" s="254">
        <v>-6483.2663604976842</v>
      </c>
      <c r="N302" s="255">
        <v>82</v>
      </c>
      <c r="O302" s="256">
        <v>711</v>
      </c>
      <c r="P302" s="254">
        <f t="shared" si="13"/>
        <v>3383277.4591463413</v>
      </c>
    </row>
    <row r="303" spans="1:16" x14ac:dyDescent="0.2">
      <c r="A303" t="s">
        <v>539</v>
      </c>
      <c r="B303" s="253">
        <v>6</v>
      </c>
      <c r="C303" s="257" t="s">
        <v>494</v>
      </c>
      <c r="D303" s="257" t="str">
        <f t="shared" si="11"/>
        <v>6 ST</v>
      </c>
      <c r="E303" t="s">
        <v>487</v>
      </c>
      <c r="F303" t="s">
        <v>488</v>
      </c>
      <c r="G303" t="s">
        <v>534</v>
      </c>
      <c r="H303" t="s">
        <v>462</v>
      </c>
      <c r="I303">
        <f t="shared" si="12"/>
        <v>1966</v>
      </c>
      <c r="J303" s="229">
        <v>64070</v>
      </c>
      <c r="K303" s="254">
        <v>459911.48</v>
      </c>
      <c r="L303" s="254">
        <v>472584.3092571412</v>
      </c>
      <c r="M303" s="254">
        <v>-12672.829257141217</v>
      </c>
      <c r="N303" s="255">
        <v>72</v>
      </c>
      <c r="O303" s="256">
        <v>711</v>
      </c>
      <c r="P303" s="254">
        <f t="shared" si="13"/>
        <v>4541625.8650000002</v>
      </c>
    </row>
    <row r="304" spans="1:16" x14ac:dyDescent="0.2">
      <c r="A304" t="s">
        <v>539</v>
      </c>
      <c r="B304" s="253">
        <v>6</v>
      </c>
      <c r="C304" s="257" t="s">
        <v>494</v>
      </c>
      <c r="D304" s="257" t="str">
        <f t="shared" si="11"/>
        <v>6 ST</v>
      </c>
      <c r="E304" t="s">
        <v>487</v>
      </c>
      <c r="F304" t="s">
        <v>488</v>
      </c>
      <c r="G304" t="s">
        <v>535</v>
      </c>
      <c r="H304" t="s">
        <v>462</v>
      </c>
      <c r="I304">
        <f t="shared" si="12"/>
        <v>1968</v>
      </c>
      <c r="J304" s="229">
        <v>65487</v>
      </c>
      <c r="K304" s="254">
        <v>482400.03</v>
      </c>
      <c r="L304" s="254">
        <v>492451.47241732496</v>
      </c>
      <c r="M304" s="254">
        <v>-10051.442417324928</v>
      </c>
      <c r="N304" s="255">
        <v>78</v>
      </c>
      <c r="O304" s="256">
        <v>711</v>
      </c>
      <c r="P304" s="254">
        <f t="shared" si="13"/>
        <v>4397261.8119230773</v>
      </c>
    </row>
    <row r="305" spans="1:16" x14ac:dyDescent="0.2">
      <c r="A305" t="s">
        <v>539</v>
      </c>
      <c r="B305" s="253">
        <v>6</v>
      </c>
      <c r="C305" s="257" t="s">
        <v>494</v>
      </c>
      <c r="D305" s="257" t="str">
        <f t="shared" si="11"/>
        <v>6 ST</v>
      </c>
      <c r="E305" t="s">
        <v>487</v>
      </c>
      <c r="F305" t="s">
        <v>488</v>
      </c>
      <c r="G305" t="s">
        <v>530</v>
      </c>
      <c r="H305" t="s">
        <v>462</v>
      </c>
      <c r="I305">
        <f t="shared" si="12"/>
        <v>1965</v>
      </c>
      <c r="J305" s="229">
        <v>67038</v>
      </c>
      <c r="K305" s="254">
        <v>395552.42</v>
      </c>
      <c r="L305" s="254">
        <v>407483.90012652788</v>
      </c>
      <c r="M305" s="254">
        <v>-11931.480126527895</v>
      </c>
      <c r="N305" s="255">
        <v>70</v>
      </c>
      <c r="O305" s="256">
        <v>711</v>
      </c>
      <c r="P305" s="254">
        <f t="shared" si="13"/>
        <v>4017682.4374285708</v>
      </c>
    </row>
    <row r="306" spans="1:16" x14ac:dyDescent="0.2">
      <c r="A306" t="s">
        <v>539</v>
      </c>
      <c r="B306" s="253">
        <v>6</v>
      </c>
      <c r="C306" s="257" t="s">
        <v>494</v>
      </c>
      <c r="D306" s="257" t="str">
        <f t="shared" si="11"/>
        <v>6 ST</v>
      </c>
      <c r="E306" t="s">
        <v>487</v>
      </c>
      <c r="F306" t="s">
        <v>488</v>
      </c>
      <c r="G306" t="s">
        <v>531</v>
      </c>
      <c r="H306" t="s">
        <v>462</v>
      </c>
      <c r="I306">
        <f t="shared" si="12"/>
        <v>1970</v>
      </c>
      <c r="J306" s="229">
        <v>72249</v>
      </c>
      <c r="K306" s="254">
        <v>564601.35</v>
      </c>
      <c r="L306" s="254">
        <v>571228.29992869741</v>
      </c>
      <c r="M306" s="254">
        <v>-6626.9499286974315</v>
      </c>
      <c r="N306" s="255">
        <v>86</v>
      </c>
      <c r="O306" s="256">
        <v>711</v>
      </c>
      <c r="P306" s="254">
        <f t="shared" si="13"/>
        <v>4667808.8354651155</v>
      </c>
    </row>
    <row r="307" spans="1:16" x14ac:dyDescent="0.2">
      <c r="A307" t="s">
        <v>539</v>
      </c>
      <c r="B307" s="253">
        <v>6</v>
      </c>
      <c r="C307" s="257" t="s">
        <v>494</v>
      </c>
      <c r="D307" s="257" t="str">
        <f t="shared" si="11"/>
        <v>6 ST</v>
      </c>
      <c r="E307" t="s">
        <v>487</v>
      </c>
      <c r="F307" t="s">
        <v>488</v>
      </c>
      <c r="G307" t="s">
        <v>510</v>
      </c>
      <c r="H307" t="s">
        <v>462</v>
      </c>
      <c r="I307">
        <f t="shared" si="12"/>
        <v>1962</v>
      </c>
      <c r="J307" s="229">
        <v>82343</v>
      </c>
      <c r="K307" s="254">
        <v>541170.23</v>
      </c>
      <c r="L307" s="254">
        <v>560493.30508266494</v>
      </c>
      <c r="M307" s="254">
        <v>-19323.07508266496</v>
      </c>
      <c r="N307" s="255">
        <v>64</v>
      </c>
      <c r="O307" s="256">
        <v>711</v>
      </c>
      <c r="P307" s="254">
        <f t="shared" si="13"/>
        <v>6012063.0239062496</v>
      </c>
    </row>
    <row r="308" spans="1:16" x14ac:dyDescent="0.2">
      <c r="A308" t="s">
        <v>539</v>
      </c>
      <c r="B308" s="253">
        <v>6</v>
      </c>
      <c r="C308" s="257" t="s">
        <v>494</v>
      </c>
      <c r="D308" s="257" t="str">
        <f t="shared" si="11"/>
        <v>6 ST</v>
      </c>
      <c r="E308" t="s">
        <v>487</v>
      </c>
      <c r="F308" t="s">
        <v>488</v>
      </c>
      <c r="G308" t="s">
        <v>532</v>
      </c>
      <c r="H308" t="s">
        <v>462</v>
      </c>
      <c r="I308">
        <f t="shared" si="12"/>
        <v>1967</v>
      </c>
      <c r="J308" s="229">
        <v>86338</v>
      </c>
      <c r="K308" s="254">
        <v>643708.1</v>
      </c>
      <c r="L308" s="254">
        <v>659456.34774924908</v>
      </c>
      <c r="M308" s="254">
        <v>-15748.247749249102</v>
      </c>
      <c r="N308" s="255">
        <v>75</v>
      </c>
      <c r="O308" s="256">
        <v>711</v>
      </c>
      <c r="P308" s="254">
        <f t="shared" si="13"/>
        <v>6102352.7879999997</v>
      </c>
    </row>
    <row r="309" spans="1:16" x14ac:dyDescent="0.2">
      <c r="A309" t="s">
        <v>539</v>
      </c>
      <c r="B309" s="253">
        <v>6</v>
      </c>
      <c r="C309" s="257" t="s">
        <v>494</v>
      </c>
      <c r="D309" s="257" t="str">
        <f t="shared" si="11"/>
        <v>6 ST</v>
      </c>
      <c r="E309" t="s">
        <v>487</v>
      </c>
      <c r="F309" t="s">
        <v>488</v>
      </c>
      <c r="G309" t="s">
        <v>509</v>
      </c>
      <c r="H309" t="s">
        <v>462</v>
      </c>
      <c r="I309">
        <f t="shared" si="12"/>
        <v>1964</v>
      </c>
      <c r="J309" s="229">
        <v>89943</v>
      </c>
      <c r="K309" s="254">
        <v>543404.29</v>
      </c>
      <c r="L309" s="254">
        <v>560984.61758739909</v>
      </c>
      <c r="M309" s="254">
        <v>-17580.32758739905</v>
      </c>
      <c r="N309" s="255">
        <v>67</v>
      </c>
      <c r="O309" s="256">
        <v>711</v>
      </c>
      <c r="P309" s="254">
        <f t="shared" si="13"/>
        <v>5766573.8834328363</v>
      </c>
    </row>
    <row r="310" spans="1:16" x14ac:dyDescent="0.2">
      <c r="A310" t="s">
        <v>539</v>
      </c>
      <c r="B310" s="253">
        <v>6</v>
      </c>
      <c r="C310" s="257" t="s">
        <v>494</v>
      </c>
      <c r="D310" s="257" t="str">
        <f t="shared" si="11"/>
        <v>6 ST</v>
      </c>
      <c r="E310" t="s">
        <v>487</v>
      </c>
      <c r="F310" t="s">
        <v>488</v>
      </c>
      <c r="G310" t="s">
        <v>521</v>
      </c>
      <c r="H310" t="s">
        <v>462</v>
      </c>
      <c r="I310">
        <f t="shared" si="12"/>
        <v>1980</v>
      </c>
      <c r="J310" s="229">
        <v>91724</v>
      </c>
      <c r="K310" s="254">
        <v>1554734.41</v>
      </c>
      <c r="L310" s="254">
        <v>1412294.8238990158</v>
      </c>
      <c r="M310" s="254">
        <v>142439.58610098413</v>
      </c>
      <c r="N310" s="255">
        <v>204</v>
      </c>
      <c r="O310" s="256">
        <v>711</v>
      </c>
      <c r="P310" s="254">
        <f t="shared" si="13"/>
        <v>5418706.6936764708</v>
      </c>
    </row>
    <row r="311" spans="1:16" x14ac:dyDescent="0.2">
      <c r="A311" t="s">
        <v>539</v>
      </c>
      <c r="B311" s="253">
        <v>6</v>
      </c>
      <c r="C311" s="257" t="s">
        <v>494</v>
      </c>
      <c r="D311" s="257" t="str">
        <f t="shared" ref="D311:D374" si="14">B311&amp;" "&amp;C311</f>
        <v>6 ST</v>
      </c>
      <c r="E311" t="s">
        <v>487</v>
      </c>
      <c r="F311" t="s">
        <v>488</v>
      </c>
      <c r="G311" t="s">
        <v>465</v>
      </c>
      <c r="H311" t="s">
        <v>462</v>
      </c>
      <c r="I311">
        <f t="shared" si="12"/>
        <v>1991</v>
      </c>
      <c r="J311" s="229">
        <v>103721</v>
      </c>
      <c r="K311" s="254">
        <v>3232344.62</v>
      </c>
      <c r="L311" s="254">
        <v>2037490.6656954994</v>
      </c>
      <c r="M311" s="254">
        <v>1194853.9543045007</v>
      </c>
      <c r="N311" s="255">
        <v>312</v>
      </c>
      <c r="O311" s="256">
        <v>711</v>
      </c>
      <c r="P311" s="254">
        <f t="shared" si="13"/>
        <v>7366016.1051923074</v>
      </c>
    </row>
    <row r="312" spans="1:16" x14ac:dyDescent="0.2">
      <c r="A312" t="s">
        <v>539</v>
      </c>
      <c r="B312" s="253">
        <v>6</v>
      </c>
      <c r="C312" s="257" t="s">
        <v>494</v>
      </c>
      <c r="D312" s="257" t="str">
        <f t="shared" si="14"/>
        <v>6 ST</v>
      </c>
      <c r="E312" t="s">
        <v>487</v>
      </c>
      <c r="F312" t="s">
        <v>488</v>
      </c>
      <c r="G312" t="s">
        <v>511</v>
      </c>
      <c r="H312" t="s">
        <v>462</v>
      </c>
      <c r="I312">
        <f t="shared" si="12"/>
        <v>1963</v>
      </c>
      <c r="J312" s="229">
        <v>109972</v>
      </c>
      <c r="K312" s="254">
        <v>649956.32999999996</v>
      </c>
      <c r="L312" s="254">
        <v>672171.53037109238</v>
      </c>
      <c r="M312" s="254">
        <v>-22215.200371092418</v>
      </c>
      <c r="N312" s="255">
        <v>65</v>
      </c>
      <c r="O312" s="256">
        <v>711</v>
      </c>
      <c r="P312" s="254">
        <f t="shared" si="13"/>
        <v>7109522.3173846146</v>
      </c>
    </row>
    <row r="313" spans="1:16" x14ac:dyDescent="0.2">
      <c r="A313" t="s">
        <v>539</v>
      </c>
      <c r="B313" s="253">
        <v>6</v>
      </c>
      <c r="C313" s="257" t="s">
        <v>494</v>
      </c>
      <c r="D313" s="257" t="str">
        <f t="shared" si="14"/>
        <v>6 ST</v>
      </c>
      <c r="E313" t="s">
        <v>487</v>
      </c>
      <c r="F313" t="s">
        <v>488</v>
      </c>
      <c r="G313" t="s">
        <v>508</v>
      </c>
      <c r="H313" t="s">
        <v>462</v>
      </c>
      <c r="I313">
        <f t="shared" si="12"/>
        <v>1961</v>
      </c>
      <c r="J313" s="229">
        <v>112391</v>
      </c>
      <c r="K313" s="254">
        <v>657139.78</v>
      </c>
      <c r="L313" s="254">
        <v>681444.93427574704</v>
      </c>
      <c r="M313" s="254">
        <v>-24305.154275747016</v>
      </c>
      <c r="N313" s="255">
        <v>63</v>
      </c>
      <c r="O313" s="256">
        <v>711</v>
      </c>
      <c r="P313" s="254">
        <f t="shared" si="13"/>
        <v>7416291.8028571438</v>
      </c>
    </row>
    <row r="314" spans="1:16" x14ac:dyDescent="0.2">
      <c r="A314" t="s">
        <v>539</v>
      </c>
      <c r="B314" s="253">
        <v>6</v>
      </c>
      <c r="C314" s="257" t="s">
        <v>494</v>
      </c>
      <c r="D314" s="257" t="str">
        <f t="shared" si="14"/>
        <v>6 ST</v>
      </c>
      <c r="E314" t="s">
        <v>487</v>
      </c>
      <c r="F314" t="s">
        <v>488</v>
      </c>
      <c r="G314" t="s">
        <v>507</v>
      </c>
      <c r="H314" t="s">
        <v>462</v>
      </c>
      <c r="I314">
        <f t="shared" si="12"/>
        <v>1960</v>
      </c>
      <c r="J314" s="229">
        <v>146974</v>
      </c>
      <c r="K314" s="254">
        <v>838920.79</v>
      </c>
      <c r="L314" s="254">
        <v>870856.93224183167</v>
      </c>
      <c r="M314" s="254">
        <v>-31936.142241831636</v>
      </c>
      <c r="N314" s="255">
        <v>61</v>
      </c>
      <c r="O314" s="256">
        <v>711</v>
      </c>
      <c r="P314" s="254">
        <f t="shared" si="13"/>
        <v>9778240.6834426243</v>
      </c>
    </row>
    <row r="315" spans="1:16" x14ac:dyDescent="0.2">
      <c r="A315" t="s">
        <v>539</v>
      </c>
      <c r="B315" s="253">
        <v>6</v>
      </c>
      <c r="C315" s="257" t="s">
        <v>494</v>
      </c>
      <c r="D315" s="257" t="str">
        <f t="shared" si="14"/>
        <v>6 ST</v>
      </c>
      <c r="E315" t="s">
        <v>487</v>
      </c>
      <c r="F315" t="s">
        <v>488</v>
      </c>
      <c r="G315" t="s">
        <v>506</v>
      </c>
      <c r="H315" t="s">
        <v>462</v>
      </c>
      <c r="I315">
        <f t="shared" si="12"/>
        <v>1959</v>
      </c>
      <c r="J315" s="229">
        <v>147991</v>
      </c>
      <c r="K315" s="254">
        <v>826542.85</v>
      </c>
      <c r="L315" s="254">
        <v>858772.34349719202</v>
      </c>
      <c r="M315" s="254">
        <v>-32229.493497192045</v>
      </c>
      <c r="N315" s="255">
        <v>57</v>
      </c>
      <c r="O315" s="256">
        <v>711</v>
      </c>
      <c r="P315" s="254">
        <f t="shared" si="13"/>
        <v>10310034.49736842</v>
      </c>
    </row>
    <row r="316" spans="1:16" x14ac:dyDescent="0.2">
      <c r="A316" t="s">
        <v>540</v>
      </c>
      <c r="B316" s="253">
        <v>8</v>
      </c>
      <c r="C316" s="257" t="s">
        <v>494</v>
      </c>
      <c r="D316" s="257" t="str">
        <f t="shared" si="14"/>
        <v>8 ST</v>
      </c>
      <c r="E316" t="s">
        <v>487</v>
      </c>
      <c r="F316" t="s">
        <v>488</v>
      </c>
      <c r="G316" t="s">
        <v>461</v>
      </c>
      <c r="H316" t="s">
        <v>462</v>
      </c>
      <c r="I316">
        <f t="shared" si="12"/>
        <v>2008</v>
      </c>
      <c r="J316" s="229">
        <v>50</v>
      </c>
      <c r="K316" s="254">
        <v>46272.11</v>
      </c>
      <c r="L316" s="254">
        <v>3229.2573322721923</v>
      </c>
      <c r="M316" s="254">
        <v>43042.852667727806</v>
      </c>
      <c r="N316" s="255">
        <v>731</v>
      </c>
      <c r="O316" s="256">
        <v>711</v>
      </c>
      <c r="P316" s="254">
        <f t="shared" si="13"/>
        <v>45006.115198358413</v>
      </c>
    </row>
    <row r="317" spans="1:16" x14ac:dyDescent="0.2">
      <c r="A317" t="s">
        <v>540</v>
      </c>
      <c r="B317" s="253">
        <v>8</v>
      </c>
      <c r="C317" s="257" t="s">
        <v>494</v>
      </c>
      <c r="D317" s="257" t="str">
        <f t="shared" si="14"/>
        <v>8 ST</v>
      </c>
      <c r="E317" t="s">
        <v>487</v>
      </c>
      <c r="F317" t="s">
        <v>488</v>
      </c>
      <c r="G317" t="s">
        <v>461</v>
      </c>
      <c r="H317" t="s">
        <v>462</v>
      </c>
      <c r="I317">
        <f t="shared" si="12"/>
        <v>2008</v>
      </c>
      <c r="J317" s="229">
        <v>58</v>
      </c>
      <c r="K317" s="254">
        <v>65978.600000000006</v>
      </c>
      <c r="L317" s="254">
        <v>4604.5479381284777</v>
      </c>
      <c r="M317" s="254">
        <v>61374.052061871531</v>
      </c>
      <c r="N317" s="255">
        <v>731</v>
      </c>
      <c r="O317" s="256">
        <v>711</v>
      </c>
      <c r="P317" s="254">
        <f t="shared" si="13"/>
        <v>64173.439945280443</v>
      </c>
    </row>
    <row r="318" spans="1:16" x14ac:dyDescent="0.2">
      <c r="A318" t="s">
        <v>540</v>
      </c>
      <c r="B318" s="253">
        <v>8</v>
      </c>
      <c r="C318" s="257" t="s">
        <v>494</v>
      </c>
      <c r="D318" s="257" t="str">
        <f t="shared" si="14"/>
        <v>8 ST</v>
      </c>
      <c r="E318" t="s">
        <v>487</v>
      </c>
      <c r="F318" t="s">
        <v>488</v>
      </c>
      <c r="G318" t="s">
        <v>491</v>
      </c>
      <c r="H318" t="s">
        <v>462</v>
      </c>
      <c r="I318">
        <f t="shared" si="12"/>
        <v>1993</v>
      </c>
      <c r="J318" s="229">
        <v>68</v>
      </c>
      <c r="K318" s="254">
        <v>100647.34</v>
      </c>
      <c r="L318" s="254">
        <v>56685.438999325779</v>
      </c>
      <c r="M318" s="254">
        <v>43961.901000674217</v>
      </c>
      <c r="N318" s="255">
        <v>324</v>
      </c>
      <c r="O318" s="256">
        <v>711</v>
      </c>
      <c r="P318" s="254">
        <f t="shared" si="13"/>
        <v>220864.99611111113</v>
      </c>
    </row>
    <row r="319" spans="1:16" x14ac:dyDescent="0.2">
      <c r="A319" t="s">
        <v>540</v>
      </c>
      <c r="B319" s="253">
        <v>8</v>
      </c>
      <c r="C319" s="257" t="s">
        <v>494</v>
      </c>
      <c r="D319" s="257" t="str">
        <f t="shared" si="14"/>
        <v>8 ST</v>
      </c>
      <c r="E319" t="s">
        <v>487</v>
      </c>
      <c r="F319" t="s">
        <v>488</v>
      </c>
      <c r="G319" t="s">
        <v>524</v>
      </c>
      <c r="H319" t="s">
        <v>462</v>
      </c>
      <c r="I319">
        <f t="shared" si="12"/>
        <v>1975</v>
      </c>
      <c r="J319" s="229">
        <v>70</v>
      </c>
      <c r="K319" s="254">
        <v>7400.02</v>
      </c>
      <c r="L319" s="254">
        <v>7212.3257802758699</v>
      </c>
      <c r="M319" s="254">
        <v>187.69421972413056</v>
      </c>
      <c r="N319" s="255">
        <v>134</v>
      </c>
      <c r="O319" s="256">
        <v>711</v>
      </c>
      <c r="P319" s="254">
        <f t="shared" si="13"/>
        <v>39264.285223880601</v>
      </c>
    </row>
    <row r="320" spans="1:16" x14ac:dyDescent="0.2">
      <c r="A320" t="s">
        <v>540</v>
      </c>
      <c r="B320" s="253">
        <v>8</v>
      </c>
      <c r="C320" s="257" t="s">
        <v>494</v>
      </c>
      <c r="D320" s="257" t="str">
        <f t="shared" si="14"/>
        <v>8 ST</v>
      </c>
      <c r="E320" t="s">
        <v>487</v>
      </c>
      <c r="F320" t="s">
        <v>488</v>
      </c>
      <c r="G320" t="s">
        <v>530</v>
      </c>
      <c r="H320" t="s">
        <v>462</v>
      </c>
      <c r="I320">
        <f t="shared" si="12"/>
        <v>1965</v>
      </c>
      <c r="J320" s="229">
        <v>88</v>
      </c>
      <c r="K320" s="254">
        <v>671.38</v>
      </c>
      <c r="L320" s="254">
        <v>691.62681513855557</v>
      </c>
      <c r="M320" s="254">
        <v>-20.246815138555576</v>
      </c>
      <c r="N320" s="255">
        <v>70</v>
      </c>
      <c r="O320" s="256">
        <v>711</v>
      </c>
      <c r="P320" s="254">
        <f t="shared" si="13"/>
        <v>6819.3025714285714</v>
      </c>
    </row>
    <row r="321" spans="1:16" x14ac:dyDescent="0.2">
      <c r="A321" t="s">
        <v>540</v>
      </c>
      <c r="B321" s="253">
        <v>8</v>
      </c>
      <c r="C321" s="257" t="s">
        <v>494</v>
      </c>
      <c r="D321" s="257" t="str">
        <f t="shared" si="14"/>
        <v>8 ST</v>
      </c>
      <c r="E321" t="s">
        <v>487</v>
      </c>
      <c r="F321" t="s">
        <v>488</v>
      </c>
      <c r="G321" t="s">
        <v>468</v>
      </c>
      <c r="H321" t="s">
        <v>462</v>
      </c>
      <c r="I321">
        <f t="shared" si="12"/>
        <v>2009</v>
      </c>
      <c r="J321" s="229">
        <v>252</v>
      </c>
      <c r="K321" s="254">
        <v>148148.64000000001</v>
      </c>
      <c r="L321" s="254">
        <v>6285.4437342613819</v>
      </c>
      <c r="M321" s="254">
        <v>141863.19626573863</v>
      </c>
      <c r="N321" s="255">
        <v>673</v>
      </c>
      <c r="O321" s="256">
        <v>711</v>
      </c>
      <c r="P321" s="254">
        <f t="shared" si="13"/>
        <v>156513.64493313522</v>
      </c>
    </row>
    <row r="322" spans="1:16" x14ac:dyDescent="0.2">
      <c r="A322" t="s">
        <v>540</v>
      </c>
      <c r="B322" s="253">
        <v>8</v>
      </c>
      <c r="C322" s="257" t="s">
        <v>494</v>
      </c>
      <c r="D322" s="257" t="str">
        <f t="shared" si="14"/>
        <v>8 ST</v>
      </c>
      <c r="E322" t="s">
        <v>487</v>
      </c>
      <c r="F322" t="s">
        <v>488</v>
      </c>
      <c r="G322" t="s">
        <v>468</v>
      </c>
      <c r="H322" t="s">
        <v>462</v>
      </c>
      <c r="I322">
        <f t="shared" ref="I322:I385" si="15">+G322*1</f>
        <v>2009</v>
      </c>
      <c r="J322" s="229">
        <v>259</v>
      </c>
      <c r="K322" s="254">
        <v>316000.2</v>
      </c>
      <c r="L322" s="254">
        <v>13406.817878618012</v>
      </c>
      <c r="M322" s="254">
        <v>302593.38212138199</v>
      </c>
      <c r="N322" s="255">
        <v>673</v>
      </c>
      <c r="O322" s="256">
        <v>711</v>
      </c>
      <c r="P322" s="254">
        <f t="shared" ref="P322:P385" si="16">+(O322/N322)*K322</f>
        <v>333842.70757800894</v>
      </c>
    </row>
    <row r="323" spans="1:16" x14ac:dyDescent="0.2">
      <c r="A323" t="s">
        <v>540</v>
      </c>
      <c r="B323" s="253">
        <v>8</v>
      </c>
      <c r="C323" s="257" t="s">
        <v>494</v>
      </c>
      <c r="D323" s="257" t="str">
        <f t="shared" si="14"/>
        <v>8 ST</v>
      </c>
      <c r="E323" t="s">
        <v>487</v>
      </c>
      <c r="F323" t="s">
        <v>488</v>
      </c>
      <c r="G323" t="s">
        <v>516</v>
      </c>
      <c r="H323" t="s">
        <v>462</v>
      </c>
      <c r="I323">
        <f t="shared" si="15"/>
        <v>1988</v>
      </c>
      <c r="J323" s="229">
        <v>473</v>
      </c>
      <c r="K323" s="254">
        <v>85325.6</v>
      </c>
      <c r="L323" s="254">
        <v>61729.088831341913</v>
      </c>
      <c r="M323" s="254">
        <v>23596.511168658093</v>
      </c>
      <c r="N323" s="255">
        <v>286</v>
      </c>
      <c r="O323" s="256">
        <v>711</v>
      </c>
      <c r="P323" s="254">
        <f t="shared" si="16"/>
        <v>212120.63496503496</v>
      </c>
    </row>
    <row r="324" spans="1:16" x14ac:dyDescent="0.2">
      <c r="A324" t="s">
        <v>540</v>
      </c>
      <c r="B324" s="253">
        <v>8</v>
      </c>
      <c r="C324" s="257" t="s">
        <v>494</v>
      </c>
      <c r="D324" s="257" t="str">
        <f t="shared" si="14"/>
        <v>8 ST</v>
      </c>
      <c r="E324" t="s">
        <v>487</v>
      </c>
      <c r="F324" t="s">
        <v>488</v>
      </c>
      <c r="G324" t="s">
        <v>517</v>
      </c>
      <c r="H324" t="s">
        <v>462</v>
      </c>
      <c r="I324">
        <f t="shared" si="15"/>
        <v>1983</v>
      </c>
      <c r="J324" s="229">
        <v>527</v>
      </c>
      <c r="K324" s="254">
        <v>16803.97</v>
      </c>
      <c r="L324" s="254">
        <v>14297.61144610181</v>
      </c>
      <c r="M324" s="254">
        <v>2506.3585538981915</v>
      </c>
      <c r="N324" s="255">
        <v>260</v>
      </c>
      <c r="O324" s="256">
        <v>711</v>
      </c>
      <c r="P324" s="254">
        <f t="shared" si="16"/>
        <v>45952.394884615387</v>
      </c>
    </row>
    <row r="325" spans="1:16" x14ac:dyDescent="0.2">
      <c r="A325" t="s">
        <v>540</v>
      </c>
      <c r="B325" s="253">
        <v>8</v>
      </c>
      <c r="C325" s="257" t="s">
        <v>494</v>
      </c>
      <c r="D325" s="257" t="str">
        <f t="shared" si="14"/>
        <v>8 ST</v>
      </c>
      <c r="E325" t="s">
        <v>487</v>
      </c>
      <c r="F325" t="s">
        <v>488</v>
      </c>
      <c r="G325" t="s">
        <v>521</v>
      </c>
      <c r="H325" t="s">
        <v>462</v>
      </c>
      <c r="I325">
        <f t="shared" si="15"/>
        <v>1980</v>
      </c>
      <c r="J325" s="229">
        <v>542</v>
      </c>
      <c r="K325" s="254">
        <v>38907.06</v>
      </c>
      <c r="L325" s="254">
        <v>35342.523469577121</v>
      </c>
      <c r="M325" s="254">
        <v>3564.5365304228762</v>
      </c>
      <c r="N325" s="255">
        <v>204</v>
      </c>
      <c r="O325" s="256">
        <v>711</v>
      </c>
      <c r="P325" s="254">
        <f t="shared" si="16"/>
        <v>135602.54735294118</v>
      </c>
    </row>
    <row r="326" spans="1:16" x14ac:dyDescent="0.2">
      <c r="A326" t="s">
        <v>540</v>
      </c>
      <c r="B326" s="253">
        <v>8</v>
      </c>
      <c r="C326" s="257" t="s">
        <v>494</v>
      </c>
      <c r="D326" s="257" t="str">
        <f t="shared" si="14"/>
        <v>8 ST</v>
      </c>
      <c r="E326" t="s">
        <v>487</v>
      </c>
      <c r="F326" t="s">
        <v>488</v>
      </c>
      <c r="G326" t="s">
        <v>461</v>
      </c>
      <c r="H326" t="s">
        <v>462</v>
      </c>
      <c r="I326">
        <f t="shared" si="15"/>
        <v>2008</v>
      </c>
      <c r="J326" s="229">
        <v>578</v>
      </c>
      <c r="K326" s="254">
        <v>327878.45</v>
      </c>
      <c r="L326" s="254">
        <v>22882.14922274436</v>
      </c>
      <c r="M326" s="254">
        <v>304996.30077725567</v>
      </c>
      <c r="N326" s="255">
        <v>731</v>
      </c>
      <c r="O326" s="256">
        <v>711</v>
      </c>
      <c r="P326" s="254">
        <f t="shared" si="16"/>
        <v>318907.76737346099</v>
      </c>
    </row>
    <row r="327" spans="1:16" x14ac:dyDescent="0.2">
      <c r="A327" t="s">
        <v>540</v>
      </c>
      <c r="B327" s="253">
        <v>8</v>
      </c>
      <c r="C327" s="257" t="s">
        <v>494</v>
      </c>
      <c r="D327" s="257" t="str">
        <f t="shared" si="14"/>
        <v>8 ST</v>
      </c>
      <c r="E327" t="s">
        <v>487</v>
      </c>
      <c r="F327" t="s">
        <v>488</v>
      </c>
      <c r="G327" t="s">
        <v>468</v>
      </c>
      <c r="H327" t="s">
        <v>462</v>
      </c>
      <c r="I327">
        <f t="shared" si="15"/>
        <v>2009</v>
      </c>
      <c r="J327" s="229">
        <v>845</v>
      </c>
      <c r="K327" s="254">
        <v>430862.13</v>
      </c>
      <c r="L327" s="254">
        <v>18280.016335330605</v>
      </c>
      <c r="M327" s="254">
        <v>412582.11366466939</v>
      </c>
      <c r="N327" s="255">
        <v>673</v>
      </c>
      <c r="O327" s="256">
        <v>711</v>
      </c>
      <c r="P327" s="254">
        <f t="shared" si="16"/>
        <v>455190.15517087671</v>
      </c>
    </row>
    <row r="328" spans="1:16" x14ac:dyDescent="0.2">
      <c r="A328" t="s">
        <v>540</v>
      </c>
      <c r="B328" s="253">
        <v>8</v>
      </c>
      <c r="C328" s="257" t="s">
        <v>494</v>
      </c>
      <c r="D328" s="257" t="str">
        <f t="shared" si="14"/>
        <v>8 ST</v>
      </c>
      <c r="E328" t="s">
        <v>487</v>
      </c>
      <c r="F328" t="s">
        <v>488</v>
      </c>
      <c r="G328" t="s">
        <v>468</v>
      </c>
      <c r="H328" t="s">
        <v>462</v>
      </c>
      <c r="I328">
        <f t="shared" si="15"/>
        <v>2009</v>
      </c>
      <c r="J328" s="229">
        <v>897</v>
      </c>
      <c r="K328" s="254">
        <v>763822.07</v>
      </c>
      <c r="L328" s="254">
        <v>32406.37420170215</v>
      </c>
      <c r="M328" s="254">
        <v>731415.69579829776</v>
      </c>
      <c r="N328" s="255">
        <v>673</v>
      </c>
      <c r="O328" s="256">
        <v>711</v>
      </c>
      <c r="P328" s="254">
        <f t="shared" si="16"/>
        <v>806950.21065378899</v>
      </c>
    </row>
    <row r="329" spans="1:16" x14ac:dyDescent="0.2">
      <c r="A329" t="s">
        <v>540</v>
      </c>
      <c r="B329" s="253">
        <v>8</v>
      </c>
      <c r="C329" s="257" t="s">
        <v>494</v>
      </c>
      <c r="D329" s="257" t="str">
        <f t="shared" si="14"/>
        <v>8 ST</v>
      </c>
      <c r="E329" t="s">
        <v>487</v>
      </c>
      <c r="F329" t="s">
        <v>488</v>
      </c>
      <c r="G329" t="s">
        <v>486</v>
      </c>
      <c r="H329" t="s">
        <v>462</v>
      </c>
      <c r="I329">
        <f t="shared" si="15"/>
        <v>1978</v>
      </c>
      <c r="J329" s="229">
        <v>1029</v>
      </c>
      <c r="K329" s="254">
        <v>22289.54</v>
      </c>
      <c r="L329" s="254">
        <v>20930.802247465577</v>
      </c>
      <c r="M329" s="254">
        <v>1358.7377525344236</v>
      </c>
      <c r="N329" s="255">
        <v>173</v>
      </c>
      <c r="O329" s="256">
        <v>711</v>
      </c>
      <c r="P329" s="254">
        <f t="shared" si="16"/>
        <v>91606.144161849719</v>
      </c>
    </row>
    <row r="330" spans="1:16" x14ac:dyDescent="0.2">
      <c r="A330" t="s">
        <v>540</v>
      </c>
      <c r="B330" s="253">
        <v>8</v>
      </c>
      <c r="C330" s="257" t="s">
        <v>494</v>
      </c>
      <c r="D330" s="257" t="str">
        <f t="shared" si="14"/>
        <v>8 ST</v>
      </c>
      <c r="E330" t="s">
        <v>487</v>
      </c>
      <c r="F330" t="s">
        <v>488</v>
      </c>
      <c r="G330" t="s">
        <v>468</v>
      </c>
      <c r="H330" t="s">
        <v>462</v>
      </c>
      <c r="I330">
        <f t="shared" si="15"/>
        <v>2009</v>
      </c>
      <c r="J330" s="229">
        <v>1124</v>
      </c>
      <c r="K330" s="254">
        <v>787845.08</v>
      </c>
      <c r="L330" s="254">
        <v>33425.591504037147</v>
      </c>
      <c r="M330" s="254">
        <v>754419.48849596281</v>
      </c>
      <c r="N330" s="255">
        <v>673</v>
      </c>
      <c r="O330" s="256">
        <v>711</v>
      </c>
      <c r="P330" s="254">
        <f t="shared" si="16"/>
        <v>832329.64618127781</v>
      </c>
    </row>
    <row r="331" spans="1:16" x14ac:dyDescent="0.2">
      <c r="A331" t="s">
        <v>540</v>
      </c>
      <c r="B331" s="253">
        <v>8</v>
      </c>
      <c r="C331" s="257" t="s">
        <v>494</v>
      </c>
      <c r="D331" s="257" t="str">
        <f t="shared" si="14"/>
        <v>8 ST</v>
      </c>
      <c r="E331" t="s">
        <v>487</v>
      </c>
      <c r="F331" t="s">
        <v>488</v>
      </c>
      <c r="G331" t="s">
        <v>463</v>
      </c>
      <c r="H331" t="s">
        <v>462</v>
      </c>
      <c r="I331">
        <f t="shared" si="15"/>
        <v>1984</v>
      </c>
      <c r="J331" s="229">
        <v>1183</v>
      </c>
      <c r="K331" s="254">
        <v>82265.009999999995</v>
      </c>
      <c r="L331" s="254">
        <v>68154.691003815155</v>
      </c>
      <c r="M331" s="254">
        <v>14110.31899618484</v>
      </c>
      <c r="N331" s="255">
        <v>271</v>
      </c>
      <c r="O331" s="256">
        <v>711</v>
      </c>
      <c r="P331" s="254">
        <f t="shared" si="16"/>
        <v>215831.81590405904</v>
      </c>
    </row>
    <row r="332" spans="1:16" x14ac:dyDescent="0.2">
      <c r="A332" t="s">
        <v>540</v>
      </c>
      <c r="B332" s="253">
        <v>8</v>
      </c>
      <c r="C332" s="257" t="s">
        <v>494</v>
      </c>
      <c r="D332" s="257" t="str">
        <f t="shared" si="14"/>
        <v>8 ST</v>
      </c>
      <c r="E332" t="s">
        <v>487</v>
      </c>
      <c r="F332" t="s">
        <v>488</v>
      </c>
      <c r="G332" t="s">
        <v>489</v>
      </c>
      <c r="H332" t="s">
        <v>462</v>
      </c>
      <c r="I332">
        <f t="shared" si="15"/>
        <v>1990</v>
      </c>
      <c r="J332" s="229">
        <v>1266</v>
      </c>
      <c r="K332" s="254">
        <v>187048.66</v>
      </c>
      <c r="L332" s="254">
        <v>123925.73681779993</v>
      </c>
      <c r="M332" s="254">
        <v>63122.923182200073</v>
      </c>
      <c r="N332" s="255">
        <v>304</v>
      </c>
      <c r="O332" s="256">
        <v>711</v>
      </c>
      <c r="P332" s="254">
        <f t="shared" si="16"/>
        <v>437472.35940789472</v>
      </c>
    </row>
    <row r="333" spans="1:16" x14ac:dyDescent="0.2">
      <c r="A333" t="s">
        <v>540</v>
      </c>
      <c r="B333" s="253">
        <v>8</v>
      </c>
      <c r="C333" s="257" t="s">
        <v>494</v>
      </c>
      <c r="D333" s="257" t="str">
        <f t="shared" si="14"/>
        <v>8 ST</v>
      </c>
      <c r="E333" t="s">
        <v>487</v>
      </c>
      <c r="F333" t="s">
        <v>488</v>
      </c>
      <c r="G333" t="s">
        <v>469</v>
      </c>
      <c r="H333" t="s">
        <v>462</v>
      </c>
      <c r="I333">
        <f t="shared" si="15"/>
        <v>2010</v>
      </c>
      <c r="J333" s="229">
        <v>1292</v>
      </c>
      <c r="K333" s="254">
        <v>662997.62</v>
      </c>
      <c r="L333" s="254">
        <v>9701.8754905452333</v>
      </c>
      <c r="M333" s="254">
        <v>653295.74450945482</v>
      </c>
      <c r="N333" s="255">
        <v>711</v>
      </c>
      <c r="O333" s="256">
        <v>711</v>
      </c>
      <c r="P333" s="254">
        <f t="shared" si="16"/>
        <v>662997.62</v>
      </c>
    </row>
    <row r="334" spans="1:16" x14ac:dyDescent="0.2">
      <c r="A334" t="s">
        <v>540</v>
      </c>
      <c r="B334" s="253">
        <v>8</v>
      </c>
      <c r="C334" s="257" t="s">
        <v>494</v>
      </c>
      <c r="D334" s="257" t="str">
        <f t="shared" si="14"/>
        <v>8 ST</v>
      </c>
      <c r="E334" t="s">
        <v>487</v>
      </c>
      <c r="F334" t="s">
        <v>488</v>
      </c>
      <c r="G334" t="s">
        <v>527</v>
      </c>
      <c r="H334" t="s">
        <v>462</v>
      </c>
      <c r="I334">
        <f t="shared" si="15"/>
        <v>1971</v>
      </c>
      <c r="J334" s="229">
        <v>1663</v>
      </c>
      <c r="K334" s="254">
        <v>23152.89</v>
      </c>
      <c r="L334" s="254">
        <v>23294.729589283728</v>
      </c>
      <c r="M334" s="254">
        <v>-141.83958928372886</v>
      </c>
      <c r="N334" s="255">
        <v>92</v>
      </c>
      <c r="O334" s="256">
        <v>711</v>
      </c>
      <c r="P334" s="254">
        <f t="shared" si="16"/>
        <v>178931.57380434783</v>
      </c>
    </row>
    <row r="335" spans="1:16" x14ac:dyDescent="0.2">
      <c r="A335" t="s">
        <v>540</v>
      </c>
      <c r="B335" s="253">
        <v>8</v>
      </c>
      <c r="C335" s="257" t="s">
        <v>494</v>
      </c>
      <c r="D335" s="257" t="str">
        <f t="shared" si="14"/>
        <v>8 ST</v>
      </c>
      <c r="E335" t="s">
        <v>487</v>
      </c>
      <c r="F335" t="s">
        <v>488</v>
      </c>
      <c r="G335" t="s">
        <v>525</v>
      </c>
      <c r="H335" t="s">
        <v>462</v>
      </c>
      <c r="I335">
        <f t="shared" si="15"/>
        <v>1974</v>
      </c>
      <c r="J335" s="229">
        <v>1753</v>
      </c>
      <c r="K335" s="254">
        <v>56385.55</v>
      </c>
      <c r="L335" s="254">
        <v>55485.751902999466</v>
      </c>
      <c r="M335" s="254">
        <v>899.79809700053738</v>
      </c>
      <c r="N335" s="255">
        <v>117</v>
      </c>
      <c r="O335" s="256">
        <v>711</v>
      </c>
      <c r="P335" s="254">
        <f t="shared" si="16"/>
        <v>342650.65</v>
      </c>
    </row>
    <row r="336" spans="1:16" x14ac:dyDescent="0.2">
      <c r="A336" t="s">
        <v>540</v>
      </c>
      <c r="B336" s="253">
        <v>8</v>
      </c>
      <c r="C336" s="257" t="s">
        <v>494</v>
      </c>
      <c r="D336" s="257" t="str">
        <f t="shared" si="14"/>
        <v>8 ST</v>
      </c>
      <c r="E336" t="s">
        <v>487</v>
      </c>
      <c r="F336" t="s">
        <v>488</v>
      </c>
      <c r="G336" t="s">
        <v>470</v>
      </c>
      <c r="H336" t="s">
        <v>462</v>
      </c>
      <c r="I336">
        <f t="shared" si="15"/>
        <v>2007</v>
      </c>
      <c r="J336" s="229">
        <v>2328</v>
      </c>
      <c r="K336" s="254">
        <v>1449120.54</v>
      </c>
      <c r="L336" s="254">
        <v>141378.89255989707</v>
      </c>
      <c r="M336" s="254">
        <v>1307741.6474401029</v>
      </c>
      <c r="N336" s="255">
        <v>608</v>
      </c>
      <c r="O336" s="256">
        <v>711</v>
      </c>
      <c r="P336" s="254">
        <f t="shared" si="16"/>
        <v>1694612.9999013157</v>
      </c>
    </row>
    <row r="337" spans="1:16" x14ac:dyDescent="0.2">
      <c r="A337" t="s">
        <v>540</v>
      </c>
      <c r="B337" s="253">
        <v>8</v>
      </c>
      <c r="C337" s="257" t="s">
        <v>494</v>
      </c>
      <c r="D337" s="257" t="str">
        <f t="shared" si="14"/>
        <v>8 ST</v>
      </c>
      <c r="E337" t="s">
        <v>487</v>
      </c>
      <c r="F337" t="s">
        <v>488</v>
      </c>
      <c r="G337" t="s">
        <v>533</v>
      </c>
      <c r="H337" t="s">
        <v>462</v>
      </c>
      <c r="I337">
        <f t="shared" si="15"/>
        <v>1969</v>
      </c>
      <c r="J337" s="229">
        <v>2398</v>
      </c>
      <c r="K337" s="254">
        <v>29274.89</v>
      </c>
      <c r="L337" s="254">
        <v>29761.305289301956</v>
      </c>
      <c r="M337" s="254">
        <v>-486.41528930195636</v>
      </c>
      <c r="N337" s="255">
        <v>82</v>
      </c>
      <c r="O337" s="256">
        <v>711</v>
      </c>
      <c r="P337" s="254">
        <f t="shared" si="16"/>
        <v>253834.71695121948</v>
      </c>
    </row>
    <row r="338" spans="1:16" x14ac:dyDescent="0.2">
      <c r="A338" t="s">
        <v>540</v>
      </c>
      <c r="B338" s="253">
        <v>8</v>
      </c>
      <c r="C338" s="257" t="s">
        <v>494</v>
      </c>
      <c r="D338" s="257" t="str">
        <f t="shared" si="14"/>
        <v>8 ST</v>
      </c>
      <c r="E338" t="s">
        <v>487</v>
      </c>
      <c r="F338" t="s">
        <v>488</v>
      </c>
      <c r="G338" t="s">
        <v>529</v>
      </c>
      <c r="H338" t="s">
        <v>462</v>
      </c>
      <c r="I338">
        <f t="shared" si="15"/>
        <v>1973</v>
      </c>
      <c r="J338" s="229">
        <v>2561</v>
      </c>
      <c r="K338" s="254">
        <v>52554.6</v>
      </c>
      <c r="L338" s="254">
        <v>52153.431832763461</v>
      </c>
      <c r="M338" s="254">
        <v>401.16816723653756</v>
      </c>
      <c r="N338" s="255">
        <v>100</v>
      </c>
      <c r="O338" s="256">
        <v>711</v>
      </c>
      <c r="P338" s="254">
        <f t="shared" si="16"/>
        <v>373663.20600000001</v>
      </c>
    </row>
    <row r="339" spans="1:16" x14ac:dyDescent="0.2">
      <c r="A339" t="s">
        <v>540</v>
      </c>
      <c r="B339" s="253">
        <v>8</v>
      </c>
      <c r="C339" s="257" t="s">
        <v>494</v>
      </c>
      <c r="D339" s="257" t="str">
        <f t="shared" si="14"/>
        <v>8 ST</v>
      </c>
      <c r="E339" t="s">
        <v>487</v>
      </c>
      <c r="F339" t="s">
        <v>488</v>
      </c>
      <c r="G339" t="s">
        <v>469</v>
      </c>
      <c r="H339" t="s">
        <v>462</v>
      </c>
      <c r="I339">
        <f t="shared" si="15"/>
        <v>2010</v>
      </c>
      <c r="J339" s="229">
        <v>3774</v>
      </c>
      <c r="K339" s="254">
        <v>2685238.93</v>
      </c>
      <c r="L339" s="254">
        <v>39294.025141741695</v>
      </c>
      <c r="M339" s="254">
        <v>2645944.9048582586</v>
      </c>
      <c r="N339" s="255">
        <v>711</v>
      </c>
      <c r="O339" s="256">
        <v>711</v>
      </c>
      <c r="P339" s="254">
        <f t="shared" si="16"/>
        <v>2685238.93</v>
      </c>
    </row>
    <row r="340" spans="1:16" x14ac:dyDescent="0.2">
      <c r="A340" t="s">
        <v>540</v>
      </c>
      <c r="B340" s="253">
        <v>8</v>
      </c>
      <c r="C340" s="257" t="s">
        <v>494</v>
      </c>
      <c r="D340" s="257" t="str">
        <f t="shared" si="14"/>
        <v>8 ST</v>
      </c>
      <c r="E340" t="s">
        <v>487</v>
      </c>
      <c r="F340" t="s">
        <v>488</v>
      </c>
      <c r="G340" t="s">
        <v>520</v>
      </c>
      <c r="H340" t="s">
        <v>462</v>
      </c>
      <c r="I340">
        <f t="shared" si="15"/>
        <v>1981</v>
      </c>
      <c r="J340" s="229">
        <v>3855</v>
      </c>
      <c r="K340" s="254">
        <v>104390.31</v>
      </c>
      <c r="L340" s="254">
        <v>92989.264245176353</v>
      </c>
      <c r="M340" s="254">
        <v>11401.045754823645</v>
      </c>
      <c r="N340" s="255">
        <v>231</v>
      </c>
      <c r="O340" s="256">
        <v>711</v>
      </c>
      <c r="P340" s="254">
        <f t="shared" si="16"/>
        <v>321305.23987012985</v>
      </c>
    </row>
    <row r="341" spans="1:16" x14ac:dyDescent="0.2">
      <c r="A341" t="s">
        <v>540</v>
      </c>
      <c r="B341" s="253">
        <v>8</v>
      </c>
      <c r="C341" s="257" t="s">
        <v>494</v>
      </c>
      <c r="D341" s="257" t="str">
        <f t="shared" si="14"/>
        <v>8 ST</v>
      </c>
      <c r="E341" t="s">
        <v>487</v>
      </c>
      <c r="F341" t="s">
        <v>488</v>
      </c>
      <c r="G341" t="s">
        <v>523</v>
      </c>
      <c r="H341" t="s">
        <v>462</v>
      </c>
      <c r="I341">
        <f t="shared" si="15"/>
        <v>1987</v>
      </c>
      <c r="J341" s="229">
        <v>4238</v>
      </c>
      <c r="K341" s="254">
        <v>307473.55</v>
      </c>
      <c r="L341" s="254">
        <v>231200.32031955881</v>
      </c>
      <c r="M341" s="254">
        <v>76273.229680441174</v>
      </c>
      <c r="N341" s="255">
        <v>268</v>
      </c>
      <c r="O341" s="256">
        <v>711</v>
      </c>
      <c r="P341" s="254">
        <f t="shared" si="16"/>
        <v>815722.73899253726</v>
      </c>
    </row>
    <row r="342" spans="1:16" x14ac:dyDescent="0.2">
      <c r="A342" t="s">
        <v>540</v>
      </c>
      <c r="B342" s="253">
        <v>8</v>
      </c>
      <c r="C342" s="257" t="s">
        <v>494</v>
      </c>
      <c r="D342" s="257" t="str">
        <f t="shared" si="14"/>
        <v>8 ST</v>
      </c>
      <c r="E342" t="s">
        <v>487</v>
      </c>
      <c r="F342" t="s">
        <v>488</v>
      </c>
      <c r="G342" t="s">
        <v>528</v>
      </c>
      <c r="H342" t="s">
        <v>462</v>
      </c>
      <c r="I342">
        <f t="shared" si="15"/>
        <v>1972</v>
      </c>
      <c r="J342" s="229">
        <v>4382</v>
      </c>
      <c r="K342" s="254">
        <v>53139.5</v>
      </c>
      <c r="L342" s="254">
        <v>53123.543905769111</v>
      </c>
      <c r="M342" s="254">
        <v>15.956094230888993</v>
      </c>
      <c r="N342" s="255">
        <v>96</v>
      </c>
      <c r="O342" s="256">
        <v>711</v>
      </c>
      <c r="P342" s="254">
        <f t="shared" si="16"/>
        <v>393564.421875</v>
      </c>
    </row>
    <row r="343" spans="1:16" x14ac:dyDescent="0.2">
      <c r="A343" t="s">
        <v>540</v>
      </c>
      <c r="B343" s="253">
        <v>8</v>
      </c>
      <c r="C343" s="257" t="s">
        <v>494</v>
      </c>
      <c r="D343" s="257" t="str">
        <f t="shared" si="14"/>
        <v>8 ST</v>
      </c>
      <c r="E343" t="s">
        <v>487</v>
      </c>
      <c r="F343" t="s">
        <v>488</v>
      </c>
      <c r="G343" t="s">
        <v>471</v>
      </c>
      <c r="H343" t="s">
        <v>462</v>
      </c>
      <c r="I343">
        <f t="shared" si="15"/>
        <v>2003</v>
      </c>
      <c r="J343" s="229">
        <v>5039</v>
      </c>
      <c r="K343" s="254">
        <v>1484362.65</v>
      </c>
      <c r="L343" s="254">
        <v>323101.73506185226</v>
      </c>
      <c r="M343" s="254">
        <v>1161260.9149381476</v>
      </c>
      <c r="N343" s="255">
        <v>413</v>
      </c>
      <c r="O343" s="256">
        <v>711</v>
      </c>
      <c r="P343" s="254">
        <f t="shared" si="16"/>
        <v>2555403.9809927358</v>
      </c>
    </row>
    <row r="344" spans="1:16" x14ac:dyDescent="0.2">
      <c r="A344" t="s">
        <v>540</v>
      </c>
      <c r="B344" s="253">
        <v>8</v>
      </c>
      <c r="C344" s="257" t="s">
        <v>494</v>
      </c>
      <c r="D344" s="257" t="str">
        <f t="shared" si="14"/>
        <v>8 ST</v>
      </c>
      <c r="E344" t="s">
        <v>487</v>
      </c>
      <c r="F344" t="s">
        <v>488</v>
      </c>
      <c r="G344" t="s">
        <v>470</v>
      </c>
      <c r="H344" t="s">
        <v>462</v>
      </c>
      <c r="I344">
        <f t="shared" si="15"/>
        <v>2007</v>
      </c>
      <c r="J344" s="229">
        <v>5215</v>
      </c>
      <c r="K344" s="254">
        <v>2254470</v>
      </c>
      <c r="L344" s="254">
        <v>219950.27391703535</v>
      </c>
      <c r="M344" s="254">
        <v>2034519.7260829646</v>
      </c>
      <c r="N344" s="255">
        <v>608</v>
      </c>
      <c r="O344" s="256">
        <v>711</v>
      </c>
      <c r="P344" s="254">
        <f t="shared" si="16"/>
        <v>2636395.0164473681</v>
      </c>
    </row>
    <row r="345" spans="1:16" x14ac:dyDescent="0.2">
      <c r="A345" t="s">
        <v>540</v>
      </c>
      <c r="B345" s="253">
        <v>8</v>
      </c>
      <c r="C345" s="257" t="s">
        <v>494</v>
      </c>
      <c r="D345" s="257" t="str">
        <f t="shared" si="14"/>
        <v>8 ST</v>
      </c>
      <c r="E345" t="s">
        <v>487</v>
      </c>
      <c r="F345" t="s">
        <v>488</v>
      </c>
      <c r="G345" t="s">
        <v>514</v>
      </c>
      <c r="H345" t="s">
        <v>462</v>
      </c>
      <c r="I345">
        <f t="shared" si="15"/>
        <v>1994</v>
      </c>
      <c r="J345" s="229">
        <v>5286</v>
      </c>
      <c r="K345" s="254">
        <v>676192.08</v>
      </c>
      <c r="L345" s="254">
        <v>357431.62900907878</v>
      </c>
      <c r="M345" s="254">
        <v>318760.45099092118</v>
      </c>
      <c r="N345" s="255">
        <v>346</v>
      </c>
      <c r="O345" s="256">
        <v>711</v>
      </c>
      <c r="P345" s="254">
        <f t="shared" si="16"/>
        <v>1389516.0950289017</v>
      </c>
    </row>
    <row r="346" spans="1:16" x14ac:dyDescent="0.2">
      <c r="A346" t="s">
        <v>540</v>
      </c>
      <c r="B346" s="253">
        <v>8</v>
      </c>
      <c r="C346" s="257" t="s">
        <v>494</v>
      </c>
      <c r="D346" s="257" t="str">
        <f t="shared" si="14"/>
        <v>8 ST</v>
      </c>
      <c r="E346" t="s">
        <v>487</v>
      </c>
      <c r="F346" t="s">
        <v>488</v>
      </c>
      <c r="G346" t="s">
        <v>532</v>
      </c>
      <c r="H346" t="s">
        <v>462</v>
      </c>
      <c r="I346">
        <f t="shared" si="15"/>
        <v>1967</v>
      </c>
      <c r="J346" s="229">
        <v>5765</v>
      </c>
      <c r="K346" s="254">
        <v>56559.21</v>
      </c>
      <c r="L346" s="254">
        <v>57942.921425649765</v>
      </c>
      <c r="M346" s="254">
        <v>-1383.7114256497662</v>
      </c>
      <c r="N346" s="255">
        <v>75</v>
      </c>
      <c r="O346" s="256">
        <v>711</v>
      </c>
      <c r="P346" s="254">
        <f t="shared" si="16"/>
        <v>536181.31079999998</v>
      </c>
    </row>
    <row r="347" spans="1:16" x14ac:dyDescent="0.2">
      <c r="A347" t="s">
        <v>540</v>
      </c>
      <c r="B347" s="253">
        <v>8</v>
      </c>
      <c r="C347" s="257" t="s">
        <v>494</v>
      </c>
      <c r="D347" s="257" t="str">
        <f t="shared" si="14"/>
        <v>8 ST</v>
      </c>
      <c r="E347" t="s">
        <v>487</v>
      </c>
      <c r="F347" t="s">
        <v>488</v>
      </c>
      <c r="G347" t="s">
        <v>470</v>
      </c>
      <c r="H347" t="s">
        <v>462</v>
      </c>
      <c r="I347">
        <f t="shared" si="15"/>
        <v>2007</v>
      </c>
      <c r="J347" s="229">
        <v>5900</v>
      </c>
      <c r="K347" s="254">
        <v>2939712.34</v>
      </c>
      <c r="L347" s="254">
        <v>286803.78919734037</v>
      </c>
      <c r="M347" s="254">
        <v>2652908.5508026592</v>
      </c>
      <c r="N347" s="255">
        <v>608</v>
      </c>
      <c r="O347" s="256">
        <v>711</v>
      </c>
      <c r="P347" s="254">
        <f t="shared" si="16"/>
        <v>3437722.8186513153</v>
      </c>
    </row>
    <row r="348" spans="1:16" x14ac:dyDescent="0.2">
      <c r="A348" t="s">
        <v>540</v>
      </c>
      <c r="B348" s="253">
        <v>8</v>
      </c>
      <c r="C348" s="257" t="s">
        <v>494</v>
      </c>
      <c r="D348" s="257" t="str">
        <f t="shared" si="14"/>
        <v>8 ST</v>
      </c>
      <c r="E348" t="s">
        <v>487</v>
      </c>
      <c r="F348" t="s">
        <v>488</v>
      </c>
      <c r="G348" t="s">
        <v>526</v>
      </c>
      <c r="H348" t="s">
        <v>462</v>
      </c>
      <c r="I348">
        <f t="shared" si="15"/>
        <v>1977</v>
      </c>
      <c r="J348" s="229">
        <v>6125</v>
      </c>
      <c r="K348" s="254">
        <v>119710.98</v>
      </c>
      <c r="L348" s="254">
        <v>113990.65435448675</v>
      </c>
      <c r="M348" s="254">
        <v>5720.3256455132505</v>
      </c>
      <c r="N348" s="255">
        <v>157</v>
      </c>
      <c r="O348" s="256">
        <v>711</v>
      </c>
      <c r="P348" s="254">
        <f t="shared" si="16"/>
        <v>542130.61643312091</v>
      </c>
    </row>
    <row r="349" spans="1:16" x14ac:dyDescent="0.2">
      <c r="A349" t="s">
        <v>540</v>
      </c>
      <c r="B349" s="253">
        <v>8</v>
      </c>
      <c r="C349" s="257" t="s">
        <v>494</v>
      </c>
      <c r="D349" s="257" t="str">
        <f t="shared" si="14"/>
        <v>8 ST</v>
      </c>
      <c r="E349" t="s">
        <v>487</v>
      </c>
      <c r="F349" t="s">
        <v>488</v>
      </c>
      <c r="G349" t="s">
        <v>465</v>
      </c>
      <c r="H349" t="s">
        <v>462</v>
      </c>
      <c r="I349">
        <f t="shared" si="15"/>
        <v>1991</v>
      </c>
      <c r="J349" s="229">
        <v>6147</v>
      </c>
      <c r="K349" s="254">
        <v>655085</v>
      </c>
      <c r="L349" s="254">
        <v>412929.23160183593</v>
      </c>
      <c r="M349" s="254">
        <v>242155.76839816407</v>
      </c>
      <c r="N349" s="255">
        <v>312</v>
      </c>
      <c r="O349" s="256">
        <v>711</v>
      </c>
      <c r="P349" s="254">
        <f t="shared" si="16"/>
        <v>1492837.9326923075</v>
      </c>
    </row>
    <row r="350" spans="1:16" x14ac:dyDescent="0.2">
      <c r="A350" t="s">
        <v>540</v>
      </c>
      <c r="B350" s="253">
        <v>8</v>
      </c>
      <c r="C350" s="257" t="s">
        <v>494</v>
      </c>
      <c r="D350" s="257" t="str">
        <f t="shared" si="14"/>
        <v>8 ST</v>
      </c>
      <c r="E350" t="s">
        <v>487</v>
      </c>
      <c r="F350" t="s">
        <v>488</v>
      </c>
      <c r="G350" t="s">
        <v>518</v>
      </c>
      <c r="H350" t="s">
        <v>462</v>
      </c>
      <c r="I350">
        <f t="shared" si="15"/>
        <v>1982</v>
      </c>
      <c r="J350" s="229">
        <v>7261</v>
      </c>
      <c r="K350" s="254">
        <v>190533.03</v>
      </c>
      <c r="L350" s="254">
        <v>166071.26788331327</v>
      </c>
      <c r="M350" s="254">
        <v>24461.762116686732</v>
      </c>
      <c r="N350" s="255">
        <v>252</v>
      </c>
      <c r="O350" s="256">
        <v>711</v>
      </c>
      <c r="P350" s="254">
        <f t="shared" si="16"/>
        <v>537575.3346428572</v>
      </c>
    </row>
    <row r="351" spans="1:16" x14ac:dyDescent="0.2">
      <c r="A351" t="s">
        <v>540</v>
      </c>
      <c r="B351" s="253">
        <v>8</v>
      </c>
      <c r="C351" s="257" t="s">
        <v>494</v>
      </c>
      <c r="D351" s="257" t="str">
        <f t="shared" si="14"/>
        <v>8 ST</v>
      </c>
      <c r="E351" t="s">
        <v>487</v>
      </c>
      <c r="F351" t="s">
        <v>488</v>
      </c>
      <c r="G351" t="s">
        <v>509</v>
      </c>
      <c r="H351" t="s">
        <v>462</v>
      </c>
      <c r="I351">
        <f t="shared" si="15"/>
        <v>1964</v>
      </c>
      <c r="J351" s="229">
        <v>8103</v>
      </c>
      <c r="K351" s="254">
        <v>58092.18</v>
      </c>
      <c r="L351" s="254">
        <v>59971.585486096832</v>
      </c>
      <c r="M351" s="254">
        <v>-1879.4054860968317</v>
      </c>
      <c r="N351" s="255">
        <v>67</v>
      </c>
      <c r="O351" s="256">
        <v>711</v>
      </c>
      <c r="P351" s="254">
        <f t="shared" si="16"/>
        <v>616470.74597014929</v>
      </c>
    </row>
    <row r="352" spans="1:16" x14ac:dyDescent="0.2">
      <c r="A352" t="s">
        <v>540</v>
      </c>
      <c r="B352" s="253">
        <v>8</v>
      </c>
      <c r="C352" s="257" t="s">
        <v>494</v>
      </c>
      <c r="D352" s="257" t="str">
        <f t="shared" si="14"/>
        <v>8 ST</v>
      </c>
      <c r="E352" t="s">
        <v>487</v>
      </c>
      <c r="F352" t="s">
        <v>488</v>
      </c>
      <c r="G352" t="s">
        <v>507</v>
      </c>
      <c r="H352" t="s">
        <v>462</v>
      </c>
      <c r="I352">
        <f t="shared" si="15"/>
        <v>1960</v>
      </c>
      <c r="J352" s="229">
        <v>8569</v>
      </c>
      <c r="K352" s="254">
        <v>96196.54</v>
      </c>
      <c r="L352" s="254">
        <v>99858.564939600008</v>
      </c>
      <c r="M352" s="254">
        <v>-3662.0249396000145</v>
      </c>
      <c r="N352" s="255">
        <v>61</v>
      </c>
      <c r="O352" s="256">
        <v>711</v>
      </c>
      <c r="P352" s="254">
        <f t="shared" si="16"/>
        <v>1121241.6383606556</v>
      </c>
    </row>
    <row r="353" spans="1:16" x14ac:dyDescent="0.2">
      <c r="A353" t="s">
        <v>540</v>
      </c>
      <c r="B353" s="253">
        <v>8</v>
      </c>
      <c r="C353" s="257" t="s">
        <v>494</v>
      </c>
      <c r="D353" s="257" t="str">
        <f t="shared" si="14"/>
        <v>8 ST</v>
      </c>
      <c r="E353" t="s">
        <v>487</v>
      </c>
      <c r="F353" t="s">
        <v>488</v>
      </c>
      <c r="G353" t="s">
        <v>513</v>
      </c>
      <c r="H353" t="s">
        <v>462</v>
      </c>
      <c r="I353">
        <f t="shared" si="15"/>
        <v>1995</v>
      </c>
      <c r="J353" s="229">
        <v>8772</v>
      </c>
      <c r="K353" s="254">
        <v>1396497.41</v>
      </c>
      <c r="L353" s="254">
        <v>689185.94696928945</v>
      </c>
      <c r="M353" s="254">
        <v>707311.46303071047</v>
      </c>
      <c r="N353" s="255">
        <v>358</v>
      </c>
      <c r="O353" s="256">
        <v>711</v>
      </c>
      <c r="P353" s="254">
        <f t="shared" si="16"/>
        <v>2773490.6662290501</v>
      </c>
    </row>
    <row r="354" spans="1:16" x14ac:dyDescent="0.2">
      <c r="A354" t="s">
        <v>540</v>
      </c>
      <c r="B354" s="253">
        <v>8</v>
      </c>
      <c r="C354" s="257" t="s">
        <v>494</v>
      </c>
      <c r="D354" s="257" t="str">
        <f t="shared" si="14"/>
        <v>8 ST</v>
      </c>
      <c r="E354" t="s">
        <v>487</v>
      </c>
      <c r="F354" t="s">
        <v>488</v>
      </c>
      <c r="G354" t="s">
        <v>511</v>
      </c>
      <c r="H354" t="s">
        <v>462</v>
      </c>
      <c r="I354">
        <f t="shared" si="15"/>
        <v>1963</v>
      </c>
      <c r="J354" s="229">
        <v>8806</v>
      </c>
      <c r="K354" s="254">
        <v>82912.100000000006</v>
      </c>
      <c r="L354" s="254">
        <v>85745.996487010969</v>
      </c>
      <c r="M354" s="254">
        <v>-2833.896487010963</v>
      </c>
      <c r="N354" s="255">
        <v>65</v>
      </c>
      <c r="O354" s="256">
        <v>711</v>
      </c>
      <c r="P354" s="254">
        <f t="shared" si="16"/>
        <v>906930.81692307699</v>
      </c>
    </row>
    <row r="355" spans="1:16" x14ac:dyDescent="0.2">
      <c r="A355" t="s">
        <v>540</v>
      </c>
      <c r="B355" s="253">
        <v>8</v>
      </c>
      <c r="C355" s="257" t="s">
        <v>494</v>
      </c>
      <c r="D355" s="257" t="str">
        <f t="shared" si="14"/>
        <v>8 ST</v>
      </c>
      <c r="E355" t="s">
        <v>487</v>
      </c>
      <c r="F355" t="s">
        <v>488</v>
      </c>
      <c r="G355" t="s">
        <v>531</v>
      </c>
      <c r="H355" t="s">
        <v>462</v>
      </c>
      <c r="I355">
        <f t="shared" si="15"/>
        <v>1970</v>
      </c>
      <c r="J355" s="229">
        <v>9110</v>
      </c>
      <c r="K355" s="254">
        <v>94682.38</v>
      </c>
      <c r="L355" s="254">
        <v>95793.701910599746</v>
      </c>
      <c r="M355" s="254">
        <v>-1111.3219105997414</v>
      </c>
      <c r="N355" s="255">
        <v>86</v>
      </c>
      <c r="O355" s="256">
        <v>711</v>
      </c>
      <c r="P355" s="254">
        <f t="shared" si="16"/>
        <v>782781.0718604651</v>
      </c>
    </row>
    <row r="356" spans="1:16" x14ac:dyDescent="0.2">
      <c r="A356" t="s">
        <v>540</v>
      </c>
      <c r="B356" s="253">
        <v>8</v>
      </c>
      <c r="C356" s="257" t="s">
        <v>494</v>
      </c>
      <c r="D356" s="257" t="str">
        <f t="shared" si="14"/>
        <v>8 ST</v>
      </c>
      <c r="E356" t="s">
        <v>487</v>
      </c>
      <c r="F356" t="s">
        <v>488</v>
      </c>
      <c r="G356" t="s">
        <v>479</v>
      </c>
      <c r="H356" t="s">
        <v>462</v>
      </c>
      <c r="I356">
        <f t="shared" si="15"/>
        <v>1998</v>
      </c>
      <c r="J356" s="229">
        <v>9189</v>
      </c>
      <c r="K356" s="254">
        <v>227125.77</v>
      </c>
      <c r="L356" s="254">
        <v>87973.564447097131</v>
      </c>
      <c r="M356" s="254">
        <v>139152.20555290286</v>
      </c>
      <c r="N356" s="255">
        <v>372</v>
      </c>
      <c r="O356" s="256">
        <v>711</v>
      </c>
      <c r="P356" s="254">
        <f t="shared" si="16"/>
        <v>434103.2862096774</v>
      </c>
    </row>
    <row r="357" spans="1:16" x14ac:dyDescent="0.2">
      <c r="A357" t="s">
        <v>540</v>
      </c>
      <c r="B357" s="253">
        <v>8</v>
      </c>
      <c r="C357" s="257" t="s">
        <v>494</v>
      </c>
      <c r="D357" s="257" t="str">
        <f t="shared" si="14"/>
        <v>8 ST</v>
      </c>
      <c r="E357" t="s">
        <v>487</v>
      </c>
      <c r="F357" t="s">
        <v>488</v>
      </c>
      <c r="G357" t="s">
        <v>466</v>
      </c>
      <c r="H357" t="s">
        <v>462</v>
      </c>
      <c r="I357">
        <f t="shared" si="15"/>
        <v>1989</v>
      </c>
      <c r="J357" s="229">
        <v>11493</v>
      </c>
      <c r="K357" s="254">
        <v>354972.81</v>
      </c>
      <c r="L357" s="254">
        <v>246215.26494263095</v>
      </c>
      <c r="M357" s="254">
        <v>108757.54505736905</v>
      </c>
      <c r="N357" s="255">
        <v>300</v>
      </c>
      <c r="O357" s="256">
        <v>711</v>
      </c>
      <c r="P357" s="254">
        <f t="shared" si="16"/>
        <v>841285.55969999998</v>
      </c>
    </row>
    <row r="358" spans="1:16" x14ac:dyDescent="0.2">
      <c r="A358" t="s">
        <v>540</v>
      </c>
      <c r="B358" s="253">
        <v>8</v>
      </c>
      <c r="C358" s="257" t="s">
        <v>494</v>
      </c>
      <c r="D358" s="257" t="str">
        <f t="shared" si="14"/>
        <v>8 ST</v>
      </c>
      <c r="E358" t="s">
        <v>487</v>
      </c>
      <c r="F358" t="s">
        <v>488</v>
      </c>
      <c r="G358" t="s">
        <v>476</v>
      </c>
      <c r="H358" t="s">
        <v>462</v>
      </c>
      <c r="I358">
        <f t="shared" si="15"/>
        <v>2004</v>
      </c>
      <c r="J358" s="229">
        <v>12624</v>
      </c>
      <c r="K358" s="254">
        <v>2445909.64</v>
      </c>
      <c r="L358" s="254">
        <v>455261.06151432992</v>
      </c>
      <c r="M358" s="254">
        <v>1990648.5784856703</v>
      </c>
      <c r="N358" s="255">
        <v>477</v>
      </c>
      <c r="O358" s="256">
        <v>711</v>
      </c>
      <c r="P358" s="254">
        <f t="shared" si="16"/>
        <v>3645789.8407547171</v>
      </c>
    </row>
    <row r="359" spans="1:16" x14ac:dyDescent="0.2">
      <c r="A359" t="s">
        <v>540</v>
      </c>
      <c r="B359" s="253">
        <v>8</v>
      </c>
      <c r="C359" s="257" t="s">
        <v>494</v>
      </c>
      <c r="D359" s="257" t="str">
        <f t="shared" si="14"/>
        <v>8 ST</v>
      </c>
      <c r="E359" t="s">
        <v>487</v>
      </c>
      <c r="F359" t="s">
        <v>488</v>
      </c>
      <c r="G359" t="s">
        <v>508</v>
      </c>
      <c r="H359" t="s">
        <v>462</v>
      </c>
      <c r="I359">
        <f t="shared" si="15"/>
        <v>1961</v>
      </c>
      <c r="J359" s="229">
        <v>13387</v>
      </c>
      <c r="K359" s="254">
        <v>107761.1</v>
      </c>
      <c r="L359" s="254">
        <v>111746.77908252762</v>
      </c>
      <c r="M359" s="254">
        <v>-3985.6790825276112</v>
      </c>
      <c r="N359" s="255">
        <v>63</v>
      </c>
      <c r="O359" s="256">
        <v>711</v>
      </c>
      <c r="P359" s="254">
        <f t="shared" si="16"/>
        <v>1216160.9857142859</v>
      </c>
    </row>
    <row r="360" spans="1:16" x14ac:dyDescent="0.2">
      <c r="A360" t="s">
        <v>540</v>
      </c>
      <c r="B360" s="253">
        <v>8</v>
      </c>
      <c r="C360" s="257" t="s">
        <v>494</v>
      </c>
      <c r="D360" s="257" t="str">
        <f t="shared" si="14"/>
        <v>8 ST</v>
      </c>
      <c r="E360" t="s">
        <v>487</v>
      </c>
      <c r="F360" t="s">
        <v>488</v>
      </c>
      <c r="G360" t="s">
        <v>467</v>
      </c>
      <c r="H360" t="s">
        <v>462</v>
      </c>
      <c r="I360">
        <f t="shared" si="15"/>
        <v>1996</v>
      </c>
      <c r="J360" s="229">
        <v>13593</v>
      </c>
      <c r="K360" s="254">
        <v>1269962.46</v>
      </c>
      <c r="L360" s="254">
        <v>581845.31842224253</v>
      </c>
      <c r="M360" s="254">
        <v>688117.14157775743</v>
      </c>
      <c r="N360" s="255">
        <v>359</v>
      </c>
      <c r="O360" s="256">
        <v>711</v>
      </c>
      <c r="P360" s="254">
        <f t="shared" si="16"/>
        <v>2515162.4207799444</v>
      </c>
    </row>
    <row r="361" spans="1:16" x14ac:dyDescent="0.2">
      <c r="A361" t="s">
        <v>540</v>
      </c>
      <c r="B361" s="253">
        <v>8</v>
      </c>
      <c r="C361" s="257" t="s">
        <v>494</v>
      </c>
      <c r="D361" s="257" t="str">
        <f t="shared" si="14"/>
        <v>8 ST</v>
      </c>
      <c r="E361" t="s">
        <v>487</v>
      </c>
      <c r="F361" t="s">
        <v>488</v>
      </c>
      <c r="G361" t="s">
        <v>522</v>
      </c>
      <c r="H361" t="s">
        <v>462</v>
      </c>
      <c r="I361">
        <f t="shared" si="15"/>
        <v>1976</v>
      </c>
      <c r="J361" s="229">
        <v>14195</v>
      </c>
      <c r="K361" s="254">
        <v>174734.74</v>
      </c>
      <c r="L361" s="254">
        <v>168453.9215836986</v>
      </c>
      <c r="M361" s="254">
        <v>6280.8184163013939</v>
      </c>
      <c r="N361" s="255">
        <v>146</v>
      </c>
      <c r="O361" s="256">
        <v>711</v>
      </c>
      <c r="P361" s="254">
        <f t="shared" si="16"/>
        <v>850934.24753424653</v>
      </c>
    </row>
    <row r="362" spans="1:16" x14ac:dyDescent="0.2">
      <c r="A362" t="s">
        <v>540</v>
      </c>
      <c r="B362" s="253">
        <v>8</v>
      </c>
      <c r="C362" s="257" t="s">
        <v>494</v>
      </c>
      <c r="D362" s="257" t="str">
        <f t="shared" si="14"/>
        <v>8 ST</v>
      </c>
      <c r="E362" t="s">
        <v>487</v>
      </c>
      <c r="F362" t="s">
        <v>488</v>
      </c>
      <c r="G362" t="s">
        <v>510</v>
      </c>
      <c r="H362" t="s">
        <v>462</v>
      </c>
      <c r="I362">
        <f t="shared" si="15"/>
        <v>1962</v>
      </c>
      <c r="J362" s="229">
        <v>14201</v>
      </c>
      <c r="K362" s="254">
        <v>109630.35</v>
      </c>
      <c r="L362" s="254">
        <v>113544.82158289662</v>
      </c>
      <c r="M362" s="254">
        <v>-3914.4715828966146</v>
      </c>
      <c r="N362" s="255">
        <v>64</v>
      </c>
      <c r="O362" s="256">
        <v>711</v>
      </c>
      <c r="P362" s="254">
        <f t="shared" si="16"/>
        <v>1217924.6695312501</v>
      </c>
    </row>
    <row r="363" spans="1:16" x14ac:dyDescent="0.2">
      <c r="A363" t="s">
        <v>540</v>
      </c>
      <c r="B363" s="253">
        <v>8</v>
      </c>
      <c r="C363" s="257" t="s">
        <v>494</v>
      </c>
      <c r="D363" s="257" t="str">
        <f t="shared" si="14"/>
        <v>8 ST</v>
      </c>
      <c r="E363" t="s">
        <v>487</v>
      </c>
      <c r="F363" t="s">
        <v>488</v>
      </c>
      <c r="G363" t="s">
        <v>480</v>
      </c>
      <c r="H363" t="s">
        <v>462</v>
      </c>
      <c r="I363">
        <f t="shared" si="15"/>
        <v>1999</v>
      </c>
      <c r="J363" s="229">
        <v>15579</v>
      </c>
      <c r="K363" s="254">
        <v>3232832.83</v>
      </c>
      <c r="L363" s="254">
        <v>1138702.8924665067</v>
      </c>
      <c r="M363" s="254">
        <v>2094129.9375334934</v>
      </c>
      <c r="N363" s="255">
        <v>382</v>
      </c>
      <c r="O363" s="256">
        <v>711</v>
      </c>
      <c r="P363" s="254">
        <f t="shared" si="16"/>
        <v>6017131.2621204192</v>
      </c>
    </row>
    <row r="364" spans="1:16" x14ac:dyDescent="0.2">
      <c r="A364" t="s">
        <v>540</v>
      </c>
      <c r="B364" s="253">
        <v>8</v>
      </c>
      <c r="C364" s="257" t="s">
        <v>494</v>
      </c>
      <c r="D364" s="257" t="str">
        <f t="shared" si="14"/>
        <v>8 ST</v>
      </c>
      <c r="E364" t="s">
        <v>487</v>
      </c>
      <c r="F364" t="s">
        <v>488</v>
      </c>
      <c r="G364" t="s">
        <v>535</v>
      </c>
      <c r="H364" t="s">
        <v>462</v>
      </c>
      <c r="I364">
        <f t="shared" si="15"/>
        <v>1968</v>
      </c>
      <c r="J364" s="229">
        <v>16510</v>
      </c>
      <c r="K364" s="254">
        <v>155713.97</v>
      </c>
      <c r="L364" s="254">
        <v>158958.47857931509</v>
      </c>
      <c r="M364" s="254">
        <v>-3244.5085793150938</v>
      </c>
      <c r="N364" s="255">
        <v>78</v>
      </c>
      <c r="O364" s="256">
        <v>711</v>
      </c>
      <c r="P364" s="254">
        <f t="shared" si="16"/>
        <v>1419392.7265384614</v>
      </c>
    </row>
    <row r="365" spans="1:16" x14ac:dyDescent="0.2">
      <c r="A365" t="s">
        <v>540</v>
      </c>
      <c r="B365" s="253">
        <v>8</v>
      </c>
      <c r="C365" s="257" t="s">
        <v>494</v>
      </c>
      <c r="D365" s="257" t="str">
        <f t="shared" si="14"/>
        <v>8 ST</v>
      </c>
      <c r="E365" t="s">
        <v>487</v>
      </c>
      <c r="F365" t="s">
        <v>488</v>
      </c>
      <c r="G365" t="s">
        <v>515</v>
      </c>
      <c r="H365" t="s">
        <v>462</v>
      </c>
      <c r="I365">
        <f t="shared" si="15"/>
        <v>1986</v>
      </c>
      <c r="J365" s="229">
        <v>21308</v>
      </c>
      <c r="K365" s="254">
        <v>753221.4</v>
      </c>
      <c r="L365" s="254">
        <v>586745.11291370611</v>
      </c>
      <c r="M365" s="254">
        <v>166476.28708629392</v>
      </c>
      <c r="N365" s="255">
        <v>260</v>
      </c>
      <c r="O365" s="256">
        <v>711</v>
      </c>
      <c r="P365" s="254">
        <f t="shared" si="16"/>
        <v>2059770.8284615385</v>
      </c>
    </row>
    <row r="366" spans="1:16" x14ac:dyDescent="0.2">
      <c r="A366" t="s">
        <v>540</v>
      </c>
      <c r="B366" s="253">
        <v>8</v>
      </c>
      <c r="C366" s="257" t="s">
        <v>494</v>
      </c>
      <c r="D366" s="257" t="str">
        <f t="shared" si="14"/>
        <v>8 ST</v>
      </c>
      <c r="E366" t="s">
        <v>487</v>
      </c>
      <c r="F366" t="s">
        <v>488</v>
      </c>
      <c r="G366" t="s">
        <v>472</v>
      </c>
      <c r="H366" t="s">
        <v>462</v>
      </c>
      <c r="I366">
        <f t="shared" si="15"/>
        <v>2000</v>
      </c>
      <c r="J366" s="229">
        <v>21599</v>
      </c>
      <c r="K366" s="254">
        <v>1846373.06</v>
      </c>
      <c r="L366" s="254">
        <v>586326.35591144953</v>
      </c>
      <c r="M366" s="254">
        <v>1260046.7040885505</v>
      </c>
      <c r="N366" s="255">
        <v>396</v>
      </c>
      <c r="O366" s="256">
        <v>711</v>
      </c>
      <c r="P366" s="254">
        <f t="shared" si="16"/>
        <v>3315078.9031818183</v>
      </c>
    </row>
    <row r="367" spans="1:16" x14ac:dyDescent="0.2">
      <c r="A367" t="s">
        <v>540</v>
      </c>
      <c r="B367" s="253">
        <v>8</v>
      </c>
      <c r="C367" s="257" t="s">
        <v>494</v>
      </c>
      <c r="D367" s="257" t="str">
        <f t="shared" si="14"/>
        <v>8 ST</v>
      </c>
      <c r="E367" t="s">
        <v>487</v>
      </c>
      <c r="F367" t="s">
        <v>488</v>
      </c>
      <c r="G367" t="s">
        <v>477</v>
      </c>
      <c r="H367" t="s">
        <v>462</v>
      </c>
      <c r="I367">
        <f t="shared" si="15"/>
        <v>2006</v>
      </c>
      <c r="J367" s="229">
        <v>21870</v>
      </c>
      <c r="K367" s="254">
        <v>8267841.6699999999</v>
      </c>
      <c r="L367" s="254">
        <v>1042639.2872981559</v>
      </c>
      <c r="M367" s="254">
        <v>7225202.382701844</v>
      </c>
      <c r="N367" s="255">
        <v>644</v>
      </c>
      <c r="O367" s="256">
        <v>711</v>
      </c>
      <c r="P367" s="254">
        <f t="shared" si="16"/>
        <v>9128005.3220031038</v>
      </c>
    </row>
    <row r="368" spans="1:16" x14ac:dyDescent="0.2">
      <c r="A368" t="s">
        <v>540</v>
      </c>
      <c r="B368" s="253">
        <v>8</v>
      </c>
      <c r="C368" s="257" t="s">
        <v>494</v>
      </c>
      <c r="D368" s="257" t="str">
        <f t="shared" si="14"/>
        <v>8 ST</v>
      </c>
      <c r="E368" t="s">
        <v>487</v>
      </c>
      <c r="F368" t="s">
        <v>488</v>
      </c>
      <c r="G368" t="s">
        <v>473</v>
      </c>
      <c r="H368" t="s">
        <v>462</v>
      </c>
      <c r="I368">
        <f t="shared" si="15"/>
        <v>1997</v>
      </c>
      <c r="J368" s="229">
        <v>24016</v>
      </c>
      <c r="K368" s="254">
        <v>1386877.87</v>
      </c>
      <c r="L368" s="254">
        <v>586234.59948158066</v>
      </c>
      <c r="M368" s="254">
        <v>800643.27051841945</v>
      </c>
      <c r="N368" s="255">
        <v>368</v>
      </c>
      <c r="O368" s="256">
        <v>711</v>
      </c>
      <c r="P368" s="254">
        <f t="shared" si="16"/>
        <v>2679538.4933967395</v>
      </c>
    </row>
    <row r="369" spans="1:16" x14ac:dyDescent="0.2">
      <c r="A369" t="s">
        <v>540</v>
      </c>
      <c r="B369" s="253">
        <v>8</v>
      </c>
      <c r="C369" s="257" t="s">
        <v>494</v>
      </c>
      <c r="D369" s="257" t="str">
        <f t="shared" si="14"/>
        <v>8 ST</v>
      </c>
      <c r="E369" t="s">
        <v>487</v>
      </c>
      <c r="F369" t="s">
        <v>488</v>
      </c>
      <c r="G369" t="s">
        <v>478</v>
      </c>
      <c r="H369" t="s">
        <v>462</v>
      </c>
      <c r="I369">
        <f t="shared" si="15"/>
        <v>2001</v>
      </c>
      <c r="J369" s="229">
        <v>24341</v>
      </c>
      <c r="K369" s="254">
        <v>1431885.25</v>
      </c>
      <c r="L369" s="254">
        <v>405929.56746235263</v>
      </c>
      <c r="M369" s="254">
        <v>1025955.6825376474</v>
      </c>
      <c r="N369" s="255">
        <v>399</v>
      </c>
      <c r="O369" s="256">
        <v>711</v>
      </c>
      <c r="P369" s="254">
        <f t="shared" si="16"/>
        <v>2551554.9191729324</v>
      </c>
    </row>
    <row r="370" spans="1:16" x14ac:dyDescent="0.2">
      <c r="A370" t="s">
        <v>540</v>
      </c>
      <c r="B370" s="253">
        <v>8</v>
      </c>
      <c r="C370" s="257" t="s">
        <v>494</v>
      </c>
      <c r="D370" s="257" t="str">
        <f t="shared" si="14"/>
        <v>8 ST</v>
      </c>
      <c r="E370" t="s">
        <v>487</v>
      </c>
      <c r="F370" t="s">
        <v>488</v>
      </c>
      <c r="G370" t="s">
        <v>474</v>
      </c>
      <c r="H370" t="s">
        <v>462</v>
      </c>
      <c r="I370">
        <f t="shared" si="15"/>
        <v>2005</v>
      </c>
      <c r="J370" s="229">
        <v>27079</v>
      </c>
      <c r="K370" s="254">
        <v>7986111.5099999998</v>
      </c>
      <c r="L370" s="254">
        <v>1242785.5386180112</v>
      </c>
      <c r="M370" s="254">
        <v>6743325.9713819884</v>
      </c>
      <c r="N370" s="255">
        <v>595</v>
      </c>
      <c r="O370" s="256">
        <v>711</v>
      </c>
      <c r="P370" s="254">
        <f t="shared" si="16"/>
        <v>9543067.7035462186</v>
      </c>
    </row>
    <row r="371" spans="1:16" x14ac:dyDescent="0.2">
      <c r="A371" t="s">
        <v>540</v>
      </c>
      <c r="B371" s="253">
        <v>8</v>
      </c>
      <c r="C371" s="257" t="s">
        <v>494</v>
      </c>
      <c r="D371" s="257" t="str">
        <f t="shared" si="14"/>
        <v>8 ST</v>
      </c>
      <c r="E371" t="s">
        <v>487</v>
      </c>
      <c r="F371" t="s">
        <v>488</v>
      </c>
      <c r="G371" t="s">
        <v>534</v>
      </c>
      <c r="H371" t="s">
        <v>462</v>
      </c>
      <c r="I371">
        <f t="shared" si="15"/>
        <v>1966</v>
      </c>
      <c r="J371" s="229">
        <v>30964</v>
      </c>
      <c r="K371" s="254">
        <v>234451.55</v>
      </c>
      <c r="L371" s="254">
        <v>240911.8461564208</v>
      </c>
      <c r="M371" s="254">
        <v>-6460.296156420809</v>
      </c>
      <c r="N371" s="255">
        <v>72</v>
      </c>
      <c r="O371" s="256">
        <v>711</v>
      </c>
      <c r="P371" s="254">
        <f t="shared" si="16"/>
        <v>2315209.0562499999</v>
      </c>
    </row>
    <row r="372" spans="1:16" x14ac:dyDescent="0.2">
      <c r="A372" t="s">
        <v>540</v>
      </c>
      <c r="B372" s="253">
        <v>8</v>
      </c>
      <c r="C372" s="257" t="s">
        <v>494</v>
      </c>
      <c r="D372" s="257" t="str">
        <f t="shared" si="14"/>
        <v>8 ST</v>
      </c>
      <c r="E372" t="s">
        <v>487</v>
      </c>
      <c r="F372" t="s">
        <v>488</v>
      </c>
      <c r="G372" t="s">
        <v>506</v>
      </c>
      <c r="H372" t="s">
        <v>462</v>
      </c>
      <c r="I372">
        <f t="shared" si="15"/>
        <v>1959</v>
      </c>
      <c r="J372" s="229">
        <v>32076</v>
      </c>
      <c r="K372" s="254">
        <v>214772.1</v>
      </c>
      <c r="L372" s="254">
        <v>223146.73703330357</v>
      </c>
      <c r="M372" s="254">
        <v>-8374.6370333035593</v>
      </c>
      <c r="N372" s="255">
        <v>57</v>
      </c>
      <c r="O372" s="256">
        <v>711</v>
      </c>
      <c r="P372" s="254">
        <f t="shared" si="16"/>
        <v>2678999.3526315787</v>
      </c>
    </row>
    <row r="373" spans="1:16" x14ac:dyDescent="0.2">
      <c r="A373" t="s">
        <v>540</v>
      </c>
      <c r="B373" s="253">
        <v>8</v>
      </c>
      <c r="C373" s="257" t="s">
        <v>494</v>
      </c>
      <c r="D373" s="257" t="str">
        <f t="shared" si="14"/>
        <v>8 ST</v>
      </c>
      <c r="E373" t="s">
        <v>487</v>
      </c>
      <c r="F373" t="s">
        <v>488</v>
      </c>
      <c r="G373" t="s">
        <v>490</v>
      </c>
      <c r="H373" t="s">
        <v>462</v>
      </c>
      <c r="I373">
        <f t="shared" si="15"/>
        <v>1992</v>
      </c>
      <c r="J373" s="229">
        <v>32414</v>
      </c>
      <c r="K373" s="254">
        <v>2012235.03</v>
      </c>
      <c r="L373" s="254">
        <v>1201669.8409565904</v>
      </c>
      <c r="M373" s="254">
        <v>810565.18904340966</v>
      </c>
      <c r="N373" s="255">
        <v>315</v>
      </c>
      <c r="O373" s="256">
        <v>711</v>
      </c>
      <c r="P373" s="254">
        <f t="shared" si="16"/>
        <v>4541901.9248571433</v>
      </c>
    </row>
    <row r="374" spans="1:16" x14ac:dyDescent="0.2">
      <c r="A374" t="s">
        <v>540</v>
      </c>
      <c r="B374" s="253">
        <v>8</v>
      </c>
      <c r="C374" s="257" t="s">
        <v>494</v>
      </c>
      <c r="D374" s="257" t="str">
        <f t="shared" si="14"/>
        <v>8 ST</v>
      </c>
      <c r="E374" t="s">
        <v>487</v>
      </c>
      <c r="F374" t="s">
        <v>488</v>
      </c>
      <c r="G374" t="s">
        <v>475</v>
      </c>
      <c r="H374" t="s">
        <v>462</v>
      </c>
      <c r="I374">
        <f t="shared" si="15"/>
        <v>2002</v>
      </c>
      <c r="J374" s="229">
        <v>43245</v>
      </c>
      <c r="K374" s="254">
        <v>11404519.810000001</v>
      </c>
      <c r="L374" s="254">
        <v>2852918.2371199084</v>
      </c>
      <c r="M374" s="254">
        <v>8551601.572880093</v>
      </c>
      <c r="N374" s="255">
        <v>407</v>
      </c>
      <c r="O374" s="256">
        <v>711</v>
      </c>
      <c r="P374" s="254">
        <f t="shared" si="16"/>
        <v>19922883.501007371</v>
      </c>
    </row>
    <row r="375" spans="1:16" x14ac:dyDescent="0.2">
      <c r="A375" t="s">
        <v>541</v>
      </c>
      <c r="B375" s="253">
        <v>12</v>
      </c>
      <c r="C375" s="257" t="s">
        <v>494</v>
      </c>
      <c r="D375" s="257" t="str">
        <f t="shared" ref="D375:D438" si="17">B375&amp;" "&amp;C375</f>
        <v>12 ST</v>
      </c>
      <c r="E375" t="s">
        <v>487</v>
      </c>
      <c r="F375" t="s">
        <v>488</v>
      </c>
      <c r="G375" t="s">
        <v>470</v>
      </c>
      <c r="H375" t="s">
        <v>462</v>
      </c>
      <c r="I375">
        <f t="shared" si="15"/>
        <v>2007</v>
      </c>
      <c r="J375" s="229">
        <v>0</v>
      </c>
      <c r="K375" s="254">
        <v>9671153.0500000007</v>
      </c>
      <c r="L375" s="254">
        <v>1027509.9679116552</v>
      </c>
      <c r="M375" s="254">
        <v>8643643.0820883457</v>
      </c>
      <c r="N375" s="255">
        <v>608</v>
      </c>
      <c r="O375" s="256">
        <v>711</v>
      </c>
      <c r="P375" s="254">
        <f t="shared" si="16"/>
        <v>11309522.727878289</v>
      </c>
    </row>
    <row r="376" spans="1:16" x14ac:dyDescent="0.2">
      <c r="A376" t="s">
        <v>541</v>
      </c>
      <c r="B376" s="253">
        <v>12</v>
      </c>
      <c r="C376" s="257" t="s">
        <v>494</v>
      </c>
      <c r="D376" s="257" t="str">
        <f t="shared" si="17"/>
        <v>12 ST</v>
      </c>
      <c r="E376" t="s">
        <v>487</v>
      </c>
      <c r="F376" t="s">
        <v>488</v>
      </c>
      <c r="G376" t="s">
        <v>479</v>
      </c>
      <c r="H376" t="s">
        <v>462</v>
      </c>
      <c r="I376">
        <f t="shared" si="15"/>
        <v>1998</v>
      </c>
      <c r="J376" s="229">
        <v>1</v>
      </c>
      <c r="K376" s="254">
        <v>7213.4</v>
      </c>
      <c r="L376" s="254">
        <v>2793.9955469636511</v>
      </c>
      <c r="M376" s="254">
        <v>4419.4044530363481</v>
      </c>
      <c r="N376" s="255">
        <v>372</v>
      </c>
      <c r="O376" s="256">
        <v>711</v>
      </c>
      <c r="P376" s="254">
        <f t="shared" si="16"/>
        <v>13786.901612903226</v>
      </c>
    </row>
    <row r="377" spans="1:16" x14ac:dyDescent="0.2">
      <c r="A377" t="s">
        <v>541</v>
      </c>
      <c r="B377" s="253">
        <v>12</v>
      </c>
      <c r="C377" s="257" t="s">
        <v>494</v>
      </c>
      <c r="D377" s="257" t="str">
        <f t="shared" si="17"/>
        <v>12 ST</v>
      </c>
      <c r="E377" t="s">
        <v>487</v>
      </c>
      <c r="F377" t="s">
        <v>488</v>
      </c>
      <c r="G377" t="s">
        <v>514</v>
      </c>
      <c r="H377" t="s">
        <v>462</v>
      </c>
      <c r="I377">
        <f t="shared" si="15"/>
        <v>1994</v>
      </c>
      <c r="J377" s="229">
        <v>23</v>
      </c>
      <c r="K377" s="254">
        <v>72181</v>
      </c>
      <c r="L377" s="254">
        <v>38154.498046882654</v>
      </c>
      <c r="M377" s="254">
        <v>34026.501953117346</v>
      </c>
      <c r="N377" s="255">
        <v>346</v>
      </c>
      <c r="O377" s="256">
        <v>711</v>
      </c>
      <c r="P377" s="254">
        <f t="shared" si="16"/>
        <v>148325.69653179191</v>
      </c>
    </row>
    <row r="378" spans="1:16" x14ac:dyDescent="0.2">
      <c r="A378" t="s">
        <v>541</v>
      </c>
      <c r="B378" s="253">
        <v>12</v>
      </c>
      <c r="C378" s="257" t="s">
        <v>494</v>
      </c>
      <c r="D378" s="257" t="str">
        <f t="shared" si="17"/>
        <v>12 ST</v>
      </c>
      <c r="E378" t="s">
        <v>487</v>
      </c>
      <c r="F378" t="s">
        <v>488</v>
      </c>
      <c r="G378" t="s">
        <v>530</v>
      </c>
      <c r="H378" t="s">
        <v>462</v>
      </c>
      <c r="I378">
        <f t="shared" si="15"/>
        <v>1965</v>
      </c>
      <c r="J378" s="229">
        <v>36</v>
      </c>
      <c r="K378" s="254">
        <v>419.03</v>
      </c>
      <c r="L378" s="254">
        <v>431.67297752019556</v>
      </c>
      <c r="M378" s="254">
        <v>-12.642977520195586</v>
      </c>
      <c r="N378" s="255">
        <v>70</v>
      </c>
      <c r="O378" s="256">
        <v>711</v>
      </c>
      <c r="P378" s="254">
        <f t="shared" si="16"/>
        <v>4256.1475714285707</v>
      </c>
    </row>
    <row r="379" spans="1:16" x14ac:dyDescent="0.2">
      <c r="A379" t="s">
        <v>541</v>
      </c>
      <c r="B379" s="253">
        <v>12</v>
      </c>
      <c r="C379" s="257" t="s">
        <v>494</v>
      </c>
      <c r="D379" s="257" t="str">
        <f t="shared" si="17"/>
        <v>12 ST</v>
      </c>
      <c r="E379" t="s">
        <v>487</v>
      </c>
      <c r="F379" t="s">
        <v>488</v>
      </c>
      <c r="G379" t="s">
        <v>528</v>
      </c>
      <c r="H379" t="s">
        <v>462</v>
      </c>
      <c r="I379">
        <f t="shared" si="15"/>
        <v>1972</v>
      </c>
      <c r="J379" s="229">
        <v>44</v>
      </c>
      <c r="K379" s="254">
        <v>2468.37</v>
      </c>
      <c r="L379" s="254">
        <v>2467.6253531287139</v>
      </c>
      <c r="M379" s="254">
        <v>0.74464687128602236</v>
      </c>
      <c r="N379" s="255">
        <v>96</v>
      </c>
      <c r="O379" s="256">
        <v>711</v>
      </c>
      <c r="P379" s="254">
        <f t="shared" si="16"/>
        <v>18281.365312499998</v>
      </c>
    </row>
    <row r="380" spans="1:16" x14ac:dyDescent="0.2">
      <c r="A380" t="s">
        <v>541</v>
      </c>
      <c r="B380" s="253">
        <v>12</v>
      </c>
      <c r="C380" s="257" t="s">
        <v>494</v>
      </c>
      <c r="D380" s="257" t="str">
        <f t="shared" si="17"/>
        <v>12 ST</v>
      </c>
      <c r="E380" t="s">
        <v>487</v>
      </c>
      <c r="F380" t="s">
        <v>488</v>
      </c>
      <c r="G380" t="s">
        <v>474</v>
      </c>
      <c r="H380" t="s">
        <v>462</v>
      </c>
      <c r="I380">
        <f t="shared" si="15"/>
        <v>2005</v>
      </c>
      <c r="J380" s="229">
        <v>74</v>
      </c>
      <c r="K380" s="254">
        <v>899351.6</v>
      </c>
      <c r="L380" s="254">
        <v>139955.61596676114</v>
      </c>
      <c r="M380" s="254">
        <v>759395.98403323884</v>
      </c>
      <c r="N380" s="255">
        <v>595</v>
      </c>
      <c r="O380" s="256">
        <v>711</v>
      </c>
      <c r="P380" s="254">
        <f t="shared" si="16"/>
        <v>1074687.3741176471</v>
      </c>
    </row>
    <row r="381" spans="1:16" x14ac:dyDescent="0.2">
      <c r="A381" t="s">
        <v>541</v>
      </c>
      <c r="B381" s="253">
        <v>12</v>
      </c>
      <c r="C381" s="257" t="s">
        <v>494</v>
      </c>
      <c r="D381" s="257" t="str">
        <f t="shared" si="17"/>
        <v>12 ST</v>
      </c>
      <c r="E381" t="s">
        <v>487</v>
      </c>
      <c r="F381" t="s">
        <v>488</v>
      </c>
      <c r="G381" t="s">
        <v>527</v>
      </c>
      <c r="H381" t="s">
        <v>462</v>
      </c>
      <c r="I381">
        <f t="shared" si="15"/>
        <v>1971</v>
      </c>
      <c r="J381" s="229">
        <v>99</v>
      </c>
      <c r="K381" s="254">
        <v>8292.33</v>
      </c>
      <c r="L381" s="254">
        <v>8343.1347101163246</v>
      </c>
      <c r="M381" s="254">
        <v>-50.804710116324713</v>
      </c>
      <c r="N381" s="255">
        <v>92</v>
      </c>
      <c r="O381" s="256">
        <v>711</v>
      </c>
      <c r="P381" s="254">
        <f t="shared" si="16"/>
        <v>64085.289456521743</v>
      </c>
    </row>
    <row r="382" spans="1:16" x14ac:dyDescent="0.2">
      <c r="A382" t="s">
        <v>541</v>
      </c>
      <c r="B382" s="253">
        <v>12</v>
      </c>
      <c r="C382" s="257" t="s">
        <v>494</v>
      </c>
      <c r="D382" s="257" t="str">
        <f t="shared" si="17"/>
        <v>12 ST</v>
      </c>
      <c r="E382" t="s">
        <v>487</v>
      </c>
      <c r="F382" t="s">
        <v>488</v>
      </c>
      <c r="G382" t="s">
        <v>463</v>
      </c>
      <c r="H382" t="s">
        <v>462</v>
      </c>
      <c r="I382">
        <f t="shared" si="15"/>
        <v>1984</v>
      </c>
      <c r="J382" s="229">
        <v>144</v>
      </c>
      <c r="K382" s="254">
        <v>49589.61</v>
      </c>
      <c r="L382" s="254">
        <v>41083.859247465014</v>
      </c>
      <c r="M382" s="254">
        <v>8505.7507525349865</v>
      </c>
      <c r="N382" s="255">
        <v>271</v>
      </c>
      <c r="O382" s="256">
        <v>711</v>
      </c>
      <c r="P382" s="254">
        <f t="shared" si="16"/>
        <v>130104.10594095942</v>
      </c>
    </row>
    <row r="383" spans="1:16" x14ac:dyDescent="0.2">
      <c r="A383" t="s">
        <v>541</v>
      </c>
      <c r="B383" s="253">
        <v>12</v>
      </c>
      <c r="C383" s="257" t="s">
        <v>494</v>
      </c>
      <c r="D383" s="257" t="str">
        <f t="shared" si="17"/>
        <v>12 ST</v>
      </c>
      <c r="E383" t="s">
        <v>487</v>
      </c>
      <c r="F383" t="s">
        <v>488</v>
      </c>
      <c r="G383" t="s">
        <v>468</v>
      </c>
      <c r="H383" t="s">
        <v>462</v>
      </c>
      <c r="I383">
        <f t="shared" si="15"/>
        <v>2009</v>
      </c>
      <c r="J383" s="229">
        <v>252</v>
      </c>
      <c r="K383" s="254">
        <v>1003812.44</v>
      </c>
      <c r="L383" s="254">
        <v>42588.354079451754</v>
      </c>
      <c r="M383" s="254">
        <v>961224.08592054818</v>
      </c>
      <c r="N383" s="255">
        <v>673</v>
      </c>
      <c r="O383" s="256">
        <v>711</v>
      </c>
      <c r="P383" s="254">
        <f t="shared" si="16"/>
        <v>1060491.2999108469</v>
      </c>
    </row>
    <row r="384" spans="1:16" x14ac:dyDescent="0.2">
      <c r="A384" t="s">
        <v>541</v>
      </c>
      <c r="B384" s="253">
        <v>12</v>
      </c>
      <c r="C384" s="257" t="s">
        <v>494</v>
      </c>
      <c r="D384" s="257" t="str">
        <f t="shared" si="17"/>
        <v>12 ST</v>
      </c>
      <c r="E384" t="s">
        <v>487</v>
      </c>
      <c r="F384" t="s">
        <v>488</v>
      </c>
      <c r="G384" t="s">
        <v>520</v>
      </c>
      <c r="H384" t="s">
        <v>462</v>
      </c>
      <c r="I384">
        <f t="shared" si="15"/>
        <v>1981</v>
      </c>
      <c r="J384" s="229">
        <v>292</v>
      </c>
      <c r="K384" s="254">
        <v>20240.41</v>
      </c>
      <c r="L384" s="254">
        <v>18029.839883372413</v>
      </c>
      <c r="M384" s="254">
        <v>2210.5701166275867</v>
      </c>
      <c r="N384" s="255">
        <v>231</v>
      </c>
      <c r="O384" s="256">
        <v>711</v>
      </c>
      <c r="P384" s="254">
        <f t="shared" si="16"/>
        <v>62298.404805194798</v>
      </c>
    </row>
    <row r="385" spans="1:16" x14ac:dyDescent="0.2">
      <c r="A385" t="s">
        <v>541</v>
      </c>
      <c r="B385" s="253">
        <v>12</v>
      </c>
      <c r="C385" s="257" t="s">
        <v>494</v>
      </c>
      <c r="D385" s="257" t="str">
        <f t="shared" si="17"/>
        <v>12 ST</v>
      </c>
      <c r="E385" t="s">
        <v>487</v>
      </c>
      <c r="F385" t="s">
        <v>488</v>
      </c>
      <c r="G385" t="s">
        <v>531</v>
      </c>
      <c r="H385" t="s">
        <v>462</v>
      </c>
      <c r="I385">
        <f t="shared" si="15"/>
        <v>1970</v>
      </c>
      <c r="J385" s="229">
        <v>316</v>
      </c>
      <c r="K385" s="254">
        <v>15324.72</v>
      </c>
      <c r="L385" s="254">
        <v>15504.590331392243</v>
      </c>
      <c r="M385" s="254">
        <v>-179.87033139224332</v>
      </c>
      <c r="N385" s="255">
        <v>86</v>
      </c>
      <c r="O385" s="256">
        <v>711</v>
      </c>
      <c r="P385" s="254">
        <f t="shared" si="16"/>
        <v>126696.23162790696</v>
      </c>
    </row>
    <row r="386" spans="1:16" x14ac:dyDescent="0.2">
      <c r="A386" t="s">
        <v>541</v>
      </c>
      <c r="B386" s="253">
        <v>12</v>
      </c>
      <c r="C386" s="257" t="s">
        <v>494</v>
      </c>
      <c r="D386" s="257" t="str">
        <f t="shared" si="17"/>
        <v>12 ST</v>
      </c>
      <c r="E386" t="s">
        <v>487</v>
      </c>
      <c r="F386" t="s">
        <v>488</v>
      </c>
      <c r="G386" t="s">
        <v>469</v>
      </c>
      <c r="H386" t="s">
        <v>462</v>
      </c>
      <c r="I386">
        <f t="shared" ref="I386:I449" si="18">+G386*1</f>
        <v>2010</v>
      </c>
      <c r="J386" s="229">
        <v>331</v>
      </c>
      <c r="K386" s="254">
        <v>1005427.86</v>
      </c>
      <c r="L386" s="254">
        <v>14712.772661046571</v>
      </c>
      <c r="M386" s="254">
        <v>990715.0873389534</v>
      </c>
      <c r="N386" s="255">
        <v>711</v>
      </c>
      <c r="O386" s="256">
        <v>711</v>
      </c>
      <c r="P386" s="254">
        <f t="shared" ref="P386:P449" si="19">+(O386/N386)*K386</f>
        <v>1005427.86</v>
      </c>
    </row>
    <row r="387" spans="1:16" x14ac:dyDescent="0.2">
      <c r="A387" t="s">
        <v>541</v>
      </c>
      <c r="B387" s="253">
        <v>12</v>
      </c>
      <c r="C387" s="257" t="s">
        <v>494</v>
      </c>
      <c r="D387" s="257" t="str">
        <f t="shared" si="17"/>
        <v>12 ST</v>
      </c>
      <c r="E387" t="s">
        <v>487</v>
      </c>
      <c r="F387" t="s">
        <v>488</v>
      </c>
      <c r="G387" t="s">
        <v>461</v>
      </c>
      <c r="H387" t="s">
        <v>462</v>
      </c>
      <c r="I387">
        <f t="shared" si="18"/>
        <v>2008</v>
      </c>
      <c r="J387" s="229">
        <v>338</v>
      </c>
      <c r="K387" s="254">
        <v>1609942.11</v>
      </c>
      <c r="L387" s="254">
        <v>112355.47121458185</v>
      </c>
      <c r="M387" s="254">
        <v>1497586.6387854184</v>
      </c>
      <c r="N387" s="255">
        <v>731</v>
      </c>
      <c r="O387" s="256">
        <v>711</v>
      </c>
      <c r="P387" s="254">
        <f t="shared" si="19"/>
        <v>1565894.4462517099</v>
      </c>
    </row>
    <row r="388" spans="1:16" x14ac:dyDescent="0.2">
      <c r="A388" t="s">
        <v>541</v>
      </c>
      <c r="B388" s="253">
        <v>12</v>
      </c>
      <c r="C388" s="257" t="s">
        <v>494</v>
      </c>
      <c r="D388" s="257" t="str">
        <f t="shared" si="17"/>
        <v>12 ST</v>
      </c>
      <c r="E388" t="s">
        <v>487</v>
      </c>
      <c r="F388" t="s">
        <v>488</v>
      </c>
      <c r="G388" t="s">
        <v>472</v>
      </c>
      <c r="H388" t="s">
        <v>462</v>
      </c>
      <c r="I388">
        <f t="shared" si="18"/>
        <v>2000</v>
      </c>
      <c r="J388" s="229">
        <v>350</v>
      </c>
      <c r="K388" s="254">
        <v>1052457.8600000001</v>
      </c>
      <c r="L388" s="254">
        <v>334214.03155223525</v>
      </c>
      <c r="M388" s="254">
        <v>718243.82844776486</v>
      </c>
      <c r="N388" s="255">
        <v>396</v>
      </c>
      <c r="O388" s="256">
        <v>711</v>
      </c>
      <c r="P388" s="254">
        <f t="shared" si="19"/>
        <v>1889640.2486363638</v>
      </c>
    </row>
    <row r="389" spans="1:16" x14ac:dyDescent="0.2">
      <c r="A389" t="s">
        <v>541</v>
      </c>
      <c r="B389" s="253">
        <v>12</v>
      </c>
      <c r="C389" s="257" t="s">
        <v>494</v>
      </c>
      <c r="D389" s="257" t="str">
        <f t="shared" si="17"/>
        <v>12 ST</v>
      </c>
      <c r="E389" t="s">
        <v>487</v>
      </c>
      <c r="F389" t="s">
        <v>488</v>
      </c>
      <c r="G389" t="s">
        <v>524</v>
      </c>
      <c r="H389" t="s">
        <v>462</v>
      </c>
      <c r="I389">
        <f t="shared" si="18"/>
        <v>1975</v>
      </c>
      <c r="J389" s="229">
        <v>374</v>
      </c>
      <c r="K389" s="254">
        <v>21849.98</v>
      </c>
      <c r="L389" s="254">
        <v>21295.758144182335</v>
      </c>
      <c r="M389" s="254">
        <v>554.22185581766462</v>
      </c>
      <c r="N389" s="255">
        <v>134</v>
      </c>
      <c r="O389" s="256">
        <v>711</v>
      </c>
      <c r="P389" s="254">
        <f t="shared" si="19"/>
        <v>115935.34164179105</v>
      </c>
    </row>
    <row r="390" spans="1:16" x14ac:dyDescent="0.2">
      <c r="A390" t="s">
        <v>541</v>
      </c>
      <c r="B390" s="253">
        <v>12</v>
      </c>
      <c r="C390" s="257" t="s">
        <v>494</v>
      </c>
      <c r="D390" s="257" t="str">
        <f t="shared" si="17"/>
        <v>12 ST</v>
      </c>
      <c r="E390" t="s">
        <v>487</v>
      </c>
      <c r="F390" t="s">
        <v>488</v>
      </c>
      <c r="G390" t="s">
        <v>517</v>
      </c>
      <c r="H390" t="s">
        <v>462</v>
      </c>
      <c r="I390">
        <f t="shared" si="18"/>
        <v>1983</v>
      </c>
      <c r="J390" s="229">
        <v>399</v>
      </c>
      <c r="K390" s="254">
        <v>99503.48</v>
      </c>
      <c r="L390" s="254">
        <v>84662.256275734981</v>
      </c>
      <c r="M390" s="254">
        <v>14841.223724265015</v>
      </c>
      <c r="N390" s="255">
        <v>260</v>
      </c>
      <c r="O390" s="256">
        <v>711</v>
      </c>
      <c r="P390" s="254">
        <f t="shared" si="19"/>
        <v>272103.74723076925</v>
      </c>
    </row>
    <row r="391" spans="1:16" x14ac:dyDescent="0.2">
      <c r="A391" t="s">
        <v>541</v>
      </c>
      <c r="B391" s="253">
        <v>12</v>
      </c>
      <c r="C391" s="257" t="s">
        <v>494</v>
      </c>
      <c r="D391" s="257" t="str">
        <f t="shared" si="17"/>
        <v>12 ST</v>
      </c>
      <c r="E391" t="s">
        <v>487</v>
      </c>
      <c r="F391" t="s">
        <v>488</v>
      </c>
      <c r="G391" t="s">
        <v>490</v>
      </c>
      <c r="H391" t="s">
        <v>462</v>
      </c>
      <c r="I391">
        <f t="shared" si="18"/>
        <v>1992</v>
      </c>
      <c r="J391" s="229">
        <v>581</v>
      </c>
      <c r="K391" s="254">
        <v>186794.93</v>
      </c>
      <c r="L391" s="254">
        <v>111550.50290450924</v>
      </c>
      <c r="M391" s="254">
        <v>75244.427095490755</v>
      </c>
      <c r="N391" s="255">
        <v>315</v>
      </c>
      <c r="O391" s="256">
        <v>711</v>
      </c>
      <c r="P391" s="254">
        <f t="shared" si="19"/>
        <v>421622.842</v>
      </c>
    </row>
    <row r="392" spans="1:16" x14ac:dyDescent="0.2">
      <c r="A392" t="s">
        <v>541</v>
      </c>
      <c r="B392" s="253">
        <v>12</v>
      </c>
      <c r="C392" s="257" t="s">
        <v>494</v>
      </c>
      <c r="D392" s="257" t="str">
        <f t="shared" si="17"/>
        <v>12 ST</v>
      </c>
      <c r="E392" t="s">
        <v>487</v>
      </c>
      <c r="F392" t="s">
        <v>488</v>
      </c>
      <c r="G392" t="s">
        <v>518</v>
      </c>
      <c r="H392" t="s">
        <v>462</v>
      </c>
      <c r="I392">
        <f t="shared" si="18"/>
        <v>1982</v>
      </c>
      <c r="J392" s="229">
        <v>648</v>
      </c>
      <c r="K392" s="254">
        <v>71085.84</v>
      </c>
      <c r="L392" s="254">
        <v>61959.417993757532</v>
      </c>
      <c r="M392" s="254">
        <v>9126.4220062424647</v>
      </c>
      <c r="N392" s="255">
        <v>252</v>
      </c>
      <c r="O392" s="256">
        <v>711</v>
      </c>
      <c r="P392" s="254">
        <f t="shared" si="19"/>
        <v>200563.62</v>
      </c>
    </row>
    <row r="393" spans="1:16" x14ac:dyDescent="0.2">
      <c r="A393" t="s">
        <v>541</v>
      </c>
      <c r="B393" s="253">
        <v>12</v>
      </c>
      <c r="C393" s="257" t="s">
        <v>494</v>
      </c>
      <c r="D393" s="257" t="str">
        <f t="shared" si="17"/>
        <v>12 ST</v>
      </c>
      <c r="E393" t="s">
        <v>487</v>
      </c>
      <c r="F393" t="s">
        <v>488</v>
      </c>
      <c r="G393" t="s">
        <v>468</v>
      </c>
      <c r="H393" t="s">
        <v>462</v>
      </c>
      <c r="I393">
        <f t="shared" si="18"/>
        <v>2009</v>
      </c>
      <c r="J393" s="229">
        <v>708</v>
      </c>
      <c r="K393" s="254">
        <v>849107.13</v>
      </c>
      <c r="L393" s="254">
        <v>36024.730810032175</v>
      </c>
      <c r="M393" s="254">
        <v>813082.39918996778</v>
      </c>
      <c r="N393" s="255">
        <v>673</v>
      </c>
      <c r="O393" s="256">
        <v>711</v>
      </c>
      <c r="P393" s="254">
        <f t="shared" si="19"/>
        <v>897050.77181277866</v>
      </c>
    </row>
    <row r="394" spans="1:16" x14ac:dyDescent="0.2">
      <c r="A394" t="s">
        <v>541</v>
      </c>
      <c r="B394" s="253">
        <v>12</v>
      </c>
      <c r="C394" s="257" t="s">
        <v>494</v>
      </c>
      <c r="D394" s="257" t="str">
        <f t="shared" si="17"/>
        <v>12 ST</v>
      </c>
      <c r="E394" t="s">
        <v>487</v>
      </c>
      <c r="F394" t="s">
        <v>488</v>
      </c>
      <c r="G394" t="s">
        <v>471</v>
      </c>
      <c r="H394" t="s">
        <v>462</v>
      </c>
      <c r="I394">
        <f t="shared" si="18"/>
        <v>2003</v>
      </c>
      <c r="J394" s="229">
        <v>913</v>
      </c>
      <c r="K394" s="254">
        <v>1302709.3400000001</v>
      </c>
      <c r="L394" s="254">
        <v>283561.19409820018</v>
      </c>
      <c r="M394" s="254">
        <v>1019148.1459017999</v>
      </c>
      <c r="N394" s="255">
        <v>413</v>
      </c>
      <c r="O394" s="256">
        <v>711</v>
      </c>
      <c r="P394" s="254">
        <f t="shared" si="19"/>
        <v>2242678.7911380148</v>
      </c>
    </row>
    <row r="395" spans="1:16" x14ac:dyDescent="0.2">
      <c r="A395" t="s">
        <v>541</v>
      </c>
      <c r="B395" s="253">
        <v>12</v>
      </c>
      <c r="C395" s="257" t="s">
        <v>494</v>
      </c>
      <c r="D395" s="257" t="str">
        <f t="shared" si="17"/>
        <v>12 ST</v>
      </c>
      <c r="E395" t="s">
        <v>487</v>
      </c>
      <c r="F395" t="s">
        <v>488</v>
      </c>
      <c r="G395" t="s">
        <v>509</v>
      </c>
      <c r="H395" t="s">
        <v>462</v>
      </c>
      <c r="I395">
        <f t="shared" si="18"/>
        <v>1964</v>
      </c>
      <c r="J395" s="229">
        <v>1054</v>
      </c>
      <c r="K395" s="254">
        <v>43116.05</v>
      </c>
      <c r="L395" s="254">
        <v>44510.954269645677</v>
      </c>
      <c r="M395" s="254">
        <v>-1394.9042696456745</v>
      </c>
      <c r="N395" s="255">
        <v>67</v>
      </c>
      <c r="O395" s="256">
        <v>711</v>
      </c>
      <c r="P395" s="254">
        <f t="shared" si="19"/>
        <v>457544.94850746274</v>
      </c>
    </row>
    <row r="396" spans="1:16" x14ac:dyDescent="0.2">
      <c r="A396" t="s">
        <v>541</v>
      </c>
      <c r="B396" s="253">
        <v>12</v>
      </c>
      <c r="C396" s="257" t="s">
        <v>494</v>
      </c>
      <c r="D396" s="257" t="str">
        <f t="shared" si="17"/>
        <v>12 ST</v>
      </c>
      <c r="E396" t="s">
        <v>487</v>
      </c>
      <c r="F396" t="s">
        <v>488</v>
      </c>
      <c r="G396" t="s">
        <v>522</v>
      </c>
      <c r="H396" t="s">
        <v>462</v>
      </c>
      <c r="I396">
        <f t="shared" si="18"/>
        <v>1976</v>
      </c>
      <c r="J396" s="229">
        <v>1186</v>
      </c>
      <c r="K396" s="254">
        <v>40318.15</v>
      </c>
      <c r="L396" s="254">
        <v>38868.920846731431</v>
      </c>
      <c r="M396" s="254">
        <v>1449.2291532685704</v>
      </c>
      <c r="N396" s="255">
        <v>146</v>
      </c>
      <c r="O396" s="256">
        <v>711</v>
      </c>
      <c r="P396" s="254">
        <f t="shared" si="19"/>
        <v>196343.86746575343</v>
      </c>
    </row>
    <row r="397" spans="1:16" x14ac:dyDescent="0.2">
      <c r="A397" t="s">
        <v>541</v>
      </c>
      <c r="B397" s="253">
        <v>12</v>
      </c>
      <c r="C397" s="257" t="s">
        <v>494</v>
      </c>
      <c r="D397" s="257" t="str">
        <f t="shared" si="17"/>
        <v>12 ST</v>
      </c>
      <c r="E397" t="s">
        <v>487</v>
      </c>
      <c r="F397" t="s">
        <v>488</v>
      </c>
      <c r="G397" t="s">
        <v>486</v>
      </c>
      <c r="H397" t="s">
        <v>462</v>
      </c>
      <c r="I397">
        <f t="shared" si="18"/>
        <v>1978</v>
      </c>
      <c r="J397" s="229">
        <v>1347</v>
      </c>
      <c r="K397" s="254">
        <v>45361.55</v>
      </c>
      <c r="L397" s="254">
        <v>42596.387401692547</v>
      </c>
      <c r="M397" s="254">
        <v>2765.1625983074555</v>
      </c>
      <c r="N397" s="255">
        <v>173</v>
      </c>
      <c r="O397" s="256">
        <v>711</v>
      </c>
      <c r="P397" s="254">
        <f t="shared" si="19"/>
        <v>186428.10433526014</v>
      </c>
    </row>
    <row r="398" spans="1:16" x14ac:dyDescent="0.2">
      <c r="A398" t="s">
        <v>541</v>
      </c>
      <c r="B398" s="253">
        <v>12</v>
      </c>
      <c r="C398" s="257" t="s">
        <v>494</v>
      </c>
      <c r="D398" s="257" t="str">
        <f t="shared" si="17"/>
        <v>12 ST</v>
      </c>
      <c r="E398" t="s">
        <v>487</v>
      </c>
      <c r="F398" t="s">
        <v>488</v>
      </c>
      <c r="G398" t="s">
        <v>533</v>
      </c>
      <c r="H398" t="s">
        <v>462</v>
      </c>
      <c r="I398">
        <f t="shared" si="18"/>
        <v>1969</v>
      </c>
      <c r="J398" s="229">
        <v>1578</v>
      </c>
      <c r="K398" s="254">
        <v>40622.46</v>
      </c>
      <c r="L398" s="254">
        <v>41297.417533577653</v>
      </c>
      <c r="M398" s="254">
        <v>-674.95753357765352</v>
      </c>
      <c r="N398" s="255">
        <v>82</v>
      </c>
      <c r="O398" s="256">
        <v>711</v>
      </c>
      <c r="P398" s="254">
        <f t="shared" si="19"/>
        <v>352226.45195121947</v>
      </c>
    </row>
    <row r="399" spans="1:16" x14ac:dyDescent="0.2">
      <c r="A399" t="s">
        <v>541</v>
      </c>
      <c r="B399" s="253">
        <v>12</v>
      </c>
      <c r="C399" s="257" t="s">
        <v>494</v>
      </c>
      <c r="D399" s="257" t="str">
        <f t="shared" si="17"/>
        <v>12 ST</v>
      </c>
      <c r="E399" t="s">
        <v>487</v>
      </c>
      <c r="F399" t="s">
        <v>488</v>
      </c>
      <c r="G399" t="s">
        <v>526</v>
      </c>
      <c r="H399" t="s">
        <v>462</v>
      </c>
      <c r="I399">
        <f t="shared" si="18"/>
        <v>1977</v>
      </c>
      <c r="J399" s="229">
        <v>1974</v>
      </c>
      <c r="K399" s="254">
        <v>56351.48</v>
      </c>
      <c r="L399" s="254">
        <v>53658.760034770181</v>
      </c>
      <c r="M399" s="254">
        <v>2692.7199652298223</v>
      </c>
      <c r="N399" s="255">
        <v>157</v>
      </c>
      <c r="O399" s="256">
        <v>711</v>
      </c>
      <c r="P399" s="254">
        <f t="shared" si="19"/>
        <v>255196.82980891719</v>
      </c>
    </row>
    <row r="400" spans="1:16" x14ac:dyDescent="0.2">
      <c r="A400" t="s">
        <v>541</v>
      </c>
      <c r="B400" s="253">
        <v>12</v>
      </c>
      <c r="C400" s="257" t="s">
        <v>494</v>
      </c>
      <c r="D400" s="257" t="str">
        <f t="shared" si="17"/>
        <v>12 ST</v>
      </c>
      <c r="E400" t="s">
        <v>487</v>
      </c>
      <c r="F400" t="s">
        <v>488</v>
      </c>
      <c r="G400" t="s">
        <v>516</v>
      </c>
      <c r="H400" t="s">
        <v>462</v>
      </c>
      <c r="I400">
        <f t="shared" si="18"/>
        <v>1988</v>
      </c>
      <c r="J400" s="229">
        <v>2007</v>
      </c>
      <c r="K400" s="254">
        <v>576866.49</v>
      </c>
      <c r="L400" s="254">
        <v>417336.00248794624</v>
      </c>
      <c r="M400" s="254">
        <v>159530.48751205375</v>
      </c>
      <c r="N400" s="255">
        <v>286</v>
      </c>
      <c r="O400" s="256">
        <v>711</v>
      </c>
      <c r="P400" s="254">
        <f t="shared" si="19"/>
        <v>1434098.1622027971</v>
      </c>
    </row>
    <row r="401" spans="1:16" x14ac:dyDescent="0.2">
      <c r="A401" t="s">
        <v>541</v>
      </c>
      <c r="B401" s="253">
        <v>12</v>
      </c>
      <c r="C401" s="257" t="s">
        <v>494</v>
      </c>
      <c r="D401" s="257" t="str">
        <f t="shared" si="17"/>
        <v>12 ST</v>
      </c>
      <c r="E401" t="s">
        <v>487</v>
      </c>
      <c r="F401" t="s">
        <v>488</v>
      </c>
      <c r="G401" t="s">
        <v>529</v>
      </c>
      <c r="H401" t="s">
        <v>462</v>
      </c>
      <c r="I401">
        <f t="shared" si="18"/>
        <v>1973</v>
      </c>
      <c r="J401" s="229">
        <v>2057</v>
      </c>
      <c r="K401" s="254">
        <v>66562.039999999994</v>
      </c>
      <c r="L401" s="254">
        <v>66053.949931075011</v>
      </c>
      <c r="M401" s="254">
        <v>508.09006892498292</v>
      </c>
      <c r="N401" s="255">
        <v>100</v>
      </c>
      <c r="O401" s="256">
        <v>711</v>
      </c>
      <c r="P401" s="254">
        <f t="shared" si="19"/>
        <v>473256.10439999995</v>
      </c>
    </row>
    <row r="402" spans="1:16" x14ac:dyDescent="0.2">
      <c r="A402" t="s">
        <v>541</v>
      </c>
      <c r="B402" s="253">
        <v>12</v>
      </c>
      <c r="C402" s="257" t="s">
        <v>494</v>
      </c>
      <c r="D402" s="257" t="str">
        <f t="shared" si="17"/>
        <v>12 ST</v>
      </c>
      <c r="E402" t="s">
        <v>487</v>
      </c>
      <c r="F402" t="s">
        <v>488</v>
      </c>
      <c r="G402" t="s">
        <v>470</v>
      </c>
      <c r="H402" t="s">
        <v>462</v>
      </c>
      <c r="I402">
        <f t="shared" si="18"/>
        <v>2007</v>
      </c>
      <c r="J402" s="229">
        <v>2288</v>
      </c>
      <c r="K402" s="254">
        <v>1516843.3</v>
      </c>
      <c r="L402" s="254">
        <v>147986.04613908139</v>
      </c>
      <c r="M402" s="254">
        <v>1368857.2538609186</v>
      </c>
      <c r="N402" s="255">
        <v>608</v>
      </c>
      <c r="O402" s="256">
        <v>711</v>
      </c>
      <c r="P402" s="254">
        <f t="shared" si="19"/>
        <v>1773808.5300986841</v>
      </c>
    </row>
    <row r="403" spans="1:16" x14ac:dyDescent="0.2">
      <c r="A403" t="s">
        <v>541</v>
      </c>
      <c r="B403" s="253">
        <v>12</v>
      </c>
      <c r="C403" s="257" t="s">
        <v>494</v>
      </c>
      <c r="D403" s="257" t="str">
        <f t="shared" si="17"/>
        <v>12 ST</v>
      </c>
      <c r="E403" t="s">
        <v>487</v>
      </c>
      <c r="F403" t="s">
        <v>488</v>
      </c>
      <c r="G403" t="s">
        <v>521</v>
      </c>
      <c r="H403" t="s">
        <v>462</v>
      </c>
      <c r="I403">
        <f t="shared" si="18"/>
        <v>1980</v>
      </c>
      <c r="J403" s="229">
        <v>3702</v>
      </c>
      <c r="K403" s="254">
        <v>211839.88</v>
      </c>
      <c r="L403" s="254">
        <v>192431.81624494889</v>
      </c>
      <c r="M403" s="254">
        <v>19408.063755051116</v>
      </c>
      <c r="N403" s="255">
        <v>204</v>
      </c>
      <c r="O403" s="256">
        <v>711</v>
      </c>
      <c r="P403" s="254">
        <f t="shared" si="19"/>
        <v>738324.28764705884</v>
      </c>
    </row>
    <row r="404" spans="1:16" x14ac:dyDescent="0.2">
      <c r="A404" t="s">
        <v>541</v>
      </c>
      <c r="B404" s="253">
        <v>12</v>
      </c>
      <c r="C404" s="257" t="s">
        <v>494</v>
      </c>
      <c r="D404" s="257" t="str">
        <f t="shared" si="17"/>
        <v>12 ST</v>
      </c>
      <c r="E404" t="s">
        <v>487</v>
      </c>
      <c r="F404" t="s">
        <v>488</v>
      </c>
      <c r="G404" t="s">
        <v>508</v>
      </c>
      <c r="H404" t="s">
        <v>462</v>
      </c>
      <c r="I404">
        <f t="shared" si="18"/>
        <v>1961</v>
      </c>
      <c r="J404" s="229">
        <v>3806</v>
      </c>
      <c r="K404" s="254">
        <v>81423.67</v>
      </c>
      <c r="L404" s="254">
        <v>84435.224868915873</v>
      </c>
      <c r="M404" s="254">
        <v>-3011.554868915875</v>
      </c>
      <c r="N404" s="255">
        <v>63</v>
      </c>
      <c r="O404" s="256">
        <v>711</v>
      </c>
      <c r="P404" s="254">
        <f t="shared" si="19"/>
        <v>918924.27571428579</v>
      </c>
    </row>
    <row r="405" spans="1:16" x14ac:dyDescent="0.2">
      <c r="A405" t="s">
        <v>541</v>
      </c>
      <c r="B405" s="253">
        <v>12</v>
      </c>
      <c r="C405" s="257" t="s">
        <v>494</v>
      </c>
      <c r="D405" s="257" t="str">
        <f t="shared" si="17"/>
        <v>12 ST</v>
      </c>
      <c r="E405" t="s">
        <v>487</v>
      </c>
      <c r="F405" t="s">
        <v>488</v>
      </c>
      <c r="G405" t="s">
        <v>535</v>
      </c>
      <c r="H405" t="s">
        <v>462</v>
      </c>
      <c r="I405">
        <f t="shared" si="18"/>
        <v>1968</v>
      </c>
      <c r="J405" s="229">
        <v>4454</v>
      </c>
      <c r="K405" s="254">
        <v>62572.06</v>
      </c>
      <c r="L405" s="254">
        <v>63875.8311404251</v>
      </c>
      <c r="M405" s="254">
        <v>-1303.7711404251022</v>
      </c>
      <c r="N405" s="255">
        <v>78</v>
      </c>
      <c r="O405" s="256">
        <v>711</v>
      </c>
      <c r="P405" s="254">
        <f t="shared" si="19"/>
        <v>570368.39307692298</v>
      </c>
    </row>
    <row r="406" spans="1:16" x14ac:dyDescent="0.2">
      <c r="A406" t="s">
        <v>541</v>
      </c>
      <c r="B406" s="253">
        <v>12</v>
      </c>
      <c r="C406" s="257" t="s">
        <v>494</v>
      </c>
      <c r="D406" s="257" t="str">
        <f t="shared" si="17"/>
        <v>12 ST</v>
      </c>
      <c r="E406" t="s">
        <v>487</v>
      </c>
      <c r="F406" t="s">
        <v>488</v>
      </c>
      <c r="G406" t="s">
        <v>534</v>
      </c>
      <c r="H406" t="s">
        <v>462</v>
      </c>
      <c r="I406">
        <f t="shared" si="18"/>
        <v>1966</v>
      </c>
      <c r="J406" s="229">
        <v>7356</v>
      </c>
      <c r="K406" s="254">
        <v>110283.11</v>
      </c>
      <c r="L406" s="254">
        <v>113321.95737700703</v>
      </c>
      <c r="M406" s="254">
        <v>-3038.8473770070268</v>
      </c>
      <c r="N406" s="255">
        <v>72</v>
      </c>
      <c r="O406" s="256">
        <v>711</v>
      </c>
      <c r="P406" s="254">
        <f t="shared" si="19"/>
        <v>1089045.7112499999</v>
      </c>
    </row>
    <row r="407" spans="1:16" x14ac:dyDescent="0.2">
      <c r="A407" t="s">
        <v>541</v>
      </c>
      <c r="B407" s="253">
        <v>12</v>
      </c>
      <c r="C407" s="257" t="s">
        <v>494</v>
      </c>
      <c r="D407" s="257" t="str">
        <f t="shared" si="17"/>
        <v>12 ST</v>
      </c>
      <c r="E407" t="s">
        <v>487</v>
      </c>
      <c r="F407" t="s">
        <v>488</v>
      </c>
      <c r="G407" t="s">
        <v>468</v>
      </c>
      <c r="H407" t="s">
        <v>462</v>
      </c>
      <c r="I407">
        <f t="shared" si="18"/>
        <v>2009</v>
      </c>
      <c r="J407" s="229">
        <v>7604</v>
      </c>
      <c r="K407" s="254">
        <v>6549120.2199999997</v>
      </c>
      <c r="L407" s="254">
        <v>277856.94116583135</v>
      </c>
      <c r="M407" s="254">
        <v>6271263.2788341688</v>
      </c>
      <c r="N407" s="255">
        <v>673</v>
      </c>
      <c r="O407" s="256">
        <v>711</v>
      </c>
      <c r="P407" s="254">
        <f t="shared" si="19"/>
        <v>6918907.0972065376</v>
      </c>
    </row>
    <row r="408" spans="1:16" x14ac:dyDescent="0.2">
      <c r="A408" t="s">
        <v>541</v>
      </c>
      <c r="B408" s="253">
        <v>12</v>
      </c>
      <c r="C408" s="257" t="s">
        <v>494</v>
      </c>
      <c r="D408" s="257" t="str">
        <f t="shared" si="17"/>
        <v>12 ST</v>
      </c>
      <c r="E408" t="s">
        <v>487</v>
      </c>
      <c r="F408" t="s">
        <v>488</v>
      </c>
      <c r="G408" t="s">
        <v>532</v>
      </c>
      <c r="H408" t="s">
        <v>462</v>
      </c>
      <c r="I408">
        <f t="shared" si="18"/>
        <v>1967</v>
      </c>
      <c r="J408" s="229">
        <v>8324</v>
      </c>
      <c r="K408" s="254">
        <v>94615.29</v>
      </c>
      <c r="L408" s="254">
        <v>96930.03823171799</v>
      </c>
      <c r="M408" s="254">
        <v>-2314.7482317179965</v>
      </c>
      <c r="N408" s="255">
        <v>75</v>
      </c>
      <c r="O408" s="256">
        <v>711</v>
      </c>
      <c r="P408" s="254">
        <f t="shared" si="19"/>
        <v>896952.94920000003</v>
      </c>
    </row>
    <row r="409" spans="1:16" x14ac:dyDescent="0.2">
      <c r="A409" t="s">
        <v>541</v>
      </c>
      <c r="B409" s="253">
        <v>12</v>
      </c>
      <c r="C409" s="257" t="s">
        <v>494</v>
      </c>
      <c r="D409" s="257" t="str">
        <f t="shared" si="17"/>
        <v>12 ST</v>
      </c>
      <c r="E409" t="s">
        <v>487</v>
      </c>
      <c r="F409" t="s">
        <v>488</v>
      </c>
      <c r="G409" t="s">
        <v>507</v>
      </c>
      <c r="H409" t="s">
        <v>462</v>
      </c>
      <c r="I409">
        <f t="shared" si="18"/>
        <v>1960</v>
      </c>
      <c r="J409" s="229">
        <v>8743</v>
      </c>
      <c r="K409" s="254">
        <v>179112.99</v>
      </c>
      <c r="L409" s="254">
        <v>185931.48166514334</v>
      </c>
      <c r="M409" s="254">
        <v>-6818.491665143345</v>
      </c>
      <c r="N409" s="255">
        <v>61</v>
      </c>
      <c r="O409" s="256">
        <v>711</v>
      </c>
      <c r="P409" s="254">
        <f t="shared" si="19"/>
        <v>2087694.0309836066</v>
      </c>
    </row>
    <row r="410" spans="1:16" x14ac:dyDescent="0.2">
      <c r="A410" t="s">
        <v>541</v>
      </c>
      <c r="B410" s="253">
        <v>12</v>
      </c>
      <c r="C410" s="257" t="s">
        <v>494</v>
      </c>
      <c r="D410" s="257" t="str">
        <f t="shared" si="17"/>
        <v>12 ST</v>
      </c>
      <c r="E410" t="s">
        <v>487</v>
      </c>
      <c r="F410" t="s">
        <v>488</v>
      </c>
      <c r="G410" t="s">
        <v>470</v>
      </c>
      <c r="H410" t="s">
        <v>462</v>
      </c>
      <c r="I410">
        <f t="shared" si="18"/>
        <v>2007</v>
      </c>
      <c r="J410" s="229">
        <v>19360</v>
      </c>
      <c r="K410" s="254">
        <v>10807600.58</v>
      </c>
      <c r="L410" s="254">
        <v>1054409.5650394785</v>
      </c>
      <c r="M410" s="254">
        <v>9753191.0149605218</v>
      </c>
      <c r="N410" s="255">
        <v>608</v>
      </c>
      <c r="O410" s="256">
        <v>711</v>
      </c>
      <c r="P410" s="254">
        <f t="shared" si="19"/>
        <v>12638493.441414474</v>
      </c>
    </row>
    <row r="411" spans="1:16" x14ac:dyDescent="0.2">
      <c r="A411" t="s">
        <v>541</v>
      </c>
      <c r="B411" s="253">
        <v>12</v>
      </c>
      <c r="C411" s="257" t="s">
        <v>494</v>
      </c>
      <c r="D411" s="257" t="str">
        <f t="shared" si="17"/>
        <v>12 ST</v>
      </c>
      <c r="E411" t="s">
        <v>487</v>
      </c>
      <c r="F411" t="s">
        <v>488</v>
      </c>
      <c r="G411" t="s">
        <v>476</v>
      </c>
      <c r="H411" t="s">
        <v>462</v>
      </c>
      <c r="I411">
        <f t="shared" si="18"/>
        <v>2004</v>
      </c>
      <c r="J411" s="229">
        <v>19794</v>
      </c>
      <c r="K411" s="254">
        <v>3506915.09</v>
      </c>
      <c r="L411" s="254">
        <v>652747.70177386981</v>
      </c>
      <c r="M411" s="254">
        <v>2854167.38822613</v>
      </c>
      <c r="N411" s="255">
        <v>477</v>
      </c>
      <c r="O411" s="256">
        <v>711</v>
      </c>
      <c r="P411" s="254">
        <f t="shared" si="19"/>
        <v>5227288.5303773582</v>
      </c>
    </row>
    <row r="412" spans="1:16" x14ac:dyDescent="0.2">
      <c r="A412" t="s">
        <v>541</v>
      </c>
      <c r="B412" s="253">
        <v>12</v>
      </c>
      <c r="C412" s="257" t="s">
        <v>494</v>
      </c>
      <c r="D412" s="257" t="str">
        <f t="shared" si="17"/>
        <v>12 ST</v>
      </c>
      <c r="E412" t="s">
        <v>487</v>
      </c>
      <c r="F412" t="s">
        <v>488</v>
      </c>
      <c r="G412" t="s">
        <v>510</v>
      </c>
      <c r="H412" t="s">
        <v>462</v>
      </c>
      <c r="I412">
        <f t="shared" si="18"/>
        <v>1962</v>
      </c>
      <c r="J412" s="229">
        <v>20593</v>
      </c>
      <c r="K412" s="254">
        <v>334952.62</v>
      </c>
      <c r="L412" s="254">
        <v>346912.46713502757</v>
      </c>
      <c r="M412" s="254">
        <v>-11959.847135027579</v>
      </c>
      <c r="N412" s="255">
        <v>64</v>
      </c>
      <c r="O412" s="256">
        <v>711</v>
      </c>
      <c r="P412" s="254">
        <f t="shared" si="19"/>
        <v>3721114.2628124999</v>
      </c>
    </row>
    <row r="413" spans="1:16" x14ac:dyDescent="0.2">
      <c r="A413" t="s">
        <v>541</v>
      </c>
      <c r="B413" s="253">
        <v>12</v>
      </c>
      <c r="C413" s="257" t="s">
        <v>494</v>
      </c>
      <c r="D413" s="257" t="str">
        <f t="shared" si="17"/>
        <v>12 ST</v>
      </c>
      <c r="E413" t="s">
        <v>487</v>
      </c>
      <c r="F413" t="s">
        <v>488</v>
      </c>
      <c r="G413" t="s">
        <v>465</v>
      </c>
      <c r="H413" t="s">
        <v>462</v>
      </c>
      <c r="I413">
        <f t="shared" si="18"/>
        <v>1991</v>
      </c>
      <c r="J413" s="229">
        <v>39668</v>
      </c>
      <c r="K413" s="254">
        <v>3193467.59</v>
      </c>
      <c r="L413" s="254">
        <v>2012984.7438726178</v>
      </c>
      <c r="M413" s="254">
        <v>1180482.846127382</v>
      </c>
      <c r="N413" s="255">
        <v>312</v>
      </c>
      <c r="O413" s="256">
        <v>711</v>
      </c>
      <c r="P413" s="254">
        <f t="shared" si="19"/>
        <v>7277421.3349038456</v>
      </c>
    </row>
    <row r="414" spans="1:16" x14ac:dyDescent="0.2">
      <c r="A414" t="s">
        <v>541</v>
      </c>
      <c r="B414" s="253">
        <v>12</v>
      </c>
      <c r="C414" s="257" t="s">
        <v>494</v>
      </c>
      <c r="D414" s="257" t="str">
        <f t="shared" si="17"/>
        <v>12 ST</v>
      </c>
      <c r="E414" t="s">
        <v>487</v>
      </c>
      <c r="F414" t="s">
        <v>488</v>
      </c>
      <c r="G414" t="s">
        <v>511</v>
      </c>
      <c r="H414" t="s">
        <v>462</v>
      </c>
      <c r="I414">
        <f t="shared" si="18"/>
        <v>1963</v>
      </c>
      <c r="J414" s="229">
        <v>46698</v>
      </c>
      <c r="K414" s="254">
        <v>489708.23</v>
      </c>
      <c r="L414" s="254">
        <v>506446.23316264892</v>
      </c>
      <c r="M414" s="254">
        <v>-16738.003162648936</v>
      </c>
      <c r="N414" s="255">
        <v>65</v>
      </c>
      <c r="O414" s="256">
        <v>711</v>
      </c>
      <c r="P414" s="254">
        <f t="shared" si="19"/>
        <v>5356654.6389230769</v>
      </c>
    </row>
    <row r="415" spans="1:16" x14ac:dyDescent="0.2">
      <c r="A415" t="s">
        <v>541</v>
      </c>
      <c r="B415" s="253">
        <v>12</v>
      </c>
      <c r="C415" s="257" t="s">
        <v>494</v>
      </c>
      <c r="D415" s="257" t="str">
        <f t="shared" si="17"/>
        <v>12 ST</v>
      </c>
      <c r="E415" t="s">
        <v>487</v>
      </c>
      <c r="F415" t="s">
        <v>488</v>
      </c>
      <c r="G415" t="s">
        <v>477</v>
      </c>
      <c r="H415" t="s">
        <v>462</v>
      </c>
      <c r="I415">
        <f t="shared" si="18"/>
        <v>2006</v>
      </c>
      <c r="J415" s="229">
        <v>110012</v>
      </c>
      <c r="K415" s="254">
        <v>24725433.57</v>
      </c>
      <c r="L415" s="254">
        <v>3435590.9897484644</v>
      </c>
      <c r="M415" s="254">
        <v>21289842.580251537</v>
      </c>
      <c r="N415" s="255">
        <v>644</v>
      </c>
      <c r="O415" s="256">
        <v>711</v>
      </c>
      <c r="P415" s="254">
        <f t="shared" si="19"/>
        <v>27297800.106009316</v>
      </c>
    </row>
    <row r="416" spans="1:16" x14ac:dyDescent="0.2">
      <c r="A416" t="s">
        <v>542</v>
      </c>
      <c r="B416" s="253">
        <v>16</v>
      </c>
      <c r="C416" s="257" t="s">
        <v>494</v>
      </c>
      <c r="D416" s="257" t="str">
        <f t="shared" si="17"/>
        <v>16 ST</v>
      </c>
      <c r="E416" t="s">
        <v>487</v>
      </c>
      <c r="F416" t="s">
        <v>488</v>
      </c>
      <c r="G416" t="s">
        <v>531</v>
      </c>
      <c r="H416" t="s">
        <v>462</v>
      </c>
      <c r="I416">
        <f t="shared" si="18"/>
        <v>1970</v>
      </c>
      <c r="J416" s="229">
        <v>8</v>
      </c>
      <c r="K416" s="254">
        <v>1204.0899999999999</v>
      </c>
      <c r="L416" s="254">
        <v>1218.2260263043036</v>
      </c>
      <c r="M416" s="254">
        <v>-14.136026304303641</v>
      </c>
      <c r="N416" s="255">
        <v>86</v>
      </c>
      <c r="O416" s="256">
        <v>711</v>
      </c>
      <c r="P416" s="254">
        <f t="shared" si="19"/>
        <v>9954.744069767441</v>
      </c>
    </row>
    <row r="417" spans="1:16" x14ac:dyDescent="0.2">
      <c r="A417" t="s">
        <v>542</v>
      </c>
      <c r="B417" s="253">
        <v>16</v>
      </c>
      <c r="C417" s="257" t="s">
        <v>494</v>
      </c>
      <c r="D417" s="257" t="str">
        <f t="shared" si="17"/>
        <v>16 ST</v>
      </c>
      <c r="E417" t="s">
        <v>487</v>
      </c>
      <c r="F417" t="s">
        <v>488</v>
      </c>
      <c r="G417" t="s">
        <v>477</v>
      </c>
      <c r="H417" t="s">
        <v>462</v>
      </c>
      <c r="I417">
        <f t="shared" si="18"/>
        <v>2006</v>
      </c>
      <c r="J417" s="229">
        <v>9</v>
      </c>
      <c r="K417" s="254">
        <v>2916.41</v>
      </c>
      <c r="L417" s="254">
        <v>367.77992141296227</v>
      </c>
      <c r="M417" s="254">
        <v>2548.6300785870376</v>
      </c>
      <c r="N417" s="255">
        <v>644</v>
      </c>
      <c r="O417" s="256">
        <v>711</v>
      </c>
      <c r="P417" s="254">
        <f t="shared" si="19"/>
        <v>3219.825326086956</v>
      </c>
    </row>
    <row r="418" spans="1:16" x14ac:dyDescent="0.2">
      <c r="A418" t="s">
        <v>542</v>
      </c>
      <c r="B418" s="253">
        <v>16</v>
      </c>
      <c r="C418" s="257" t="s">
        <v>494</v>
      </c>
      <c r="D418" s="257" t="str">
        <f t="shared" si="17"/>
        <v>16 ST</v>
      </c>
      <c r="E418" t="s">
        <v>487</v>
      </c>
      <c r="F418" t="s">
        <v>488</v>
      </c>
      <c r="G418" t="s">
        <v>514</v>
      </c>
      <c r="H418" t="s">
        <v>462</v>
      </c>
      <c r="I418">
        <f t="shared" si="18"/>
        <v>1994</v>
      </c>
      <c r="J418" s="229">
        <v>24</v>
      </c>
      <c r="K418" s="254">
        <v>347471</v>
      </c>
      <c r="L418" s="254">
        <v>183671.37358069798</v>
      </c>
      <c r="M418" s="254">
        <v>163799.62641930202</v>
      </c>
      <c r="N418" s="255">
        <v>346</v>
      </c>
      <c r="O418" s="256">
        <v>711</v>
      </c>
      <c r="P418" s="254">
        <f t="shared" si="19"/>
        <v>714022.77745664748</v>
      </c>
    </row>
    <row r="419" spans="1:16" x14ac:dyDescent="0.2">
      <c r="A419" t="s">
        <v>542</v>
      </c>
      <c r="B419" s="253">
        <v>16</v>
      </c>
      <c r="C419" s="257" t="s">
        <v>494</v>
      </c>
      <c r="D419" s="257" t="str">
        <f t="shared" si="17"/>
        <v>16 ST</v>
      </c>
      <c r="E419" t="s">
        <v>487</v>
      </c>
      <c r="F419" t="s">
        <v>488</v>
      </c>
      <c r="G419" t="s">
        <v>474</v>
      </c>
      <c r="H419" t="s">
        <v>462</v>
      </c>
      <c r="I419">
        <f t="shared" si="18"/>
        <v>2005</v>
      </c>
      <c r="J419" s="229">
        <v>43</v>
      </c>
      <c r="K419" s="254">
        <v>413063.99</v>
      </c>
      <c r="L419" s="254">
        <v>64280.340373892781</v>
      </c>
      <c r="M419" s="254">
        <v>348783.64962610719</v>
      </c>
      <c r="N419" s="255">
        <v>595</v>
      </c>
      <c r="O419" s="256">
        <v>711</v>
      </c>
      <c r="P419" s="254">
        <f t="shared" si="19"/>
        <v>493594.11242016807</v>
      </c>
    </row>
    <row r="420" spans="1:16" x14ac:dyDescent="0.2">
      <c r="A420" t="s">
        <v>542</v>
      </c>
      <c r="B420" s="253">
        <v>16</v>
      </c>
      <c r="C420" s="257" t="s">
        <v>494</v>
      </c>
      <c r="D420" s="257" t="str">
        <f t="shared" si="17"/>
        <v>16 ST</v>
      </c>
      <c r="E420" t="s">
        <v>487</v>
      </c>
      <c r="F420" t="s">
        <v>488</v>
      </c>
      <c r="G420" t="s">
        <v>490</v>
      </c>
      <c r="H420" t="s">
        <v>462</v>
      </c>
      <c r="I420">
        <f t="shared" si="18"/>
        <v>1992</v>
      </c>
      <c r="J420" s="229">
        <v>135</v>
      </c>
      <c r="K420" s="254">
        <v>115549.18</v>
      </c>
      <c r="L420" s="254">
        <v>69003.846142082984</v>
      </c>
      <c r="M420" s="254">
        <v>46545.333857917009</v>
      </c>
      <c r="N420" s="255">
        <v>315</v>
      </c>
      <c r="O420" s="256">
        <v>711</v>
      </c>
      <c r="P420" s="254">
        <f t="shared" si="19"/>
        <v>260811.00628571428</v>
      </c>
    </row>
    <row r="421" spans="1:16" x14ac:dyDescent="0.2">
      <c r="A421" t="s">
        <v>542</v>
      </c>
      <c r="B421" s="253">
        <v>16</v>
      </c>
      <c r="C421" s="257" t="s">
        <v>494</v>
      </c>
      <c r="D421" s="257" t="str">
        <f t="shared" si="17"/>
        <v>16 ST</v>
      </c>
      <c r="E421" t="s">
        <v>487</v>
      </c>
      <c r="F421" t="s">
        <v>488</v>
      </c>
      <c r="G421" t="s">
        <v>469</v>
      </c>
      <c r="H421" t="s">
        <v>462</v>
      </c>
      <c r="I421">
        <f t="shared" si="18"/>
        <v>2010</v>
      </c>
      <c r="J421" s="229">
        <v>411</v>
      </c>
      <c r="K421" s="254">
        <v>1503743.81</v>
      </c>
      <c r="L421" s="254">
        <v>22004.797828230072</v>
      </c>
      <c r="M421" s="254">
        <v>1481739.01217177</v>
      </c>
      <c r="N421" s="255">
        <v>711</v>
      </c>
      <c r="O421" s="256">
        <v>711</v>
      </c>
      <c r="P421" s="254">
        <f t="shared" si="19"/>
        <v>1503743.81</v>
      </c>
    </row>
    <row r="422" spans="1:16" x14ac:dyDescent="0.2">
      <c r="A422" t="s">
        <v>542</v>
      </c>
      <c r="B422" s="253">
        <v>16</v>
      </c>
      <c r="C422" s="257" t="s">
        <v>494</v>
      </c>
      <c r="D422" s="257" t="str">
        <f t="shared" si="17"/>
        <v>16 ST</v>
      </c>
      <c r="E422" t="s">
        <v>487</v>
      </c>
      <c r="F422" t="s">
        <v>488</v>
      </c>
      <c r="G422" t="s">
        <v>509</v>
      </c>
      <c r="H422" t="s">
        <v>462</v>
      </c>
      <c r="I422">
        <f t="shared" si="18"/>
        <v>1964</v>
      </c>
      <c r="J422" s="229">
        <v>557</v>
      </c>
      <c r="K422" s="254">
        <v>11334.32</v>
      </c>
      <c r="L422" s="254">
        <v>11701.011517711626</v>
      </c>
      <c r="M422" s="254">
        <v>-366.69151771162615</v>
      </c>
      <c r="N422" s="255">
        <v>67</v>
      </c>
      <c r="O422" s="256">
        <v>711</v>
      </c>
      <c r="P422" s="254">
        <f t="shared" si="19"/>
        <v>120279.12716417911</v>
      </c>
    </row>
    <row r="423" spans="1:16" x14ac:dyDescent="0.2">
      <c r="A423" t="s">
        <v>542</v>
      </c>
      <c r="B423" s="253">
        <v>16</v>
      </c>
      <c r="C423" s="257" t="s">
        <v>494</v>
      </c>
      <c r="D423" s="257" t="str">
        <f t="shared" si="17"/>
        <v>16 ST</v>
      </c>
      <c r="E423" t="s">
        <v>487</v>
      </c>
      <c r="F423" t="s">
        <v>488</v>
      </c>
      <c r="G423" t="s">
        <v>507</v>
      </c>
      <c r="H423" t="s">
        <v>462</v>
      </c>
      <c r="I423">
        <f t="shared" si="18"/>
        <v>1960</v>
      </c>
      <c r="J423" s="229">
        <v>935</v>
      </c>
      <c r="K423" s="254">
        <v>19786.2</v>
      </c>
      <c r="L423" s="254">
        <v>20539.424976756065</v>
      </c>
      <c r="M423" s="254">
        <v>-753.22497675606428</v>
      </c>
      <c r="N423" s="255">
        <v>61</v>
      </c>
      <c r="O423" s="256">
        <v>711</v>
      </c>
      <c r="P423" s="254">
        <f t="shared" si="19"/>
        <v>230622.75737704922</v>
      </c>
    </row>
    <row r="424" spans="1:16" x14ac:dyDescent="0.2">
      <c r="A424" t="s">
        <v>542</v>
      </c>
      <c r="B424" s="253">
        <v>16</v>
      </c>
      <c r="C424" s="257" t="s">
        <v>494</v>
      </c>
      <c r="D424" s="257" t="str">
        <f t="shared" si="17"/>
        <v>16 ST</v>
      </c>
      <c r="E424" t="s">
        <v>487</v>
      </c>
      <c r="F424" t="s">
        <v>488</v>
      </c>
      <c r="G424" t="s">
        <v>461</v>
      </c>
      <c r="H424" t="s">
        <v>462</v>
      </c>
      <c r="I424">
        <f t="shared" si="18"/>
        <v>2008</v>
      </c>
      <c r="J424" s="229">
        <v>1304</v>
      </c>
      <c r="K424" s="254">
        <v>1156764.17</v>
      </c>
      <c r="L424" s="254">
        <v>80728.851191269583</v>
      </c>
      <c r="M424" s="254">
        <v>1076035.3188087302</v>
      </c>
      <c r="N424" s="255">
        <v>731</v>
      </c>
      <c r="O424" s="256">
        <v>711</v>
      </c>
      <c r="P424" s="254">
        <f t="shared" si="19"/>
        <v>1125115.3554993158</v>
      </c>
    </row>
    <row r="425" spans="1:16" x14ac:dyDescent="0.2">
      <c r="A425" t="s">
        <v>542</v>
      </c>
      <c r="B425" s="253">
        <v>16</v>
      </c>
      <c r="C425" s="257" t="s">
        <v>494</v>
      </c>
      <c r="D425" s="257" t="str">
        <f t="shared" si="17"/>
        <v>16 ST</v>
      </c>
      <c r="E425" t="s">
        <v>487</v>
      </c>
      <c r="F425" t="s">
        <v>488</v>
      </c>
      <c r="G425" t="s">
        <v>535</v>
      </c>
      <c r="H425" t="s">
        <v>462</v>
      </c>
      <c r="I425">
        <f t="shared" si="18"/>
        <v>1968</v>
      </c>
      <c r="J425" s="229">
        <v>1551</v>
      </c>
      <c r="K425" s="254">
        <v>22965.43</v>
      </c>
      <c r="L425" s="254">
        <v>23443.949309910087</v>
      </c>
      <c r="M425" s="254">
        <v>-478.51930991008703</v>
      </c>
      <c r="N425" s="255">
        <v>78</v>
      </c>
      <c r="O425" s="256">
        <v>711</v>
      </c>
      <c r="P425" s="254">
        <f t="shared" si="19"/>
        <v>209338.72730769229</v>
      </c>
    </row>
    <row r="426" spans="1:16" x14ac:dyDescent="0.2">
      <c r="A426" t="s">
        <v>542</v>
      </c>
      <c r="B426" s="253">
        <v>16</v>
      </c>
      <c r="C426" s="257" t="s">
        <v>494</v>
      </c>
      <c r="D426" s="257" t="str">
        <f t="shared" si="17"/>
        <v>16 ST</v>
      </c>
      <c r="E426" t="s">
        <v>487</v>
      </c>
      <c r="F426" t="s">
        <v>488</v>
      </c>
      <c r="G426" t="s">
        <v>510</v>
      </c>
      <c r="H426" t="s">
        <v>462</v>
      </c>
      <c r="I426">
        <f t="shared" si="18"/>
        <v>1962</v>
      </c>
      <c r="J426" s="229">
        <v>3632</v>
      </c>
      <c r="K426" s="254">
        <v>82341.990000000005</v>
      </c>
      <c r="L426" s="254">
        <v>85282.09522501532</v>
      </c>
      <c r="M426" s="254">
        <v>-2940.1052250153152</v>
      </c>
      <c r="N426" s="255">
        <v>64</v>
      </c>
      <c r="O426" s="256">
        <v>711</v>
      </c>
      <c r="P426" s="254">
        <f t="shared" si="19"/>
        <v>914768.04515625001</v>
      </c>
    </row>
    <row r="427" spans="1:16" x14ac:dyDescent="0.2">
      <c r="A427" t="s">
        <v>542</v>
      </c>
      <c r="B427" s="253">
        <v>16</v>
      </c>
      <c r="C427" s="257" t="s">
        <v>494</v>
      </c>
      <c r="D427" s="257" t="str">
        <f t="shared" si="17"/>
        <v>16 ST</v>
      </c>
      <c r="E427" t="s">
        <v>487</v>
      </c>
      <c r="F427" t="s">
        <v>488</v>
      </c>
      <c r="G427" t="s">
        <v>532</v>
      </c>
      <c r="H427" t="s">
        <v>462</v>
      </c>
      <c r="I427">
        <f t="shared" si="18"/>
        <v>1967</v>
      </c>
      <c r="J427" s="229">
        <v>5052</v>
      </c>
      <c r="K427" s="254">
        <v>162473.79999999999</v>
      </c>
      <c r="L427" s="254">
        <v>166448.69925475682</v>
      </c>
      <c r="M427" s="254">
        <v>-3974.8992547568341</v>
      </c>
      <c r="N427" s="255">
        <v>75</v>
      </c>
      <c r="O427" s="256">
        <v>711</v>
      </c>
      <c r="P427" s="254">
        <f t="shared" si="19"/>
        <v>1540251.6240000001</v>
      </c>
    </row>
    <row r="428" spans="1:16" x14ac:dyDescent="0.2">
      <c r="A428" t="s">
        <v>542</v>
      </c>
      <c r="B428" s="253">
        <v>16</v>
      </c>
      <c r="C428" s="257" t="s">
        <v>494</v>
      </c>
      <c r="D428" s="257" t="str">
        <f t="shared" si="17"/>
        <v>16 ST</v>
      </c>
      <c r="E428" t="s">
        <v>487</v>
      </c>
      <c r="F428" t="s">
        <v>488</v>
      </c>
      <c r="G428" t="s">
        <v>511</v>
      </c>
      <c r="H428" t="s">
        <v>462</v>
      </c>
      <c r="I428">
        <f t="shared" si="18"/>
        <v>1963</v>
      </c>
      <c r="J428" s="229">
        <v>6541</v>
      </c>
      <c r="K428" s="254">
        <v>147049.29999999999</v>
      </c>
      <c r="L428" s="254">
        <v>152075.37345192587</v>
      </c>
      <c r="M428" s="254">
        <v>-5026.073451925884</v>
      </c>
      <c r="N428" s="255">
        <v>65</v>
      </c>
      <c r="O428" s="256">
        <v>711</v>
      </c>
      <c r="P428" s="254">
        <f t="shared" si="19"/>
        <v>1608493.1123076922</v>
      </c>
    </row>
    <row r="429" spans="1:16" x14ac:dyDescent="0.2">
      <c r="A429" t="s">
        <v>542</v>
      </c>
      <c r="B429" s="253">
        <v>16</v>
      </c>
      <c r="C429" s="257" t="s">
        <v>494</v>
      </c>
      <c r="D429" s="257" t="str">
        <f t="shared" si="17"/>
        <v>16 ST</v>
      </c>
      <c r="E429" t="s">
        <v>487</v>
      </c>
      <c r="F429" t="s">
        <v>488</v>
      </c>
      <c r="G429" t="s">
        <v>479</v>
      </c>
      <c r="H429" t="s">
        <v>462</v>
      </c>
      <c r="I429">
        <f t="shared" si="18"/>
        <v>1998</v>
      </c>
      <c r="J429" s="229">
        <v>14865</v>
      </c>
      <c r="K429" s="254">
        <v>3397206.57</v>
      </c>
      <c r="L429" s="254">
        <v>1315854.0359045193</v>
      </c>
      <c r="M429" s="254">
        <v>2081352.5340954806</v>
      </c>
      <c r="N429" s="255">
        <v>372</v>
      </c>
      <c r="O429" s="256">
        <v>711</v>
      </c>
      <c r="P429" s="254">
        <f t="shared" si="19"/>
        <v>6493048.0410483871</v>
      </c>
    </row>
    <row r="430" spans="1:16" x14ac:dyDescent="0.2">
      <c r="A430" t="s">
        <v>542</v>
      </c>
      <c r="B430" s="253">
        <v>16</v>
      </c>
      <c r="C430" s="257" t="s">
        <v>494</v>
      </c>
      <c r="D430" s="257" t="str">
        <f t="shared" si="17"/>
        <v>16 ST</v>
      </c>
      <c r="E430" t="s">
        <v>487</v>
      </c>
      <c r="F430" t="s">
        <v>488</v>
      </c>
      <c r="G430" t="s">
        <v>480</v>
      </c>
      <c r="H430" t="s">
        <v>462</v>
      </c>
      <c r="I430">
        <f t="shared" si="18"/>
        <v>1999</v>
      </c>
      <c r="J430" s="229">
        <v>22770</v>
      </c>
      <c r="K430" s="254">
        <v>5202890.3899999997</v>
      </c>
      <c r="L430" s="254">
        <v>1832617.5906205084</v>
      </c>
      <c r="M430" s="254">
        <v>3370272.7993794912</v>
      </c>
      <c r="N430" s="255">
        <v>382</v>
      </c>
      <c r="O430" s="256">
        <v>711</v>
      </c>
      <c r="P430" s="254">
        <f t="shared" si="19"/>
        <v>9683913.7887172773</v>
      </c>
    </row>
    <row r="431" spans="1:16" x14ac:dyDescent="0.2">
      <c r="A431" t="s">
        <v>542</v>
      </c>
      <c r="B431" s="253">
        <v>16</v>
      </c>
      <c r="C431" s="257" t="s">
        <v>494</v>
      </c>
      <c r="D431" s="257" t="str">
        <f t="shared" si="17"/>
        <v>16 ST</v>
      </c>
      <c r="E431" t="s">
        <v>487</v>
      </c>
      <c r="F431" t="s">
        <v>488</v>
      </c>
      <c r="G431" t="s">
        <v>461</v>
      </c>
      <c r="H431" t="s">
        <v>462</v>
      </c>
      <c r="I431">
        <f t="shared" si="18"/>
        <v>2008</v>
      </c>
      <c r="J431" s="229">
        <v>26101</v>
      </c>
      <c r="K431" s="254">
        <v>15751344.880000001</v>
      </c>
      <c r="L431" s="254">
        <v>1099262.9653778672</v>
      </c>
      <c r="M431" s="254">
        <v>14652081.914622134</v>
      </c>
      <c r="N431" s="255">
        <v>731</v>
      </c>
      <c r="O431" s="256">
        <v>711</v>
      </c>
      <c r="P431" s="254">
        <f t="shared" si="19"/>
        <v>15320391.531709986</v>
      </c>
    </row>
    <row r="432" spans="1:16" x14ac:dyDescent="0.2">
      <c r="A432" t="s">
        <v>542</v>
      </c>
      <c r="B432" s="253">
        <v>16</v>
      </c>
      <c r="C432" s="257" t="s">
        <v>494</v>
      </c>
      <c r="D432" s="257" t="str">
        <f t="shared" si="17"/>
        <v>16 ST</v>
      </c>
      <c r="E432" t="s">
        <v>487</v>
      </c>
      <c r="F432" t="s">
        <v>488</v>
      </c>
      <c r="G432" t="s">
        <v>476</v>
      </c>
      <c r="H432" t="s">
        <v>462</v>
      </c>
      <c r="I432">
        <f t="shared" si="18"/>
        <v>2004</v>
      </c>
      <c r="J432" s="229">
        <v>26906</v>
      </c>
      <c r="K432" s="254">
        <v>10192863.720000001</v>
      </c>
      <c r="L432" s="254">
        <v>1897213.9859288763</v>
      </c>
      <c r="M432" s="254">
        <v>8295649.7340711243</v>
      </c>
      <c r="N432" s="255">
        <v>477</v>
      </c>
      <c r="O432" s="256">
        <v>711</v>
      </c>
      <c r="P432" s="254">
        <f t="shared" si="19"/>
        <v>15193136.488301886</v>
      </c>
    </row>
    <row r="433" spans="1:16" x14ac:dyDescent="0.2">
      <c r="A433" t="s">
        <v>542</v>
      </c>
      <c r="B433" s="253">
        <v>16</v>
      </c>
      <c r="C433" s="257" t="s">
        <v>494</v>
      </c>
      <c r="D433" s="257" t="str">
        <f t="shared" si="17"/>
        <v>16 ST</v>
      </c>
      <c r="E433" t="s">
        <v>487</v>
      </c>
      <c r="F433" t="s">
        <v>488</v>
      </c>
      <c r="G433" t="s">
        <v>491</v>
      </c>
      <c r="H433" t="s">
        <v>462</v>
      </c>
      <c r="I433">
        <f t="shared" si="18"/>
        <v>1993</v>
      </c>
      <c r="J433" s="229">
        <v>29713</v>
      </c>
      <c r="K433" s="254">
        <v>5410501</v>
      </c>
      <c r="L433" s="254">
        <v>3047240.4549533343</v>
      </c>
      <c r="M433" s="254">
        <v>2363260.5450466657</v>
      </c>
      <c r="N433" s="255">
        <v>324</v>
      </c>
      <c r="O433" s="256">
        <v>711</v>
      </c>
      <c r="P433" s="254">
        <f t="shared" si="19"/>
        <v>11873043.861111112</v>
      </c>
    </row>
    <row r="434" spans="1:16" x14ac:dyDescent="0.2">
      <c r="A434" t="s">
        <v>542</v>
      </c>
      <c r="B434" s="253">
        <v>16</v>
      </c>
      <c r="C434" s="257" t="s">
        <v>494</v>
      </c>
      <c r="D434" s="257" t="str">
        <f t="shared" si="17"/>
        <v>16 ST</v>
      </c>
      <c r="E434" t="s">
        <v>487</v>
      </c>
      <c r="F434" t="s">
        <v>488</v>
      </c>
      <c r="G434" t="s">
        <v>468</v>
      </c>
      <c r="H434" t="s">
        <v>462</v>
      </c>
      <c r="I434">
        <f t="shared" si="18"/>
        <v>2009</v>
      </c>
      <c r="J434" s="229">
        <v>43395</v>
      </c>
      <c r="K434" s="254">
        <v>33418828.940000001</v>
      </c>
      <c r="L434" s="254">
        <v>1417847.4522940633</v>
      </c>
      <c r="M434" s="254">
        <v>32000981.487705939</v>
      </c>
      <c r="N434" s="255">
        <v>673</v>
      </c>
      <c r="O434" s="256">
        <v>711</v>
      </c>
      <c r="P434" s="254">
        <f t="shared" si="19"/>
        <v>35305776.19069837</v>
      </c>
    </row>
    <row r="435" spans="1:16" x14ac:dyDescent="0.2">
      <c r="A435" t="s">
        <v>542</v>
      </c>
      <c r="B435" s="253">
        <v>16</v>
      </c>
      <c r="C435" s="257" t="s">
        <v>494</v>
      </c>
      <c r="D435" s="257" t="str">
        <f t="shared" si="17"/>
        <v>16 ST</v>
      </c>
      <c r="E435" t="s">
        <v>487</v>
      </c>
      <c r="F435" t="s">
        <v>488</v>
      </c>
      <c r="G435" t="s">
        <v>472</v>
      </c>
      <c r="H435" t="s">
        <v>462</v>
      </c>
      <c r="I435">
        <f t="shared" si="18"/>
        <v>2000</v>
      </c>
      <c r="J435" s="229">
        <v>51073</v>
      </c>
      <c r="K435" s="254">
        <v>3805569.16</v>
      </c>
      <c r="L435" s="254">
        <v>1208480.3084770292</v>
      </c>
      <c r="M435" s="254">
        <v>2597088.8515229709</v>
      </c>
      <c r="N435" s="255">
        <v>396</v>
      </c>
      <c r="O435" s="256">
        <v>711</v>
      </c>
      <c r="P435" s="254">
        <f t="shared" si="19"/>
        <v>6832726.4463636363</v>
      </c>
    </row>
    <row r="436" spans="1:16" x14ac:dyDescent="0.2">
      <c r="A436" t="s">
        <v>542</v>
      </c>
      <c r="B436" s="253">
        <v>16</v>
      </c>
      <c r="C436" s="257" t="s">
        <v>494</v>
      </c>
      <c r="D436" s="257" t="str">
        <f t="shared" si="17"/>
        <v>16 ST</v>
      </c>
      <c r="E436" t="s">
        <v>487</v>
      </c>
      <c r="F436" t="s">
        <v>488</v>
      </c>
      <c r="G436" t="s">
        <v>470</v>
      </c>
      <c r="H436" t="s">
        <v>462</v>
      </c>
      <c r="I436">
        <f t="shared" si="18"/>
        <v>2007</v>
      </c>
      <c r="J436" s="229">
        <v>53399</v>
      </c>
      <c r="K436" s="254">
        <v>27018040.84</v>
      </c>
      <c r="L436" s="254">
        <v>2635930.1849236237</v>
      </c>
      <c r="M436" s="254">
        <v>24382110.655076377</v>
      </c>
      <c r="N436" s="255">
        <v>608</v>
      </c>
      <c r="O436" s="256">
        <v>711</v>
      </c>
      <c r="P436" s="254">
        <f t="shared" si="19"/>
        <v>31595110.258618418</v>
      </c>
    </row>
    <row r="437" spans="1:16" x14ac:dyDescent="0.2">
      <c r="A437" t="s">
        <v>542</v>
      </c>
      <c r="B437" s="253">
        <v>16</v>
      </c>
      <c r="C437" s="257" t="s">
        <v>494</v>
      </c>
      <c r="D437" s="257" t="str">
        <f t="shared" si="17"/>
        <v>16 ST</v>
      </c>
      <c r="E437" t="s">
        <v>543</v>
      </c>
      <c r="F437" t="s">
        <v>544</v>
      </c>
      <c r="G437" t="s">
        <v>474</v>
      </c>
      <c r="H437" t="s">
        <v>462</v>
      </c>
      <c r="I437">
        <f t="shared" si="18"/>
        <v>2005</v>
      </c>
      <c r="J437" s="229">
        <v>0</v>
      </c>
      <c r="K437" s="254">
        <v>2209854.75</v>
      </c>
      <c r="L437" s="254">
        <v>282342.38</v>
      </c>
      <c r="M437" s="254">
        <v>1927512.37</v>
      </c>
      <c r="N437" s="255">
        <v>595</v>
      </c>
      <c r="O437" s="256">
        <v>711</v>
      </c>
      <c r="P437" s="254">
        <f t="shared" si="19"/>
        <v>2640683.5752100842</v>
      </c>
    </row>
    <row r="438" spans="1:16" x14ac:dyDescent="0.2">
      <c r="A438" t="s">
        <v>542</v>
      </c>
      <c r="B438" s="253">
        <v>16</v>
      </c>
      <c r="C438" s="257" t="s">
        <v>494</v>
      </c>
      <c r="D438" s="257" t="str">
        <f t="shared" si="17"/>
        <v>16 ST</v>
      </c>
      <c r="E438" t="s">
        <v>543</v>
      </c>
      <c r="F438" t="s">
        <v>544</v>
      </c>
      <c r="G438" t="s">
        <v>477</v>
      </c>
      <c r="H438" t="s">
        <v>462</v>
      </c>
      <c r="I438">
        <f t="shared" si="18"/>
        <v>2006</v>
      </c>
      <c r="J438" s="229">
        <v>0</v>
      </c>
      <c r="K438" s="254">
        <v>59333.84</v>
      </c>
      <c r="L438" s="254">
        <v>6398.74</v>
      </c>
      <c r="M438" s="254">
        <v>52935.1</v>
      </c>
      <c r="N438" s="255">
        <v>644</v>
      </c>
      <c r="O438" s="256">
        <v>711</v>
      </c>
      <c r="P438" s="254">
        <f t="shared" si="19"/>
        <v>65506.770559006203</v>
      </c>
    </row>
    <row r="439" spans="1:16" x14ac:dyDescent="0.2">
      <c r="A439" t="s">
        <v>542</v>
      </c>
      <c r="B439" s="253">
        <v>16</v>
      </c>
      <c r="C439" s="257" t="s">
        <v>494</v>
      </c>
      <c r="D439" s="257" t="str">
        <f t="shared" ref="D439:D446" si="20">B439&amp;" "&amp;C439</f>
        <v>16 ST</v>
      </c>
      <c r="E439" t="s">
        <v>543</v>
      </c>
      <c r="F439" t="s">
        <v>544</v>
      </c>
      <c r="G439" t="s">
        <v>476</v>
      </c>
      <c r="H439" t="s">
        <v>462</v>
      </c>
      <c r="I439">
        <f t="shared" si="18"/>
        <v>2004</v>
      </c>
      <c r="J439" s="229">
        <v>46664</v>
      </c>
      <c r="K439" s="254">
        <v>24895119.190000001</v>
      </c>
      <c r="L439" s="254">
        <v>3655934.39</v>
      </c>
      <c r="M439" s="254">
        <v>21239184.800000001</v>
      </c>
      <c r="N439" s="255">
        <v>477</v>
      </c>
      <c r="O439" s="256">
        <v>711</v>
      </c>
      <c r="P439" s="254">
        <f t="shared" si="19"/>
        <v>37107819.170000002</v>
      </c>
    </row>
    <row r="440" spans="1:16" x14ac:dyDescent="0.2">
      <c r="A440" t="s">
        <v>545</v>
      </c>
      <c r="B440" s="253">
        <v>20</v>
      </c>
      <c r="C440" s="257" t="s">
        <v>494</v>
      </c>
      <c r="D440" s="257" t="str">
        <f t="shared" si="20"/>
        <v>20 ST</v>
      </c>
      <c r="E440" t="s">
        <v>487</v>
      </c>
      <c r="F440" t="s">
        <v>488</v>
      </c>
      <c r="G440" t="s">
        <v>489</v>
      </c>
      <c r="H440" t="s">
        <v>462</v>
      </c>
      <c r="I440">
        <f t="shared" si="18"/>
        <v>1990</v>
      </c>
      <c r="J440" s="229">
        <v>2</v>
      </c>
      <c r="K440" s="254">
        <v>3408.43</v>
      </c>
      <c r="L440" s="254">
        <v>2258.1969013415751</v>
      </c>
      <c r="M440" s="254">
        <v>1150.2330986584248</v>
      </c>
      <c r="N440" s="255">
        <v>304</v>
      </c>
      <c r="O440" s="256">
        <v>711</v>
      </c>
      <c r="P440" s="254">
        <f t="shared" si="19"/>
        <v>7971.689901315789</v>
      </c>
    </row>
    <row r="441" spans="1:16" x14ac:dyDescent="0.2">
      <c r="A441" t="s">
        <v>545</v>
      </c>
      <c r="B441" s="253">
        <v>20</v>
      </c>
      <c r="C441" s="257" t="s">
        <v>494</v>
      </c>
      <c r="D441" s="257" t="str">
        <f t="shared" si="20"/>
        <v>20 ST</v>
      </c>
      <c r="E441" t="s">
        <v>487</v>
      </c>
      <c r="F441" t="s">
        <v>488</v>
      </c>
      <c r="G441" t="s">
        <v>470</v>
      </c>
      <c r="H441" t="s">
        <v>462</v>
      </c>
      <c r="I441">
        <f t="shared" si="18"/>
        <v>2007</v>
      </c>
      <c r="J441" s="229">
        <v>15</v>
      </c>
      <c r="K441" s="254">
        <v>7350.59</v>
      </c>
      <c r="L441" s="254">
        <v>717.13306978062292</v>
      </c>
      <c r="M441" s="254">
        <v>6633.4569302193777</v>
      </c>
      <c r="N441" s="255">
        <v>608</v>
      </c>
      <c r="O441" s="256">
        <v>711</v>
      </c>
      <c r="P441" s="254">
        <f t="shared" si="19"/>
        <v>8595.8379769736839</v>
      </c>
    </row>
    <row r="442" spans="1:16" x14ac:dyDescent="0.2">
      <c r="A442" t="s">
        <v>545</v>
      </c>
      <c r="B442" s="253">
        <v>20</v>
      </c>
      <c r="C442" s="257" t="s">
        <v>494</v>
      </c>
      <c r="D442" s="257" t="str">
        <f t="shared" si="20"/>
        <v>20 ST</v>
      </c>
      <c r="E442" t="s">
        <v>487</v>
      </c>
      <c r="F442" t="s">
        <v>488</v>
      </c>
      <c r="G442" t="s">
        <v>511</v>
      </c>
      <c r="H442" t="s">
        <v>462</v>
      </c>
      <c r="I442">
        <f t="shared" si="18"/>
        <v>1963</v>
      </c>
      <c r="J442" s="229">
        <v>297</v>
      </c>
      <c r="K442" s="254">
        <v>14374.12</v>
      </c>
      <c r="L442" s="254">
        <v>14865.418205218226</v>
      </c>
      <c r="M442" s="254">
        <v>-491.29820521822512</v>
      </c>
      <c r="N442" s="255">
        <v>65</v>
      </c>
      <c r="O442" s="256">
        <v>711</v>
      </c>
      <c r="P442" s="254">
        <f t="shared" si="19"/>
        <v>157230.75876923077</v>
      </c>
    </row>
    <row r="443" spans="1:16" x14ac:dyDescent="0.2">
      <c r="A443" t="s">
        <v>545</v>
      </c>
      <c r="B443" s="253">
        <v>20</v>
      </c>
      <c r="C443" s="257" t="s">
        <v>494</v>
      </c>
      <c r="D443" s="257" t="str">
        <f t="shared" si="20"/>
        <v>20 ST</v>
      </c>
      <c r="E443" t="s">
        <v>487</v>
      </c>
      <c r="F443" t="s">
        <v>488</v>
      </c>
      <c r="G443" t="s">
        <v>523</v>
      </c>
      <c r="H443" t="s">
        <v>462</v>
      </c>
      <c r="I443">
        <f t="shared" si="18"/>
        <v>1987</v>
      </c>
      <c r="J443" s="229">
        <v>393</v>
      </c>
      <c r="K443" s="254">
        <v>104205.78</v>
      </c>
      <c r="L443" s="254">
        <v>78356.044126469336</v>
      </c>
      <c r="M443" s="254">
        <v>25849.735873530663</v>
      </c>
      <c r="N443" s="255">
        <v>268</v>
      </c>
      <c r="O443" s="256">
        <v>711</v>
      </c>
      <c r="P443" s="254">
        <f t="shared" si="19"/>
        <v>276456.37902985077</v>
      </c>
    </row>
    <row r="444" spans="1:16" x14ac:dyDescent="0.2">
      <c r="A444" t="s">
        <v>545</v>
      </c>
      <c r="B444" s="253">
        <v>20</v>
      </c>
      <c r="C444" s="257" t="s">
        <v>494</v>
      </c>
      <c r="D444" s="257" t="str">
        <f t="shared" si="20"/>
        <v>20 ST</v>
      </c>
      <c r="E444" t="s">
        <v>487</v>
      </c>
      <c r="F444" t="s">
        <v>488</v>
      </c>
      <c r="G444" t="s">
        <v>491</v>
      </c>
      <c r="H444" t="s">
        <v>462</v>
      </c>
      <c r="I444">
        <f t="shared" si="18"/>
        <v>1993</v>
      </c>
      <c r="J444" s="229">
        <v>482</v>
      </c>
      <c r="K444" s="254">
        <v>2118.7800000000002</v>
      </c>
      <c r="L444" s="254">
        <v>1193.3161833526001</v>
      </c>
      <c r="M444" s="254">
        <v>925.46381664740011</v>
      </c>
      <c r="N444" s="255">
        <v>324</v>
      </c>
      <c r="O444" s="256">
        <v>711</v>
      </c>
      <c r="P444" s="254">
        <f t="shared" si="19"/>
        <v>4649.545000000001</v>
      </c>
    </row>
    <row r="445" spans="1:16" x14ac:dyDescent="0.2">
      <c r="A445" t="s">
        <v>545</v>
      </c>
      <c r="B445" s="253">
        <v>20</v>
      </c>
      <c r="C445" s="257" t="s">
        <v>494</v>
      </c>
      <c r="D445" s="257" t="str">
        <f t="shared" si="20"/>
        <v>20 ST</v>
      </c>
      <c r="E445" t="s">
        <v>487</v>
      </c>
      <c r="F445" t="s">
        <v>488</v>
      </c>
      <c r="G445" t="s">
        <v>463</v>
      </c>
      <c r="H445" t="s">
        <v>462</v>
      </c>
      <c r="I445">
        <f t="shared" si="18"/>
        <v>1984</v>
      </c>
      <c r="J445" s="229">
        <v>1322</v>
      </c>
      <c r="K445" s="254">
        <v>199283.33</v>
      </c>
      <c r="L445" s="254">
        <v>165101.7077062256</v>
      </c>
      <c r="M445" s="254">
        <v>34181.622293774388</v>
      </c>
      <c r="N445" s="255">
        <v>271</v>
      </c>
      <c r="O445" s="256">
        <v>711</v>
      </c>
      <c r="P445" s="254">
        <f t="shared" si="19"/>
        <v>522842.98018450185</v>
      </c>
    </row>
    <row r="446" spans="1:16" x14ac:dyDescent="0.2">
      <c r="A446" t="s">
        <v>545</v>
      </c>
      <c r="B446" s="253">
        <v>20</v>
      </c>
      <c r="C446" s="257" t="s">
        <v>494</v>
      </c>
      <c r="D446" s="257" t="str">
        <f t="shared" si="20"/>
        <v>20 ST</v>
      </c>
      <c r="E446" t="s">
        <v>487</v>
      </c>
      <c r="F446" t="s">
        <v>488</v>
      </c>
      <c r="G446" t="s">
        <v>515</v>
      </c>
      <c r="H446" t="s">
        <v>462</v>
      </c>
      <c r="I446">
        <f t="shared" si="18"/>
        <v>1986</v>
      </c>
      <c r="J446" s="229">
        <v>5330</v>
      </c>
      <c r="K446" s="254">
        <v>794018.76</v>
      </c>
      <c r="L446" s="254">
        <v>618525.48003792937</v>
      </c>
      <c r="M446" s="254">
        <v>175493.27996207064</v>
      </c>
      <c r="N446" s="255">
        <v>260</v>
      </c>
      <c r="O446" s="256">
        <v>711</v>
      </c>
      <c r="P446" s="254">
        <f t="shared" si="19"/>
        <v>2171335.9167692307</v>
      </c>
    </row>
    <row r="447" spans="1:16" x14ac:dyDescent="0.2">
      <c r="A447" t="s">
        <v>546</v>
      </c>
      <c r="B447" s="253">
        <v>12</v>
      </c>
      <c r="C447" s="257" t="s">
        <v>494</v>
      </c>
      <c r="D447" s="257" t="str">
        <f>B447&amp;" "&amp;C447</f>
        <v>12 ST</v>
      </c>
      <c r="E447" t="s">
        <v>543</v>
      </c>
      <c r="F447" t="s">
        <v>544</v>
      </c>
      <c r="G447" t="s">
        <v>524</v>
      </c>
      <c r="H447" t="s">
        <v>462</v>
      </c>
      <c r="I447">
        <f t="shared" si="18"/>
        <v>1975</v>
      </c>
      <c r="J447" s="229">
        <v>38</v>
      </c>
      <c r="K447" s="254">
        <v>3959</v>
      </c>
      <c r="L447" s="254">
        <v>2764.3</v>
      </c>
      <c r="M447" s="254">
        <v>1194.7</v>
      </c>
      <c r="N447" s="255">
        <v>134</v>
      </c>
      <c r="O447" s="256">
        <v>711</v>
      </c>
      <c r="P447" s="254">
        <f t="shared" si="19"/>
        <v>21006.335820895521</v>
      </c>
    </row>
    <row r="448" spans="1:16" x14ac:dyDescent="0.2">
      <c r="A448" t="s">
        <v>546</v>
      </c>
      <c r="B448" s="253">
        <v>12</v>
      </c>
      <c r="C448" s="257" t="s">
        <v>494</v>
      </c>
      <c r="D448" s="257" t="str">
        <f t="shared" ref="D448:D511" si="21">B448&amp;" "&amp;C448</f>
        <v>12 ST</v>
      </c>
      <c r="E448" t="s">
        <v>543</v>
      </c>
      <c r="F448" t="s">
        <v>544</v>
      </c>
      <c r="G448" t="s">
        <v>491</v>
      </c>
      <c r="H448" t="s">
        <v>462</v>
      </c>
      <c r="I448">
        <f t="shared" si="18"/>
        <v>1993</v>
      </c>
      <c r="J448" s="229">
        <v>207</v>
      </c>
      <c r="K448" s="254">
        <v>6855</v>
      </c>
      <c r="L448" s="254">
        <v>2563.0500000000002</v>
      </c>
      <c r="M448" s="254">
        <v>4291.95</v>
      </c>
      <c r="N448" s="255">
        <v>324</v>
      </c>
      <c r="O448" s="256">
        <v>711</v>
      </c>
      <c r="P448" s="254">
        <f t="shared" si="19"/>
        <v>15042.916666666668</v>
      </c>
    </row>
    <row r="449" spans="1:16" x14ac:dyDescent="0.2">
      <c r="A449" t="s">
        <v>546</v>
      </c>
      <c r="B449" s="253">
        <v>12</v>
      </c>
      <c r="C449" s="257" t="s">
        <v>494</v>
      </c>
      <c r="D449" s="257" t="str">
        <f t="shared" si="21"/>
        <v>12 ST</v>
      </c>
      <c r="E449" t="s">
        <v>543</v>
      </c>
      <c r="F449" t="s">
        <v>544</v>
      </c>
      <c r="G449" t="s">
        <v>476</v>
      </c>
      <c r="H449" t="s">
        <v>462</v>
      </c>
      <c r="I449">
        <f t="shared" si="18"/>
        <v>2004</v>
      </c>
      <c r="J449" s="229">
        <v>373</v>
      </c>
      <c r="K449" s="254">
        <v>63999.29</v>
      </c>
      <c r="L449" s="254">
        <v>9617.11</v>
      </c>
      <c r="M449" s="254">
        <v>54382.18</v>
      </c>
      <c r="N449" s="255">
        <v>477</v>
      </c>
      <c r="O449" s="256">
        <v>711</v>
      </c>
      <c r="P449" s="254">
        <f t="shared" si="19"/>
        <v>95395.168113207546</v>
      </c>
    </row>
    <row r="450" spans="1:16" x14ac:dyDescent="0.2">
      <c r="A450" t="s">
        <v>546</v>
      </c>
      <c r="B450" s="253">
        <v>12</v>
      </c>
      <c r="C450" s="257" t="s">
        <v>494</v>
      </c>
      <c r="D450" s="257" t="str">
        <f t="shared" si="21"/>
        <v>12 ST</v>
      </c>
      <c r="E450" t="s">
        <v>543</v>
      </c>
      <c r="F450" t="s">
        <v>544</v>
      </c>
      <c r="G450" t="s">
        <v>466</v>
      </c>
      <c r="H450" t="s">
        <v>462</v>
      </c>
      <c r="I450">
        <f t="shared" ref="I450:I513" si="22">+G450*1</f>
        <v>1989</v>
      </c>
      <c r="J450" s="229">
        <v>416</v>
      </c>
      <c r="K450" s="254">
        <v>13730</v>
      </c>
      <c r="L450" s="254">
        <v>6204.4</v>
      </c>
      <c r="M450" s="254">
        <v>7525.6</v>
      </c>
      <c r="N450" s="255">
        <v>300</v>
      </c>
      <c r="O450" s="256">
        <v>711</v>
      </c>
      <c r="P450" s="254">
        <f t="shared" ref="P450:P513" si="23">+(O450/N450)*K450</f>
        <v>32540.100000000002</v>
      </c>
    </row>
    <row r="451" spans="1:16" x14ac:dyDescent="0.2">
      <c r="A451" t="s">
        <v>546</v>
      </c>
      <c r="B451" s="253">
        <v>12</v>
      </c>
      <c r="C451" s="257" t="s">
        <v>494</v>
      </c>
      <c r="D451" s="257" t="str">
        <f t="shared" si="21"/>
        <v>12 ST</v>
      </c>
      <c r="E451" t="s">
        <v>543</v>
      </c>
      <c r="F451" t="s">
        <v>544</v>
      </c>
      <c r="G451" t="s">
        <v>475</v>
      </c>
      <c r="H451" t="s">
        <v>462</v>
      </c>
      <c r="I451">
        <f t="shared" si="22"/>
        <v>2002</v>
      </c>
      <c r="J451" s="229">
        <v>808</v>
      </c>
      <c r="K451" s="254">
        <v>849693.05</v>
      </c>
      <c r="L451" s="254">
        <v>163078.28</v>
      </c>
      <c r="M451" s="254">
        <v>686614.77</v>
      </c>
      <c r="N451" s="255">
        <v>407</v>
      </c>
      <c r="O451" s="256">
        <v>711</v>
      </c>
      <c r="P451" s="254">
        <f t="shared" si="23"/>
        <v>1484353.2151105651</v>
      </c>
    </row>
    <row r="452" spans="1:16" x14ac:dyDescent="0.2">
      <c r="A452" t="s">
        <v>546</v>
      </c>
      <c r="B452" s="253">
        <v>12</v>
      </c>
      <c r="C452" s="257" t="s">
        <v>494</v>
      </c>
      <c r="D452" s="257" t="str">
        <f t="shared" si="21"/>
        <v>12 ST</v>
      </c>
      <c r="E452" t="s">
        <v>543</v>
      </c>
      <c r="F452" t="s">
        <v>544</v>
      </c>
      <c r="G452" t="s">
        <v>471</v>
      </c>
      <c r="H452" t="s">
        <v>462</v>
      </c>
      <c r="I452">
        <f t="shared" si="22"/>
        <v>2003</v>
      </c>
      <c r="J452" s="229">
        <v>965</v>
      </c>
      <c r="K452" s="254">
        <v>552643.99</v>
      </c>
      <c r="L452" s="254">
        <v>94600.86</v>
      </c>
      <c r="M452" s="254">
        <v>458043.13</v>
      </c>
      <c r="N452" s="255">
        <v>413</v>
      </c>
      <c r="O452" s="256">
        <v>711</v>
      </c>
      <c r="P452" s="254">
        <f t="shared" si="23"/>
        <v>951404.06026634376</v>
      </c>
    </row>
    <row r="453" spans="1:16" x14ac:dyDescent="0.2">
      <c r="A453" t="s">
        <v>546</v>
      </c>
      <c r="B453" s="253">
        <v>12</v>
      </c>
      <c r="C453" s="257" t="s">
        <v>494</v>
      </c>
      <c r="D453" s="257" t="str">
        <f t="shared" si="21"/>
        <v>12 ST</v>
      </c>
      <c r="E453" t="s">
        <v>543</v>
      </c>
      <c r="F453" t="s">
        <v>544</v>
      </c>
      <c r="G453" t="s">
        <v>522</v>
      </c>
      <c r="H453" t="s">
        <v>462</v>
      </c>
      <c r="I453">
        <f t="shared" si="22"/>
        <v>1976</v>
      </c>
      <c r="J453" s="229">
        <v>2531</v>
      </c>
      <c r="K453" s="254">
        <v>58619</v>
      </c>
      <c r="L453" s="254">
        <v>40004.379999999997</v>
      </c>
      <c r="M453" s="254">
        <v>18614.62</v>
      </c>
      <c r="N453" s="255">
        <v>146</v>
      </c>
      <c r="O453" s="256">
        <v>711</v>
      </c>
      <c r="P453" s="254">
        <f t="shared" si="23"/>
        <v>285466.5</v>
      </c>
    </row>
    <row r="454" spans="1:16" x14ac:dyDescent="0.2">
      <c r="A454" t="s">
        <v>546</v>
      </c>
      <c r="B454" s="253">
        <v>12</v>
      </c>
      <c r="C454" s="257" t="s">
        <v>494</v>
      </c>
      <c r="D454" s="257" t="str">
        <f t="shared" si="21"/>
        <v>12 ST</v>
      </c>
      <c r="E454" t="s">
        <v>543</v>
      </c>
      <c r="F454" t="s">
        <v>544</v>
      </c>
      <c r="G454" t="s">
        <v>527</v>
      </c>
      <c r="H454" t="s">
        <v>462</v>
      </c>
      <c r="I454">
        <f t="shared" si="22"/>
        <v>1971</v>
      </c>
      <c r="J454" s="229">
        <v>2588</v>
      </c>
      <c r="K454" s="254">
        <v>38119</v>
      </c>
      <c r="L454" s="254">
        <v>28904.37</v>
      </c>
      <c r="M454" s="254">
        <v>9214.6299999999992</v>
      </c>
      <c r="N454" s="255">
        <v>92</v>
      </c>
      <c r="O454" s="256">
        <v>711</v>
      </c>
      <c r="P454" s="254">
        <f t="shared" si="23"/>
        <v>294593.57608695654</v>
      </c>
    </row>
    <row r="455" spans="1:16" x14ac:dyDescent="0.2">
      <c r="A455" t="s">
        <v>546</v>
      </c>
      <c r="B455" s="253">
        <v>12</v>
      </c>
      <c r="C455" s="257" t="s">
        <v>494</v>
      </c>
      <c r="D455" s="257" t="str">
        <f t="shared" si="21"/>
        <v>12 ST</v>
      </c>
      <c r="E455" t="s">
        <v>543</v>
      </c>
      <c r="F455" t="s">
        <v>544</v>
      </c>
      <c r="G455" t="s">
        <v>490</v>
      </c>
      <c r="H455" t="s">
        <v>462</v>
      </c>
      <c r="I455">
        <f t="shared" si="22"/>
        <v>1992</v>
      </c>
      <c r="J455" s="229">
        <v>3061</v>
      </c>
      <c r="K455" s="254">
        <v>101031</v>
      </c>
      <c r="L455" s="254">
        <v>39765.57</v>
      </c>
      <c r="M455" s="254">
        <v>61265.43</v>
      </c>
      <c r="N455" s="255">
        <v>315</v>
      </c>
      <c r="O455" s="256">
        <v>711</v>
      </c>
      <c r="P455" s="254">
        <f t="shared" si="23"/>
        <v>228041.4</v>
      </c>
    </row>
    <row r="456" spans="1:16" x14ac:dyDescent="0.2">
      <c r="A456" t="s">
        <v>546</v>
      </c>
      <c r="B456" s="253">
        <v>12</v>
      </c>
      <c r="C456" s="257" t="s">
        <v>494</v>
      </c>
      <c r="D456" s="257" t="str">
        <f t="shared" si="21"/>
        <v>12 ST</v>
      </c>
      <c r="E456" t="s">
        <v>543</v>
      </c>
      <c r="F456" t="s">
        <v>544</v>
      </c>
      <c r="G456" t="s">
        <v>531</v>
      </c>
      <c r="H456" t="s">
        <v>462</v>
      </c>
      <c r="I456">
        <f t="shared" si="22"/>
        <v>1970</v>
      </c>
      <c r="J456" s="229">
        <v>3216</v>
      </c>
      <c r="K456" s="254">
        <v>61964</v>
      </c>
      <c r="L456" s="254">
        <v>47868.99</v>
      </c>
      <c r="M456" s="254">
        <v>14095.01</v>
      </c>
      <c r="N456" s="255">
        <v>86</v>
      </c>
      <c r="O456" s="256">
        <v>711</v>
      </c>
      <c r="P456" s="254">
        <f t="shared" si="23"/>
        <v>512283.76744186046</v>
      </c>
    </row>
    <row r="457" spans="1:16" x14ac:dyDescent="0.2">
      <c r="A457" t="s">
        <v>546</v>
      </c>
      <c r="B457" s="253">
        <v>12</v>
      </c>
      <c r="C457" s="257" t="s">
        <v>494</v>
      </c>
      <c r="D457" s="257" t="str">
        <f t="shared" si="21"/>
        <v>12 ST</v>
      </c>
      <c r="E457" t="s">
        <v>543</v>
      </c>
      <c r="F457" t="s">
        <v>544</v>
      </c>
      <c r="G457" t="s">
        <v>513</v>
      </c>
      <c r="H457" t="s">
        <v>462</v>
      </c>
      <c r="I457">
        <f t="shared" si="22"/>
        <v>1995</v>
      </c>
      <c r="J457" s="229">
        <v>3541</v>
      </c>
      <c r="K457" s="254">
        <v>152273.32</v>
      </c>
      <c r="L457" s="254">
        <v>50880.5</v>
      </c>
      <c r="M457" s="254">
        <v>101392.82</v>
      </c>
      <c r="N457" s="255">
        <v>358</v>
      </c>
      <c r="O457" s="256">
        <v>711</v>
      </c>
      <c r="P457" s="254">
        <f t="shared" si="23"/>
        <v>302419.9176536313</v>
      </c>
    </row>
    <row r="458" spans="1:16" x14ac:dyDescent="0.2">
      <c r="A458" t="s">
        <v>546</v>
      </c>
      <c r="B458" s="253">
        <v>12</v>
      </c>
      <c r="C458" s="257" t="s">
        <v>494</v>
      </c>
      <c r="D458" s="257" t="str">
        <f t="shared" si="21"/>
        <v>12 ST</v>
      </c>
      <c r="E458" t="s">
        <v>543</v>
      </c>
      <c r="F458" t="s">
        <v>544</v>
      </c>
      <c r="G458" t="s">
        <v>495</v>
      </c>
      <c r="H458" t="s">
        <v>462</v>
      </c>
      <c r="I458">
        <f t="shared" si="22"/>
        <v>1957</v>
      </c>
      <c r="J458" s="229">
        <v>4823</v>
      </c>
      <c r="K458" s="254">
        <v>41476</v>
      </c>
      <c r="L458" s="254">
        <v>38056.46</v>
      </c>
      <c r="M458" s="254">
        <v>3419.54</v>
      </c>
      <c r="N458" s="255">
        <v>52</v>
      </c>
      <c r="O458" s="256">
        <v>711</v>
      </c>
      <c r="P458" s="254">
        <f t="shared" si="23"/>
        <v>567104.5384615385</v>
      </c>
    </row>
    <row r="459" spans="1:16" x14ac:dyDescent="0.2">
      <c r="A459" t="s">
        <v>546</v>
      </c>
      <c r="B459" s="253">
        <v>12</v>
      </c>
      <c r="C459" s="257" t="s">
        <v>494</v>
      </c>
      <c r="D459" s="257" t="str">
        <f t="shared" si="21"/>
        <v>12 ST</v>
      </c>
      <c r="E459" t="s">
        <v>543</v>
      </c>
      <c r="F459" t="s">
        <v>544</v>
      </c>
      <c r="G459" t="s">
        <v>533</v>
      </c>
      <c r="H459" t="s">
        <v>462</v>
      </c>
      <c r="I459">
        <f t="shared" si="22"/>
        <v>1969</v>
      </c>
      <c r="J459" s="229">
        <v>9846</v>
      </c>
      <c r="K459" s="254">
        <v>150770</v>
      </c>
      <c r="L459" s="254">
        <v>118582.52</v>
      </c>
      <c r="M459" s="254">
        <v>32187.48</v>
      </c>
      <c r="N459" s="255">
        <v>82</v>
      </c>
      <c r="O459" s="256">
        <v>711</v>
      </c>
      <c r="P459" s="254">
        <f t="shared" si="23"/>
        <v>1307286.2195121951</v>
      </c>
    </row>
    <row r="460" spans="1:16" x14ac:dyDescent="0.2">
      <c r="A460" t="s">
        <v>546</v>
      </c>
      <c r="B460" s="253">
        <v>12</v>
      </c>
      <c r="C460" s="257" t="s">
        <v>494</v>
      </c>
      <c r="D460" s="257" t="str">
        <f t="shared" si="21"/>
        <v>12 ST</v>
      </c>
      <c r="E460" t="s">
        <v>543</v>
      </c>
      <c r="F460" t="s">
        <v>544</v>
      </c>
      <c r="G460" t="s">
        <v>480</v>
      </c>
      <c r="H460" t="s">
        <v>462</v>
      </c>
      <c r="I460">
        <f t="shared" si="22"/>
        <v>1999</v>
      </c>
      <c r="J460" s="229">
        <v>13371</v>
      </c>
      <c r="K460" s="254">
        <v>1309577.06</v>
      </c>
      <c r="L460" s="254">
        <v>331909.77</v>
      </c>
      <c r="M460" s="254">
        <v>977667.29</v>
      </c>
      <c r="N460" s="255">
        <v>382</v>
      </c>
      <c r="O460" s="256">
        <v>711</v>
      </c>
      <c r="P460" s="254">
        <f t="shared" si="23"/>
        <v>2437458.8734554974</v>
      </c>
    </row>
    <row r="461" spans="1:16" x14ac:dyDescent="0.2">
      <c r="A461" t="s">
        <v>546</v>
      </c>
      <c r="B461" s="253">
        <v>12</v>
      </c>
      <c r="C461" s="257" t="s">
        <v>494</v>
      </c>
      <c r="D461" s="257" t="str">
        <f t="shared" si="21"/>
        <v>12 ST</v>
      </c>
      <c r="E461" t="s">
        <v>543</v>
      </c>
      <c r="F461" t="s">
        <v>544</v>
      </c>
      <c r="G461" t="s">
        <v>472</v>
      </c>
      <c r="H461" t="s">
        <v>462</v>
      </c>
      <c r="I461">
        <f t="shared" si="22"/>
        <v>2000</v>
      </c>
      <c r="J461" s="229">
        <v>15024</v>
      </c>
      <c r="K461" s="254">
        <v>1442850.05</v>
      </c>
      <c r="L461" s="254">
        <v>336238.82</v>
      </c>
      <c r="M461" s="254">
        <v>1106611.23</v>
      </c>
      <c r="N461" s="255">
        <v>396</v>
      </c>
      <c r="O461" s="256">
        <v>711</v>
      </c>
      <c r="P461" s="254">
        <f t="shared" si="23"/>
        <v>2590571.6806818182</v>
      </c>
    </row>
    <row r="462" spans="1:16" x14ac:dyDescent="0.2">
      <c r="A462" t="s">
        <v>546</v>
      </c>
      <c r="B462" s="253">
        <v>12</v>
      </c>
      <c r="C462" s="257" t="s">
        <v>494</v>
      </c>
      <c r="D462" s="257" t="str">
        <f t="shared" si="21"/>
        <v>12 ST</v>
      </c>
      <c r="E462" t="s">
        <v>543</v>
      </c>
      <c r="F462" t="s">
        <v>544</v>
      </c>
      <c r="G462" t="s">
        <v>478</v>
      </c>
      <c r="H462" t="s">
        <v>462</v>
      </c>
      <c r="I462">
        <f t="shared" si="22"/>
        <v>2001</v>
      </c>
      <c r="J462" s="229">
        <v>19930</v>
      </c>
      <c r="K462" s="254">
        <v>3306100.75</v>
      </c>
      <c r="L462" s="254">
        <v>702678.36</v>
      </c>
      <c r="M462" s="254">
        <v>2603422.39</v>
      </c>
      <c r="N462" s="255">
        <v>399</v>
      </c>
      <c r="O462" s="256">
        <v>711</v>
      </c>
      <c r="P462" s="254">
        <f t="shared" si="23"/>
        <v>5891322.3890977446</v>
      </c>
    </row>
    <row r="463" spans="1:16" x14ac:dyDescent="0.2">
      <c r="A463" t="s">
        <v>546</v>
      </c>
      <c r="B463" s="253">
        <v>12</v>
      </c>
      <c r="C463" s="257" t="s">
        <v>494</v>
      </c>
      <c r="D463" s="257" t="str">
        <f t="shared" si="21"/>
        <v>12 ST</v>
      </c>
      <c r="E463" t="s">
        <v>543</v>
      </c>
      <c r="F463" t="s">
        <v>544</v>
      </c>
      <c r="G463" t="s">
        <v>547</v>
      </c>
      <c r="H463" t="s">
        <v>462</v>
      </c>
      <c r="I463">
        <f t="shared" si="22"/>
        <v>1956</v>
      </c>
      <c r="J463" s="229">
        <v>32089</v>
      </c>
      <c r="K463" s="254">
        <v>282424.73</v>
      </c>
      <c r="L463" s="254">
        <v>261190.37</v>
      </c>
      <c r="M463" s="254">
        <v>21234.36</v>
      </c>
      <c r="N463" s="255">
        <v>48</v>
      </c>
      <c r="O463" s="256">
        <v>711</v>
      </c>
      <c r="P463" s="254">
        <f t="shared" si="23"/>
        <v>4183416.3131249999</v>
      </c>
    </row>
    <row r="464" spans="1:16" x14ac:dyDescent="0.2">
      <c r="A464" t="s">
        <v>546</v>
      </c>
      <c r="B464" s="253">
        <v>12</v>
      </c>
      <c r="C464" s="257" t="s">
        <v>494</v>
      </c>
      <c r="D464" s="257" t="str">
        <f t="shared" si="21"/>
        <v>12 ST</v>
      </c>
      <c r="E464" t="s">
        <v>543</v>
      </c>
      <c r="F464" t="s">
        <v>544</v>
      </c>
      <c r="G464" t="s">
        <v>519</v>
      </c>
      <c r="H464" t="s">
        <v>462</v>
      </c>
      <c r="I464">
        <f t="shared" si="22"/>
        <v>1979</v>
      </c>
      <c r="J464" s="229">
        <v>39209</v>
      </c>
      <c r="K464" s="254">
        <v>1329585</v>
      </c>
      <c r="L464" s="254">
        <v>841951.46</v>
      </c>
      <c r="M464" s="254">
        <v>487633.54</v>
      </c>
      <c r="N464" s="255">
        <v>187</v>
      </c>
      <c r="O464" s="256">
        <v>711</v>
      </c>
      <c r="P464" s="254">
        <f t="shared" si="23"/>
        <v>5055267.0320855612</v>
      </c>
    </row>
    <row r="465" spans="1:16" x14ac:dyDescent="0.2">
      <c r="A465" t="s">
        <v>546</v>
      </c>
      <c r="B465" s="253">
        <v>12</v>
      </c>
      <c r="C465" s="257" t="s">
        <v>494</v>
      </c>
      <c r="D465" s="257" t="str">
        <f t="shared" si="21"/>
        <v>12 ST</v>
      </c>
      <c r="E465" t="s">
        <v>543</v>
      </c>
      <c r="F465" t="s">
        <v>544</v>
      </c>
      <c r="G465" t="s">
        <v>473</v>
      </c>
      <c r="H465" t="s">
        <v>462</v>
      </c>
      <c r="I465">
        <f t="shared" si="22"/>
        <v>1997</v>
      </c>
      <c r="J465" s="229">
        <v>51535</v>
      </c>
      <c r="K465" s="254">
        <v>8217683.21</v>
      </c>
      <c r="L465" s="254">
        <v>2415842.48</v>
      </c>
      <c r="M465" s="254">
        <v>5801840.7300000004</v>
      </c>
      <c r="N465" s="255">
        <v>368</v>
      </c>
      <c r="O465" s="256">
        <v>711</v>
      </c>
      <c r="P465" s="254">
        <f t="shared" si="23"/>
        <v>15877099.897581523</v>
      </c>
    </row>
    <row r="466" spans="1:16" x14ac:dyDescent="0.2">
      <c r="A466" t="s">
        <v>546</v>
      </c>
      <c r="B466" s="253">
        <v>12</v>
      </c>
      <c r="C466" s="257" t="s">
        <v>494</v>
      </c>
      <c r="D466" s="257" t="str">
        <f t="shared" si="21"/>
        <v>12 ST</v>
      </c>
      <c r="E466" t="s">
        <v>543</v>
      </c>
      <c r="F466" t="s">
        <v>544</v>
      </c>
      <c r="G466" t="s">
        <v>535</v>
      </c>
      <c r="H466" t="s">
        <v>462</v>
      </c>
      <c r="I466">
        <f t="shared" si="22"/>
        <v>1968</v>
      </c>
      <c r="J466" s="229">
        <v>55877</v>
      </c>
      <c r="K466" s="254">
        <v>638042.85</v>
      </c>
      <c r="L466" s="254">
        <v>510573.97</v>
      </c>
      <c r="M466" s="254">
        <v>127468.88</v>
      </c>
      <c r="N466" s="255">
        <v>78</v>
      </c>
      <c r="O466" s="256">
        <v>711</v>
      </c>
      <c r="P466" s="254">
        <f t="shared" si="23"/>
        <v>5816005.9788461532</v>
      </c>
    </row>
    <row r="467" spans="1:16" x14ac:dyDescent="0.2">
      <c r="A467" t="s">
        <v>546</v>
      </c>
      <c r="B467" s="253">
        <v>12</v>
      </c>
      <c r="C467" s="257" t="s">
        <v>494</v>
      </c>
      <c r="D467" s="257" t="str">
        <f t="shared" si="21"/>
        <v>12 ST</v>
      </c>
      <c r="E467" t="s">
        <v>543</v>
      </c>
      <c r="F467" t="s">
        <v>544</v>
      </c>
      <c r="G467" t="s">
        <v>467</v>
      </c>
      <c r="H467" t="s">
        <v>462</v>
      </c>
      <c r="I467">
        <f t="shared" si="22"/>
        <v>1996</v>
      </c>
      <c r="J467" s="229">
        <v>61033</v>
      </c>
      <c r="K467" s="254">
        <v>13561728.85</v>
      </c>
      <c r="L467" s="254">
        <v>4259893.5</v>
      </c>
      <c r="M467" s="254">
        <v>9301835.3499999996</v>
      </c>
      <c r="N467" s="255">
        <v>359</v>
      </c>
      <c r="O467" s="256">
        <v>711</v>
      </c>
      <c r="P467" s="254">
        <f t="shared" si="23"/>
        <v>26859022.875626743</v>
      </c>
    </row>
    <row r="468" spans="1:16" x14ac:dyDescent="0.2">
      <c r="A468" t="s">
        <v>546</v>
      </c>
      <c r="B468" s="253">
        <v>12</v>
      </c>
      <c r="C468" s="257" t="s">
        <v>494</v>
      </c>
      <c r="D468" s="257" t="str">
        <f t="shared" si="21"/>
        <v>12 ST</v>
      </c>
      <c r="E468" t="s">
        <v>543</v>
      </c>
      <c r="F468" t="s">
        <v>544</v>
      </c>
      <c r="G468" t="s">
        <v>479</v>
      </c>
      <c r="H468" t="s">
        <v>462</v>
      </c>
      <c r="I468">
        <f t="shared" si="22"/>
        <v>1998</v>
      </c>
      <c r="J468" s="229">
        <v>79728</v>
      </c>
      <c r="K468" s="254">
        <v>7550652.0099999998</v>
      </c>
      <c r="L468" s="254">
        <v>2067072.16</v>
      </c>
      <c r="M468" s="254">
        <v>5483579.8499999996</v>
      </c>
      <c r="N468" s="255">
        <v>372</v>
      </c>
      <c r="O468" s="256">
        <v>711</v>
      </c>
      <c r="P468" s="254">
        <f t="shared" si="23"/>
        <v>14431488.115887096</v>
      </c>
    </row>
    <row r="469" spans="1:16" x14ac:dyDescent="0.2">
      <c r="A469" t="s">
        <v>548</v>
      </c>
      <c r="B469" s="253">
        <v>16</v>
      </c>
      <c r="C469" s="257" t="s">
        <v>494</v>
      </c>
      <c r="D469" s="257" t="str">
        <f t="shared" si="21"/>
        <v>16 ST</v>
      </c>
      <c r="E469" t="s">
        <v>543</v>
      </c>
      <c r="F469" t="s">
        <v>544</v>
      </c>
      <c r="G469" t="s">
        <v>473</v>
      </c>
      <c r="H469" t="s">
        <v>462</v>
      </c>
      <c r="I469">
        <f t="shared" si="22"/>
        <v>1997</v>
      </c>
      <c r="J469" s="229">
        <v>1</v>
      </c>
      <c r="K469" s="254">
        <v>3242.87</v>
      </c>
      <c r="L469" s="254">
        <v>953.34</v>
      </c>
      <c r="M469" s="254">
        <v>2289.5300000000002</v>
      </c>
      <c r="N469" s="255">
        <v>368</v>
      </c>
      <c r="O469" s="256">
        <v>711</v>
      </c>
      <c r="P469" s="254">
        <f t="shared" si="23"/>
        <v>6265.4363315217388</v>
      </c>
    </row>
    <row r="470" spans="1:16" x14ac:dyDescent="0.2">
      <c r="A470" t="s">
        <v>548</v>
      </c>
      <c r="B470" s="253">
        <v>16</v>
      </c>
      <c r="C470" s="257" t="s">
        <v>494</v>
      </c>
      <c r="D470" s="257" t="str">
        <f t="shared" si="21"/>
        <v>16 ST</v>
      </c>
      <c r="E470" t="s">
        <v>543</v>
      </c>
      <c r="F470" t="s">
        <v>544</v>
      </c>
      <c r="G470" t="s">
        <v>479</v>
      </c>
      <c r="H470" t="s">
        <v>462</v>
      </c>
      <c r="I470">
        <f t="shared" si="22"/>
        <v>1998</v>
      </c>
      <c r="J470" s="229">
        <v>1</v>
      </c>
      <c r="K470" s="254">
        <v>556.28</v>
      </c>
      <c r="L470" s="254">
        <v>152.29</v>
      </c>
      <c r="M470" s="254">
        <v>403.99</v>
      </c>
      <c r="N470" s="255">
        <v>372</v>
      </c>
      <c r="O470" s="256">
        <v>711</v>
      </c>
      <c r="P470" s="254">
        <f t="shared" si="23"/>
        <v>1063.2125806451613</v>
      </c>
    </row>
    <row r="471" spans="1:16" x14ac:dyDescent="0.2">
      <c r="A471" t="s">
        <v>548</v>
      </c>
      <c r="B471" s="253">
        <v>16</v>
      </c>
      <c r="C471" s="257" t="s">
        <v>494</v>
      </c>
      <c r="D471" s="257" t="str">
        <f t="shared" si="21"/>
        <v>16 ST</v>
      </c>
      <c r="E471" t="s">
        <v>543</v>
      </c>
      <c r="F471" t="s">
        <v>544</v>
      </c>
      <c r="G471" t="s">
        <v>531</v>
      </c>
      <c r="H471" t="s">
        <v>462</v>
      </c>
      <c r="I471">
        <f t="shared" si="22"/>
        <v>1970</v>
      </c>
      <c r="J471" s="229">
        <v>7</v>
      </c>
      <c r="K471" s="254">
        <v>8822.01</v>
      </c>
      <c r="L471" s="254">
        <v>6815.26</v>
      </c>
      <c r="M471" s="254">
        <v>2006.75</v>
      </c>
      <c r="N471" s="255">
        <v>86</v>
      </c>
      <c r="O471" s="256">
        <v>711</v>
      </c>
      <c r="P471" s="254">
        <f t="shared" si="23"/>
        <v>72935.454767441857</v>
      </c>
    </row>
    <row r="472" spans="1:16" x14ac:dyDescent="0.2">
      <c r="A472" t="s">
        <v>548</v>
      </c>
      <c r="B472" s="253">
        <v>16</v>
      </c>
      <c r="C472" s="257" t="s">
        <v>494</v>
      </c>
      <c r="D472" s="257" t="str">
        <f t="shared" si="21"/>
        <v>16 ST</v>
      </c>
      <c r="E472" t="s">
        <v>543</v>
      </c>
      <c r="F472" t="s">
        <v>544</v>
      </c>
      <c r="G472" t="s">
        <v>478</v>
      </c>
      <c r="H472" t="s">
        <v>462</v>
      </c>
      <c r="I472">
        <f t="shared" si="22"/>
        <v>2001</v>
      </c>
      <c r="J472" s="229">
        <v>99</v>
      </c>
      <c r="K472" s="254">
        <v>547893.75</v>
      </c>
      <c r="L472" s="254">
        <v>116449.29</v>
      </c>
      <c r="M472" s="254">
        <v>431444.46</v>
      </c>
      <c r="N472" s="255">
        <v>399</v>
      </c>
      <c r="O472" s="256">
        <v>711</v>
      </c>
      <c r="P472" s="254">
        <f t="shared" si="23"/>
        <v>976321.94548872183</v>
      </c>
    </row>
    <row r="473" spans="1:16" x14ac:dyDescent="0.2">
      <c r="A473" t="s">
        <v>548</v>
      </c>
      <c r="B473" s="253">
        <v>16</v>
      </c>
      <c r="C473" s="257" t="s">
        <v>494</v>
      </c>
      <c r="D473" s="257" t="str">
        <f t="shared" si="21"/>
        <v>16 ST</v>
      </c>
      <c r="E473" t="s">
        <v>543</v>
      </c>
      <c r="F473" t="s">
        <v>544</v>
      </c>
      <c r="G473" t="s">
        <v>522</v>
      </c>
      <c r="H473" t="s">
        <v>462</v>
      </c>
      <c r="I473">
        <f t="shared" si="22"/>
        <v>1976</v>
      </c>
      <c r="J473" s="229">
        <v>107</v>
      </c>
      <c r="K473" s="254">
        <v>24279</v>
      </c>
      <c r="L473" s="254">
        <v>16569.14</v>
      </c>
      <c r="M473" s="254">
        <v>7709.86</v>
      </c>
      <c r="N473" s="255">
        <v>146</v>
      </c>
      <c r="O473" s="256">
        <v>711</v>
      </c>
      <c r="P473" s="254">
        <f t="shared" si="23"/>
        <v>118235.40410958904</v>
      </c>
    </row>
    <row r="474" spans="1:16" x14ac:dyDescent="0.2">
      <c r="A474" t="s">
        <v>548</v>
      </c>
      <c r="B474" s="253">
        <v>16</v>
      </c>
      <c r="C474" s="257" t="s">
        <v>494</v>
      </c>
      <c r="D474" s="257" t="str">
        <f t="shared" si="21"/>
        <v>16 ST</v>
      </c>
      <c r="E474" t="s">
        <v>543</v>
      </c>
      <c r="F474" t="s">
        <v>544</v>
      </c>
      <c r="G474" t="s">
        <v>533</v>
      </c>
      <c r="H474" t="s">
        <v>462</v>
      </c>
      <c r="I474">
        <f t="shared" si="22"/>
        <v>1969</v>
      </c>
      <c r="J474" s="229">
        <v>267</v>
      </c>
      <c r="K474" s="254">
        <v>38874</v>
      </c>
      <c r="L474" s="254">
        <v>30574.89</v>
      </c>
      <c r="M474" s="254">
        <v>8299.11</v>
      </c>
      <c r="N474" s="255">
        <v>82</v>
      </c>
      <c r="O474" s="256">
        <v>711</v>
      </c>
      <c r="P474" s="254">
        <f t="shared" si="23"/>
        <v>337066.02439024387</v>
      </c>
    </row>
    <row r="475" spans="1:16" x14ac:dyDescent="0.2">
      <c r="A475" t="s">
        <v>548</v>
      </c>
      <c r="B475" s="253">
        <v>16</v>
      </c>
      <c r="C475" s="257" t="s">
        <v>494</v>
      </c>
      <c r="D475" s="257" t="str">
        <f t="shared" si="21"/>
        <v>16 ST</v>
      </c>
      <c r="E475" t="s">
        <v>543</v>
      </c>
      <c r="F475" t="s">
        <v>544</v>
      </c>
      <c r="G475" t="s">
        <v>509</v>
      </c>
      <c r="H475" t="s">
        <v>462</v>
      </c>
      <c r="I475">
        <f t="shared" si="22"/>
        <v>1964</v>
      </c>
      <c r="J475" s="229">
        <v>1114</v>
      </c>
      <c r="K475" s="254">
        <v>34650</v>
      </c>
      <c r="L475" s="254">
        <v>29493.03</v>
      </c>
      <c r="M475" s="254">
        <v>5156.97</v>
      </c>
      <c r="N475" s="255">
        <v>67</v>
      </c>
      <c r="O475" s="256">
        <v>711</v>
      </c>
      <c r="P475" s="254">
        <f t="shared" si="23"/>
        <v>367703.73134328361</v>
      </c>
    </row>
    <row r="476" spans="1:16" x14ac:dyDescent="0.2">
      <c r="A476" t="s">
        <v>548</v>
      </c>
      <c r="B476" s="253">
        <v>16</v>
      </c>
      <c r="C476" s="257" t="s">
        <v>494</v>
      </c>
      <c r="D476" s="257" t="str">
        <f t="shared" si="21"/>
        <v>16 ST</v>
      </c>
      <c r="E476" t="s">
        <v>543</v>
      </c>
      <c r="F476" t="s">
        <v>544</v>
      </c>
      <c r="G476" t="s">
        <v>510</v>
      </c>
      <c r="H476" t="s">
        <v>462</v>
      </c>
      <c r="I476">
        <f t="shared" si="22"/>
        <v>1962</v>
      </c>
      <c r="J476" s="229">
        <v>1843</v>
      </c>
      <c r="K476" s="254">
        <v>29734</v>
      </c>
      <c r="L476" s="254">
        <v>25966.21</v>
      </c>
      <c r="M476" s="254">
        <v>3767.79</v>
      </c>
      <c r="N476" s="255">
        <v>64</v>
      </c>
      <c r="O476" s="256">
        <v>711</v>
      </c>
      <c r="P476" s="254">
        <f t="shared" si="23"/>
        <v>330326.15625</v>
      </c>
    </row>
    <row r="477" spans="1:16" x14ac:dyDescent="0.2">
      <c r="A477" t="s">
        <v>548</v>
      </c>
      <c r="B477" s="253">
        <v>16</v>
      </c>
      <c r="C477" s="257" t="s">
        <v>494</v>
      </c>
      <c r="D477" s="257" t="str">
        <f t="shared" si="21"/>
        <v>16 ST</v>
      </c>
      <c r="E477" t="s">
        <v>543</v>
      </c>
      <c r="F477" t="s">
        <v>544</v>
      </c>
      <c r="G477" t="s">
        <v>480</v>
      </c>
      <c r="H477" t="s">
        <v>462</v>
      </c>
      <c r="I477">
        <f t="shared" si="22"/>
        <v>1999</v>
      </c>
      <c r="J477" s="229">
        <v>1917</v>
      </c>
      <c r="K477" s="254">
        <v>481737.19</v>
      </c>
      <c r="L477" s="254">
        <v>122095.36</v>
      </c>
      <c r="M477" s="254">
        <v>359641.83</v>
      </c>
      <c r="N477" s="255">
        <v>382</v>
      </c>
      <c r="O477" s="256">
        <v>711</v>
      </c>
      <c r="P477" s="254">
        <f t="shared" si="23"/>
        <v>896636.49761780107</v>
      </c>
    </row>
    <row r="478" spans="1:16" x14ac:dyDescent="0.2">
      <c r="A478" t="s">
        <v>548</v>
      </c>
      <c r="B478" s="253">
        <v>16</v>
      </c>
      <c r="C478" s="257" t="s">
        <v>494</v>
      </c>
      <c r="D478" s="257" t="str">
        <f t="shared" si="21"/>
        <v>16 ST</v>
      </c>
      <c r="E478" t="s">
        <v>543</v>
      </c>
      <c r="F478" t="s">
        <v>544</v>
      </c>
      <c r="G478" t="s">
        <v>495</v>
      </c>
      <c r="H478" t="s">
        <v>462</v>
      </c>
      <c r="I478">
        <f t="shared" si="22"/>
        <v>1957</v>
      </c>
      <c r="J478" s="229">
        <v>2501</v>
      </c>
      <c r="K478" s="254">
        <v>34034.29</v>
      </c>
      <c r="L478" s="254">
        <v>31228.29</v>
      </c>
      <c r="M478" s="254">
        <v>2806</v>
      </c>
      <c r="N478" s="255">
        <v>52</v>
      </c>
      <c r="O478" s="256">
        <v>711</v>
      </c>
      <c r="P478" s="254">
        <f t="shared" si="23"/>
        <v>465353.46519230772</v>
      </c>
    </row>
    <row r="479" spans="1:16" x14ac:dyDescent="0.2">
      <c r="A479" t="s">
        <v>548</v>
      </c>
      <c r="B479" s="253">
        <v>16</v>
      </c>
      <c r="C479" s="257" t="s">
        <v>494</v>
      </c>
      <c r="D479" s="257" t="str">
        <f t="shared" si="21"/>
        <v>16 ST</v>
      </c>
      <c r="E479" t="s">
        <v>543</v>
      </c>
      <c r="F479" t="s">
        <v>544</v>
      </c>
      <c r="G479" t="s">
        <v>467</v>
      </c>
      <c r="H479" t="s">
        <v>462</v>
      </c>
      <c r="I479">
        <f t="shared" si="22"/>
        <v>1996</v>
      </c>
      <c r="J479" s="229">
        <v>3809</v>
      </c>
      <c r="K479" s="254">
        <v>2118866.52</v>
      </c>
      <c r="L479" s="254">
        <v>665560.11</v>
      </c>
      <c r="M479" s="254">
        <v>1453306.41</v>
      </c>
      <c r="N479" s="255">
        <v>359</v>
      </c>
      <c r="O479" s="256">
        <v>711</v>
      </c>
      <c r="P479" s="254">
        <f t="shared" si="23"/>
        <v>4196418.0939275771</v>
      </c>
    </row>
    <row r="480" spans="1:16" x14ac:dyDescent="0.2">
      <c r="A480" t="s">
        <v>548</v>
      </c>
      <c r="B480" s="253">
        <v>16</v>
      </c>
      <c r="C480" s="257" t="s">
        <v>494</v>
      </c>
      <c r="D480" s="257" t="str">
        <f t="shared" si="21"/>
        <v>16 ST</v>
      </c>
      <c r="E480" t="s">
        <v>543</v>
      </c>
      <c r="F480" t="s">
        <v>544</v>
      </c>
      <c r="G480" t="s">
        <v>527</v>
      </c>
      <c r="H480" t="s">
        <v>462</v>
      </c>
      <c r="I480">
        <f t="shared" si="22"/>
        <v>1971</v>
      </c>
      <c r="J480" s="229">
        <v>6352</v>
      </c>
      <c r="K480" s="254">
        <v>146562</v>
      </c>
      <c r="L480" s="254">
        <v>111133.07</v>
      </c>
      <c r="M480" s="254">
        <v>35428.93</v>
      </c>
      <c r="N480" s="255">
        <v>92</v>
      </c>
      <c r="O480" s="256">
        <v>711</v>
      </c>
      <c r="P480" s="254">
        <f t="shared" si="23"/>
        <v>1132669.3695652175</v>
      </c>
    </row>
    <row r="481" spans="1:16" x14ac:dyDescent="0.2">
      <c r="A481" t="s">
        <v>548</v>
      </c>
      <c r="B481" s="253">
        <v>16</v>
      </c>
      <c r="C481" s="257" t="s">
        <v>494</v>
      </c>
      <c r="D481" s="257" t="str">
        <f t="shared" si="21"/>
        <v>16 ST</v>
      </c>
      <c r="E481" t="s">
        <v>543</v>
      </c>
      <c r="F481" t="s">
        <v>544</v>
      </c>
      <c r="G481" t="s">
        <v>535</v>
      </c>
      <c r="H481" t="s">
        <v>462</v>
      </c>
      <c r="I481">
        <f t="shared" si="22"/>
        <v>1968</v>
      </c>
      <c r="J481" s="229">
        <v>14765</v>
      </c>
      <c r="K481" s="254">
        <v>364641.87</v>
      </c>
      <c r="L481" s="254">
        <v>291793.33</v>
      </c>
      <c r="M481" s="254">
        <v>72848.539999999994</v>
      </c>
      <c r="N481" s="255">
        <v>78</v>
      </c>
      <c r="O481" s="256">
        <v>711</v>
      </c>
      <c r="P481" s="254">
        <f t="shared" si="23"/>
        <v>3323850.8919230769</v>
      </c>
    </row>
    <row r="482" spans="1:16" x14ac:dyDescent="0.2">
      <c r="A482" t="s">
        <v>548</v>
      </c>
      <c r="B482" s="253">
        <v>16</v>
      </c>
      <c r="C482" s="257" t="s">
        <v>494</v>
      </c>
      <c r="D482" s="257" t="str">
        <f t="shared" si="21"/>
        <v>16 ST</v>
      </c>
      <c r="E482" t="s">
        <v>543</v>
      </c>
      <c r="F482" t="s">
        <v>544</v>
      </c>
      <c r="G482" t="s">
        <v>534</v>
      </c>
      <c r="H482" t="s">
        <v>462</v>
      </c>
      <c r="I482">
        <f t="shared" si="22"/>
        <v>1966</v>
      </c>
      <c r="J482" s="229">
        <v>17212</v>
      </c>
      <c r="K482" s="254">
        <v>294707</v>
      </c>
      <c r="L482" s="254">
        <v>243614.07999999999</v>
      </c>
      <c r="M482" s="254">
        <v>51092.92</v>
      </c>
      <c r="N482" s="255">
        <v>72</v>
      </c>
      <c r="O482" s="256">
        <v>711</v>
      </c>
      <c r="P482" s="254">
        <f t="shared" si="23"/>
        <v>2910231.625</v>
      </c>
    </row>
    <row r="483" spans="1:16" x14ac:dyDescent="0.2">
      <c r="A483" t="s">
        <v>548</v>
      </c>
      <c r="B483" s="253">
        <v>16</v>
      </c>
      <c r="C483" s="257" t="s">
        <v>494</v>
      </c>
      <c r="D483" s="257" t="str">
        <f t="shared" si="21"/>
        <v>16 ST</v>
      </c>
      <c r="E483" t="s">
        <v>543</v>
      </c>
      <c r="F483" t="s">
        <v>544</v>
      </c>
      <c r="G483" t="s">
        <v>514</v>
      </c>
      <c r="H483" t="s">
        <v>462</v>
      </c>
      <c r="I483">
        <f t="shared" si="22"/>
        <v>1994</v>
      </c>
      <c r="J483" s="229">
        <v>18328</v>
      </c>
      <c r="K483" s="254">
        <v>3520815.75</v>
      </c>
      <c r="L483" s="254">
        <v>1246628.05</v>
      </c>
      <c r="M483" s="254">
        <v>2274187.7000000002</v>
      </c>
      <c r="N483" s="255">
        <v>346</v>
      </c>
      <c r="O483" s="256">
        <v>711</v>
      </c>
      <c r="P483" s="254">
        <f t="shared" si="23"/>
        <v>7234971.0932080932</v>
      </c>
    </row>
    <row r="484" spans="1:16" x14ac:dyDescent="0.2">
      <c r="A484" t="s">
        <v>548</v>
      </c>
      <c r="B484" s="253">
        <v>16</v>
      </c>
      <c r="C484" s="257" t="s">
        <v>494</v>
      </c>
      <c r="D484" s="257" t="str">
        <f t="shared" si="21"/>
        <v>16 ST</v>
      </c>
      <c r="E484" t="s">
        <v>543</v>
      </c>
      <c r="F484" t="s">
        <v>544</v>
      </c>
      <c r="G484" t="s">
        <v>475</v>
      </c>
      <c r="H484" t="s">
        <v>462</v>
      </c>
      <c r="I484">
        <f t="shared" si="22"/>
        <v>2002</v>
      </c>
      <c r="J484" s="229">
        <v>21542</v>
      </c>
      <c r="K484" s="254">
        <v>6272315.1200000001</v>
      </c>
      <c r="L484" s="254">
        <v>1203821.04</v>
      </c>
      <c r="M484" s="254">
        <v>5068494.08</v>
      </c>
      <c r="N484" s="255">
        <v>407</v>
      </c>
      <c r="O484" s="256">
        <v>711</v>
      </c>
      <c r="P484" s="254">
        <f t="shared" si="23"/>
        <v>10957287.592923833</v>
      </c>
    </row>
    <row r="485" spans="1:16" x14ac:dyDescent="0.2">
      <c r="A485" t="s">
        <v>548</v>
      </c>
      <c r="B485" s="253">
        <v>16</v>
      </c>
      <c r="C485" s="257" t="s">
        <v>494</v>
      </c>
      <c r="D485" s="257" t="str">
        <f t="shared" si="21"/>
        <v>16 ST</v>
      </c>
      <c r="E485" t="s">
        <v>543</v>
      </c>
      <c r="F485" t="s">
        <v>544</v>
      </c>
      <c r="G485" t="s">
        <v>471</v>
      </c>
      <c r="H485" t="s">
        <v>462</v>
      </c>
      <c r="I485">
        <f t="shared" si="22"/>
        <v>2003</v>
      </c>
      <c r="J485" s="229">
        <v>30376</v>
      </c>
      <c r="K485" s="254">
        <v>9163766.6500000004</v>
      </c>
      <c r="L485" s="254">
        <v>1568641.3</v>
      </c>
      <c r="M485" s="254">
        <v>7595125.3499999996</v>
      </c>
      <c r="N485" s="255">
        <v>413</v>
      </c>
      <c r="O485" s="256">
        <v>711</v>
      </c>
      <c r="P485" s="254">
        <f t="shared" si="23"/>
        <v>15775879.148062954</v>
      </c>
    </row>
    <row r="486" spans="1:16" x14ac:dyDescent="0.2">
      <c r="A486" t="s">
        <v>548</v>
      </c>
      <c r="B486" s="253">
        <v>16</v>
      </c>
      <c r="C486" s="257" t="s">
        <v>494</v>
      </c>
      <c r="D486" s="257" t="str">
        <f t="shared" si="21"/>
        <v>16 ST</v>
      </c>
      <c r="E486" t="s">
        <v>543</v>
      </c>
      <c r="F486" t="s">
        <v>544</v>
      </c>
      <c r="G486" t="s">
        <v>491</v>
      </c>
      <c r="H486" t="s">
        <v>462</v>
      </c>
      <c r="I486">
        <f t="shared" si="22"/>
        <v>1993</v>
      </c>
      <c r="J486" s="229">
        <v>43852</v>
      </c>
      <c r="K486" s="254">
        <v>7617611.1100000003</v>
      </c>
      <c r="L486" s="254">
        <v>2848184.42</v>
      </c>
      <c r="M486" s="254">
        <v>4769426.6900000004</v>
      </c>
      <c r="N486" s="255">
        <v>324</v>
      </c>
      <c r="O486" s="256">
        <v>711</v>
      </c>
      <c r="P486" s="254">
        <f t="shared" si="23"/>
        <v>16716424.380277781</v>
      </c>
    </row>
    <row r="487" spans="1:16" x14ac:dyDescent="0.2">
      <c r="A487" t="s">
        <v>548</v>
      </c>
      <c r="B487" s="253">
        <v>16</v>
      </c>
      <c r="C487" s="257" t="s">
        <v>494</v>
      </c>
      <c r="D487" s="257" t="str">
        <f t="shared" si="21"/>
        <v>16 ST</v>
      </c>
      <c r="E487" t="s">
        <v>543</v>
      </c>
      <c r="F487" t="s">
        <v>544</v>
      </c>
      <c r="G487" t="s">
        <v>547</v>
      </c>
      <c r="H487" t="s">
        <v>462</v>
      </c>
      <c r="I487">
        <f t="shared" si="22"/>
        <v>1956</v>
      </c>
      <c r="J487" s="229">
        <v>115273</v>
      </c>
      <c r="K487" s="254">
        <v>1384840.98</v>
      </c>
      <c r="L487" s="254">
        <v>1280720.44</v>
      </c>
      <c r="M487" s="254">
        <v>104120.54</v>
      </c>
      <c r="N487" s="255">
        <v>48</v>
      </c>
      <c r="O487" s="256">
        <v>711</v>
      </c>
      <c r="P487" s="254">
        <f t="shared" si="23"/>
        <v>20512957.016249999</v>
      </c>
    </row>
    <row r="488" spans="1:16" x14ac:dyDescent="0.2">
      <c r="A488" t="s">
        <v>548</v>
      </c>
      <c r="B488" s="253">
        <v>16</v>
      </c>
      <c r="C488" s="257" t="s">
        <v>494</v>
      </c>
      <c r="D488" s="257" t="str">
        <f t="shared" si="21"/>
        <v>16 ST</v>
      </c>
      <c r="E488" t="s">
        <v>543</v>
      </c>
      <c r="F488" t="s">
        <v>544</v>
      </c>
      <c r="G488" t="s">
        <v>472</v>
      </c>
      <c r="H488" t="s">
        <v>462</v>
      </c>
      <c r="I488">
        <f t="shared" si="22"/>
        <v>2000</v>
      </c>
      <c r="J488" s="229">
        <v>162674</v>
      </c>
      <c r="K488" s="254">
        <v>7561166.2300000004</v>
      </c>
      <c r="L488" s="254">
        <v>1762038.68</v>
      </c>
      <c r="M488" s="254">
        <v>5799127.5499999998</v>
      </c>
      <c r="N488" s="255">
        <v>396</v>
      </c>
      <c r="O488" s="256">
        <v>711</v>
      </c>
      <c r="P488" s="254">
        <f t="shared" si="23"/>
        <v>13575730.27659091</v>
      </c>
    </row>
    <row r="489" spans="1:16" x14ac:dyDescent="0.2">
      <c r="A489" t="s">
        <v>549</v>
      </c>
      <c r="B489" s="253">
        <v>2</v>
      </c>
      <c r="C489" s="257" t="s">
        <v>494</v>
      </c>
      <c r="D489" s="257" t="str">
        <f t="shared" si="21"/>
        <v>2 ST</v>
      </c>
      <c r="E489" t="s">
        <v>543</v>
      </c>
      <c r="F489" t="s">
        <v>544</v>
      </c>
      <c r="G489" t="s">
        <v>526</v>
      </c>
      <c r="H489" t="s">
        <v>462</v>
      </c>
      <c r="I489">
        <f t="shared" si="22"/>
        <v>1977</v>
      </c>
      <c r="J489" s="229">
        <v>52</v>
      </c>
      <c r="K489" s="254">
        <v>988</v>
      </c>
      <c r="L489" s="254">
        <v>658.35</v>
      </c>
      <c r="M489" s="254">
        <v>329.65</v>
      </c>
      <c r="N489" s="255">
        <v>157</v>
      </c>
      <c r="O489" s="256">
        <v>711</v>
      </c>
      <c r="P489" s="254">
        <f t="shared" si="23"/>
        <v>4474.3184713375795</v>
      </c>
    </row>
    <row r="490" spans="1:16" x14ac:dyDescent="0.2">
      <c r="A490" t="s">
        <v>549</v>
      </c>
      <c r="B490" s="253">
        <v>2</v>
      </c>
      <c r="C490" s="257" t="s">
        <v>494</v>
      </c>
      <c r="D490" s="257" t="str">
        <f t="shared" si="21"/>
        <v>2 ST</v>
      </c>
      <c r="E490" t="s">
        <v>543</v>
      </c>
      <c r="F490" t="s">
        <v>544</v>
      </c>
      <c r="G490" t="s">
        <v>515</v>
      </c>
      <c r="H490" t="s">
        <v>462</v>
      </c>
      <c r="I490">
        <f t="shared" si="22"/>
        <v>1986</v>
      </c>
      <c r="J490" s="229">
        <v>70</v>
      </c>
      <c r="K490" s="254">
        <v>6387</v>
      </c>
      <c r="L490" s="254">
        <v>3248.88</v>
      </c>
      <c r="M490" s="254">
        <v>3138.12</v>
      </c>
      <c r="N490" s="255">
        <v>260</v>
      </c>
      <c r="O490" s="256">
        <v>711</v>
      </c>
      <c r="P490" s="254">
        <f t="shared" si="23"/>
        <v>17465.988461538462</v>
      </c>
    </row>
    <row r="491" spans="1:16" x14ac:dyDescent="0.2">
      <c r="A491" t="s">
        <v>549</v>
      </c>
      <c r="B491" s="253">
        <v>2</v>
      </c>
      <c r="C491" s="257" t="s">
        <v>494</v>
      </c>
      <c r="D491" s="257" t="str">
        <f t="shared" si="21"/>
        <v>2 ST</v>
      </c>
      <c r="E491" t="s">
        <v>543</v>
      </c>
      <c r="F491" t="s">
        <v>544</v>
      </c>
      <c r="G491" t="s">
        <v>509</v>
      </c>
      <c r="H491" t="s">
        <v>462</v>
      </c>
      <c r="I491">
        <f t="shared" si="22"/>
        <v>1964</v>
      </c>
      <c r="J491" s="229">
        <v>1081</v>
      </c>
      <c r="K491" s="254">
        <v>2423.7800000000002</v>
      </c>
      <c r="L491" s="254">
        <v>2063.0500000000002</v>
      </c>
      <c r="M491" s="254">
        <v>360.73</v>
      </c>
      <c r="N491" s="255">
        <v>67</v>
      </c>
      <c r="O491" s="256">
        <v>711</v>
      </c>
      <c r="P491" s="254">
        <f t="shared" si="23"/>
        <v>25721.008656716422</v>
      </c>
    </row>
    <row r="492" spans="1:16" x14ac:dyDescent="0.2">
      <c r="A492" t="s">
        <v>549</v>
      </c>
      <c r="B492" s="253">
        <v>2</v>
      </c>
      <c r="C492" s="257" t="s">
        <v>494</v>
      </c>
      <c r="D492" s="257" t="str">
        <f t="shared" si="21"/>
        <v>2 ST</v>
      </c>
      <c r="E492" t="s">
        <v>543</v>
      </c>
      <c r="F492" t="s">
        <v>544</v>
      </c>
      <c r="G492" t="s">
        <v>530</v>
      </c>
      <c r="H492" t="s">
        <v>462</v>
      </c>
      <c r="I492">
        <f t="shared" si="22"/>
        <v>1965</v>
      </c>
      <c r="J492" s="229">
        <v>36928</v>
      </c>
      <c r="K492" s="254">
        <v>67300.759999999995</v>
      </c>
      <c r="L492" s="254">
        <v>56477.1</v>
      </c>
      <c r="M492" s="254">
        <v>10823.66</v>
      </c>
      <c r="N492" s="255">
        <v>70</v>
      </c>
      <c r="O492" s="256">
        <v>711</v>
      </c>
      <c r="P492" s="254">
        <f t="shared" si="23"/>
        <v>683583.43371428561</v>
      </c>
    </row>
    <row r="493" spans="1:16" x14ac:dyDescent="0.2">
      <c r="A493" t="s">
        <v>550</v>
      </c>
      <c r="B493" s="253">
        <v>20</v>
      </c>
      <c r="C493" s="257" t="s">
        <v>494</v>
      </c>
      <c r="D493" s="257" t="str">
        <f t="shared" si="21"/>
        <v>20 ST</v>
      </c>
      <c r="E493" t="s">
        <v>543</v>
      </c>
      <c r="F493" t="s">
        <v>544</v>
      </c>
      <c r="G493" t="s">
        <v>495</v>
      </c>
      <c r="H493" t="s">
        <v>462</v>
      </c>
      <c r="I493">
        <f t="shared" si="22"/>
        <v>1957</v>
      </c>
      <c r="J493" s="229">
        <v>1403</v>
      </c>
      <c r="K493" s="254">
        <v>24907.4</v>
      </c>
      <c r="L493" s="254">
        <v>22853.88</v>
      </c>
      <c r="M493" s="254">
        <v>2053.52</v>
      </c>
      <c r="N493" s="255">
        <v>52</v>
      </c>
      <c r="O493" s="256">
        <v>711</v>
      </c>
      <c r="P493" s="254">
        <f t="shared" si="23"/>
        <v>340560.7961538462</v>
      </c>
    </row>
    <row r="494" spans="1:16" x14ac:dyDescent="0.2">
      <c r="A494" t="s">
        <v>550</v>
      </c>
      <c r="B494" s="253">
        <v>20</v>
      </c>
      <c r="C494" s="257" t="s">
        <v>494</v>
      </c>
      <c r="D494" s="257" t="str">
        <f t="shared" si="21"/>
        <v>20 ST</v>
      </c>
      <c r="E494" t="s">
        <v>543</v>
      </c>
      <c r="F494" t="s">
        <v>544</v>
      </c>
      <c r="G494" t="s">
        <v>479</v>
      </c>
      <c r="H494" t="s">
        <v>462</v>
      </c>
      <c r="I494">
        <f t="shared" si="22"/>
        <v>1998</v>
      </c>
      <c r="J494" s="229">
        <v>1678</v>
      </c>
      <c r="K494" s="254">
        <v>868073.27</v>
      </c>
      <c r="L494" s="254">
        <v>237644.39</v>
      </c>
      <c r="M494" s="254">
        <v>630428.88</v>
      </c>
      <c r="N494" s="255">
        <v>372</v>
      </c>
      <c r="O494" s="256">
        <v>711</v>
      </c>
      <c r="P494" s="254">
        <f t="shared" si="23"/>
        <v>1659140.0402419355</v>
      </c>
    </row>
    <row r="495" spans="1:16" x14ac:dyDescent="0.2">
      <c r="A495" t="s">
        <v>550</v>
      </c>
      <c r="B495" s="253">
        <v>20</v>
      </c>
      <c r="C495" s="257" t="s">
        <v>494</v>
      </c>
      <c r="D495" s="257" t="str">
        <f t="shared" si="21"/>
        <v>20 ST</v>
      </c>
      <c r="E495" t="s">
        <v>543</v>
      </c>
      <c r="F495" t="s">
        <v>544</v>
      </c>
      <c r="G495" t="s">
        <v>532</v>
      </c>
      <c r="H495" t="s">
        <v>462</v>
      </c>
      <c r="I495">
        <f t="shared" si="22"/>
        <v>1967</v>
      </c>
      <c r="J495" s="229">
        <v>2297</v>
      </c>
      <c r="K495" s="254">
        <v>52866.57</v>
      </c>
      <c r="L495" s="254">
        <v>43013.22</v>
      </c>
      <c r="M495" s="254">
        <v>9853.35</v>
      </c>
      <c r="N495" s="255">
        <v>75</v>
      </c>
      <c r="O495" s="256">
        <v>711</v>
      </c>
      <c r="P495" s="254">
        <f t="shared" si="23"/>
        <v>501175.08360000001</v>
      </c>
    </row>
    <row r="496" spans="1:16" x14ac:dyDescent="0.2">
      <c r="A496" t="s">
        <v>550</v>
      </c>
      <c r="B496" s="253">
        <v>20</v>
      </c>
      <c r="C496" s="257" t="s">
        <v>494</v>
      </c>
      <c r="D496" s="257" t="str">
        <f t="shared" si="21"/>
        <v>20 ST</v>
      </c>
      <c r="E496" t="s">
        <v>543</v>
      </c>
      <c r="F496" t="s">
        <v>544</v>
      </c>
      <c r="G496" t="s">
        <v>511</v>
      </c>
      <c r="H496" t="s">
        <v>462</v>
      </c>
      <c r="I496">
        <f t="shared" si="22"/>
        <v>1963</v>
      </c>
      <c r="J496" s="229">
        <v>2686</v>
      </c>
      <c r="K496" s="254">
        <v>67370</v>
      </c>
      <c r="L496" s="254">
        <v>58109.98</v>
      </c>
      <c r="M496" s="254">
        <v>9260.02</v>
      </c>
      <c r="N496" s="255">
        <v>65</v>
      </c>
      <c r="O496" s="256">
        <v>711</v>
      </c>
      <c r="P496" s="254">
        <f t="shared" si="23"/>
        <v>736924.15384615387</v>
      </c>
    </row>
    <row r="497" spans="1:16" x14ac:dyDescent="0.2">
      <c r="A497" t="s">
        <v>550</v>
      </c>
      <c r="B497" s="253">
        <v>20</v>
      </c>
      <c r="C497" s="257" t="s">
        <v>494</v>
      </c>
      <c r="D497" s="257" t="str">
        <f t="shared" si="21"/>
        <v>20 ST</v>
      </c>
      <c r="E497" t="s">
        <v>543</v>
      </c>
      <c r="F497" t="s">
        <v>544</v>
      </c>
      <c r="G497" t="s">
        <v>547</v>
      </c>
      <c r="H497" t="s">
        <v>462</v>
      </c>
      <c r="I497">
        <f t="shared" si="22"/>
        <v>1956</v>
      </c>
      <c r="J497" s="229">
        <v>23337</v>
      </c>
      <c r="K497" s="254">
        <v>427858.68</v>
      </c>
      <c r="L497" s="254">
        <v>395689.73</v>
      </c>
      <c r="M497" s="254">
        <v>32168.95</v>
      </c>
      <c r="N497" s="255">
        <v>48</v>
      </c>
      <c r="O497" s="256">
        <v>711</v>
      </c>
      <c r="P497" s="254">
        <f t="shared" si="23"/>
        <v>6337656.6974999998</v>
      </c>
    </row>
    <row r="498" spans="1:16" x14ac:dyDescent="0.2">
      <c r="A498" t="s">
        <v>551</v>
      </c>
      <c r="B498" s="253">
        <v>4</v>
      </c>
      <c r="C498" s="257" t="s">
        <v>494</v>
      </c>
      <c r="D498" s="257" t="str">
        <f t="shared" si="21"/>
        <v>4 ST</v>
      </c>
      <c r="E498" t="s">
        <v>543</v>
      </c>
      <c r="F498" t="s">
        <v>544</v>
      </c>
      <c r="G498" t="s">
        <v>465</v>
      </c>
      <c r="H498" t="s">
        <v>462</v>
      </c>
      <c r="I498">
        <f t="shared" si="22"/>
        <v>1991</v>
      </c>
      <c r="J498" s="229">
        <v>0</v>
      </c>
      <c r="K498" s="254">
        <v>1268</v>
      </c>
      <c r="L498" s="254">
        <v>523.9</v>
      </c>
      <c r="M498" s="254">
        <v>744.1</v>
      </c>
      <c r="N498" s="255">
        <v>312</v>
      </c>
      <c r="O498" s="256">
        <v>711</v>
      </c>
      <c r="P498" s="254">
        <f t="shared" si="23"/>
        <v>2889.5769230769229</v>
      </c>
    </row>
    <row r="499" spans="1:16" x14ac:dyDescent="0.2">
      <c r="A499" t="s">
        <v>551</v>
      </c>
      <c r="B499" s="253">
        <v>4</v>
      </c>
      <c r="C499" s="257" t="s">
        <v>494</v>
      </c>
      <c r="D499" s="257" t="str">
        <f t="shared" si="21"/>
        <v>4 ST</v>
      </c>
      <c r="E499" t="s">
        <v>543</v>
      </c>
      <c r="F499" t="s">
        <v>544</v>
      </c>
      <c r="G499" t="s">
        <v>527</v>
      </c>
      <c r="H499" t="s">
        <v>462</v>
      </c>
      <c r="I499">
        <f t="shared" si="22"/>
        <v>1971</v>
      </c>
      <c r="J499" s="229">
        <v>53</v>
      </c>
      <c r="K499" s="254">
        <v>863</v>
      </c>
      <c r="L499" s="254">
        <v>654.38</v>
      </c>
      <c r="M499" s="254">
        <v>208.62</v>
      </c>
      <c r="N499" s="255">
        <v>92</v>
      </c>
      <c r="O499" s="256">
        <v>711</v>
      </c>
      <c r="P499" s="254">
        <f t="shared" si="23"/>
        <v>6669.489130434783</v>
      </c>
    </row>
    <row r="500" spans="1:16" x14ac:dyDescent="0.2">
      <c r="A500" t="s">
        <v>551</v>
      </c>
      <c r="B500" s="253">
        <v>4</v>
      </c>
      <c r="C500" s="257" t="s">
        <v>494</v>
      </c>
      <c r="D500" s="257" t="str">
        <f t="shared" si="21"/>
        <v>4 ST</v>
      </c>
      <c r="E500" t="s">
        <v>543</v>
      </c>
      <c r="F500" t="s">
        <v>544</v>
      </c>
      <c r="G500" t="s">
        <v>486</v>
      </c>
      <c r="H500" t="s">
        <v>462</v>
      </c>
      <c r="I500">
        <f t="shared" si="22"/>
        <v>1978</v>
      </c>
      <c r="J500" s="229">
        <v>68</v>
      </c>
      <c r="K500" s="254">
        <v>1831</v>
      </c>
      <c r="L500" s="254">
        <v>1190.06</v>
      </c>
      <c r="M500" s="254">
        <v>640.94000000000005</v>
      </c>
      <c r="N500" s="255">
        <v>173</v>
      </c>
      <c r="O500" s="256">
        <v>711</v>
      </c>
      <c r="P500" s="254">
        <f t="shared" si="23"/>
        <v>7525.0924855491339</v>
      </c>
    </row>
    <row r="501" spans="1:16" x14ac:dyDescent="0.2">
      <c r="A501" t="s">
        <v>551</v>
      </c>
      <c r="B501" s="253">
        <v>4</v>
      </c>
      <c r="C501" s="257" t="s">
        <v>494</v>
      </c>
      <c r="D501" s="257" t="str">
        <f t="shared" si="21"/>
        <v>4 ST</v>
      </c>
      <c r="E501" t="s">
        <v>543</v>
      </c>
      <c r="F501" t="s">
        <v>544</v>
      </c>
      <c r="G501" t="s">
        <v>521</v>
      </c>
      <c r="H501" t="s">
        <v>462</v>
      </c>
      <c r="I501">
        <f t="shared" si="22"/>
        <v>1980</v>
      </c>
      <c r="J501" s="229">
        <v>122</v>
      </c>
      <c r="K501" s="254">
        <v>3697</v>
      </c>
      <c r="L501" s="254">
        <v>2278.25</v>
      </c>
      <c r="M501" s="254">
        <v>1418.75</v>
      </c>
      <c r="N501" s="255">
        <v>204</v>
      </c>
      <c r="O501" s="256">
        <v>711</v>
      </c>
      <c r="P501" s="254">
        <f t="shared" si="23"/>
        <v>12885.132352941177</v>
      </c>
    </row>
    <row r="502" spans="1:16" x14ac:dyDescent="0.2">
      <c r="A502" t="s">
        <v>551</v>
      </c>
      <c r="B502" s="253">
        <v>4</v>
      </c>
      <c r="C502" s="257" t="s">
        <v>494</v>
      </c>
      <c r="D502" s="257" t="str">
        <f t="shared" si="21"/>
        <v>4 ST</v>
      </c>
      <c r="E502" t="s">
        <v>543</v>
      </c>
      <c r="F502" t="s">
        <v>544</v>
      </c>
      <c r="G502" t="s">
        <v>533</v>
      </c>
      <c r="H502" t="s">
        <v>462</v>
      </c>
      <c r="I502">
        <f t="shared" si="22"/>
        <v>1969</v>
      </c>
      <c r="J502" s="229">
        <v>182</v>
      </c>
      <c r="K502" s="254">
        <v>1372</v>
      </c>
      <c r="L502" s="254">
        <v>1079.0999999999999</v>
      </c>
      <c r="M502" s="254">
        <v>292.89999999999998</v>
      </c>
      <c r="N502" s="255">
        <v>82</v>
      </c>
      <c r="O502" s="256">
        <v>711</v>
      </c>
      <c r="P502" s="254">
        <f t="shared" si="23"/>
        <v>11896.243902439024</v>
      </c>
    </row>
    <row r="503" spans="1:16" x14ac:dyDescent="0.2">
      <c r="A503" t="s">
        <v>551</v>
      </c>
      <c r="B503" s="253">
        <v>4</v>
      </c>
      <c r="C503" s="257" t="s">
        <v>494</v>
      </c>
      <c r="D503" s="257" t="str">
        <f t="shared" si="21"/>
        <v>4 ST</v>
      </c>
      <c r="E503" t="s">
        <v>543</v>
      </c>
      <c r="F503" t="s">
        <v>544</v>
      </c>
      <c r="G503" t="s">
        <v>495</v>
      </c>
      <c r="H503" t="s">
        <v>462</v>
      </c>
      <c r="I503">
        <f t="shared" si="22"/>
        <v>1957</v>
      </c>
      <c r="J503" s="229">
        <v>2623</v>
      </c>
      <c r="K503" s="254">
        <v>8029.98</v>
      </c>
      <c r="L503" s="254">
        <v>7367.94</v>
      </c>
      <c r="M503" s="254">
        <v>662.04</v>
      </c>
      <c r="N503" s="255">
        <v>52</v>
      </c>
      <c r="O503" s="256">
        <v>711</v>
      </c>
      <c r="P503" s="254">
        <f t="shared" si="23"/>
        <v>109794.53423076923</v>
      </c>
    </row>
    <row r="504" spans="1:16" x14ac:dyDescent="0.2">
      <c r="A504" t="s">
        <v>551</v>
      </c>
      <c r="B504" s="253">
        <v>4</v>
      </c>
      <c r="C504" s="257" t="s">
        <v>494</v>
      </c>
      <c r="D504" s="257" t="str">
        <f t="shared" si="21"/>
        <v>4 ST</v>
      </c>
      <c r="E504" t="s">
        <v>543</v>
      </c>
      <c r="F504" t="s">
        <v>544</v>
      </c>
      <c r="G504" t="s">
        <v>496</v>
      </c>
      <c r="H504" t="s">
        <v>462</v>
      </c>
      <c r="I504">
        <f t="shared" si="22"/>
        <v>1958</v>
      </c>
      <c r="J504" s="229">
        <v>25361</v>
      </c>
      <c r="K504" s="254">
        <v>100922</v>
      </c>
      <c r="L504" s="254">
        <v>91822.41</v>
      </c>
      <c r="M504" s="254">
        <v>9099.59</v>
      </c>
      <c r="N504" s="255">
        <v>55</v>
      </c>
      <c r="O504" s="256">
        <v>711</v>
      </c>
      <c r="P504" s="254">
        <f t="shared" si="23"/>
        <v>1304646.2181818183</v>
      </c>
    </row>
    <row r="505" spans="1:16" x14ac:dyDescent="0.2">
      <c r="A505" t="s">
        <v>551</v>
      </c>
      <c r="B505" s="253">
        <v>4</v>
      </c>
      <c r="C505" s="257" t="s">
        <v>494</v>
      </c>
      <c r="D505" s="257" t="str">
        <f t="shared" si="21"/>
        <v>4 ST</v>
      </c>
      <c r="E505" t="s">
        <v>543</v>
      </c>
      <c r="F505" t="s">
        <v>544</v>
      </c>
      <c r="G505" t="s">
        <v>547</v>
      </c>
      <c r="H505" t="s">
        <v>462</v>
      </c>
      <c r="I505">
        <f t="shared" si="22"/>
        <v>1956</v>
      </c>
      <c r="J505" s="229">
        <v>25643</v>
      </c>
      <c r="K505" s="254">
        <v>78537.22</v>
      </c>
      <c r="L505" s="254">
        <v>72632.33</v>
      </c>
      <c r="M505" s="254">
        <v>5904.89</v>
      </c>
      <c r="N505" s="255">
        <v>48</v>
      </c>
      <c r="O505" s="256">
        <v>711</v>
      </c>
      <c r="P505" s="254">
        <f t="shared" si="23"/>
        <v>1163332.57125</v>
      </c>
    </row>
    <row r="506" spans="1:16" x14ac:dyDescent="0.2">
      <c r="A506" t="s">
        <v>551</v>
      </c>
      <c r="B506" s="253">
        <v>4</v>
      </c>
      <c r="C506" s="257" t="s">
        <v>494</v>
      </c>
      <c r="D506" s="257" t="str">
        <f t="shared" si="21"/>
        <v>4 ST</v>
      </c>
      <c r="E506" t="s">
        <v>543</v>
      </c>
      <c r="F506" t="s">
        <v>544</v>
      </c>
      <c r="G506" t="s">
        <v>532</v>
      </c>
      <c r="H506" t="s">
        <v>462</v>
      </c>
      <c r="I506">
        <f t="shared" si="22"/>
        <v>1967</v>
      </c>
      <c r="J506" s="229">
        <v>39619</v>
      </c>
      <c r="K506" s="254">
        <v>140402</v>
      </c>
      <c r="L506" s="254">
        <v>114233.67</v>
      </c>
      <c r="M506" s="254">
        <v>26168.33</v>
      </c>
      <c r="N506" s="255">
        <v>75</v>
      </c>
      <c r="O506" s="256">
        <v>711</v>
      </c>
      <c r="P506" s="254">
        <f t="shared" si="23"/>
        <v>1331010.96</v>
      </c>
    </row>
    <row r="507" spans="1:16" x14ac:dyDescent="0.2">
      <c r="A507" t="s">
        <v>551</v>
      </c>
      <c r="B507" s="253">
        <v>4</v>
      </c>
      <c r="C507" s="257" t="s">
        <v>494</v>
      </c>
      <c r="D507" s="257" t="str">
        <f t="shared" si="21"/>
        <v>4 ST</v>
      </c>
      <c r="E507" t="s">
        <v>543</v>
      </c>
      <c r="F507" t="s">
        <v>544</v>
      </c>
      <c r="G507" t="s">
        <v>530</v>
      </c>
      <c r="H507" t="s">
        <v>462</v>
      </c>
      <c r="I507">
        <f t="shared" si="22"/>
        <v>1965</v>
      </c>
      <c r="J507" s="229">
        <v>72400</v>
      </c>
      <c r="K507" s="254">
        <v>239444</v>
      </c>
      <c r="L507" s="254">
        <v>200935.38</v>
      </c>
      <c r="M507" s="254">
        <v>38508.620000000003</v>
      </c>
      <c r="N507" s="255">
        <v>70</v>
      </c>
      <c r="O507" s="256">
        <v>711</v>
      </c>
      <c r="P507" s="254">
        <f t="shared" si="23"/>
        <v>2432066.9142857143</v>
      </c>
    </row>
    <row r="508" spans="1:16" x14ac:dyDescent="0.2">
      <c r="A508" t="s">
        <v>552</v>
      </c>
      <c r="B508" s="253">
        <v>6</v>
      </c>
      <c r="C508" s="257" t="s">
        <v>494</v>
      </c>
      <c r="D508" s="257" t="str">
        <f t="shared" si="21"/>
        <v>6 ST</v>
      </c>
      <c r="E508" t="s">
        <v>543</v>
      </c>
      <c r="F508" t="s">
        <v>544</v>
      </c>
      <c r="G508" t="s">
        <v>527</v>
      </c>
      <c r="H508" t="s">
        <v>462</v>
      </c>
      <c r="I508">
        <f t="shared" si="22"/>
        <v>1971</v>
      </c>
      <c r="J508" s="229">
        <v>35</v>
      </c>
      <c r="K508" s="254">
        <v>676</v>
      </c>
      <c r="L508" s="254">
        <v>512.59</v>
      </c>
      <c r="M508" s="254">
        <v>163.41</v>
      </c>
      <c r="N508" s="255">
        <v>92</v>
      </c>
      <c r="O508" s="256">
        <v>711</v>
      </c>
      <c r="P508" s="254">
        <f t="shared" si="23"/>
        <v>5224.304347826087</v>
      </c>
    </row>
    <row r="509" spans="1:16" x14ac:dyDescent="0.2">
      <c r="A509" t="s">
        <v>552</v>
      </c>
      <c r="B509" s="253">
        <v>6</v>
      </c>
      <c r="C509" s="257" t="s">
        <v>494</v>
      </c>
      <c r="D509" s="257" t="str">
        <f t="shared" si="21"/>
        <v>6 ST</v>
      </c>
      <c r="E509" t="s">
        <v>543</v>
      </c>
      <c r="F509" t="s">
        <v>544</v>
      </c>
      <c r="G509" t="s">
        <v>522</v>
      </c>
      <c r="H509" t="s">
        <v>462</v>
      </c>
      <c r="I509">
        <f t="shared" si="22"/>
        <v>1976</v>
      </c>
      <c r="J509" s="229">
        <v>40</v>
      </c>
      <c r="K509" s="254">
        <v>1244</v>
      </c>
      <c r="L509" s="254">
        <v>848.96</v>
      </c>
      <c r="M509" s="254">
        <v>395.04</v>
      </c>
      <c r="N509" s="255">
        <v>146</v>
      </c>
      <c r="O509" s="256">
        <v>711</v>
      </c>
      <c r="P509" s="254">
        <f t="shared" si="23"/>
        <v>6058.1095890410961</v>
      </c>
    </row>
    <row r="510" spans="1:16" x14ac:dyDescent="0.2">
      <c r="A510" t="s">
        <v>552</v>
      </c>
      <c r="B510" s="253">
        <v>6</v>
      </c>
      <c r="C510" s="257" t="s">
        <v>494</v>
      </c>
      <c r="D510" s="257" t="str">
        <f t="shared" si="21"/>
        <v>6 ST</v>
      </c>
      <c r="E510" t="s">
        <v>543</v>
      </c>
      <c r="F510" t="s">
        <v>544</v>
      </c>
      <c r="G510" t="s">
        <v>510</v>
      </c>
      <c r="H510" t="s">
        <v>462</v>
      </c>
      <c r="I510">
        <f t="shared" si="22"/>
        <v>1962</v>
      </c>
      <c r="J510" s="229">
        <v>4000</v>
      </c>
      <c r="K510" s="254">
        <v>20607.96</v>
      </c>
      <c r="L510" s="254">
        <v>17996.59</v>
      </c>
      <c r="M510" s="254">
        <v>2611.37</v>
      </c>
      <c r="N510" s="255">
        <v>64</v>
      </c>
      <c r="O510" s="256">
        <v>711</v>
      </c>
      <c r="P510" s="254">
        <f t="shared" si="23"/>
        <v>228941.55562499998</v>
      </c>
    </row>
    <row r="511" spans="1:16" x14ac:dyDescent="0.2">
      <c r="A511" t="s">
        <v>552</v>
      </c>
      <c r="B511" s="253">
        <v>6</v>
      </c>
      <c r="C511" s="257" t="s">
        <v>494</v>
      </c>
      <c r="D511" s="257" t="str">
        <f t="shared" si="21"/>
        <v>6 ST</v>
      </c>
      <c r="E511" t="s">
        <v>543</v>
      </c>
      <c r="F511" t="s">
        <v>544</v>
      </c>
      <c r="G511" t="s">
        <v>528</v>
      </c>
      <c r="H511" t="s">
        <v>462</v>
      </c>
      <c r="I511">
        <f t="shared" si="22"/>
        <v>1972</v>
      </c>
      <c r="J511" s="229">
        <v>5003</v>
      </c>
      <c r="K511" s="254">
        <v>37245</v>
      </c>
      <c r="L511" s="254">
        <v>27699.74</v>
      </c>
      <c r="M511" s="254">
        <v>9545.26</v>
      </c>
      <c r="N511" s="255">
        <v>96</v>
      </c>
      <c r="O511" s="256">
        <v>711</v>
      </c>
      <c r="P511" s="254">
        <f t="shared" si="23"/>
        <v>275845.78125</v>
      </c>
    </row>
    <row r="512" spans="1:16" x14ac:dyDescent="0.2">
      <c r="A512" t="s">
        <v>552</v>
      </c>
      <c r="B512" s="253">
        <v>6</v>
      </c>
      <c r="C512" s="257" t="s">
        <v>494</v>
      </c>
      <c r="D512" s="257" t="str">
        <f t="shared" ref="D512:D530" si="24">B512&amp;" "&amp;C512</f>
        <v>6 ST</v>
      </c>
      <c r="E512" t="s">
        <v>543</v>
      </c>
      <c r="F512" t="s">
        <v>544</v>
      </c>
      <c r="G512" t="s">
        <v>507</v>
      </c>
      <c r="H512" t="s">
        <v>462</v>
      </c>
      <c r="I512">
        <f t="shared" si="22"/>
        <v>1960</v>
      </c>
      <c r="J512" s="229">
        <v>5090</v>
      </c>
      <c r="K512" s="254">
        <v>25432.47</v>
      </c>
      <c r="L512" s="254">
        <v>22705.73</v>
      </c>
      <c r="M512" s="254">
        <v>2726.74</v>
      </c>
      <c r="N512" s="255">
        <v>61</v>
      </c>
      <c r="O512" s="256">
        <v>711</v>
      </c>
      <c r="P512" s="254">
        <f t="shared" si="23"/>
        <v>296434.19950819673</v>
      </c>
    </row>
    <row r="513" spans="1:16" x14ac:dyDescent="0.2">
      <c r="A513" t="s">
        <v>552</v>
      </c>
      <c r="B513" s="253">
        <v>6</v>
      </c>
      <c r="C513" s="257" t="s">
        <v>494</v>
      </c>
      <c r="D513" s="257" t="str">
        <f t="shared" si="24"/>
        <v>6 ST</v>
      </c>
      <c r="E513" t="s">
        <v>543</v>
      </c>
      <c r="F513" t="s">
        <v>544</v>
      </c>
      <c r="G513" t="s">
        <v>524</v>
      </c>
      <c r="H513" t="s">
        <v>462</v>
      </c>
      <c r="I513">
        <f t="shared" si="22"/>
        <v>1975</v>
      </c>
      <c r="J513" s="229">
        <v>8219</v>
      </c>
      <c r="K513" s="254">
        <v>65403</v>
      </c>
      <c r="L513" s="254">
        <v>45666.49</v>
      </c>
      <c r="M513" s="254">
        <v>19736.509999999998</v>
      </c>
      <c r="N513" s="255">
        <v>134</v>
      </c>
      <c r="O513" s="256">
        <v>711</v>
      </c>
      <c r="P513" s="254">
        <f t="shared" si="23"/>
        <v>347026.36567164178</v>
      </c>
    </row>
    <row r="514" spans="1:16" x14ac:dyDescent="0.2">
      <c r="A514" t="s">
        <v>552</v>
      </c>
      <c r="B514" s="253">
        <v>6</v>
      </c>
      <c r="C514" s="257" t="s">
        <v>494</v>
      </c>
      <c r="D514" s="257" t="str">
        <f t="shared" si="24"/>
        <v>6 ST</v>
      </c>
      <c r="E514" t="s">
        <v>543</v>
      </c>
      <c r="F514" t="s">
        <v>544</v>
      </c>
      <c r="G514" t="s">
        <v>508</v>
      </c>
      <c r="H514" t="s">
        <v>462</v>
      </c>
      <c r="I514">
        <f t="shared" ref="I514:I530" si="25">+G514*1</f>
        <v>1961</v>
      </c>
      <c r="J514" s="229">
        <v>17923</v>
      </c>
      <c r="K514" s="254">
        <v>77894</v>
      </c>
      <c r="L514" s="254">
        <v>68808.33</v>
      </c>
      <c r="M514" s="254">
        <v>9085.67</v>
      </c>
      <c r="N514" s="255">
        <v>63</v>
      </c>
      <c r="O514" s="256">
        <v>711</v>
      </c>
      <c r="P514" s="254">
        <f t="shared" ref="P514:P526" si="26">+(O514/N514)*K514</f>
        <v>879089.42857142864</v>
      </c>
    </row>
    <row r="515" spans="1:16" x14ac:dyDescent="0.2">
      <c r="A515" t="s">
        <v>552</v>
      </c>
      <c r="B515" s="253">
        <v>6</v>
      </c>
      <c r="C515" s="257" t="s">
        <v>494</v>
      </c>
      <c r="D515" s="257" t="str">
        <f t="shared" si="24"/>
        <v>6 ST</v>
      </c>
      <c r="E515" t="s">
        <v>543</v>
      </c>
      <c r="F515" t="s">
        <v>544</v>
      </c>
      <c r="G515" t="s">
        <v>533</v>
      </c>
      <c r="H515" t="s">
        <v>462</v>
      </c>
      <c r="I515">
        <f t="shared" si="25"/>
        <v>1969</v>
      </c>
      <c r="J515" s="229">
        <v>87274</v>
      </c>
      <c r="K515" s="254">
        <v>435352</v>
      </c>
      <c r="L515" s="254">
        <v>342409.88</v>
      </c>
      <c r="M515" s="254">
        <v>92942.12</v>
      </c>
      <c r="N515" s="255">
        <v>82</v>
      </c>
      <c r="O515" s="256">
        <v>711</v>
      </c>
      <c r="P515" s="254">
        <f t="shared" si="26"/>
        <v>3774820.3902439023</v>
      </c>
    </row>
    <row r="516" spans="1:16" x14ac:dyDescent="0.2">
      <c r="A516" t="s">
        <v>553</v>
      </c>
      <c r="B516" s="253">
        <v>8</v>
      </c>
      <c r="C516" s="257" t="s">
        <v>494</v>
      </c>
      <c r="D516" s="257" t="str">
        <f t="shared" si="24"/>
        <v>8 ST</v>
      </c>
      <c r="E516" t="s">
        <v>543</v>
      </c>
      <c r="F516" t="s">
        <v>544</v>
      </c>
      <c r="G516" t="s">
        <v>495</v>
      </c>
      <c r="H516" t="s">
        <v>462</v>
      </c>
      <c r="I516">
        <f t="shared" si="25"/>
        <v>1957</v>
      </c>
      <c r="J516" s="229">
        <v>2282</v>
      </c>
      <c r="K516" s="254">
        <v>13781.24</v>
      </c>
      <c r="L516" s="254">
        <v>12645.03</v>
      </c>
      <c r="M516" s="254">
        <v>1136.21</v>
      </c>
      <c r="N516" s="255">
        <v>52</v>
      </c>
      <c r="O516" s="256">
        <v>711</v>
      </c>
      <c r="P516" s="254">
        <f t="shared" si="26"/>
        <v>188431.9546153846</v>
      </c>
    </row>
    <row r="517" spans="1:16" x14ac:dyDescent="0.2">
      <c r="A517" t="s">
        <v>553</v>
      </c>
      <c r="B517" s="253">
        <v>8</v>
      </c>
      <c r="C517" s="257" t="s">
        <v>494</v>
      </c>
      <c r="D517" s="257" t="str">
        <f t="shared" si="24"/>
        <v>8 ST</v>
      </c>
      <c r="E517" t="s">
        <v>543</v>
      </c>
      <c r="F517" t="s">
        <v>544</v>
      </c>
      <c r="G517" t="s">
        <v>528</v>
      </c>
      <c r="H517" t="s">
        <v>462</v>
      </c>
      <c r="I517">
        <f t="shared" si="25"/>
        <v>1972</v>
      </c>
      <c r="J517" s="229">
        <v>3919</v>
      </c>
      <c r="K517" s="254">
        <v>46419</v>
      </c>
      <c r="L517" s="254">
        <v>34522.6</v>
      </c>
      <c r="M517" s="254">
        <v>11896.4</v>
      </c>
      <c r="N517" s="255">
        <v>96</v>
      </c>
      <c r="O517" s="256">
        <v>711</v>
      </c>
      <c r="P517" s="254">
        <f t="shared" si="26"/>
        <v>343790.71875</v>
      </c>
    </row>
    <row r="518" spans="1:16" x14ac:dyDescent="0.2">
      <c r="A518" t="s">
        <v>553</v>
      </c>
      <c r="B518" s="253">
        <v>8</v>
      </c>
      <c r="C518" s="257" t="s">
        <v>494</v>
      </c>
      <c r="D518" s="257" t="str">
        <f t="shared" si="24"/>
        <v>8 ST</v>
      </c>
      <c r="E518" t="s">
        <v>543</v>
      </c>
      <c r="F518" t="s">
        <v>544</v>
      </c>
      <c r="G518" t="s">
        <v>525</v>
      </c>
      <c r="H518" t="s">
        <v>462</v>
      </c>
      <c r="I518">
        <f t="shared" si="25"/>
        <v>1974</v>
      </c>
      <c r="J518" s="229">
        <v>5691</v>
      </c>
      <c r="K518" s="254">
        <v>89835</v>
      </c>
      <c r="L518" s="254">
        <v>64115.41</v>
      </c>
      <c r="M518" s="254">
        <v>25719.59</v>
      </c>
      <c r="N518" s="255">
        <v>117</v>
      </c>
      <c r="O518" s="256">
        <v>711</v>
      </c>
      <c r="P518" s="254">
        <f t="shared" si="26"/>
        <v>545920.38461538462</v>
      </c>
    </row>
    <row r="519" spans="1:16" x14ac:dyDescent="0.2">
      <c r="A519" t="s">
        <v>553</v>
      </c>
      <c r="B519" s="253">
        <v>8</v>
      </c>
      <c r="C519" s="257" t="s">
        <v>494</v>
      </c>
      <c r="D519" s="257" t="str">
        <f t="shared" si="24"/>
        <v>8 ST</v>
      </c>
      <c r="E519" t="s">
        <v>543</v>
      </c>
      <c r="F519" t="s">
        <v>544</v>
      </c>
      <c r="G519" t="s">
        <v>533</v>
      </c>
      <c r="H519" t="s">
        <v>462</v>
      </c>
      <c r="I519">
        <f t="shared" si="25"/>
        <v>1969</v>
      </c>
      <c r="J519" s="229">
        <v>8666</v>
      </c>
      <c r="K519" s="254">
        <v>89966</v>
      </c>
      <c r="L519" s="254">
        <v>70759.399999999994</v>
      </c>
      <c r="M519" s="254">
        <v>19206.599999999999</v>
      </c>
      <c r="N519" s="255">
        <v>82</v>
      </c>
      <c r="O519" s="256">
        <v>711</v>
      </c>
      <c r="P519" s="254">
        <f t="shared" si="26"/>
        <v>780071.04878048773</v>
      </c>
    </row>
    <row r="520" spans="1:16" x14ac:dyDescent="0.2">
      <c r="A520" t="s">
        <v>553</v>
      </c>
      <c r="B520" s="253">
        <v>8</v>
      </c>
      <c r="C520" s="257" t="s">
        <v>494</v>
      </c>
      <c r="D520" s="257" t="str">
        <f t="shared" si="24"/>
        <v>8 ST</v>
      </c>
      <c r="E520" t="s">
        <v>543</v>
      </c>
      <c r="F520" t="s">
        <v>544</v>
      </c>
      <c r="G520" t="s">
        <v>531</v>
      </c>
      <c r="H520" t="s">
        <v>462</v>
      </c>
      <c r="I520">
        <f t="shared" si="25"/>
        <v>1970</v>
      </c>
      <c r="J520" s="229">
        <v>11541</v>
      </c>
      <c r="K520" s="254">
        <v>90407.99</v>
      </c>
      <c r="L520" s="254">
        <v>69842.8</v>
      </c>
      <c r="M520" s="254">
        <v>20565.189999999999</v>
      </c>
      <c r="N520" s="255">
        <v>86</v>
      </c>
      <c r="O520" s="256">
        <v>711</v>
      </c>
      <c r="P520" s="254">
        <f t="shared" si="26"/>
        <v>747442.80104651162</v>
      </c>
    </row>
    <row r="521" spans="1:16" x14ac:dyDescent="0.2">
      <c r="A521" t="s">
        <v>553</v>
      </c>
      <c r="B521" s="253">
        <v>8</v>
      </c>
      <c r="C521" s="257" t="s">
        <v>494</v>
      </c>
      <c r="D521" s="257" t="str">
        <f t="shared" si="24"/>
        <v>8 ST</v>
      </c>
      <c r="E521" t="s">
        <v>543</v>
      </c>
      <c r="F521" t="s">
        <v>544</v>
      </c>
      <c r="G521" t="s">
        <v>508</v>
      </c>
      <c r="H521" t="s">
        <v>462</v>
      </c>
      <c r="I521">
        <f t="shared" si="25"/>
        <v>1961</v>
      </c>
      <c r="J521" s="229">
        <v>12271</v>
      </c>
      <c r="K521" s="254">
        <v>73038</v>
      </c>
      <c r="L521" s="254">
        <v>64518.74</v>
      </c>
      <c r="M521" s="254">
        <v>8519.26</v>
      </c>
      <c r="N521" s="255">
        <v>63</v>
      </c>
      <c r="O521" s="256">
        <v>711</v>
      </c>
      <c r="P521" s="254">
        <f t="shared" si="26"/>
        <v>824286</v>
      </c>
    </row>
    <row r="522" spans="1:16" x14ac:dyDescent="0.2">
      <c r="A522" t="s">
        <v>553</v>
      </c>
      <c r="B522" s="253">
        <v>8</v>
      </c>
      <c r="C522" s="257" t="s">
        <v>494</v>
      </c>
      <c r="D522" s="257" t="str">
        <f t="shared" si="24"/>
        <v>8 ST</v>
      </c>
      <c r="E522" t="s">
        <v>543</v>
      </c>
      <c r="F522" t="s">
        <v>544</v>
      </c>
      <c r="G522" t="s">
        <v>520</v>
      </c>
      <c r="H522" t="s">
        <v>462</v>
      </c>
      <c r="I522">
        <f t="shared" si="25"/>
        <v>1981</v>
      </c>
      <c r="J522" s="229">
        <v>13278</v>
      </c>
      <c r="K522" s="254">
        <v>327792</v>
      </c>
      <c r="L522" s="254">
        <v>196333.74</v>
      </c>
      <c r="M522" s="254">
        <v>131458.26</v>
      </c>
      <c r="N522" s="255">
        <v>231</v>
      </c>
      <c r="O522" s="256">
        <v>711</v>
      </c>
      <c r="P522" s="254">
        <f t="shared" si="26"/>
        <v>1008918.2337662337</v>
      </c>
    </row>
    <row r="523" spans="1:16" x14ac:dyDescent="0.2">
      <c r="A523" t="s">
        <v>553</v>
      </c>
      <c r="B523" s="253">
        <v>8</v>
      </c>
      <c r="C523" s="257" t="s">
        <v>494</v>
      </c>
      <c r="D523" s="257" t="str">
        <f t="shared" si="24"/>
        <v>8 ST</v>
      </c>
      <c r="E523" t="s">
        <v>543</v>
      </c>
      <c r="F523" t="s">
        <v>544</v>
      </c>
      <c r="G523" t="s">
        <v>527</v>
      </c>
      <c r="H523" t="s">
        <v>462</v>
      </c>
      <c r="I523">
        <f t="shared" si="25"/>
        <v>1971</v>
      </c>
      <c r="J523" s="229">
        <v>17317</v>
      </c>
      <c r="K523" s="254">
        <v>132009</v>
      </c>
      <c r="L523" s="254">
        <v>100098.02</v>
      </c>
      <c r="M523" s="254">
        <v>31910.98</v>
      </c>
      <c r="N523" s="255">
        <v>92</v>
      </c>
      <c r="O523" s="256">
        <v>711</v>
      </c>
      <c r="P523" s="254">
        <f t="shared" si="26"/>
        <v>1020199.9891304348</v>
      </c>
    </row>
    <row r="524" spans="1:16" x14ac:dyDescent="0.2">
      <c r="A524" t="s">
        <v>553</v>
      </c>
      <c r="B524" s="253">
        <v>8</v>
      </c>
      <c r="C524" s="257" t="s">
        <v>494</v>
      </c>
      <c r="D524" s="257" t="str">
        <f t="shared" si="24"/>
        <v>8 ST</v>
      </c>
      <c r="E524" t="s">
        <v>543</v>
      </c>
      <c r="F524" t="s">
        <v>544</v>
      </c>
      <c r="G524" t="s">
        <v>532</v>
      </c>
      <c r="H524" t="s">
        <v>462</v>
      </c>
      <c r="I524">
        <f t="shared" si="25"/>
        <v>1967</v>
      </c>
      <c r="J524" s="229">
        <v>18721</v>
      </c>
      <c r="K524" s="254">
        <v>124756</v>
      </c>
      <c r="L524" s="254">
        <v>101503.8</v>
      </c>
      <c r="M524" s="254">
        <v>23252.2</v>
      </c>
      <c r="N524" s="255">
        <v>75</v>
      </c>
      <c r="O524" s="256">
        <v>711</v>
      </c>
      <c r="P524" s="254">
        <f t="shared" si="26"/>
        <v>1182686.8800000001</v>
      </c>
    </row>
    <row r="525" spans="1:16" x14ac:dyDescent="0.2">
      <c r="A525" t="s">
        <v>553</v>
      </c>
      <c r="B525" s="253">
        <v>8</v>
      </c>
      <c r="C525" s="257" t="s">
        <v>494</v>
      </c>
      <c r="D525" s="257" t="str">
        <f t="shared" si="24"/>
        <v>8 ST</v>
      </c>
      <c r="E525" t="s">
        <v>543</v>
      </c>
      <c r="F525" t="s">
        <v>544</v>
      </c>
      <c r="G525" t="s">
        <v>547</v>
      </c>
      <c r="H525" t="s">
        <v>462</v>
      </c>
      <c r="I525">
        <f t="shared" si="25"/>
        <v>1956</v>
      </c>
      <c r="J525" s="229">
        <v>21484</v>
      </c>
      <c r="K525" s="254">
        <v>129620.09</v>
      </c>
      <c r="L525" s="254">
        <v>119874.48</v>
      </c>
      <c r="M525" s="254">
        <v>9745.61</v>
      </c>
      <c r="N525" s="255">
        <v>48</v>
      </c>
      <c r="O525" s="256">
        <v>711</v>
      </c>
      <c r="P525" s="254">
        <f t="shared" si="26"/>
        <v>1919997.5831249999</v>
      </c>
    </row>
    <row r="526" spans="1:16" x14ac:dyDescent="0.2">
      <c r="A526" t="s">
        <v>553</v>
      </c>
      <c r="B526" s="253">
        <v>8</v>
      </c>
      <c r="C526" s="257" t="s">
        <v>494</v>
      </c>
      <c r="D526" s="257" t="str">
        <f t="shared" si="24"/>
        <v>8 ST</v>
      </c>
      <c r="E526" t="s">
        <v>543</v>
      </c>
      <c r="F526" t="s">
        <v>544</v>
      </c>
      <c r="G526" t="s">
        <v>509</v>
      </c>
      <c r="H526" t="s">
        <v>462</v>
      </c>
      <c r="I526">
        <f t="shared" si="25"/>
        <v>1964</v>
      </c>
      <c r="J526" s="229">
        <v>22227</v>
      </c>
      <c r="K526" s="254">
        <v>95755</v>
      </c>
      <c r="L526" s="254">
        <v>81503.740000000005</v>
      </c>
      <c r="M526" s="254">
        <v>14251.26</v>
      </c>
      <c r="N526" s="255">
        <v>67</v>
      </c>
      <c r="O526" s="256">
        <v>711</v>
      </c>
      <c r="P526" s="254">
        <f t="shared" si="26"/>
        <v>1016146.3432835821</v>
      </c>
    </row>
    <row r="527" spans="1:16" x14ac:dyDescent="0.2">
      <c r="A527" t="s">
        <v>553</v>
      </c>
      <c r="B527" s="253">
        <v>8</v>
      </c>
      <c r="C527" s="257" t="s">
        <v>494</v>
      </c>
      <c r="D527" s="257" t="str">
        <f t="shared" si="24"/>
        <v>8 ST</v>
      </c>
      <c r="E527" t="s">
        <v>543</v>
      </c>
      <c r="F527" t="s">
        <v>544</v>
      </c>
      <c r="G527" t="s">
        <v>519</v>
      </c>
      <c r="H527" t="s">
        <v>462</v>
      </c>
      <c r="I527">
        <f t="shared" si="25"/>
        <v>1979</v>
      </c>
      <c r="J527" s="229">
        <v>24587</v>
      </c>
      <c r="K527" s="254">
        <v>479891</v>
      </c>
      <c r="L527" s="254">
        <v>303888</v>
      </c>
      <c r="M527" s="254">
        <v>176003</v>
      </c>
      <c r="N527" s="255">
        <v>187</v>
      </c>
      <c r="O527" s="256">
        <v>711</v>
      </c>
      <c r="P527" s="254">
        <f>+(O527/N527)*K527</f>
        <v>1824612.3048128344</v>
      </c>
    </row>
    <row r="528" spans="1:16" x14ac:dyDescent="0.2">
      <c r="A528" t="s">
        <v>553</v>
      </c>
      <c r="B528" s="253">
        <v>8</v>
      </c>
      <c r="C528" s="257" t="s">
        <v>494</v>
      </c>
      <c r="D528" s="257" t="str">
        <f t="shared" si="24"/>
        <v>8 ST</v>
      </c>
      <c r="E528" t="s">
        <v>543</v>
      </c>
      <c r="F528" t="s">
        <v>544</v>
      </c>
      <c r="G528" t="s">
        <v>534</v>
      </c>
      <c r="H528" t="s">
        <v>462</v>
      </c>
      <c r="I528">
        <f t="shared" si="25"/>
        <v>1966</v>
      </c>
      <c r="J528" s="229">
        <v>25090</v>
      </c>
      <c r="K528" s="254">
        <v>194981</v>
      </c>
      <c r="L528" s="254">
        <v>161177.43</v>
      </c>
      <c r="M528" s="254">
        <v>33803.57</v>
      </c>
      <c r="N528" s="255">
        <v>72</v>
      </c>
      <c r="O528" s="256">
        <v>711</v>
      </c>
      <c r="P528" s="254">
        <f>+(O528/N528)*K528</f>
        <v>1925437.375</v>
      </c>
    </row>
    <row r="529" spans="1:16" x14ac:dyDescent="0.2">
      <c r="A529" t="s">
        <v>553</v>
      </c>
      <c r="B529" s="253">
        <v>8</v>
      </c>
      <c r="C529" s="257" t="s">
        <v>494</v>
      </c>
      <c r="D529" s="257" t="str">
        <f t="shared" si="24"/>
        <v>8 ST</v>
      </c>
      <c r="E529" t="s">
        <v>543</v>
      </c>
      <c r="F529" t="s">
        <v>544</v>
      </c>
      <c r="G529" t="s">
        <v>465</v>
      </c>
      <c r="H529" t="s">
        <v>462</v>
      </c>
      <c r="I529">
        <f t="shared" si="25"/>
        <v>1991</v>
      </c>
      <c r="J529" s="229">
        <v>33968</v>
      </c>
      <c r="K529" s="254">
        <v>1319454</v>
      </c>
      <c r="L529" s="254">
        <v>545161.78</v>
      </c>
      <c r="M529" s="254">
        <v>774292.22</v>
      </c>
      <c r="N529" s="255">
        <v>312</v>
      </c>
      <c r="O529" s="256">
        <v>711</v>
      </c>
      <c r="P529" s="254">
        <f>+(O529/N529)*K529</f>
        <v>3006832.673076923</v>
      </c>
    </row>
    <row r="530" spans="1:16" x14ac:dyDescent="0.2">
      <c r="A530" t="s">
        <v>553</v>
      </c>
      <c r="B530" s="253">
        <v>8</v>
      </c>
      <c r="C530" s="257" t="s">
        <v>494</v>
      </c>
      <c r="D530" s="257" t="str">
        <f t="shared" si="24"/>
        <v>8 ST</v>
      </c>
      <c r="E530" t="s">
        <v>543</v>
      </c>
      <c r="F530" t="s">
        <v>544</v>
      </c>
      <c r="G530" t="s">
        <v>524</v>
      </c>
      <c r="H530" t="s">
        <v>462</v>
      </c>
      <c r="I530">
        <f t="shared" si="25"/>
        <v>1975</v>
      </c>
      <c r="J530" s="259">
        <v>35274</v>
      </c>
      <c r="K530" s="260">
        <v>309230</v>
      </c>
      <c r="L530" s="260">
        <v>215914.36</v>
      </c>
      <c r="M530" s="260">
        <v>93315.64</v>
      </c>
      <c r="N530" s="255">
        <v>134</v>
      </c>
      <c r="O530" s="256">
        <v>711</v>
      </c>
      <c r="P530" s="260">
        <f>+(O530/N530)*K530</f>
        <v>1640765.1492537314</v>
      </c>
    </row>
    <row r="531" spans="1:16" x14ac:dyDescent="0.2">
      <c r="A531" t="s">
        <v>554</v>
      </c>
      <c r="C531" s="257"/>
      <c r="D531" s="257"/>
      <c r="J531" s="229">
        <f>SUM(J2:J530)</f>
        <v>24487806</v>
      </c>
      <c r="K531" s="229">
        <f>SUM(K2:K530)</f>
        <v>520450454.63999999</v>
      </c>
      <c r="L531" s="229">
        <f>SUM(L2:L530)</f>
        <v>172441381.59000012</v>
      </c>
      <c r="M531" s="229">
        <f>SUM(M2:M530)</f>
        <v>348009073.05000031</v>
      </c>
      <c r="N531" s="261"/>
      <c r="O531" s="262"/>
      <c r="P531" s="254">
        <f>SUM(P2:P530)</f>
        <v>1400946469.8783746</v>
      </c>
    </row>
    <row r="532" spans="1:16" x14ac:dyDescent="0.2">
      <c r="C532" s="257"/>
      <c r="D532" s="257"/>
      <c r="N532" s="255"/>
      <c r="O532" s="256"/>
    </row>
    <row r="533" spans="1:16" x14ac:dyDescent="0.2">
      <c r="C533" s="257"/>
      <c r="D533" s="257"/>
      <c r="N533" s="255"/>
      <c r="O533" s="256"/>
    </row>
    <row r="534" spans="1:16" x14ac:dyDescent="0.2">
      <c r="A534" t="s">
        <v>555</v>
      </c>
      <c r="B534" s="253">
        <v>1.125</v>
      </c>
      <c r="C534" s="257" t="s">
        <v>556</v>
      </c>
      <c r="D534" s="257" t="str">
        <f t="shared" ref="D534:D597" si="27">B534&amp;" "&amp;C534</f>
        <v>1.125 PE</v>
      </c>
      <c r="E534" t="s">
        <v>482</v>
      </c>
      <c r="F534" t="s">
        <v>483</v>
      </c>
      <c r="G534" t="s">
        <v>468</v>
      </c>
      <c r="H534" t="s">
        <v>462</v>
      </c>
      <c r="I534">
        <f t="shared" ref="I534:I597" si="28">+G534*1</f>
        <v>2009</v>
      </c>
      <c r="J534" s="229">
        <v>2</v>
      </c>
      <c r="K534" s="254">
        <v>205.75</v>
      </c>
      <c r="L534" s="254">
        <v>7.96</v>
      </c>
      <c r="M534" s="254">
        <v>197.79</v>
      </c>
      <c r="N534" s="255">
        <v>502</v>
      </c>
      <c r="O534" s="256">
        <v>491</v>
      </c>
      <c r="P534" s="254">
        <f t="shared" ref="P534:P597" si="29">+(O534/N534)*K534</f>
        <v>201.24153386454185</v>
      </c>
    </row>
    <row r="535" spans="1:16" x14ac:dyDescent="0.2">
      <c r="A535" t="s">
        <v>555</v>
      </c>
      <c r="B535" s="253">
        <v>1.125</v>
      </c>
      <c r="C535" s="257" t="s">
        <v>556</v>
      </c>
      <c r="D535" s="257" t="str">
        <f t="shared" si="27"/>
        <v>1.125 PE</v>
      </c>
      <c r="E535" t="s">
        <v>482</v>
      </c>
      <c r="F535" t="s">
        <v>483</v>
      </c>
      <c r="G535" t="s">
        <v>468</v>
      </c>
      <c r="H535" t="s">
        <v>462</v>
      </c>
      <c r="I535">
        <f t="shared" si="28"/>
        <v>2009</v>
      </c>
      <c r="J535" s="229">
        <v>6</v>
      </c>
      <c r="K535" s="254">
        <v>2093.5700000000002</v>
      </c>
      <c r="L535" s="254">
        <v>81.010000000000005</v>
      </c>
      <c r="M535" s="254">
        <v>2012.56</v>
      </c>
      <c r="N535" s="255">
        <v>502</v>
      </c>
      <c r="O535" s="256">
        <v>491</v>
      </c>
      <c r="P535" s="254">
        <f t="shared" si="29"/>
        <v>2047.6949601593628</v>
      </c>
    </row>
    <row r="536" spans="1:16" x14ac:dyDescent="0.2">
      <c r="A536" t="s">
        <v>555</v>
      </c>
      <c r="B536" s="253">
        <v>1.125</v>
      </c>
      <c r="C536" s="257" t="s">
        <v>556</v>
      </c>
      <c r="D536" s="257" t="str">
        <f t="shared" si="27"/>
        <v>1.125 PE</v>
      </c>
      <c r="E536" t="s">
        <v>482</v>
      </c>
      <c r="F536" t="s">
        <v>483</v>
      </c>
      <c r="G536" t="s">
        <v>469</v>
      </c>
      <c r="H536" t="s">
        <v>462</v>
      </c>
      <c r="I536">
        <f t="shared" si="28"/>
        <v>2010</v>
      </c>
      <c r="J536" s="229">
        <v>9</v>
      </c>
      <c r="K536" s="254">
        <v>40.46</v>
      </c>
      <c r="L536" s="254">
        <v>0.54</v>
      </c>
      <c r="M536" s="254">
        <v>39.92</v>
      </c>
      <c r="N536" s="255">
        <v>491</v>
      </c>
      <c r="O536" s="256">
        <v>491</v>
      </c>
      <c r="P536" s="254">
        <f t="shared" si="29"/>
        <v>40.46</v>
      </c>
    </row>
    <row r="537" spans="1:16" x14ac:dyDescent="0.2">
      <c r="A537" t="s">
        <v>555</v>
      </c>
      <c r="B537" s="253">
        <v>1.125</v>
      </c>
      <c r="C537" s="257" t="s">
        <v>556</v>
      </c>
      <c r="D537" s="257" t="str">
        <f t="shared" si="27"/>
        <v>1.125 PE</v>
      </c>
      <c r="E537" t="s">
        <v>482</v>
      </c>
      <c r="F537" t="s">
        <v>483</v>
      </c>
      <c r="G537" t="s">
        <v>469</v>
      </c>
      <c r="H537" t="s">
        <v>462</v>
      </c>
      <c r="I537">
        <f t="shared" si="28"/>
        <v>2010</v>
      </c>
      <c r="J537" s="229">
        <v>10</v>
      </c>
      <c r="K537" s="254">
        <v>-0.01</v>
      </c>
      <c r="L537" s="254">
        <v>0</v>
      </c>
      <c r="M537" s="254">
        <v>-0.01</v>
      </c>
      <c r="N537" s="255">
        <v>491</v>
      </c>
      <c r="O537" s="256">
        <v>491</v>
      </c>
      <c r="P537" s="254">
        <f t="shared" si="29"/>
        <v>-0.01</v>
      </c>
    </row>
    <row r="538" spans="1:16" x14ac:dyDescent="0.2">
      <c r="A538" t="s">
        <v>555</v>
      </c>
      <c r="B538" s="253">
        <v>1.125</v>
      </c>
      <c r="C538" s="257" t="s">
        <v>556</v>
      </c>
      <c r="D538" s="257" t="str">
        <f t="shared" si="27"/>
        <v>1.125 PE</v>
      </c>
      <c r="E538" t="s">
        <v>482</v>
      </c>
      <c r="F538" t="s">
        <v>483</v>
      </c>
      <c r="G538" t="s">
        <v>461</v>
      </c>
      <c r="H538" t="s">
        <v>462</v>
      </c>
      <c r="I538">
        <f t="shared" si="28"/>
        <v>2008</v>
      </c>
      <c r="J538" s="229">
        <v>16</v>
      </c>
      <c r="K538" s="254">
        <v>1399.99</v>
      </c>
      <c r="L538" s="254">
        <v>88.88</v>
      </c>
      <c r="M538" s="254">
        <v>1311.11</v>
      </c>
      <c r="N538" s="255">
        <v>474</v>
      </c>
      <c r="O538" s="256">
        <v>491</v>
      </c>
      <c r="P538" s="254">
        <f t="shared" si="29"/>
        <v>1450.2006118143458</v>
      </c>
    </row>
    <row r="539" spans="1:16" x14ac:dyDescent="0.2">
      <c r="A539" t="s">
        <v>555</v>
      </c>
      <c r="B539" s="253">
        <v>1.125</v>
      </c>
      <c r="C539" s="257" t="s">
        <v>556</v>
      </c>
      <c r="D539" s="257" t="str">
        <f t="shared" si="27"/>
        <v>1.125 PE</v>
      </c>
      <c r="E539" t="s">
        <v>482</v>
      </c>
      <c r="F539" t="s">
        <v>483</v>
      </c>
      <c r="G539" t="s">
        <v>470</v>
      </c>
      <c r="H539" t="s">
        <v>462</v>
      </c>
      <c r="I539">
        <f t="shared" si="28"/>
        <v>2007</v>
      </c>
      <c r="J539" s="229">
        <v>25</v>
      </c>
      <c r="K539" s="254">
        <v>4660.13</v>
      </c>
      <c r="L539" s="254">
        <v>410.41</v>
      </c>
      <c r="M539" s="254">
        <v>4249.72</v>
      </c>
      <c r="N539" s="255">
        <v>455</v>
      </c>
      <c r="O539" s="256">
        <v>491</v>
      </c>
      <c r="P539" s="254">
        <f t="shared" si="29"/>
        <v>5028.8435824175822</v>
      </c>
    </row>
    <row r="540" spans="1:16" x14ac:dyDescent="0.2">
      <c r="A540" t="s">
        <v>555</v>
      </c>
      <c r="B540" s="253">
        <v>1.125</v>
      </c>
      <c r="C540" s="257" t="s">
        <v>556</v>
      </c>
      <c r="D540" s="257" t="str">
        <f t="shared" si="27"/>
        <v>1.125 PE</v>
      </c>
      <c r="E540" t="s">
        <v>482</v>
      </c>
      <c r="F540" t="s">
        <v>483</v>
      </c>
      <c r="G540" t="s">
        <v>461</v>
      </c>
      <c r="H540" t="s">
        <v>462</v>
      </c>
      <c r="I540">
        <f t="shared" si="28"/>
        <v>2008</v>
      </c>
      <c r="J540" s="229">
        <v>41</v>
      </c>
      <c r="K540" s="254">
        <v>2942.14</v>
      </c>
      <c r="L540" s="254">
        <v>186.78</v>
      </c>
      <c r="M540" s="254">
        <v>2755.36</v>
      </c>
      <c r="N540" s="255">
        <v>474</v>
      </c>
      <c r="O540" s="256">
        <v>491</v>
      </c>
      <c r="P540" s="254">
        <f t="shared" si="29"/>
        <v>3047.6597890295352</v>
      </c>
    </row>
    <row r="541" spans="1:16" x14ac:dyDescent="0.2">
      <c r="A541" t="s">
        <v>555</v>
      </c>
      <c r="B541" s="253">
        <v>1.125</v>
      </c>
      <c r="C541" s="257" t="s">
        <v>556</v>
      </c>
      <c r="D541" s="257" t="str">
        <f t="shared" si="27"/>
        <v>1.125 PE</v>
      </c>
      <c r="E541" t="s">
        <v>482</v>
      </c>
      <c r="F541" t="s">
        <v>483</v>
      </c>
      <c r="G541" t="s">
        <v>469</v>
      </c>
      <c r="H541" t="s">
        <v>462</v>
      </c>
      <c r="I541">
        <f t="shared" si="28"/>
        <v>2010</v>
      </c>
      <c r="J541" s="229">
        <v>45</v>
      </c>
      <c r="K541" s="254">
        <v>8049.67</v>
      </c>
      <c r="L541" s="254">
        <v>106.55</v>
      </c>
      <c r="M541" s="254">
        <v>7943.12</v>
      </c>
      <c r="N541" s="255">
        <v>491</v>
      </c>
      <c r="O541" s="256">
        <v>491</v>
      </c>
      <c r="P541" s="254">
        <f t="shared" si="29"/>
        <v>8049.67</v>
      </c>
    </row>
    <row r="542" spans="1:16" x14ac:dyDescent="0.2">
      <c r="A542" t="s">
        <v>555</v>
      </c>
      <c r="B542" s="253">
        <v>1.125</v>
      </c>
      <c r="C542" s="257" t="s">
        <v>556</v>
      </c>
      <c r="D542" s="257" t="str">
        <f t="shared" si="27"/>
        <v>1.125 PE</v>
      </c>
      <c r="E542" t="s">
        <v>482</v>
      </c>
      <c r="F542" t="s">
        <v>483</v>
      </c>
      <c r="G542" t="s">
        <v>468</v>
      </c>
      <c r="H542" t="s">
        <v>462</v>
      </c>
      <c r="I542">
        <f t="shared" si="28"/>
        <v>2009</v>
      </c>
      <c r="J542" s="229">
        <v>55</v>
      </c>
      <c r="K542" s="254">
        <v>4982.49</v>
      </c>
      <c r="L542" s="254">
        <v>192.81</v>
      </c>
      <c r="M542" s="254">
        <v>4789.68</v>
      </c>
      <c r="N542" s="255">
        <v>502</v>
      </c>
      <c r="O542" s="256">
        <v>491</v>
      </c>
      <c r="P542" s="254">
        <f t="shared" si="29"/>
        <v>4873.3119322709163</v>
      </c>
    </row>
    <row r="543" spans="1:16" x14ac:dyDescent="0.2">
      <c r="A543" t="s">
        <v>555</v>
      </c>
      <c r="B543" s="253">
        <v>1.125</v>
      </c>
      <c r="C543" s="257" t="s">
        <v>556</v>
      </c>
      <c r="D543" s="257" t="str">
        <f t="shared" si="27"/>
        <v>1.125 PE</v>
      </c>
      <c r="E543" t="s">
        <v>482</v>
      </c>
      <c r="F543" t="s">
        <v>483</v>
      </c>
      <c r="G543" t="s">
        <v>477</v>
      </c>
      <c r="H543" t="s">
        <v>462</v>
      </c>
      <c r="I543">
        <f t="shared" si="28"/>
        <v>2006</v>
      </c>
      <c r="J543" s="229">
        <v>174</v>
      </c>
      <c r="K543" s="254">
        <v>21078.65</v>
      </c>
      <c r="L543" s="254">
        <v>2374.63</v>
      </c>
      <c r="M543" s="254">
        <v>18704.02</v>
      </c>
      <c r="N543" s="255">
        <v>434</v>
      </c>
      <c r="O543" s="256">
        <v>491</v>
      </c>
      <c r="P543" s="254">
        <f t="shared" si="29"/>
        <v>23847.044124423966</v>
      </c>
    </row>
    <row r="544" spans="1:16" x14ac:dyDescent="0.2">
      <c r="A544" t="s">
        <v>555</v>
      </c>
      <c r="B544" s="253">
        <v>1.125</v>
      </c>
      <c r="C544" s="257" t="s">
        <v>556</v>
      </c>
      <c r="D544" s="257" t="str">
        <f t="shared" si="27"/>
        <v>1.125 PE</v>
      </c>
      <c r="E544" t="s">
        <v>482</v>
      </c>
      <c r="F544" t="s">
        <v>483</v>
      </c>
      <c r="G544" t="s">
        <v>470</v>
      </c>
      <c r="H544" t="s">
        <v>462</v>
      </c>
      <c r="I544">
        <f t="shared" si="28"/>
        <v>2007</v>
      </c>
      <c r="J544" s="229">
        <v>223</v>
      </c>
      <c r="K544" s="254">
        <v>14515.13</v>
      </c>
      <c r="L544" s="254">
        <v>1278.33</v>
      </c>
      <c r="M544" s="254">
        <v>13236.8</v>
      </c>
      <c r="N544" s="255">
        <v>455</v>
      </c>
      <c r="O544" s="256">
        <v>491</v>
      </c>
      <c r="P544" s="254">
        <f t="shared" si="29"/>
        <v>15663.579846153845</v>
      </c>
    </row>
    <row r="545" spans="1:16" x14ac:dyDescent="0.2">
      <c r="A545" t="s">
        <v>555</v>
      </c>
      <c r="B545" s="253">
        <v>1.125</v>
      </c>
      <c r="C545" s="257" t="s">
        <v>556</v>
      </c>
      <c r="D545" s="257" t="str">
        <f t="shared" si="27"/>
        <v>1.125 PE</v>
      </c>
      <c r="E545" t="s">
        <v>482</v>
      </c>
      <c r="F545" t="s">
        <v>483</v>
      </c>
      <c r="G545" t="s">
        <v>474</v>
      </c>
      <c r="H545" t="s">
        <v>462</v>
      </c>
      <c r="I545">
        <f t="shared" si="28"/>
        <v>2005</v>
      </c>
      <c r="J545" s="229">
        <v>366</v>
      </c>
      <c r="K545" s="254">
        <v>51655.95</v>
      </c>
      <c r="L545" s="254">
        <v>7096.58</v>
      </c>
      <c r="M545" s="254">
        <v>44559.37</v>
      </c>
      <c r="N545" s="255">
        <v>414</v>
      </c>
      <c r="O545" s="256">
        <v>491</v>
      </c>
      <c r="P545" s="254">
        <f t="shared" si="29"/>
        <v>61263.457608695644</v>
      </c>
    </row>
    <row r="546" spans="1:16" x14ac:dyDescent="0.2">
      <c r="A546" t="s">
        <v>555</v>
      </c>
      <c r="B546" s="253">
        <v>1.125</v>
      </c>
      <c r="C546" s="257" t="s">
        <v>556</v>
      </c>
      <c r="D546" s="257" t="str">
        <f t="shared" si="27"/>
        <v>1.125 PE</v>
      </c>
      <c r="E546" t="s">
        <v>482</v>
      </c>
      <c r="F546" t="s">
        <v>483</v>
      </c>
      <c r="G546" t="s">
        <v>473</v>
      </c>
      <c r="H546" t="s">
        <v>462</v>
      </c>
      <c r="I546">
        <f t="shared" si="28"/>
        <v>1997</v>
      </c>
      <c r="J546" s="229">
        <v>667</v>
      </c>
      <c r="K546" s="254">
        <v>4442.01</v>
      </c>
      <c r="L546" s="254">
        <v>1518.75</v>
      </c>
      <c r="M546" s="254">
        <v>2923.26</v>
      </c>
      <c r="N546" s="255">
        <v>341</v>
      </c>
      <c r="O546" s="256">
        <v>491</v>
      </c>
      <c r="P546" s="254">
        <f t="shared" si="29"/>
        <v>6395.9733431085051</v>
      </c>
    </row>
    <row r="547" spans="1:16" x14ac:dyDescent="0.2">
      <c r="A547" t="s">
        <v>555</v>
      </c>
      <c r="B547" s="253">
        <v>1.125</v>
      </c>
      <c r="C547" s="257" t="s">
        <v>556</v>
      </c>
      <c r="D547" s="257" t="str">
        <f t="shared" si="27"/>
        <v>1.125 PE</v>
      </c>
      <c r="E547" t="s">
        <v>482</v>
      </c>
      <c r="F547" t="s">
        <v>483</v>
      </c>
      <c r="G547" t="s">
        <v>480</v>
      </c>
      <c r="H547" t="s">
        <v>462</v>
      </c>
      <c r="I547">
        <f t="shared" si="28"/>
        <v>1999</v>
      </c>
      <c r="J547" s="229">
        <v>1367</v>
      </c>
      <c r="K547" s="254">
        <v>119124</v>
      </c>
      <c r="L547" s="254">
        <v>34534.67</v>
      </c>
      <c r="M547" s="254">
        <v>84589.33</v>
      </c>
      <c r="N547" s="255">
        <v>352</v>
      </c>
      <c r="O547" s="256">
        <v>491</v>
      </c>
      <c r="P547" s="254">
        <f t="shared" si="29"/>
        <v>166164.44318181818</v>
      </c>
    </row>
    <row r="548" spans="1:16" x14ac:dyDescent="0.2">
      <c r="A548" t="s">
        <v>555</v>
      </c>
      <c r="B548" s="253">
        <v>1.125</v>
      </c>
      <c r="C548" s="257" t="s">
        <v>556</v>
      </c>
      <c r="D548" s="257" t="str">
        <f t="shared" si="27"/>
        <v>1.125 PE</v>
      </c>
      <c r="E548" t="s">
        <v>482</v>
      </c>
      <c r="F548" t="s">
        <v>483</v>
      </c>
      <c r="G548" t="s">
        <v>471</v>
      </c>
      <c r="H548" t="s">
        <v>462</v>
      </c>
      <c r="I548">
        <f t="shared" si="28"/>
        <v>2003</v>
      </c>
      <c r="J548" s="229">
        <v>2817</v>
      </c>
      <c r="K548" s="254">
        <v>115239.36</v>
      </c>
      <c r="L548" s="254">
        <v>21598.61</v>
      </c>
      <c r="M548" s="254">
        <v>93640.75</v>
      </c>
      <c r="N548" s="255">
        <v>377</v>
      </c>
      <c r="O548" s="256">
        <v>491</v>
      </c>
      <c r="P548" s="254">
        <f t="shared" si="29"/>
        <v>150086.2752254642</v>
      </c>
    </row>
    <row r="549" spans="1:16" x14ac:dyDescent="0.2">
      <c r="A549" t="s">
        <v>555</v>
      </c>
      <c r="B549" s="253">
        <v>1.125</v>
      </c>
      <c r="C549" s="257" t="s">
        <v>556</v>
      </c>
      <c r="D549" s="257" t="str">
        <f t="shared" si="27"/>
        <v>1.125 PE</v>
      </c>
      <c r="E549" t="s">
        <v>482</v>
      </c>
      <c r="F549" t="s">
        <v>483</v>
      </c>
      <c r="G549" t="s">
        <v>478</v>
      </c>
      <c r="H549" t="s">
        <v>462</v>
      </c>
      <c r="I549">
        <f t="shared" si="28"/>
        <v>2001</v>
      </c>
      <c r="J549" s="229">
        <v>4240</v>
      </c>
      <c r="K549" s="254">
        <v>105698.03</v>
      </c>
      <c r="L549" s="254">
        <v>25189.94</v>
      </c>
      <c r="M549" s="254">
        <v>80508.09</v>
      </c>
      <c r="N549" s="255">
        <v>363</v>
      </c>
      <c r="O549" s="256">
        <v>491</v>
      </c>
      <c r="P549" s="254">
        <f t="shared" si="29"/>
        <v>142968.96068870524</v>
      </c>
    </row>
    <row r="550" spans="1:16" x14ac:dyDescent="0.2">
      <c r="A550" t="s">
        <v>555</v>
      </c>
      <c r="B550" s="253">
        <v>1.125</v>
      </c>
      <c r="C550" s="257" t="s">
        <v>556</v>
      </c>
      <c r="D550" s="257" t="str">
        <f t="shared" si="27"/>
        <v>1.125 PE</v>
      </c>
      <c r="E550" t="s">
        <v>482</v>
      </c>
      <c r="F550" t="s">
        <v>483</v>
      </c>
      <c r="G550" t="s">
        <v>476</v>
      </c>
      <c r="H550" t="s">
        <v>462</v>
      </c>
      <c r="I550">
        <f t="shared" si="28"/>
        <v>2004</v>
      </c>
      <c r="J550" s="229">
        <v>4282</v>
      </c>
      <c r="K550" s="254">
        <v>31232.04</v>
      </c>
      <c r="L550" s="254">
        <v>5068.58</v>
      </c>
      <c r="M550" s="254">
        <v>26163.46</v>
      </c>
      <c r="N550" s="255">
        <v>387</v>
      </c>
      <c r="O550" s="256">
        <v>491</v>
      </c>
      <c r="P550" s="254">
        <f t="shared" si="29"/>
        <v>39625.146356589146</v>
      </c>
    </row>
    <row r="551" spans="1:16" x14ac:dyDescent="0.2">
      <c r="A551" t="s">
        <v>555</v>
      </c>
      <c r="B551" s="253">
        <v>1.125</v>
      </c>
      <c r="C551" s="257" t="s">
        <v>556</v>
      </c>
      <c r="D551" s="257" t="str">
        <f t="shared" si="27"/>
        <v>1.125 PE</v>
      </c>
      <c r="E551" t="s">
        <v>482</v>
      </c>
      <c r="F551" t="s">
        <v>483</v>
      </c>
      <c r="G551" t="s">
        <v>475</v>
      </c>
      <c r="H551" t="s">
        <v>462</v>
      </c>
      <c r="I551">
        <f t="shared" si="28"/>
        <v>2002</v>
      </c>
      <c r="J551" s="229">
        <v>4382</v>
      </c>
      <c r="K551" s="254">
        <v>182109.33</v>
      </c>
      <c r="L551" s="254">
        <v>38748.120000000003</v>
      </c>
      <c r="M551" s="254">
        <v>143361.21</v>
      </c>
      <c r="N551" s="255">
        <v>373</v>
      </c>
      <c r="O551" s="256">
        <v>491</v>
      </c>
      <c r="P551" s="254">
        <f t="shared" si="29"/>
        <v>239720.32447721178</v>
      </c>
    </row>
    <row r="552" spans="1:16" x14ac:dyDescent="0.2">
      <c r="A552" t="s">
        <v>555</v>
      </c>
      <c r="B552" s="253">
        <v>1.125</v>
      </c>
      <c r="C552" s="257" t="s">
        <v>556</v>
      </c>
      <c r="D552" s="257" t="str">
        <f t="shared" si="27"/>
        <v>1.125 PE</v>
      </c>
      <c r="E552" t="s">
        <v>482</v>
      </c>
      <c r="F552" t="s">
        <v>483</v>
      </c>
      <c r="G552" t="s">
        <v>479</v>
      </c>
      <c r="H552" t="s">
        <v>462</v>
      </c>
      <c r="I552">
        <f t="shared" si="28"/>
        <v>1998</v>
      </c>
      <c r="J552" s="229">
        <v>7079</v>
      </c>
      <c r="K552" s="254">
        <v>12990.54</v>
      </c>
      <c r="L552" s="254">
        <v>4103.3900000000003</v>
      </c>
      <c r="M552" s="254">
        <v>8887.15</v>
      </c>
      <c r="N552" s="255">
        <v>346</v>
      </c>
      <c r="O552" s="256">
        <v>491</v>
      </c>
      <c r="P552" s="254">
        <f t="shared" si="29"/>
        <v>18434.552427745664</v>
      </c>
    </row>
    <row r="553" spans="1:16" x14ac:dyDescent="0.2">
      <c r="A553" t="s">
        <v>555</v>
      </c>
      <c r="B553" s="253">
        <v>1.125</v>
      </c>
      <c r="C553" s="257" t="s">
        <v>556</v>
      </c>
      <c r="D553" s="257" t="str">
        <f t="shared" si="27"/>
        <v>1.125 PE</v>
      </c>
      <c r="E553" t="s">
        <v>482</v>
      </c>
      <c r="F553" t="s">
        <v>483</v>
      </c>
      <c r="G553" t="s">
        <v>472</v>
      </c>
      <c r="H553" t="s">
        <v>462</v>
      </c>
      <c r="I553">
        <f t="shared" si="28"/>
        <v>2000</v>
      </c>
      <c r="J553" s="229">
        <v>8386</v>
      </c>
      <c r="K553" s="254">
        <v>73443.45</v>
      </c>
      <c r="L553" s="254">
        <v>19391.59</v>
      </c>
      <c r="M553" s="254">
        <v>54051.86</v>
      </c>
      <c r="N553" s="255">
        <v>356</v>
      </c>
      <c r="O553" s="256">
        <v>491</v>
      </c>
      <c r="P553" s="254">
        <f t="shared" si="29"/>
        <v>101294.19648876404</v>
      </c>
    </row>
    <row r="554" spans="1:16" x14ac:dyDescent="0.2">
      <c r="A554" t="s">
        <v>555</v>
      </c>
      <c r="B554" s="253">
        <v>1.125</v>
      </c>
      <c r="C554" s="257" t="s">
        <v>556</v>
      </c>
      <c r="D554" s="257" t="str">
        <f t="shared" si="27"/>
        <v>1.125 PE</v>
      </c>
      <c r="E554" t="s">
        <v>482</v>
      </c>
      <c r="F554" t="s">
        <v>483</v>
      </c>
      <c r="G554" s="13">
        <v>2010</v>
      </c>
      <c r="H554" t="s">
        <v>462</v>
      </c>
      <c r="I554">
        <f t="shared" si="28"/>
        <v>2010</v>
      </c>
      <c r="J554" s="229">
        <v>4</v>
      </c>
      <c r="K554" s="254">
        <v>439.24</v>
      </c>
      <c r="M554" s="263">
        <f>+K554-L554</f>
        <v>439.24</v>
      </c>
      <c r="N554" s="255">
        <v>491</v>
      </c>
      <c r="O554" s="256">
        <v>491</v>
      </c>
      <c r="P554" s="254">
        <f t="shared" si="29"/>
        <v>439.24</v>
      </c>
    </row>
    <row r="555" spans="1:16" x14ac:dyDescent="0.2">
      <c r="A555" t="s">
        <v>557</v>
      </c>
      <c r="B555" s="253">
        <v>1.25</v>
      </c>
      <c r="C555" s="257" t="s">
        <v>556</v>
      </c>
      <c r="D555" s="257" t="str">
        <f t="shared" si="27"/>
        <v>1.25 PE</v>
      </c>
      <c r="E555" t="s">
        <v>482</v>
      </c>
      <c r="F555" t="s">
        <v>483</v>
      </c>
      <c r="G555" t="s">
        <v>470</v>
      </c>
      <c r="H555" t="s">
        <v>462</v>
      </c>
      <c r="I555">
        <f t="shared" si="28"/>
        <v>2007</v>
      </c>
      <c r="J555" s="229">
        <v>0</v>
      </c>
      <c r="K555" s="254">
        <v>43.35</v>
      </c>
      <c r="L555" s="254">
        <v>3.82</v>
      </c>
      <c r="M555" s="254">
        <v>39.53</v>
      </c>
      <c r="N555" s="255">
        <v>455</v>
      </c>
      <c r="O555" s="256">
        <v>491</v>
      </c>
      <c r="P555" s="254">
        <f t="shared" si="29"/>
        <v>46.779890109890111</v>
      </c>
    </row>
    <row r="556" spans="1:16" x14ac:dyDescent="0.2">
      <c r="A556" t="s">
        <v>557</v>
      </c>
      <c r="B556" s="253">
        <v>1.25</v>
      </c>
      <c r="C556" s="257" t="s">
        <v>556</v>
      </c>
      <c r="D556" s="257" t="str">
        <f t="shared" si="27"/>
        <v>1.25 PE</v>
      </c>
      <c r="E556" t="s">
        <v>482</v>
      </c>
      <c r="F556" t="s">
        <v>483</v>
      </c>
      <c r="G556" t="s">
        <v>470</v>
      </c>
      <c r="H556" t="s">
        <v>462</v>
      </c>
      <c r="I556">
        <f t="shared" si="28"/>
        <v>2007</v>
      </c>
      <c r="J556" s="229">
        <v>0</v>
      </c>
      <c r="K556" s="254">
        <v>0.91</v>
      </c>
      <c r="L556" s="254">
        <v>0.08</v>
      </c>
      <c r="M556" s="254">
        <v>0.83</v>
      </c>
      <c r="N556" s="255">
        <v>455</v>
      </c>
      <c r="O556" s="256">
        <v>491</v>
      </c>
      <c r="P556" s="254">
        <f t="shared" si="29"/>
        <v>0.98199999999999998</v>
      </c>
    </row>
    <row r="557" spans="1:16" x14ac:dyDescent="0.2">
      <c r="A557" t="s">
        <v>557</v>
      </c>
      <c r="B557" s="253">
        <v>1.25</v>
      </c>
      <c r="C557" s="257" t="s">
        <v>556</v>
      </c>
      <c r="D557" s="257" t="str">
        <f t="shared" si="27"/>
        <v>1.25 PE</v>
      </c>
      <c r="E557" t="s">
        <v>482</v>
      </c>
      <c r="F557" t="s">
        <v>483</v>
      </c>
      <c r="G557" t="s">
        <v>470</v>
      </c>
      <c r="H557" t="s">
        <v>462</v>
      </c>
      <c r="I557">
        <f t="shared" si="28"/>
        <v>2007</v>
      </c>
      <c r="J557" s="229">
        <v>7</v>
      </c>
      <c r="K557" s="254">
        <v>2198.7399999999998</v>
      </c>
      <c r="L557" s="254">
        <v>193.64</v>
      </c>
      <c r="M557" s="254">
        <v>2005.1</v>
      </c>
      <c r="N557" s="255">
        <v>455</v>
      </c>
      <c r="O557" s="256">
        <v>491</v>
      </c>
      <c r="P557" s="254">
        <f t="shared" si="29"/>
        <v>2372.7062417582415</v>
      </c>
    </row>
    <row r="558" spans="1:16" x14ac:dyDescent="0.2">
      <c r="A558" t="s">
        <v>557</v>
      </c>
      <c r="B558" s="253">
        <v>1.25</v>
      </c>
      <c r="C558" s="257" t="s">
        <v>556</v>
      </c>
      <c r="D558" s="257" t="str">
        <f t="shared" si="27"/>
        <v>1.25 PE</v>
      </c>
      <c r="E558" t="s">
        <v>482</v>
      </c>
      <c r="F558" t="s">
        <v>483</v>
      </c>
      <c r="G558" t="s">
        <v>470</v>
      </c>
      <c r="H558" t="s">
        <v>462</v>
      </c>
      <c r="I558">
        <f t="shared" si="28"/>
        <v>2007</v>
      </c>
      <c r="J558" s="229">
        <v>7</v>
      </c>
      <c r="K558" s="254">
        <v>846.79</v>
      </c>
      <c r="L558" s="254">
        <v>74.58</v>
      </c>
      <c r="M558" s="254">
        <v>772.21</v>
      </c>
      <c r="N558" s="255">
        <v>455</v>
      </c>
      <c r="O558" s="256">
        <v>491</v>
      </c>
      <c r="P558" s="254">
        <f t="shared" si="29"/>
        <v>913.78876923076916</v>
      </c>
    </row>
    <row r="559" spans="1:16" x14ac:dyDescent="0.2">
      <c r="A559" t="s">
        <v>557</v>
      </c>
      <c r="B559" s="253">
        <v>1.25</v>
      </c>
      <c r="C559" s="257" t="s">
        <v>556</v>
      </c>
      <c r="D559" s="257" t="str">
        <f t="shared" si="27"/>
        <v>1.25 PE</v>
      </c>
      <c r="E559" t="s">
        <v>482</v>
      </c>
      <c r="F559" t="s">
        <v>483</v>
      </c>
      <c r="G559" t="s">
        <v>461</v>
      </c>
      <c r="H559" t="s">
        <v>462</v>
      </c>
      <c r="I559">
        <f t="shared" si="28"/>
        <v>2008</v>
      </c>
      <c r="J559" s="229">
        <v>12</v>
      </c>
      <c r="K559" s="254">
        <v>3558.37</v>
      </c>
      <c r="L559" s="254">
        <v>225.91</v>
      </c>
      <c r="M559" s="254">
        <v>3332.46</v>
      </c>
      <c r="N559" s="255">
        <v>474</v>
      </c>
      <c r="O559" s="256">
        <v>491</v>
      </c>
      <c r="P559" s="254">
        <f t="shared" si="29"/>
        <v>3685.9908649789027</v>
      </c>
    </row>
    <row r="560" spans="1:16" x14ac:dyDescent="0.2">
      <c r="A560" t="s">
        <v>557</v>
      </c>
      <c r="B560" s="253">
        <v>1.25</v>
      </c>
      <c r="C560" s="257" t="s">
        <v>556</v>
      </c>
      <c r="D560" s="257" t="str">
        <f t="shared" si="27"/>
        <v>1.25 PE</v>
      </c>
      <c r="E560" t="s">
        <v>482</v>
      </c>
      <c r="F560" t="s">
        <v>483</v>
      </c>
      <c r="G560" t="s">
        <v>469</v>
      </c>
      <c r="H560" t="s">
        <v>462</v>
      </c>
      <c r="I560">
        <f t="shared" si="28"/>
        <v>2010</v>
      </c>
      <c r="J560" s="229">
        <v>36</v>
      </c>
      <c r="K560" s="254">
        <v>6314.92</v>
      </c>
      <c r="L560" s="254">
        <v>83.59</v>
      </c>
      <c r="M560" s="254">
        <v>6231.33</v>
      </c>
      <c r="N560" s="255">
        <v>491</v>
      </c>
      <c r="O560" s="256">
        <v>491</v>
      </c>
      <c r="P560" s="254">
        <f t="shared" si="29"/>
        <v>6314.92</v>
      </c>
    </row>
    <row r="561" spans="1:16" x14ac:dyDescent="0.2">
      <c r="A561" t="s">
        <v>557</v>
      </c>
      <c r="B561" s="253">
        <v>1.25</v>
      </c>
      <c r="C561" s="257" t="s">
        <v>556</v>
      </c>
      <c r="D561" s="257" t="str">
        <f t="shared" si="27"/>
        <v>1.25 PE</v>
      </c>
      <c r="E561" t="s">
        <v>482</v>
      </c>
      <c r="F561" t="s">
        <v>483</v>
      </c>
      <c r="G561" t="s">
        <v>461</v>
      </c>
      <c r="H561" t="s">
        <v>462</v>
      </c>
      <c r="I561">
        <f t="shared" si="28"/>
        <v>2008</v>
      </c>
      <c r="J561" s="229">
        <v>73</v>
      </c>
      <c r="K561" s="254">
        <v>8402.39</v>
      </c>
      <c r="L561" s="254">
        <v>533.42999999999995</v>
      </c>
      <c r="M561" s="254">
        <v>7868.96</v>
      </c>
      <c r="N561" s="255">
        <v>474</v>
      </c>
      <c r="O561" s="256">
        <v>491</v>
      </c>
      <c r="P561" s="254">
        <f t="shared" si="29"/>
        <v>8703.7415400843875</v>
      </c>
    </row>
    <row r="562" spans="1:16" x14ac:dyDescent="0.2">
      <c r="A562" t="s">
        <v>557</v>
      </c>
      <c r="B562" s="253">
        <v>1.25</v>
      </c>
      <c r="C562" s="257" t="s">
        <v>556</v>
      </c>
      <c r="D562" s="257" t="str">
        <f t="shared" si="27"/>
        <v>1.25 PE</v>
      </c>
      <c r="E562" t="s">
        <v>482</v>
      </c>
      <c r="F562" t="s">
        <v>483</v>
      </c>
      <c r="G562" t="s">
        <v>470</v>
      </c>
      <c r="H562" t="s">
        <v>462</v>
      </c>
      <c r="I562">
        <f t="shared" si="28"/>
        <v>2007</v>
      </c>
      <c r="J562" s="229">
        <v>204</v>
      </c>
      <c r="K562" s="254">
        <v>11943.22</v>
      </c>
      <c r="L562" s="254">
        <v>1051.82</v>
      </c>
      <c r="M562" s="254">
        <v>10891.4</v>
      </c>
      <c r="N562" s="255">
        <v>455</v>
      </c>
      <c r="O562" s="256">
        <v>491</v>
      </c>
      <c r="P562" s="254">
        <f t="shared" si="29"/>
        <v>12888.178065934064</v>
      </c>
    </row>
    <row r="563" spans="1:16" x14ac:dyDescent="0.2">
      <c r="A563" t="s">
        <v>557</v>
      </c>
      <c r="B563" s="253">
        <v>1.25</v>
      </c>
      <c r="C563" s="257" t="s">
        <v>556</v>
      </c>
      <c r="D563" s="257" t="str">
        <f t="shared" si="27"/>
        <v>1.25 PE</v>
      </c>
      <c r="E563" t="s">
        <v>482</v>
      </c>
      <c r="F563" t="s">
        <v>483</v>
      </c>
      <c r="G563" t="s">
        <v>468</v>
      </c>
      <c r="H563" t="s">
        <v>462</v>
      </c>
      <c r="I563">
        <f t="shared" si="28"/>
        <v>2009</v>
      </c>
      <c r="J563" s="229">
        <v>236</v>
      </c>
      <c r="K563" s="254">
        <v>33662.28</v>
      </c>
      <c r="L563" s="254">
        <v>1302.6099999999999</v>
      </c>
      <c r="M563" s="254">
        <v>32359.67</v>
      </c>
      <c r="N563" s="255">
        <v>502</v>
      </c>
      <c r="O563" s="256">
        <v>491</v>
      </c>
      <c r="P563" s="254">
        <f t="shared" si="29"/>
        <v>32924.660318725102</v>
      </c>
    </row>
    <row r="564" spans="1:16" x14ac:dyDescent="0.2">
      <c r="A564" t="s">
        <v>557</v>
      </c>
      <c r="B564" s="253">
        <v>1.25</v>
      </c>
      <c r="C564" s="257" t="s">
        <v>556</v>
      </c>
      <c r="D564" s="257" t="str">
        <f t="shared" si="27"/>
        <v>1.25 PE</v>
      </c>
      <c r="E564" t="s">
        <v>482</v>
      </c>
      <c r="F564" t="s">
        <v>483</v>
      </c>
      <c r="G564" t="s">
        <v>469</v>
      </c>
      <c r="H564" t="s">
        <v>462</v>
      </c>
      <c r="I564">
        <f t="shared" si="28"/>
        <v>2010</v>
      </c>
      <c r="J564" s="229">
        <v>665</v>
      </c>
      <c r="K564" s="254">
        <v>257532.42</v>
      </c>
      <c r="L564" s="254">
        <v>3408.78</v>
      </c>
      <c r="M564" s="254">
        <v>254123.64</v>
      </c>
      <c r="N564" s="255">
        <v>491</v>
      </c>
      <c r="O564" s="256">
        <v>491</v>
      </c>
      <c r="P564" s="254">
        <f t="shared" si="29"/>
        <v>257532.42</v>
      </c>
    </row>
    <row r="565" spans="1:16" x14ac:dyDescent="0.2">
      <c r="A565" t="s">
        <v>557</v>
      </c>
      <c r="B565" s="253">
        <v>1.25</v>
      </c>
      <c r="C565" s="257" t="s">
        <v>556</v>
      </c>
      <c r="D565" s="257" t="str">
        <f t="shared" si="27"/>
        <v>1.25 PE</v>
      </c>
      <c r="E565" t="s">
        <v>482</v>
      </c>
      <c r="F565" t="s">
        <v>483</v>
      </c>
      <c r="G565" t="s">
        <v>468</v>
      </c>
      <c r="H565" t="s">
        <v>462</v>
      </c>
      <c r="I565">
        <f t="shared" si="28"/>
        <v>2009</v>
      </c>
      <c r="J565" s="229">
        <v>751</v>
      </c>
      <c r="K565" s="254">
        <v>99410.42</v>
      </c>
      <c r="L565" s="254">
        <v>3846.84</v>
      </c>
      <c r="M565" s="254">
        <v>95563.58</v>
      </c>
      <c r="N565" s="255">
        <v>502</v>
      </c>
      <c r="O565" s="256">
        <v>491</v>
      </c>
      <c r="P565" s="254">
        <f t="shared" si="29"/>
        <v>97232.10402390438</v>
      </c>
    </row>
    <row r="566" spans="1:16" x14ac:dyDescent="0.2">
      <c r="A566" t="s">
        <v>557</v>
      </c>
      <c r="B566" s="253">
        <v>1.25</v>
      </c>
      <c r="C566" s="257" t="s">
        <v>556</v>
      </c>
      <c r="D566" s="257" t="str">
        <f t="shared" si="27"/>
        <v>1.25 PE</v>
      </c>
      <c r="E566" t="s">
        <v>482</v>
      </c>
      <c r="F566" t="s">
        <v>483</v>
      </c>
      <c r="G566" t="s">
        <v>469</v>
      </c>
      <c r="H566" t="s">
        <v>462</v>
      </c>
      <c r="I566">
        <f t="shared" si="28"/>
        <v>2010</v>
      </c>
      <c r="J566" s="229">
        <v>817</v>
      </c>
      <c r="K566" s="254">
        <v>51752.27</v>
      </c>
      <c r="L566" s="254">
        <v>685.01</v>
      </c>
      <c r="M566" s="254">
        <v>51067.26</v>
      </c>
      <c r="N566" s="255">
        <v>491</v>
      </c>
      <c r="O566" s="256">
        <v>491</v>
      </c>
      <c r="P566" s="254">
        <f t="shared" si="29"/>
        <v>51752.27</v>
      </c>
    </row>
    <row r="567" spans="1:16" x14ac:dyDescent="0.2">
      <c r="A567" t="s">
        <v>557</v>
      </c>
      <c r="B567" s="253">
        <v>1.25</v>
      </c>
      <c r="C567" s="257" t="s">
        <v>556</v>
      </c>
      <c r="D567" s="257" t="str">
        <f t="shared" si="27"/>
        <v>1.25 PE</v>
      </c>
      <c r="E567" t="s">
        <v>482</v>
      </c>
      <c r="F567" t="s">
        <v>483</v>
      </c>
      <c r="G567" t="s">
        <v>468</v>
      </c>
      <c r="H567" t="s">
        <v>462</v>
      </c>
      <c r="I567">
        <f t="shared" si="28"/>
        <v>2009</v>
      </c>
      <c r="J567" s="229">
        <v>1009</v>
      </c>
      <c r="K567" s="254">
        <v>68341.119999999995</v>
      </c>
      <c r="L567" s="254">
        <v>2644.57</v>
      </c>
      <c r="M567" s="254">
        <v>65696.55</v>
      </c>
      <c r="N567" s="255">
        <v>502</v>
      </c>
      <c r="O567" s="256">
        <v>491</v>
      </c>
      <c r="P567" s="254">
        <f t="shared" si="29"/>
        <v>66843.605418326697</v>
      </c>
    </row>
    <row r="568" spans="1:16" x14ac:dyDescent="0.2">
      <c r="A568" t="s">
        <v>557</v>
      </c>
      <c r="B568" s="253">
        <v>1.25</v>
      </c>
      <c r="C568" s="257" t="s">
        <v>556</v>
      </c>
      <c r="D568" s="257" t="str">
        <f t="shared" si="27"/>
        <v>1.25 PE</v>
      </c>
      <c r="E568" t="s">
        <v>482</v>
      </c>
      <c r="F568" t="s">
        <v>483</v>
      </c>
      <c r="G568" t="s">
        <v>469</v>
      </c>
      <c r="H568" t="s">
        <v>462</v>
      </c>
      <c r="I568">
        <f t="shared" si="28"/>
        <v>2010</v>
      </c>
      <c r="J568" s="229">
        <v>1245</v>
      </c>
      <c r="K568" s="254">
        <v>73486.960000000006</v>
      </c>
      <c r="L568" s="254">
        <v>972.7</v>
      </c>
      <c r="M568" s="254">
        <v>72514.259999999995</v>
      </c>
      <c r="N568" s="255">
        <v>491</v>
      </c>
      <c r="O568" s="256">
        <v>491</v>
      </c>
      <c r="P568" s="254">
        <f t="shared" si="29"/>
        <v>73486.960000000006</v>
      </c>
    </row>
    <row r="569" spans="1:16" x14ac:dyDescent="0.2">
      <c r="A569" t="s">
        <v>557</v>
      </c>
      <c r="B569" s="253">
        <v>1.25</v>
      </c>
      <c r="C569" s="257" t="s">
        <v>556</v>
      </c>
      <c r="D569" s="257" t="str">
        <f t="shared" si="27"/>
        <v>1.25 PE</v>
      </c>
      <c r="E569" t="s">
        <v>482</v>
      </c>
      <c r="F569" t="s">
        <v>483</v>
      </c>
      <c r="G569" t="s">
        <v>468</v>
      </c>
      <c r="H569" t="s">
        <v>462</v>
      </c>
      <c r="I569">
        <f t="shared" si="28"/>
        <v>2009</v>
      </c>
      <c r="J569" s="229">
        <v>2388</v>
      </c>
      <c r="K569" s="254">
        <v>204811.79</v>
      </c>
      <c r="L569" s="254">
        <v>7925.51</v>
      </c>
      <c r="M569" s="254">
        <v>196886.28</v>
      </c>
      <c r="N569" s="255">
        <v>502</v>
      </c>
      <c r="O569" s="256">
        <v>491</v>
      </c>
      <c r="P569" s="254">
        <f t="shared" si="29"/>
        <v>200323.88225099602</v>
      </c>
    </row>
    <row r="570" spans="1:16" x14ac:dyDescent="0.2">
      <c r="A570" t="s">
        <v>557</v>
      </c>
      <c r="B570" s="253">
        <v>1.25</v>
      </c>
      <c r="C570" s="257" t="s">
        <v>556</v>
      </c>
      <c r="D570" s="257" t="str">
        <f t="shared" si="27"/>
        <v>1.25 PE</v>
      </c>
      <c r="E570" t="s">
        <v>482</v>
      </c>
      <c r="F570" t="s">
        <v>483</v>
      </c>
      <c r="G570" t="s">
        <v>461</v>
      </c>
      <c r="H570" t="s">
        <v>462</v>
      </c>
      <c r="I570">
        <f t="shared" si="28"/>
        <v>2008</v>
      </c>
      <c r="J570" s="229">
        <v>2617</v>
      </c>
      <c r="K570" s="254">
        <v>236543.82</v>
      </c>
      <c r="L570" s="254">
        <v>15017.21</v>
      </c>
      <c r="M570" s="254">
        <v>221526.61</v>
      </c>
      <c r="N570" s="255">
        <v>474</v>
      </c>
      <c r="O570" s="256">
        <v>491</v>
      </c>
      <c r="P570" s="254">
        <f t="shared" si="29"/>
        <v>245027.45911392404</v>
      </c>
    </row>
    <row r="571" spans="1:16" x14ac:dyDescent="0.2">
      <c r="A571" t="s">
        <v>557</v>
      </c>
      <c r="B571" s="253">
        <v>1.25</v>
      </c>
      <c r="C571" s="257" t="s">
        <v>556</v>
      </c>
      <c r="D571" s="257" t="str">
        <f t="shared" si="27"/>
        <v>1.25 PE</v>
      </c>
      <c r="E571" t="s">
        <v>482</v>
      </c>
      <c r="F571" t="s">
        <v>483</v>
      </c>
      <c r="G571" t="s">
        <v>470</v>
      </c>
      <c r="H571" t="s">
        <v>462</v>
      </c>
      <c r="I571">
        <f t="shared" si="28"/>
        <v>2007</v>
      </c>
      <c r="J571" s="229">
        <v>3063</v>
      </c>
      <c r="K571" s="254">
        <v>147749.54999999999</v>
      </c>
      <c r="L571" s="254">
        <v>13012.1</v>
      </c>
      <c r="M571" s="254">
        <v>134737.45000000001</v>
      </c>
      <c r="N571" s="255">
        <v>455</v>
      </c>
      <c r="O571" s="256">
        <v>491</v>
      </c>
      <c r="P571" s="254">
        <f t="shared" si="29"/>
        <v>159439.62428571426</v>
      </c>
    </row>
    <row r="572" spans="1:16" x14ac:dyDescent="0.2">
      <c r="A572" t="s">
        <v>557</v>
      </c>
      <c r="B572" s="253">
        <v>1.25</v>
      </c>
      <c r="C572" s="257" t="s">
        <v>556</v>
      </c>
      <c r="D572" s="257" t="str">
        <f t="shared" si="27"/>
        <v>1.25 PE</v>
      </c>
      <c r="E572" t="s">
        <v>482</v>
      </c>
      <c r="F572" t="s">
        <v>483</v>
      </c>
      <c r="G572" t="s">
        <v>470</v>
      </c>
      <c r="H572" t="s">
        <v>462</v>
      </c>
      <c r="I572">
        <f t="shared" si="28"/>
        <v>2007</v>
      </c>
      <c r="J572" s="229">
        <v>3542</v>
      </c>
      <c r="K572" s="254">
        <v>1541.93</v>
      </c>
      <c r="L572" s="254">
        <v>135.80000000000001</v>
      </c>
      <c r="M572" s="254">
        <v>1406.13</v>
      </c>
      <c r="N572" s="255">
        <v>455</v>
      </c>
      <c r="O572" s="256">
        <v>491</v>
      </c>
      <c r="P572" s="254">
        <f t="shared" si="29"/>
        <v>1663.9288571428572</v>
      </c>
    </row>
    <row r="573" spans="1:16" x14ac:dyDescent="0.2">
      <c r="A573" t="s">
        <v>557</v>
      </c>
      <c r="B573" s="253">
        <v>1.25</v>
      </c>
      <c r="C573" s="257" t="s">
        <v>556</v>
      </c>
      <c r="D573" s="257" t="str">
        <f t="shared" si="27"/>
        <v>1.25 PE</v>
      </c>
      <c r="E573" t="s">
        <v>482</v>
      </c>
      <c r="F573" t="s">
        <v>483</v>
      </c>
      <c r="G573" t="s">
        <v>461</v>
      </c>
      <c r="H573" t="s">
        <v>462</v>
      </c>
      <c r="I573">
        <f t="shared" si="28"/>
        <v>2008</v>
      </c>
      <c r="J573" s="229">
        <v>6173</v>
      </c>
      <c r="K573" s="254">
        <v>335044.64</v>
      </c>
      <c r="L573" s="254">
        <v>21270.63</v>
      </c>
      <c r="M573" s="254">
        <v>313774.01</v>
      </c>
      <c r="N573" s="255">
        <v>474</v>
      </c>
      <c r="O573" s="256">
        <v>491</v>
      </c>
      <c r="P573" s="254">
        <f t="shared" si="29"/>
        <v>347061.00894514768</v>
      </c>
    </row>
    <row r="574" spans="1:16" x14ac:dyDescent="0.2">
      <c r="A574" t="s">
        <v>557</v>
      </c>
      <c r="B574" s="253">
        <v>1.25</v>
      </c>
      <c r="C574" s="257" t="s">
        <v>556</v>
      </c>
      <c r="D574" s="257" t="str">
        <f t="shared" si="27"/>
        <v>1.25 PE</v>
      </c>
      <c r="E574" t="s">
        <v>482</v>
      </c>
      <c r="F574" t="s">
        <v>483</v>
      </c>
      <c r="G574" t="s">
        <v>469</v>
      </c>
      <c r="H574" t="s">
        <v>462</v>
      </c>
      <c r="I574">
        <f t="shared" si="28"/>
        <v>2010</v>
      </c>
      <c r="J574" s="229">
        <v>7296</v>
      </c>
      <c r="K574" s="254">
        <v>737063.22</v>
      </c>
      <c r="L574" s="254">
        <v>9756.01</v>
      </c>
      <c r="M574" s="254">
        <v>727307.21</v>
      </c>
      <c r="N574" s="255">
        <v>491</v>
      </c>
      <c r="O574" s="256">
        <v>491</v>
      </c>
      <c r="P574" s="254">
        <f t="shared" si="29"/>
        <v>737063.22</v>
      </c>
    </row>
    <row r="575" spans="1:16" x14ac:dyDescent="0.2">
      <c r="A575" t="s">
        <v>557</v>
      </c>
      <c r="B575" s="253">
        <v>1.25</v>
      </c>
      <c r="C575" s="257" t="s">
        <v>556</v>
      </c>
      <c r="D575" s="257" t="str">
        <f t="shared" si="27"/>
        <v>1.25 PE</v>
      </c>
      <c r="E575" t="s">
        <v>482</v>
      </c>
      <c r="F575" t="s">
        <v>483</v>
      </c>
      <c r="G575" t="s">
        <v>468</v>
      </c>
      <c r="H575" t="s">
        <v>462</v>
      </c>
      <c r="I575">
        <f t="shared" si="28"/>
        <v>2009</v>
      </c>
      <c r="J575" s="229">
        <v>16872</v>
      </c>
      <c r="K575" s="254">
        <v>1467227.66</v>
      </c>
      <c r="L575" s="254">
        <v>56776.68</v>
      </c>
      <c r="M575" s="254">
        <v>1410450.98</v>
      </c>
      <c r="N575" s="255">
        <v>502</v>
      </c>
      <c r="O575" s="256">
        <v>491</v>
      </c>
      <c r="P575" s="254">
        <f t="shared" si="29"/>
        <v>1435077.2531075696</v>
      </c>
    </row>
    <row r="576" spans="1:16" x14ac:dyDescent="0.2">
      <c r="A576" t="s">
        <v>557</v>
      </c>
      <c r="B576" s="253">
        <v>1.25</v>
      </c>
      <c r="C576" s="257" t="s">
        <v>556</v>
      </c>
      <c r="D576" s="257" t="str">
        <f t="shared" si="27"/>
        <v>1.25 PE</v>
      </c>
      <c r="E576" t="s">
        <v>482</v>
      </c>
      <c r="F576" t="s">
        <v>483</v>
      </c>
      <c r="G576" t="s">
        <v>461</v>
      </c>
      <c r="H576" t="s">
        <v>462</v>
      </c>
      <c r="I576">
        <f t="shared" si="28"/>
        <v>2008</v>
      </c>
      <c r="J576" s="229">
        <v>31399</v>
      </c>
      <c r="K576" s="254">
        <v>2107613.4700000002</v>
      </c>
      <c r="L576" s="254">
        <v>133803.85999999999</v>
      </c>
      <c r="M576" s="254">
        <v>1973809.61</v>
      </c>
      <c r="N576" s="255">
        <v>474</v>
      </c>
      <c r="O576" s="256">
        <v>491</v>
      </c>
      <c r="P576" s="254">
        <f t="shared" si="29"/>
        <v>2183202.9826371307</v>
      </c>
    </row>
    <row r="577" spans="1:16" x14ac:dyDescent="0.2">
      <c r="A577" t="s">
        <v>557</v>
      </c>
      <c r="B577" s="253">
        <v>1.25</v>
      </c>
      <c r="C577" s="257" t="s">
        <v>556</v>
      </c>
      <c r="D577" s="257" t="str">
        <f t="shared" si="27"/>
        <v>1.25 PE</v>
      </c>
      <c r="E577" t="s">
        <v>482</v>
      </c>
      <c r="F577" t="s">
        <v>483</v>
      </c>
      <c r="G577" t="s">
        <v>477</v>
      </c>
      <c r="H577" t="s">
        <v>462</v>
      </c>
      <c r="I577">
        <f t="shared" si="28"/>
        <v>2006</v>
      </c>
      <c r="J577" s="229">
        <v>34114</v>
      </c>
      <c r="K577" s="254">
        <v>1811902</v>
      </c>
      <c r="L577" s="254">
        <v>204120.67</v>
      </c>
      <c r="M577" s="254">
        <v>1607781.33</v>
      </c>
      <c r="N577" s="255">
        <v>434</v>
      </c>
      <c r="O577" s="256">
        <v>491</v>
      </c>
      <c r="P577" s="254">
        <f t="shared" si="29"/>
        <v>2049870.6958525346</v>
      </c>
    </row>
    <row r="578" spans="1:16" x14ac:dyDescent="0.2">
      <c r="A578" t="s">
        <v>557</v>
      </c>
      <c r="B578" s="253">
        <v>1.25</v>
      </c>
      <c r="C578" s="257" t="s">
        <v>556</v>
      </c>
      <c r="D578" s="257" t="str">
        <f t="shared" si="27"/>
        <v>1.25 PE</v>
      </c>
      <c r="E578" t="s">
        <v>482</v>
      </c>
      <c r="F578" t="s">
        <v>483</v>
      </c>
      <c r="G578" t="s">
        <v>470</v>
      </c>
      <c r="H578" t="s">
        <v>462</v>
      </c>
      <c r="I578">
        <f t="shared" si="28"/>
        <v>2007</v>
      </c>
      <c r="J578" s="229">
        <v>38563</v>
      </c>
      <c r="K578" s="254">
        <v>2032695.5</v>
      </c>
      <c r="L578" s="254">
        <v>179016.77</v>
      </c>
      <c r="M578" s="254">
        <v>1853678.73</v>
      </c>
      <c r="N578" s="255">
        <v>455</v>
      </c>
      <c r="O578" s="256">
        <v>491</v>
      </c>
      <c r="P578" s="254">
        <f t="shared" si="29"/>
        <v>2193524.154945055</v>
      </c>
    </row>
    <row r="579" spans="1:16" x14ac:dyDescent="0.2">
      <c r="A579" t="s">
        <v>557</v>
      </c>
      <c r="B579" s="253">
        <v>1.25</v>
      </c>
      <c r="C579" s="257" t="s">
        <v>556</v>
      </c>
      <c r="D579" s="257" t="str">
        <f t="shared" si="27"/>
        <v>1.25 PE</v>
      </c>
      <c r="E579" t="s">
        <v>482</v>
      </c>
      <c r="F579" t="s">
        <v>483</v>
      </c>
      <c r="G579" t="s">
        <v>474</v>
      </c>
      <c r="H579" t="s">
        <v>462</v>
      </c>
      <c r="I579">
        <f t="shared" si="28"/>
        <v>2005</v>
      </c>
      <c r="J579" s="229">
        <v>39814</v>
      </c>
      <c r="K579" s="254">
        <v>1571919.24</v>
      </c>
      <c r="L579" s="254">
        <v>215952.83</v>
      </c>
      <c r="M579" s="254">
        <v>1355966.41</v>
      </c>
      <c r="N579" s="255">
        <v>414</v>
      </c>
      <c r="O579" s="256">
        <v>491</v>
      </c>
      <c r="P579" s="254">
        <f t="shared" si="29"/>
        <v>1864281.0310144927</v>
      </c>
    </row>
    <row r="580" spans="1:16" x14ac:dyDescent="0.2">
      <c r="A580" t="s">
        <v>557</v>
      </c>
      <c r="B580" s="253">
        <v>1.25</v>
      </c>
      <c r="C580" s="257" t="s">
        <v>556</v>
      </c>
      <c r="D580" s="257" t="str">
        <f t="shared" si="27"/>
        <v>1.25 PE</v>
      </c>
      <c r="E580" t="s">
        <v>482</v>
      </c>
      <c r="F580" t="s">
        <v>483</v>
      </c>
      <c r="G580" t="s">
        <v>476</v>
      </c>
      <c r="H580" t="s">
        <v>462</v>
      </c>
      <c r="I580">
        <f t="shared" si="28"/>
        <v>2004</v>
      </c>
      <c r="J580" s="229">
        <v>49784</v>
      </c>
      <c r="K580" s="254">
        <v>1760937.78</v>
      </c>
      <c r="L580" s="254">
        <v>285778.81</v>
      </c>
      <c r="M580" s="254">
        <v>1475158.97</v>
      </c>
      <c r="N580" s="255">
        <v>387</v>
      </c>
      <c r="O580" s="256">
        <v>491</v>
      </c>
      <c r="P580" s="254">
        <f t="shared" si="29"/>
        <v>2234161.3694573641</v>
      </c>
    </row>
    <row r="581" spans="1:16" x14ac:dyDescent="0.2">
      <c r="A581" t="s">
        <v>557</v>
      </c>
      <c r="B581" s="253">
        <v>1.25</v>
      </c>
      <c r="C581" s="257" t="s">
        <v>556</v>
      </c>
      <c r="D581" s="257" t="str">
        <f t="shared" si="27"/>
        <v>1.25 PE</v>
      </c>
      <c r="E581" t="s">
        <v>482</v>
      </c>
      <c r="F581" t="s">
        <v>483</v>
      </c>
      <c r="G581" t="s">
        <v>475</v>
      </c>
      <c r="H581" t="s">
        <v>462</v>
      </c>
      <c r="I581">
        <f t="shared" si="28"/>
        <v>2002</v>
      </c>
      <c r="J581" s="229">
        <v>81713</v>
      </c>
      <c r="K581" s="254">
        <v>1874580.83</v>
      </c>
      <c r="L581" s="254">
        <v>398861.95</v>
      </c>
      <c r="M581" s="254">
        <v>1475718.88</v>
      </c>
      <c r="N581" s="255">
        <v>373</v>
      </c>
      <c r="O581" s="256">
        <v>491</v>
      </c>
      <c r="P581" s="254">
        <f t="shared" si="29"/>
        <v>2467611.7628150135</v>
      </c>
    </row>
    <row r="582" spans="1:16" x14ac:dyDescent="0.2">
      <c r="A582" t="s">
        <v>557</v>
      </c>
      <c r="B582" s="253">
        <v>1.25</v>
      </c>
      <c r="C582" s="257" t="s">
        <v>556</v>
      </c>
      <c r="D582" s="257" t="str">
        <f t="shared" si="27"/>
        <v>1.25 PE</v>
      </c>
      <c r="E582" t="s">
        <v>482</v>
      </c>
      <c r="F582" t="s">
        <v>483</v>
      </c>
      <c r="G582" t="s">
        <v>471</v>
      </c>
      <c r="H582" t="s">
        <v>462</v>
      </c>
      <c r="I582">
        <f t="shared" si="28"/>
        <v>2003</v>
      </c>
      <c r="J582" s="229">
        <v>82122</v>
      </c>
      <c r="K582" s="254">
        <v>2556709.4700000002</v>
      </c>
      <c r="L582" s="254">
        <v>479188.49</v>
      </c>
      <c r="M582" s="254">
        <v>2077520.98</v>
      </c>
      <c r="N582" s="255">
        <v>377</v>
      </c>
      <c r="O582" s="256">
        <v>491</v>
      </c>
      <c r="P582" s="254">
        <f t="shared" si="29"/>
        <v>3329825.8614588859</v>
      </c>
    </row>
    <row r="583" spans="1:16" x14ac:dyDescent="0.2">
      <c r="A583" t="s">
        <v>557</v>
      </c>
      <c r="B583" s="253">
        <v>1.25</v>
      </c>
      <c r="C583" s="257" t="s">
        <v>556</v>
      </c>
      <c r="D583" s="257" t="str">
        <f t="shared" si="27"/>
        <v>1.25 PE</v>
      </c>
      <c r="E583" t="s">
        <v>482</v>
      </c>
      <c r="F583" t="s">
        <v>483</v>
      </c>
      <c r="G583" t="s">
        <v>472</v>
      </c>
      <c r="H583" t="s">
        <v>462</v>
      </c>
      <c r="I583">
        <f t="shared" si="28"/>
        <v>2000</v>
      </c>
      <c r="J583" s="229">
        <v>109710</v>
      </c>
      <c r="K583" s="254">
        <v>2136470.1</v>
      </c>
      <c r="L583" s="254">
        <v>564101.28</v>
      </c>
      <c r="M583" s="254">
        <v>1572368.82</v>
      </c>
      <c r="N583" s="255">
        <v>356</v>
      </c>
      <c r="O583" s="256">
        <v>491</v>
      </c>
      <c r="P583" s="254">
        <f t="shared" si="29"/>
        <v>2946648.3682584269</v>
      </c>
    </row>
    <row r="584" spans="1:16" x14ac:dyDescent="0.2">
      <c r="A584" t="s">
        <v>557</v>
      </c>
      <c r="B584" s="253">
        <v>1.25</v>
      </c>
      <c r="C584" s="257" t="s">
        <v>556</v>
      </c>
      <c r="D584" s="257" t="str">
        <f t="shared" si="27"/>
        <v>1.25 PE</v>
      </c>
      <c r="E584" t="s">
        <v>482</v>
      </c>
      <c r="F584" t="s">
        <v>483</v>
      </c>
      <c r="G584" t="s">
        <v>467</v>
      </c>
      <c r="H584" t="s">
        <v>462</v>
      </c>
      <c r="I584">
        <f t="shared" si="28"/>
        <v>1996</v>
      </c>
      <c r="J584" s="229">
        <v>115404</v>
      </c>
      <c r="K584" s="254">
        <v>1006237.91</v>
      </c>
      <c r="L584" s="254">
        <v>370253.06</v>
      </c>
      <c r="M584" s="254">
        <v>635984.85</v>
      </c>
      <c r="N584" s="255">
        <v>334</v>
      </c>
      <c r="O584" s="256">
        <v>491</v>
      </c>
      <c r="P584" s="254">
        <f t="shared" si="29"/>
        <v>1479229.9814670661</v>
      </c>
    </row>
    <row r="585" spans="1:16" x14ac:dyDescent="0.2">
      <c r="A585" t="s">
        <v>557</v>
      </c>
      <c r="B585" s="253">
        <v>1.25</v>
      </c>
      <c r="C585" s="257" t="s">
        <v>556</v>
      </c>
      <c r="D585" s="257" t="str">
        <f t="shared" si="27"/>
        <v>1.25 PE</v>
      </c>
      <c r="E585" t="s">
        <v>482</v>
      </c>
      <c r="F585" t="s">
        <v>483</v>
      </c>
      <c r="G585" t="s">
        <v>478</v>
      </c>
      <c r="H585" t="s">
        <v>462</v>
      </c>
      <c r="I585">
        <f t="shared" si="28"/>
        <v>2001</v>
      </c>
      <c r="J585" s="229">
        <v>128656</v>
      </c>
      <c r="K585" s="254">
        <v>2888343.13</v>
      </c>
      <c r="L585" s="254">
        <v>688349.41</v>
      </c>
      <c r="M585" s="254">
        <v>2199993.7200000002</v>
      </c>
      <c r="N585" s="255">
        <v>363</v>
      </c>
      <c r="O585" s="256">
        <v>491</v>
      </c>
      <c r="P585" s="254">
        <f t="shared" si="29"/>
        <v>3906822.2502203854</v>
      </c>
    </row>
    <row r="586" spans="1:16" x14ac:dyDescent="0.2">
      <c r="A586" t="s">
        <v>557</v>
      </c>
      <c r="B586" s="253">
        <v>1.25</v>
      </c>
      <c r="C586" s="257" t="s">
        <v>556</v>
      </c>
      <c r="D586" s="257" t="str">
        <f t="shared" si="27"/>
        <v>1.25 PE</v>
      </c>
      <c r="E586" t="s">
        <v>482</v>
      </c>
      <c r="F586" t="s">
        <v>483</v>
      </c>
      <c r="G586" t="s">
        <v>480</v>
      </c>
      <c r="H586" t="s">
        <v>462</v>
      </c>
      <c r="I586">
        <f t="shared" si="28"/>
        <v>1999</v>
      </c>
      <c r="J586" s="229">
        <v>155704</v>
      </c>
      <c r="K586" s="254">
        <v>1995661.57</v>
      </c>
      <c r="L586" s="254">
        <v>578552.67000000004</v>
      </c>
      <c r="M586" s="254">
        <v>1417108.9</v>
      </c>
      <c r="N586" s="255">
        <v>352</v>
      </c>
      <c r="O586" s="256">
        <v>491</v>
      </c>
      <c r="P586" s="254">
        <f t="shared" si="29"/>
        <v>2783721.1104261363</v>
      </c>
    </row>
    <row r="587" spans="1:16" x14ac:dyDescent="0.2">
      <c r="A587" t="s">
        <v>557</v>
      </c>
      <c r="B587" s="253">
        <v>1.25</v>
      </c>
      <c r="C587" s="257" t="s">
        <v>556</v>
      </c>
      <c r="D587" s="257" t="str">
        <f t="shared" si="27"/>
        <v>1.25 PE</v>
      </c>
      <c r="E587" t="s">
        <v>482</v>
      </c>
      <c r="F587" t="s">
        <v>483</v>
      </c>
      <c r="G587" t="s">
        <v>473</v>
      </c>
      <c r="H587" t="s">
        <v>462</v>
      </c>
      <c r="I587">
        <f t="shared" si="28"/>
        <v>1997</v>
      </c>
      <c r="J587" s="229">
        <v>159906</v>
      </c>
      <c r="K587" s="254">
        <v>1790154.31</v>
      </c>
      <c r="L587" s="254">
        <v>612064.61</v>
      </c>
      <c r="M587" s="254">
        <v>1178089.7</v>
      </c>
      <c r="N587" s="255">
        <v>341</v>
      </c>
      <c r="O587" s="256">
        <v>491</v>
      </c>
      <c r="P587" s="254">
        <f t="shared" si="29"/>
        <v>2577612.2176246336</v>
      </c>
    </row>
    <row r="588" spans="1:16" x14ac:dyDescent="0.2">
      <c r="A588" t="s">
        <v>557</v>
      </c>
      <c r="B588" s="253">
        <v>1.25</v>
      </c>
      <c r="C588" s="257" t="s">
        <v>556</v>
      </c>
      <c r="D588" s="257" t="str">
        <f t="shared" si="27"/>
        <v>1.25 PE</v>
      </c>
      <c r="E588" t="s">
        <v>482</v>
      </c>
      <c r="F588" t="s">
        <v>483</v>
      </c>
      <c r="G588" t="s">
        <v>479</v>
      </c>
      <c r="H588" t="s">
        <v>462</v>
      </c>
      <c r="I588">
        <f t="shared" si="28"/>
        <v>1998</v>
      </c>
      <c r="J588" s="229">
        <v>210405</v>
      </c>
      <c r="K588" s="254">
        <v>1768022.35</v>
      </c>
      <c r="L588" s="254">
        <v>558474.43000000005</v>
      </c>
      <c r="M588" s="254">
        <v>1209547.92</v>
      </c>
      <c r="N588" s="255">
        <v>346</v>
      </c>
      <c r="O588" s="256">
        <v>491</v>
      </c>
      <c r="P588" s="254">
        <f t="shared" si="29"/>
        <v>2508956.571820809</v>
      </c>
    </row>
    <row r="589" spans="1:16" x14ac:dyDescent="0.2">
      <c r="A589" t="s">
        <v>558</v>
      </c>
      <c r="B589" s="253">
        <v>2</v>
      </c>
      <c r="C589" s="257" t="s">
        <v>556</v>
      </c>
      <c r="D589" s="257" t="str">
        <f t="shared" si="27"/>
        <v>2 PE</v>
      </c>
      <c r="E589" t="s">
        <v>482</v>
      </c>
      <c r="F589" t="s">
        <v>483</v>
      </c>
      <c r="G589" t="s">
        <v>470</v>
      </c>
      <c r="H589" t="s">
        <v>462</v>
      </c>
      <c r="I589">
        <f t="shared" si="28"/>
        <v>2007</v>
      </c>
      <c r="J589" s="229">
        <v>0</v>
      </c>
      <c r="K589" s="254">
        <v>2.76</v>
      </c>
      <c r="L589" s="254">
        <v>0.24</v>
      </c>
      <c r="M589" s="254">
        <v>2.52</v>
      </c>
      <c r="N589" s="255">
        <v>455</v>
      </c>
      <c r="O589" s="256">
        <v>491</v>
      </c>
      <c r="P589" s="254">
        <f t="shared" si="29"/>
        <v>2.9783736263736258</v>
      </c>
    </row>
    <row r="590" spans="1:16" x14ac:dyDescent="0.2">
      <c r="A590" t="s">
        <v>558</v>
      </c>
      <c r="B590" s="253">
        <v>2</v>
      </c>
      <c r="C590" s="257" t="s">
        <v>556</v>
      </c>
      <c r="D590" s="257" t="str">
        <f t="shared" si="27"/>
        <v>2 PE</v>
      </c>
      <c r="E590" t="s">
        <v>482</v>
      </c>
      <c r="F590" t="s">
        <v>483</v>
      </c>
      <c r="G590" t="s">
        <v>470</v>
      </c>
      <c r="H590" t="s">
        <v>462</v>
      </c>
      <c r="I590">
        <f t="shared" si="28"/>
        <v>2007</v>
      </c>
      <c r="J590" s="229">
        <v>0</v>
      </c>
      <c r="K590" s="254">
        <v>0.91</v>
      </c>
      <c r="L590" s="254">
        <v>0.08</v>
      </c>
      <c r="M590" s="254">
        <v>0.83</v>
      </c>
      <c r="N590" s="255">
        <v>455</v>
      </c>
      <c r="O590" s="256">
        <v>491</v>
      </c>
      <c r="P590" s="254">
        <f t="shared" si="29"/>
        <v>0.98199999999999998</v>
      </c>
    </row>
    <row r="591" spans="1:16" x14ac:dyDescent="0.2">
      <c r="A591" t="s">
        <v>558</v>
      </c>
      <c r="B591" s="253">
        <v>2</v>
      </c>
      <c r="C591" s="257" t="s">
        <v>556</v>
      </c>
      <c r="D591" s="257" t="str">
        <f t="shared" si="27"/>
        <v>2 PE</v>
      </c>
      <c r="E591" t="s">
        <v>482</v>
      </c>
      <c r="F591" t="s">
        <v>483</v>
      </c>
      <c r="G591" t="s">
        <v>461</v>
      </c>
      <c r="H591" t="s">
        <v>462</v>
      </c>
      <c r="I591">
        <f t="shared" si="28"/>
        <v>2008</v>
      </c>
      <c r="J591" s="229">
        <v>0</v>
      </c>
      <c r="K591" s="254">
        <v>1765.94</v>
      </c>
      <c r="L591" s="254">
        <v>112.11</v>
      </c>
      <c r="M591" s="254">
        <v>1653.83</v>
      </c>
      <c r="N591" s="255">
        <v>474</v>
      </c>
      <c r="O591" s="256">
        <v>491</v>
      </c>
      <c r="P591" s="254">
        <f t="shared" si="29"/>
        <v>1829.2754008438817</v>
      </c>
    </row>
    <row r="592" spans="1:16" x14ac:dyDescent="0.2">
      <c r="A592" t="s">
        <v>558</v>
      </c>
      <c r="B592" s="253">
        <v>2</v>
      </c>
      <c r="C592" s="257" t="s">
        <v>556</v>
      </c>
      <c r="D592" s="257" t="str">
        <f t="shared" si="27"/>
        <v>2 PE</v>
      </c>
      <c r="E592" t="s">
        <v>482</v>
      </c>
      <c r="F592" t="s">
        <v>483</v>
      </c>
      <c r="G592" t="s">
        <v>468</v>
      </c>
      <c r="H592" t="s">
        <v>462</v>
      </c>
      <c r="I592">
        <f t="shared" si="28"/>
        <v>2009</v>
      </c>
      <c r="J592" s="229">
        <v>1</v>
      </c>
      <c r="K592" s="254">
        <v>90</v>
      </c>
      <c r="L592" s="254">
        <v>3.48</v>
      </c>
      <c r="M592" s="254">
        <v>86.52</v>
      </c>
      <c r="N592" s="255">
        <v>502</v>
      </c>
      <c r="O592" s="256">
        <v>491</v>
      </c>
      <c r="P592" s="254">
        <f t="shared" si="29"/>
        <v>88.027888446215144</v>
      </c>
    </row>
    <row r="593" spans="1:16" x14ac:dyDescent="0.2">
      <c r="A593" t="s">
        <v>558</v>
      </c>
      <c r="B593" s="253">
        <v>2</v>
      </c>
      <c r="C593" s="257" t="s">
        <v>556</v>
      </c>
      <c r="D593" s="257" t="str">
        <f t="shared" si="27"/>
        <v>2 PE</v>
      </c>
      <c r="E593" t="s">
        <v>482</v>
      </c>
      <c r="F593" t="s">
        <v>483</v>
      </c>
      <c r="G593" t="s">
        <v>461</v>
      </c>
      <c r="H593" t="s">
        <v>462</v>
      </c>
      <c r="I593">
        <f t="shared" si="28"/>
        <v>2008</v>
      </c>
      <c r="J593" s="229">
        <v>4</v>
      </c>
      <c r="K593" s="254">
        <v>4276.34</v>
      </c>
      <c r="L593" s="254">
        <v>271.49</v>
      </c>
      <c r="M593" s="254">
        <v>4004.85</v>
      </c>
      <c r="N593" s="255">
        <v>474</v>
      </c>
      <c r="O593" s="256">
        <v>491</v>
      </c>
      <c r="P593" s="254">
        <f t="shared" si="29"/>
        <v>4429.7108438818559</v>
      </c>
    </row>
    <row r="594" spans="1:16" x14ac:dyDescent="0.2">
      <c r="A594" t="s">
        <v>558</v>
      </c>
      <c r="B594" s="253">
        <v>2</v>
      </c>
      <c r="C594" s="257" t="s">
        <v>556</v>
      </c>
      <c r="D594" s="257" t="str">
        <f t="shared" si="27"/>
        <v>2 PE</v>
      </c>
      <c r="E594" t="s">
        <v>482</v>
      </c>
      <c r="F594" t="s">
        <v>483</v>
      </c>
      <c r="G594" t="s">
        <v>468</v>
      </c>
      <c r="H594" t="s">
        <v>462</v>
      </c>
      <c r="I594">
        <f t="shared" si="28"/>
        <v>2009</v>
      </c>
      <c r="J594" s="229">
        <v>6</v>
      </c>
      <c r="K594" s="254">
        <v>3684.26</v>
      </c>
      <c r="L594" s="254">
        <v>142.57</v>
      </c>
      <c r="M594" s="254">
        <v>3541.69</v>
      </c>
      <c r="N594" s="255">
        <v>502</v>
      </c>
      <c r="O594" s="256">
        <v>491</v>
      </c>
      <c r="P594" s="254">
        <f t="shared" si="29"/>
        <v>3603.5292031872514</v>
      </c>
    </row>
    <row r="595" spans="1:16" x14ac:dyDescent="0.2">
      <c r="A595" t="s">
        <v>558</v>
      </c>
      <c r="B595" s="253">
        <v>2</v>
      </c>
      <c r="C595" s="257" t="s">
        <v>556</v>
      </c>
      <c r="D595" s="257" t="str">
        <f t="shared" si="27"/>
        <v>2 PE</v>
      </c>
      <c r="E595" t="s">
        <v>482</v>
      </c>
      <c r="F595" t="s">
        <v>483</v>
      </c>
      <c r="G595" t="s">
        <v>470</v>
      </c>
      <c r="H595" t="s">
        <v>462</v>
      </c>
      <c r="I595">
        <f t="shared" si="28"/>
        <v>2007</v>
      </c>
      <c r="J595" s="229">
        <v>40</v>
      </c>
      <c r="K595" s="254">
        <v>995.12</v>
      </c>
      <c r="L595" s="254">
        <v>87.64</v>
      </c>
      <c r="M595" s="254">
        <v>907.48</v>
      </c>
      <c r="N595" s="255">
        <v>455</v>
      </c>
      <c r="O595" s="256">
        <v>491</v>
      </c>
      <c r="P595" s="254">
        <f t="shared" si="29"/>
        <v>1073.8547692307691</v>
      </c>
    </row>
    <row r="596" spans="1:16" x14ac:dyDescent="0.2">
      <c r="A596" t="s">
        <v>558</v>
      </c>
      <c r="B596" s="253">
        <v>2</v>
      </c>
      <c r="C596" s="257" t="s">
        <v>556</v>
      </c>
      <c r="D596" s="257" t="str">
        <f t="shared" si="27"/>
        <v>2 PE</v>
      </c>
      <c r="E596" t="s">
        <v>482</v>
      </c>
      <c r="F596" t="s">
        <v>483</v>
      </c>
      <c r="G596" t="s">
        <v>468</v>
      </c>
      <c r="H596" t="s">
        <v>462</v>
      </c>
      <c r="I596">
        <f t="shared" si="28"/>
        <v>2009</v>
      </c>
      <c r="J596" s="229">
        <v>41</v>
      </c>
      <c r="K596" s="254">
        <v>34210.04</v>
      </c>
      <c r="L596" s="254">
        <v>1323.81</v>
      </c>
      <c r="M596" s="254">
        <v>32886.230000000003</v>
      </c>
      <c r="N596" s="255">
        <v>502</v>
      </c>
      <c r="O596" s="256">
        <v>491</v>
      </c>
      <c r="P596" s="254">
        <f t="shared" si="29"/>
        <v>33460.417609561751</v>
      </c>
    </row>
    <row r="597" spans="1:16" x14ac:dyDescent="0.2">
      <c r="A597" t="s">
        <v>558</v>
      </c>
      <c r="B597" s="253">
        <v>2</v>
      </c>
      <c r="C597" s="257" t="s">
        <v>556</v>
      </c>
      <c r="D597" s="257" t="str">
        <f t="shared" si="27"/>
        <v>2 PE</v>
      </c>
      <c r="E597" t="s">
        <v>482</v>
      </c>
      <c r="F597" t="s">
        <v>483</v>
      </c>
      <c r="G597" t="s">
        <v>468</v>
      </c>
      <c r="H597" t="s">
        <v>462</v>
      </c>
      <c r="I597">
        <f t="shared" si="28"/>
        <v>2009</v>
      </c>
      <c r="J597" s="229">
        <v>42</v>
      </c>
      <c r="K597" s="254">
        <v>1744.34</v>
      </c>
      <c r="L597" s="254">
        <v>67.5</v>
      </c>
      <c r="M597" s="254">
        <v>1676.84</v>
      </c>
      <c r="N597" s="255">
        <v>502</v>
      </c>
      <c r="O597" s="256">
        <v>491</v>
      </c>
      <c r="P597" s="254">
        <f t="shared" si="29"/>
        <v>1706.1174103585656</v>
      </c>
    </row>
    <row r="598" spans="1:16" x14ac:dyDescent="0.2">
      <c r="A598" t="s">
        <v>558</v>
      </c>
      <c r="B598" s="253">
        <v>2</v>
      </c>
      <c r="C598" s="257" t="s">
        <v>556</v>
      </c>
      <c r="D598" s="257" t="str">
        <f t="shared" ref="D598:D661" si="30">B598&amp;" "&amp;C598</f>
        <v>2 PE</v>
      </c>
      <c r="E598" t="s">
        <v>482</v>
      </c>
      <c r="F598" t="s">
        <v>483</v>
      </c>
      <c r="G598" t="s">
        <v>469</v>
      </c>
      <c r="H598" t="s">
        <v>462</v>
      </c>
      <c r="I598">
        <f t="shared" ref="I598:I661" si="31">+G598*1</f>
        <v>2010</v>
      </c>
      <c r="J598" s="229">
        <v>208</v>
      </c>
      <c r="K598" s="254">
        <v>9162.42</v>
      </c>
      <c r="L598" s="254">
        <v>121.28</v>
      </c>
      <c r="M598" s="254">
        <v>9041.14</v>
      </c>
      <c r="N598" s="255">
        <v>491</v>
      </c>
      <c r="O598" s="256">
        <v>491</v>
      </c>
      <c r="P598" s="254">
        <f t="shared" ref="P598:P661" si="32">+(O598/N598)*K598</f>
        <v>9162.42</v>
      </c>
    </row>
    <row r="599" spans="1:16" x14ac:dyDescent="0.2">
      <c r="A599" t="s">
        <v>558</v>
      </c>
      <c r="B599" s="253">
        <v>2</v>
      </c>
      <c r="C599" s="257" t="s">
        <v>556</v>
      </c>
      <c r="D599" s="257" t="str">
        <f t="shared" si="30"/>
        <v>2 PE</v>
      </c>
      <c r="E599" t="s">
        <v>482</v>
      </c>
      <c r="F599" t="s">
        <v>483</v>
      </c>
      <c r="G599" t="s">
        <v>470</v>
      </c>
      <c r="H599" t="s">
        <v>462</v>
      </c>
      <c r="I599">
        <f t="shared" si="31"/>
        <v>2007</v>
      </c>
      <c r="J599" s="229">
        <v>621</v>
      </c>
      <c r="K599" s="254">
        <v>11156.01</v>
      </c>
      <c r="L599" s="254">
        <v>982.49</v>
      </c>
      <c r="M599" s="254">
        <v>10173.52</v>
      </c>
      <c r="N599" s="255">
        <v>455</v>
      </c>
      <c r="O599" s="256">
        <v>491</v>
      </c>
      <c r="P599" s="254">
        <f t="shared" si="32"/>
        <v>12038.683318681318</v>
      </c>
    </row>
    <row r="600" spans="1:16" x14ac:dyDescent="0.2">
      <c r="A600" t="s">
        <v>558</v>
      </c>
      <c r="B600" s="253">
        <v>2</v>
      </c>
      <c r="C600" s="257" t="s">
        <v>556</v>
      </c>
      <c r="D600" s="257" t="str">
        <f t="shared" si="30"/>
        <v>2 PE</v>
      </c>
      <c r="E600" t="s">
        <v>482</v>
      </c>
      <c r="F600" t="s">
        <v>483</v>
      </c>
      <c r="G600" t="s">
        <v>469</v>
      </c>
      <c r="H600" t="s">
        <v>462</v>
      </c>
      <c r="I600">
        <f t="shared" si="31"/>
        <v>2010</v>
      </c>
      <c r="J600" s="229">
        <v>1571</v>
      </c>
      <c r="K600" s="254">
        <v>235119.78</v>
      </c>
      <c r="L600" s="254">
        <v>3112.12</v>
      </c>
      <c r="M600" s="254">
        <v>232007.66</v>
      </c>
      <c r="N600" s="255">
        <v>491</v>
      </c>
      <c r="O600" s="256">
        <v>491</v>
      </c>
      <c r="P600" s="254">
        <f t="shared" si="32"/>
        <v>235119.78</v>
      </c>
    </row>
    <row r="601" spans="1:16" x14ac:dyDescent="0.2">
      <c r="A601" t="s">
        <v>558</v>
      </c>
      <c r="B601" s="253">
        <v>2</v>
      </c>
      <c r="C601" s="257" t="s">
        <v>556</v>
      </c>
      <c r="D601" s="257" t="str">
        <f t="shared" si="30"/>
        <v>2 PE</v>
      </c>
      <c r="E601" t="s">
        <v>482</v>
      </c>
      <c r="F601" t="s">
        <v>483</v>
      </c>
      <c r="G601" t="s">
        <v>468</v>
      </c>
      <c r="H601" t="s">
        <v>462</v>
      </c>
      <c r="I601">
        <f t="shared" si="31"/>
        <v>2009</v>
      </c>
      <c r="J601" s="229">
        <v>1900</v>
      </c>
      <c r="K601" s="254">
        <v>75530.28</v>
      </c>
      <c r="L601" s="254">
        <v>2922.76</v>
      </c>
      <c r="M601" s="254">
        <v>72607.520000000004</v>
      </c>
      <c r="N601" s="255">
        <v>502</v>
      </c>
      <c r="O601" s="256">
        <v>491</v>
      </c>
      <c r="P601" s="254">
        <f t="shared" si="32"/>
        <v>73875.234023904384</v>
      </c>
    </row>
    <row r="602" spans="1:16" x14ac:dyDescent="0.2">
      <c r="A602" t="s">
        <v>558</v>
      </c>
      <c r="B602" s="253">
        <v>2</v>
      </c>
      <c r="C602" s="257" t="s">
        <v>556</v>
      </c>
      <c r="D602" s="257" t="str">
        <f t="shared" si="30"/>
        <v>2 PE</v>
      </c>
      <c r="E602" t="s">
        <v>482</v>
      </c>
      <c r="F602" t="s">
        <v>483</v>
      </c>
      <c r="G602" t="s">
        <v>461</v>
      </c>
      <c r="H602" t="s">
        <v>462</v>
      </c>
      <c r="I602">
        <f t="shared" si="31"/>
        <v>2008</v>
      </c>
      <c r="J602" s="229">
        <v>2185</v>
      </c>
      <c r="K602" s="254">
        <v>139984.25</v>
      </c>
      <c r="L602" s="254">
        <v>8887.0300000000007</v>
      </c>
      <c r="M602" s="254">
        <v>131097.22</v>
      </c>
      <c r="N602" s="255">
        <v>474</v>
      </c>
      <c r="O602" s="256">
        <v>491</v>
      </c>
      <c r="P602" s="254">
        <f t="shared" si="32"/>
        <v>145004.78217299576</v>
      </c>
    </row>
    <row r="603" spans="1:16" x14ac:dyDescent="0.2">
      <c r="A603" t="s">
        <v>558</v>
      </c>
      <c r="B603" s="253">
        <v>2</v>
      </c>
      <c r="C603" s="257" t="s">
        <v>556</v>
      </c>
      <c r="D603" s="257" t="str">
        <f t="shared" si="30"/>
        <v>2 PE</v>
      </c>
      <c r="E603" t="s">
        <v>482</v>
      </c>
      <c r="F603" t="s">
        <v>483</v>
      </c>
      <c r="G603" t="s">
        <v>470</v>
      </c>
      <c r="H603" t="s">
        <v>462</v>
      </c>
      <c r="I603">
        <f t="shared" si="31"/>
        <v>2007</v>
      </c>
      <c r="J603" s="229">
        <v>3804</v>
      </c>
      <c r="K603" s="254">
        <v>367134.03</v>
      </c>
      <c r="L603" s="254">
        <v>32333</v>
      </c>
      <c r="M603" s="254">
        <v>334801.03000000003</v>
      </c>
      <c r="N603" s="255">
        <v>455</v>
      </c>
      <c r="O603" s="256">
        <v>491</v>
      </c>
      <c r="P603" s="254">
        <f t="shared" si="32"/>
        <v>396181.9972087912</v>
      </c>
    </row>
    <row r="604" spans="1:16" x14ac:dyDescent="0.2">
      <c r="A604" t="s">
        <v>558</v>
      </c>
      <c r="B604" s="253">
        <v>2</v>
      </c>
      <c r="C604" s="257" t="s">
        <v>556</v>
      </c>
      <c r="D604" s="257" t="str">
        <f t="shared" si="30"/>
        <v>2 PE</v>
      </c>
      <c r="E604" t="s">
        <v>482</v>
      </c>
      <c r="F604" t="s">
        <v>483</v>
      </c>
      <c r="G604" t="s">
        <v>461</v>
      </c>
      <c r="H604" t="s">
        <v>462</v>
      </c>
      <c r="I604">
        <f t="shared" si="31"/>
        <v>2008</v>
      </c>
      <c r="J604" s="229">
        <v>8675</v>
      </c>
      <c r="K604" s="254">
        <v>184714.1</v>
      </c>
      <c r="L604" s="254">
        <v>11726.75</v>
      </c>
      <c r="M604" s="254">
        <v>172987.35</v>
      </c>
      <c r="N604" s="255">
        <v>474</v>
      </c>
      <c r="O604" s="256">
        <v>491</v>
      </c>
      <c r="P604" s="254">
        <f t="shared" si="32"/>
        <v>191338.86729957804</v>
      </c>
    </row>
    <row r="605" spans="1:16" x14ac:dyDescent="0.2">
      <c r="A605" t="s">
        <v>558</v>
      </c>
      <c r="B605" s="253">
        <v>2</v>
      </c>
      <c r="C605" s="257" t="s">
        <v>556</v>
      </c>
      <c r="D605" s="257" t="str">
        <f t="shared" si="30"/>
        <v>2 PE</v>
      </c>
      <c r="E605" t="s">
        <v>482</v>
      </c>
      <c r="F605" t="s">
        <v>483</v>
      </c>
      <c r="G605" t="s">
        <v>468</v>
      </c>
      <c r="H605" t="s">
        <v>462</v>
      </c>
      <c r="I605">
        <f t="shared" si="31"/>
        <v>2009</v>
      </c>
      <c r="J605" s="229">
        <v>8804</v>
      </c>
      <c r="K605" s="254">
        <v>684887.87</v>
      </c>
      <c r="L605" s="254">
        <v>26502.81</v>
      </c>
      <c r="M605" s="254">
        <v>658385.06000000006</v>
      </c>
      <c r="N605" s="255">
        <v>502</v>
      </c>
      <c r="O605" s="256">
        <v>491</v>
      </c>
      <c r="P605" s="254">
        <f t="shared" si="32"/>
        <v>669880.36687250994</v>
      </c>
    </row>
    <row r="606" spans="1:16" x14ac:dyDescent="0.2">
      <c r="A606" t="s">
        <v>558</v>
      </c>
      <c r="B606" s="253">
        <v>2</v>
      </c>
      <c r="C606" s="257" t="s">
        <v>556</v>
      </c>
      <c r="D606" s="257" t="str">
        <f t="shared" si="30"/>
        <v>2 PE</v>
      </c>
      <c r="E606" t="s">
        <v>482</v>
      </c>
      <c r="F606" t="s">
        <v>483</v>
      </c>
      <c r="G606" t="s">
        <v>469</v>
      </c>
      <c r="H606" t="s">
        <v>462</v>
      </c>
      <c r="I606">
        <f t="shared" si="31"/>
        <v>2010</v>
      </c>
      <c r="J606" s="229">
        <v>12903</v>
      </c>
      <c r="K606" s="254">
        <v>743322.49</v>
      </c>
      <c r="L606" s="254">
        <v>9838.86</v>
      </c>
      <c r="M606" s="254">
        <v>733483.63</v>
      </c>
      <c r="N606" s="255">
        <v>491</v>
      </c>
      <c r="O606" s="256">
        <v>491</v>
      </c>
      <c r="P606" s="254">
        <f t="shared" si="32"/>
        <v>743322.49</v>
      </c>
    </row>
    <row r="607" spans="1:16" x14ac:dyDescent="0.2">
      <c r="A607" t="s">
        <v>558</v>
      </c>
      <c r="B607" s="253">
        <v>2</v>
      </c>
      <c r="C607" s="257" t="s">
        <v>556</v>
      </c>
      <c r="D607" s="257" t="str">
        <f t="shared" si="30"/>
        <v>2 PE</v>
      </c>
      <c r="E607" t="s">
        <v>482</v>
      </c>
      <c r="F607" t="s">
        <v>483</v>
      </c>
      <c r="G607" t="s">
        <v>468</v>
      </c>
      <c r="H607" t="s">
        <v>462</v>
      </c>
      <c r="I607">
        <f t="shared" si="31"/>
        <v>2009</v>
      </c>
      <c r="J607" s="229">
        <v>14072</v>
      </c>
      <c r="K607" s="254">
        <v>748216.13</v>
      </c>
      <c r="L607" s="254">
        <v>28953.4</v>
      </c>
      <c r="M607" s="254">
        <v>719262.73</v>
      </c>
      <c r="N607" s="255">
        <v>502</v>
      </c>
      <c r="O607" s="256">
        <v>491</v>
      </c>
      <c r="P607" s="254">
        <f t="shared" si="32"/>
        <v>731820.95583665336</v>
      </c>
    </row>
    <row r="608" spans="1:16" x14ac:dyDescent="0.2">
      <c r="A608" t="s">
        <v>558</v>
      </c>
      <c r="B608" s="253">
        <v>2</v>
      </c>
      <c r="C608" s="257" t="s">
        <v>556</v>
      </c>
      <c r="D608" s="257" t="str">
        <f t="shared" si="30"/>
        <v>2 PE</v>
      </c>
      <c r="E608" t="s">
        <v>482</v>
      </c>
      <c r="F608" t="s">
        <v>483</v>
      </c>
      <c r="G608" t="s">
        <v>469</v>
      </c>
      <c r="H608" t="s">
        <v>462</v>
      </c>
      <c r="I608">
        <f t="shared" si="31"/>
        <v>2010</v>
      </c>
      <c r="J608" s="229">
        <v>26844</v>
      </c>
      <c r="K608" s="254">
        <v>2292041.37</v>
      </c>
      <c r="L608" s="254">
        <v>30338.22</v>
      </c>
      <c r="M608" s="254">
        <v>2261703.15</v>
      </c>
      <c r="N608" s="255">
        <v>491</v>
      </c>
      <c r="O608" s="256">
        <v>491</v>
      </c>
      <c r="P608" s="254">
        <f t="shared" si="32"/>
        <v>2292041.37</v>
      </c>
    </row>
    <row r="609" spans="1:16" x14ac:dyDescent="0.2">
      <c r="A609" t="s">
        <v>558</v>
      </c>
      <c r="B609" s="253">
        <v>2</v>
      </c>
      <c r="C609" s="257" t="s">
        <v>556</v>
      </c>
      <c r="D609" s="257" t="str">
        <f t="shared" si="30"/>
        <v>2 PE</v>
      </c>
      <c r="E609" t="s">
        <v>482</v>
      </c>
      <c r="F609" t="s">
        <v>483</v>
      </c>
      <c r="G609" t="s">
        <v>468</v>
      </c>
      <c r="H609" t="s">
        <v>462</v>
      </c>
      <c r="I609">
        <f t="shared" si="31"/>
        <v>2009</v>
      </c>
      <c r="J609" s="229">
        <v>53600</v>
      </c>
      <c r="K609" s="254">
        <v>2883461.94</v>
      </c>
      <c r="L609" s="254">
        <v>111580.09</v>
      </c>
      <c r="M609" s="254">
        <v>2771881.85</v>
      </c>
      <c r="N609" s="255">
        <v>502</v>
      </c>
      <c r="O609" s="256">
        <v>491</v>
      </c>
      <c r="P609" s="254">
        <f t="shared" si="32"/>
        <v>2820278.5110358568</v>
      </c>
    </row>
    <row r="610" spans="1:16" x14ac:dyDescent="0.2">
      <c r="A610" t="s">
        <v>558</v>
      </c>
      <c r="B610" s="253">
        <v>2</v>
      </c>
      <c r="C610" s="257" t="s">
        <v>556</v>
      </c>
      <c r="D610" s="257" t="str">
        <f t="shared" si="30"/>
        <v>2 PE</v>
      </c>
      <c r="E610" t="s">
        <v>482</v>
      </c>
      <c r="F610" t="s">
        <v>483</v>
      </c>
      <c r="G610" t="s">
        <v>470</v>
      </c>
      <c r="H610" t="s">
        <v>462</v>
      </c>
      <c r="I610">
        <f t="shared" si="31"/>
        <v>2007</v>
      </c>
      <c r="J610" s="229">
        <v>60957</v>
      </c>
      <c r="K610" s="254">
        <v>1112346.98</v>
      </c>
      <c r="L610" s="254">
        <v>97962.91</v>
      </c>
      <c r="M610" s="254">
        <v>1014384.07</v>
      </c>
      <c r="N610" s="255">
        <v>455</v>
      </c>
      <c r="O610" s="256">
        <v>491</v>
      </c>
      <c r="P610" s="254">
        <f t="shared" si="32"/>
        <v>1200356.8509450548</v>
      </c>
    </row>
    <row r="611" spans="1:16" x14ac:dyDescent="0.2">
      <c r="A611" t="s">
        <v>558</v>
      </c>
      <c r="B611" s="253">
        <v>2</v>
      </c>
      <c r="C611" s="257" t="s">
        <v>556</v>
      </c>
      <c r="D611" s="257" t="str">
        <f t="shared" si="30"/>
        <v>2 PE</v>
      </c>
      <c r="E611" t="s">
        <v>482</v>
      </c>
      <c r="F611" t="s">
        <v>483</v>
      </c>
      <c r="G611" t="s">
        <v>469</v>
      </c>
      <c r="H611" t="s">
        <v>462</v>
      </c>
      <c r="I611">
        <f t="shared" si="31"/>
        <v>2010</v>
      </c>
      <c r="J611" s="229">
        <v>64826</v>
      </c>
      <c r="K611" s="254">
        <v>6045929.2400000002</v>
      </c>
      <c r="L611" s="254">
        <v>80025.91</v>
      </c>
      <c r="M611" s="254">
        <v>5965903.3300000001</v>
      </c>
      <c r="N611" s="255">
        <v>491</v>
      </c>
      <c r="O611" s="256">
        <v>491</v>
      </c>
      <c r="P611" s="254">
        <f t="shared" si="32"/>
        <v>6045929.2400000002</v>
      </c>
    </row>
    <row r="612" spans="1:16" x14ac:dyDescent="0.2">
      <c r="A612" t="s">
        <v>558</v>
      </c>
      <c r="B612" s="253">
        <v>2</v>
      </c>
      <c r="C612" s="257" t="s">
        <v>556</v>
      </c>
      <c r="D612" s="257" t="str">
        <f t="shared" si="30"/>
        <v>2 PE</v>
      </c>
      <c r="E612" t="s">
        <v>482</v>
      </c>
      <c r="F612" t="s">
        <v>483</v>
      </c>
      <c r="G612" t="s">
        <v>469</v>
      </c>
      <c r="H612" t="s">
        <v>462</v>
      </c>
      <c r="I612">
        <f t="shared" si="31"/>
        <v>2010</v>
      </c>
      <c r="J612" s="229">
        <v>69227</v>
      </c>
      <c r="K612" s="254">
        <v>5113473.51</v>
      </c>
      <c r="L612" s="254">
        <v>67683.62</v>
      </c>
      <c r="M612" s="254">
        <v>5045789.8899999997</v>
      </c>
      <c r="N612" s="255">
        <v>491</v>
      </c>
      <c r="O612" s="256">
        <v>491</v>
      </c>
      <c r="P612" s="254">
        <f t="shared" si="32"/>
        <v>5113473.51</v>
      </c>
    </row>
    <row r="613" spans="1:16" x14ac:dyDescent="0.2">
      <c r="A613" t="s">
        <v>558</v>
      </c>
      <c r="B613" s="253">
        <v>2</v>
      </c>
      <c r="C613" s="257" t="s">
        <v>556</v>
      </c>
      <c r="D613" s="257" t="str">
        <f t="shared" si="30"/>
        <v>2 PE</v>
      </c>
      <c r="E613" t="s">
        <v>482</v>
      </c>
      <c r="F613" t="s">
        <v>483</v>
      </c>
      <c r="G613" t="s">
        <v>461</v>
      </c>
      <c r="H613" t="s">
        <v>462</v>
      </c>
      <c r="I613">
        <f t="shared" si="31"/>
        <v>2008</v>
      </c>
      <c r="J613" s="229">
        <v>69513</v>
      </c>
      <c r="K613" s="254">
        <v>1092118.25</v>
      </c>
      <c r="L613" s="254">
        <v>69334.179999999993</v>
      </c>
      <c r="M613" s="254">
        <v>1022784.07</v>
      </c>
      <c r="N613" s="255">
        <v>474</v>
      </c>
      <c r="O613" s="256">
        <v>491</v>
      </c>
      <c r="P613" s="254">
        <f t="shared" si="32"/>
        <v>1131287.0479957804</v>
      </c>
    </row>
    <row r="614" spans="1:16" x14ac:dyDescent="0.2">
      <c r="A614" t="s">
        <v>558</v>
      </c>
      <c r="B614" s="253">
        <v>2</v>
      </c>
      <c r="C614" s="257" t="s">
        <v>556</v>
      </c>
      <c r="D614" s="257" t="str">
        <f t="shared" si="30"/>
        <v>2 PE</v>
      </c>
      <c r="E614" t="s">
        <v>482</v>
      </c>
      <c r="F614" t="s">
        <v>483</v>
      </c>
      <c r="G614" t="s">
        <v>468</v>
      </c>
      <c r="H614" t="s">
        <v>462</v>
      </c>
      <c r="I614">
        <f t="shared" si="31"/>
        <v>2009</v>
      </c>
      <c r="J614" s="229">
        <v>93827</v>
      </c>
      <c r="K614" s="254">
        <v>5815151.7699999996</v>
      </c>
      <c r="L614" s="254">
        <v>225026.43</v>
      </c>
      <c r="M614" s="254">
        <v>5590125.3399999999</v>
      </c>
      <c r="N614" s="255">
        <v>502</v>
      </c>
      <c r="O614" s="256">
        <v>491</v>
      </c>
      <c r="P614" s="254">
        <f t="shared" si="32"/>
        <v>5687728.1256374503</v>
      </c>
    </row>
    <row r="615" spans="1:16" x14ac:dyDescent="0.2">
      <c r="A615" t="s">
        <v>558</v>
      </c>
      <c r="B615" s="253">
        <v>2</v>
      </c>
      <c r="C615" s="257" t="s">
        <v>556</v>
      </c>
      <c r="D615" s="257" t="str">
        <f t="shared" si="30"/>
        <v>2 PE</v>
      </c>
      <c r="E615" t="s">
        <v>482</v>
      </c>
      <c r="F615" t="s">
        <v>483</v>
      </c>
      <c r="G615" t="s">
        <v>470</v>
      </c>
      <c r="H615" t="s">
        <v>462</v>
      </c>
      <c r="I615">
        <f t="shared" si="31"/>
        <v>2007</v>
      </c>
      <c r="J615" s="229">
        <v>148628</v>
      </c>
      <c r="K615" s="254">
        <v>1472630.51</v>
      </c>
      <c r="L615" s="254">
        <v>129692.6</v>
      </c>
      <c r="M615" s="254">
        <v>1342937.91</v>
      </c>
      <c r="N615" s="255">
        <v>455</v>
      </c>
      <c r="O615" s="256">
        <v>491</v>
      </c>
      <c r="P615" s="254">
        <f t="shared" si="32"/>
        <v>1589146.3305714284</v>
      </c>
    </row>
    <row r="616" spans="1:16" x14ac:dyDescent="0.2">
      <c r="A616" t="s">
        <v>558</v>
      </c>
      <c r="B616" s="253">
        <v>2</v>
      </c>
      <c r="C616" s="257" t="s">
        <v>556</v>
      </c>
      <c r="D616" s="257" t="str">
        <f t="shared" si="30"/>
        <v>2 PE</v>
      </c>
      <c r="E616" t="s">
        <v>482</v>
      </c>
      <c r="F616" t="s">
        <v>483</v>
      </c>
      <c r="G616" t="s">
        <v>468</v>
      </c>
      <c r="H616" t="s">
        <v>462</v>
      </c>
      <c r="I616">
        <f t="shared" si="31"/>
        <v>2009</v>
      </c>
      <c r="J616" s="229">
        <v>161525</v>
      </c>
      <c r="K616" s="254">
        <v>11647221.35</v>
      </c>
      <c r="L616" s="254">
        <v>450707.52</v>
      </c>
      <c r="M616" s="254">
        <v>11196513.83</v>
      </c>
      <c r="N616" s="255">
        <v>502</v>
      </c>
      <c r="O616" s="256">
        <v>491</v>
      </c>
      <c r="P616" s="254">
        <f t="shared" si="32"/>
        <v>11392003.352290837</v>
      </c>
    </row>
    <row r="617" spans="1:16" x14ac:dyDescent="0.2">
      <c r="A617" t="s">
        <v>558</v>
      </c>
      <c r="B617" s="253">
        <v>2</v>
      </c>
      <c r="C617" s="257" t="s">
        <v>556</v>
      </c>
      <c r="D617" s="257" t="str">
        <f t="shared" si="30"/>
        <v>2 PE</v>
      </c>
      <c r="E617" t="s">
        <v>482</v>
      </c>
      <c r="F617" t="s">
        <v>483</v>
      </c>
      <c r="G617" t="s">
        <v>461</v>
      </c>
      <c r="H617" t="s">
        <v>462</v>
      </c>
      <c r="I617">
        <f t="shared" si="31"/>
        <v>2008</v>
      </c>
      <c r="J617" s="229">
        <v>177236</v>
      </c>
      <c r="K617" s="254">
        <v>6098429.3200000003</v>
      </c>
      <c r="L617" s="254">
        <v>387164.64</v>
      </c>
      <c r="M617" s="254">
        <v>5711264.6799999997</v>
      </c>
      <c r="N617" s="255">
        <v>474</v>
      </c>
      <c r="O617" s="256">
        <v>491</v>
      </c>
      <c r="P617" s="254">
        <f t="shared" si="32"/>
        <v>6317149.3589029536</v>
      </c>
    </row>
    <row r="618" spans="1:16" x14ac:dyDescent="0.2">
      <c r="A618" t="s">
        <v>558</v>
      </c>
      <c r="B618" s="253">
        <v>2</v>
      </c>
      <c r="C618" s="257" t="s">
        <v>556</v>
      </c>
      <c r="D618" s="257" t="str">
        <f t="shared" si="30"/>
        <v>2 PE</v>
      </c>
      <c r="E618" t="s">
        <v>482</v>
      </c>
      <c r="F618" t="s">
        <v>483</v>
      </c>
      <c r="G618" t="s">
        <v>470</v>
      </c>
      <c r="H618" t="s">
        <v>462</v>
      </c>
      <c r="I618">
        <f t="shared" si="31"/>
        <v>2007</v>
      </c>
      <c r="J618" s="229">
        <v>185608</v>
      </c>
      <c r="K618" s="254">
        <v>4104470.72</v>
      </c>
      <c r="L618" s="254">
        <v>361475.24</v>
      </c>
      <c r="M618" s="254">
        <v>3742995.48</v>
      </c>
      <c r="N618" s="255">
        <v>455</v>
      </c>
      <c r="O618" s="256">
        <v>491</v>
      </c>
      <c r="P618" s="254">
        <f t="shared" si="32"/>
        <v>4429220.0516923079</v>
      </c>
    </row>
    <row r="619" spans="1:16" x14ac:dyDescent="0.2">
      <c r="A619" t="s">
        <v>558</v>
      </c>
      <c r="B619" s="253">
        <v>2</v>
      </c>
      <c r="C619" s="257" t="s">
        <v>556</v>
      </c>
      <c r="D619" s="257" t="str">
        <f t="shared" si="30"/>
        <v>2 PE</v>
      </c>
      <c r="E619" t="s">
        <v>482</v>
      </c>
      <c r="F619" t="s">
        <v>483</v>
      </c>
      <c r="G619" t="s">
        <v>461</v>
      </c>
      <c r="H619" t="s">
        <v>462</v>
      </c>
      <c r="I619">
        <f t="shared" si="31"/>
        <v>2008</v>
      </c>
      <c r="J619" s="229">
        <v>208915</v>
      </c>
      <c r="K619" s="254">
        <v>10052284.83</v>
      </c>
      <c r="L619" s="254">
        <v>638178.94999999995</v>
      </c>
      <c r="M619" s="254">
        <v>9414105.8800000008</v>
      </c>
      <c r="N619" s="255">
        <v>474</v>
      </c>
      <c r="O619" s="256">
        <v>491</v>
      </c>
      <c r="P619" s="254">
        <f t="shared" si="32"/>
        <v>10412809.813354429</v>
      </c>
    </row>
    <row r="620" spans="1:16" x14ac:dyDescent="0.2">
      <c r="A620" t="s">
        <v>558</v>
      </c>
      <c r="B620" s="253">
        <v>2</v>
      </c>
      <c r="C620" s="257" t="s">
        <v>556</v>
      </c>
      <c r="D620" s="257" t="str">
        <f t="shared" si="30"/>
        <v>2 PE</v>
      </c>
      <c r="E620" t="s">
        <v>482</v>
      </c>
      <c r="F620" t="s">
        <v>483</v>
      </c>
      <c r="G620" t="s">
        <v>461</v>
      </c>
      <c r="H620" t="s">
        <v>462</v>
      </c>
      <c r="I620">
        <f t="shared" si="31"/>
        <v>2008</v>
      </c>
      <c r="J620" s="229">
        <v>215286</v>
      </c>
      <c r="K620" s="254">
        <v>7666554.71</v>
      </c>
      <c r="L620" s="254">
        <v>486718.59</v>
      </c>
      <c r="M620" s="254">
        <v>7179836.1200000001</v>
      </c>
      <c r="N620" s="255">
        <v>474</v>
      </c>
      <c r="O620" s="256">
        <v>491</v>
      </c>
      <c r="P620" s="254">
        <f t="shared" si="32"/>
        <v>7941515.5329324882</v>
      </c>
    </row>
    <row r="621" spans="1:16" x14ac:dyDescent="0.2">
      <c r="A621" t="s">
        <v>558</v>
      </c>
      <c r="B621" s="253">
        <v>2</v>
      </c>
      <c r="C621" s="257" t="s">
        <v>556</v>
      </c>
      <c r="D621" s="257" t="str">
        <f t="shared" si="30"/>
        <v>2 PE</v>
      </c>
      <c r="E621" t="s">
        <v>482</v>
      </c>
      <c r="F621" t="s">
        <v>483</v>
      </c>
      <c r="G621" t="s">
        <v>467</v>
      </c>
      <c r="H621" t="s">
        <v>462</v>
      </c>
      <c r="I621">
        <f t="shared" si="31"/>
        <v>1996</v>
      </c>
      <c r="J621" s="229">
        <v>230584</v>
      </c>
      <c r="K621" s="254">
        <v>3279427.98</v>
      </c>
      <c r="L621" s="254">
        <v>1206691.01</v>
      </c>
      <c r="M621" s="254">
        <v>2072736.97</v>
      </c>
      <c r="N621" s="255">
        <v>334</v>
      </c>
      <c r="O621" s="256">
        <v>491</v>
      </c>
      <c r="P621" s="254">
        <f t="shared" si="32"/>
        <v>4820955.503532934</v>
      </c>
    </row>
    <row r="622" spans="1:16" x14ac:dyDescent="0.2">
      <c r="A622" t="s">
        <v>558</v>
      </c>
      <c r="B622" s="253">
        <v>2</v>
      </c>
      <c r="C622" s="257" t="s">
        <v>556</v>
      </c>
      <c r="D622" s="257" t="str">
        <f t="shared" si="30"/>
        <v>2 PE</v>
      </c>
      <c r="E622" t="s">
        <v>482</v>
      </c>
      <c r="F622" t="s">
        <v>483</v>
      </c>
      <c r="G622" t="s">
        <v>470</v>
      </c>
      <c r="H622" t="s">
        <v>462</v>
      </c>
      <c r="I622">
        <f t="shared" si="31"/>
        <v>2007</v>
      </c>
      <c r="J622" s="229">
        <v>249943</v>
      </c>
      <c r="K622" s="254">
        <v>6041666.7400000002</v>
      </c>
      <c r="L622" s="254">
        <v>532081.49</v>
      </c>
      <c r="M622" s="254">
        <v>5509585.25</v>
      </c>
      <c r="N622" s="255">
        <v>455</v>
      </c>
      <c r="O622" s="256">
        <v>491</v>
      </c>
      <c r="P622" s="254">
        <f t="shared" si="32"/>
        <v>6519688.723824176</v>
      </c>
    </row>
    <row r="623" spans="1:16" x14ac:dyDescent="0.2">
      <c r="A623" t="s">
        <v>558</v>
      </c>
      <c r="B623" s="253">
        <v>2</v>
      </c>
      <c r="C623" s="257" t="s">
        <v>556</v>
      </c>
      <c r="D623" s="257" t="str">
        <f t="shared" si="30"/>
        <v>2 PE</v>
      </c>
      <c r="E623" t="s">
        <v>482</v>
      </c>
      <c r="F623" t="s">
        <v>483</v>
      </c>
      <c r="G623" t="s">
        <v>470</v>
      </c>
      <c r="H623" t="s">
        <v>462</v>
      </c>
      <c r="I623">
        <f t="shared" si="31"/>
        <v>2007</v>
      </c>
      <c r="J623" s="229">
        <v>387496</v>
      </c>
      <c r="K623" s="254">
        <v>8152539.79</v>
      </c>
      <c r="L623" s="254">
        <v>717983.25</v>
      </c>
      <c r="M623" s="254">
        <v>7434556.54</v>
      </c>
      <c r="N623" s="255">
        <v>455</v>
      </c>
      <c r="O623" s="256">
        <v>491</v>
      </c>
      <c r="P623" s="254">
        <f t="shared" si="32"/>
        <v>8797575.9052527472</v>
      </c>
    </row>
    <row r="624" spans="1:16" x14ac:dyDescent="0.2">
      <c r="A624" t="s">
        <v>558</v>
      </c>
      <c r="B624" s="253">
        <v>2</v>
      </c>
      <c r="C624" s="257" t="s">
        <v>556</v>
      </c>
      <c r="D624" s="257" t="str">
        <f t="shared" si="30"/>
        <v>2 PE</v>
      </c>
      <c r="E624" t="s">
        <v>482</v>
      </c>
      <c r="F624" t="s">
        <v>483</v>
      </c>
      <c r="G624" t="s">
        <v>475</v>
      </c>
      <c r="H624" t="s">
        <v>462</v>
      </c>
      <c r="I624">
        <f t="shared" si="31"/>
        <v>2002</v>
      </c>
      <c r="J624" s="229">
        <v>688106</v>
      </c>
      <c r="K624" s="254">
        <v>15529232.41</v>
      </c>
      <c r="L624" s="254">
        <v>3304215.97</v>
      </c>
      <c r="M624" s="254">
        <v>12225016.439999999</v>
      </c>
      <c r="N624" s="255">
        <v>373</v>
      </c>
      <c r="O624" s="256">
        <v>491</v>
      </c>
      <c r="P624" s="254">
        <f t="shared" si="32"/>
        <v>20441965.451233245</v>
      </c>
    </row>
    <row r="625" spans="1:16" x14ac:dyDescent="0.2">
      <c r="A625" t="s">
        <v>558</v>
      </c>
      <c r="B625" s="253">
        <v>2</v>
      </c>
      <c r="C625" s="257" t="s">
        <v>556</v>
      </c>
      <c r="D625" s="257" t="str">
        <f t="shared" si="30"/>
        <v>2 PE</v>
      </c>
      <c r="E625" t="s">
        <v>482</v>
      </c>
      <c r="F625" t="s">
        <v>483</v>
      </c>
      <c r="G625" t="s">
        <v>477</v>
      </c>
      <c r="H625" t="s">
        <v>462</v>
      </c>
      <c r="I625">
        <f t="shared" si="31"/>
        <v>2006</v>
      </c>
      <c r="J625" s="229">
        <v>872355</v>
      </c>
      <c r="K625" s="254">
        <v>18136467.390000001</v>
      </c>
      <c r="L625" s="254">
        <v>2043172.26</v>
      </c>
      <c r="M625" s="254">
        <v>16093295.130000001</v>
      </c>
      <c r="N625" s="255">
        <v>434</v>
      </c>
      <c r="O625" s="256">
        <v>491</v>
      </c>
      <c r="P625" s="254">
        <f t="shared" si="32"/>
        <v>20518445.826013826</v>
      </c>
    </row>
    <row r="626" spans="1:16" x14ac:dyDescent="0.2">
      <c r="A626" t="s">
        <v>558</v>
      </c>
      <c r="B626" s="253">
        <v>2</v>
      </c>
      <c r="C626" s="257" t="s">
        <v>556</v>
      </c>
      <c r="D626" s="257" t="str">
        <f t="shared" si="30"/>
        <v>2 PE</v>
      </c>
      <c r="E626" t="s">
        <v>482</v>
      </c>
      <c r="F626" t="s">
        <v>483</v>
      </c>
      <c r="G626" t="s">
        <v>471</v>
      </c>
      <c r="H626" t="s">
        <v>462</v>
      </c>
      <c r="I626">
        <f t="shared" si="31"/>
        <v>2003</v>
      </c>
      <c r="J626" s="229">
        <v>892696</v>
      </c>
      <c r="K626" s="254">
        <v>14917980.220000001</v>
      </c>
      <c r="L626" s="254">
        <v>2795986.18</v>
      </c>
      <c r="M626" s="254">
        <v>12121994.039999999</v>
      </c>
      <c r="N626" s="255">
        <v>377</v>
      </c>
      <c r="O626" s="256">
        <v>491</v>
      </c>
      <c r="P626" s="254">
        <f t="shared" si="32"/>
        <v>19428987.501379311</v>
      </c>
    </row>
    <row r="627" spans="1:16" x14ac:dyDescent="0.2">
      <c r="A627" t="s">
        <v>558</v>
      </c>
      <c r="B627" s="253">
        <v>2</v>
      </c>
      <c r="C627" s="257" t="s">
        <v>556</v>
      </c>
      <c r="D627" s="257" t="str">
        <f t="shared" si="30"/>
        <v>2 PE</v>
      </c>
      <c r="E627" t="s">
        <v>482</v>
      </c>
      <c r="F627" t="s">
        <v>483</v>
      </c>
      <c r="G627" t="s">
        <v>478</v>
      </c>
      <c r="H627" t="s">
        <v>462</v>
      </c>
      <c r="I627">
        <f t="shared" si="31"/>
        <v>2001</v>
      </c>
      <c r="J627" s="229">
        <v>946621</v>
      </c>
      <c r="K627" s="254">
        <v>20895022.100000001</v>
      </c>
      <c r="L627" s="254">
        <v>4979697.91</v>
      </c>
      <c r="M627" s="254">
        <v>15915324.189999999</v>
      </c>
      <c r="N627" s="255">
        <v>363</v>
      </c>
      <c r="O627" s="256">
        <v>491</v>
      </c>
      <c r="P627" s="254">
        <f t="shared" si="32"/>
        <v>28262963.777134988</v>
      </c>
    </row>
    <row r="628" spans="1:16" x14ac:dyDescent="0.2">
      <c r="A628" t="s">
        <v>558</v>
      </c>
      <c r="B628" s="253">
        <v>2</v>
      </c>
      <c r="C628" s="257" t="s">
        <v>556</v>
      </c>
      <c r="D628" s="257" t="str">
        <f t="shared" si="30"/>
        <v>2 PE</v>
      </c>
      <c r="E628" t="s">
        <v>482</v>
      </c>
      <c r="F628" t="s">
        <v>483</v>
      </c>
      <c r="G628" t="s">
        <v>474</v>
      </c>
      <c r="H628" t="s">
        <v>462</v>
      </c>
      <c r="I628">
        <f t="shared" si="31"/>
        <v>2005</v>
      </c>
      <c r="J628" s="229">
        <v>971108</v>
      </c>
      <c r="K628" s="254">
        <v>21446078.27</v>
      </c>
      <c r="L628" s="254">
        <v>2946297.19</v>
      </c>
      <c r="M628" s="254">
        <v>18499781.079999998</v>
      </c>
      <c r="N628" s="255">
        <v>414</v>
      </c>
      <c r="O628" s="256">
        <v>491</v>
      </c>
      <c r="P628" s="254">
        <f t="shared" si="32"/>
        <v>25434841.619734298</v>
      </c>
    </row>
    <row r="629" spans="1:16" x14ac:dyDescent="0.2">
      <c r="A629" t="s">
        <v>558</v>
      </c>
      <c r="B629" s="253">
        <v>2</v>
      </c>
      <c r="C629" s="257" t="s">
        <v>556</v>
      </c>
      <c r="D629" s="257" t="str">
        <f t="shared" si="30"/>
        <v>2 PE</v>
      </c>
      <c r="E629" t="s">
        <v>482</v>
      </c>
      <c r="F629" t="s">
        <v>483</v>
      </c>
      <c r="G629" t="s">
        <v>476</v>
      </c>
      <c r="H629" t="s">
        <v>462</v>
      </c>
      <c r="I629">
        <f t="shared" si="31"/>
        <v>2004</v>
      </c>
      <c r="J629" s="229">
        <v>1034681</v>
      </c>
      <c r="K629" s="254">
        <v>22413167.260000002</v>
      </c>
      <c r="L629" s="254">
        <v>3637384.73</v>
      </c>
      <c r="M629" s="254">
        <v>18775782.530000001</v>
      </c>
      <c r="N629" s="255">
        <v>387</v>
      </c>
      <c r="O629" s="256">
        <v>491</v>
      </c>
      <c r="P629" s="254">
        <f t="shared" si="32"/>
        <v>28436343.991369512</v>
      </c>
    </row>
    <row r="630" spans="1:16" x14ac:dyDescent="0.2">
      <c r="A630" t="s">
        <v>558</v>
      </c>
      <c r="B630" s="253">
        <v>2</v>
      </c>
      <c r="C630" s="257" t="s">
        <v>556</v>
      </c>
      <c r="D630" s="257" t="str">
        <f t="shared" si="30"/>
        <v>2 PE</v>
      </c>
      <c r="E630" t="s">
        <v>482</v>
      </c>
      <c r="F630" t="s">
        <v>483</v>
      </c>
      <c r="G630" t="s">
        <v>480</v>
      </c>
      <c r="H630" t="s">
        <v>462</v>
      </c>
      <c r="I630">
        <f t="shared" si="31"/>
        <v>1999</v>
      </c>
      <c r="J630" s="229">
        <v>1052540</v>
      </c>
      <c r="K630" s="254">
        <v>10935802.41</v>
      </c>
      <c r="L630" s="254">
        <v>3170345.98</v>
      </c>
      <c r="M630" s="254">
        <v>7765456.4299999997</v>
      </c>
      <c r="N630" s="255">
        <v>352</v>
      </c>
      <c r="O630" s="256">
        <v>491</v>
      </c>
      <c r="P630" s="254">
        <f t="shared" si="32"/>
        <v>15254201.657130681</v>
      </c>
    </row>
    <row r="631" spans="1:16" x14ac:dyDescent="0.2">
      <c r="A631" t="s">
        <v>558</v>
      </c>
      <c r="B631" s="253">
        <v>2</v>
      </c>
      <c r="C631" s="257" t="s">
        <v>556</v>
      </c>
      <c r="D631" s="257" t="str">
        <f t="shared" si="30"/>
        <v>2 PE</v>
      </c>
      <c r="E631" t="s">
        <v>482</v>
      </c>
      <c r="F631" t="s">
        <v>483</v>
      </c>
      <c r="G631" t="s">
        <v>473</v>
      </c>
      <c r="H631" t="s">
        <v>462</v>
      </c>
      <c r="I631">
        <f t="shared" si="31"/>
        <v>1997</v>
      </c>
      <c r="J631" s="229">
        <v>1055944</v>
      </c>
      <c r="K631" s="254">
        <v>11890022.140000001</v>
      </c>
      <c r="L631" s="254">
        <v>4065270.62</v>
      </c>
      <c r="M631" s="254">
        <v>7824751.5199999996</v>
      </c>
      <c r="N631" s="255">
        <v>341</v>
      </c>
      <c r="O631" s="256">
        <v>491</v>
      </c>
      <c r="P631" s="254">
        <f t="shared" si="32"/>
        <v>17120237.15759531</v>
      </c>
    </row>
    <row r="632" spans="1:16" x14ac:dyDescent="0.2">
      <c r="A632" t="s">
        <v>558</v>
      </c>
      <c r="B632" s="253">
        <v>2</v>
      </c>
      <c r="C632" s="257" t="s">
        <v>556</v>
      </c>
      <c r="D632" s="257" t="str">
        <f t="shared" si="30"/>
        <v>2 PE</v>
      </c>
      <c r="E632" t="s">
        <v>482</v>
      </c>
      <c r="F632" t="s">
        <v>483</v>
      </c>
      <c r="G632" t="s">
        <v>472</v>
      </c>
      <c r="H632" t="s">
        <v>462</v>
      </c>
      <c r="I632">
        <f t="shared" si="31"/>
        <v>2000</v>
      </c>
      <c r="J632" s="229">
        <v>1074069</v>
      </c>
      <c r="K632" s="254">
        <v>14475548.41</v>
      </c>
      <c r="L632" s="254">
        <v>3822040.57</v>
      </c>
      <c r="M632" s="254">
        <v>10653507.84</v>
      </c>
      <c r="N632" s="255">
        <v>356</v>
      </c>
      <c r="O632" s="256">
        <v>491</v>
      </c>
      <c r="P632" s="254">
        <f t="shared" si="32"/>
        <v>19964871.543005619</v>
      </c>
    </row>
    <row r="633" spans="1:16" x14ac:dyDescent="0.2">
      <c r="A633" t="s">
        <v>558</v>
      </c>
      <c r="B633" s="253">
        <v>2</v>
      </c>
      <c r="C633" s="257" t="s">
        <v>556</v>
      </c>
      <c r="D633" s="257" t="str">
        <f t="shared" si="30"/>
        <v>2 PE</v>
      </c>
      <c r="E633" t="s">
        <v>482</v>
      </c>
      <c r="F633" t="s">
        <v>483</v>
      </c>
      <c r="G633" t="s">
        <v>479</v>
      </c>
      <c r="H633" t="s">
        <v>462</v>
      </c>
      <c r="I633">
        <f t="shared" si="31"/>
        <v>1998</v>
      </c>
      <c r="J633" s="229">
        <v>1353173</v>
      </c>
      <c r="K633" s="254">
        <v>12946759.859999999</v>
      </c>
      <c r="L633" s="254">
        <v>4089560.49</v>
      </c>
      <c r="M633" s="254">
        <v>8857199.3699999992</v>
      </c>
      <c r="N633" s="255">
        <v>346</v>
      </c>
      <c r="O633" s="256">
        <v>491</v>
      </c>
      <c r="P633" s="254">
        <f t="shared" si="32"/>
        <v>18372425.119248554</v>
      </c>
    </row>
    <row r="634" spans="1:16" x14ac:dyDescent="0.2">
      <c r="A634" t="s">
        <v>558</v>
      </c>
      <c r="B634" s="253">
        <v>2</v>
      </c>
      <c r="C634" s="257" t="s">
        <v>556</v>
      </c>
      <c r="D634" s="257" t="str">
        <f t="shared" si="30"/>
        <v>2 PE</v>
      </c>
      <c r="E634" t="s">
        <v>482</v>
      </c>
      <c r="F634" t="s">
        <v>483</v>
      </c>
      <c r="G634" s="13">
        <v>2010</v>
      </c>
      <c r="H634" t="s">
        <v>462</v>
      </c>
      <c r="I634">
        <f t="shared" si="31"/>
        <v>2010</v>
      </c>
      <c r="J634" s="229">
        <v>2640</v>
      </c>
      <c r="K634" s="254">
        <v>289794.75</v>
      </c>
      <c r="M634" s="263">
        <f>+K634-L634</f>
        <v>289794.75</v>
      </c>
      <c r="N634" s="255">
        <v>491</v>
      </c>
      <c r="O634" s="256">
        <v>491</v>
      </c>
      <c r="P634" s="254">
        <f t="shared" si="32"/>
        <v>289794.75</v>
      </c>
    </row>
    <row r="635" spans="1:16" x14ac:dyDescent="0.2">
      <c r="A635" t="s">
        <v>559</v>
      </c>
      <c r="B635" s="253">
        <v>3</v>
      </c>
      <c r="C635" s="257" t="s">
        <v>556</v>
      </c>
      <c r="D635" s="257" t="str">
        <f t="shared" si="30"/>
        <v>3 PE</v>
      </c>
      <c r="E635" t="s">
        <v>482</v>
      </c>
      <c r="F635" t="s">
        <v>483</v>
      </c>
      <c r="G635" t="s">
        <v>477</v>
      </c>
      <c r="H635" t="s">
        <v>462</v>
      </c>
      <c r="I635">
        <f t="shared" si="31"/>
        <v>2006</v>
      </c>
      <c r="J635" s="229">
        <v>7</v>
      </c>
      <c r="K635" s="254">
        <v>1403.93</v>
      </c>
      <c r="L635" s="254">
        <v>158.16</v>
      </c>
      <c r="M635" s="254">
        <v>1245.77</v>
      </c>
      <c r="N635" s="255">
        <v>434</v>
      </c>
      <c r="O635" s="256">
        <v>491</v>
      </c>
      <c r="P635" s="254">
        <f t="shared" si="32"/>
        <v>1588.3171198156683</v>
      </c>
    </row>
    <row r="636" spans="1:16" x14ac:dyDescent="0.2">
      <c r="A636" t="s">
        <v>559</v>
      </c>
      <c r="B636" s="253">
        <v>3</v>
      </c>
      <c r="C636" s="257" t="s">
        <v>556</v>
      </c>
      <c r="D636" s="257" t="str">
        <f t="shared" si="30"/>
        <v>3 PE</v>
      </c>
      <c r="E636" t="s">
        <v>482</v>
      </c>
      <c r="F636" t="s">
        <v>483</v>
      </c>
      <c r="G636" t="s">
        <v>468</v>
      </c>
      <c r="H636" t="s">
        <v>462</v>
      </c>
      <c r="I636">
        <f t="shared" si="31"/>
        <v>2009</v>
      </c>
      <c r="J636" s="229">
        <v>81</v>
      </c>
      <c r="K636" s="254">
        <v>164986.13</v>
      </c>
      <c r="L636" s="254">
        <v>6384.4</v>
      </c>
      <c r="M636" s="254">
        <v>158601.73000000001</v>
      </c>
      <c r="N636" s="255">
        <v>502</v>
      </c>
      <c r="O636" s="256">
        <v>491</v>
      </c>
      <c r="P636" s="254">
        <f t="shared" si="32"/>
        <v>161370.89607569721</v>
      </c>
    </row>
    <row r="637" spans="1:16" x14ac:dyDescent="0.2">
      <c r="A637" t="s">
        <v>559</v>
      </c>
      <c r="B637" s="253">
        <v>3</v>
      </c>
      <c r="C637" s="257" t="s">
        <v>556</v>
      </c>
      <c r="D637" s="257" t="str">
        <f t="shared" si="30"/>
        <v>3 PE</v>
      </c>
      <c r="E637" t="s">
        <v>482</v>
      </c>
      <c r="F637" t="s">
        <v>483</v>
      </c>
      <c r="G637" t="s">
        <v>470</v>
      </c>
      <c r="H637" t="s">
        <v>462</v>
      </c>
      <c r="I637">
        <f t="shared" si="31"/>
        <v>2007</v>
      </c>
      <c r="J637" s="229">
        <v>84</v>
      </c>
      <c r="K637" s="254">
        <v>9532.4</v>
      </c>
      <c r="L637" s="254">
        <v>839.51</v>
      </c>
      <c r="M637" s="254">
        <v>8692.89</v>
      </c>
      <c r="N637" s="255">
        <v>455</v>
      </c>
      <c r="O637" s="256">
        <v>491</v>
      </c>
      <c r="P637" s="254">
        <f t="shared" si="32"/>
        <v>10286.611868131868</v>
      </c>
    </row>
    <row r="638" spans="1:16" x14ac:dyDescent="0.2">
      <c r="A638" t="s">
        <v>559</v>
      </c>
      <c r="B638" s="253">
        <v>3</v>
      </c>
      <c r="C638" s="257" t="s">
        <v>556</v>
      </c>
      <c r="D638" s="257" t="str">
        <f t="shared" si="30"/>
        <v>3 PE</v>
      </c>
      <c r="E638" t="s">
        <v>482</v>
      </c>
      <c r="F638" t="s">
        <v>483</v>
      </c>
      <c r="G638" t="s">
        <v>475</v>
      </c>
      <c r="H638" t="s">
        <v>462</v>
      </c>
      <c r="I638">
        <f t="shared" si="31"/>
        <v>2002</v>
      </c>
      <c r="J638" s="229">
        <v>685</v>
      </c>
      <c r="K638" s="254">
        <v>23445.55</v>
      </c>
      <c r="L638" s="254">
        <v>4988.6000000000004</v>
      </c>
      <c r="M638" s="254">
        <v>18456.95</v>
      </c>
      <c r="N638" s="255">
        <v>373</v>
      </c>
      <c r="O638" s="256">
        <v>491</v>
      </c>
      <c r="P638" s="254">
        <f t="shared" si="32"/>
        <v>30862.640884718498</v>
      </c>
    </row>
    <row r="639" spans="1:16" x14ac:dyDescent="0.2">
      <c r="A639" t="s">
        <v>559</v>
      </c>
      <c r="B639" s="253">
        <v>3</v>
      </c>
      <c r="C639" s="257" t="s">
        <v>556</v>
      </c>
      <c r="D639" s="257" t="str">
        <f t="shared" si="30"/>
        <v>3 PE</v>
      </c>
      <c r="E639" t="s">
        <v>482</v>
      </c>
      <c r="F639" t="s">
        <v>483</v>
      </c>
      <c r="G639" t="s">
        <v>472</v>
      </c>
      <c r="H639" t="s">
        <v>462</v>
      </c>
      <c r="I639">
        <f t="shared" si="31"/>
        <v>2000</v>
      </c>
      <c r="J639" s="229">
        <v>1490</v>
      </c>
      <c r="K639" s="254">
        <v>358.82</v>
      </c>
      <c r="L639" s="254">
        <v>94.74</v>
      </c>
      <c r="M639" s="254">
        <v>264.08</v>
      </c>
      <c r="N639" s="255">
        <v>356</v>
      </c>
      <c r="O639" s="256">
        <v>491</v>
      </c>
      <c r="P639" s="254">
        <f t="shared" si="32"/>
        <v>494.88938202247192</v>
      </c>
    </row>
    <row r="640" spans="1:16" x14ac:dyDescent="0.2">
      <c r="A640" t="s">
        <v>559</v>
      </c>
      <c r="B640" s="253">
        <v>3</v>
      </c>
      <c r="C640" s="257" t="s">
        <v>556</v>
      </c>
      <c r="D640" s="257" t="str">
        <f t="shared" si="30"/>
        <v>3 PE</v>
      </c>
      <c r="E640" t="s">
        <v>482</v>
      </c>
      <c r="F640" t="s">
        <v>483</v>
      </c>
      <c r="G640" t="s">
        <v>473</v>
      </c>
      <c r="H640" t="s">
        <v>462</v>
      </c>
      <c r="I640">
        <f t="shared" si="31"/>
        <v>1997</v>
      </c>
      <c r="J640" s="229">
        <v>1812</v>
      </c>
      <c r="K640" s="254">
        <v>49726.59</v>
      </c>
      <c r="L640" s="254">
        <v>17001.82</v>
      </c>
      <c r="M640" s="254">
        <v>32724.77</v>
      </c>
      <c r="N640" s="255">
        <v>341</v>
      </c>
      <c r="O640" s="256">
        <v>491</v>
      </c>
      <c r="P640" s="254">
        <f t="shared" si="32"/>
        <v>71600.45656891496</v>
      </c>
    </row>
    <row r="641" spans="1:16" x14ac:dyDescent="0.2">
      <c r="A641" t="s">
        <v>559</v>
      </c>
      <c r="B641" s="253">
        <v>3</v>
      </c>
      <c r="C641" s="257" t="s">
        <v>556</v>
      </c>
      <c r="D641" s="257" t="str">
        <f t="shared" si="30"/>
        <v>3 PE</v>
      </c>
      <c r="E641" t="s">
        <v>482</v>
      </c>
      <c r="F641" t="s">
        <v>483</v>
      </c>
      <c r="G641" t="s">
        <v>479</v>
      </c>
      <c r="H641" t="s">
        <v>462</v>
      </c>
      <c r="I641">
        <f t="shared" si="31"/>
        <v>1998</v>
      </c>
      <c r="J641" s="229">
        <v>1831</v>
      </c>
      <c r="K641" s="254">
        <v>17040.55</v>
      </c>
      <c r="L641" s="254">
        <v>5382.69</v>
      </c>
      <c r="M641" s="254">
        <v>11657.86</v>
      </c>
      <c r="N641" s="255">
        <v>346</v>
      </c>
      <c r="O641" s="256">
        <v>491</v>
      </c>
      <c r="P641" s="254">
        <f t="shared" si="32"/>
        <v>24181.820953757222</v>
      </c>
    </row>
    <row r="642" spans="1:16" x14ac:dyDescent="0.2">
      <c r="A642" t="s">
        <v>559</v>
      </c>
      <c r="B642" s="253">
        <v>3</v>
      </c>
      <c r="C642" s="257" t="s">
        <v>556</v>
      </c>
      <c r="D642" s="257" t="str">
        <f t="shared" si="30"/>
        <v>3 PE</v>
      </c>
      <c r="E642" t="s">
        <v>482</v>
      </c>
      <c r="F642" t="s">
        <v>483</v>
      </c>
      <c r="G642" t="s">
        <v>476</v>
      </c>
      <c r="H642" t="s">
        <v>462</v>
      </c>
      <c r="I642">
        <f t="shared" si="31"/>
        <v>2004</v>
      </c>
      <c r="J642" s="229">
        <v>1980</v>
      </c>
      <c r="K642" s="254">
        <v>100951.1</v>
      </c>
      <c r="L642" s="254">
        <v>16383.14</v>
      </c>
      <c r="M642" s="254">
        <v>84567.96</v>
      </c>
      <c r="N642" s="255">
        <v>387</v>
      </c>
      <c r="O642" s="256">
        <v>491</v>
      </c>
      <c r="P642" s="254">
        <f t="shared" si="32"/>
        <v>128080.07777777778</v>
      </c>
    </row>
    <row r="643" spans="1:16" x14ac:dyDescent="0.2">
      <c r="A643" t="s">
        <v>559</v>
      </c>
      <c r="B643" s="253">
        <v>3</v>
      </c>
      <c r="C643" s="257" t="s">
        <v>556</v>
      </c>
      <c r="D643" s="257" t="str">
        <f t="shared" si="30"/>
        <v>3 PE</v>
      </c>
      <c r="E643" t="s">
        <v>482</v>
      </c>
      <c r="F643" t="s">
        <v>483</v>
      </c>
      <c r="G643" t="s">
        <v>478</v>
      </c>
      <c r="H643" t="s">
        <v>462</v>
      </c>
      <c r="I643">
        <f t="shared" si="31"/>
        <v>2001</v>
      </c>
      <c r="J643" s="229">
        <v>2306</v>
      </c>
      <c r="K643" s="254">
        <v>40015.699999999997</v>
      </c>
      <c r="L643" s="254">
        <v>9536.5300000000007</v>
      </c>
      <c r="M643" s="254">
        <v>30479.17</v>
      </c>
      <c r="N643" s="255">
        <v>363</v>
      </c>
      <c r="O643" s="256">
        <v>491</v>
      </c>
      <c r="P643" s="254">
        <f t="shared" si="32"/>
        <v>54125.919283746553</v>
      </c>
    </row>
    <row r="644" spans="1:16" x14ac:dyDescent="0.2">
      <c r="A644" t="s">
        <v>559</v>
      </c>
      <c r="B644" s="253">
        <v>3</v>
      </c>
      <c r="C644" s="257" t="s">
        <v>556</v>
      </c>
      <c r="D644" s="257" t="str">
        <f t="shared" si="30"/>
        <v>3 PE</v>
      </c>
      <c r="E644" t="s">
        <v>482</v>
      </c>
      <c r="F644" t="s">
        <v>483</v>
      </c>
      <c r="G644" t="s">
        <v>471</v>
      </c>
      <c r="H644" t="s">
        <v>462</v>
      </c>
      <c r="I644">
        <f t="shared" si="31"/>
        <v>2003</v>
      </c>
      <c r="J644" s="229">
        <v>2352</v>
      </c>
      <c r="K644" s="254">
        <v>83429.89</v>
      </c>
      <c r="L644" s="254">
        <v>15636.76</v>
      </c>
      <c r="M644" s="254">
        <v>67793.13</v>
      </c>
      <c r="N644" s="255">
        <v>377</v>
      </c>
      <c r="O644" s="256">
        <v>491</v>
      </c>
      <c r="P644" s="254">
        <f t="shared" si="32"/>
        <v>108658.02649867373</v>
      </c>
    </row>
    <row r="645" spans="1:16" x14ac:dyDescent="0.2">
      <c r="A645" t="s">
        <v>560</v>
      </c>
      <c r="B645" s="253">
        <v>4</v>
      </c>
      <c r="C645" s="257" t="s">
        <v>556</v>
      </c>
      <c r="D645" s="257" t="str">
        <f t="shared" si="30"/>
        <v>4 PE</v>
      </c>
      <c r="E645" t="s">
        <v>482</v>
      </c>
      <c r="F645" t="s">
        <v>483</v>
      </c>
      <c r="G645" t="s">
        <v>470</v>
      </c>
      <c r="H645" t="s">
        <v>462</v>
      </c>
      <c r="I645">
        <f t="shared" si="31"/>
        <v>2007</v>
      </c>
      <c r="J645" s="229">
        <v>0</v>
      </c>
      <c r="K645" s="254">
        <v>97.92</v>
      </c>
      <c r="L645" s="254">
        <v>8.6199999999999992</v>
      </c>
      <c r="M645" s="254">
        <v>89.3</v>
      </c>
      <c r="N645" s="255">
        <v>455</v>
      </c>
      <c r="O645" s="256">
        <v>491</v>
      </c>
      <c r="P645" s="254">
        <f t="shared" si="32"/>
        <v>105.66751648351648</v>
      </c>
    </row>
    <row r="646" spans="1:16" x14ac:dyDescent="0.2">
      <c r="A646" t="s">
        <v>560</v>
      </c>
      <c r="B646" s="253">
        <v>4</v>
      </c>
      <c r="C646" s="257" t="s">
        <v>556</v>
      </c>
      <c r="D646" s="257" t="str">
        <f t="shared" si="30"/>
        <v>4 PE</v>
      </c>
      <c r="E646" t="s">
        <v>482</v>
      </c>
      <c r="F646" t="s">
        <v>483</v>
      </c>
      <c r="G646" t="s">
        <v>470</v>
      </c>
      <c r="H646" t="s">
        <v>462</v>
      </c>
      <c r="I646">
        <f t="shared" si="31"/>
        <v>2007</v>
      </c>
      <c r="J646" s="229">
        <v>0</v>
      </c>
      <c r="K646" s="254">
        <v>10.06</v>
      </c>
      <c r="L646" s="254">
        <v>0.89</v>
      </c>
      <c r="M646" s="254">
        <v>9.17</v>
      </c>
      <c r="N646" s="255">
        <v>455</v>
      </c>
      <c r="O646" s="256">
        <v>491</v>
      </c>
      <c r="P646" s="254">
        <f t="shared" si="32"/>
        <v>10.855956043956043</v>
      </c>
    </row>
    <row r="647" spans="1:16" x14ac:dyDescent="0.2">
      <c r="A647" t="s">
        <v>560</v>
      </c>
      <c r="B647" s="253">
        <v>4</v>
      </c>
      <c r="C647" s="257" t="s">
        <v>556</v>
      </c>
      <c r="D647" s="257" t="str">
        <f t="shared" si="30"/>
        <v>4 PE</v>
      </c>
      <c r="E647" t="s">
        <v>482</v>
      </c>
      <c r="F647" t="s">
        <v>483</v>
      </c>
      <c r="G647" t="s">
        <v>461</v>
      </c>
      <c r="H647" t="s">
        <v>462</v>
      </c>
      <c r="I647">
        <f t="shared" si="31"/>
        <v>2008</v>
      </c>
      <c r="J647" s="229">
        <v>0</v>
      </c>
      <c r="K647" s="254">
        <v>439.04</v>
      </c>
      <c r="L647" s="254">
        <v>27.87</v>
      </c>
      <c r="M647" s="254">
        <v>411.17</v>
      </c>
      <c r="N647" s="255">
        <v>474</v>
      </c>
      <c r="O647" s="256">
        <v>491</v>
      </c>
      <c r="P647" s="254">
        <f t="shared" si="32"/>
        <v>454.7861603375527</v>
      </c>
    </row>
    <row r="648" spans="1:16" x14ac:dyDescent="0.2">
      <c r="A648" t="s">
        <v>560</v>
      </c>
      <c r="B648" s="253">
        <v>4</v>
      </c>
      <c r="C648" s="257" t="s">
        <v>556</v>
      </c>
      <c r="D648" s="257" t="str">
        <f t="shared" si="30"/>
        <v>4 PE</v>
      </c>
      <c r="E648" t="s">
        <v>482</v>
      </c>
      <c r="F648" t="s">
        <v>483</v>
      </c>
      <c r="G648" t="s">
        <v>461</v>
      </c>
      <c r="H648" t="s">
        <v>462</v>
      </c>
      <c r="I648">
        <f t="shared" si="31"/>
        <v>2008</v>
      </c>
      <c r="J648" s="229">
        <v>0</v>
      </c>
      <c r="K648" s="254">
        <v>6758.03</v>
      </c>
      <c r="L648" s="254">
        <v>429.04</v>
      </c>
      <c r="M648" s="254">
        <v>6328.99</v>
      </c>
      <c r="N648" s="255">
        <v>474</v>
      </c>
      <c r="O648" s="256">
        <v>491</v>
      </c>
      <c r="P648" s="254">
        <f t="shared" si="32"/>
        <v>7000.4066033755262</v>
      </c>
    </row>
    <row r="649" spans="1:16" x14ac:dyDescent="0.2">
      <c r="A649" t="s">
        <v>560</v>
      </c>
      <c r="B649" s="253">
        <v>4</v>
      </c>
      <c r="C649" s="257" t="s">
        <v>556</v>
      </c>
      <c r="D649" s="257" t="str">
        <f t="shared" si="30"/>
        <v>4 PE</v>
      </c>
      <c r="E649" t="s">
        <v>482</v>
      </c>
      <c r="F649" t="s">
        <v>483</v>
      </c>
      <c r="G649" t="s">
        <v>468</v>
      </c>
      <c r="H649" t="s">
        <v>462</v>
      </c>
      <c r="I649">
        <f t="shared" si="31"/>
        <v>2009</v>
      </c>
      <c r="J649" s="229">
        <v>0</v>
      </c>
      <c r="K649" s="254">
        <v>47321.06</v>
      </c>
      <c r="L649" s="254">
        <v>1831.16</v>
      </c>
      <c r="M649" s="254">
        <v>45489.9</v>
      </c>
      <c r="N649" s="255">
        <v>502</v>
      </c>
      <c r="O649" s="256">
        <v>491</v>
      </c>
      <c r="P649" s="254">
        <f t="shared" si="32"/>
        <v>46284.144342629479</v>
      </c>
    </row>
    <row r="650" spans="1:16" x14ac:dyDescent="0.2">
      <c r="A650" t="s">
        <v>560</v>
      </c>
      <c r="B650" s="253">
        <v>4</v>
      </c>
      <c r="C650" s="257" t="s">
        <v>556</v>
      </c>
      <c r="D650" s="257" t="str">
        <f t="shared" si="30"/>
        <v>4 PE</v>
      </c>
      <c r="E650" t="s">
        <v>482</v>
      </c>
      <c r="F650" t="s">
        <v>483</v>
      </c>
      <c r="G650" t="s">
        <v>469</v>
      </c>
      <c r="H650" t="s">
        <v>462</v>
      </c>
      <c r="I650">
        <f t="shared" si="31"/>
        <v>2010</v>
      </c>
      <c r="J650" s="229">
        <v>18</v>
      </c>
      <c r="K650" s="254">
        <v>2213.5300000000002</v>
      </c>
      <c r="L650" s="254">
        <v>29.3</v>
      </c>
      <c r="M650" s="254">
        <v>2184.23</v>
      </c>
      <c r="N650" s="255">
        <v>491</v>
      </c>
      <c r="O650" s="256">
        <v>491</v>
      </c>
      <c r="P650" s="254">
        <f t="shared" si="32"/>
        <v>2213.5300000000002</v>
      </c>
    </row>
    <row r="651" spans="1:16" x14ac:dyDescent="0.2">
      <c r="A651" t="s">
        <v>560</v>
      </c>
      <c r="B651" s="253">
        <v>4</v>
      </c>
      <c r="C651" s="257" t="s">
        <v>556</v>
      </c>
      <c r="D651" s="257" t="str">
        <f t="shared" si="30"/>
        <v>4 PE</v>
      </c>
      <c r="E651" t="s">
        <v>482</v>
      </c>
      <c r="F651" t="s">
        <v>483</v>
      </c>
      <c r="G651" t="s">
        <v>470</v>
      </c>
      <c r="H651" t="s">
        <v>462</v>
      </c>
      <c r="I651">
        <f t="shared" si="31"/>
        <v>2007</v>
      </c>
      <c r="J651" s="229">
        <v>194</v>
      </c>
      <c r="K651" s="254">
        <v>64898.85</v>
      </c>
      <c r="L651" s="254">
        <v>5715.55</v>
      </c>
      <c r="M651" s="254">
        <v>59183.3</v>
      </c>
      <c r="N651" s="255">
        <v>455</v>
      </c>
      <c r="O651" s="256">
        <v>491</v>
      </c>
      <c r="P651" s="254">
        <f t="shared" si="32"/>
        <v>70033.704065934056</v>
      </c>
    </row>
    <row r="652" spans="1:16" x14ac:dyDescent="0.2">
      <c r="A652" t="s">
        <v>560</v>
      </c>
      <c r="B652" s="253">
        <v>4</v>
      </c>
      <c r="C652" s="257" t="s">
        <v>556</v>
      </c>
      <c r="D652" s="257" t="str">
        <f t="shared" si="30"/>
        <v>4 PE</v>
      </c>
      <c r="E652" t="s">
        <v>482</v>
      </c>
      <c r="F652" t="s">
        <v>483</v>
      </c>
      <c r="G652" t="s">
        <v>461</v>
      </c>
      <c r="H652" t="s">
        <v>462</v>
      </c>
      <c r="I652">
        <f t="shared" si="31"/>
        <v>2008</v>
      </c>
      <c r="J652" s="229">
        <v>410</v>
      </c>
      <c r="K652" s="254">
        <v>68347.08</v>
      </c>
      <c r="L652" s="254">
        <v>4339.08</v>
      </c>
      <c r="M652" s="254">
        <v>64008</v>
      </c>
      <c r="N652" s="255">
        <v>474</v>
      </c>
      <c r="O652" s="256">
        <v>491</v>
      </c>
      <c r="P652" s="254">
        <f t="shared" si="32"/>
        <v>70798.346582278478</v>
      </c>
    </row>
    <row r="653" spans="1:16" x14ac:dyDescent="0.2">
      <c r="A653" t="s">
        <v>560</v>
      </c>
      <c r="B653" s="253">
        <v>4</v>
      </c>
      <c r="C653" s="257" t="s">
        <v>556</v>
      </c>
      <c r="D653" s="257" t="str">
        <f t="shared" si="30"/>
        <v>4 PE</v>
      </c>
      <c r="E653" t="s">
        <v>482</v>
      </c>
      <c r="F653" t="s">
        <v>483</v>
      </c>
      <c r="G653" t="s">
        <v>469</v>
      </c>
      <c r="H653" t="s">
        <v>462</v>
      </c>
      <c r="I653">
        <f t="shared" si="31"/>
        <v>2010</v>
      </c>
      <c r="J653" s="229">
        <v>1088</v>
      </c>
      <c r="K653" s="254">
        <v>37063.550000000003</v>
      </c>
      <c r="L653" s="254">
        <v>490.59</v>
      </c>
      <c r="M653" s="254">
        <v>36572.959999999999</v>
      </c>
      <c r="N653" s="255">
        <v>491</v>
      </c>
      <c r="O653" s="256">
        <v>491</v>
      </c>
      <c r="P653" s="254">
        <f t="shared" si="32"/>
        <v>37063.550000000003</v>
      </c>
    </row>
    <row r="654" spans="1:16" x14ac:dyDescent="0.2">
      <c r="A654" t="s">
        <v>560</v>
      </c>
      <c r="B654" s="253">
        <v>4</v>
      </c>
      <c r="C654" s="257" t="s">
        <v>556</v>
      </c>
      <c r="D654" s="257" t="str">
        <f t="shared" si="30"/>
        <v>4 PE</v>
      </c>
      <c r="E654" t="s">
        <v>482</v>
      </c>
      <c r="F654" t="s">
        <v>483</v>
      </c>
      <c r="G654" t="s">
        <v>468</v>
      </c>
      <c r="H654" t="s">
        <v>462</v>
      </c>
      <c r="I654">
        <f t="shared" si="31"/>
        <v>2009</v>
      </c>
      <c r="J654" s="229">
        <v>2388</v>
      </c>
      <c r="K654" s="254">
        <v>78367.12</v>
      </c>
      <c r="L654" s="254">
        <v>3032.54</v>
      </c>
      <c r="M654" s="254">
        <v>75334.58</v>
      </c>
      <c r="N654" s="255">
        <v>502</v>
      </c>
      <c r="O654" s="256">
        <v>491</v>
      </c>
      <c r="P654" s="254">
        <f t="shared" si="32"/>
        <v>76649.912191235053</v>
      </c>
    </row>
    <row r="655" spans="1:16" x14ac:dyDescent="0.2">
      <c r="A655" t="s">
        <v>560</v>
      </c>
      <c r="B655" s="253">
        <v>4</v>
      </c>
      <c r="C655" s="257" t="s">
        <v>556</v>
      </c>
      <c r="D655" s="257" t="str">
        <f t="shared" si="30"/>
        <v>4 PE</v>
      </c>
      <c r="E655" t="s">
        <v>482</v>
      </c>
      <c r="F655" t="s">
        <v>483</v>
      </c>
      <c r="G655" t="s">
        <v>469</v>
      </c>
      <c r="H655" t="s">
        <v>462</v>
      </c>
      <c r="I655">
        <f t="shared" si="31"/>
        <v>2010</v>
      </c>
      <c r="J655" s="229">
        <v>2637</v>
      </c>
      <c r="K655" s="254">
        <v>321553.24</v>
      </c>
      <c r="L655" s="254">
        <v>4256.18</v>
      </c>
      <c r="M655" s="254">
        <v>317297.06</v>
      </c>
      <c r="N655" s="255">
        <v>491</v>
      </c>
      <c r="O655" s="256">
        <v>491</v>
      </c>
      <c r="P655" s="254">
        <f t="shared" si="32"/>
        <v>321553.24</v>
      </c>
    </row>
    <row r="656" spans="1:16" x14ac:dyDescent="0.2">
      <c r="A656" t="s">
        <v>560</v>
      </c>
      <c r="B656" s="253">
        <v>4</v>
      </c>
      <c r="C656" s="257" t="s">
        <v>556</v>
      </c>
      <c r="D656" s="257" t="str">
        <f t="shared" si="30"/>
        <v>4 PE</v>
      </c>
      <c r="E656" t="s">
        <v>482</v>
      </c>
      <c r="F656" t="s">
        <v>483</v>
      </c>
      <c r="G656" t="s">
        <v>469</v>
      </c>
      <c r="H656" t="s">
        <v>462</v>
      </c>
      <c r="I656">
        <f t="shared" si="31"/>
        <v>2010</v>
      </c>
      <c r="J656" s="229">
        <v>2665</v>
      </c>
      <c r="K656" s="254">
        <v>131698.53</v>
      </c>
      <c r="L656" s="254">
        <v>1743.21</v>
      </c>
      <c r="M656" s="254">
        <v>129955.32</v>
      </c>
      <c r="N656" s="255">
        <v>491</v>
      </c>
      <c r="O656" s="256">
        <v>491</v>
      </c>
      <c r="P656" s="254">
        <f t="shared" si="32"/>
        <v>131698.53</v>
      </c>
    </row>
    <row r="657" spans="1:16" x14ac:dyDescent="0.2">
      <c r="A657" t="s">
        <v>560</v>
      </c>
      <c r="B657" s="253">
        <v>4</v>
      </c>
      <c r="C657" s="257" t="s">
        <v>556</v>
      </c>
      <c r="D657" s="257" t="str">
        <f t="shared" si="30"/>
        <v>4 PE</v>
      </c>
      <c r="E657" t="s">
        <v>482</v>
      </c>
      <c r="F657" t="s">
        <v>483</v>
      </c>
      <c r="G657" t="s">
        <v>461</v>
      </c>
      <c r="H657" t="s">
        <v>462</v>
      </c>
      <c r="I657">
        <f t="shared" si="31"/>
        <v>2008</v>
      </c>
      <c r="J657" s="229">
        <v>4423</v>
      </c>
      <c r="K657" s="254">
        <v>205010.89</v>
      </c>
      <c r="L657" s="254">
        <v>13015.31</v>
      </c>
      <c r="M657" s="254">
        <v>191995.58</v>
      </c>
      <c r="N657" s="255">
        <v>474</v>
      </c>
      <c r="O657" s="256">
        <v>491</v>
      </c>
      <c r="P657" s="254">
        <f t="shared" si="32"/>
        <v>212363.60124472572</v>
      </c>
    </row>
    <row r="658" spans="1:16" x14ac:dyDescent="0.2">
      <c r="A658" t="s">
        <v>560</v>
      </c>
      <c r="B658" s="253">
        <v>4</v>
      </c>
      <c r="C658" s="257" t="s">
        <v>556</v>
      </c>
      <c r="D658" s="257" t="str">
        <f t="shared" si="30"/>
        <v>4 PE</v>
      </c>
      <c r="E658" t="s">
        <v>482</v>
      </c>
      <c r="F658" t="s">
        <v>483</v>
      </c>
      <c r="G658" t="s">
        <v>468</v>
      </c>
      <c r="H658" t="s">
        <v>462</v>
      </c>
      <c r="I658">
        <f t="shared" si="31"/>
        <v>2009</v>
      </c>
      <c r="J658" s="229">
        <v>4814</v>
      </c>
      <c r="K658" s="254">
        <v>269444.84999999998</v>
      </c>
      <c r="L658" s="254">
        <v>10426.59</v>
      </c>
      <c r="M658" s="254">
        <v>259018.26</v>
      </c>
      <c r="N658" s="255">
        <v>502</v>
      </c>
      <c r="O658" s="256">
        <v>491</v>
      </c>
      <c r="P658" s="254">
        <f t="shared" si="32"/>
        <v>263540.67998007964</v>
      </c>
    </row>
    <row r="659" spans="1:16" x14ac:dyDescent="0.2">
      <c r="A659" t="s">
        <v>560</v>
      </c>
      <c r="B659" s="253">
        <v>4</v>
      </c>
      <c r="C659" s="257" t="s">
        <v>556</v>
      </c>
      <c r="D659" s="257" t="str">
        <f t="shared" si="30"/>
        <v>4 PE</v>
      </c>
      <c r="E659" t="s">
        <v>482</v>
      </c>
      <c r="F659" t="s">
        <v>483</v>
      </c>
      <c r="G659" t="s">
        <v>468</v>
      </c>
      <c r="H659" t="s">
        <v>462</v>
      </c>
      <c r="I659">
        <f t="shared" si="31"/>
        <v>2009</v>
      </c>
      <c r="J659" s="229">
        <v>5602</v>
      </c>
      <c r="K659" s="254">
        <v>420614.53</v>
      </c>
      <c r="L659" s="254">
        <v>16276.34</v>
      </c>
      <c r="M659" s="254">
        <v>404338.19</v>
      </c>
      <c r="N659" s="255">
        <v>502</v>
      </c>
      <c r="O659" s="256">
        <v>491</v>
      </c>
      <c r="P659" s="254">
        <f t="shared" si="32"/>
        <v>411397.87695219129</v>
      </c>
    </row>
    <row r="660" spans="1:16" x14ac:dyDescent="0.2">
      <c r="A660" t="s">
        <v>560</v>
      </c>
      <c r="B660" s="253">
        <v>4</v>
      </c>
      <c r="C660" s="257" t="s">
        <v>556</v>
      </c>
      <c r="D660" s="257" t="str">
        <f t="shared" si="30"/>
        <v>4 PE</v>
      </c>
      <c r="E660" t="s">
        <v>482</v>
      </c>
      <c r="F660" t="s">
        <v>483</v>
      </c>
      <c r="G660" t="s">
        <v>468</v>
      </c>
      <c r="H660" t="s">
        <v>462</v>
      </c>
      <c r="I660">
        <f t="shared" si="31"/>
        <v>2009</v>
      </c>
      <c r="J660" s="229">
        <v>17391</v>
      </c>
      <c r="K660" s="254">
        <v>1178912.96</v>
      </c>
      <c r="L660" s="254">
        <v>45619.89</v>
      </c>
      <c r="M660" s="254">
        <v>1133293.07</v>
      </c>
      <c r="N660" s="255">
        <v>502</v>
      </c>
      <c r="O660" s="256">
        <v>491</v>
      </c>
      <c r="P660" s="254">
        <f t="shared" si="32"/>
        <v>1153080.2058964144</v>
      </c>
    </row>
    <row r="661" spans="1:16" x14ac:dyDescent="0.2">
      <c r="A661" t="s">
        <v>560</v>
      </c>
      <c r="B661" s="253">
        <v>4</v>
      </c>
      <c r="C661" s="257" t="s">
        <v>556</v>
      </c>
      <c r="D661" s="257" t="str">
        <f t="shared" si="30"/>
        <v>4 PE</v>
      </c>
      <c r="E661" t="s">
        <v>482</v>
      </c>
      <c r="F661" t="s">
        <v>483</v>
      </c>
      <c r="G661" t="s">
        <v>470</v>
      </c>
      <c r="H661" t="s">
        <v>462</v>
      </c>
      <c r="I661">
        <f t="shared" si="31"/>
        <v>2007</v>
      </c>
      <c r="J661" s="229">
        <v>18017</v>
      </c>
      <c r="K661" s="254">
        <v>447315.16</v>
      </c>
      <c r="L661" s="254">
        <v>39394.449999999997</v>
      </c>
      <c r="M661" s="254">
        <v>407920.71</v>
      </c>
      <c r="N661" s="255">
        <v>455</v>
      </c>
      <c r="O661" s="256">
        <v>491</v>
      </c>
      <c r="P661" s="254">
        <f t="shared" si="32"/>
        <v>482707.12870329665</v>
      </c>
    </row>
    <row r="662" spans="1:16" x14ac:dyDescent="0.2">
      <c r="A662" t="s">
        <v>560</v>
      </c>
      <c r="B662" s="253">
        <v>4</v>
      </c>
      <c r="C662" s="257" t="s">
        <v>556</v>
      </c>
      <c r="D662" s="257" t="str">
        <f t="shared" ref="D662:D725" si="33">B662&amp;" "&amp;C662</f>
        <v>4 PE</v>
      </c>
      <c r="E662" t="s">
        <v>482</v>
      </c>
      <c r="F662" t="s">
        <v>483</v>
      </c>
      <c r="G662" t="s">
        <v>461</v>
      </c>
      <c r="H662" t="s">
        <v>462</v>
      </c>
      <c r="I662">
        <f t="shared" ref="I662:I725" si="34">+G662*1</f>
        <v>2008</v>
      </c>
      <c r="J662" s="229">
        <v>19834</v>
      </c>
      <c r="K662" s="254">
        <v>1139405.1599999999</v>
      </c>
      <c r="L662" s="254">
        <v>72336.23</v>
      </c>
      <c r="M662" s="254">
        <v>1067068.93</v>
      </c>
      <c r="N662" s="255">
        <v>474</v>
      </c>
      <c r="O662" s="256">
        <v>491</v>
      </c>
      <c r="P662" s="254">
        <f t="shared" ref="P662:P725" si="35">+(O662/N662)*K662</f>
        <v>1180269.9020253161</v>
      </c>
    </row>
    <row r="663" spans="1:16" x14ac:dyDescent="0.2">
      <c r="A663" t="s">
        <v>560</v>
      </c>
      <c r="B663" s="253">
        <v>4</v>
      </c>
      <c r="C663" s="257" t="s">
        <v>556</v>
      </c>
      <c r="D663" s="257" t="str">
        <f t="shared" si="33"/>
        <v>4 PE</v>
      </c>
      <c r="E663" t="s">
        <v>482</v>
      </c>
      <c r="F663" t="s">
        <v>483</v>
      </c>
      <c r="G663" t="s">
        <v>461</v>
      </c>
      <c r="H663" t="s">
        <v>462</v>
      </c>
      <c r="I663">
        <f t="shared" si="34"/>
        <v>2008</v>
      </c>
      <c r="J663" s="229">
        <v>20014</v>
      </c>
      <c r="K663" s="254">
        <v>671067.35</v>
      </c>
      <c r="L663" s="254">
        <v>42603.35</v>
      </c>
      <c r="M663" s="254">
        <v>628464</v>
      </c>
      <c r="N663" s="255">
        <v>474</v>
      </c>
      <c r="O663" s="256">
        <v>491</v>
      </c>
      <c r="P663" s="254">
        <f t="shared" si="35"/>
        <v>695135.1663502109</v>
      </c>
    </row>
    <row r="664" spans="1:16" x14ac:dyDescent="0.2">
      <c r="A664" t="s">
        <v>560</v>
      </c>
      <c r="B664" s="253">
        <v>4</v>
      </c>
      <c r="C664" s="257" t="s">
        <v>556</v>
      </c>
      <c r="D664" s="257" t="str">
        <f t="shared" si="33"/>
        <v>4 PE</v>
      </c>
      <c r="E664" t="s">
        <v>482</v>
      </c>
      <c r="F664" t="s">
        <v>483</v>
      </c>
      <c r="G664" t="s">
        <v>469</v>
      </c>
      <c r="H664" t="s">
        <v>462</v>
      </c>
      <c r="I664">
        <f t="shared" si="34"/>
        <v>2010</v>
      </c>
      <c r="J664" s="229">
        <v>20773</v>
      </c>
      <c r="K664" s="254">
        <v>2225430.04</v>
      </c>
      <c r="L664" s="254">
        <v>29456.53</v>
      </c>
      <c r="M664" s="254">
        <v>2195973.5099999998</v>
      </c>
      <c r="N664" s="255">
        <v>491</v>
      </c>
      <c r="O664" s="256">
        <v>491</v>
      </c>
      <c r="P664" s="254">
        <f t="shared" si="35"/>
        <v>2225430.04</v>
      </c>
    </row>
    <row r="665" spans="1:16" x14ac:dyDescent="0.2">
      <c r="A665" t="s">
        <v>560</v>
      </c>
      <c r="B665" s="253">
        <v>4</v>
      </c>
      <c r="C665" s="257" t="s">
        <v>556</v>
      </c>
      <c r="D665" s="257" t="str">
        <f t="shared" si="33"/>
        <v>4 PE</v>
      </c>
      <c r="E665" t="s">
        <v>482</v>
      </c>
      <c r="F665" t="s">
        <v>483</v>
      </c>
      <c r="G665" t="s">
        <v>470</v>
      </c>
      <c r="H665" t="s">
        <v>462</v>
      </c>
      <c r="I665">
        <f t="shared" si="34"/>
        <v>2007</v>
      </c>
      <c r="J665" s="229">
        <v>21522</v>
      </c>
      <c r="K665" s="254">
        <v>718697.66</v>
      </c>
      <c r="L665" s="254">
        <v>63294.74</v>
      </c>
      <c r="M665" s="254">
        <v>655402.92000000004</v>
      </c>
      <c r="N665" s="255">
        <v>455</v>
      </c>
      <c r="O665" s="256">
        <v>491</v>
      </c>
      <c r="P665" s="254">
        <f t="shared" si="35"/>
        <v>775561.65068131872</v>
      </c>
    </row>
    <row r="666" spans="1:16" x14ac:dyDescent="0.2">
      <c r="A666" t="s">
        <v>560</v>
      </c>
      <c r="B666" s="253">
        <v>4</v>
      </c>
      <c r="C666" s="257" t="s">
        <v>556</v>
      </c>
      <c r="D666" s="257" t="str">
        <f t="shared" si="33"/>
        <v>4 PE</v>
      </c>
      <c r="E666" t="s">
        <v>482</v>
      </c>
      <c r="F666" t="s">
        <v>483</v>
      </c>
      <c r="G666" t="s">
        <v>470</v>
      </c>
      <c r="H666" t="s">
        <v>462</v>
      </c>
      <c r="I666">
        <f t="shared" si="34"/>
        <v>2007</v>
      </c>
      <c r="J666" s="229">
        <v>21526</v>
      </c>
      <c r="K666" s="254">
        <v>1068881.25</v>
      </c>
      <c r="L666" s="254">
        <v>94134.94</v>
      </c>
      <c r="M666" s="254">
        <v>974746.31</v>
      </c>
      <c r="N666" s="255">
        <v>455</v>
      </c>
      <c r="O666" s="256">
        <v>491</v>
      </c>
      <c r="P666" s="254">
        <f t="shared" si="35"/>
        <v>1153452.0741758242</v>
      </c>
    </row>
    <row r="667" spans="1:16" x14ac:dyDescent="0.2">
      <c r="A667" t="s">
        <v>560</v>
      </c>
      <c r="B667" s="253">
        <v>4</v>
      </c>
      <c r="C667" s="257" t="s">
        <v>556</v>
      </c>
      <c r="D667" s="257" t="str">
        <f t="shared" si="33"/>
        <v>4 PE</v>
      </c>
      <c r="E667" t="s">
        <v>482</v>
      </c>
      <c r="F667" t="s">
        <v>483</v>
      </c>
      <c r="G667" t="s">
        <v>469</v>
      </c>
      <c r="H667" t="s">
        <v>462</v>
      </c>
      <c r="I667">
        <f t="shared" si="34"/>
        <v>2010</v>
      </c>
      <c r="J667" s="229">
        <v>30570</v>
      </c>
      <c r="K667" s="254">
        <v>3837913.6</v>
      </c>
      <c r="L667" s="254">
        <v>50799.89</v>
      </c>
      <c r="M667" s="254">
        <v>3787113.71</v>
      </c>
      <c r="N667" s="255">
        <v>491</v>
      </c>
      <c r="O667" s="256">
        <v>491</v>
      </c>
      <c r="P667" s="254">
        <f t="shared" si="35"/>
        <v>3837913.6</v>
      </c>
    </row>
    <row r="668" spans="1:16" x14ac:dyDescent="0.2">
      <c r="A668" t="s">
        <v>560</v>
      </c>
      <c r="B668" s="253">
        <v>4</v>
      </c>
      <c r="C668" s="257" t="s">
        <v>556</v>
      </c>
      <c r="D668" s="257" t="str">
        <f t="shared" si="33"/>
        <v>4 PE</v>
      </c>
      <c r="E668" t="s">
        <v>482</v>
      </c>
      <c r="F668" t="s">
        <v>483</v>
      </c>
      <c r="G668" t="s">
        <v>468</v>
      </c>
      <c r="H668" t="s">
        <v>462</v>
      </c>
      <c r="I668">
        <f t="shared" si="34"/>
        <v>2009</v>
      </c>
      <c r="J668" s="229">
        <v>34577</v>
      </c>
      <c r="K668" s="254">
        <v>2461139.64</v>
      </c>
      <c r="L668" s="254">
        <v>95237.66</v>
      </c>
      <c r="M668" s="254">
        <v>2365901.98</v>
      </c>
      <c r="N668" s="255">
        <v>502</v>
      </c>
      <c r="O668" s="256">
        <v>491</v>
      </c>
      <c r="P668" s="254">
        <f t="shared" si="35"/>
        <v>2407210.2853386458</v>
      </c>
    </row>
    <row r="669" spans="1:16" x14ac:dyDescent="0.2">
      <c r="A669" t="s">
        <v>560</v>
      </c>
      <c r="B669" s="253">
        <v>4</v>
      </c>
      <c r="C669" s="257" t="s">
        <v>556</v>
      </c>
      <c r="D669" s="257" t="str">
        <f t="shared" si="33"/>
        <v>4 PE</v>
      </c>
      <c r="E669" t="s">
        <v>482</v>
      </c>
      <c r="F669" t="s">
        <v>483</v>
      </c>
      <c r="G669" t="s">
        <v>470</v>
      </c>
      <c r="H669" t="s">
        <v>462</v>
      </c>
      <c r="I669">
        <f t="shared" si="34"/>
        <v>2007</v>
      </c>
      <c r="J669" s="229">
        <v>36981</v>
      </c>
      <c r="K669" s="254">
        <v>2047475.51</v>
      </c>
      <c r="L669" s="254">
        <v>180318.42</v>
      </c>
      <c r="M669" s="254">
        <v>1867157.09</v>
      </c>
      <c r="N669" s="255">
        <v>455</v>
      </c>
      <c r="O669" s="256">
        <v>491</v>
      </c>
      <c r="P669" s="254">
        <f t="shared" si="35"/>
        <v>2209473.5723296702</v>
      </c>
    </row>
    <row r="670" spans="1:16" x14ac:dyDescent="0.2">
      <c r="A670" t="s">
        <v>560</v>
      </c>
      <c r="B670" s="253">
        <v>4</v>
      </c>
      <c r="C670" s="257" t="s">
        <v>556</v>
      </c>
      <c r="D670" s="257" t="str">
        <f t="shared" si="33"/>
        <v>4 PE</v>
      </c>
      <c r="E670" t="s">
        <v>482</v>
      </c>
      <c r="F670" t="s">
        <v>483</v>
      </c>
      <c r="G670" t="s">
        <v>468</v>
      </c>
      <c r="H670" t="s">
        <v>462</v>
      </c>
      <c r="I670">
        <f t="shared" si="34"/>
        <v>2009</v>
      </c>
      <c r="J670" s="229">
        <v>39665</v>
      </c>
      <c r="K670" s="254">
        <v>4426939.8499999996</v>
      </c>
      <c r="L670" s="254">
        <v>171307.39</v>
      </c>
      <c r="M670" s="254">
        <v>4255632.46</v>
      </c>
      <c r="N670" s="255">
        <v>502</v>
      </c>
      <c r="O670" s="256">
        <v>491</v>
      </c>
      <c r="P670" s="254">
        <f t="shared" si="35"/>
        <v>4329935.1919322703</v>
      </c>
    </row>
    <row r="671" spans="1:16" x14ac:dyDescent="0.2">
      <c r="A671" t="s">
        <v>560</v>
      </c>
      <c r="B671" s="253">
        <v>4</v>
      </c>
      <c r="C671" s="257" t="s">
        <v>556</v>
      </c>
      <c r="D671" s="257" t="str">
        <f t="shared" si="33"/>
        <v>4 PE</v>
      </c>
      <c r="E671" t="s">
        <v>482</v>
      </c>
      <c r="F671" t="s">
        <v>483</v>
      </c>
      <c r="G671" t="s">
        <v>461</v>
      </c>
      <c r="H671" t="s">
        <v>462</v>
      </c>
      <c r="I671">
        <f t="shared" si="34"/>
        <v>2008</v>
      </c>
      <c r="J671" s="229">
        <v>50165</v>
      </c>
      <c r="K671" s="254">
        <v>3536191.72</v>
      </c>
      <c r="L671" s="254">
        <v>224498.53</v>
      </c>
      <c r="M671" s="254">
        <v>3311693.19</v>
      </c>
      <c r="N671" s="255">
        <v>474</v>
      </c>
      <c r="O671" s="256">
        <v>491</v>
      </c>
      <c r="P671" s="254">
        <f t="shared" si="35"/>
        <v>3663017.1614345992</v>
      </c>
    </row>
    <row r="672" spans="1:16" x14ac:dyDescent="0.2">
      <c r="A672" t="s">
        <v>560</v>
      </c>
      <c r="B672" s="253">
        <v>4</v>
      </c>
      <c r="C672" s="257" t="s">
        <v>556</v>
      </c>
      <c r="D672" s="257" t="str">
        <f t="shared" si="33"/>
        <v>4 PE</v>
      </c>
      <c r="E672" t="s">
        <v>482</v>
      </c>
      <c r="F672" t="s">
        <v>483</v>
      </c>
      <c r="G672" t="s">
        <v>467</v>
      </c>
      <c r="H672" t="s">
        <v>462</v>
      </c>
      <c r="I672">
        <f t="shared" si="34"/>
        <v>1996</v>
      </c>
      <c r="J672" s="229">
        <v>52361</v>
      </c>
      <c r="K672" s="254">
        <v>1590254.22</v>
      </c>
      <c r="L672" s="254">
        <v>585146.4</v>
      </c>
      <c r="M672" s="254">
        <v>1005107.82</v>
      </c>
      <c r="N672" s="255">
        <v>334</v>
      </c>
      <c r="O672" s="256">
        <v>491</v>
      </c>
      <c r="P672" s="254">
        <f t="shared" si="35"/>
        <v>2337768.928203593</v>
      </c>
    </row>
    <row r="673" spans="1:16" x14ac:dyDescent="0.2">
      <c r="A673" t="s">
        <v>560</v>
      </c>
      <c r="B673" s="253">
        <v>4</v>
      </c>
      <c r="C673" s="257" t="s">
        <v>556</v>
      </c>
      <c r="D673" s="257" t="str">
        <f t="shared" si="33"/>
        <v>4 PE</v>
      </c>
      <c r="E673" t="s">
        <v>482</v>
      </c>
      <c r="F673" t="s">
        <v>483</v>
      </c>
      <c r="G673" t="s">
        <v>461</v>
      </c>
      <c r="H673" t="s">
        <v>462</v>
      </c>
      <c r="I673">
        <f t="shared" si="34"/>
        <v>2008</v>
      </c>
      <c r="J673" s="229">
        <v>63953</v>
      </c>
      <c r="K673" s="254">
        <v>6143662.7999999998</v>
      </c>
      <c r="L673" s="254">
        <v>390036.33</v>
      </c>
      <c r="M673" s="254">
        <v>5753626.4699999997</v>
      </c>
      <c r="N673" s="255">
        <v>474</v>
      </c>
      <c r="O673" s="256">
        <v>491</v>
      </c>
      <c r="P673" s="254">
        <f t="shared" si="35"/>
        <v>6364005.1367088603</v>
      </c>
    </row>
    <row r="674" spans="1:16" x14ac:dyDescent="0.2">
      <c r="A674" t="s">
        <v>560</v>
      </c>
      <c r="B674" s="253">
        <v>4</v>
      </c>
      <c r="C674" s="257" t="s">
        <v>556</v>
      </c>
      <c r="D674" s="257" t="str">
        <f t="shared" si="33"/>
        <v>4 PE</v>
      </c>
      <c r="E674" t="s">
        <v>482</v>
      </c>
      <c r="F674" t="s">
        <v>483</v>
      </c>
      <c r="G674" t="s">
        <v>470</v>
      </c>
      <c r="H674" t="s">
        <v>462</v>
      </c>
      <c r="I674">
        <f t="shared" si="34"/>
        <v>2007</v>
      </c>
      <c r="J674" s="229">
        <v>67588</v>
      </c>
      <c r="K674" s="254">
        <v>4675238.45</v>
      </c>
      <c r="L674" s="254">
        <v>411741.99</v>
      </c>
      <c r="M674" s="254">
        <v>4263496.46</v>
      </c>
      <c r="N674" s="255">
        <v>455</v>
      </c>
      <c r="O674" s="256">
        <v>491</v>
      </c>
      <c r="P674" s="254">
        <f t="shared" si="35"/>
        <v>5045147.4262637366</v>
      </c>
    </row>
    <row r="675" spans="1:16" x14ac:dyDescent="0.2">
      <c r="A675" t="s">
        <v>560</v>
      </c>
      <c r="B675" s="253">
        <v>4</v>
      </c>
      <c r="C675" s="257" t="s">
        <v>556</v>
      </c>
      <c r="D675" s="257" t="str">
        <f t="shared" si="33"/>
        <v>4 PE</v>
      </c>
      <c r="E675" t="s">
        <v>482</v>
      </c>
      <c r="F675" t="s">
        <v>483</v>
      </c>
      <c r="G675" t="s">
        <v>471</v>
      </c>
      <c r="H675" t="s">
        <v>462</v>
      </c>
      <c r="I675">
        <f t="shared" si="34"/>
        <v>2003</v>
      </c>
      <c r="J675" s="229">
        <v>153253</v>
      </c>
      <c r="K675" s="254">
        <v>6090921.2999999998</v>
      </c>
      <c r="L675" s="254">
        <v>1141584.29</v>
      </c>
      <c r="M675" s="254">
        <v>4949337.01</v>
      </c>
      <c r="N675" s="255">
        <v>377</v>
      </c>
      <c r="O675" s="256">
        <v>491</v>
      </c>
      <c r="P675" s="254">
        <f t="shared" si="35"/>
        <v>7932738.3509283811</v>
      </c>
    </row>
    <row r="676" spans="1:16" x14ac:dyDescent="0.2">
      <c r="A676" t="s">
        <v>560</v>
      </c>
      <c r="B676" s="253">
        <v>4</v>
      </c>
      <c r="C676" s="257" t="s">
        <v>556</v>
      </c>
      <c r="D676" s="257" t="str">
        <f t="shared" si="33"/>
        <v>4 PE</v>
      </c>
      <c r="E676" t="s">
        <v>482</v>
      </c>
      <c r="F676" t="s">
        <v>483</v>
      </c>
      <c r="G676" t="s">
        <v>476</v>
      </c>
      <c r="H676" t="s">
        <v>462</v>
      </c>
      <c r="I676">
        <f t="shared" si="34"/>
        <v>2004</v>
      </c>
      <c r="J676" s="229">
        <v>159610</v>
      </c>
      <c r="K676" s="254">
        <v>4360358.32</v>
      </c>
      <c r="L676" s="254">
        <v>707633.18</v>
      </c>
      <c r="M676" s="254">
        <v>3652725.14</v>
      </c>
      <c r="N676" s="255">
        <v>387</v>
      </c>
      <c r="O676" s="256">
        <v>491</v>
      </c>
      <c r="P676" s="254">
        <f t="shared" si="35"/>
        <v>5532134.1992764864</v>
      </c>
    </row>
    <row r="677" spans="1:16" x14ac:dyDescent="0.2">
      <c r="A677" t="s">
        <v>560</v>
      </c>
      <c r="B677" s="253">
        <v>4</v>
      </c>
      <c r="C677" s="257" t="s">
        <v>556</v>
      </c>
      <c r="D677" s="257" t="str">
        <f t="shared" si="33"/>
        <v>4 PE</v>
      </c>
      <c r="E677" t="s">
        <v>482</v>
      </c>
      <c r="F677" t="s">
        <v>483</v>
      </c>
      <c r="G677" t="s">
        <v>474</v>
      </c>
      <c r="H677" t="s">
        <v>462</v>
      </c>
      <c r="I677">
        <f t="shared" si="34"/>
        <v>2005</v>
      </c>
      <c r="J677" s="229">
        <v>168867</v>
      </c>
      <c r="K677" s="254">
        <v>6881912.5599999996</v>
      </c>
      <c r="L677" s="254">
        <v>945448.37</v>
      </c>
      <c r="M677" s="254">
        <v>5936464.1900000004</v>
      </c>
      <c r="N677" s="255">
        <v>414</v>
      </c>
      <c r="O677" s="256">
        <v>491</v>
      </c>
      <c r="P677" s="254">
        <f t="shared" si="35"/>
        <v>8161881.804251207</v>
      </c>
    </row>
    <row r="678" spans="1:16" x14ac:dyDescent="0.2">
      <c r="A678" t="s">
        <v>560</v>
      </c>
      <c r="B678" s="253">
        <v>4</v>
      </c>
      <c r="C678" s="257" t="s">
        <v>556</v>
      </c>
      <c r="D678" s="257" t="str">
        <f t="shared" si="33"/>
        <v>4 PE</v>
      </c>
      <c r="E678" t="s">
        <v>482</v>
      </c>
      <c r="F678" t="s">
        <v>483</v>
      </c>
      <c r="G678" t="s">
        <v>477</v>
      </c>
      <c r="H678" t="s">
        <v>462</v>
      </c>
      <c r="I678">
        <f t="shared" si="34"/>
        <v>2006</v>
      </c>
      <c r="J678" s="229">
        <v>195199</v>
      </c>
      <c r="K678" s="254">
        <v>6374028.8899999997</v>
      </c>
      <c r="L678" s="254">
        <v>718069.22</v>
      </c>
      <c r="M678" s="254">
        <v>5655959.6699999999</v>
      </c>
      <c r="N678" s="255">
        <v>434</v>
      </c>
      <c r="O678" s="256">
        <v>491</v>
      </c>
      <c r="P678" s="254">
        <f t="shared" si="35"/>
        <v>7211170.9331566822</v>
      </c>
    </row>
    <row r="679" spans="1:16" x14ac:dyDescent="0.2">
      <c r="A679" t="s">
        <v>560</v>
      </c>
      <c r="B679" s="253">
        <v>4</v>
      </c>
      <c r="C679" s="257" t="s">
        <v>556</v>
      </c>
      <c r="D679" s="257" t="str">
        <f t="shared" si="33"/>
        <v>4 PE</v>
      </c>
      <c r="E679" t="s">
        <v>482</v>
      </c>
      <c r="F679" t="s">
        <v>483</v>
      </c>
      <c r="G679" t="s">
        <v>473</v>
      </c>
      <c r="H679" t="s">
        <v>462</v>
      </c>
      <c r="I679">
        <f t="shared" si="34"/>
        <v>1997</v>
      </c>
      <c r="J679" s="229">
        <v>202563</v>
      </c>
      <c r="K679" s="254">
        <v>6319208.6600000001</v>
      </c>
      <c r="L679" s="254">
        <v>2160575.7400000002</v>
      </c>
      <c r="M679" s="254">
        <v>4158632.92</v>
      </c>
      <c r="N679" s="255">
        <v>341</v>
      </c>
      <c r="O679" s="256">
        <v>491</v>
      </c>
      <c r="P679" s="254">
        <f t="shared" si="35"/>
        <v>9098919.2142522</v>
      </c>
    </row>
    <row r="680" spans="1:16" x14ac:dyDescent="0.2">
      <c r="A680" t="s">
        <v>560</v>
      </c>
      <c r="B680" s="253">
        <v>4</v>
      </c>
      <c r="C680" s="257" t="s">
        <v>556</v>
      </c>
      <c r="D680" s="257" t="str">
        <f t="shared" si="33"/>
        <v>4 PE</v>
      </c>
      <c r="E680" t="s">
        <v>482</v>
      </c>
      <c r="F680" t="s">
        <v>483</v>
      </c>
      <c r="G680" t="s">
        <v>480</v>
      </c>
      <c r="H680" t="s">
        <v>462</v>
      </c>
      <c r="I680">
        <f t="shared" si="34"/>
        <v>1999</v>
      </c>
      <c r="J680" s="229">
        <v>220142</v>
      </c>
      <c r="K680" s="254">
        <v>6157133.5199999996</v>
      </c>
      <c r="L680" s="254">
        <v>1784985.02</v>
      </c>
      <c r="M680" s="254">
        <v>4372148.5</v>
      </c>
      <c r="N680" s="255">
        <v>352</v>
      </c>
      <c r="O680" s="256">
        <v>491</v>
      </c>
      <c r="P680" s="254">
        <f t="shared" si="35"/>
        <v>8588501.5861363616</v>
      </c>
    </row>
    <row r="681" spans="1:16" x14ac:dyDescent="0.2">
      <c r="A681" t="s">
        <v>560</v>
      </c>
      <c r="B681" s="253">
        <v>4</v>
      </c>
      <c r="C681" s="257" t="s">
        <v>556</v>
      </c>
      <c r="D681" s="257" t="str">
        <f t="shared" si="33"/>
        <v>4 PE</v>
      </c>
      <c r="E681" t="s">
        <v>482</v>
      </c>
      <c r="F681" t="s">
        <v>483</v>
      </c>
      <c r="G681" t="s">
        <v>472</v>
      </c>
      <c r="H681" t="s">
        <v>462</v>
      </c>
      <c r="I681">
        <f t="shared" si="34"/>
        <v>2000</v>
      </c>
      <c r="J681" s="229">
        <v>230850</v>
      </c>
      <c r="K681" s="254">
        <v>5171382.75</v>
      </c>
      <c r="L681" s="254">
        <v>1365422.17</v>
      </c>
      <c r="M681" s="254">
        <v>3805960.58</v>
      </c>
      <c r="N681" s="255">
        <v>356</v>
      </c>
      <c r="O681" s="256">
        <v>491</v>
      </c>
      <c r="P681" s="254">
        <f t="shared" si="35"/>
        <v>7132440.815308989</v>
      </c>
    </row>
    <row r="682" spans="1:16" x14ac:dyDescent="0.2">
      <c r="A682" t="s">
        <v>560</v>
      </c>
      <c r="B682" s="253">
        <v>4</v>
      </c>
      <c r="C682" s="257" t="s">
        <v>556</v>
      </c>
      <c r="D682" s="257" t="str">
        <f t="shared" si="33"/>
        <v>4 PE</v>
      </c>
      <c r="E682" t="s">
        <v>482</v>
      </c>
      <c r="F682" t="s">
        <v>483</v>
      </c>
      <c r="G682" t="s">
        <v>478</v>
      </c>
      <c r="H682" t="s">
        <v>462</v>
      </c>
      <c r="I682">
        <f t="shared" si="34"/>
        <v>2001</v>
      </c>
      <c r="J682" s="229">
        <v>244472</v>
      </c>
      <c r="K682" s="254">
        <v>10527566.539999999</v>
      </c>
      <c r="L682" s="254">
        <v>2508927.7599999998</v>
      </c>
      <c r="M682" s="254">
        <v>8018638.7800000003</v>
      </c>
      <c r="N682" s="255">
        <v>363</v>
      </c>
      <c r="O682" s="256">
        <v>491</v>
      </c>
      <c r="P682" s="254">
        <f t="shared" si="35"/>
        <v>14239766.31168044</v>
      </c>
    </row>
    <row r="683" spans="1:16" x14ac:dyDescent="0.2">
      <c r="A683" t="s">
        <v>560</v>
      </c>
      <c r="B683" s="253">
        <v>4</v>
      </c>
      <c r="C683" s="257" t="s">
        <v>556</v>
      </c>
      <c r="D683" s="257" t="str">
        <f t="shared" si="33"/>
        <v>4 PE</v>
      </c>
      <c r="E683" t="s">
        <v>482</v>
      </c>
      <c r="F683" t="s">
        <v>483</v>
      </c>
      <c r="G683" t="s">
        <v>479</v>
      </c>
      <c r="H683" t="s">
        <v>462</v>
      </c>
      <c r="I683">
        <f t="shared" si="34"/>
        <v>1998</v>
      </c>
      <c r="J683" s="229">
        <v>246798</v>
      </c>
      <c r="K683" s="254">
        <v>6640255.8899999997</v>
      </c>
      <c r="L683" s="254">
        <v>2097492.2200000002</v>
      </c>
      <c r="M683" s="254">
        <v>4542763.67</v>
      </c>
      <c r="N683" s="255">
        <v>346</v>
      </c>
      <c r="O683" s="256">
        <v>491</v>
      </c>
      <c r="P683" s="254">
        <f t="shared" si="35"/>
        <v>9423022.0866762996</v>
      </c>
    </row>
    <row r="684" spans="1:16" x14ac:dyDescent="0.2">
      <c r="A684" t="s">
        <v>560</v>
      </c>
      <c r="B684" s="253">
        <v>4</v>
      </c>
      <c r="C684" s="257" t="s">
        <v>556</v>
      </c>
      <c r="D684" s="257" t="str">
        <f t="shared" si="33"/>
        <v>4 PE</v>
      </c>
      <c r="E684" t="s">
        <v>482</v>
      </c>
      <c r="F684" t="s">
        <v>483</v>
      </c>
      <c r="G684" t="s">
        <v>475</v>
      </c>
      <c r="H684" t="s">
        <v>462</v>
      </c>
      <c r="I684">
        <f t="shared" si="34"/>
        <v>2002</v>
      </c>
      <c r="J684" s="229">
        <v>261263</v>
      </c>
      <c r="K684" s="254">
        <v>6137452.3600000003</v>
      </c>
      <c r="L684" s="254">
        <v>1305889.92</v>
      </c>
      <c r="M684" s="254">
        <v>4831562.4400000004</v>
      </c>
      <c r="N684" s="255">
        <v>373</v>
      </c>
      <c r="O684" s="256">
        <v>491</v>
      </c>
      <c r="P684" s="254">
        <f t="shared" si="35"/>
        <v>8079059.2728150142</v>
      </c>
    </row>
    <row r="685" spans="1:16" x14ac:dyDescent="0.2">
      <c r="A685" t="s">
        <v>561</v>
      </c>
      <c r="B685" s="253">
        <v>6</v>
      </c>
      <c r="C685" s="257" t="s">
        <v>556</v>
      </c>
      <c r="D685" s="257" t="str">
        <f t="shared" si="33"/>
        <v>6 PE</v>
      </c>
      <c r="E685" t="s">
        <v>482</v>
      </c>
      <c r="F685" t="s">
        <v>483</v>
      </c>
      <c r="G685" t="s">
        <v>470</v>
      </c>
      <c r="H685" t="s">
        <v>462</v>
      </c>
      <c r="I685">
        <f t="shared" si="34"/>
        <v>2007</v>
      </c>
      <c r="J685" s="229">
        <v>0</v>
      </c>
      <c r="K685" s="254">
        <v>482.94</v>
      </c>
      <c r="L685" s="254">
        <v>42.53</v>
      </c>
      <c r="M685" s="254">
        <v>440.41</v>
      </c>
      <c r="N685" s="255">
        <v>455</v>
      </c>
      <c r="O685" s="256">
        <v>491</v>
      </c>
      <c r="P685" s="254">
        <f t="shared" si="35"/>
        <v>521.15063736263733</v>
      </c>
    </row>
    <row r="686" spans="1:16" x14ac:dyDescent="0.2">
      <c r="A686" t="s">
        <v>561</v>
      </c>
      <c r="B686" s="253">
        <v>6</v>
      </c>
      <c r="C686" s="257" t="s">
        <v>556</v>
      </c>
      <c r="D686" s="257" t="str">
        <f t="shared" si="33"/>
        <v>6 PE</v>
      </c>
      <c r="E686" t="s">
        <v>482</v>
      </c>
      <c r="F686" t="s">
        <v>483</v>
      </c>
      <c r="G686" t="s">
        <v>470</v>
      </c>
      <c r="H686" t="s">
        <v>462</v>
      </c>
      <c r="I686">
        <f t="shared" si="34"/>
        <v>2007</v>
      </c>
      <c r="J686" s="229">
        <v>0</v>
      </c>
      <c r="K686" s="254">
        <v>79.56</v>
      </c>
      <c r="L686" s="254">
        <v>7.01</v>
      </c>
      <c r="M686" s="254">
        <v>72.55</v>
      </c>
      <c r="N686" s="255">
        <v>455</v>
      </c>
      <c r="O686" s="256">
        <v>491</v>
      </c>
      <c r="P686" s="254">
        <f t="shared" si="35"/>
        <v>85.854857142857142</v>
      </c>
    </row>
    <row r="687" spans="1:16" x14ac:dyDescent="0.2">
      <c r="A687" t="s">
        <v>561</v>
      </c>
      <c r="B687" s="253">
        <v>6</v>
      </c>
      <c r="C687" s="257" t="s">
        <v>556</v>
      </c>
      <c r="D687" s="257" t="str">
        <f t="shared" si="33"/>
        <v>6 PE</v>
      </c>
      <c r="E687" t="s">
        <v>482</v>
      </c>
      <c r="F687" t="s">
        <v>483</v>
      </c>
      <c r="G687" t="s">
        <v>461</v>
      </c>
      <c r="H687" t="s">
        <v>462</v>
      </c>
      <c r="I687">
        <f t="shared" si="34"/>
        <v>2008</v>
      </c>
      <c r="J687" s="229">
        <v>0</v>
      </c>
      <c r="K687" s="254">
        <v>11603.89</v>
      </c>
      <c r="L687" s="254">
        <v>736.68</v>
      </c>
      <c r="M687" s="254">
        <v>10867.21</v>
      </c>
      <c r="N687" s="255">
        <v>474</v>
      </c>
      <c r="O687" s="256">
        <v>491</v>
      </c>
      <c r="P687" s="254">
        <f t="shared" si="35"/>
        <v>12020.063270042192</v>
      </c>
    </row>
    <row r="688" spans="1:16" x14ac:dyDescent="0.2">
      <c r="A688" t="s">
        <v>561</v>
      </c>
      <c r="B688" s="253">
        <v>6</v>
      </c>
      <c r="C688" s="257" t="s">
        <v>556</v>
      </c>
      <c r="D688" s="257" t="str">
        <f t="shared" si="33"/>
        <v>6 PE</v>
      </c>
      <c r="E688" t="s">
        <v>482</v>
      </c>
      <c r="F688" t="s">
        <v>483</v>
      </c>
      <c r="G688" t="s">
        <v>470</v>
      </c>
      <c r="H688" t="s">
        <v>462</v>
      </c>
      <c r="I688">
        <f t="shared" si="34"/>
        <v>2007</v>
      </c>
      <c r="J688" s="229">
        <v>10</v>
      </c>
      <c r="K688" s="254">
        <v>933.4</v>
      </c>
      <c r="L688" s="254">
        <v>82.2</v>
      </c>
      <c r="M688" s="254">
        <v>851.2</v>
      </c>
      <c r="N688" s="255">
        <v>455</v>
      </c>
      <c r="O688" s="256">
        <v>491</v>
      </c>
      <c r="P688" s="254">
        <f t="shared" si="35"/>
        <v>1007.2514285714285</v>
      </c>
    </row>
    <row r="689" spans="1:16" x14ac:dyDescent="0.2">
      <c r="A689" t="s">
        <v>561</v>
      </c>
      <c r="B689" s="253">
        <v>6</v>
      </c>
      <c r="C689" s="257" t="s">
        <v>556</v>
      </c>
      <c r="D689" s="257" t="str">
        <f t="shared" si="33"/>
        <v>6 PE</v>
      </c>
      <c r="E689" t="s">
        <v>482</v>
      </c>
      <c r="F689" t="s">
        <v>483</v>
      </c>
      <c r="G689" t="s">
        <v>469</v>
      </c>
      <c r="H689" t="s">
        <v>462</v>
      </c>
      <c r="I689">
        <f t="shared" si="34"/>
        <v>2010</v>
      </c>
      <c r="J689" s="229">
        <v>1016</v>
      </c>
      <c r="K689" s="254">
        <v>308816.08</v>
      </c>
      <c r="L689" s="254">
        <v>4087.59</v>
      </c>
      <c r="M689" s="254">
        <v>304728.49</v>
      </c>
      <c r="N689" s="255">
        <v>491</v>
      </c>
      <c r="O689" s="256">
        <v>491</v>
      </c>
      <c r="P689" s="254">
        <f t="shared" si="35"/>
        <v>308816.08</v>
      </c>
    </row>
    <row r="690" spans="1:16" x14ac:dyDescent="0.2">
      <c r="A690" t="s">
        <v>561</v>
      </c>
      <c r="B690" s="253">
        <v>6</v>
      </c>
      <c r="C690" s="257" t="s">
        <v>556</v>
      </c>
      <c r="D690" s="257" t="str">
        <f t="shared" si="33"/>
        <v>6 PE</v>
      </c>
      <c r="E690" t="s">
        <v>482</v>
      </c>
      <c r="F690" t="s">
        <v>483</v>
      </c>
      <c r="G690" t="s">
        <v>468</v>
      </c>
      <c r="H690" t="s">
        <v>462</v>
      </c>
      <c r="I690">
        <f t="shared" si="34"/>
        <v>2009</v>
      </c>
      <c r="J690" s="229">
        <v>2154</v>
      </c>
      <c r="K690" s="254">
        <v>255940.31</v>
      </c>
      <c r="L690" s="254">
        <v>9904.01</v>
      </c>
      <c r="M690" s="254">
        <v>246036.3</v>
      </c>
      <c r="N690" s="255">
        <v>502</v>
      </c>
      <c r="O690" s="256">
        <v>491</v>
      </c>
      <c r="P690" s="254">
        <f t="shared" si="35"/>
        <v>250332.05619521913</v>
      </c>
    </row>
    <row r="691" spans="1:16" x14ac:dyDescent="0.2">
      <c r="A691" t="s">
        <v>561</v>
      </c>
      <c r="B691" s="253">
        <v>6</v>
      </c>
      <c r="C691" s="257" t="s">
        <v>556</v>
      </c>
      <c r="D691" s="257" t="str">
        <f t="shared" si="33"/>
        <v>6 PE</v>
      </c>
      <c r="E691" t="s">
        <v>482</v>
      </c>
      <c r="F691" t="s">
        <v>483</v>
      </c>
      <c r="G691" t="s">
        <v>461</v>
      </c>
      <c r="H691" t="s">
        <v>462</v>
      </c>
      <c r="I691">
        <f t="shared" si="34"/>
        <v>2008</v>
      </c>
      <c r="J691" s="229">
        <v>4215</v>
      </c>
      <c r="K691" s="254">
        <v>84717.73</v>
      </c>
      <c r="L691" s="254">
        <v>5378.39</v>
      </c>
      <c r="M691" s="254">
        <v>79339.34</v>
      </c>
      <c r="N691" s="255">
        <v>474</v>
      </c>
      <c r="O691" s="256">
        <v>491</v>
      </c>
      <c r="P691" s="254">
        <f t="shared" si="35"/>
        <v>87756.129599156106</v>
      </c>
    </row>
    <row r="692" spans="1:16" x14ac:dyDescent="0.2">
      <c r="A692" t="s">
        <v>561</v>
      </c>
      <c r="B692" s="253">
        <v>6</v>
      </c>
      <c r="C692" s="257" t="s">
        <v>556</v>
      </c>
      <c r="D692" s="257" t="str">
        <f t="shared" si="33"/>
        <v>6 PE</v>
      </c>
      <c r="E692" t="s">
        <v>482</v>
      </c>
      <c r="F692" t="s">
        <v>483</v>
      </c>
      <c r="G692" t="s">
        <v>468</v>
      </c>
      <c r="H692" t="s">
        <v>462</v>
      </c>
      <c r="I692">
        <f t="shared" si="34"/>
        <v>2009</v>
      </c>
      <c r="J692" s="229">
        <v>5006</v>
      </c>
      <c r="K692" s="254">
        <v>439688.33</v>
      </c>
      <c r="L692" s="254">
        <v>17014.43</v>
      </c>
      <c r="M692" s="254">
        <v>422673.9</v>
      </c>
      <c r="N692" s="255">
        <v>502</v>
      </c>
      <c r="O692" s="256">
        <v>491</v>
      </c>
      <c r="P692" s="254">
        <f t="shared" si="35"/>
        <v>430053.7251593626</v>
      </c>
    </row>
    <row r="693" spans="1:16" x14ac:dyDescent="0.2">
      <c r="A693" t="s">
        <v>561</v>
      </c>
      <c r="B693" s="253">
        <v>6</v>
      </c>
      <c r="C693" s="257" t="s">
        <v>556</v>
      </c>
      <c r="D693" s="257" t="str">
        <f t="shared" si="33"/>
        <v>6 PE</v>
      </c>
      <c r="E693" t="s">
        <v>482</v>
      </c>
      <c r="F693" t="s">
        <v>483</v>
      </c>
      <c r="G693" t="s">
        <v>461</v>
      </c>
      <c r="H693" t="s">
        <v>462</v>
      </c>
      <c r="I693">
        <f t="shared" si="34"/>
        <v>2008</v>
      </c>
      <c r="J693" s="229">
        <v>5612</v>
      </c>
      <c r="K693" s="254">
        <v>266019.48</v>
      </c>
      <c r="L693" s="254">
        <v>16888.5</v>
      </c>
      <c r="M693" s="254">
        <v>249130.98</v>
      </c>
      <c r="N693" s="255">
        <v>474</v>
      </c>
      <c r="O693" s="256">
        <v>491</v>
      </c>
      <c r="P693" s="254">
        <f t="shared" si="35"/>
        <v>275560.26303797466</v>
      </c>
    </row>
    <row r="694" spans="1:16" x14ac:dyDescent="0.2">
      <c r="A694" t="s">
        <v>561</v>
      </c>
      <c r="B694" s="253">
        <v>6</v>
      </c>
      <c r="C694" s="257" t="s">
        <v>556</v>
      </c>
      <c r="D694" s="257" t="str">
        <f t="shared" si="33"/>
        <v>6 PE</v>
      </c>
      <c r="E694" t="s">
        <v>482</v>
      </c>
      <c r="F694" t="s">
        <v>483</v>
      </c>
      <c r="G694" t="s">
        <v>469</v>
      </c>
      <c r="H694" t="s">
        <v>462</v>
      </c>
      <c r="I694">
        <f t="shared" si="34"/>
        <v>2010</v>
      </c>
      <c r="J694" s="229">
        <v>6110</v>
      </c>
      <c r="K694" s="254">
        <v>219774.04</v>
      </c>
      <c r="L694" s="254">
        <v>2909</v>
      </c>
      <c r="M694" s="254">
        <v>216865.04</v>
      </c>
      <c r="N694" s="255">
        <v>491</v>
      </c>
      <c r="O694" s="256">
        <v>491</v>
      </c>
      <c r="P694" s="254">
        <f t="shared" si="35"/>
        <v>219774.04</v>
      </c>
    </row>
    <row r="695" spans="1:16" x14ac:dyDescent="0.2">
      <c r="A695" t="s">
        <v>561</v>
      </c>
      <c r="B695" s="253">
        <v>6</v>
      </c>
      <c r="C695" s="257" t="s">
        <v>556</v>
      </c>
      <c r="D695" s="257" t="str">
        <f t="shared" si="33"/>
        <v>6 PE</v>
      </c>
      <c r="E695" t="s">
        <v>482</v>
      </c>
      <c r="F695" t="s">
        <v>483</v>
      </c>
      <c r="G695" t="s">
        <v>470</v>
      </c>
      <c r="H695" t="s">
        <v>462</v>
      </c>
      <c r="I695">
        <f t="shared" si="34"/>
        <v>2007</v>
      </c>
      <c r="J695" s="229">
        <v>6205</v>
      </c>
      <c r="K695" s="254">
        <v>432292.59</v>
      </c>
      <c r="L695" s="254">
        <v>38071.43</v>
      </c>
      <c r="M695" s="254">
        <v>394221.16</v>
      </c>
      <c r="N695" s="255">
        <v>455</v>
      </c>
      <c r="O695" s="256">
        <v>491</v>
      </c>
      <c r="P695" s="254">
        <f t="shared" si="35"/>
        <v>466495.95975824178</v>
      </c>
    </row>
    <row r="696" spans="1:16" x14ac:dyDescent="0.2">
      <c r="A696" t="s">
        <v>561</v>
      </c>
      <c r="B696" s="253">
        <v>6</v>
      </c>
      <c r="C696" s="257" t="s">
        <v>556</v>
      </c>
      <c r="D696" s="257" t="str">
        <f t="shared" si="33"/>
        <v>6 PE</v>
      </c>
      <c r="E696" t="s">
        <v>482</v>
      </c>
      <c r="F696" t="s">
        <v>483</v>
      </c>
      <c r="G696" t="s">
        <v>469</v>
      </c>
      <c r="H696" t="s">
        <v>462</v>
      </c>
      <c r="I696">
        <f t="shared" si="34"/>
        <v>2010</v>
      </c>
      <c r="J696" s="229">
        <v>9438</v>
      </c>
      <c r="K696" s="254">
        <v>1099177.1399999999</v>
      </c>
      <c r="L696" s="254">
        <v>14549.07</v>
      </c>
      <c r="M696" s="254">
        <v>1084628.07</v>
      </c>
      <c r="N696" s="255">
        <v>491</v>
      </c>
      <c r="O696" s="256">
        <v>491</v>
      </c>
      <c r="P696" s="254">
        <f t="shared" si="35"/>
        <v>1099177.1399999999</v>
      </c>
    </row>
    <row r="697" spans="1:16" x14ac:dyDescent="0.2">
      <c r="A697" t="s">
        <v>561</v>
      </c>
      <c r="B697" s="253">
        <v>6</v>
      </c>
      <c r="C697" s="257" t="s">
        <v>556</v>
      </c>
      <c r="D697" s="257" t="str">
        <f t="shared" si="33"/>
        <v>6 PE</v>
      </c>
      <c r="E697" t="s">
        <v>482</v>
      </c>
      <c r="F697" t="s">
        <v>483</v>
      </c>
      <c r="G697" t="s">
        <v>461</v>
      </c>
      <c r="H697" t="s">
        <v>462</v>
      </c>
      <c r="I697">
        <f t="shared" si="34"/>
        <v>2008</v>
      </c>
      <c r="J697" s="229">
        <v>11374</v>
      </c>
      <c r="K697" s="254">
        <v>987241.2</v>
      </c>
      <c r="L697" s="254">
        <v>62675.96</v>
      </c>
      <c r="M697" s="254">
        <v>924565.24</v>
      </c>
      <c r="N697" s="255">
        <v>474</v>
      </c>
      <c r="O697" s="256">
        <v>491</v>
      </c>
      <c r="P697" s="254">
        <f t="shared" si="35"/>
        <v>1022648.5848101265</v>
      </c>
    </row>
    <row r="698" spans="1:16" x14ac:dyDescent="0.2">
      <c r="A698" t="s">
        <v>561</v>
      </c>
      <c r="B698" s="253">
        <v>6</v>
      </c>
      <c r="C698" s="257" t="s">
        <v>556</v>
      </c>
      <c r="D698" s="257" t="str">
        <f t="shared" si="33"/>
        <v>6 PE</v>
      </c>
      <c r="E698" t="s">
        <v>482</v>
      </c>
      <c r="F698" t="s">
        <v>483</v>
      </c>
      <c r="G698" t="s">
        <v>467</v>
      </c>
      <c r="H698" t="s">
        <v>462</v>
      </c>
      <c r="I698">
        <f t="shared" si="34"/>
        <v>1996</v>
      </c>
      <c r="J698" s="229">
        <v>12114</v>
      </c>
      <c r="K698" s="254">
        <v>639559.66</v>
      </c>
      <c r="L698" s="254">
        <v>235330.95</v>
      </c>
      <c r="M698" s="254">
        <v>404228.71</v>
      </c>
      <c r="N698" s="255">
        <v>334</v>
      </c>
      <c r="O698" s="256">
        <v>491</v>
      </c>
      <c r="P698" s="254">
        <f t="shared" si="35"/>
        <v>940190.99718562886</v>
      </c>
    </row>
    <row r="699" spans="1:16" x14ac:dyDescent="0.2">
      <c r="A699" t="s">
        <v>561</v>
      </c>
      <c r="B699" s="253">
        <v>6</v>
      </c>
      <c r="C699" s="257" t="s">
        <v>556</v>
      </c>
      <c r="D699" s="257" t="str">
        <f t="shared" si="33"/>
        <v>6 PE</v>
      </c>
      <c r="E699" t="s">
        <v>482</v>
      </c>
      <c r="F699" t="s">
        <v>483</v>
      </c>
      <c r="G699" t="s">
        <v>468</v>
      </c>
      <c r="H699" t="s">
        <v>462</v>
      </c>
      <c r="I699">
        <f t="shared" si="34"/>
        <v>2009</v>
      </c>
      <c r="J699" s="229">
        <v>17137</v>
      </c>
      <c r="K699" s="254">
        <v>2529803.41</v>
      </c>
      <c r="L699" s="254">
        <v>97894.71</v>
      </c>
      <c r="M699" s="254">
        <v>2431908.7000000002</v>
      </c>
      <c r="N699" s="255">
        <v>502</v>
      </c>
      <c r="O699" s="256">
        <v>491</v>
      </c>
      <c r="P699" s="254">
        <f t="shared" si="35"/>
        <v>2474369.4707370522</v>
      </c>
    </row>
    <row r="700" spans="1:16" x14ac:dyDescent="0.2">
      <c r="A700" t="s">
        <v>561</v>
      </c>
      <c r="B700" s="253">
        <v>6</v>
      </c>
      <c r="C700" s="257" t="s">
        <v>556</v>
      </c>
      <c r="D700" s="257" t="str">
        <f t="shared" si="33"/>
        <v>6 PE</v>
      </c>
      <c r="E700" t="s">
        <v>482</v>
      </c>
      <c r="F700" t="s">
        <v>483</v>
      </c>
      <c r="G700" t="s">
        <v>469</v>
      </c>
      <c r="H700" t="s">
        <v>462</v>
      </c>
      <c r="I700">
        <f t="shared" si="34"/>
        <v>2010</v>
      </c>
      <c r="J700" s="229">
        <v>20440</v>
      </c>
      <c r="K700" s="254">
        <v>3944133.98</v>
      </c>
      <c r="L700" s="254">
        <v>52205.86</v>
      </c>
      <c r="M700" s="254">
        <v>3891928.12</v>
      </c>
      <c r="N700" s="255">
        <v>491</v>
      </c>
      <c r="O700" s="256">
        <v>491</v>
      </c>
      <c r="P700" s="254">
        <f t="shared" si="35"/>
        <v>3944133.98</v>
      </c>
    </row>
    <row r="701" spans="1:16" x14ac:dyDescent="0.2">
      <c r="A701" t="s">
        <v>561</v>
      </c>
      <c r="B701" s="253">
        <v>6</v>
      </c>
      <c r="C701" s="257" t="s">
        <v>556</v>
      </c>
      <c r="D701" s="257" t="str">
        <f t="shared" si="33"/>
        <v>6 PE</v>
      </c>
      <c r="E701" t="s">
        <v>482</v>
      </c>
      <c r="F701" t="s">
        <v>483</v>
      </c>
      <c r="G701" t="s">
        <v>470</v>
      </c>
      <c r="H701" t="s">
        <v>462</v>
      </c>
      <c r="I701">
        <f t="shared" si="34"/>
        <v>2007</v>
      </c>
      <c r="J701" s="229">
        <v>22054</v>
      </c>
      <c r="K701" s="254">
        <v>1608269.46</v>
      </c>
      <c r="L701" s="254">
        <v>141638.14000000001</v>
      </c>
      <c r="M701" s="254">
        <v>1466631.32</v>
      </c>
      <c r="N701" s="255">
        <v>455</v>
      </c>
      <c r="O701" s="256">
        <v>491</v>
      </c>
      <c r="P701" s="254">
        <f t="shared" si="35"/>
        <v>1735517.1535384613</v>
      </c>
    </row>
    <row r="702" spans="1:16" x14ac:dyDescent="0.2">
      <c r="A702" t="s">
        <v>561</v>
      </c>
      <c r="B702" s="253">
        <v>6</v>
      </c>
      <c r="C702" s="257" t="s">
        <v>556</v>
      </c>
      <c r="D702" s="257" t="str">
        <f t="shared" si="33"/>
        <v>6 PE</v>
      </c>
      <c r="E702" t="s">
        <v>482</v>
      </c>
      <c r="F702" t="s">
        <v>483</v>
      </c>
      <c r="G702" t="s">
        <v>470</v>
      </c>
      <c r="H702" t="s">
        <v>462</v>
      </c>
      <c r="I702">
        <f t="shared" si="34"/>
        <v>2007</v>
      </c>
      <c r="J702" s="229">
        <v>29902</v>
      </c>
      <c r="K702" s="254">
        <v>2172061.13</v>
      </c>
      <c r="L702" s="254">
        <v>191290.51</v>
      </c>
      <c r="M702" s="254">
        <v>1980770.62</v>
      </c>
      <c r="N702" s="255">
        <v>455</v>
      </c>
      <c r="O702" s="256">
        <v>491</v>
      </c>
      <c r="P702" s="254">
        <f t="shared" si="35"/>
        <v>2343916.5161098898</v>
      </c>
    </row>
    <row r="703" spans="1:16" x14ac:dyDescent="0.2">
      <c r="A703" t="s">
        <v>561</v>
      </c>
      <c r="B703" s="253">
        <v>6</v>
      </c>
      <c r="C703" s="257" t="s">
        <v>556</v>
      </c>
      <c r="D703" s="257" t="str">
        <f t="shared" si="33"/>
        <v>6 PE</v>
      </c>
      <c r="E703" t="s">
        <v>482</v>
      </c>
      <c r="F703" t="s">
        <v>483</v>
      </c>
      <c r="G703" t="s">
        <v>461</v>
      </c>
      <c r="H703" t="s">
        <v>462</v>
      </c>
      <c r="I703">
        <f t="shared" si="34"/>
        <v>2008</v>
      </c>
      <c r="J703" s="229">
        <v>30426</v>
      </c>
      <c r="K703" s="254">
        <v>2849027.53</v>
      </c>
      <c r="L703" s="254">
        <v>180873.25</v>
      </c>
      <c r="M703" s="254">
        <v>2668154.2799999998</v>
      </c>
      <c r="N703" s="255">
        <v>474</v>
      </c>
      <c r="O703" s="256">
        <v>491</v>
      </c>
      <c r="P703" s="254">
        <f t="shared" si="35"/>
        <v>2951207.8422573833</v>
      </c>
    </row>
    <row r="704" spans="1:16" x14ac:dyDescent="0.2">
      <c r="A704" t="s">
        <v>561</v>
      </c>
      <c r="B704" s="253">
        <v>6</v>
      </c>
      <c r="C704" s="257" t="s">
        <v>556</v>
      </c>
      <c r="D704" s="257" t="str">
        <f t="shared" si="33"/>
        <v>6 PE</v>
      </c>
      <c r="E704" t="s">
        <v>482</v>
      </c>
      <c r="F704" t="s">
        <v>483</v>
      </c>
      <c r="G704" t="s">
        <v>470</v>
      </c>
      <c r="H704" t="s">
        <v>462</v>
      </c>
      <c r="I704">
        <f t="shared" si="34"/>
        <v>2007</v>
      </c>
      <c r="J704" s="229">
        <v>34828</v>
      </c>
      <c r="K704" s="254">
        <v>1519811.57</v>
      </c>
      <c r="L704" s="254">
        <v>133847.76999999999</v>
      </c>
      <c r="M704" s="254">
        <v>1385963.8</v>
      </c>
      <c r="N704" s="255">
        <v>455</v>
      </c>
      <c r="O704" s="256">
        <v>491</v>
      </c>
      <c r="P704" s="254">
        <f t="shared" si="35"/>
        <v>1640060.3975164834</v>
      </c>
    </row>
    <row r="705" spans="1:16" x14ac:dyDescent="0.2">
      <c r="A705" t="s">
        <v>561</v>
      </c>
      <c r="B705" s="253">
        <v>6</v>
      </c>
      <c r="C705" s="257" t="s">
        <v>556</v>
      </c>
      <c r="D705" s="257" t="str">
        <f t="shared" si="33"/>
        <v>6 PE</v>
      </c>
      <c r="E705" t="s">
        <v>482</v>
      </c>
      <c r="F705" t="s">
        <v>483</v>
      </c>
      <c r="G705" t="s">
        <v>468</v>
      </c>
      <c r="H705" t="s">
        <v>462</v>
      </c>
      <c r="I705">
        <f t="shared" si="34"/>
        <v>2009</v>
      </c>
      <c r="J705" s="229">
        <v>43120</v>
      </c>
      <c r="K705" s="254">
        <v>7567840.75</v>
      </c>
      <c r="L705" s="254">
        <v>292849.48</v>
      </c>
      <c r="M705" s="254">
        <v>7274991.2699999996</v>
      </c>
      <c r="N705" s="255">
        <v>502</v>
      </c>
      <c r="O705" s="256">
        <v>491</v>
      </c>
      <c r="P705" s="254">
        <f t="shared" si="35"/>
        <v>7402011.5702191237</v>
      </c>
    </row>
    <row r="706" spans="1:16" x14ac:dyDescent="0.2">
      <c r="A706" t="s">
        <v>561</v>
      </c>
      <c r="B706" s="253">
        <v>6</v>
      </c>
      <c r="C706" s="257" t="s">
        <v>556</v>
      </c>
      <c r="D706" s="257" t="str">
        <f t="shared" si="33"/>
        <v>6 PE</v>
      </c>
      <c r="E706" t="s">
        <v>482</v>
      </c>
      <c r="F706" t="s">
        <v>483</v>
      </c>
      <c r="G706" t="s">
        <v>470</v>
      </c>
      <c r="H706" t="s">
        <v>462</v>
      </c>
      <c r="I706">
        <f t="shared" si="34"/>
        <v>2007</v>
      </c>
      <c r="J706" s="229">
        <v>44107</v>
      </c>
      <c r="K706" s="254">
        <v>5134964.42</v>
      </c>
      <c r="L706" s="254">
        <v>452229.44</v>
      </c>
      <c r="M706" s="254">
        <v>4682734.9800000004</v>
      </c>
      <c r="N706" s="255">
        <v>455</v>
      </c>
      <c r="O706" s="256">
        <v>491</v>
      </c>
      <c r="P706" s="254">
        <f t="shared" si="35"/>
        <v>5541247.3191648349</v>
      </c>
    </row>
    <row r="707" spans="1:16" x14ac:dyDescent="0.2">
      <c r="A707" t="s">
        <v>561</v>
      </c>
      <c r="B707" s="253">
        <v>6</v>
      </c>
      <c r="C707" s="257" t="s">
        <v>556</v>
      </c>
      <c r="D707" s="257" t="str">
        <f t="shared" si="33"/>
        <v>6 PE</v>
      </c>
      <c r="E707" t="s">
        <v>482</v>
      </c>
      <c r="F707" t="s">
        <v>483</v>
      </c>
      <c r="G707" t="s">
        <v>461</v>
      </c>
      <c r="H707" t="s">
        <v>462</v>
      </c>
      <c r="I707">
        <f t="shared" si="34"/>
        <v>2008</v>
      </c>
      <c r="J707" s="229">
        <v>61547</v>
      </c>
      <c r="K707" s="254">
        <v>7786130.4199999999</v>
      </c>
      <c r="L707" s="254">
        <v>494309.96</v>
      </c>
      <c r="M707" s="254">
        <v>7291820.46</v>
      </c>
      <c r="N707" s="255">
        <v>474</v>
      </c>
      <c r="O707" s="256">
        <v>491</v>
      </c>
      <c r="P707" s="254">
        <f t="shared" si="35"/>
        <v>8065379.8232489442</v>
      </c>
    </row>
    <row r="708" spans="1:16" x14ac:dyDescent="0.2">
      <c r="A708" t="s">
        <v>561</v>
      </c>
      <c r="B708" s="253">
        <v>6</v>
      </c>
      <c r="C708" s="257" t="s">
        <v>556</v>
      </c>
      <c r="D708" s="257" t="str">
        <f t="shared" si="33"/>
        <v>6 PE</v>
      </c>
      <c r="E708" t="s">
        <v>482</v>
      </c>
      <c r="F708" t="s">
        <v>483</v>
      </c>
      <c r="G708" t="s">
        <v>471</v>
      </c>
      <c r="H708" t="s">
        <v>462</v>
      </c>
      <c r="I708">
        <f t="shared" si="34"/>
        <v>2003</v>
      </c>
      <c r="J708" s="229">
        <v>87173</v>
      </c>
      <c r="K708" s="254">
        <v>6692657.7199999997</v>
      </c>
      <c r="L708" s="254">
        <v>1254364.08</v>
      </c>
      <c r="M708" s="254">
        <v>5438293.6399999997</v>
      </c>
      <c r="N708" s="255">
        <v>377</v>
      </c>
      <c r="O708" s="256">
        <v>491</v>
      </c>
      <c r="P708" s="254">
        <f t="shared" si="35"/>
        <v>8716432.2029708214</v>
      </c>
    </row>
    <row r="709" spans="1:16" x14ac:dyDescent="0.2">
      <c r="A709" t="s">
        <v>561</v>
      </c>
      <c r="B709" s="253">
        <v>6</v>
      </c>
      <c r="C709" s="257" t="s">
        <v>556</v>
      </c>
      <c r="D709" s="257" t="str">
        <f t="shared" si="33"/>
        <v>6 PE</v>
      </c>
      <c r="E709" t="s">
        <v>482</v>
      </c>
      <c r="F709" t="s">
        <v>483</v>
      </c>
      <c r="G709" t="s">
        <v>476</v>
      </c>
      <c r="H709" t="s">
        <v>462</v>
      </c>
      <c r="I709">
        <f t="shared" si="34"/>
        <v>2004</v>
      </c>
      <c r="J709" s="229">
        <v>87249</v>
      </c>
      <c r="K709" s="254">
        <v>5948516.4699999997</v>
      </c>
      <c r="L709" s="254">
        <v>965371.95</v>
      </c>
      <c r="M709" s="254">
        <v>4983144.5199999996</v>
      </c>
      <c r="N709" s="255">
        <v>387</v>
      </c>
      <c r="O709" s="256">
        <v>491</v>
      </c>
      <c r="P709" s="254">
        <f t="shared" si="35"/>
        <v>7547084.2035400514</v>
      </c>
    </row>
    <row r="710" spans="1:16" x14ac:dyDescent="0.2">
      <c r="A710" t="s">
        <v>561</v>
      </c>
      <c r="B710" s="253">
        <v>6</v>
      </c>
      <c r="C710" s="257" t="s">
        <v>556</v>
      </c>
      <c r="D710" s="257" t="str">
        <f t="shared" si="33"/>
        <v>6 PE</v>
      </c>
      <c r="E710" t="s">
        <v>482</v>
      </c>
      <c r="F710" t="s">
        <v>483</v>
      </c>
      <c r="G710" t="s">
        <v>480</v>
      </c>
      <c r="H710" t="s">
        <v>462</v>
      </c>
      <c r="I710">
        <f t="shared" si="34"/>
        <v>1999</v>
      </c>
      <c r="J710" s="229">
        <v>99785</v>
      </c>
      <c r="K710" s="254">
        <v>5495299.0499999998</v>
      </c>
      <c r="L710" s="254">
        <v>1593115.77</v>
      </c>
      <c r="M710" s="254">
        <v>3902183.28</v>
      </c>
      <c r="N710" s="255">
        <v>352</v>
      </c>
      <c r="O710" s="256">
        <v>491</v>
      </c>
      <c r="P710" s="254">
        <f t="shared" si="35"/>
        <v>7665317.7089488627</v>
      </c>
    </row>
    <row r="711" spans="1:16" x14ac:dyDescent="0.2">
      <c r="A711" t="s">
        <v>561</v>
      </c>
      <c r="B711" s="253">
        <v>6</v>
      </c>
      <c r="C711" s="257" t="s">
        <v>556</v>
      </c>
      <c r="D711" s="257" t="str">
        <f t="shared" si="33"/>
        <v>6 PE</v>
      </c>
      <c r="E711" t="s">
        <v>482</v>
      </c>
      <c r="F711" t="s">
        <v>483</v>
      </c>
      <c r="G711" t="s">
        <v>477</v>
      </c>
      <c r="H711" t="s">
        <v>462</v>
      </c>
      <c r="I711">
        <f t="shared" si="34"/>
        <v>2006</v>
      </c>
      <c r="J711" s="229">
        <v>102812</v>
      </c>
      <c r="K711" s="254">
        <v>9367254.0600000005</v>
      </c>
      <c r="L711" s="254">
        <v>1055272.4099999999</v>
      </c>
      <c r="M711" s="254">
        <v>8311981.6500000004</v>
      </c>
      <c r="N711" s="255">
        <v>434</v>
      </c>
      <c r="O711" s="256">
        <v>491</v>
      </c>
      <c r="P711" s="254">
        <f t="shared" si="35"/>
        <v>10597515.537926268</v>
      </c>
    </row>
    <row r="712" spans="1:16" x14ac:dyDescent="0.2">
      <c r="A712" t="s">
        <v>561</v>
      </c>
      <c r="B712" s="253">
        <v>6</v>
      </c>
      <c r="C712" s="257" t="s">
        <v>556</v>
      </c>
      <c r="D712" s="257" t="str">
        <f t="shared" si="33"/>
        <v>6 PE</v>
      </c>
      <c r="E712" t="s">
        <v>482</v>
      </c>
      <c r="F712" t="s">
        <v>483</v>
      </c>
      <c r="G712" t="s">
        <v>474</v>
      </c>
      <c r="H712" t="s">
        <v>462</v>
      </c>
      <c r="I712">
        <f t="shared" si="34"/>
        <v>2005</v>
      </c>
      <c r="J712" s="229">
        <v>119530</v>
      </c>
      <c r="K712" s="254">
        <v>11024350.49</v>
      </c>
      <c r="L712" s="254">
        <v>1514543.24</v>
      </c>
      <c r="M712" s="254">
        <v>9509807.25</v>
      </c>
      <c r="N712" s="255">
        <v>414</v>
      </c>
      <c r="O712" s="256">
        <v>491</v>
      </c>
      <c r="P712" s="254">
        <f t="shared" si="35"/>
        <v>13074773.165676327</v>
      </c>
    </row>
    <row r="713" spans="1:16" x14ac:dyDescent="0.2">
      <c r="A713" t="s">
        <v>561</v>
      </c>
      <c r="B713" s="253">
        <v>6</v>
      </c>
      <c r="C713" s="257" t="s">
        <v>556</v>
      </c>
      <c r="D713" s="257" t="str">
        <f t="shared" si="33"/>
        <v>6 PE</v>
      </c>
      <c r="E713" t="s">
        <v>482</v>
      </c>
      <c r="F713" t="s">
        <v>483</v>
      </c>
      <c r="G713" t="s">
        <v>473</v>
      </c>
      <c r="H713" t="s">
        <v>462</v>
      </c>
      <c r="I713">
        <f t="shared" si="34"/>
        <v>1997</v>
      </c>
      <c r="J713" s="229">
        <v>121112</v>
      </c>
      <c r="K713" s="254">
        <v>6017511.0199999996</v>
      </c>
      <c r="L713" s="254">
        <v>2057423.48</v>
      </c>
      <c r="M713" s="254">
        <v>3960087.54</v>
      </c>
      <c r="N713" s="255">
        <v>341</v>
      </c>
      <c r="O713" s="256">
        <v>491</v>
      </c>
      <c r="P713" s="254">
        <f t="shared" si="35"/>
        <v>8664510.0024046917</v>
      </c>
    </row>
    <row r="714" spans="1:16" x14ac:dyDescent="0.2">
      <c r="A714" t="s">
        <v>561</v>
      </c>
      <c r="B714" s="253">
        <v>6</v>
      </c>
      <c r="C714" s="257" t="s">
        <v>556</v>
      </c>
      <c r="D714" s="257" t="str">
        <f t="shared" si="33"/>
        <v>6 PE</v>
      </c>
      <c r="E714" t="s">
        <v>482</v>
      </c>
      <c r="F714" t="s">
        <v>483</v>
      </c>
      <c r="G714" t="s">
        <v>475</v>
      </c>
      <c r="H714" t="s">
        <v>462</v>
      </c>
      <c r="I714">
        <f t="shared" si="34"/>
        <v>2002</v>
      </c>
      <c r="J714" s="229">
        <v>149226</v>
      </c>
      <c r="K714" s="254">
        <v>7061283.7000000002</v>
      </c>
      <c r="L714" s="254">
        <v>1502457.15</v>
      </c>
      <c r="M714" s="254">
        <v>5558826.5499999998</v>
      </c>
      <c r="N714" s="255">
        <v>373</v>
      </c>
      <c r="O714" s="256">
        <v>491</v>
      </c>
      <c r="P714" s="254">
        <f t="shared" si="35"/>
        <v>9295148.2485254686</v>
      </c>
    </row>
    <row r="715" spans="1:16" x14ac:dyDescent="0.2">
      <c r="A715" t="s">
        <v>561</v>
      </c>
      <c r="B715" s="253">
        <v>6</v>
      </c>
      <c r="C715" s="257" t="s">
        <v>556</v>
      </c>
      <c r="D715" s="257" t="str">
        <f t="shared" si="33"/>
        <v>6 PE</v>
      </c>
      <c r="E715" t="s">
        <v>482</v>
      </c>
      <c r="F715" t="s">
        <v>483</v>
      </c>
      <c r="G715" t="s">
        <v>478</v>
      </c>
      <c r="H715" t="s">
        <v>462</v>
      </c>
      <c r="I715">
        <f t="shared" si="34"/>
        <v>2001</v>
      </c>
      <c r="J715" s="229">
        <v>171944</v>
      </c>
      <c r="K715" s="254">
        <v>8244661.4299999997</v>
      </c>
      <c r="L715" s="254">
        <v>1964866.23</v>
      </c>
      <c r="M715" s="254">
        <v>6279795.2000000002</v>
      </c>
      <c r="N715" s="255">
        <v>363</v>
      </c>
      <c r="O715" s="256">
        <v>491</v>
      </c>
      <c r="P715" s="254">
        <f t="shared" si="35"/>
        <v>11151869.868126722</v>
      </c>
    </row>
    <row r="716" spans="1:16" x14ac:dyDescent="0.2">
      <c r="A716" t="s">
        <v>561</v>
      </c>
      <c r="B716" s="253">
        <v>6</v>
      </c>
      <c r="C716" s="257" t="s">
        <v>556</v>
      </c>
      <c r="D716" s="257" t="str">
        <f t="shared" si="33"/>
        <v>6 PE</v>
      </c>
      <c r="E716" t="s">
        <v>482</v>
      </c>
      <c r="F716" t="s">
        <v>483</v>
      </c>
      <c r="G716" t="s">
        <v>472</v>
      </c>
      <c r="H716" t="s">
        <v>462</v>
      </c>
      <c r="I716">
        <f t="shared" si="34"/>
        <v>2000</v>
      </c>
      <c r="J716" s="229">
        <v>203439</v>
      </c>
      <c r="K716" s="254">
        <v>9818763.8200000003</v>
      </c>
      <c r="L716" s="254">
        <v>2592489.94</v>
      </c>
      <c r="M716" s="254">
        <v>7226273.8799999999</v>
      </c>
      <c r="N716" s="255">
        <v>356</v>
      </c>
      <c r="O716" s="256">
        <v>491</v>
      </c>
      <c r="P716" s="254">
        <f t="shared" si="35"/>
        <v>13542171.448370786</v>
      </c>
    </row>
    <row r="717" spans="1:16" x14ac:dyDescent="0.2">
      <c r="A717" t="s">
        <v>561</v>
      </c>
      <c r="B717" s="253">
        <v>6</v>
      </c>
      <c r="C717" s="257" t="s">
        <v>556</v>
      </c>
      <c r="D717" s="257" t="str">
        <f t="shared" si="33"/>
        <v>6 PE</v>
      </c>
      <c r="E717" t="s">
        <v>482</v>
      </c>
      <c r="F717" t="s">
        <v>483</v>
      </c>
      <c r="G717" t="s">
        <v>479</v>
      </c>
      <c r="H717" t="s">
        <v>462</v>
      </c>
      <c r="I717">
        <f t="shared" si="34"/>
        <v>1998</v>
      </c>
      <c r="J717" s="229">
        <v>219310</v>
      </c>
      <c r="K717" s="254">
        <v>7540593.9299999997</v>
      </c>
      <c r="L717" s="254">
        <v>2381886.69</v>
      </c>
      <c r="M717" s="254">
        <v>5158707.24</v>
      </c>
      <c r="N717" s="255">
        <v>346</v>
      </c>
      <c r="O717" s="256">
        <v>491</v>
      </c>
      <c r="P717" s="254">
        <f t="shared" si="35"/>
        <v>10700669.420895953</v>
      </c>
    </row>
    <row r="718" spans="1:16" x14ac:dyDescent="0.2">
      <c r="A718" t="s">
        <v>562</v>
      </c>
      <c r="B718" s="253">
        <v>8</v>
      </c>
      <c r="C718" s="257" t="s">
        <v>556</v>
      </c>
      <c r="D718" s="257" t="str">
        <f t="shared" si="33"/>
        <v>8 PE</v>
      </c>
      <c r="E718" t="s">
        <v>482</v>
      </c>
      <c r="F718" t="s">
        <v>483</v>
      </c>
      <c r="G718" t="s">
        <v>470</v>
      </c>
      <c r="H718" t="s">
        <v>462</v>
      </c>
      <c r="I718">
        <f t="shared" si="34"/>
        <v>2007</v>
      </c>
      <c r="J718" s="229">
        <v>2920</v>
      </c>
      <c r="K718" s="254">
        <v>321258.75</v>
      </c>
      <c r="L718" s="254">
        <v>28292.83</v>
      </c>
      <c r="M718" s="254">
        <v>292965.92</v>
      </c>
      <c r="N718" s="255">
        <v>455</v>
      </c>
      <c r="O718" s="256">
        <v>491</v>
      </c>
      <c r="P718" s="254">
        <f t="shared" si="35"/>
        <v>346677.02472527471</v>
      </c>
    </row>
    <row r="719" spans="1:16" x14ac:dyDescent="0.2">
      <c r="A719" t="s">
        <v>562</v>
      </c>
      <c r="B719" s="253">
        <v>8</v>
      </c>
      <c r="C719" s="257" t="s">
        <v>556</v>
      </c>
      <c r="D719" s="257" t="str">
        <f t="shared" si="33"/>
        <v>8 PE</v>
      </c>
      <c r="E719" t="s">
        <v>482</v>
      </c>
      <c r="F719" t="s">
        <v>483</v>
      </c>
      <c r="G719" t="s">
        <v>461</v>
      </c>
      <c r="H719" t="s">
        <v>462</v>
      </c>
      <c r="I719">
        <f t="shared" si="34"/>
        <v>2008</v>
      </c>
      <c r="J719" s="229">
        <v>3120</v>
      </c>
      <c r="K719" s="254">
        <v>154055</v>
      </c>
      <c r="L719" s="254">
        <v>9780.33</v>
      </c>
      <c r="M719" s="254">
        <v>144274.67000000001</v>
      </c>
      <c r="N719" s="255">
        <v>474</v>
      </c>
      <c r="O719" s="256">
        <v>491</v>
      </c>
      <c r="P719" s="254">
        <f t="shared" si="35"/>
        <v>159580.1793248945</v>
      </c>
    </row>
    <row r="720" spans="1:16" x14ac:dyDescent="0.2">
      <c r="A720" t="s">
        <v>562</v>
      </c>
      <c r="B720" s="253">
        <v>8</v>
      </c>
      <c r="C720" s="257" t="s">
        <v>556</v>
      </c>
      <c r="D720" s="257" t="str">
        <f t="shared" si="33"/>
        <v>8 PE</v>
      </c>
      <c r="E720" t="s">
        <v>482</v>
      </c>
      <c r="F720" t="s">
        <v>483</v>
      </c>
      <c r="G720" t="s">
        <v>469</v>
      </c>
      <c r="H720" t="s">
        <v>462</v>
      </c>
      <c r="I720">
        <f t="shared" si="34"/>
        <v>2010</v>
      </c>
      <c r="J720" s="229">
        <v>3943</v>
      </c>
      <c r="K720" s="254">
        <v>377488.64000000001</v>
      </c>
      <c r="L720" s="254">
        <v>4996.5600000000004</v>
      </c>
      <c r="M720" s="254">
        <v>372492.08</v>
      </c>
      <c r="N720" s="255">
        <v>491</v>
      </c>
      <c r="O720" s="256">
        <v>491</v>
      </c>
      <c r="P720" s="254">
        <f t="shared" si="35"/>
        <v>377488.64000000001</v>
      </c>
    </row>
    <row r="721" spans="1:16" x14ac:dyDescent="0.2">
      <c r="A721" t="s">
        <v>562</v>
      </c>
      <c r="B721" s="253">
        <v>8</v>
      </c>
      <c r="C721" s="257" t="s">
        <v>556</v>
      </c>
      <c r="D721" s="257" t="str">
        <f t="shared" si="33"/>
        <v>8 PE</v>
      </c>
      <c r="E721" t="s">
        <v>482</v>
      </c>
      <c r="F721" t="s">
        <v>483</v>
      </c>
      <c r="G721" t="s">
        <v>469</v>
      </c>
      <c r="H721" t="s">
        <v>462</v>
      </c>
      <c r="I721">
        <f t="shared" si="34"/>
        <v>2010</v>
      </c>
      <c r="J721" s="229">
        <v>4131</v>
      </c>
      <c r="K721" s="254">
        <v>397360.3</v>
      </c>
      <c r="L721" s="254">
        <v>5259.59</v>
      </c>
      <c r="M721" s="254">
        <v>392100.71</v>
      </c>
      <c r="N721" s="255">
        <v>491</v>
      </c>
      <c r="O721" s="256">
        <v>491</v>
      </c>
      <c r="P721" s="254">
        <f t="shared" si="35"/>
        <v>397360.3</v>
      </c>
    </row>
    <row r="722" spans="1:16" x14ac:dyDescent="0.2">
      <c r="A722" t="s">
        <v>562</v>
      </c>
      <c r="B722" s="253">
        <v>8</v>
      </c>
      <c r="C722" s="257" t="s">
        <v>556</v>
      </c>
      <c r="D722" s="257" t="str">
        <f t="shared" si="33"/>
        <v>8 PE</v>
      </c>
      <c r="E722" t="s">
        <v>482</v>
      </c>
      <c r="F722" t="s">
        <v>483</v>
      </c>
      <c r="G722" t="s">
        <v>469</v>
      </c>
      <c r="H722" t="s">
        <v>462</v>
      </c>
      <c r="I722">
        <f t="shared" si="34"/>
        <v>2010</v>
      </c>
      <c r="J722" s="229">
        <v>6906</v>
      </c>
      <c r="K722" s="254">
        <v>516844.31</v>
      </c>
      <c r="L722" s="254">
        <v>6841.12</v>
      </c>
      <c r="M722" s="254">
        <v>510003.19</v>
      </c>
      <c r="N722" s="255">
        <v>491</v>
      </c>
      <c r="O722" s="256">
        <v>491</v>
      </c>
      <c r="P722" s="254">
        <f t="shared" si="35"/>
        <v>516844.31</v>
      </c>
    </row>
    <row r="723" spans="1:16" x14ac:dyDescent="0.2">
      <c r="A723" t="s">
        <v>562</v>
      </c>
      <c r="B723" s="253">
        <v>8</v>
      </c>
      <c r="C723" s="257" t="s">
        <v>556</v>
      </c>
      <c r="D723" s="257" t="str">
        <f t="shared" si="33"/>
        <v>8 PE</v>
      </c>
      <c r="E723" t="s">
        <v>482</v>
      </c>
      <c r="F723" t="s">
        <v>483</v>
      </c>
      <c r="G723" t="s">
        <v>461</v>
      </c>
      <c r="H723" t="s">
        <v>462</v>
      </c>
      <c r="I723">
        <f t="shared" si="34"/>
        <v>2008</v>
      </c>
      <c r="J723" s="229">
        <v>8090</v>
      </c>
      <c r="K723" s="254">
        <v>676592.09</v>
      </c>
      <c r="L723" s="254">
        <v>42954.1</v>
      </c>
      <c r="M723" s="254">
        <v>633637.99</v>
      </c>
      <c r="N723" s="255">
        <v>474</v>
      </c>
      <c r="O723" s="256">
        <v>491</v>
      </c>
      <c r="P723" s="254">
        <f t="shared" si="35"/>
        <v>700858.05103375518</v>
      </c>
    </row>
    <row r="724" spans="1:16" x14ac:dyDescent="0.2">
      <c r="A724" t="s">
        <v>562</v>
      </c>
      <c r="B724" s="253">
        <v>8</v>
      </c>
      <c r="C724" s="257" t="s">
        <v>556</v>
      </c>
      <c r="D724" s="257" t="str">
        <f t="shared" si="33"/>
        <v>8 PE</v>
      </c>
      <c r="E724" t="s">
        <v>482</v>
      </c>
      <c r="F724" t="s">
        <v>483</v>
      </c>
      <c r="G724" t="s">
        <v>480</v>
      </c>
      <c r="H724" t="s">
        <v>462</v>
      </c>
      <c r="I724">
        <f t="shared" si="34"/>
        <v>1999</v>
      </c>
      <c r="J724" s="229">
        <v>8739</v>
      </c>
      <c r="K724" s="254">
        <v>635131.67000000004</v>
      </c>
      <c r="L724" s="254">
        <v>184127.97</v>
      </c>
      <c r="M724" s="254">
        <v>451003.7</v>
      </c>
      <c r="N724" s="255">
        <v>352</v>
      </c>
      <c r="O724" s="256">
        <v>491</v>
      </c>
      <c r="P724" s="254">
        <f t="shared" si="35"/>
        <v>885936.50559659093</v>
      </c>
    </row>
    <row r="725" spans="1:16" x14ac:dyDescent="0.2">
      <c r="A725" t="s">
        <v>562</v>
      </c>
      <c r="B725" s="253">
        <v>8</v>
      </c>
      <c r="C725" s="257" t="s">
        <v>556</v>
      </c>
      <c r="D725" s="257" t="str">
        <f t="shared" si="33"/>
        <v>8 PE</v>
      </c>
      <c r="E725" t="s">
        <v>482</v>
      </c>
      <c r="F725" t="s">
        <v>483</v>
      </c>
      <c r="G725" t="s">
        <v>461</v>
      </c>
      <c r="H725" t="s">
        <v>462</v>
      </c>
      <c r="I725">
        <f t="shared" si="34"/>
        <v>2008</v>
      </c>
      <c r="J725" s="229">
        <v>9350</v>
      </c>
      <c r="K725" s="254">
        <v>507546.37</v>
      </c>
      <c r="L725" s="254">
        <v>32222.07</v>
      </c>
      <c r="M725" s="254">
        <v>475324.3</v>
      </c>
      <c r="N725" s="255">
        <v>474</v>
      </c>
      <c r="O725" s="256">
        <v>491</v>
      </c>
      <c r="P725" s="254">
        <f t="shared" si="35"/>
        <v>525749.50985232065</v>
      </c>
    </row>
    <row r="726" spans="1:16" x14ac:dyDescent="0.2">
      <c r="A726" t="s">
        <v>562</v>
      </c>
      <c r="B726" s="253">
        <v>8</v>
      </c>
      <c r="C726" s="257" t="s">
        <v>556</v>
      </c>
      <c r="D726" s="257" t="str">
        <f t="shared" ref="D726:D789" si="36">B726&amp;" "&amp;C726</f>
        <v>8 PE</v>
      </c>
      <c r="E726" t="s">
        <v>482</v>
      </c>
      <c r="F726" t="s">
        <v>483</v>
      </c>
      <c r="G726" t="s">
        <v>470</v>
      </c>
      <c r="H726" t="s">
        <v>462</v>
      </c>
      <c r="I726">
        <f t="shared" ref="I726:I789" si="37">+G726*1</f>
        <v>2007</v>
      </c>
      <c r="J726" s="229">
        <v>10248</v>
      </c>
      <c r="K726" s="254">
        <v>487310.73</v>
      </c>
      <c r="L726" s="254">
        <v>42916.800000000003</v>
      </c>
      <c r="M726" s="254">
        <v>444393.93</v>
      </c>
      <c r="N726" s="255">
        <v>455</v>
      </c>
      <c r="O726" s="256">
        <v>491</v>
      </c>
      <c r="P726" s="254">
        <f t="shared" ref="P726:P789" si="38">+(O726/N726)*K726</f>
        <v>525867.1833626373</v>
      </c>
    </row>
    <row r="727" spans="1:16" x14ac:dyDescent="0.2">
      <c r="A727" t="s">
        <v>562</v>
      </c>
      <c r="B727" s="253">
        <v>8</v>
      </c>
      <c r="C727" s="257" t="s">
        <v>556</v>
      </c>
      <c r="D727" s="257" t="str">
        <f t="shared" si="36"/>
        <v>8 PE</v>
      </c>
      <c r="E727" t="s">
        <v>482</v>
      </c>
      <c r="F727" t="s">
        <v>483</v>
      </c>
      <c r="G727" t="s">
        <v>468</v>
      </c>
      <c r="H727" t="s">
        <v>462</v>
      </c>
      <c r="I727">
        <f t="shared" si="37"/>
        <v>2009</v>
      </c>
      <c r="J727" s="229">
        <v>10299</v>
      </c>
      <c r="K727" s="254">
        <v>1163211.73</v>
      </c>
      <c r="L727" s="254">
        <v>45012.3</v>
      </c>
      <c r="M727" s="254">
        <v>1118199.43</v>
      </c>
      <c r="N727" s="255">
        <v>502</v>
      </c>
      <c r="O727" s="256">
        <v>491</v>
      </c>
      <c r="P727" s="254">
        <f t="shared" si="38"/>
        <v>1137723.0267529881</v>
      </c>
    </row>
    <row r="728" spans="1:16" x14ac:dyDescent="0.2">
      <c r="A728" t="s">
        <v>562</v>
      </c>
      <c r="B728" s="253">
        <v>8</v>
      </c>
      <c r="C728" s="257" t="s">
        <v>556</v>
      </c>
      <c r="D728" s="257" t="str">
        <f t="shared" si="36"/>
        <v>8 PE</v>
      </c>
      <c r="E728" t="s">
        <v>482</v>
      </c>
      <c r="F728" t="s">
        <v>483</v>
      </c>
      <c r="G728" t="s">
        <v>468</v>
      </c>
      <c r="H728" t="s">
        <v>462</v>
      </c>
      <c r="I728">
        <f t="shared" si="37"/>
        <v>2009</v>
      </c>
      <c r="J728" s="229">
        <v>10773</v>
      </c>
      <c r="K728" s="254">
        <v>1386845.8</v>
      </c>
      <c r="L728" s="254">
        <v>53666.18</v>
      </c>
      <c r="M728" s="254">
        <v>1333179.6200000001</v>
      </c>
      <c r="N728" s="255">
        <v>502</v>
      </c>
      <c r="O728" s="256">
        <v>491</v>
      </c>
      <c r="P728" s="254">
        <f t="shared" si="38"/>
        <v>1356456.7486055777</v>
      </c>
    </row>
    <row r="729" spans="1:16" x14ac:dyDescent="0.2">
      <c r="A729" t="s">
        <v>562</v>
      </c>
      <c r="B729" s="253">
        <v>8</v>
      </c>
      <c r="C729" s="257" t="s">
        <v>556</v>
      </c>
      <c r="D729" s="257" t="str">
        <f t="shared" si="36"/>
        <v>8 PE</v>
      </c>
      <c r="E729" t="s">
        <v>482</v>
      </c>
      <c r="F729" t="s">
        <v>483</v>
      </c>
      <c r="G729" t="s">
        <v>467</v>
      </c>
      <c r="H729" t="s">
        <v>462</v>
      </c>
      <c r="I729">
        <f t="shared" si="37"/>
        <v>1996</v>
      </c>
      <c r="J729" s="229">
        <v>11248</v>
      </c>
      <c r="K729" s="254">
        <v>1210769.3400000001</v>
      </c>
      <c r="L729" s="254">
        <v>445511.99</v>
      </c>
      <c r="M729" s="254">
        <v>765257.35</v>
      </c>
      <c r="N729" s="255">
        <v>334</v>
      </c>
      <c r="O729" s="256">
        <v>491</v>
      </c>
      <c r="P729" s="254">
        <f t="shared" si="38"/>
        <v>1779903.4309580841</v>
      </c>
    </row>
    <row r="730" spans="1:16" x14ac:dyDescent="0.2">
      <c r="A730" t="s">
        <v>562</v>
      </c>
      <c r="B730" s="253">
        <v>8</v>
      </c>
      <c r="C730" s="257" t="s">
        <v>556</v>
      </c>
      <c r="D730" s="257" t="str">
        <f t="shared" si="36"/>
        <v>8 PE</v>
      </c>
      <c r="E730" t="s">
        <v>482</v>
      </c>
      <c r="F730" t="s">
        <v>483</v>
      </c>
      <c r="G730" t="s">
        <v>479</v>
      </c>
      <c r="H730" t="s">
        <v>462</v>
      </c>
      <c r="I730">
        <f t="shared" si="37"/>
        <v>1998</v>
      </c>
      <c r="J730" s="229">
        <v>14398</v>
      </c>
      <c r="K730" s="254">
        <v>999814.55</v>
      </c>
      <c r="L730" s="254">
        <v>315816.63</v>
      </c>
      <c r="M730" s="254">
        <v>683997.92</v>
      </c>
      <c r="N730" s="255">
        <v>346</v>
      </c>
      <c r="O730" s="256">
        <v>491</v>
      </c>
      <c r="P730" s="254">
        <f t="shared" si="38"/>
        <v>1418811.9770231214</v>
      </c>
    </row>
    <row r="731" spans="1:16" x14ac:dyDescent="0.2">
      <c r="A731" t="s">
        <v>562</v>
      </c>
      <c r="B731" s="253">
        <v>8</v>
      </c>
      <c r="C731" s="257" t="s">
        <v>556</v>
      </c>
      <c r="D731" s="257" t="str">
        <f t="shared" si="36"/>
        <v>8 PE</v>
      </c>
      <c r="E731" t="s">
        <v>482</v>
      </c>
      <c r="F731" t="s">
        <v>483</v>
      </c>
      <c r="G731" t="s">
        <v>469</v>
      </c>
      <c r="H731" t="s">
        <v>462</v>
      </c>
      <c r="I731">
        <f t="shared" si="37"/>
        <v>2010</v>
      </c>
      <c r="J731" s="229">
        <v>14646</v>
      </c>
      <c r="K731" s="254">
        <v>2029068.08</v>
      </c>
      <c r="L731" s="254">
        <v>26857.41</v>
      </c>
      <c r="M731" s="254">
        <v>2002210.67</v>
      </c>
      <c r="N731" s="255">
        <v>491</v>
      </c>
      <c r="O731" s="256">
        <v>491</v>
      </c>
      <c r="P731" s="254">
        <f t="shared" si="38"/>
        <v>2029068.08</v>
      </c>
    </row>
    <row r="732" spans="1:16" x14ac:dyDescent="0.2">
      <c r="A732" t="s">
        <v>562</v>
      </c>
      <c r="B732" s="253">
        <v>8</v>
      </c>
      <c r="C732" s="257" t="s">
        <v>556</v>
      </c>
      <c r="D732" s="257" t="str">
        <f t="shared" si="36"/>
        <v>8 PE</v>
      </c>
      <c r="E732" t="s">
        <v>482</v>
      </c>
      <c r="F732" t="s">
        <v>483</v>
      </c>
      <c r="G732" t="s">
        <v>472</v>
      </c>
      <c r="H732" t="s">
        <v>462</v>
      </c>
      <c r="I732">
        <f t="shared" si="37"/>
        <v>2000</v>
      </c>
      <c r="J732" s="229">
        <v>15133</v>
      </c>
      <c r="K732" s="254">
        <v>930170.49</v>
      </c>
      <c r="L732" s="254">
        <v>245596.87</v>
      </c>
      <c r="M732" s="254">
        <v>684573.62</v>
      </c>
      <c r="N732" s="255">
        <v>356</v>
      </c>
      <c r="O732" s="256">
        <v>491</v>
      </c>
      <c r="P732" s="254">
        <f t="shared" si="38"/>
        <v>1282903.6814325843</v>
      </c>
    </row>
    <row r="733" spans="1:16" x14ac:dyDescent="0.2">
      <c r="A733" t="s">
        <v>562</v>
      </c>
      <c r="B733" s="253">
        <v>8</v>
      </c>
      <c r="C733" s="257" t="s">
        <v>556</v>
      </c>
      <c r="D733" s="257" t="str">
        <f t="shared" si="36"/>
        <v>8 PE</v>
      </c>
      <c r="E733" t="s">
        <v>482</v>
      </c>
      <c r="F733" t="s">
        <v>483</v>
      </c>
      <c r="G733" t="s">
        <v>473</v>
      </c>
      <c r="H733" t="s">
        <v>462</v>
      </c>
      <c r="I733">
        <f t="shared" si="37"/>
        <v>1997</v>
      </c>
      <c r="J733" s="229">
        <v>15218</v>
      </c>
      <c r="K733" s="254">
        <v>1200333.3500000001</v>
      </c>
      <c r="L733" s="254">
        <v>410401.25</v>
      </c>
      <c r="M733" s="254">
        <v>789932.1</v>
      </c>
      <c r="N733" s="255">
        <v>341</v>
      </c>
      <c r="O733" s="256">
        <v>491</v>
      </c>
      <c r="P733" s="254">
        <f t="shared" si="38"/>
        <v>1728339.2224340178</v>
      </c>
    </row>
    <row r="734" spans="1:16" x14ac:dyDescent="0.2">
      <c r="A734" t="s">
        <v>562</v>
      </c>
      <c r="B734" s="253">
        <v>8</v>
      </c>
      <c r="C734" s="257" t="s">
        <v>556</v>
      </c>
      <c r="D734" s="257" t="str">
        <f t="shared" si="36"/>
        <v>8 PE</v>
      </c>
      <c r="E734" t="s">
        <v>482</v>
      </c>
      <c r="F734" t="s">
        <v>483</v>
      </c>
      <c r="G734" t="s">
        <v>468</v>
      </c>
      <c r="H734" t="s">
        <v>462</v>
      </c>
      <c r="I734">
        <f t="shared" si="37"/>
        <v>2009</v>
      </c>
      <c r="J734" s="229">
        <v>17222</v>
      </c>
      <c r="K734" s="254">
        <v>3559997.53</v>
      </c>
      <c r="L734" s="254">
        <v>137759.69</v>
      </c>
      <c r="M734" s="254">
        <v>3422237.84</v>
      </c>
      <c r="N734" s="255">
        <v>502</v>
      </c>
      <c r="O734" s="256">
        <v>491</v>
      </c>
      <c r="P734" s="254">
        <f t="shared" si="38"/>
        <v>3481989.6159960157</v>
      </c>
    </row>
    <row r="735" spans="1:16" x14ac:dyDescent="0.2">
      <c r="A735" t="s">
        <v>562</v>
      </c>
      <c r="B735" s="253">
        <v>8</v>
      </c>
      <c r="C735" s="257" t="s">
        <v>556</v>
      </c>
      <c r="D735" s="257" t="str">
        <f t="shared" si="36"/>
        <v>8 PE</v>
      </c>
      <c r="E735" t="s">
        <v>482</v>
      </c>
      <c r="F735" t="s">
        <v>483</v>
      </c>
      <c r="G735" t="s">
        <v>468</v>
      </c>
      <c r="H735" t="s">
        <v>462</v>
      </c>
      <c r="I735">
        <f t="shared" si="37"/>
        <v>2009</v>
      </c>
      <c r="J735" s="229">
        <v>17718</v>
      </c>
      <c r="K735" s="254">
        <v>2578556.61</v>
      </c>
      <c r="L735" s="254">
        <v>99781.3</v>
      </c>
      <c r="M735" s="254">
        <v>2478775.31</v>
      </c>
      <c r="N735" s="255">
        <v>502</v>
      </c>
      <c r="O735" s="256">
        <v>491</v>
      </c>
      <c r="P735" s="254">
        <f t="shared" si="38"/>
        <v>2522054.3735258961</v>
      </c>
    </row>
    <row r="736" spans="1:16" x14ac:dyDescent="0.2">
      <c r="A736" t="s">
        <v>562</v>
      </c>
      <c r="B736" s="253">
        <v>8</v>
      </c>
      <c r="C736" s="257" t="s">
        <v>556</v>
      </c>
      <c r="D736" s="257" t="str">
        <f t="shared" si="36"/>
        <v>8 PE</v>
      </c>
      <c r="E736" t="s">
        <v>482</v>
      </c>
      <c r="F736" t="s">
        <v>483</v>
      </c>
      <c r="G736" t="s">
        <v>470</v>
      </c>
      <c r="H736" t="s">
        <v>462</v>
      </c>
      <c r="I736">
        <f t="shared" si="37"/>
        <v>2007</v>
      </c>
      <c r="J736" s="229">
        <v>20563</v>
      </c>
      <c r="K736" s="254">
        <v>1618058.54</v>
      </c>
      <c r="L736" s="254">
        <v>142500.25</v>
      </c>
      <c r="M736" s="254">
        <v>1475558.29</v>
      </c>
      <c r="N736" s="255">
        <v>455</v>
      </c>
      <c r="O736" s="256">
        <v>491</v>
      </c>
      <c r="P736" s="254">
        <f t="shared" si="38"/>
        <v>1746080.7541538461</v>
      </c>
    </row>
    <row r="737" spans="1:16" x14ac:dyDescent="0.2">
      <c r="A737" t="s">
        <v>562</v>
      </c>
      <c r="B737" s="253">
        <v>8</v>
      </c>
      <c r="C737" s="257" t="s">
        <v>556</v>
      </c>
      <c r="D737" s="257" t="str">
        <f t="shared" si="36"/>
        <v>8 PE</v>
      </c>
      <c r="E737" t="s">
        <v>482</v>
      </c>
      <c r="F737" t="s">
        <v>483</v>
      </c>
      <c r="G737" t="s">
        <v>470</v>
      </c>
      <c r="H737" t="s">
        <v>462</v>
      </c>
      <c r="I737">
        <f t="shared" si="37"/>
        <v>2007</v>
      </c>
      <c r="J737" s="229">
        <v>21092</v>
      </c>
      <c r="K737" s="254">
        <v>4811994.84</v>
      </c>
      <c r="L737" s="254">
        <v>423785.94</v>
      </c>
      <c r="M737" s="254">
        <v>4388208.9000000004</v>
      </c>
      <c r="N737" s="255">
        <v>455</v>
      </c>
      <c r="O737" s="256">
        <v>491</v>
      </c>
      <c r="P737" s="254">
        <f t="shared" si="38"/>
        <v>5192724.1020659339</v>
      </c>
    </row>
    <row r="738" spans="1:16" x14ac:dyDescent="0.2">
      <c r="A738" t="s">
        <v>562</v>
      </c>
      <c r="B738" s="253">
        <v>8</v>
      </c>
      <c r="C738" s="257" t="s">
        <v>556</v>
      </c>
      <c r="D738" s="257" t="str">
        <f t="shared" si="36"/>
        <v>8 PE</v>
      </c>
      <c r="E738" t="s">
        <v>482</v>
      </c>
      <c r="F738" t="s">
        <v>483</v>
      </c>
      <c r="G738" t="s">
        <v>470</v>
      </c>
      <c r="H738" t="s">
        <v>462</v>
      </c>
      <c r="I738">
        <f t="shared" si="37"/>
        <v>2007</v>
      </c>
      <c r="J738" s="229">
        <v>21146</v>
      </c>
      <c r="K738" s="254">
        <v>2561654.7599999998</v>
      </c>
      <c r="L738" s="254">
        <v>225601.5</v>
      </c>
      <c r="M738" s="254">
        <v>2336053.2599999998</v>
      </c>
      <c r="N738" s="255">
        <v>455</v>
      </c>
      <c r="O738" s="256">
        <v>491</v>
      </c>
      <c r="P738" s="254">
        <f t="shared" si="38"/>
        <v>2764335.1366153844</v>
      </c>
    </row>
    <row r="739" spans="1:16" x14ac:dyDescent="0.2">
      <c r="A739" t="s">
        <v>562</v>
      </c>
      <c r="B739" s="253">
        <v>8</v>
      </c>
      <c r="C739" s="257" t="s">
        <v>556</v>
      </c>
      <c r="D739" s="257" t="str">
        <f t="shared" si="36"/>
        <v>8 PE</v>
      </c>
      <c r="E739" t="s">
        <v>482</v>
      </c>
      <c r="F739" t="s">
        <v>483</v>
      </c>
      <c r="G739" t="s">
        <v>468</v>
      </c>
      <c r="H739" t="s">
        <v>462</v>
      </c>
      <c r="I739">
        <f t="shared" si="37"/>
        <v>2009</v>
      </c>
      <c r="J739" s="229">
        <v>21406</v>
      </c>
      <c r="K739" s="254">
        <v>2038148.79</v>
      </c>
      <c r="L739" s="254">
        <v>78869.37</v>
      </c>
      <c r="M739" s="254">
        <v>1959279.42</v>
      </c>
      <c r="N739" s="255">
        <v>502</v>
      </c>
      <c r="O739" s="256">
        <v>491</v>
      </c>
      <c r="P739" s="254">
        <f t="shared" si="38"/>
        <v>1993488.1591434265</v>
      </c>
    </row>
    <row r="740" spans="1:16" x14ac:dyDescent="0.2">
      <c r="A740" t="s">
        <v>562</v>
      </c>
      <c r="B740" s="253">
        <v>8</v>
      </c>
      <c r="C740" s="257" t="s">
        <v>556</v>
      </c>
      <c r="D740" s="257" t="str">
        <f t="shared" si="36"/>
        <v>8 PE</v>
      </c>
      <c r="E740" t="s">
        <v>482</v>
      </c>
      <c r="F740" t="s">
        <v>483</v>
      </c>
      <c r="G740" t="s">
        <v>469</v>
      </c>
      <c r="H740" t="s">
        <v>462</v>
      </c>
      <c r="I740">
        <f t="shared" si="37"/>
        <v>2010</v>
      </c>
      <c r="J740" s="229">
        <v>21990</v>
      </c>
      <c r="K740" s="254">
        <v>3554165.3</v>
      </c>
      <c r="L740" s="254">
        <v>47044.1</v>
      </c>
      <c r="M740" s="254">
        <v>3507121.2</v>
      </c>
      <c r="N740" s="255">
        <v>491</v>
      </c>
      <c r="O740" s="256">
        <v>491</v>
      </c>
      <c r="P740" s="254">
        <f t="shared" si="38"/>
        <v>3554165.3</v>
      </c>
    </row>
    <row r="741" spans="1:16" x14ac:dyDescent="0.2">
      <c r="A741" t="s">
        <v>562</v>
      </c>
      <c r="B741" s="253">
        <v>8</v>
      </c>
      <c r="C741" s="257" t="s">
        <v>556</v>
      </c>
      <c r="D741" s="257" t="str">
        <f t="shared" si="36"/>
        <v>8 PE</v>
      </c>
      <c r="E741" t="s">
        <v>482</v>
      </c>
      <c r="F741" t="s">
        <v>483</v>
      </c>
      <c r="G741" t="s">
        <v>476</v>
      </c>
      <c r="H741" t="s">
        <v>462</v>
      </c>
      <c r="I741">
        <f t="shared" si="37"/>
        <v>2004</v>
      </c>
      <c r="J741" s="229">
        <v>22826</v>
      </c>
      <c r="K741" s="254">
        <v>2134384.75</v>
      </c>
      <c r="L741" s="254">
        <v>346384.71</v>
      </c>
      <c r="M741" s="254">
        <v>1788000.04</v>
      </c>
      <c r="N741" s="255">
        <v>387</v>
      </c>
      <c r="O741" s="256">
        <v>491</v>
      </c>
      <c r="P741" s="254">
        <f t="shared" si="38"/>
        <v>2707966.1815245477</v>
      </c>
    </row>
    <row r="742" spans="1:16" x14ac:dyDescent="0.2">
      <c r="A742" t="s">
        <v>562</v>
      </c>
      <c r="B742" s="253">
        <v>8</v>
      </c>
      <c r="C742" s="257" t="s">
        <v>556</v>
      </c>
      <c r="D742" s="257" t="str">
        <f t="shared" si="36"/>
        <v>8 PE</v>
      </c>
      <c r="E742" t="s">
        <v>482</v>
      </c>
      <c r="F742" t="s">
        <v>483</v>
      </c>
      <c r="G742" t="s">
        <v>461</v>
      </c>
      <c r="H742" t="s">
        <v>462</v>
      </c>
      <c r="I742">
        <f t="shared" si="37"/>
        <v>2008</v>
      </c>
      <c r="J742" s="229">
        <v>23626</v>
      </c>
      <c r="K742" s="254">
        <v>4146201.36</v>
      </c>
      <c r="L742" s="254">
        <v>263225.57</v>
      </c>
      <c r="M742" s="254">
        <v>3882975.79</v>
      </c>
      <c r="N742" s="255">
        <v>474</v>
      </c>
      <c r="O742" s="256">
        <v>491</v>
      </c>
      <c r="P742" s="254">
        <f t="shared" si="38"/>
        <v>4294904.7843037965</v>
      </c>
    </row>
    <row r="743" spans="1:16" x14ac:dyDescent="0.2">
      <c r="A743" t="s">
        <v>562</v>
      </c>
      <c r="B743" s="253">
        <v>8</v>
      </c>
      <c r="C743" s="257" t="s">
        <v>556</v>
      </c>
      <c r="D743" s="257" t="str">
        <f t="shared" si="36"/>
        <v>8 PE</v>
      </c>
      <c r="E743" t="s">
        <v>482</v>
      </c>
      <c r="F743" t="s">
        <v>483</v>
      </c>
      <c r="G743" t="s">
        <v>478</v>
      </c>
      <c r="H743" t="s">
        <v>462</v>
      </c>
      <c r="I743">
        <f t="shared" si="37"/>
        <v>2001</v>
      </c>
      <c r="J743" s="229">
        <v>23845</v>
      </c>
      <c r="K743" s="254">
        <v>1687507.8</v>
      </c>
      <c r="L743" s="254">
        <v>402166.56</v>
      </c>
      <c r="M743" s="254">
        <v>1285341.24</v>
      </c>
      <c r="N743" s="255">
        <v>363</v>
      </c>
      <c r="O743" s="256">
        <v>491</v>
      </c>
      <c r="P743" s="254">
        <f t="shared" si="38"/>
        <v>2282551.872727273</v>
      </c>
    </row>
    <row r="744" spans="1:16" x14ac:dyDescent="0.2">
      <c r="A744" t="s">
        <v>562</v>
      </c>
      <c r="B744" s="253">
        <v>8</v>
      </c>
      <c r="C744" s="257" t="s">
        <v>556</v>
      </c>
      <c r="D744" s="257" t="str">
        <f t="shared" si="36"/>
        <v>8 PE</v>
      </c>
      <c r="E744" t="s">
        <v>482</v>
      </c>
      <c r="F744" t="s">
        <v>483</v>
      </c>
      <c r="G744" t="s">
        <v>461</v>
      </c>
      <c r="H744" t="s">
        <v>462</v>
      </c>
      <c r="I744">
        <f t="shared" si="37"/>
        <v>2008</v>
      </c>
      <c r="J744" s="229">
        <v>25130</v>
      </c>
      <c r="K744" s="254">
        <v>1895166.29</v>
      </c>
      <c r="L744" s="254">
        <v>120316.45</v>
      </c>
      <c r="M744" s="254">
        <v>1774849.84</v>
      </c>
      <c r="N744" s="255">
        <v>474</v>
      </c>
      <c r="O744" s="256">
        <v>491</v>
      </c>
      <c r="P744" s="254">
        <f t="shared" si="38"/>
        <v>1963136.3890084387</v>
      </c>
    </row>
    <row r="745" spans="1:16" x14ac:dyDescent="0.2">
      <c r="A745" t="s">
        <v>562</v>
      </c>
      <c r="B745" s="253">
        <v>8</v>
      </c>
      <c r="C745" s="257" t="s">
        <v>556</v>
      </c>
      <c r="D745" s="257" t="str">
        <f t="shared" si="36"/>
        <v>8 PE</v>
      </c>
      <c r="E745" t="s">
        <v>482</v>
      </c>
      <c r="F745" t="s">
        <v>483</v>
      </c>
      <c r="G745" t="s">
        <v>475</v>
      </c>
      <c r="H745" t="s">
        <v>462</v>
      </c>
      <c r="I745">
        <f t="shared" si="37"/>
        <v>2002</v>
      </c>
      <c r="J745" s="229">
        <v>27436</v>
      </c>
      <c r="K745" s="254">
        <v>2032550.25</v>
      </c>
      <c r="L745" s="254">
        <v>432473.72</v>
      </c>
      <c r="M745" s="254">
        <v>1600076.53</v>
      </c>
      <c r="N745" s="255">
        <v>373</v>
      </c>
      <c r="O745" s="256">
        <v>491</v>
      </c>
      <c r="P745" s="254">
        <f t="shared" si="38"/>
        <v>2675555.4229222522</v>
      </c>
    </row>
    <row r="746" spans="1:16" x14ac:dyDescent="0.2">
      <c r="A746" t="s">
        <v>562</v>
      </c>
      <c r="B746" s="253">
        <v>8</v>
      </c>
      <c r="C746" s="257" t="s">
        <v>556</v>
      </c>
      <c r="D746" s="257" t="str">
        <f t="shared" si="36"/>
        <v>8 PE</v>
      </c>
      <c r="E746" t="s">
        <v>482</v>
      </c>
      <c r="F746" t="s">
        <v>483</v>
      </c>
      <c r="G746" t="s">
        <v>474</v>
      </c>
      <c r="H746" t="s">
        <v>462</v>
      </c>
      <c r="I746">
        <f t="shared" si="37"/>
        <v>2005</v>
      </c>
      <c r="J746" s="229">
        <v>43038</v>
      </c>
      <c r="K746" s="254">
        <v>3552557.86</v>
      </c>
      <c r="L746" s="254">
        <v>488056.19</v>
      </c>
      <c r="M746" s="254">
        <v>3064501.67</v>
      </c>
      <c r="N746" s="255">
        <v>414</v>
      </c>
      <c r="O746" s="256">
        <v>491</v>
      </c>
      <c r="P746" s="254">
        <f t="shared" si="38"/>
        <v>4213299.297729468</v>
      </c>
    </row>
    <row r="747" spans="1:16" x14ac:dyDescent="0.2">
      <c r="A747" t="s">
        <v>562</v>
      </c>
      <c r="B747" s="253">
        <v>8</v>
      </c>
      <c r="C747" s="257" t="s">
        <v>556</v>
      </c>
      <c r="D747" s="257" t="str">
        <f t="shared" si="36"/>
        <v>8 PE</v>
      </c>
      <c r="E747" t="s">
        <v>482</v>
      </c>
      <c r="F747" t="s">
        <v>483</v>
      </c>
      <c r="G747" t="s">
        <v>471</v>
      </c>
      <c r="H747" t="s">
        <v>462</v>
      </c>
      <c r="I747">
        <f t="shared" si="37"/>
        <v>2003</v>
      </c>
      <c r="J747" s="229">
        <v>47573</v>
      </c>
      <c r="K747" s="254">
        <v>3546710.27</v>
      </c>
      <c r="L747" s="254">
        <v>664738.31000000006</v>
      </c>
      <c r="M747" s="254">
        <v>2881971.96</v>
      </c>
      <c r="N747" s="255">
        <v>377</v>
      </c>
      <c r="O747" s="256">
        <v>491</v>
      </c>
      <c r="P747" s="254">
        <f t="shared" si="38"/>
        <v>4619190.2985941647</v>
      </c>
    </row>
    <row r="748" spans="1:16" x14ac:dyDescent="0.2">
      <c r="A748" t="s">
        <v>562</v>
      </c>
      <c r="B748" s="253">
        <v>8</v>
      </c>
      <c r="C748" s="257" t="s">
        <v>556</v>
      </c>
      <c r="D748" s="257" t="str">
        <f t="shared" si="36"/>
        <v>8 PE</v>
      </c>
      <c r="E748" t="s">
        <v>482</v>
      </c>
      <c r="F748" t="s">
        <v>483</v>
      </c>
      <c r="G748" t="s">
        <v>477</v>
      </c>
      <c r="H748" t="s">
        <v>462</v>
      </c>
      <c r="I748">
        <f t="shared" si="37"/>
        <v>2006</v>
      </c>
      <c r="J748" s="229">
        <v>49518</v>
      </c>
      <c r="K748" s="254">
        <v>4947466.76</v>
      </c>
      <c r="L748" s="254">
        <v>557359.18999999994</v>
      </c>
      <c r="M748" s="254">
        <v>4390107.57</v>
      </c>
      <c r="N748" s="255">
        <v>434</v>
      </c>
      <c r="O748" s="256">
        <v>491</v>
      </c>
      <c r="P748" s="254">
        <f t="shared" si="38"/>
        <v>5597249.2607373269</v>
      </c>
    </row>
    <row r="749" spans="1:16" x14ac:dyDescent="0.2">
      <c r="A749" t="s">
        <v>563</v>
      </c>
      <c r="B749" s="253">
        <v>1.125</v>
      </c>
      <c r="C749" s="257" t="s">
        <v>556</v>
      </c>
      <c r="D749" s="257" t="str">
        <f t="shared" si="36"/>
        <v>1.125 PE</v>
      </c>
      <c r="E749" t="s">
        <v>482</v>
      </c>
      <c r="F749" t="s">
        <v>483</v>
      </c>
      <c r="G749" t="s">
        <v>513</v>
      </c>
      <c r="H749" t="s">
        <v>462</v>
      </c>
      <c r="I749">
        <f t="shared" si="37"/>
        <v>1995</v>
      </c>
      <c r="J749" s="229">
        <v>172</v>
      </c>
      <c r="K749" s="254">
        <v>1530.91</v>
      </c>
      <c r="L749" s="254">
        <v>603.13</v>
      </c>
      <c r="M749" s="254">
        <v>927.78</v>
      </c>
      <c r="N749" s="255">
        <v>328</v>
      </c>
      <c r="O749" s="256">
        <v>491</v>
      </c>
      <c r="P749" s="254">
        <f t="shared" si="38"/>
        <v>2291.6975914634149</v>
      </c>
    </row>
    <row r="750" spans="1:16" x14ac:dyDescent="0.2">
      <c r="A750" t="s">
        <v>563</v>
      </c>
      <c r="B750" s="253">
        <v>1.125</v>
      </c>
      <c r="C750" s="257" t="s">
        <v>556</v>
      </c>
      <c r="D750" s="257" t="str">
        <f t="shared" si="36"/>
        <v>1.125 PE</v>
      </c>
      <c r="E750" t="s">
        <v>482</v>
      </c>
      <c r="F750" t="s">
        <v>483</v>
      </c>
      <c r="G750" t="s">
        <v>491</v>
      </c>
      <c r="H750" t="s">
        <v>462</v>
      </c>
      <c r="I750">
        <f t="shared" si="37"/>
        <v>1993</v>
      </c>
      <c r="J750" s="229">
        <v>342</v>
      </c>
      <c r="K750" s="254">
        <v>28331.72</v>
      </c>
      <c r="L750" s="254">
        <v>12628.24</v>
      </c>
      <c r="M750" s="254">
        <v>15703.48</v>
      </c>
      <c r="N750" s="255">
        <v>313</v>
      </c>
      <c r="O750" s="256">
        <v>491</v>
      </c>
      <c r="P750" s="254">
        <f t="shared" si="38"/>
        <v>44443.688562300325</v>
      </c>
    </row>
    <row r="751" spans="1:16" x14ac:dyDescent="0.2">
      <c r="A751" t="s">
        <v>563</v>
      </c>
      <c r="B751" s="253">
        <v>1.125</v>
      </c>
      <c r="C751" s="257" t="s">
        <v>556</v>
      </c>
      <c r="D751" s="257" t="str">
        <f t="shared" si="36"/>
        <v>1.125 PE</v>
      </c>
      <c r="E751" t="s">
        <v>482</v>
      </c>
      <c r="F751" t="s">
        <v>483</v>
      </c>
      <c r="G751" t="s">
        <v>525</v>
      </c>
      <c r="H751" t="s">
        <v>462</v>
      </c>
      <c r="I751">
        <f t="shared" si="37"/>
        <v>1974</v>
      </c>
      <c r="J751" s="229">
        <v>621</v>
      </c>
      <c r="K751" s="254">
        <v>10073.469999999999</v>
      </c>
      <c r="L751" s="254">
        <v>8569.9699999999993</v>
      </c>
      <c r="M751" s="254">
        <v>1503.5</v>
      </c>
      <c r="N751" s="255">
        <v>112</v>
      </c>
      <c r="O751" s="256">
        <v>491</v>
      </c>
      <c r="P751" s="254">
        <f t="shared" si="38"/>
        <v>44161.372946428564</v>
      </c>
    </row>
    <row r="752" spans="1:16" x14ac:dyDescent="0.2">
      <c r="A752" t="s">
        <v>563</v>
      </c>
      <c r="B752" s="253">
        <v>1.125</v>
      </c>
      <c r="C752" s="257" t="s">
        <v>556</v>
      </c>
      <c r="D752" s="257" t="str">
        <f t="shared" si="36"/>
        <v>1.125 PE</v>
      </c>
      <c r="E752" t="s">
        <v>482</v>
      </c>
      <c r="F752" t="s">
        <v>483</v>
      </c>
      <c r="G752" t="s">
        <v>465</v>
      </c>
      <c r="H752" t="s">
        <v>462</v>
      </c>
      <c r="I752">
        <f t="shared" si="37"/>
        <v>1991</v>
      </c>
      <c r="J752" s="229">
        <v>1089</v>
      </c>
      <c r="K752" s="254">
        <v>53516.1</v>
      </c>
      <c r="L752" s="254">
        <v>26584.639999999999</v>
      </c>
      <c r="M752" s="254">
        <v>26931.46</v>
      </c>
      <c r="N752" s="255">
        <v>303</v>
      </c>
      <c r="O752" s="256">
        <v>491</v>
      </c>
      <c r="P752" s="254">
        <f t="shared" si="38"/>
        <v>86720.808910891079</v>
      </c>
    </row>
    <row r="753" spans="1:16" x14ac:dyDescent="0.2">
      <c r="A753" t="s">
        <v>563</v>
      </c>
      <c r="B753" s="253">
        <v>1.125</v>
      </c>
      <c r="C753" s="257" t="s">
        <v>556</v>
      </c>
      <c r="D753" s="257" t="str">
        <f t="shared" si="36"/>
        <v>1.125 PE</v>
      </c>
      <c r="E753" t="s">
        <v>482</v>
      </c>
      <c r="F753" t="s">
        <v>483</v>
      </c>
      <c r="G753" t="s">
        <v>486</v>
      </c>
      <c r="H753" t="s">
        <v>462</v>
      </c>
      <c r="I753">
        <f t="shared" si="37"/>
        <v>1978</v>
      </c>
      <c r="J753" s="229">
        <v>1357</v>
      </c>
      <c r="K753" s="254">
        <v>7362.11</v>
      </c>
      <c r="L753" s="254">
        <v>5776.56</v>
      </c>
      <c r="M753" s="254">
        <v>1585.55</v>
      </c>
      <c r="N753" s="255">
        <v>160</v>
      </c>
      <c r="O753" s="256">
        <v>491</v>
      </c>
      <c r="P753" s="254">
        <f t="shared" si="38"/>
        <v>22592.475062499998</v>
      </c>
    </row>
    <row r="754" spans="1:16" x14ac:dyDescent="0.2">
      <c r="A754" t="s">
        <v>563</v>
      </c>
      <c r="B754" s="253">
        <v>1.125</v>
      </c>
      <c r="C754" s="257" t="s">
        <v>556</v>
      </c>
      <c r="D754" s="257" t="str">
        <f t="shared" si="36"/>
        <v>1.125 PE</v>
      </c>
      <c r="E754" t="s">
        <v>482</v>
      </c>
      <c r="F754" t="s">
        <v>483</v>
      </c>
      <c r="G754" t="s">
        <v>521</v>
      </c>
      <c r="H754" t="s">
        <v>462</v>
      </c>
      <c r="I754">
        <f t="shared" si="37"/>
        <v>1980</v>
      </c>
      <c r="J754" s="229">
        <v>1466</v>
      </c>
      <c r="K754" s="254">
        <v>17797.87</v>
      </c>
      <c r="L754" s="254">
        <v>13297.65</v>
      </c>
      <c r="M754" s="254">
        <v>4500.22</v>
      </c>
      <c r="N754" s="255">
        <v>196</v>
      </c>
      <c r="O754" s="256">
        <v>491</v>
      </c>
      <c r="P754" s="254">
        <f t="shared" si="38"/>
        <v>44585.480459183673</v>
      </c>
    </row>
    <row r="755" spans="1:16" x14ac:dyDescent="0.2">
      <c r="A755" t="s">
        <v>563</v>
      </c>
      <c r="B755" s="253">
        <v>1.125</v>
      </c>
      <c r="C755" s="257" t="s">
        <v>556</v>
      </c>
      <c r="D755" s="257" t="str">
        <f t="shared" si="36"/>
        <v>1.125 PE</v>
      </c>
      <c r="E755" t="s">
        <v>482</v>
      </c>
      <c r="F755" t="s">
        <v>483</v>
      </c>
      <c r="G755" t="s">
        <v>518</v>
      </c>
      <c r="H755" t="s">
        <v>462</v>
      </c>
      <c r="I755">
        <f t="shared" si="37"/>
        <v>1982</v>
      </c>
      <c r="J755" s="229">
        <v>1545</v>
      </c>
      <c r="K755" s="254">
        <v>6902</v>
      </c>
      <c r="L755" s="254">
        <v>4878.55</v>
      </c>
      <c r="M755" s="254">
        <v>2023.45</v>
      </c>
      <c r="N755" s="255">
        <v>232</v>
      </c>
      <c r="O755" s="256">
        <v>491</v>
      </c>
      <c r="P755" s="254">
        <f t="shared" si="38"/>
        <v>14607.249999999998</v>
      </c>
    </row>
    <row r="756" spans="1:16" x14ac:dyDescent="0.2">
      <c r="A756" t="s">
        <v>563</v>
      </c>
      <c r="B756" s="253">
        <v>1.125</v>
      </c>
      <c r="C756" s="257" t="s">
        <v>556</v>
      </c>
      <c r="D756" s="257" t="str">
        <f t="shared" si="36"/>
        <v>1.125 PE</v>
      </c>
      <c r="E756" t="s">
        <v>482</v>
      </c>
      <c r="F756" t="s">
        <v>483</v>
      </c>
      <c r="G756" t="s">
        <v>515</v>
      </c>
      <c r="H756" t="s">
        <v>462</v>
      </c>
      <c r="I756">
        <f t="shared" si="37"/>
        <v>1986</v>
      </c>
      <c r="J756" s="229">
        <v>1702</v>
      </c>
      <c r="K756" s="254">
        <v>30627.26</v>
      </c>
      <c r="L756" s="254">
        <v>18943.05</v>
      </c>
      <c r="M756" s="254">
        <v>11684.21</v>
      </c>
      <c r="N756" s="255">
        <v>253</v>
      </c>
      <c r="O756" s="256">
        <v>491</v>
      </c>
      <c r="P756" s="254">
        <f t="shared" si="38"/>
        <v>59438.674545454538</v>
      </c>
    </row>
    <row r="757" spans="1:16" x14ac:dyDescent="0.2">
      <c r="A757" t="s">
        <v>563</v>
      </c>
      <c r="B757" s="253">
        <v>1.125</v>
      </c>
      <c r="C757" s="257" t="s">
        <v>556</v>
      </c>
      <c r="D757" s="257" t="str">
        <f t="shared" si="36"/>
        <v>1.125 PE</v>
      </c>
      <c r="E757" t="s">
        <v>482</v>
      </c>
      <c r="F757" t="s">
        <v>483</v>
      </c>
      <c r="G757" t="s">
        <v>522</v>
      </c>
      <c r="H757" t="s">
        <v>462</v>
      </c>
      <c r="I757">
        <f t="shared" si="37"/>
        <v>1976</v>
      </c>
      <c r="J757" s="229">
        <v>1847</v>
      </c>
      <c r="K757" s="254">
        <v>12187.69</v>
      </c>
      <c r="L757" s="254">
        <v>9983.8700000000008</v>
      </c>
      <c r="M757" s="254">
        <v>2203.8200000000002</v>
      </c>
      <c r="N757" s="255">
        <v>140</v>
      </c>
      <c r="O757" s="256">
        <v>491</v>
      </c>
      <c r="P757" s="254">
        <f t="shared" si="38"/>
        <v>42743.969928571431</v>
      </c>
    </row>
    <row r="758" spans="1:16" x14ac:dyDescent="0.2">
      <c r="A758" t="s">
        <v>563</v>
      </c>
      <c r="B758" s="253">
        <v>1.125</v>
      </c>
      <c r="C758" s="257" t="s">
        <v>556</v>
      </c>
      <c r="D758" s="257" t="str">
        <f t="shared" si="36"/>
        <v>1.125 PE</v>
      </c>
      <c r="E758" t="s">
        <v>482</v>
      </c>
      <c r="F758" t="s">
        <v>483</v>
      </c>
      <c r="G758" t="s">
        <v>466</v>
      </c>
      <c r="H758" t="s">
        <v>462</v>
      </c>
      <c r="I758">
        <f t="shared" si="37"/>
        <v>1989</v>
      </c>
      <c r="J758" s="229">
        <v>1852</v>
      </c>
      <c r="K758" s="254">
        <v>34783.279999999999</v>
      </c>
      <c r="L758" s="254">
        <v>19014.55</v>
      </c>
      <c r="M758" s="254">
        <v>15768.73</v>
      </c>
      <c r="N758" s="255">
        <v>288</v>
      </c>
      <c r="O758" s="256">
        <v>491</v>
      </c>
      <c r="P758" s="254">
        <f t="shared" si="38"/>
        <v>59300.66138888889</v>
      </c>
    </row>
    <row r="759" spans="1:16" x14ac:dyDescent="0.2">
      <c r="A759" t="s">
        <v>563</v>
      </c>
      <c r="B759" s="253">
        <v>1.125</v>
      </c>
      <c r="C759" s="257" t="s">
        <v>556</v>
      </c>
      <c r="D759" s="257" t="str">
        <f t="shared" si="36"/>
        <v>1.125 PE</v>
      </c>
      <c r="E759" t="s">
        <v>482</v>
      </c>
      <c r="F759" t="s">
        <v>483</v>
      </c>
      <c r="G759" t="s">
        <v>463</v>
      </c>
      <c r="H759" t="s">
        <v>462</v>
      </c>
      <c r="I759">
        <f t="shared" si="37"/>
        <v>1984</v>
      </c>
      <c r="J759" s="229">
        <v>1960</v>
      </c>
      <c r="K759" s="254">
        <v>15463</v>
      </c>
      <c r="L759" s="254">
        <v>10265.39</v>
      </c>
      <c r="M759" s="254">
        <v>5197.6099999999997</v>
      </c>
      <c r="N759" s="255">
        <v>247</v>
      </c>
      <c r="O759" s="256">
        <v>491</v>
      </c>
      <c r="P759" s="254">
        <f t="shared" si="38"/>
        <v>30738.190283400811</v>
      </c>
    </row>
    <row r="760" spans="1:16" x14ac:dyDescent="0.2">
      <c r="A760" t="s">
        <v>563</v>
      </c>
      <c r="B760" s="253">
        <v>1.125</v>
      </c>
      <c r="C760" s="257" t="s">
        <v>556</v>
      </c>
      <c r="D760" s="257" t="str">
        <f t="shared" si="36"/>
        <v>1.125 PE</v>
      </c>
      <c r="E760" t="s">
        <v>482</v>
      </c>
      <c r="F760" t="s">
        <v>483</v>
      </c>
      <c r="G760" t="s">
        <v>517</v>
      </c>
      <c r="H760" t="s">
        <v>462</v>
      </c>
      <c r="I760">
        <f t="shared" si="37"/>
        <v>1983</v>
      </c>
      <c r="J760" s="229">
        <v>1989</v>
      </c>
      <c r="K760" s="254">
        <v>9014.57</v>
      </c>
      <c r="L760" s="254">
        <v>6180.99</v>
      </c>
      <c r="M760" s="254">
        <v>2833.58</v>
      </c>
      <c r="N760" s="255">
        <v>241</v>
      </c>
      <c r="O760" s="256">
        <v>491</v>
      </c>
      <c r="P760" s="254">
        <f t="shared" si="38"/>
        <v>18365.783692946057</v>
      </c>
    </row>
    <row r="761" spans="1:16" x14ac:dyDescent="0.2">
      <c r="A761" t="s">
        <v>563</v>
      </c>
      <c r="B761" s="253">
        <v>1.125</v>
      </c>
      <c r="C761" s="257" t="s">
        <v>556</v>
      </c>
      <c r="D761" s="257" t="str">
        <f t="shared" si="36"/>
        <v>1.125 PE</v>
      </c>
      <c r="E761" t="s">
        <v>482</v>
      </c>
      <c r="F761" t="s">
        <v>483</v>
      </c>
      <c r="G761" t="s">
        <v>489</v>
      </c>
      <c r="H761" t="s">
        <v>462</v>
      </c>
      <c r="I761">
        <f t="shared" si="37"/>
        <v>1990</v>
      </c>
      <c r="J761" s="229">
        <v>2140</v>
      </c>
      <c r="K761" s="254">
        <v>29944</v>
      </c>
      <c r="L761" s="254">
        <v>15626.92</v>
      </c>
      <c r="M761" s="254">
        <v>14317.08</v>
      </c>
      <c r="N761" s="255">
        <v>295</v>
      </c>
      <c r="O761" s="256">
        <v>491</v>
      </c>
      <c r="P761" s="254">
        <f t="shared" si="38"/>
        <v>49838.996610169488</v>
      </c>
    </row>
    <row r="762" spans="1:16" x14ac:dyDescent="0.2">
      <c r="A762" t="s">
        <v>563</v>
      </c>
      <c r="B762" s="253">
        <v>1.125</v>
      </c>
      <c r="C762" s="257" t="s">
        <v>556</v>
      </c>
      <c r="D762" s="257" t="str">
        <f t="shared" si="36"/>
        <v>1.125 PE</v>
      </c>
      <c r="E762" t="s">
        <v>482</v>
      </c>
      <c r="F762" t="s">
        <v>483</v>
      </c>
      <c r="G762" t="s">
        <v>520</v>
      </c>
      <c r="H762" t="s">
        <v>462</v>
      </c>
      <c r="I762">
        <f t="shared" si="37"/>
        <v>1981</v>
      </c>
      <c r="J762" s="229">
        <v>2395</v>
      </c>
      <c r="K762" s="254">
        <v>7709.3</v>
      </c>
      <c r="L762" s="254">
        <v>5607.24</v>
      </c>
      <c r="M762" s="254">
        <v>2102.06</v>
      </c>
      <c r="N762" s="255">
        <v>216</v>
      </c>
      <c r="O762" s="256">
        <v>491</v>
      </c>
      <c r="P762" s="254">
        <f t="shared" si="38"/>
        <v>17524.381018518521</v>
      </c>
    </row>
    <row r="763" spans="1:16" x14ac:dyDescent="0.2">
      <c r="A763" t="s">
        <v>563</v>
      </c>
      <c r="B763" s="253">
        <v>1.125</v>
      </c>
      <c r="C763" s="257" t="s">
        <v>556</v>
      </c>
      <c r="D763" s="257" t="str">
        <f t="shared" si="36"/>
        <v>1.125 PE</v>
      </c>
      <c r="E763" t="s">
        <v>482</v>
      </c>
      <c r="F763" t="s">
        <v>483</v>
      </c>
      <c r="G763" t="s">
        <v>516</v>
      </c>
      <c r="H763" t="s">
        <v>462</v>
      </c>
      <c r="I763">
        <f t="shared" si="37"/>
        <v>1988</v>
      </c>
      <c r="J763" s="229">
        <v>2632</v>
      </c>
      <c r="K763" s="254">
        <v>28709.21</v>
      </c>
      <c r="L763" s="254">
        <v>16394.5</v>
      </c>
      <c r="M763" s="254">
        <v>12314.71</v>
      </c>
      <c r="N763" s="255">
        <v>271</v>
      </c>
      <c r="O763" s="256">
        <v>491</v>
      </c>
      <c r="P763" s="254">
        <f t="shared" si="38"/>
        <v>52015.579741697416</v>
      </c>
    </row>
    <row r="764" spans="1:16" x14ac:dyDescent="0.2">
      <c r="A764" t="s">
        <v>563</v>
      </c>
      <c r="B764" s="253">
        <v>1.125</v>
      </c>
      <c r="C764" s="257" t="s">
        <v>556</v>
      </c>
      <c r="D764" s="257" t="str">
        <f t="shared" si="36"/>
        <v>1.125 PE</v>
      </c>
      <c r="E764" t="s">
        <v>482</v>
      </c>
      <c r="F764" t="s">
        <v>483</v>
      </c>
      <c r="G764" t="s">
        <v>464</v>
      </c>
      <c r="H764" t="s">
        <v>462</v>
      </c>
      <c r="I764">
        <f t="shared" si="37"/>
        <v>1985</v>
      </c>
      <c r="J764" s="229">
        <v>3172</v>
      </c>
      <c r="K764" s="254">
        <v>31097</v>
      </c>
      <c r="L764" s="254">
        <v>19947.73</v>
      </c>
      <c r="M764" s="254">
        <v>11149.27</v>
      </c>
      <c r="N764" s="255">
        <v>250</v>
      </c>
      <c r="O764" s="256">
        <v>491</v>
      </c>
      <c r="P764" s="254">
        <f t="shared" si="38"/>
        <v>61074.508000000002</v>
      </c>
    </row>
    <row r="765" spans="1:16" x14ac:dyDescent="0.2">
      <c r="A765" t="s">
        <v>563</v>
      </c>
      <c r="B765" s="253">
        <v>1.125</v>
      </c>
      <c r="C765" s="257" t="s">
        <v>556</v>
      </c>
      <c r="D765" s="257" t="str">
        <f t="shared" si="36"/>
        <v>1.125 PE</v>
      </c>
      <c r="E765" t="s">
        <v>482</v>
      </c>
      <c r="F765" t="s">
        <v>483</v>
      </c>
      <c r="G765" t="s">
        <v>524</v>
      </c>
      <c r="H765" t="s">
        <v>462</v>
      </c>
      <c r="I765">
        <f t="shared" si="37"/>
        <v>1975</v>
      </c>
      <c r="J765" s="229">
        <v>3277</v>
      </c>
      <c r="K765" s="254">
        <v>14739</v>
      </c>
      <c r="L765" s="254">
        <v>12311.97</v>
      </c>
      <c r="M765" s="254">
        <v>2427.0300000000002</v>
      </c>
      <c r="N765" s="255">
        <v>130</v>
      </c>
      <c r="O765" s="256">
        <v>491</v>
      </c>
      <c r="P765" s="254">
        <f t="shared" si="38"/>
        <v>55668.06923076923</v>
      </c>
    </row>
    <row r="766" spans="1:16" x14ac:dyDescent="0.2">
      <c r="A766" t="s">
        <v>563</v>
      </c>
      <c r="B766" s="253">
        <v>1.125</v>
      </c>
      <c r="C766" s="257" t="s">
        <v>556</v>
      </c>
      <c r="D766" s="257" t="str">
        <f t="shared" si="36"/>
        <v>1.125 PE</v>
      </c>
      <c r="E766" t="s">
        <v>482</v>
      </c>
      <c r="F766" t="s">
        <v>483</v>
      </c>
      <c r="G766" t="s">
        <v>526</v>
      </c>
      <c r="H766" t="s">
        <v>462</v>
      </c>
      <c r="I766">
        <f t="shared" si="37"/>
        <v>1977</v>
      </c>
      <c r="J766" s="229">
        <v>3690</v>
      </c>
      <c r="K766" s="254">
        <v>11235</v>
      </c>
      <c r="L766" s="254">
        <v>9013.5400000000009</v>
      </c>
      <c r="M766" s="254">
        <v>2221.46</v>
      </c>
      <c r="N766" s="255">
        <v>149</v>
      </c>
      <c r="O766" s="256">
        <v>491</v>
      </c>
      <c r="P766" s="254">
        <f t="shared" si="38"/>
        <v>37022.718120805366</v>
      </c>
    </row>
    <row r="767" spans="1:16" x14ac:dyDescent="0.2">
      <c r="A767" t="s">
        <v>563</v>
      </c>
      <c r="B767" s="253">
        <v>1.125</v>
      </c>
      <c r="C767" s="257" t="s">
        <v>556</v>
      </c>
      <c r="D767" s="257" t="str">
        <f t="shared" si="36"/>
        <v>1.125 PE</v>
      </c>
      <c r="E767" t="s">
        <v>482</v>
      </c>
      <c r="F767" t="s">
        <v>483</v>
      </c>
      <c r="G767" t="s">
        <v>523</v>
      </c>
      <c r="H767" t="s">
        <v>462</v>
      </c>
      <c r="I767">
        <f t="shared" si="37"/>
        <v>1987</v>
      </c>
      <c r="J767" s="229">
        <v>5227</v>
      </c>
      <c r="K767" s="254">
        <v>36976.04</v>
      </c>
      <c r="L767" s="254">
        <v>22001.31</v>
      </c>
      <c r="M767" s="254">
        <v>14974.73</v>
      </c>
      <c r="N767" s="255">
        <v>260</v>
      </c>
      <c r="O767" s="256">
        <v>491</v>
      </c>
      <c r="P767" s="254">
        <f t="shared" si="38"/>
        <v>69827.829384615383</v>
      </c>
    </row>
    <row r="768" spans="1:16" x14ac:dyDescent="0.2">
      <c r="A768" t="s">
        <v>563</v>
      </c>
      <c r="B768" s="253">
        <v>1.125</v>
      </c>
      <c r="C768" s="257" t="s">
        <v>556</v>
      </c>
      <c r="D768" s="257" t="str">
        <f t="shared" si="36"/>
        <v>1.125 PE</v>
      </c>
      <c r="E768" t="s">
        <v>482</v>
      </c>
      <c r="F768" t="s">
        <v>483</v>
      </c>
      <c r="G768" t="s">
        <v>519</v>
      </c>
      <c r="H768" t="s">
        <v>462</v>
      </c>
      <c r="I768">
        <f t="shared" si="37"/>
        <v>1979</v>
      </c>
      <c r="J768" s="229">
        <v>6358</v>
      </c>
      <c r="K768" s="254">
        <v>7954.41</v>
      </c>
      <c r="L768" s="254">
        <v>6095.1</v>
      </c>
      <c r="M768" s="254">
        <v>1859.31</v>
      </c>
      <c r="N768" s="255">
        <v>175</v>
      </c>
      <c r="O768" s="256">
        <v>491</v>
      </c>
      <c r="P768" s="254">
        <f t="shared" si="38"/>
        <v>22317.801771428571</v>
      </c>
    </row>
    <row r="769" spans="1:16" x14ac:dyDescent="0.2">
      <c r="A769" t="s">
        <v>564</v>
      </c>
      <c r="B769" s="253">
        <v>1.25</v>
      </c>
      <c r="C769" s="257" t="s">
        <v>556</v>
      </c>
      <c r="D769" s="257" t="str">
        <f t="shared" si="36"/>
        <v>1.25 PE</v>
      </c>
      <c r="E769" t="s">
        <v>482</v>
      </c>
      <c r="F769" t="s">
        <v>483</v>
      </c>
      <c r="G769" t="s">
        <v>470</v>
      </c>
      <c r="H769" t="s">
        <v>462</v>
      </c>
      <c r="I769">
        <f t="shared" si="37"/>
        <v>2007</v>
      </c>
      <c r="J769" s="229">
        <v>1</v>
      </c>
      <c r="K769" s="254">
        <v>583.75</v>
      </c>
      <c r="L769" s="254">
        <v>51.41</v>
      </c>
      <c r="M769" s="254">
        <v>532.34</v>
      </c>
      <c r="N769" s="255">
        <v>455</v>
      </c>
      <c r="O769" s="256">
        <v>491</v>
      </c>
      <c r="P769" s="254">
        <f t="shared" si="38"/>
        <v>629.9368131868132</v>
      </c>
    </row>
    <row r="770" spans="1:16" x14ac:dyDescent="0.2">
      <c r="A770" t="s">
        <v>564</v>
      </c>
      <c r="B770" s="253">
        <v>1.25</v>
      </c>
      <c r="C770" s="257" t="s">
        <v>556</v>
      </c>
      <c r="D770" s="257" t="str">
        <f t="shared" si="36"/>
        <v>1.25 PE</v>
      </c>
      <c r="E770" t="s">
        <v>482</v>
      </c>
      <c r="F770" t="s">
        <v>483</v>
      </c>
      <c r="G770" t="s">
        <v>529</v>
      </c>
      <c r="H770" t="s">
        <v>462</v>
      </c>
      <c r="I770">
        <f t="shared" si="37"/>
        <v>1973</v>
      </c>
      <c r="J770" s="229">
        <v>117</v>
      </c>
      <c r="K770" s="254">
        <v>349.29</v>
      </c>
      <c r="L770" s="254">
        <v>302.29000000000002</v>
      </c>
      <c r="M770" s="254">
        <v>47</v>
      </c>
      <c r="N770" s="255">
        <v>100</v>
      </c>
      <c r="O770" s="256">
        <v>491</v>
      </c>
      <c r="P770" s="254">
        <f t="shared" si="38"/>
        <v>1715.0139000000001</v>
      </c>
    </row>
    <row r="771" spans="1:16" x14ac:dyDescent="0.2">
      <c r="A771" t="s">
        <v>564</v>
      </c>
      <c r="B771" s="253">
        <v>1.25</v>
      </c>
      <c r="C771" s="257" t="s">
        <v>556</v>
      </c>
      <c r="D771" s="257" t="str">
        <f t="shared" si="36"/>
        <v>1.25 PE</v>
      </c>
      <c r="E771" t="s">
        <v>482</v>
      </c>
      <c r="F771" t="s">
        <v>483</v>
      </c>
      <c r="G771" t="s">
        <v>474</v>
      </c>
      <c r="H771" t="s">
        <v>462</v>
      </c>
      <c r="I771">
        <f t="shared" si="37"/>
        <v>2005</v>
      </c>
      <c r="J771" s="229">
        <v>521</v>
      </c>
      <c r="K771" s="254">
        <v>7380.89</v>
      </c>
      <c r="L771" s="254">
        <v>1014</v>
      </c>
      <c r="M771" s="254">
        <v>6366.89</v>
      </c>
      <c r="N771" s="255">
        <v>414</v>
      </c>
      <c r="O771" s="256">
        <v>491</v>
      </c>
      <c r="P771" s="254">
        <f t="shared" si="38"/>
        <v>8753.6642270531393</v>
      </c>
    </row>
    <row r="772" spans="1:16" x14ac:dyDescent="0.2">
      <c r="A772" t="s">
        <v>564</v>
      </c>
      <c r="B772" s="253">
        <v>1.25</v>
      </c>
      <c r="C772" s="257" t="s">
        <v>556</v>
      </c>
      <c r="D772" s="257" t="str">
        <f t="shared" si="36"/>
        <v>1.25 PE</v>
      </c>
      <c r="E772" t="s">
        <v>482</v>
      </c>
      <c r="F772" t="s">
        <v>483</v>
      </c>
      <c r="G772" t="s">
        <v>475</v>
      </c>
      <c r="H772" t="s">
        <v>462</v>
      </c>
      <c r="I772">
        <f t="shared" si="37"/>
        <v>2002</v>
      </c>
      <c r="J772" s="229">
        <v>939</v>
      </c>
      <c r="K772" s="254">
        <v>34487.449999999997</v>
      </c>
      <c r="L772" s="254">
        <v>7338.03</v>
      </c>
      <c r="M772" s="254">
        <v>27149.42</v>
      </c>
      <c r="N772" s="255">
        <v>373</v>
      </c>
      <c r="O772" s="256">
        <v>491</v>
      </c>
      <c r="P772" s="254">
        <f t="shared" si="38"/>
        <v>45397.688873994637</v>
      </c>
    </row>
    <row r="773" spans="1:16" x14ac:dyDescent="0.2">
      <c r="A773" t="s">
        <v>564</v>
      </c>
      <c r="B773" s="253">
        <v>1.25</v>
      </c>
      <c r="C773" s="257" t="s">
        <v>556</v>
      </c>
      <c r="D773" s="257" t="str">
        <f t="shared" si="36"/>
        <v>1.25 PE</v>
      </c>
      <c r="E773" t="s">
        <v>482</v>
      </c>
      <c r="F773" t="s">
        <v>483</v>
      </c>
      <c r="G773" t="s">
        <v>480</v>
      </c>
      <c r="H773" t="s">
        <v>462</v>
      </c>
      <c r="I773">
        <f t="shared" si="37"/>
        <v>1999</v>
      </c>
      <c r="J773" s="229">
        <v>3029</v>
      </c>
      <c r="K773" s="254">
        <v>3747.26</v>
      </c>
      <c r="L773" s="254">
        <v>1086.3499999999999</v>
      </c>
      <c r="M773" s="254">
        <v>2660.91</v>
      </c>
      <c r="N773" s="255">
        <v>352</v>
      </c>
      <c r="O773" s="256">
        <v>491</v>
      </c>
      <c r="P773" s="254">
        <f t="shared" si="38"/>
        <v>5227.0018749999999</v>
      </c>
    </row>
    <row r="774" spans="1:16" x14ac:dyDescent="0.2">
      <c r="A774" t="s">
        <v>564</v>
      </c>
      <c r="B774" s="253">
        <v>1.25</v>
      </c>
      <c r="C774" s="257" t="s">
        <v>556</v>
      </c>
      <c r="D774" s="257" t="str">
        <f t="shared" si="36"/>
        <v>1.25 PE</v>
      </c>
      <c r="E774" t="s">
        <v>482</v>
      </c>
      <c r="F774" t="s">
        <v>483</v>
      </c>
      <c r="G774" t="s">
        <v>472</v>
      </c>
      <c r="H774" t="s">
        <v>462</v>
      </c>
      <c r="I774">
        <f t="shared" si="37"/>
        <v>2000</v>
      </c>
      <c r="J774" s="229">
        <v>3199</v>
      </c>
      <c r="K774" s="254">
        <v>97009.86</v>
      </c>
      <c r="L774" s="254">
        <v>25613.93</v>
      </c>
      <c r="M774" s="254">
        <v>71395.929999999993</v>
      </c>
      <c r="N774" s="255">
        <v>356</v>
      </c>
      <c r="O774" s="256">
        <v>491</v>
      </c>
      <c r="P774" s="254">
        <f t="shared" si="38"/>
        <v>133797.30691011235</v>
      </c>
    </row>
    <row r="775" spans="1:16" x14ac:dyDescent="0.2">
      <c r="A775" t="s">
        <v>564</v>
      </c>
      <c r="B775" s="253">
        <v>1.25</v>
      </c>
      <c r="C775" s="257" t="s">
        <v>556</v>
      </c>
      <c r="D775" s="257" t="str">
        <f t="shared" si="36"/>
        <v>1.25 PE</v>
      </c>
      <c r="E775" t="s">
        <v>482</v>
      </c>
      <c r="F775" t="s">
        <v>483</v>
      </c>
      <c r="G775" t="s">
        <v>478</v>
      </c>
      <c r="H775" t="s">
        <v>462</v>
      </c>
      <c r="I775">
        <f t="shared" si="37"/>
        <v>2001</v>
      </c>
      <c r="J775" s="229">
        <v>4402</v>
      </c>
      <c r="K775" s="254">
        <v>58838.26</v>
      </c>
      <c r="L775" s="254">
        <v>14022.32</v>
      </c>
      <c r="M775" s="254">
        <v>44815.94</v>
      </c>
      <c r="N775" s="255">
        <v>363</v>
      </c>
      <c r="O775" s="256">
        <v>491</v>
      </c>
      <c r="P775" s="254">
        <f t="shared" si="38"/>
        <v>79585.635426997251</v>
      </c>
    </row>
    <row r="776" spans="1:16" x14ac:dyDescent="0.2">
      <c r="A776" t="s">
        <v>564</v>
      </c>
      <c r="B776" s="253">
        <v>1.25</v>
      </c>
      <c r="C776" s="257" t="s">
        <v>556</v>
      </c>
      <c r="D776" s="257" t="str">
        <f t="shared" si="36"/>
        <v>1.25 PE</v>
      </c>
      <c r="E776" t="s">
        <v>482</v>
      </c>
      <c r="F776" t="s">
        <v>483</v>
      </c>
      <c r="G776" t="s">
        <v>479</v>
      </c>
      <c r="H776" t="s">
        <v>462</v>
      </c>
      <c r="I776">
        <f t="shared" si="37"/>
        <v>1998</v>
      </c>
      <c r="J776" s="229">
        <v>7511</v>
      </c>
      <c r="K776" s="254">
        <v>31423.05</v>
      </c>
      <c r="L776" s="254">
        <v>9925.76</v>
      </c>
      <c r="M776" s="254">
        <v>21497.29</v>
      </c>
      <c r="N776" s="255">
        <v>346</v>
      </c>
      <c r="O776" s="256">
        <v>491</v>
      </c>
      <c r="P776" s="254">
        <f t="shared" si="38"/>
        <v>44591.669219653173</v>
      </c>
    </row>
    <row r="777" spans="1:16" x14ac:dyDescent="0.2">
      <c r="A777" t="s">
        <v>564</v>
      </c>
      <c r="B777" s="253">
        <v>1.25</v>
      </c>
      <c r="C777" s="257" t="s">
        <v>556</v>
      </c>
      <c r="D777" s="257" t="str">
        <f t="shared" si="36"/>
        <v>1.25 PE</v>
      </c>
      <c r="E777" t="s">
        <v>482</v>
      </c>
      <c r="F777" t="s">
        <v>483</v>
      </c>
      <c r="G777" t="s">
        <v>473</v>
      </c>
      <c r="H777" t="s">
        <v>462</v>
      </c>
      <c r="I777">
        <f t="shared" si="37"/>
        <v>1997</v>
      </c>
      <c r="J777" s="229">
        <v>31341</v>
      </c>
      <c r="K777" s="254">
        <v>299633.87</v>
      </c>
      <c r="L777" s="254">
        <v>102446.64</v>
      </c>
      <c r="M777" s="254">
        <v>197187.23</v>
      </c>
      <c r="N777" s="255">
        <v>341</v>
      </c>
      <c r="O777" s="256">
        <v>491</v>
      </c>
      <c r="P777" s="254">
        <f t="shared" si="38"/>
        <v>431437.6251319648</v>
      </c>
    </row>
    <row r="778" spans="1:16" x14ac:dyDescent="0.2">
      <c r="A778" t="s">
        <v>564</v>
      </c>
      <c r="B778" s="253">
        <v>1.25</v>
      </c>
      <c r="C778" s="257" t="s">
        <v>556</v>
      </c>
      <c r="D778" s="257" t="str">
        <f t="shared" si="36"/>
        <v>1.25 PE</v>
      </c>
      <c r="E778" t="s">
        <v>482</v>
      </c>
      <c r="F778" t="s">
        <v>483</v>
      </c>
      <c r="G778" t="s">
        <v>525</v>
      </c>
      <c r="H778" t="s">
        <v>462</v>
      </c>
      <c r="I778">
        <f t="shared" si="37"/>
        <v>1974</v>
      </c>
      <c r="J778" s="229">
        <v>75523</v>
      </c>
      <c r="K778" s="254">
        <v>259008.7</v>
      </c>
      <c r="L778" s="254">
        <v>220350.79</v>
      </c>
      <c r="M778" s="254">
        <v>38657.910000000003</v>
      </c>
      <c r="N778" s="255">
        <v>112</v>
      </c>
      <c r="O778" s="256">
        <v>491</v>
      </c>
      <c r="P778" s="254">
        <f t="shared" si="38"/>
        <v>1135475.6401785715</v>
      </c>
    </row>
    <row r="779" spans="1:16" x14ac:dyDescent="0.2">
      <c r="A779" t="s">
        <v>564</v>
      </c>
      <c r="B779" s="253">
        <v>1.25</v>
      </c>
      <c r="C779" s="257" t="s">
        <v>556</v>
      </c>
      <c r="D779" s="257" t="str">
        <f t="shared" si="36"/>
        <v>1.25 PE</v>
      </c>
      <c r="E779" t="s">
        <v>482</v>
      </c>
      <c r="F779" t="s">
        <v>483</v>
      </c>
      <c r="G779" t="s">
        <v>517</v>
      </c>
      <c r="H779" t="s">
        <v>462</v>
      </c>
      <c r="I779">
        <f t="shared" si="37"/>
        <v>1983</v>
      </c>
      <c r="J779" s="229">
        <v>145246</v>
      </c>
      <c r="K779" s="254">
        <v>1336778.3</v>
      </c>
      <c r="L779" s="254">
        <v>916583.76</v>
      </c>
      <c r="M779" s="254">
        <v>420194.54</v>
      </c>
      <c r="N779" s="255">
        <v>241</v>
      </c>
      <c r="O779" s="256">
        <v>491</v>
      </c>
      <c r="P779" s="254">
        <f t="shared" si="38"/>
        <v>2723477.7813278008</v>
      </c>
    </row>
    <row r="780" spans="1:16" x14ac:dyDescent="0.2">
      <c r="A780" t="s">
        <v>564</v>
      </c>
      <c r="B780" s="253">
        <v>1.25</v>
      </c>
      <c r="C780" s="257" t="s">
        <v>556</v>
      </c>
      <c r="D780" s="257" t="str">
        <f t="shared" si="36"/>
        <v>1.25 PE</v>
      </c>
      <c r="E780" t="s">
        <v>482</v>
      </c>
      <c r="F780" t="s">
        <v>483</v>
      </c>
      <c r="G780" t="s">
        <v>526</v>
      </c>
      <c r="H780" t="s">
        <v>462</v>
      </c>
      <c r="I780">
        <f t="shared" si="37"/>
        <v>1977</v>
      </c>
      <c r="J780" s="229">
        <v>161235</v>
      </c>
      <c r="K780" s="254">
        <v>567651.42000000004</v>
      </c>
      <c r="L780" s="254">
        <v>455411.66</v>
      </c>
      <c r="M780" s="254">
        <v>112239.76</v>
      </c>
      <c r="N780" s="255">
        <v>149</v>
      </c>
      <c r="O780" s="256">
        <v>491</v>
      </c>
      <c r="P780" s="254">
        <f t="shared" si="38"/>
        <v>1870582.8672483223</v>
      </c>
    </row>
    <row r="781" spans="1:16" x14ac:dyDescent="0.2">
      <c r="A781" t="s">
        <v>564</v>
      </c>
      <c r="B781" s="253">
        <v>1.25</v>
      </c>
      <c r="C781" s="257" t="s">
        <v>556</v>
      </c>
      <c r="D781" s="257" t="str">
        <f t="shared" si="36"/>
        <v>1.25 PE</v>
      </c>
      <c r="E781" t="s">
        <v>482</v>
      </c>
      <c r="F781" t="s">
        <v>483</v>
      </c>
      <c r="G781" t="s">
        <v>467</v>
      </c>
      <c r="H781" t="s">
        <v>462</v>
      </c>
      <c r="I781">
        <f t="shared" si="37"/>
        <v>1996</v>
      </c>
      <c r="J781" s="229">
        <v>209958</v>
      </c>
      <c r="K781" s="254">
        <v>1673448.65</v>
      </c>
      <c r="L781" s="254">
        <v>615758.43000000005</v>
      </c>
      <c r="M781" s="254">
        <v>1057690.22</v>
      </c>
      <c r="N781" s="255">
        <v>334</v>
      </c>
      <c r="O781" s="256">
        <v>491</v>
      </c>
      <c r="P781" s="254">
        <f t="shared" si="38"/>
        <v>2460069.722005988</v>
      </c>
    </row>
    <row r="782" spans="1:16" x14ac:dyDescent="0.2">
      <c r="A782" t="s">
        <v>564</v>
      </c>
      <c r="B782" s="253">
        <v>1.25</v>
      </c>
      <c r="C782" s="257" t="s">
        <v>556</v>
      </c>
      <c r="D782" s="257" t="str">
        <f t="shared" si="36"/>
        <v>1.25 PE</v>
      </c>
      <c r="E782" t="s">
        <v>482</v>
      </c>
      <c r="F782" t="s">
        <v>483</v>
      </c>
      <c r="G782" t="s">
        <v>486</v>
      </c>
      <c r="H782" t="s">
        <v>462</v>
      </c>
      <c r="I782">
        <f t="shared" si="37"/>
        <v>1978</v>
      </c>
      <c r="J782" s="229">
        <v>243356</v>
      </c>
      <c r="K782" s="254">
        <v>846722.23</v>
      </c>
      <c r="L782" s="254">
        <v>664367.15</v>
      </c>
      <c r="M782" s="254">
        <v>182355.08</v>
      </c>
      <c r="N782" s="255">
        <v>160</v>
      </c>
      <c r="O782" s="256">
        <v>491</v>
      </c>
      <c r="P782" s="254">
        <f t="shared" si="38"/>
        <v>2598378.8433125</v>
      </c>
    </row>
    <row r="783" spans="1:16" x14ac:dyDescent="0.2">
      <c r="A783" t="s">
        <v>564</v>
      </c>
      <c r="B783" s="253">
        <v>1.25</v>
      </c>
      <c r="C783" s="257" t="s">
        <v>556</v>
      </c>
      <c r="D783" s="257" t="str">
        <f t="shared" si="36"/>
        <v>1.25 PE</v>
      </c>
      <c r="E783" t="s">
        <v>482</v>
      </c>
      <c r="F783" t="s">
        <v>483</v>
      </c>
      <c r="G783" t="s">
        <v>463</v>
      </c>
      <c r="H783" t="s">
        <v>462</v>
      </c>
      <c r="I783">
        <f t="shared" si="37"/>
        <v>1984</v>
      </c>
      <c r="J783" s="229">
        <v>246472</v>
      </c>
      <c r="K783" s="254">
        <v>2319939.2599999998</v>
      </c>
      <c r="L783" s="254">
        <v>1540133.34</v>
      </c>
      <c r="M783" s="254">
        <v>779805.92</v>
      </c>
      <c r="N783" s="255">
        <v>247</v>
      </c>
      <c r="O783" s="256">
        <v>491</v>
      </c>
      <c r="P783" s="254">
        <f t="shared" si="38"/>
        <v>4611701.1200809712</v>
      </c>
    </row>
    <row r="784" spans="1:16" x14ac:dyDescent="0.2">
      <c r="A784" t="s">
        <v>564</v>
      </c>
      <c r="B784" s="253">
        <v>1.25</v>
      </c>
      <c r="C784" s="257" t="s">
        <v>556</v>
      </c>
      <c r="D784" s="257" t="str">
        <f t="shared" si="36"/>
        <v>1.25 PE</v>
      </c>
      <c r="E784" t="s">
        <v>482</v>
      </c>
      <c r="F784" t="s">
        <v>483</v>
      </c>
      <c r="G784" t="s">
        <v>518</v>
      </c>
      <c r="H784" t="s">
        <v>462</v>
      </c>
      <c r="I784">
        <f t="shared" si="37"/>
        <v>1982</v>
      </c>
      <c r="J784" s="229">
        <v>256455</v>
      </c>
      <c r="K784" s="254">
        <v>1714331.2</v>
      </c>
      <c r="L784" s="254">
        <v>1211744.17</v>
      </c>
      <c r="M784" s="254">
        <v>502587.03</v>
      </c>
      <c r="N784" s="255">
        <v>232</v>
      </c>
      <c r="O784" s="256">
        <v>491</v>
      </c>
      <c r="P784" s="254">
        <f t="shared" si="38"/>
        <v>3628175.0827586204</v>
      </c>
    </row>
    <row r="785" spans="1:16" x14ac:dyDescent="0.2">
      <c r="A785" t="s">
        <v>564</v>
      </c>
      <c r="B785" s="253">
        <v>1.25</v>
      </c>
      <c r="C785" s="257" t="s">
        <v>556</v>
      </c>
      <c r="D785" s="257" t="str">
        <f t="shared" si="36"/>
        <v>1.25 PE</v>
      </c>
      <c r="E785" t="s">
        <v>482</v>
      </c>
      <c r="F785" t="s">
        <v>483</v>
      </c>
      <c r="G785" t="s">
        <v>522</v>
      </c>
      <c r="H785" t="s">
        <v>462</v>
      </c>
      <c r="I785">
        <f t="shared" si="37"/>
        <v>1976</v>
      </c>
      <c r="J785" s="229">
        <v>257891</v>
      </c>
      <c r="K785" s="254">
        <v>912497.04</v>
      </c>
      <c r="L785" s="254">
        <v>747495.95</v>
      </c>
      <c r="M785" s="254">
        <v>165001.09</v>
      </c>
      <c r="N785" s="255">
        <v>140</v>
      </c>
      <c r="O785" s="256">
        <v>491</v>
      </c>
      <c r="P785" s="254">
        <f t="shared" si="38"/>
        <v>3200257.4760000003</v>
      </c>
    </row>
    <row r="786" spans="1:16" x14ac:dyDescent="0.2">
      <c r="A786" t="s">
        <v>564</v>
      </c>
      <c r="B786" s="253">
        <v>1.25</v>
      </c>
      <c r="C786" s="257" t="s">
        <v>556</v>
      </c>
      <c r="D786" s="257" t="str">
        <f t="shared" si="36"/>
        <v>1.25 PE</v>
      </c>
      <c r="E786" t="s">
        <v>482</v>
      </c>
      <c r="F786" t="s">
        <v>483</v>
      </c>
      <c r="G786" t="s">
        <v>520</v>
      </c>
      <c r="H786" t="s">
        <v>462</v>
      </c>
      <c r="I786">
        <f t="shared" si="37"/>
        <v>1981</v>
      </c>
      <c r="J786" s="229">
        <v>270087</v>
      </c>
      <c r="K786" s="254">
        <v>1553091.43</v>
      </c>
      <c r="L786" s="254">
        <v>1129616.78</v>
      </c>
      <c r="M786" s="254">
        <v>423474.65</v>
      </c>
      <c r="N786" s="255">
        <v>216</v>
      </c>
      <c r="O786" s="256">
        <v>491</v>
      </c>
      <c r="P786" s="254">
        <f t="shared" si="38"/>
        <v>3530406.9080092595</v>
      </c>
    </row>
    <row r="787" spans="1:16" x14ac:dyDescent="0.2">
      <c r="A787" t="s">
        <v>564</v>
      </c>
      <c r="B787" s="253">
        <v>1.25</v>
      </c>
      <c r="C787" s="257" t="s">
        <v>556</v>
      </c>
      <c r="D787" s="257" t="str">
        <f t="shared" si="36"/>
        <v>1.25 PE</v>
      </c>
      <c r="E787" t="s">
        <v>482</v>
      </c>
      <c r="F787" t="s">
        <v>483</v>
      </c>
      <c r="G787" t="s">
        <v>524</v>
      </c>
      <c r="H787" t="s">
        <v>462</v>
      </c>
      <c r="I787">
        <f t="shared" si="37"/>
        <v>1975</v>
      </c>
      <c r="J787" s="229">
        <v>271551</v>
      </c>
      <c r="K787" s="254">
        <v>867460.03</v>
      </c>
      <c r="L787" s="254">
        <v>724618.08</v>
      </c>
      <c r="M787" s="254">
        <v>142841.95000000001</v>
      </c>
      <c r="N787" s="255">
        <v>130</v>
      </c>
      <c r="O787" s="256">
        <v>491</v>
      </c>
      <c r="P787" s="254">
        <f t="shared" si="38"/>
        <v>3276329.8056153846</v>
      </c>
    </row>
    <row r="788" spans="1:16" x14ac:dyDescent="0.2">
      <c r="A788" t="s">
        <v>564</v>
      </c>
      <c r="B788" s="253">
        <v>1.25</v>
      </c>
      <c r="C788" s="257" t="s">
        <v>556</v>
      </c>
      <c r="D788" s="257" t="str">
        <f t="shared" si="36"/>
        <v>1.25 PE</v>
      </c>
      <c r="E788" t="s">
        <v>482</v>
      </c>
      <c r="F788" t="s">
        <v>483</v>
      </c>
      <c r="G788" t="s">
        <v>519</v>
      </c>
      <c r="H788" t="s">
        <v>462</v>
      </c>
      <c r="I788">
        <f t="shared" si="37"/>
        <v>1979</v>
      </c>
      <c r="J788" s="229">
        <v>289940</v>
      </c>
      <c r="K788" s="254">
        <v>1192005.81</v>
      </c>
      <c r="L788" s="254">
        <v>913380.13</v>
      </c>
      <c r="M788" s="254">
        <v>278625.68</v>
      </c>
      <c r="N788" s="255">
        <v>175</v>
      </c>
      <c r="O788" s="256">
        <v>491</v>
      </c>
      <c r="P788" s="254">
        <f t="shared" si="38"/>
        <v>3344427.7297714287</v>
      </c>
    </row>
    <row r="789" spans="1:16" x14ac:dyDescent="0.2">
      <c r="A789" t="s">
        <v>564</v>
      </c>
      <c r="B789" s="253">
        <v>1.25</v>
      </c>
      <c r="C789" s="257" t="s">
        <v>556</v>
      </c>
      <c r="D789" s="257" t="str">
        <f t="shared" si="36"/>
        <v>1.25 PE</v>
      </c>
      <c r="E789" t="s">
        <v>482</v>
      </c>
      <c r="F789" t="s">
        <v>483</v>
      </c>
      <c r="G789" t="s">
        <v>464</v>
      </c>
      <c r="H789" t="s">
        <v>462</v>
      </c>
      <c r="I789">
        <f t="shared" si="37"/>
        <v>1985</v>
      </c>
      <c r="J789" s="229">
        <v>314776</v>
      </c>
      <c r="K789" s="254">
        <v>2712791.42</v>
      </c>
      <c r="L789" s="254">
        <v>1740168.97</v>
      </c>
      <c r="M789" s="254">
        <v>972622.45</v>
      </c>
      <c r="N789" s="255">
        <v>250</v>
      </c>
      <c r="O789" s="256">
        <v>491</v>
      </c>
      <c r="P789" s="254">
        <f t="shared" si="38"/>
        <v>5327922.3488799995</v>
      </c>
    </row>
    <row r="790" spans="1:16" x14ac:dyDescent="0.2">
      <c r="A790" t="s">
        <v>564</v>
      </c>
      <c r="B790" s="253">
        <v>1.25</v>
      </c>
      <c r="C790" s="257" t="s">
        <v>556</v>
      </c>
      <c r="D790" s="257" t="str">
        <f t="shared" ref="D790:D853" si="39">B790&amp;" "&amp;C790</f>
        <v>1.25 PE</v>
      </c>
      <c r="E790" t="s">
        <v>482</v>
      </c>
      <c r="F790" t="s">
        <v>483</v>
      </c>
      <c r="G790" t="s">
        <v>515</v>
      </c>
      <c r="H790" t="s">
        <v>462</v>
      </c>
      <c r="I790">
        <f t="shared" ref="I790:I853" si="40">+G790*1</f>
        <v>1986</v>
      </c>
      <c r="J790" s="229">
        <v>328427</v>
      </c>
      <c r="K790" s="254">
        <v>3451286.8</v>
      </c>
      <c r="L790" s="254">
        <v>2134631.41</v>
      </c>
      <c r="M790" s="254">
        <v>1316655.3899999999</v>
      </c>
      <c r="N790" s="255">
        <v>253</v>
      </c>
      <c r="O790" s="256">
        <v>491</v>
      </c>
      <c r="P790" s="254">
        <f t="shared" ref="P790:P853" si="41">+(O790/N790)*K790</f>
        <v>6697951.8529644264</v>
      </c>
    </row>
    <row r="791" spans="1:16" x14ac:dyDescent="0.2">
      <c r="A791" t="s">
        <v>564</v>
      </c>
      <c r="B791" s="253">
        <v>1.25</v>
      </c>
      <c r="C791" s="257" t="s">
        <v>556</v>
      </c>
      <c r="D791" s="257" t="str">
        <f t="shared" si="39"/>
        <v>1.25 PE</v>
      </c>
      <c r="E791" t="s">
        <v>482</v>
      </c>
      <c r="F791" t="s">
        <v>483</v>
      </c>
      <c r="G791" t="s">
        <v>513</v>
      </c>
      <c r="H791" t="s">
        <v>462</v>
      </c>
      <c r="I791">
        <f t="shared" si="40"/>
        <v>1995</v>
      </c>
      <c r="J791" s="229">
        <v>353955</v>
      </c>
      <c r="K791" s="254">
        <v>3003256.58</v>
      </c>
      <c r="L791" s="254">
        <v>1183196.96</v>
      </c>
      <c r="M791" s="254">
        <v>1820059.62</v>
      </c>
      <c r="N791" s="255">
        <v>328</v>
      </c>
      <c r="O791" s="256">
        <v>491</v>
      </c>
      <c r="P791" s="254">
        <f t="shared" si="41"/>
        <v>4495728.599939025</v>
      </c>
    </row>
    <row r="792" spans="1:16" x14ac:dyDescent="0.2">
      <c r="A792" t="s">
        <v>564</v>
      </c>
      <c r="B792" s="253">
        <v>1.25</v>
      </c>
      <c r="C792" s="257" t="s">
        <v>556</v>
      </c>
      <c r="D792" s="257" t="str">
        <f t="shared" si="39"/>
        <v>1.25 PE</v>
      </c>
      <c r="E792" t="s">
        <v>482</v>
      </c>
      <c r="F792" t="s">
        <v>483</v>
      </c>
      <c r="G792" t="s">
        <v>516</v>
      </c>
      <c r="H792" t="s">
        <v>462</v>
      </c>
      <c r="I792">
        <f t="shared" si="40"/>
        <v>1988</v>
      </c>
      <c r="J792" s="229">
        <v>383896</v>
      </c>
      <c r="K792" s="254">
        <v>5852103.96</v>
      </c>
      <c r="L792" s="254">
        <v>3341865.15</v>
      </c>
      <c r="M792" s="254">
        <v>2510238.81</v>
      </c>
      <c r="N792" s="255">
        <v>271</v>
      </c>
      <c r="O792" s="256">
        <v>491</v>
      </c>
      <c r="P792" s="254">
        <f t="shared" si="41"/>
        <v>10602889.462583026</v>
      </c>
    </row>
    <row r="793" spans="1:16" x14ac:dyDescent="0.2">
      <c r="A793" t="s">
        <v>564</v>
      </c>
      <c r="B793" s="253">
        <v>1.25</v>
      </c>
      <c r="C793" s="257" t="s">
        <v>556</v>
      </c>
      <c r="D793" s="257" t="str">
        <f t="shared" si="39"/>
        <v>1.25 PE</v>
      </c>
      <c r="E793" t="s">
        <v>482</v>
      </c>
      <c r="F793" t="s">
        <v>483</v>
      </c>
      <c r="G793" t="s">
        <v>521</v>
      </c>
      <c r="H793" t="s">
        <v>462</v>
      </c>
      <c r="I793">
        <f t="shared" si="40"/>
        <v>1980</v>
      </c>
      <c r="J793" s="229">
        <v>451094</v>
      </c>
      <c r="K793" s="254">
        <v>2451290.85</v>
      </c>
      <c r="L793" s="254">
        <v>1831477.96</v>
      </c>
      <c r="M793" s="254">
        <v>619812.89</v>
      </c>
      <c r="N793" s="255">
        <v>196</v>
      </c>
      <c r="O793" s="256">
        <v>491</v>
      </c>
      <c r="P793" s="254">
        <f t="shared" si="41"/>
        <v>6140733.7109693885</v>
      </c>
    </row>
    <row r="794" spans="1:16" x14ac:dyDescent="0.2">
      <c r="A794" t="s">
        <v>564</v>
      </c>
      <c r="B794" s="253">
        <v>1.25</v>
      </c>
      <c r="C794" s="257" t="s">
        <v>556</v>
      </c>
      <c r="D794" s="257" t="str">
        <f t="shared" si="39"/>
        <v>1.25 PE</v>
      </c>
      <c r="E794" t="s">
        <v>482</v>
      </c>
      <c r="F794" t="s">
        <v>483</v>
      </c>
      <c r="G794" t="s">
        <v>514</v>
      </c>
      <c r="H794" t="s">
        <v>462</v>
      </c>
      <c r="I794">
        <f t="shared" si="40"/>
        <v>1994</v>
      </c>
      <c r="J794" s="229">
        <v>542338</v>
      </c>
      <c r="K794" s="254">
        <v>5676560.9800000004</v>
      </c>
      <c r="L794" s="254">
        <v>2383683.15</v>
      </c>
      <c r="M794" s="254">
        <v>3292877.83</v>
      </c>
      <c r="N794" s="255">
        <v>319</v>
      </c>
      <c r="O794" s="256">
        <v>491</v>
      </c>
      <c r="P794" s="254">
        <f t="shared" si="41"/>
        <v>8737277.24507837</v>
      </c>
    </row>
    <row r="795" spans="1:16" x14ac:dyDescent="0.2">
      <c r="A795" t="s">
        <v>564</v>
      </c>
      <c r="B795" s="253">
        <v>1.25</v>
      </c>
      <c r="C795" s="257" t="s">
        <v>556</v>
      </c>
      <c r="D795" s="257" t="str">
        <f t="shared" si="39"/>
        <v>1.25 PE</v>
      </c>
      <c r="E795" t="s">
        <v>482</v>
      </c>
      <c r="F795" t="s">
        <v>483</v>
      </c>
      <c r="G795" t="s">
        <v>466</v>
      </c>
      <c r="H795" t="s">
        <v>462</v>
      </c>
      <c r="I795">
        <f t="shared" si="40"/>
        <v>1989</v>
      </c>
      <c r="J795" s="229">
        <v>666106</v>
      </c>
      <c r="K795" s="254">
        <v>6395685.5</v>
      </c>
      <c r="L795" s="254">
        <v>3496250.47</v>
      </c>
      <c r="M795" s="254">
        <v>2899435.03</v>
      </c>
      <c r="N795" s="255">
        <v>288</v>
      </c>
      <c r="O795" s="256">
        <v>491</v>
      </c>
      <c r="P795" s="254">
        <f t="shared" si="41"/>
        <v>10903755.487847222</v>
      </c>
    </row>
    <row r="796" spans="1:16" x14ac:dyDescent="0.2">
      <c r="A796" t="s">
        <v>564</v>
      </c>
      <c r="B796" s="253">
        <v>1.25</v>
      </c>
      <c r="C796" s="257" t="s">
        <v>556</v>
      </c>
      <c r="D796" s="257" t="str">
        <f t="shared" si="39"/>
        <v>1.25 PE</v>
      </c>
      <c r="E796" t="s">
        <v>482</v>
      </c>
      <c r="F796" t="s">
        <v>483</v>
      </c>
      <c r="G796" t="s">
        <v>523</v>
      </c>
      <c r="H796" t="s">
        <v>462</v>
      </c>
      <c r="I796">
        <f t="shared" si="40"/>
        <v>1987</v>
      </c>
      <c r="J796" s="229">
        <v>700344</v>
      </c>
      <c r="K796" s="254">
        <v>5027991.93</v>
      </c>
      <c r="L796" s="254">
        <v>2991731.98</v>
      </c>
      <c r="M796" s="254">
        <v>2036259.95</v>
      </c>
      <c r="N796" s="255">
        <v>260</v>
      </c>
      <c r="O796" s="256">
        <v>491</v>
      </c>
      <c r="P796" s="254">
        <f t="shared" si="41"/>
        <v>9495169.3754999992</v>
      </c>
    </row>
    <row r="797" spans="1:16" x14ac:dyDescent="0.2">
      <c r="A797" t="s">
        <v>564</v>
      </c>
      <c r="B797" s="253">
        <v>1.25</v>
      </c>
      <c r="C797" s="257" t="s">
        <v>556</v>
      </c>
      <c r="D797" s="257" t="str">
        <f t="shared" si="39"/>
        <v>1.25 PE</v>
      </c>
      <c r="E797" t="s">
        <v>482</v>
      </c>
      <c r="F797" t="s">
        <v>483</v>
      </c>
      <c r="G797" t="s">
        <v>491</v>
      </c>
      <c r="H797" t="s">
        <v>462</v>
      </c>
      <c r="I797">
        <f t="shared" si="40"/>
        <v>1993</v>
      </c>
      <c r="J797" s="229">
        <v>724163</v>
      </c>
      <c r="K797" s="254">
        <v>8779465.3100000005</v>
      </c>
      <c r="L797" s="254">
        <v>3913253.43</v>
      </c>
      <c r="M797" s="254">
        <v>4866211.88</v>
      </c>
      <c r="N797" s="255">
        <v>313</v>
      </c>
      <c r="O797" s="256">
        <v>491</v>
      </c>
      <c r="P797" s="254">
        <f t="shared" si="41"/>
        <v>13772260.2786262</v>
      </c>
    </row>
    <row r="798" spans="1:16" x14ac:dyDescent="0.2">
      <c r="A798" t="s">
        <v>564</v>
      </c>
      <c r="B798" s="253">
        <v>1.25</v>
      </c>
      <c r="C798" s="257" t="s">
        <v>556</v>
      </c>
      <c r="D798" s="257" t="str">
        <f t="shared" si="39"/>
        <v>1.25 PE</v>
      </c>
      <c r="E798" t="s">
        <v>482</v>
      </c>
      <c r="F798" t="s">
        <v>483</v>
      </c>
      <c r="G798" t="s">
        <v>489</v>
      </c>
      <c r="H798" t="s">
        <v>462</v>
      </c>
      <c r="I798">
        <f t="shared" si="40"/>
        <v>1990</v>
      </c>
      <c r="J798" s="229">
        <v>745270</v>
      </c>
      <c r="K798" s="254">
        <v>7769413.2699999996</v>
      </c>
      <c r="L798" s="254">
        <v>4054635.2</v>
      </c>
      <c r="M798" s="254">
        <v>3714778.07</v>
      </c>
      <c r="N798" s="255">
        <v>295</v>
      </c>
      <c r="O798" s="256">
        <v>491</v>
      </c>
      <c r="P798" s="254">
        <f t="shared" si="41"/>
        <v>12931464.12057627</v>
      </c>
    </row>
    <row r="799" spans="1:16" x14ac:dyDescent="0.2">
      <c r="A799" t="s">
        <v>564</v>
      </c>
      <c r="B799" s="253">
        <v>1.25</v>
      </c>
      <c r="C799" s="257" t="s">
        <v>556</v>
      </c>
      <c r="D799" s="257" t="str">
        <f t="shared" si="39"/>
        <v>1.25 PE</v>
      </c>
      <c r="E799" t="s">
        <v>482</v>
      </c>
      <c r="F799" t="s">
        <v>483</v>
      </c>
      <c r="G799" t="s">
        <v>490</v>
      </c>
      <c r="H799" t="s">
        <v>462</v>
      </c>
      <c r="I799">
        <f t="shared" si="40"/>
        <v>1992</v>
      </c>
      <c r="J799" s="229">
        <v>986219</v>
      </c>
      <c r="K799" s="254">
        <v>10818846.619999999</v>
      </c>
      <c r="L799" s="254">
        <v>5099566.3499999996</v>
      </c>
      <c r="M799" s="254">
        <v>5719280.2699999996</v>
      </c>
      <c r="N799" s="255">
        <v>305</v>
      </c>
      <c r="O799" s="256">
        <v>491</v>
      </c>
      <c r="P799" s="254">
        <f t="shared" si="41"/>
        <v>17416569.476786885</v>
      </c>
    </row>
    <row r="800" spans="1:16" x14ac:dyDescent="0.2">
      <c r="A800" t="s">
        <v>564</v>
      </c>
      <c r="B800" s="253">
        <v>1.25</v>
      </c>
      <c r="C800" s="257" t="s">
        <v>556</v>
      </c>
      <c r="D800" s="257" t="str">
        <f t="shared" si="39"/>
        <v>1.25 PE</v>
      </c>
      <c r="E800" t="s">
        <v>482</v>
      </c>
      <c r="F800" t="s">
        <v>483</v>
      </c>
      <c r="G800" t="s">
        <v>465</v>
      </c>
      <c r="H800" t="s">
        <v>462</v>
      </c>
      <c r="I800">
        <f t="shared" si="40"/>
        <v>1991</v>
      </c>
      <c r="J800" s="229">
        <v>1366488</v>
      </c>
      <c r="K800" s="254">
        <v>13313595.49</v>
      </c>
      <c r="L800" s="254">
        <v>6613657.1699999999</v>
      </c>
      <c r="M800" s="254">
        <v>6699938.3200000003</v>
      </c>
      <c r="N800" s="255">
        <v>303</v>
      </c>
      <c r="O800" s="256">
        <v>491</v>
      </c>
      <c r="P800" s="254">
        <f t="shared" si="41"/>
        <v>21574176.190066006</v>
      </c>
    </row>
    <row r="801" spans="1:16" x14ac:dyDescent="0.2">
      <c r="A801" t="s">
        <v>565</v>
      </c>
      <c r="B801" s="253">
        <v>2</v>
      </c>
      <c r="C801" s="257" t="s">
        <v>556</v>
      </c>
      <c r="D801" s="257" t="str">
        <f t="shared" si="39"/>
        <v>2 PE</v>
      </c>
      <c r="E801" t="s">
        <v>482</v>
      </c>
      <c r="F801" t="s">
        <v>483</v>
      </c>
      <c r="G801" t="s">
        <v>474</v>
      </c>
      <c r="H801" t="s">
        <v>462</v>
      </c>
      <c r="I801">
        <f t="shared" si="40"/>
        <v>2005</v>
      </c>
      <c r="J801" s="229">
        <v>23</v>
      </c>
      <c r="K801" s="254">
        <v>85036.89</v>
      </c>
      <c r="L801" s="254">
        <v>11682.51</v>
      </c>
      <c r="M801" s="254">
        <v>73354.38</v>
      </c>
      <c r="N801" s="255">
        <v>414</v>
      </c>
      <c r="O801" s="256">
        <v>491</v>
      </c>
      <c r="P801" s="254">
        <f t="shared" si="41"/>
        <v>100852.92992753623</v>
      </c>
    </row>
    <row r="802" spans="1:16" x14ac:dyDescent="0.2">
      <c r="A802" t="s">
        <v>565</v>
      </c>
      <c r="B802" s="253">
        <v>2</v>
      </c>
      <c r="C802" s="257" t="s">
        <v>556</v>
      </c>
      <c r="D802" s="257" t="str">
        <f t="shared" si="39"/>
        <v>2 PE</v>
      </c>
      <c r="E802" t="s">
        <v>482</v>
      </c>
      <c r="F802" t="s">
        <v>483</v>
      </c>
      <c r="G802" t="s">
        <v>470</v>
      </c>
      <c r="H802" t="s">
        <v>462</v>
      </c>
      <c r="I802">
        <f t="shared" si="40"/>
        <v>2007</v>
      </c>
      <c r="J802" s="229">
        <v>120</v>
      </c>
      <c r="K802" s="254">
        <v>40881.269999999997</v>
      </c>
      <c r="L802" s="254">
        <v>3600.36</v>
      </c>
      <c r="M802" s="254">
        <v>37280.910000000003</v>
      </c>
      <c r="N802" s="255">
        <v>455</v>
      </c>
      <c r="O802" s="256">
        <v>491</v>
      </c>
      <c r="P802" s="254">
        <f t="shared" si="41"/>
        <v>44115.832021978014</v>
      </c>
    </row>
    <row r="803" spans="1:16" x14ac:dyDescent="0.2">
      <c r="A803" t="s">
        <v>565</v>
      </c>
      <c r="B803" s="253">
        <v>2</v>
      </c>
      <c r="C803" s="257" t="s">
        <v>556</v>
      </c>
      <c r="D803" s="257" t="str">
        <f t="shared" si="39"/>
        <v>2 PE</v>
      </c>
      <c r="E803" t="s">
        <v>482</v>
      </c>
      <c r="F803" t="s">
        <v>483</v>
      </c>
      <c r="G803" t="s">
        <v>476</v>
      </c>
      <c r="H803" t="s">
        <v>462</v>
      </c>
      <c r="I803">
        <f t="shared" si="40"/>
        <v>2004</v>
      </c>
      <c r="J803" s="229">
        <v>588</v>
      </c>
      <c r="K803" s="254">
        <v>59791.15</v>
      </c>
      <c r="L803" s="254">
        <v>9703.3799999999992</v>
      </c>
      <c r="M803" s="254">
        <v>50087.77</v>
      </c>
      <c r="N803" s="255">
        <v>387</v>
      </c>
      <c r="O803" s="256">
        <v>491</v>
      </c>
      <c r="P803" s="254">
        <f t="shared" si="41"/>
        <v>75859.05594315246</v>
      </c>
    </row>
    <row r="804" spans="1:16" x14ac:dyDescent="0.2">
      <c r="A804" t="s">
        <v>565</v>
      </c>
      <c r="B804" s="253">
        <v>2</v>
      </c>
      <c r="C804" s="257" t="s">
        <v>556</v>
      </c>
      <c r="D804" s="257" t="str">
        <f t="shared" si="39"/>
        <v>2 PE</v>
      </c>
      <c r="E804" t="s">
        <v>482</v>
      </c>
      <c r="F804" t="s">
        <v>483</v>
      </c>
      <c r="G804" t="s">
        <v>471</v>
      </c>
      <c r="H804" t="s">
        <v>462</v>
      </c>
      <c r="I804">
        <f t="shared" si="40"/>
        <v>2003</v>
      </c>
      <c r="J804" s="229">
        <v>11023</v>
      </c>
      <c r="K804" s="254">
        <v>126361.11</v>
      </c>
      <c r="L804" s="254">
        <v>23683.09</v>
      </c>
      <c r="M804" s="254">
        <v>102678.02</v>
      </c>
      <c r="N804" s="255">
        <v>377</v>
      </c>
      <c r="O804" s="256">
        <v>491</v>
      </c>
      <c r="P804" s="254">
        <f t="shared" si="41"/>
        <v>164571.10082228115</v>
      </c>
    </row>
    <row r="805" spans="1:16" x14ac:dyDescent="0.2">
      <c r="A805" t="s">
        <v>565</v>
      </c>
      <c r="B805" s="253">
        <v>2</v>
      </c>
      <c r="C805" s="257" t="s">
        <v>556</v>
      </c>
      <c r="D805" s="257" t="str">
        <f t="shared" si="39"/>
        <v>2 PE</v>
      </c>
      <c r="E805" t="s">
        <v>482</v>
      </c>
      <c r="F805" t="s">
        <v>483</v>
      </c>
      <c r="G805" t="s">
        <v>525</v>
      </c>
      <c r="H805" t="s">
        <v>462</v>
      </c>
      <c r="I805">
        <f t="shared" si="40"/>
        <v>1974</v>
      </c>
      <c r="J805" s="229">
        <v>22969</v>
      </c>
      <c r="K805" s="254">
        <v>80053.070000000007</v>
      </c>
      <c r="L805" s="254">
        <v>68104.88</v>
      </c>
      <c r="M805" s="254">
        <v>11948.19</v>
      </c>
      <c r="N805" s="255">
        <v>112</v>
      </c>
      <c r="O805" s="256">
        <v>491</v>
      </c>
      <c r="P805" s="254">
        <f t="shared" si="41"/>
        <v>350946.94080357143</v>
      </c>
    </row>
    <row r="806" spans="1:16" x14ac:dyDescent="0.2">
      <c r="A806" t="s">
        <v>565</v>
      </c>
      <c r="B806" s="253">
        <v>2</v>
      </c>
      <c r="C806" s="257" t="s">
        <v>556</v>
      </c>
      <c r="D806" s="257" t="str">
        <f t="shared" si="39"/>
        <v>2 PE</v>
      </c>
      <c r="E806" t="s">
        <v>482</v>
      </c>
      <c r="F806" t="s">
        <v>483</v>
      </c>
      <c r="G806" t="s">
        <v>480</v>
      </c>
      <c r="H806" t="s">
        <v>462</v>
      </c>
      <c r="I806">
        <f t="shared" si="40"/>
        <v>1999</v>
      </c>
      <c r="J806" s="229">
        <v>33100</v>
      </c>
      <c r="K806" s="254">
        <v>51553.13</v>
      </c>
      <c r="L806" s="254">
        <v>14945.52</v>
      </c>
      <c r="M806" s="254">
        <v>36607.61</v>
      </c>
      <c r="N806" s="255">
        <v>352</v>
      </c>
      <c r="O806" s="256">
        <v>491</v>
      </c>
      <c r="P806" s="254">
        <f t="shared" si="41"/>
        <v>71910.758039772714</v>
      </c>
    </row>
    <row r="807" spans="1:16" x14ac:dyDescent="0.2">
      <c r="A807" t="s">
        <v>565</v>
      </c>
      <c r="B807" s="253">
        <v>2</v>
      </c>
      <c r="C807" s="257" t="s">
        <v>556</v>
      </c>
      <c r="D807" s="257" t="str">
        <f t="shared" si="39"/>
        <v>2 PE</v>
      </c>
      <c r="E807" t="s">
        <v>482</v>
      </c>
      <c r="F807" t="s">
        <v>483</v>
      </c>
      <c r="G807" t="s">
        <v>479</v>
      </c>
      <c r="H807" t="s">
        <v>462</v>
      </c>
      <c r="I807">
        <f t="shared" si="40"/>
        <v>1998</v>
      </c>
      <c r="J807" s="229">
        <v>59764</v>
      </c>
      <c r="K807" s="254">
        <v>173257.02</v>
      </c>
      <c r="L807" s="254">
        <v>54727.6</v>
      </c>
      <c r="M807" s="254">
        <v>118529.42</v>
      </c>
      <c r="N807" s="255">
        <v>346</v>
      </c>
      <c r="O807" s="256">
        <v>491</v>
      </c>
      <c r="P807" s="254">
        <f t="shared" si="41"/>
        <v>245864.73069364158</v>
      </c>
    </row>
    <row r="808" spans="1:16" x14ac:dyDescent="0.2">
      <c r="A808" t="s">
        <v>565</v>
      </c>
      <c r="B808" s="253">
        <v>2</v>
      </c>
      <c r="C808" s="257" t="s">
        <v>556</v>
      </c>
      <c r="D808" s="257" t="str">
        <f t="shared" si="39"/>
        <v>2 PE</v>
      </c>
      <c r="E808" t="s">
        <v>482</v>
      </c>
      <c r="F808" t="s">
        <v>483</v>
      </c>
      <c r="G808" t="s">
        <v>473</v>
      </c>
      <c r="H808" t="s">
        <v>462</v>
      </c>
      <c r="I808">
        <f t="shared" si="40"/>
        <v>1997</v>
      </c>
      <c r="J808" s="229">
        <v>70835</v>
      </c>
      <c r="K808" s="254">
        <v>990354.13</v>
      </c>
      <c r="L808" s="254">
        <v>338608.08</v>
      </c>
      <c r="M808" s="254">
        <v>651746.05000000005</v>
      </c>
      <c r="N808" s="255">
        <v>341</v>
      </c>
      <c r="O808" s="256">
        <v>491</v>
      </c>
      <c r="P808" s="254">
        <f t="shared" si="41"/>
        <v>1425993.776627566</v>
      </c>
    </row>
    <row r="809" spans="1:16" x14ac:dyDescent="0.2">
      <c r="A809" t="s">
        <v>565</v>
      </c>
      <c r="B809" s="253">
        <v>2</v>
      </c>
      <c r="C809" s="257" t="s">
        <v>556</v>
      </c>
      <c r="D809" s="257" t="str">
        <f t="shared" si="39"/>
        <v>2 PE</v>
      </c>
      <c r="E809" t="s">
        <v>482</v>
      </c>
      <c r="F809" t="s">
        <v>483</v>
      </c>
      <c r="G809" t="s">
        <v>517</v>
      </c>
      <c r="H809" t="s">
        <v>462</v>
      </c>
      <c r="I809">
        <f t="shared" si="40"/>
        <v>1983</v>
      </c>
      <c r="J809" s="229">
        <v>144107</v>
      </c>
      <c r="K809" s="254">
        <v>1326295.1599999999</v>
      </c>
      <c r="L809" s="254">
        <v>909395.83</v>
      </c>
      <c r="M809" s="254">
        <v>416899.33</v>
      </c>
      <c r="N809" s="255">
        <v>241</v>
      </c>
      <c r="O809" s="256">
        <v>491</v>
      </c>
      <c r="P809" s="254">
        <f t="shared" si="41"/>
        <v>2702120.0147717837</v>
      </c>
    </row>
    <row r="810" spans="1:16" x14ac:dyDescent="0.2">
      <c r="A810" t="s">
        <v>565</v>
      </c>
      <c r="B810" s="253">
        <v>2</v>
      </c>
      <c r="C810" s="257" t="s">
        <v>556</v>
      </c>
      <c r="D810" s="257" t="str">
        <f t="shared" si="39"/>
        <v>2 PE</v>
      </c>
      <c r="E810" t="s">
        <v>482</v>
      </c>
      <c r="F810" t="s">
        <v>483</v>
      </c>
      <c r="G810" t="s">
        <v>526</v>
      </c>
      <c r="H810" t="s">
        <v>462</v>
      </c>
      <c r="I810">
        <f t="shared" si="40"/>
        <v>1977</v>
      </c>
      <c r="J810" s="229">
        <v>148124</v>
      </c>
      <c r="K810" s="254">
        <v>521492.17</v>
      </c>
      <c r="L810" s="254">
        <v>418379.32</v>
      </c>
      <c r="M810" s="254">
        <v>103112.85</v>
      </c>
      <c r="N810" s="255">
        <v>149</v>
      </c>
      <c r="O810" s="256">
        <v>491</v>
      </c>
      <c r="P810" s="254">
        <f t="shared" si="41"/>
        <v>1718474.1977852348</v>
      </c>
    </row>
    <row r="811" spans="1:16" x14ac:dyDescent="0.2">
      <c r="A811" t="s">
        <v>565</v>
      </c>
      <c r="B811" s="253">
        <v>2</v>
      </c>
      <c r="C811" s="257" t="s">
        <v>556</v>
      </c>
      <c r="D811" s="257" t="str">
        <f t="shared" si="39"/>
        <v>2 PE</v>
      </c>
      <c r="E811" t="s">
        <v>482</v>
      </c>
      <c r="F811" t="s">
        <v>483</v>
      </c>
      <c r="G811" t="s">
        <v>472</v>
      </c>
      <c r="H811" t="s">
        <v>462</v>
      </c>
      <c r="I811">
        <f t="shared" si="40"/>
        <v>2000</v>
      </c>
      <c r="J811" s="229">
        <v>219343</v>
      </c>
      <c r="K811" s="254">
        <v>398159.69</v>
      </c>
      <c r="L811" s="254">
        <v>105127.8</v>
      </c>
      <c r="M811" s="254">
        <v>293031.89</v>
      </c>
      <c r="N811" s="255">
        <v>356</v>
      </c>
      <c r="O811" s="256">
        <v>491</v>
      </c>
      <c r="P811" s="254">
        <f t="shared" si="41"/>
        <v>549147.21289325843</v>
      </c>
    </row>
    <row r="812" spans="1:16" x14ac:dyDescent="0.2">
      <c r="A812" t="s">
        <v>565</v>
      </c>
      <c r="B812" s="253">
        <v>2</v>
      </c>
      <c r="C812" s="257" t="s">
        <v>556</v>
      </c>
      <c r="D812" s="257" t="str">
        <f t="shared" si="39"/>
        <v>2 PE</v>
      </c>
      <c r="E812" t="s">
        <v>482</v>
      </c>
      <c r="F812" t="s">
        <v>483</v>
      </c>
      <c r="G812" t="s">
        <v>463</v>
      </c>
      <c r="H812" t="s">
        <v>462</v>
      </c>
      <c r="I812">
        <f t="shared" si="40"/>
        <v>1984</v>
      </c>
      <c r="J812" s="229">
        <v>224828</v>
      </c>
      <c r="K812" s="254">
        <v>2013643.73</v>
      </c>
      <c r="L812" s="254">
        <v>1336793.56</v>
      </c>
      <c r="M812" s="254">
        <v>676850.17</v>
      </c>
      <c r="N812" s="255">
        <v>247</v>
      </c>
      <c r="O812" s="256">
        <v>491</v>
      </c>
      <c r="P812" s="254">
        <f t="shared" si="41"/>
        <v>4002830.2487044535</v>
      </c>
    </row>
    <row r="813" spans="1:16" x14ac:dyDescent="0.2">
      <c r="A813" t="s">
        <v>565</v>
      </c>
      <c r="B813" s="253">
        <v>2</v>
      </c>
      <c r="C813" s="257" t="s">
        <v>556</v>
      </c>
      <c r="D813" s="257" t="str">
        <f t="shared" si="39"/>
        <v>2 PE</v>
      </c>
      <c r="E813" t="s">
        <v>482</v>
      </c>
      <c r="F813" t="s">
        <v>483</v>
      </c>
      <c r="G813" t="s">
        <v>486</v>
      </c>
      <c r="H813" t="s">
        <v>462</v>
      </c>
      <c r="I813">
        <f t="shared" si="40"/>
        <v>1978</v>
      </c>
      <c r="J813" s="229">
        <v>237017</v>
      </c>
      <c r="K813" s="254">
        <v>824664.59</v>
      </c>
      <c r="L813" s="254">
        <v>647059.97</v>
      </c>
      <c r="M813" s="254">
        <v>177604.62</v>
      </c>
      <c r="N813" s="255">
        <v>160</v>
      </c>
      <c r="O813" s="256">
        <v>491</v>
      </c>
      <c r="P813" s="254">
        <f t="shared" si="41"/>
        <v>2530689.4605625002</v>
      </c>
    </row>
    <row r="814" spans="1:16" x14ac:dyDescent="0.2">
      <c r="A814" t="s">
        <v>565</v>
      </c>
      <c r="B814" s="253">
        <v>2</v>
      </c>
      <c r="C814" s="257" t="s">
        <v>556</v>
      </c>
      <c r="D814" s="257" t="str">
        <f t="shared" si="39"/>
        <v>2 PE</v>
      </c>
      <c r="E814" t="s">
        <v>482</v>
      </c>
      <c r="F814" t="s">
        <v>483</v>
      </c>
      <c r="G814" t="s">
        <v>518</v>
      </c>
      <c r="H814" t="s">
        <v>462</v>
      </c>
      <c r="I814">
        <f t="shared" si="40"/>
        <v>1982</v>
      </c>
      <c r="J814" s="229">
        <v>255479</v>
      </c>
      <c r="K814" s="254">
        <v>1707807.01</v>
      </c>
      <c r="L814" s="254">
        <v>1207132.6599999999</v>
      </c>
      <c r="M814" s="254">
        <v>500674.35</v>
      </c>
      <c r="N814" s="255">
        <v>232</v>
      </c>
      <c r="O814" s="256">
        <v>491</v>
      </c>
      <c r="P814" s="254">
        <f t="shared" si="41"/>
        <v>3614367.4220258617</v>
      </c>
    </row>
    <row r="815" spans="1:16" x14ac:dyDescent="0.2">
      <c r="A815" t="s">
        <v>565</v>
      </c>
      <c r="B815" s="253">
        <v>2</v>
      </c>
      <c r="C815" s="257" t="s">
        <v>556</v>
      </c>
      <c r="D815" s="257" t="str">
        <f t="shared" si="39"/>
        <v>2 PE</v>
      </c>
      <c r="E815" t="s">
        <v>482</v>
      </c>
      <c r="F815" t="s">
        <v>483</v>
      </c>
      <c r="G815" t="s">
        <v>522</v>
      </c>
      <c r="H815" t="s">
        <v>462</v>
      </c>
      <c r="I815">
        <f t="shared" si="40"/>
        <v>1976</v>
      </c>
      <c r="J815" s="229">
        <v>257141</v>
      </c>
      <c r="K815" s="254">
        <v>909843.31</v>
      </c>
      <c r="L815" s="254">
        <v>745322.08</v>
      </c>
      <c r="M815" s="254">
        <v>164521.23000000001</v>
      </c>
      <c r="N815" s="255">
        <v>140</v>
      </c>
      <c r="O815" s="256">
        <v>491</v>
      </c>
      <c r="P815" s="254">
        <f t="shared" si="41"/>
        <v>3190950.4657857143</v>
      </c>
    </row>
    <row r="816" spans="1:16" x14ac:dyDescent="0.2">
      <c r="A816" t="s">
        <v>565</v>
      </c>
      <c r="B816" s="253">
        <v>2</v>
      </c>
      <c r="C816" s="257" t="s">
        <v>556</v>
      </c>
      <c r="D816" s="257" t="str">
        <f t="shared" si="39"/>
        <v>2 PE</v>
      </c>
      <c r="E816" t="s">
        <v>482</v>
      </c>
      <c r="F816" t="s">
        <v>483</v>
      </c>
      <c r="G816" t="s">
        <v>520</v>
      </c>
      <c r="H816" t="s">
        <v>462</v>
      </c>
      <c r="I816">
        <f t="shared" si="40"/>
        <v>1981</v>
      </c>
      <c r="J816" s="229">
        <v>268047</v>
      </c>
      <c r="K816" s="254">
        <v>1541337.95</v>
      </c>
      <c r="L816" s="254">
        <v>1121068.07</v>
      </c>
      <c r="M816" s="254">
        <v>420269.88</v>
      </c>
      <c r="N816" s="255">
        <v>216</v>
      </c>
      <c r="O816" s="256">
        <v>491</v>
      </c>
      <c r="P816" s="254">
        <f t="shared" si="41"/>
        <v>3503689.5067129633</v>
      </c>
    </row>
    <row r="817" spans="1:16" x14ac:dyDescent="0.2">
      <c r="A817" t="s">
        <v>565</v>
      </c>
      <c r="B817" s="253">
        <v>2</v>
      </c>
      <c r="C817" s="257" t="s">
        <v>556</v>
      </c>
      <c r="D817" s="257" t="str">
        <f t="shared" si="39"/>
        <v>2 PE</v>
      </c>
      <c r="E817" t="s">
        <v>482</v>
      </c>
      <c r="F817" t="s">
        <v>483</v>
      </c>
      <c r="G817" t="s">
        <v>524</v>
      </c>
      <c r="H817" t="s">
        <v>462</v>
      </c>
      <c r="I817">
        <f t="shared" si="40"/>
        <v>1975</v>
      </c>
      <c r="J817" s="229">
        <v>271712</v>
      </c>
      <c r="K817" s="254">
        <v>867975.9</v>
      </c>
      <c r="L817" s="254">
        <v>725049</v>
      </c>
      <c r="M817" s="254">
        <v>142926.9</v>
      </c>
      <c r="N817" s="255">
        <v>130</v>
      </c>
      <c r="O817" s="256">
        <v>491</v>
      </c>
      <c r="P817" s="254">
        <f t="shared" si="41"/>
        <v>3278278.2069230769</v>
      </c>
    </row>
    <row r="818" spans="1:16" x14ac:dyDescent="0.2">
      <c r="A818" t="s">
        <v>565</v>
      </c>
      <c r="B818" s="253">
        <v>2</v>
      </c>
      <c r="C818" s="257" t="s">
        <v>556</v>
      </c>
      <c r="D818" s="257" t="str">
        <f t="shared" si="39"/>
        <v>2 PE</v>
      </c>
      <c r="E818" t="s">
        <v>482</v>
      </c>
      <c r="F818" t="s">
        <v>483</v>
      </c>
      <c r="G818" t="s">
        <v>519</v>
      </c>
      <c r="H818" t="s">
        <v>462</v>
      </c>
      <c r="I818">
        <f t="shared" si="40"/>
        <v>1979</v>
      </c>
      <c r="J818" s="229">
        <v>283697</v>
      </c>
      <c r="K818" s="254">
        <v>1166344.52</v>
      </c>
      <c r="L818" s="254">
        <v>893717.04</v>
      </c>
      <c r="M818" s="254">
        <v>272627.48</v>
      </c>
      <c r="N818" s="255">
        <v>175</v>
      </c>
      <c r="O818" s="256">
        <v>491</v>
      </c>
      <c r="P818" s="254">
        <f t="shared" si="41"/>
        <v>3272429.4818285713</v>
      </c>
    </row>
    <row r="819" spans="1:16" x14ac:dyDescent="0.2">
      <c r="A819" t="s">
        <v>565</v>
      </c>
      <c r="B819" s="253">
        <v>2</v>
      </c>
      <c r="C819" s="257" t="s">
        <v>556</v>
      </c>
      <c r="D819" s="257" t="str">
        <f t="shared" si="39"/>
        <v>2 PE</v>
      </c>
      <c r="E819" t="s">
        <v>482</v>
      </c>
      <c r="F819" t="s">
        <v>483</v>
      </c>
      <c r="G819" t="s">
        <v>478</v>
      </c>
      <c r="H819" t="s">
        <v>462</v>
      </c>
      <c r="I819">
        <f t="shared" si="40"/>
        <v>2001</v>
      </c>
      <c r="J819" s="229">
        <v>288554</v>
      </c>
      <c r="K819" s="254">
        <v>1699118.43</v>
      </c>
      <c r="L819" s="254">
        <v>404933.6</v>
      </c>
      <c r="M819" s="254">
        <v>1294184.83</v>
      </c>
      <c r="N819" s="255">
        <v>363</v>
      </c>
      <c r="O819" s="256">
        <v>491</v>
      </c>
      <c r="P819" s="254">
        <f t="shared" si="41"/>
        <v>2298256.6091735535</v>
      </c>
    </row>
    <row r="820" spans="1:16" x14ac:dyDescent="0.2">
      <c r="A820" t="s">
        <v>565</v>
      </c>
      <c r="B820" s="253">
        <v>2</v>
      </c>
      <c r="C820" s="257" t="s">
        <v>556</v>
      </c>
      <c r="D820" s="257" t="str">
        <f t="shared" si="39"/>
        <v>2 PE</v>
      </c>
      <c r="E820" t="s">
        <v>482</v>
      </c>
      <c r="F820" t="s">
        <v>483</v>
      </c>
      <c r="G820" t="s">
        <v>464</v>
      </c>
      <c r="H820" t="s">
        <v>462</v>
      </c>
      <c r="I820">
        <f t="shared" si="40"/>
        <v>1985</v>
      </c>
      <c r="J820" s="229">
        <v>309855</v>
      </c>
      <c r="K820" s="254">
        <v>2491002.36</v>
      </c>
      <c r="L820" s="254">
        <v>1597898.38</v>
      </c>
      <c r="M820" s="254">
        <v>893103.98</v>
      </c>
      <c r="N820" s="255">
        <v>250</v>
      </c>
      <c r="O820" s="256">
        <v>491</v>
      </c>
      <c r="P820" s="254">
        <f t="shared" si="41"/>
        <v>4892328.6350400001</v>
      </c>
    </row>
    <row r="821" spans="1:16" x14ac:dyDescent="0.2">
      <c r="A821" t="s">
        <v>565</v>
      </c>
      <c r="B821" s="253">
        <v>2</v>
      </c>
      <c r="C821" s="257" t="s">
        <v>556</v>
      </c>
      <c r="D821" s="257" t="str">
        <f t="shared" si="39"/>
        <v>2 PE</v>
      </c>
      <c r="E821" t="s">
        <v>482</v>
      </c>
      <c r="F821" t="s">
        <v>483</v>
      </c>
      <c r="G821" t="s">
        <v>515</v>
      </c>
      <c r="H821" t="s">
        <v>462</v>
      </c>
      <c r="I821">
        <f t="shared" si="40"/>
        <v>1986</v>
      </c>
      <c r="J821" s="229">
        <v>323953</v>
      </c>
      <c r="K821" s="254">
        <v>3404271.61</v>
      </c>
      <c r="L821" s="254">
        <v>2105552.37</v>
      </c>
      <c r="M821" s="254">
        <v>1298719.24</v>
      </c>
      <c r="N821" s="255">
        <v>253</v>
      </c>
      <c r="O821" s="256">
        <v>491</v>
      </c>
      <c r="P821" s="254">
        <f t="shared" si="41"/>
        <v>6606708.9348221337</v>
      </c>
    </row>
    <row r="822" spans="1:16" x14ac:dyDescent="0.2">
      <c r="A822" t="s">
        <v>565</v>
      </c>
      <c r="B822" s="253">
        <v>2</v>
      </c>
      <c r="C822" s="257" t="s">
        <v>556</v>
      </c>
      <c r="D822" s="257" t="str">
        <f t="shared" si="39"/>
        <v>2 PE</v>
      </c>
      <c r="E822" t="s">
        <v>482</v>
      </c>
      <c r="F822" t="s">
        <v>483</v>
      </c>
      <c r="G822" t="s">
        <v>475</v>
      </c>
      <c r="H822" t="s">
        <v>462</v>
      </c>
      <c r="I822">
        <f t="shared" si="40"/>
        <v>2002</v>
      </c>
      <c r="J822" s="229">
        <v>371313</v>
      </c>
      <c r="K822" s="254">
        <v>1845199.32</v>
      </c>
      <c r="L822" s="254">
        <v>392610.33</v>
      </c>
      <c r="M822" s="254">
        <v>1452588.99</v>
      </c>
      <c r="N822" s="255">
        <v>373</v>
      </c>
      <c r="O822" s="256">
        <v>491</v>
      </c>
      <c r="P822" s="254">
        <f t="shared" si="41"/>
        <v>2428935.2979088472</v>
      </c>
    </row>
    <row r="823" spans="1:16" x14ac:dyDescent="0.2">
      <c r="A823" t="s">
        <v>565</v>
      </c>
      <c r="B823" s="253">
        <v>2</v>
      </c>
      <c r="C823" s="257" t="s">
        <v>556</v>
      </c>
      <c r="D823" s="257" t="str">
        <f t="shared" si="39"/>
        <v>2 PE</v>
      </c>
      <c r="E823" t="s">
        <v>482</v>
      </c>
      <c r="F823" t="s">
        <v>483</v>
      </c>
      <c r="G823" t="s">
        <v>516</v>
      </c>
      <c r="H823" t="s">
        <v>462</v>
      </c>
      <c r="I823">
        <f t="shared" si="40"/>
        <v>1988</v>
      </c>
      <c r="J823" s="229">
        <v>373228</v>
      </c>
      <c r="K823" s="254">
        <v>5701470.1799999997</v>
      </c>
      <c r="L823" s="254">
        <v>3255845.19</v>
      </c>
      <c r="M823" s="254">
        <v>2445624.9900000002</v>
      </c>
      <c r="N823" s="255">
        <v>271</v>
      </c>
      <c r="O823" s="256">
        <v>491</v>
      </c>
      <c r="P823" s="254">
        <f t="shared" si="41"/>
        <v>10329969.957121771</v>
      </c>
    </row>
    <row r="824" spans="1:16" x14ac:dyDescent="0.2">
      <c r="A824" t="s">
        <v>565</v>
      </c>
      <c r="B824" s="253">
        <v>2</v>
      </c>
      <c r="C824" s="257" t="s">
        <v>556</v>
      </c>
      <c r="D824" s="257" t="str">
        <f t="shared" si="39"/>
        <v>2 PE</v>
      </c>
      <c r="E824" t="s">
        <v>482</v>
      </c>
      <c r="F824" t="s">
        <v>483</v>
      </c>
      <c r="G824" t="s">
        <v>521</v>
      </c>
      <c r="H824" t="s">
        <v>462</v>
      </c>
      <c r="I824">
        <f t="shared" si="40"/>
        <v>1980</v>
      </c>
      <c r="J824" s="229">
        <v>438235</v>
      </c>
      <c r="K824" s="254">
        <v>2385922.04</v>
      </c>
      <c r="L824" s="254">
        <v>1782637.76</v>
      </c>
      <c r="M824" s="254">
        <v>603284.28</v>
      </c>
      <c r="N824" s="255">
        <v>196</v>
      </c>
      <c r="O824" s="256">
        <v>491</v>
      </c>
      <c r="P824" s="254">
        <f t="shared" si="41"/>
        <v>5976978.1716326531</v>
      </c>
    </row>
    <row r="825" spans="1:16" x14ac:dyDescent="0.2">
      <c r="A825" t="s">
        <v>565</v>
      </c>
      <c r="B825" s="253">
        <v>2</v>
      </c>
      <c r="C825" s="257" t="s">
        <v>556</v>
      </c>
      <c r="D825" s="257" t="str">
        <f t="shared" si="39"/>
        <v>2 PE</v>
      </c>
      <c r="E825" t="s">
        <v>482</v>
      </c>
      <c r="F825" t="s">
        <v>483</v>
      </c>
      <c r="G825" t="s">
        <v>467</v>
      </c>
      <c r="H825" t="s">
        <v>462</v>
      </c>
      <c r="I825">
        <f t="shared" si="40"/>
        <v>1996</v>
      </c>
      <c r="J825" s="229">
        <v>579620</v>
      </c>
      <c r="K825" s="254">
        <v>8024203.4500000002</v>
      </c>
      <c r="L825" s="254">
        <v>2952568.01</v>
      </c>
      <c r="M825" s="254">
        <v>5071635.4400000004</v>
      </c>
      <c r="N825" s="255">
        <v>334</v>
      </c>
      <c r="O825" s="256">
        <v>491</v>
      </c>
      <c r="P825" s="254">
        <f t="shared" si="41"/>
        <v>11796059.562724551</v>
      </c>
    </row>
    <row r="826" spans="1:16" x14ac:dyDescent="0.2">
      <c r="A826" t="s">
        <v>565</v>
      </c>
      <c r="B826" s="253">
        <v>2</v>
      </c>
      <c r="C826" s="257" t="s">
        <v>556</v>
      </c>
      <c r="D826" s="257" t="str">
        <f t="shared" si="39"/>
        <v>2 PE</v>
      </c>
      <c r="E826" t="s">
        <v>482</v>
      </c>
      <c r="F826" t="s">
        <v>483</v>
      </c>
      <c r="G826" t="s">
        <v>466</v>
      </c>
      <c r="H826" t="s">
        <v>462</v>
      </c>
      <c r="I826">
        <f t="shared" si="40"/>
        <v>1989</v>
      </c>
      <c r="J826" s="229">
        <v>644054</v>
      </c>
      <c r="K826" s="254">
        <v>6183366.7300000004</v>
      </c>
      <c r="L826" s="254">
        <v>3380184.79</v>
      </c>
      <c r="M826" s="254">
        <v>2803181.94</v>
      </c>
      <c r="N826" s="255">
        <v>288</v>
      </c>
      <c r="O826" s="256">
        <v>491</v>
      </c>
      <c r="P826" s="254">
        <f t="shared" si="41"/>
        <v>10541781.473715279</v>
      </c>
    </row>
    <row r="827" spans="1:16" x14ac:dyDescent="0.2">
      <c r="A827" t="s">
        <v>565</v>
      </c>
      <c r="B827" s="253">
        <v>2</v>
      </c>
      <c r="C827" s="257" t="s">
        <v>556</v>
      </c>
      <c r="D827" s="257" t="str">
        <f t="shared" si="39"/>
        <v>2 PE</v>
      </c>
      <c r="E827" t="s">
        <v>482</v>
      </c>
      <c r="F827" t="s">
        <v>483</v>
      </c>
      <c r="G827" t="s">
        <v>523</v>
      </c>
      <c r="H827" t="s">
        <v>462</v>
      </c>
      <c r="I827">
        <f t="shared" si="40"/>
        <v>1987</v>
      </c>
      <c r="J827" s="229">
        <v>696130</v>
      </c>
      <c r="K827" s="254">
        <v>4997737.83</v>
      </c>
      <c r="L827" s="254">
        <v>2973730.32</v>
      </c>
      <c r="M827" s="254">
        <v>2024007.51</v>
      </c>
      <c r="N827" s="255">
        <v>260</v>
      </c>
      <c r="O827" s="256">
        <v>491</v>
      </c>
      <c r="P827" s="254">
        <f t="shared" si="41"/>
        <v>9438035.6712692305</v>
      </c>
    </row>
    <row r="828" spans="1:16" x14ac:dyDescent="0.2">
      <c r="A828" t="s">
        <v>565</v>
      </c>
      <c r="B828" s="253">
        <v>2</v>
      </c>
      <c r="C828" s="257" t="s">
        <v>556</v>
      </c>
      <c r="D828" s="257" t="str">
        <f t="shared" si="39"/>
        <v>2 PE</v>
      </c>
      <c r="E828" t="s">
        <v>482</v>
      </c>
      <c r="F828" t="s">
        <v>483</v>
      </c>
      <c r="G828" t="s">
        <v>491</v>
      </c>
      <c r="H828" t="s">
        <v>462</v>
      </c>
      <c r="I828">
        <f t="shared" si="40"/>
        <v>1993</v>
      </c>
      <c r="J828" s="229">
        <v>720402</v>
      </c>
      <c r="K828" s="254">
        <v>8733061.5999999996</v>
      </c>
      <c r="L828" s="254">
        <v>3892569.99</v>
      </c>
      <c r="M828" s="254">
        <v>4840491.6100000003</v>
      </c>
      <c r="N828" s="255">
        <v>313</v>
      </c>
      <c r="O828" s="256">
        <v>491</v>
      </c>
      <c r="P828" s="254">
        <f t="shared" si="41"/>
        <v>13699467.238338659</v>
      </c>
    </row>
    <row r="829" spans="1:16" x14ac:dyDescent="0.2">
      <c r="A829" t="s">
        <v>565</v>
      </c>
      <c r="B829" s="253">
        <v>2</v>
      </c>
      <c r="C829" s="257" t="s">
        <v>556</v>
      </c>
      <c r="D829" s="257" t="str">
        <f t="shared" si="39"/>
        <v>2 PE</v>
      </c>
      <c r="E829" t="s">
        <v>482</v>
      </c>
      <c r="F829" t="s">
        <v>483</v>
      </c>
      <c r="G829" t="s">
        <v>489</v>
      </c>
      <c r="H829" t="s">
        <v>462</v>
      </c>
      <c r="I829">
        <f t="shared" si="40"/>
        <v>1990</v>
      </c>
      <c r="J829" s="229">
        <v>734913</v>
      </c>
      <c r="K829" s="254">
        <v>7647383.9100000001</v>
      </c>
      <c r="L829" s="254">
        <v>3990951.56</v>
      </c>
      <c r="M829" s="254">
        <v>3656432.35</v>
      </c>
      <c r="N829" s="255">
        <v>295</v>
      </c>
      <c r="O829" s="256">
        <v>491</v>
      </c>
      <c r="P829" s="254">
        <f t="shared" si="41"/>
        <v>12728357.626474576</v>
      </c>
    </row>
    <row r="830" spans="1:16" x14ac:dyDescent="0.2">
      <c r="A830" t="s">
        <v>565</v>
      </c>
      <c r="B830" s="253">
        <v>2</v>
      </c>
      <c r="C830" s="257" t="s">
        <v>556</v>
      </c>
      <c r="D830" s="257" t="str">
        <f t="shared" si="39"/>
        <v>2 PE</v>
      </c>
      <c r="E830" t="s">
        <v>482</v>
      </c>
      <c r="F830" t="s">
        <v>483</v>
      </c>
      <c r="G830" t="s">
        <v>513</v>
      </c>
      <c r="H830" t="s">
        <v>462</v>
      </c>
      <c r="I830">
        <f t="shared" si="40"/>
        <v>1995</v>
      </c>
      <c r="J830" s="229">
        <v>937488</v>
      </c>
      <c r="K830" s="254">
        <v>12877404.15</v>
      </c>
      <c r="L830" s="254">
        <v>5073327.91</v>
      </c>
      <c r="M830" s="254">
        <v>7804076.2400000002</v>
      </c>
      <c r="N830" s="255">
        <v>328</v>
      </c>
      <c r="O830" s="256">
        <v>491</v>
      </c>
      <c r="P830" s="254">
        <f t="shared" si="41"/>
        <v>19276845.846493904</v>
      </c>
    </row>
    <row r="831" spans="1:16" x14ac:dyDescent="0.2">
      <c r="A831" t="s">
        <v>565</v>
      </c>
      <c r="B831" s="253">
        <v>2</v>
      </c>
      <c r="C831" s="257" t="s">
        <v>556</v>
      </c>
      <c r="D831" s="257" t="str">
        <f t="shared" si="39"/>
        <v>2 PE</v>
      </c>
      <c r="E831" t="s">
        <v>482</v>
      </c>
      <c r="F831" t="s">
        <v>483</v>
      </c>
      <c r="G831" t="s">
        <v>490</v>
      </c>
      <c r="H831" t="s">
        <v>462</v>
      </c>
      <c r="I831">
        <f t="shared" si="40"/>
        <v>1992</v>
      </c>
      <c r="J831" s="229">
        <v>982974</v>
      </c>
      <c r="K831" s="254">
        <v>10765525.48</v>
      </c>
      <c r="L831" s="254">
        <v>5074432.92</v>
      </c>
      <c r="M831" s="254">
        <v>5691092.5599999996</v>
      </c>
      <c r="N831" s="255">
        <v>305</v>
      </c>
      <c r="O831" s="256">
        <v>491</v>
      </c>
      <c r="P831" s="254">
        <f t="shared" si="41"/>
        <v>17330731.182557378</v>
      </c>
    </row>
    <row r="832" spans="1:16" x14ac:dyDescent="0.2">
      <c r="A832" t="s">
        <v>565</v>
      </c>
      <c r="B832" s="253">
        <v>2</v>
      </c>
      <c r="C832" s="257" t="s">
        <v>556</v>
      </c>
      <c r="D832" s="257" t="str">
        <f t="shared" si="39"/>
        <v>2 PE</v>
      </c>
      <c r="E832" t="s">
        <v>482</v>
      </c>
      <c r="F832" t="s">
        <v>483</v>
      </c>
      <c r="G832" t="s">
        <v>514</v>
      </c>
      <c r="H832" t="s">
        <v>462</v>
      </c>
      <c r="I832">
        <f t="shared" si="40"/>
        <v>1994</v>
      </c>
      <c r="J832" s="229">
        <v>1089463</v>
      </c>
      <c r="K832" s="254">
        <v>12875205.26</v>
      </c>
      <c r="L832" s="254">
        <v>5406514.6100000003</v>
      </c>
      <c r="M832" s="254">
        <v>7468690.6500000004</v>
      </c>
      <c r="N832" s="255">
        <v>319</v>
      </c>
      <c r="O832" s="256">
        <v>491</v>
      </c>
      <c r="P832" s="254">
        <f t="shared" si="41"/>
        <v>19817322.202695925</v>
      </c>
    </row>
    <row r="833" spans="1:16" x14ac:dyDescent="0.2">
      <c r="A833" t="s">
        <v>565</v>
      </c>
      <c r="B833" s="253">
        <v>2</v>
      </c>
      <c r="C833" s="257" t="s">
        <v>556</v>
      </c>
      <c r="D833" s="257" t="str">
        <f t="shared" si="39"/>
        <v>2 PE</v>
      </c>
      <c r="E833" t="s">
        <v>482</v>
      </c>
      <c r="F833" t="s">
        <v>483</v>
      </c>
      <c r="G833" t="s">
        <v>465</v>
      </c>
      <c r="H833" t="s">
        <v>462</v>
      </c>
      <c r="I833">
        <f t="shared" si="40"/>
        <v>1991</v>
      </c>
      <c r="J833" s="229">
        <v>1357176</v>
      </c>
      <c r="K833" s="254">
        <v>13193705.189999999</v>
      </c>
      <c r="L833" s="254">
        <v>6554100.5</v>
      </c>
      <c r="M833" s="254">
        <v>6639604.6900000004</v>
      </c>
      <c r="N833" s="255">
        <v>303</v>
      </c>
      <c r="O833" s="256">
        <v>491</v>
      </c>
      <c r="P833" s="254">
        <f t="shared" si="41"/>
        <v>21379898.509207919</v>
      </c>
    </row>
    <row r="834" spans="1:16" x14ac:dyDescent="0.2">
      <c r="A834" t="s">
        <v>566</v>
      </c>
      <c r="B834" s="253">
        <v>3</v>
      </c>
      <c r="C834" s="257" t="s">
        <v>556</v>
      </c>
      <c r="D834" s="257" t="str">
        <f t="shared" si="39"/>
        <v>3 PE</v>
      </c>
      <c r="E834" t="s">
        <v>482</v>
      </c>
      <c r="F834" t="s">
        <v>483</v>
      </c>
      <c r="G834" t="s">
        <v>479</v>
      </c>
      <c r="H834" t="s">
        <v>462</v>
      </c>
      <c r="I834">
        <f t="shared" si="40"/>
        <v>1998</v>
      </c>
      <c r="J834" s="229">
        <v>1</v>
      </c>
      <c r="K834" s="254">
        <v>266.39999999999998</v>
      </c>
      <c r="L834" s="254">
        <v>84.15</v>
      </c>
      <c r="M834" s="254">
        <v>182.25</v>
      </c>
      <c r="N834" s="255">
        <v>346</v>
      </c>
      <c r="O834" s="256">
        <v>491</v>
      </c>
      <c r="P834" s="254">
        <f t="shared" si="41"/>
        <v>378.04161849710977</v>
      </c>
    </row>
    <row r="835" spans="1:16" x14ac:dyDescent="0.2">
      <c r="A835" t="s">
        <v>566</v>
      </c>
      <c r="B835" s="253">
        <v>3</v>
      </c>
      <c r="C835" s="257" t="s">
        <v>556</v>
      </c>
      <c r="D835" s="257" t="str">
        <f t="shared" si="39"/>
        <v>3 PE</v>
      </c>
      <c r="E835" t="s">
        <v>482</v>
      </c>
      <c r="F835" t="s">
        <v>483</v>
      </c>
      <c r="G835" t="s">
        <v>516</v>
      </c>
      <c r="H835" t="s">
        <v>462</v>
      </c>
      <c r="I835">
        <f t="shared" si="40"/>
        <v>1988</v>
      </c>
      <c r="J835" s="229">
        <v>312</v>
      </c>
      <c r="K835" s="254">
        <v>15315</v>
      </c>
      <c r="L835" s="254">
        <v>8745.69</v>
      </c>
      <c r="M835" s="254">
        <v>6569.31</v>
      </c>
      <c r="N835" s="255">
        <v>271</v>
      </c>
      <c r="O835" s="256">
        <v>491</v>
      </c>
      <c r="P835" s="254">
        <f t="shared" si="41"/>
        <v>27747.841328413288</v>
      </c>
    </row>
    <row r="836" spans="1:16" x14ac:dyDescent="0.2">
      <c r="A836" t="s">
        <v>566</v>
      </c>
      <c r="B836" s="253">
        <v>3</v>
      </c>
      <c r="C836" s="257" t="s">
        <v>556</v>
      </c>
      <c r="D836" s="257" t="str">
        <f t="shared" si="39"/>
        <v>3 PE</v>
      </c>
      <c r="E836" t="s">
        <v>482</v>
      </c>
      <c r="F836" t="s">
        <v>483</v>
      </c>
      <c r="G836" t="s">
        <v>465</v>
      </c>
      <c r="H836" t="s">
        <v>462</v>
      </c>
      <c r="I836">
        <f t="shared" si="40"/>
        <v>1991</v>
      </c>
      <c r="J836" s="229">
        <v>339</v>
      </c>
      <c r="K836" s="254">
        <v>16839</v>
      </c>
      <c r="L836" s="254">
        <v>8364.94</v>
      </c>
      <c r="M836" s="254">
        <v>8474.06</v>
      </c>
      <c r="N836" s="255">
        <v>303</v>
      </c>
      <c r="O836" s="256">
        <v>491</v>
      </c>
      <c r="P836" s="254">
        <f t="shared" si="41"/>
        <v>27286.960396039602</v>
      </c>
    </row>
    <row r="837" spans="1:16" x14ac:dyDescent="0.2">
      <c r="A837" t="s">
        <v>566</v>
      </c>
      <c r="B837" s="253">
        <v>3</v>
      </c>
      <c r="C837" s="257" t="s">
        <v>556</v>
      </c>
      <c r="D837" s="257" t="str">
        <f t="shared" si="39"/>
        <v>3 PE</v>
      </c>
      <c r="E837" t="s">
        <v>482</v>
      </c>
      <c r="F837" t="s">
        <v>483</v>
      </c>
      <c r="G837" t="s">
        <v>491</v>
      </c>
      <c r="H837" t="s">
        <v>462</v>
      </c>
      <c r="I837">
        <f t="shared" si="40"/>
        <v>1993</v>
      </c>
      <c r="J837" s="229">
        <v>685</v>
      </c>
      <c r="K837" s="254">
        <v>53053.05</v>
      </c>
      <c r="L837" s="254">
        <v>23647.23</v>
      </c>
      <c r="M837" s="254">
        <v>29405.82</v>
      </c>
      <c r="N837" s="255">
        <v>313</v>
      </c>
      <c r="O837" s="256">
        <v>491</v>
      </c>
      <c r="P837" s="254">
        <f t="shared" si="41"/>
        <v>83223.794089456875</v>
      </c>
    </row>
    <row r="838" spans="1:16" x14ac:dyDescent="0.2">
      <c r="A838" t="s">
        <v>566</v>
      </c>
      <c r="B838" s="253">
        <v>3</v>
      </c>
      <c r="C838" s="257" t="s">
        <v>556</v>
      </c>
      <c r="D838" s="257" t="str">
        <f t="shared" si="39"/>
        <v>3 PE</v>
      </c>
      <c r="E838" t="s">
        <v>482</v>
      </c>
      <c r="F838" t="s">
        <v>483</v>
      </c>
      <c r="G838" t="s">
        <v>517</v>
      </c>
      <c r="H838" t="s">
        <v>462</v>
      </c>
      <c r="I838">
        <f t="shared" si="40"/>
        <v>1983</v>
      </c>
      <c r="J838" s="229">
        <v>2209</v>
      </c>
      <c r="K838" s="254">
        <v>34279.86</v>
      </c>
      <c r="L838" s="254">
        <v>23504.54</v>
      </c>
      <c r="M838" s="254">
        <v>10775.32</v>
      </c>
      <c r="N838" s="255">
        <v>241</v>
      </c>
      <c r="O838" s="256">
        <v>491</v>
      </c>
      <c r="P838" s="254">
        <f t="shared" si="41"/>
        <v>69839.880746887968</v>
      </c>
    </row>
    <row r="839" spans="1:16" x14ac:dyDescent="0.2">
      <c r="A839" t="s">
        <v>566</v>
      </c>
      <c r="B839" s="253">
        <v>3</v>
      </c>
      <c r="C839" s="257" t="s">
        <v>556</v>
      </c>
      <c r="D839" s="257" t="str">
        <f t="shared" si="39"/>
        <v>3 PE</v>
      </c>
      <c r="E839" t="s">
        <v>482</v>
      </c>
      <c r="F839" t="s">
        <v>483</v>
      </c>
      <c r="G839" t="s">
        <v>489</v>
      </c>
      <c r="H839" t="s">
        <v>462</v>
      </c>
      <c r="I839">
        <f t="shared" si="40"/>
        <v>1990</v>
      </c>
      <c r="J839" s="229">
        <v>2280</v>
      </c>
      <c r="K839" s="254">
        <v>36260</v>
      </c>
      <c r="L839" s="254">
        <v>18923.060000000001</v>
      </c>
      <c r="M839" s="254">
        <v>17336.939999999999</v>
      </c>
      <c r="N839" s="255">
        <v>295</v>
      </c>
      <c r="O839" s="256">
        <v>491</v>
      </c>
      <c r="P839" s="254">
        <f t="shared" si="41"/>
        <v>60351.389830508473</v>
      </c>
    </row>
    <row r="840" spans="1:16" x14ac:dyDescent="0.2">
      <c r="A840" t="s">
        <v>566</v>
      </c>
      <c r="B840" s="253">
        <v>3</v>
      </c>
      <c r="C840" s="257" t="s">
        <v>556</v>
      </c>
      <c r="D840" s="257" t="str">
        <f t="shared" si="39"/>
        <v>3 PE</v>
      </c>
      <c r="E840" t="s">
        <v>482</v>
      </c>
      <c r="F840" t="s">
        <v>483</v>
      </c>
      <c r="G840" t="s">
        <v>523</v>
      </c>
      <c r="H840" t="s">
        <v>462</v>
      </c>
      <c r="I840">
        <f t="shared" si="40"/>
        <v>1987</v>
      </c>
      <c r="J840" s="229">
        <v>2502</v>
      </c>
      <c r="K840" s="254">
        <v>54472</v>
      </c>
      <c r="L840" s="254">
        <v>32411.67</v>
      </c>
      <c r="M840" s="254">
        <v>22060.33</v>
      </c>
      <c r="N840" s="255">
        <v>260</v>
      </c>
      <c r="O840" s="256">
        <v>491</v>
      </c>
      <c r="P840" s="254">
        <f t="shared" si="41"/>
        <v>102868.27692307692</v>
      </c>
    </row>
    <row r="841" spans="1:16" x14ac:dyDescent="0.2">
      <c r="A841" t="s">
        <v>566</v>
      </c>
      <c r="B841" s="253">
        <v>3</v>
      </c>
      <c r="C841" s="257" t="s">
        <v>556</v>
      </c>
      <c r="D841" s="257" t="str">
        <f t="shared" si="39"/>
        <v>3 PE</v>
      </c>
      <c r="E841" t="s">
        <v>482</v>
      </c>
      <c r="F841" t="s">
        <v>483</v>
      </c>
      <c r="G841" t="s">
        <v>464</v>
      </c>
      <c r="H841" t="s">
        <v>462</v>
      </c>
      <c r="I841">
        <f t="shared" si="40"/>
        <v>1985</v>
      </c>
      <c r="J841" s="229">
        <v>2913</v>
      </c>
      <c r="K841" s="254">
        <v>41973</v>
      </c>
      <c r="L841" s="254">
        <v>26924.34</v>
      </c>
      <c r="M841" s="254">
        <v>15048.66</v>
      </c>
      <c r="N841" s="255">
        <v>250</v>
      </c>
      <c r="O841" s="256">
        <v>491</v>
      </c>
      <c r="P841" s="254">
        <f t="shared" si="41"/>
        <v>82434.971999999994</v>
      </c>
    </row>
    <row r="842" spans="1:16" x14ac:dyDescent="0.2">
      <c r="A842" t="s">
        <v>566</v>
      </c>
      <c r="B842" s="253">
        <v>3</v>
      </c>
      <c r="C842" s="257" t="s">
        <v>556</v>
      </c>
      <c r="D842" s="257" t="str">
        <f t="shared" si="39"/>
        <v>3 PE</v>
      </c>
      <c r="E842" t="s">
        <v>482</v>
      </c>
      <c r="F842" t="s">
        <v>483</v>
      </c>
      <c r="G842" t="s">
        <v>473</v>
      </c>
      <c r="H842" t="s">
        <v>462</v>
      </c>
      <c r="I842">
        <f t="shared" si="40"/>
        <v>1997</v>
      </c>
      <c r="J842" s="229">
        <v>3415</v>
      </c>
      <c r="K842" s="254">
        <v>43016.28</v>
      </c>
      <c r="L842" s="254">
        <v>14707.53</v>
      </c>
      <c r="M842" s="254">
        <v>28308.75</v>
      </c>
      <c r="N842" s="255">
        <v>341</v>
      </c>
      <c r="O842" s="256">
        <v>491</v>
      </c>
      <c r="P842" s="254">
        <f t="shared" si="41"/>
        <v>61938.397302052785</v>
      </c>
    </row>
    <row r="843" spans="1:16" x14ac:dyDescent="0.2">
      <c r="A843" t="s">
        <v>566</v>
      </c>
      <c r="B843" s="253">
        <v>3</v>
      </c>
      <c r="C843" s="257" t="s">
        <v>556</v>
      </c>
      <c r="D843" s="257" t="str">
        <f t="shared" si="39"/>
        <v>3 PE</v>
      </c>
      <c r="E843" t="s">
        <v>482</v>
      </c>
      <c r="F843" t="s">
        <v>483</v>
      </c>
      <c r="G843" t="s">
        <v>463</v>
      </c>
      <c r="H843" t="s">
        <v>462</v>
      </c>
      <c r="I843">
        <f t="shared" si="40"/>
        <v>1984</v>
      </c>
      <c r="J843" s="229">
        <v>4269</v>
      </c>
      <c r="K843" s="254">
        <v>58486</v>
      </c>
      <c r="L843" s="254">
        <v>38826.980000000003</v>
      </c>
      <c r="M843" s="254">
        <v>19659.02</v>
      </c>
      <c r="N843" s="255">
        <v>247</v>
      </c>
      <c r="O843" s="256">
        <v>491</v>
      </c>
      <c r="P843" s="254">
        <f t="shared" si="41"/>
        <v>116261.64372469636</v>
      </c>
    </row>
    <row r="844" spans="1:16" x14ac:dyDescent="0.2">
      <c r="A844" t="s">
        <v>566</v>
      </c>
      <c r="B844" s="253">
        <v>3</v>
      </c>
      <c r="C844" s="257" t="s">
        <v>556</v>
      </c>
      <c r="D844" s="257" t="str">
        <f t="shared" si="39"/>
        <v>3 PE</v>
      </c>
      <c r="E844" t="s">
        <v>482</v>
      </c>
      <c r="F844" t="s">
        <v>483</v>
      </c>
      <c r="G844" t="s">
        <v>513</v>
      </c>
      <c r="H844" t="s">
        <v>462</v>
      </c>
      <c r="I844">
        <f t="shared" si="40"/>
        <v>1995</v>
      </c>
      <c r="J844" s="229">
        <v>5618</v>
      </c>
      <c r="K844" s="254">
        <v>210280.47</v>
      </c>
      <c r="L844" s="254">
        <v>82844.47</v>
      </c>
      <c r="M844" s="254">
        <v>127436</v>
      </c>
      <c r="N844" s="255">
        <v>328</v>
      </c>
      <c r="O844" s="256">
        <v>491</v>
      </c>
      <c r="P844" s="254">
        <f t="shared" si="41"/>
        <v>314779.60600609757</v>
      </c>
    </row>
    <row r="845" spans="1:16" x14ac:dyDescent="0.2">
      <c r="A845" t="s">
        <v>566</v>
      </c>
      <c r="B845" s="253">
        <v>3</v>
      </c>
      <c r="C845" s="257" t="s">
        <v>556</v>
      </c>
      <c r="D845" s="257" t="str">
        <f t="shared" si="39"/>
        <v>3 PE</v>
      </c>
      <c r="E845" t="s">
        <v>482</v>
      </c>
      <c r="F845" t="s">
        <v>483</v>
      </c>
      <c r="G845" t="s">
        <v>514</v>
      </c>
      <c r="H845" t="s">
        <v>462</v>
      </c>
      <c r="I845">
        <f t="shared" si="40"/>
        <v>1994</v>
      </c>
      <c r="J845" s="229">
        <v>5841</v>
      </c>
      <c r="K845" s="254">
        <v>175038</v>
      </c>
      <c r="L845" s="254">
        <v>73501.39</v>
      </c>
      <c r="M845" s="254">
        <v>101536.61</v>
      </c>
      <c r="N845" s="255">
        <v>319</v>
      </c>
      <c r="O845" s="256">
        <v>491</v>
      </c>
      <c r="P845" s="254">
        <f t="shared" si="41"/>
        <v>269415.85579937301</v>
      </c>
    </row>
    <row r="846" spans="1:16" x14ac:dyDescent="0.2">
      <c r="A846" t="s">
        <v>566</v>
      </c>
      <c r="B846" s="253">
        <v>3</v>
      </c>
      <c r="C846" s="257" t="s">
        <v>556</v>
      </c>
      <c r="D846" s="257" t="str">
        <f t="shared" si="39"/>
        <v>3 PE</v>
      </c>
      <c r="E846" t="s">
        <v>482</v>
      </c>
      <c r="F846" t="s">
        <v>483</v>
      </c>
      <c r="G846" t="s">
        <v>466</v>
      </c>
      <c r="H846" t="s">
        <v>462</v>
      </c>
      <c r="I846">
        <f t="shared" si="40"/>
        <v>1989</v>
      </c>
      <c r="J846" s="229">
        <v>6456</v>
      </c>
      <c r="K846" s="254">
        <v>93749</v>
      </c>
      <c r="L846" s="254">
        <v>51248.61</v>
      </c>
      <c r="M846" s="254">
        <v>42500.39</v>
      </c>
      <c r="N846" s="255">
        <v>288</v>
      </c>
      <c r="O846" s="256">
        <v>491</v>
      </c>
      <c r="P846" s="254">
        <f t="shared" si="41"/>
        <v>159829.02430555556</v>
      </c>
    </row>
    <row r="847" spans="1:16" x14ac:dyDescent="0.2">
      <c r="A847" t="s">
        <v>566</v>
      </c>
      <c r="B847" s="253">
        <v>3</v>
      </c>
      <c r="C847" s="257" t="s">
        <v>556</v>
      </c>
      <c r="D847" s="257" t="str">
        <f t="shared" si="39"/>
        <v>3 PE</v>
      </c>
      <c r="E847" t="s">
        <v>482</v>
      </c>
      <c r="F847" t="s">
        <v>483</v>
      </c>
      <c r="G847" t="s">
        <v>467</v>
      </c>
      <c r="H847" t="s">
        <v>462</v>
      </c>
      <c r="I847">
        <f t="shared" si="40"/>
        <v>1996</v>
      </c>
      <c r="J847" s="229">
        <v>13491</v>
      </c>
      <c r="K847" s="254">
        <v>709302.78</v>
      </c>
      <c r="L847" s="254">
        <v>260993.47</v>
      </c>
      <c r="M847" s="254">
        <v>448309.31</v>
      </c>
      <c r="N847" s="255">
        <v>334</v>
      </c>
      <c r="O847" s="256">
        <v>491</v>
      </c>
      <c r="P847" s="254">
        <f t="shared" si="41"/>
        <v>1042717.5598203593</v>
      </c>
    </row>
    <row r="848" spans="1:16" x14ac:dyDescent="0.2">
      <c r="A848" t="s">
        <v>567</v>
      </c>
      <c r="B848" s="253">
        <v>4</v>
      </c>
      <c r="C848" s="257" t="s">
        <v>556</v>
      </c>
      <c r="D848" s="257" t="str">
        <f t="shared" si="39"/>
        <v>4 PE</v>
      </c>
      <c r="E848" t="s">
        <v>482</v>
      </c>
      <c r="F848" t="s">
        <v>483</v>
      </c>
      <c r="G848" t="s">
        <v>472</v>
      </c>
      <c r="H848" t="s">
        <v>462</v>
      </c>
      <c r="I848">
        <f t="shared" si="40"/>
        <v>2000</v>
      </c>
      <c r="J848" s="229">
        <v>2</v>
      </c>
      <c r="K848" s="254">
        <v>205384.03</v>
      </c>
      <c r="L848" s="254">
        <v>54228.42</v>
      </c>
      <c r="M848" s="254">
        <v>151155.60999999999</v>
      </c>
      <c r="N848" s="255">
        <v>356</v>
      </c>
      <c r="O848" s="256">
        <v>491</v>
      </c>
      <c r="P848" s="254">
        <f t="shared" si="41"/>
        <v>283268.42339887639</v>
      </c>
    </row>
    <row r="849" spans="1:16" x14ac:dyDescent="0.2">
      <c r="A849" t="s">
        <v>567</v>
      </c>
      <c r="B849" s="253">
        <v>4</v>
      </c>
      <c r="C849" s="257" t="s">
        <v>556</v>
      </c>
      <c r="D849" s="257" t="str">
        <f t="shared" si="39"/>
        <v>4 PE</v>
      </c>
      <c r="E849" t="s">
        <v>482</v>
      </c>
      <c r="F849" t="s">
        <v>483</v>
      </c>
      <c r="G849" t="s">
        <v>476</v>
      </c>
      <c r="H849" t="s">
        <v>462</v>
      </c>
      <c r="I849">
        <f t="shared" si="40"/>
        <v>2004</v>
      </c>
      <c r="J849" s="229">
        <v>2</v>
      </c>
      <c r="K849" s="254">
        <v>100898.81</v>
      </c>
      <c r="L849" s="254">
        <v>16374.65</v>
      </c>
      <c r="M849" s="254">
        <v>84524.160000000003</v>
      </c>
      <c r="N849" s="255">
        <v>387</v>
      </c>
      <c r="O849" s="256">
        <v>491</v>
      </c>
      <c r="P849" s="254">
        <f t="shared" si="41"/>
        <v>128013.73568475452</v>
      </c>
    </row>
    <row r="850" spans="1:16" x14ac:dyDescent="0.2">
      <c r="A850" t="s">
        <v>567</v>
      </c>
      <c r="B850" s="253">
        <v>4</v>
      </c>
      <c r="C850" s="257" t="s">
        <v>556</v>
      </c>
      <c r="D850" s="257" t="str">
        <f t="shared" si="39"/>
        <v>4 PE</v>
      </c>
      <c r="E850" t="s">
        <v>482</v>
      </c>
      <c r="F850" t="s">
        <v>483</v>
      </c>
      <c r="G850" t="s">
        <v>461</v>
      </c>
      <c r="H850" t="s">
        <v>462</v>
      </c>
      <c r="I850">
        <f t="shared" si="40"/>
        <v>2008</v>
      </c>
      <c r="J850" s="229">
        <v>8</v>
      </c>
      <c r="K850" s="254">
        <v>19678.95</v>
      </c>
      <c r="L850" s="254">
        <v>1249.3399999999999</v>
      </c>
      <c r="M850" s="254">
        <v>18429.61</v>
      </c>
      <c r="N850" s="255">
        <v>474</v>
      </c>
      <c r="O850" s="256">
        <v>491</v>
      </c>
      <c r="P850" s="254">
        <f t="shared" si="41"/>
        <v>20384.735126582276</v>
      </c>
    </row>
    <row r="851" spans="1:16" x14ac:dyDescent="0.2">
      <c r="A851" t="s">
        <v>567</v>
      </c>
      <c r="B851" s="253">
        <v>4</v>
      </c>
      <c r="C851" s="257" t="s">
        <v>556</v>
      </c>
      <c r="D851" s="257" t="str">
        <f t="shared" si="39"/>
        <v>4 PE</v>
      </c>
      <c r="E851" t="s">
        <v>482</v>
      </c>
      <c r="F851" t="s">
        <v>483</v>
      </c>
      <c r="G851" t="s">
        <v>475</v>
      </c>
      <c r="H851" t="s">
        <v>462</v>
      </c>
      <c r="I851">
        <f t="shared" si="40"/>
        <v>2002</v>
      </c>
      <c r="J851" s="229">
        <v>429</v>
      </c>
      <c r="K851" s="254">
        <v>96791.63</v>
      </c>
      <c r="L851" s="254">
        <v>20594.740000000002</v>
      </c>
      <c r="M851" s="254">
        <v>76196.89</v>
      </c>
      <c r="N851" s="255">
        <v>373</v>
      </c>
      <c r="O851" s="256">
        <v>491</v>
      </c>
      <c r="P851" s="254">
        <f t="shared" si="41"/>
        <v>127412.03841823057</v>
      </c>
    </row>
    <row r="852" spans="1:16" x14ac:dyDescent="0.2">
      <c r="A852" t="s">
        <v>567</v>
      </c>
      <c r="B852" s="253">
        <v>4</v>
      </c>
      <c r="C852" s="257" t="s">
        <v>556</v>
      </c>
      <c r="D852" s="257" t="str">
        <f t="shared" si="39"/>
        <v>4 PE</v>
      </c>
      <c r="E852" t="s">
        <v>482</v>
      </c>
      <c r="F852" t="s">
        <v>483</v>
      </c>
      <c r="G852" t="s">
        <v>479</v>
      </c>
      <c r="H852" t="s">
        <v>462</v>
      </c>
      <c r="I852">
        <f t="shared" si="40"/>
        <v>1998</v>
      </c>
      <c r="J852" s="229">
        <v>666</v>
      </c>
      <c r="K852" s="254">
        <v>53214.9</v>
      </c>
      <c r="L852" s="254">
        <v>16809.27</v>
      </c>
      <c r="M852" s="254">
        <v>36405.629999999997</v>
      </c>
      <c r="N852" s="255">
        <v>346</v>
      </c>
      <c r="O852" s="256">
        <v>491</v>
      </c>
      <c r="P852" s="254">
        <f t="shared" si="41"/>
        <v>75515.941907514454</v>
      </c>
    </row>
    <row r="853" spans="1:16" x14ac:dyDescent="0.2">
      <c r="A853" t="s">
        <v>567</v>
      </c>
      <c r="B853" s="253">
        <v>4</v>
      </c>
      <c r="C853" s="257" t="s">
        <v>556</v>
      </c>
      <c r="D853" s="257" t="str">
        <f t="shared" si="39"/>
        <v>4 PE</v>
      </c>
      <c r="E853" t="s">
        <v>482</v>
      </c>
      <c r="F853" t="s">
        <v>483</v>
      </c>
      <c r="G853" t="s">
        <v>473</v>
      </c>
      <c r="H853" t="s">
        <v>462</v>
      </c>
      <c r="I853">
        <f t="shared" si="40"/>
        <v>1997</v>
      </c>
      <c r="J853" s="229">
        <v>5633</v>
      </c>
      <c r="K853" s="254">
        <v>172769.51</v>
      </c>
      <c r="L853" s="254">
        <v>59070.94</v>
      </c>
      <c r="M853" s="254">
        <v>113698.57</v>
      </c>
      <c r="N853" s="255">
        <v>341</v>
      </c>
      <c r="O853" s="256">
        <v>491</v>
      </c>
      <c r="P853" s="254">
        <f t="shared" si="41"/>
        <v>248767.82818181821</v>
      </c>
    </row>
    <row r="854" spans="1:16" x14ac:dyDescent="0.2">
      <c r="A854" t="s">
        <v>567</v>
      </c>
      <c r="B854" s="253">
        <v>4</v>
      </c>
      <c r="C854" s="257" t="s">
        <v>556</v>
      </c>
      <c r="D854" s="257" t="str">
        <f t="shared" ref="D854:D894" si="42">B854&amp;" "&amp;C854</f>
        <v>4 PE</v>
      </c>
      <c r="E854" t="s">
        <v>482</v>
      </c>
      <c r="F854" t="s">
        <v>483</v>
      </c>
      <c r="G854" t="s">
        <v>526</v>
      </c>
      <c r="H854" t="s">
        <v>462</v>
      </c>
      <c r="I854">
        <f t="shared" ref="I854:I897" si="43">+G854*1</f>
        <v>1977</v>
      </c>
      <c r="J854" s="229">
        <v>20463</v>
      </c>
      <c r="K854" s="254">
        <v>195096.01</v>
      </c>
      <c r="L854" s="254">
        <v>156520.35</v>
      </c>
      <c r="M854" s="254">
        <v>38575.660000000003</v>
      </c>
      <c r="N854" s="255">
        <v>149</v>
      </c>
      <c r="O854" s="256">
        <v>491</v>
      </c>
      <c r="P854" s="254">
        <f t="shared" ref="P854:P894" si="44">+(O854/N854)*K854</f>
        <v>642900.2745637584</v>
      </c>
    </row>
    <row r="855" spans="1:16" x14ac:dyDescent="0.2">
      <c r="A855" t="s">
        <v>567</v>
      </c>
      <c r="B855" s="253">
        <v>4</v>
      </c>
      <c r="C855" s="257" t="s">
        <v>556</v>
      </c>
      <c r="D855" s="257" t="str">
        <f t="shared" si="42"/>
        <v>4 PE</v>
      </c>
      <c r="E855" t="s">
        <v>482</v>
      </c>
      <c r="F855" t="s">
        <v>483</v>
      </c>
      <c r="G855" t="s">
        <v>524</v>
      </c>
      <c r="H855" t="s">
        <v>462</v>
      </c>
      <c r="I855">
        <f t="shared" si="43"/>
        <v>1975</v>
      </c>
      <c r="J855" s="229">
        <v>33650</v>
      </c>
      <c r="K855" s="254">
        <v>220372.01</v>
      </c>
      <c r="L855" s="254">
        <v>184084.03</v>
      </c>
      <c r="M855" s="254">
        <v>36287.980000000003</v>
      </c>
      <c r="N855" s="255">
        <v>130</v>
      </c>
      <c r="O855" s="256">
        <v>491</v>
      </c>
      <c r="P855" s="254">
        <f t="shared" si="44"/>
        <v>832328.13007692306</v>
      </c>
    </row>
    <row r="856" spans="1:16" x14ac:dyDescent="0.2">
      <c r="A856" t="s">
        <v>567</v>
      </c>
      <c r="B856" s="253">
        <v>4</v>
      </c>
      <c r="C856" s="257" t="s">
        <v>556</v>
      </c>
      <c r="D856" s="257" t="str">
        <f t="shared" si="42"/>
        <v>4 PE</v>
      </c>
      <c r="E856" t="s">
        <v>482</v>
      </c>
      <c r="F856" t="s">
        <v>483</v>
      </c>
      <c r="G856" t="s">
        <v>517</v>
      </c>
      <c r="H856" t="s">
        <v>462</v>
      </c>
      <c r="I856">
        <f t="shared" si="43"/>
        <v>1983</v>
      </c>
      <c r="J856" s="229">
        <v>50180</v>
      </c>
      <c r="K856" s="254">
        <v>639968.07999999996</v>
      </c>
      <c r="L856" s="254">
        <v>438804.51</v>
      </c>
      <c r="M856" s="254">
        <v>201163.57</v>
      </c>
      <c r="N856" s="255">
        <v>241</v>
      </c>
      <c r="O856" s="256">
        <v>491</v>
      </c>
      <c r="P856" s="254">
        <f t="shared" si="44"/>
        <v>1303835.382904564</v>
      </c>
    </row>
    <row r="857" spans="1:16" x14ac:dyDescent="0.2">
      <c r="A857" t="s">
        <v>567</v>
      </c>
      <c r="B857" s="253">
        <v>4</v>
      </c>
      <c r="C857" s="257" t="s">
        <v>556</v>
      </c>
      <c r="D857" s="257" t="str">
        <f t="shared" si="42"/>
        <v>4 PE</v>
      </c>
      <c r="E857" t="s">
        <v>482</v>
      </c>
      <c r="F857" t="s">
        <v>483</v>
      </c>
      <c r="G857" t="s">
        <v>486</v>
      </c>
      <c r="H857" t="s">
        <v>462</v>
      </c>
      <c r="I857">
        <f t="shared" si="43"/>
        <v>1978</v>
      </c>
      <c r="J857" s="229">
        <v>52585</v>
      </c>
      <c r="K857" s="254">
        <v>409226.19</v>
      </c>
      <c r="L857" s="254">
        <v>321092.83</v>
      </c>
      <c r="M857" s="254">
        <v>88133.36</v>
      </c>
      <c r="N857" s="255">
        <v>160</v>
      </c>
      <c r="O857" s="256">
        <v>491</v>
      </c>
      <c r="P857" s="254">
        <f t="shared" si="44"/>
        <v>1255812.8705625001</v>
      </c>
    </row>
    <row r="858" spans="1:16" x14ac:dyDescent="0.2">
      <c r="A858" t="s">
        <v>567</v>
      </c>
      <c r="B858" s="253">
        <v>4</v>
      </c>
      <c r="C858" s="257" t="s">
        <v>556</v>
      </c>
      <c r="D858" s="257" t="str">
        <f t="shared" si="42"/>
        <v>4 PE</v>
      </c>
      <c r="E858" t="s">
        <v>482</v>
      </c>
      <c r="F858" t="s">
        <v>483</v>
      </c>
      <c r="G858" t="s">
        <v>515</v>
      </c>
      <c r="H858" t="s">
        <v>462</v>
      </c>
      <c r="I858">
        <f t="shared" si="43"/>
        <v>1986</v>
      </c>
      <c r="J858" s="229">
        <v>57386</v>
      </c>
      <c r="K858" s="254">
        <v>928466.8</v>
      </c>
      <c r="L858" s="254">
        <v>574259.55000000005</v>
      </c>
      <c r="M858" s="254">
        <v>354207.25</v>
      </c>
      <c r="N858" s="255">
        <v>253</v>
      </c>
      <c r="O858" s="256">
        <v>491</v>
      </c>
      <c r="P858" s="254">
        <f t="shared" si="44"/>
        <v>1801886.1612648221</v>
      </c>
    </row>
    <row r="859" spans="1:16" x14ac:dyDescent="0.2">
      <c r="A859" t="s">
        <v>567</v>
      </c>
      <c r="B859" s="253">
        <v>4</v>
      </c>
      <c r="C859" s="257" t="s">
        <v>556</v>
      </c>
      <c r="D859" s="257" t="str">
        <f t="shared" si="42"/>
        <v>4 PE</v>
      </c>
      <c r="E859" t="s">
        <v>482</v>
      </c>
      <c r="F859" t="s">
        <v>483</v>
      </c>
      <c r="G859" t="s">
        <v>522</v>
      </c>
      <c r="H859" t="s">
        <v>462</v>
      </c>
      <c r="I859">
        <f t="shared" si="43"/>
        <v>1976</v>
      </c>
      <c r="J859" s="229">
        <v>69341</v>
      </c>
      <c r="K859" s="254">
        <v>499725.86</v>
      </c>
      <c r="L859" s="254">
        <v>409363.58</v>
      </c>
      <c r="M859" s="254">
        <v>90362.28</v>
      </c>
      <c r="N859" s="255">
        <v>140</v>
      </c>
      <c r="O859" s="256">
        <v>491</v>
      </c>
      <c r="P859" s="254">
        <f t="shared" si="44"/>
        <v>1752609.9804285713</v>
      </c>
    </row>
    <row r="860" spans="1:16" x14ac:dyDescent="0.2">
      <c r="A860" t="s">
        <v>567</v>
      </c>
      <c r="B860" s="253">
        <v>4</v>
      </c>
      <c r="C860" s="257" t="s">
        <v>556</v>
      </c>
      <c r="D860" s="257" t="str">
        <f t="shared" si="42"/>
        <v>4 PE</v>
      </c>
      <c r="E860" t="s">
        <v>482</v>
      </c>
      <c r="F860" t="s">
        <v>483</v>
      </c>
      <c r="G860" t="s">
        <v>467</v>
      </c>
      <c r="H860" t="s">
        <v>462</v>
      </c>
      <c r="I860">
        <f t="shared" si="43"/>
        <v>1996</v>
      </c>
      <c r="J860" s="229">
        <v>82118</v>
      </c>
      <c r="K860" s="254">
        <v>2587567.46</v>
      </c>
      <c r="L860" s="254">
        <v>952115.55</v>
      </c>
      <c r="M860" s="254">
        <v>1635451.91</v>
      </c>
      <c r="N860" s="255">
        <v>334</v>
      </c>
      <c r="O860" s="256">
        <v>491</v>
      </c>
      <c r="P860" s="254">
        <f t="shared" si="44"/>
        <v>3803879.1103592818</v>
      </c>
    </row>
    <row r="861" spans="1:16" x14ac:dyDescent="0.2">
      <c r="A861" t="s">
        <v>567</v>
      </c>
      <c r="B861" s="253">
        <v>4</v>
      </c>
      <c r="C861" s="257" t="s">
        <v>556</v>
      </c>
      <c r="D861" s="257" t="str">
        <f t="shared" si="42"/>
        <v>4 PE</v>
      </c>
      <c r="E861" t="s">
        <v>482</v>
      </c>
      <c r="F861" t="s">
        <v>483</v>
      </c>
      <c r="G861" t="s">
        <v>463</v>
      </c>
      <c r="H861" t="s">
        <v>462</v>
      </c>
      <c r="I861">
        <f t="shared" si="43"/>
        <v>1984</v>
      </c>
      <c r="J861" s="229">
        <v>84611</v>
      </c>
      <c r="K861" s="254">
        <v>1050482.6399999999</v>
      </c>
      <c r="L861" s="254">
        <v>697381.77</v>
      </c>
      <c r="M861" s="254">
        <v>353100.87</v>
      </c>
      <c r="N861" s="255">
        <v>247</v>
      </c>
      <c r="O861" s="256">
        <v>491</v>
      </c>
      <c r="P861" s="254">
        <f t="shared" si="44"/>
        <v>2088206.3815384614</v>
      </c>
    </row>
    <row r="862" spans="1:16" x14ac:dyDescent="0.2">
      <c r="A862" t="s">
        <v>567</v>
      </c>
      <c r="B862" s="253">
        <v>4</v>
      </c>
      <c r="C862" s="257" t="s">
        <v>556</v>
      </c>
      <c r="D862" s="257" t="str">
        <f t="shared" si="42"/>
        <v>4 PE</v>
      </c>
      <c r="E862" t="s">
        <v>482</v>
      </c>
      <c r="F862" t="s">
        <v>483</v>
      </c>
      <c r="G862" t="s">
        <v>466</v>
      </c>
      <c r="H862" t="s">
        <v>462</v>
      </c>
      <c r="I862">
        <f t="shared" si="43"/>
        <v>1989</v>
      </c>
      <c r="J862" s="229">
        <v>89814</v>
      </c>
      <c r="K862" s="254">
        <v>1384968.63</v>
      </c>
      <c r="L862" s="254">
        <v>757103.71</v>
      </c>
      <c r="M862" s="254">
        <v>627864.92000000004</v>
      </c>
      <c r="N862" s="255">
        <v>288</v>
      </c>
      <c r="O862" s="256">
        <v>491</v>
      </c>
      <c r="P862" s="254">
        <f t="shared" si="44"/>
        <v>2361179.1573958332</v>
      </c>
    </row>
    <row r="863" spans="1:16" x14ac:dyDescent="0.2">
      <c r="A863" t="s">
        <v>567</v>
      </c>
      <c r="B863" s="253">
        <v>4</v>
      </c>
      <c r="C863" s="257" t="s">
        <v>556</v>
      </c>
      <c r="D863" s="257" t="str">
        <f t="shared" si="42"/>
        <v>4 PE</v>
      </c>
      <c r="E863" t="s">
        <v>482</v>
      </c>
      <c r="F863" t="s">
        <v>483</v>
      </c>
      <c r="G863" t="s">
        <v>518</v>
      </c>
      <c r="H863" t="s">
        <v>462</v>
      </c>
      <c r="I863">
        <f t="shared" si="43"/>
        <v>1982</v>
      </c>
      <c r="J863" s="229">
        <v>118632</v>
      </c>
      <c r="K863" s="254">
        <v>1252534.22</v>
      </c>
      <c r="L863" s="254">
        <v>885331.28</v>
      </c>
      <c r="M863" s="254">
        <v>367202.94</v>
      </c>
      <c r="N863" s="255">
        <v>232</v>
      </c>
      <c r="O863" s="256">
        <v>491</v>
      </c>
      <c r="P863" s="254">
        <f t="shared" si="44"/>
        <v>2650837.5087068961</v>
      </c>
    </row>
    <row r="864" spans="1:16" x14ac:dyDescent="0.2">
      <c r="A864" t="s">
        <v>567</v>
      </c>
      <c r="B864" s="253">
        <v>4</v>
      </c>
      <c r="C864" s="257" t="s">
        <v>556</v>
      </c>
      <c r="D864" s="257" t="str">
        <f t="shared" si="42"/>
        <v>4 PE</v>
      </c>
      <c r="E864" t="s">
        <v>482</v>
      </c>
      <c r="F864" t="s">
        <v>483</v>
      </c>
      <c r="G864" t="s">
        <v>464</v>
      </c>
      <c r="H864" t="s">
        <v>462</v>
      </c>
      <c r="I864">
        <f t="shared" si="43"/>
        <v>1985</v>
      </c>
      <c r="J864" s="229">
        <v>133320</v>
      </c>
      <c r="K864" s="254">
        <v>1908326.73</v>
      </c>
      <c r="L864" s="254">
        <v>1224130.5900000001</v>
      </c>
      <c r="M864" s="254">
        <v>684196.14</v>
      </c>
      <c r="N864" s="255">
        <v>250</v>
      </c>
      <c r="O864" s="256">
        <v>491</v>
      </c>
      <c r="P864" s="254">
        <f t="shared" si="44"/>
        <v>3747953.6977200001</v>
      </c>
    </row>
    <row r="865" spans="1:16" x14ac:dyDescent="0.2">
      <c r="A865" t="s">
        <v>567</v>
      </c>
      <c r="B865" s="253">
        <v>4</v>
      </c>
      <c r="C865" s="257" t="s">
        <v>556</v>
      </c>
      <c r="D865" s="257" t="str">
        <f t="shared" si="42"/>
        <v>4 PE</v>
      </c>
      <c r="E865" t="s">
        <v>482</v>
      </c>
      <c r="F865" t="s">
        <v>483</v>
      </c>
      <c r="G865" t="s">
        <v>491</v>
      </c>
      <c r="H865" t="s">
        <v>462</v>
      </c>
      <c r="I865">
        <f t="shared" si="43"/>
        <v>1993</v>
      </c>
      <c r="J865" s="229">
        <v>139457</v>
      </c>
      <c r="K865" s="254">
        <v>3118687.01</v>
      </c>
      <c r="L865" s="254">
        <v>1390086.09</v>
      </c>
      <c r="M865" s="254">
        <v>1728600.92</v>
      </c>
      <c r="N865" s="255">
        <v>313</v>
      </c>
      <c r="O865" s="256">
        <v>491</v>
      </c>
      <c r="P865" s="254">
        <f t="shared" si="44"/>
        <v>4892253.4246325875</v>
      </c>
    </row>
    <row r="866" spans="1:16" x14ac:dyDescent="0.2">
      <c r="A866" t="s">
        <v>567</v>
      </c>
      <c r="B866" s="253">
        <v>4</v>
      </c>
      <c r="C866" s="257" t="s">
        <v>556</v>
      </c>
      <c r="D866" s="257" t="str">
        <f t="shared" si="42"/>
        <v>4 PE</v>
      </c>
      <c r="E866" t="s">
        <v>482</v>
      </c>
      <c r="F866" t="s">
        <v>483</v>
      </c>
      <c r="G866" t="s">
        <v>489</v>
      </c>
      <c r="H866" t="s">
        <v>462</v>
      </c>
      <c r="I866">
        <f t="shared" si="43"/>
        <v>1990</v>
      </c>
      <c r="J866" s="229">
        <v>141760</v>
      </c>
      <c r="K866" s="254">
        <v>2283493.4</v>
      </c>
      <c r="L866" s="254">
        <v>1191690.08</v>
      </c>
      <c r="M866" s="254">
        <v>1091803.32</v>
      </c>
      <c r="N866" s="255">
        <v>295</v>
      </c>
      <c r="O866" s="256">
        <v>491</v>
      </c>
      <c r="P866" s="254">
        <f t="shared" si="44"/>
        <v>3800661.8962711864</v>
      </c>
    </row>
    <row r="867" spans="1:16" x14ac:dyDescent="0.2">
      <c r="A867" t="s">
        <v>567</v>
      </c>
      <c r="B867" s="253">
        <v>4</v>
      </c>
      <c r="C867" s="257" t="s">
        <v>556</v>
      </c>
      <c r="D867" s="257" t="str">
        <f t="shared" si="42"/>
        <v>4 PE</v>
      </c>
      <c r="E867" t="s">
        <v>482</v>
      </c>
      <c r="F867" t="s">
        <v>483</v>
      </c>
      <c r="G867" t="s">
        <v>516</v>
      </c>
      <c r="H867" t="s">
        <v>462</v>
      </c>
      <c r="I867">
        <f t="shared" si="43"/>
        <v>1988</v>
      </c>
      <c r="J867" s="229">
        <v>144214</v>
      </c>
      <c r="K867" s="254">
        <v>2280027.4500000002</v>
      </c>
      <c r="L867" s="254">
        <v>1302017.93</v>
      </c>
      <c r="M867" s="254">
        <v>978009.52</v>
      </c>
      <c r="N867" s="255">
        <v>271</v>
      </c>
      <c r="O867" s="256">
        <v>491</v>
      </c>
      <c r="P867" s="254">
        <f t="shared" si="44"/>
        <v>4130972.2433579341</v>
      </c>
    </row>
    <row r="868" spans="1:16" x14ac:dyDescent="0.2">
      <c r="A868" t="s">
        <v>567</v>
      </c>
      <c r="B868" s="253">
        <v>4</v>
      </c>
      <c r="C868" s="257" t="s">
        <v>556</v>
      </c>
      <c r="D868" s="257" t="str">
        <f t="shared" si="42"/>
        <v>4 PE</v>
      </c>
      <c r="E868" t="s">
        <v>482</v>
      </c>
      <c r="F868" t="s">
        <v>483</v>
      </c>
      <c r="G868" t="s">
        <v>520</v>
      </c>
      <c r="H868" t="s">
        <v>462</v>
      </c>
      <c r="I868">
        <f t="shared" si="43"/>
        <v>1981</v>
      </c>
      <c r="J868" s="229">
        <v>147362</v>
      </c>
      <c r="K868" s="254">
        <v>1210939.44</v>
      </c>
      <c r="L868" s="254">
        <v>880757.87</v>
      </c>
      <c r="M868" s="254">
        <v>330181.57</v>
      </c>
      <c r="N868" s="255">
        <v>216</v>
      </c>
      <c r="O868" s="256">
        <v>491</v>
      </c>
      <c r="P868" s="254">
        <f t="shared" si="44"/>
        <v>2752644.7455555559</v>
      </c>
    </row>
    <row r="869" spans="1:16" x14ac:dyDescent="0.2">
      <c r="A869" t="s">
        <v>567</v>
      </c>
      <c r="B869" s="253">
        <v>4</v>
      </c>
      <c r="C869" s="257" t="s">
        <v>556</v>
      </c>
      <c r="D869" s="257" t="str">
        <f t="shared" si="42"/>
        <v>4 PE</v>
      </c>
      <c r="E869" t="s">
        <v>482</v>
      </c>
      <c r="F869" t="s">
        <v>483</v>
      </c>
      <c r="G869" t="s">
        <v>513</v>
      </c>
      <c r="H869" t="s">
        <v>462</v>
      </c>
      <c r="I869">
        <f t="shared" si="43"/>
        <v>1995</v>
      </c>
      <c r="J869" s="229">
        <v>150441</v>
      </c>
      <c r="K869" s="254">
        <v>4543922.8499999996</v>
      </c>
      <c r="L869" s="254">
        <v>1790175.28</v>
      </c>
      <c r="M869" s="254">
        <v>2753747.57</v>
      </c>
      <c r="N869" s="255">
        <v>328</v>
      </c>
      <c r="O869" s="256">
        <v>491</v>
      </c>
      <c r="P869" s="254">
        <f t="shared" si="44"/>
        <v>6802030.8516768292</v>
      </c>
    </row>
    <row r="870" spans="1:16" x14ac:dyDescent="0.2">
      <c r="A870" t="s">
        <v>567</v>
      </c>
      <c r="B870" s="253">
        <v>4</v>
      </c>
      <c r="C870" s="257" t="s">
        <v>556</v>
      </c>
      <c r="D870" s="257" t="str">
        <f t="shared" si="42"/>
        <v>4 PE</v>
      </c>
      <c r="E870" t="s">
        <v>482</v>
      </c>
      <c r="F870" t="s">
        <v>483</v>
      </c>
      <c r="G870" t="s">
        <v>519</v>
      </c>
      <c r="H870" t="s">
        <v>462</v>
      </c>
      <c r="I870">
        <f t="shared" si="43"/>
        <v>1979</v>
      </c>
      <c r="J870" s="229">
        <v>152302</v>
      </c>
      <c r="K870" s="254">
        <v>1206285.3</v>
      </c>
      <c r="L870" s="254">
        <v>924321.85</v>
      </c>
      <c r="M870" s="254">
        <v>281963.45</v>
      </c>
      <c r="N870" s="255">
        <v>175</v>
      </c>
      <c r="O870" s="256">
        <v>491</v>
      </c>
      <c r="P870" s="254">
        <f t="shared" si="44"/>
        <v>3384491.8988571428</v>
      </c>
    </row>
    <row r="871" spans="1:16" x14ac:dyDescent="0.2">
      <c r="A871" t="s">
        <v>567</v>
      </c>
      <c r="B871" s="253">
        <v>4</v>
      </c>
      <c r="C871" s="257" t="s">
        <v>556</v>
      </c>
      <c r="D871" s="257" t="str">
        <f t="shared" si="42"/>
        <v>4 PE</v>
      </c>
      <c r="E871" t="s">
        <v>482</v>
      </c>
      <c r="F871" t="s">
        <v>483</v>
      </c>
      <c r="G871" t="s">
        <v>523</v>
      </c>
      <c r="H871" t="s">
        <v>462</v>
      </c>
      <c r="I871">
        <f t="shared" si="43"/>
        <v>1987</v>
      </c>
      <c r="J871" s="229">
        <v>175797</v>
      </c>
      <c r="K871" s="254">
        <v>2499111.4700000002</v>
      </c>
      <c r="L871" s="254">
        <v>1487009.49</v>
      </c>
      <c r="M871" s="254">
        <v>1012101.98</v>
      </c>
      <c r="N871" s="255">
        <v>260</v>
      </c>
      <c r="O871" s="256">
        <v>491</v>
      </c>
      <c r="P871" s="254">
        <f t="shared" si="44"/>
        <v>4719475.8914230773</v>
      </c>
    </row>
    <row r="872" spans="1:16" x14ac:dyDescent="0.2">
      <c r="A872" t="s">
        <v>567</v>
      </c>
      <c r="B872" s="253">
        <v>4</v>
      </c>
      <c r="C872" s="257" t="s">
        <v>556</v>
      </c>
      <c r="D872" s="257" t="str">
        <f t="shared" si="42"/>
        <v>4 PE</v>
      </c>
      <c r="E872" t="s">
        <v>482</v>
      </c>
      <c r="F872" t="s">
        <v>483</v>
      </c>
      <c r="G872" t="s">
        <v>521</v>
      </c>
      <c r="H872" t="s">
        <v>462</v>
      </c>
      <c r="I872">
        <f t="shared" si="43"/>
        <v>1980</v>
      </c>
      <c r="J872" s="229">
        <v>211352</v>
      </c>
      <c r="K872" s="254">
        <v>1888446.59</v>
      </c>
      <c r="L872" s="254">
        <v>1410949.79</v>
      </c>
      <c r="M872" s="254">
        <v>477496.8</v>
      </c>
      <c r="N872" s="255">
        <v>196</v>
      </c>
      <c r="O872" s="256">
        <v>491</v>
      </c>
      <c r="P872" s="254">
        <f t="shared" si="44"/>
        <v>4730751.4065816328</v>
      </c>
    </row>
    <row r="873" spans="1:16" x14ac:dyDescent="0.2">
      <c r="A873" t="s">
        <v>567</v>
      </c>
      <c r="B873" s="253">
        <v>4</v>
      </c>
      <c r="C873" s="257" t="s">
        <v>556</v>
      </c>
      <c r="D873" s="257" t="str">
        <f t="shared" si="42"/>
        <v>4 PE</v>
      </c>
      <c r="E873" t="s">
        <v>482</v>
      </c>
      <c r="F873" t="s">
        <v>483</v>
      </c>
      <c r="G873" t="s">
        <v>514</v>
      </c>
      <c r="H873" t="s">
        <v>462</v>
      </c>
      <c r="I873">
        <f t="shared" si="43"/>
        <v>1994</v>
      </c>
      <c r="J873" s="229">
        <v>215978</v>
      </c>
      <c r="K873" s="254">
        <v>5884112.8700000001</v>
      </c>
      <c r="L873" s="254">
        <v>2470837.67</v>
      </c>
      <c r="M873" s="254">
        <v>3413275.2</v>
      </c>
      <c r="N873" s="255">
        <v>319</v>
      </c>
      <c r="O873" s="256">
        <v>491</v>
      </c>
      <c r="P873" s="254">
        <f t="shared" si="44"/>
        <v>9056737.9911285266</v>
      </c>
    </row>
    <row r="874" spans="1:16" x14ac:dyDescent="0.2">
      <c r="A874" t="s">
        <v>567</v>
      </c>
      <c r="B874" s="253">
        <v>4</v>
      </c>
      <c r="C874" s="257" t="s">
        <v>556</v>
      </c>
      <c r="D874" s="257" t="str">
        <f t="shared" si="42"/>
        <v>4 PE</v>
      </c>
      <c r="E874" t="s">
        <v>482</v>
      </c>
      <c r="F874" t="s">
        <v>483</v>
      </c>
      <c r="G874" t="s">
        <v>490</v>
      </c>
      <c r="H874" t="s">
        <v>462</v>
      </c>
      <c r="I874">
        <f t="shared" si="43"/>
        <v>1992</v>
      </c>
      <c r="J874" s="229">
        <v>229776</v>
      </c>
      <c r="K874" s="254">
        <v>4302686.5599999996</v>
      </c>
      <c r="L874" s="254">
        <v>2028112.27</v>
      </c>
      <c r="M874" s="254">
        <v>2274574.29</v>
      </c>
      <c r="N874" s="255">
        <v>305</v>
      </c>
      <c r="O874" s="256">
        <v>491</v>
      </c>
      <c r="P874" s="254">
        <f t="shared" si="44"/>
        <v>6926620.0031475406</v>
      </c>
    </row>
    <row r="875" spans="1:16" x14ac:dyDescent="0.2">
      <c r="A875" t="s">
        <v>567</v>
      </c>
      <c r="B875" s="253">
        <v>4</v>
      </c>
      <c r="C875" s="257" t="s">
        <v>556</v>
      </c>
      <c r="D875" s="257" t="str">
        <f t="shared" si="42"/>
        <v>4 PE</v>
      </c>
      <c r="E875" t="s">
        <v>482</v>
      </c>
      <c r="F875" t="s">
        <v>483</v>
      </c>
      <c r="G875" t="s">
        <v>465</v>
      </c>
      <c r="H875" t="s">
        <v>462</v>
      </c>
      <c r="I875">
        <f t="shared" si="43"/>
        <v>1991</v>
      </c>
      <c r="J875" s="229">
        <v>313731</v>
      </c>
      <c r="K875" s="254">
        <v>5378119.7999999998</v>
      </c>
      <c r="L875" s="254">
        <v>2671632.96</v>
      </c>
      <c r="M875" s="254">
        <v>2706486.84</v>
      </c>
      <c r="N875" s="255">
        <v>303</v>
      </c>
      <c r="O875" s="256">
        <v>491</v>
      </c>
      <c r="P875" s="254">
        <f t="shared" si="44"/>
        <v>8715039.0158415828</v>
      </c>
    </row>
    <row r="876" spans="1:16" x14ac:dyDescent="0.2">
      <c r="A876" t="s">
        <v>568</v>
      </c>
      <c r="B876" s="253">
        <v>6</v>
      </c>
      <c r="C876" s="257" t="s">
        <v>556</v>
      </c>
      <c r="D876" s="257" t="str">
        <f t="shared" si="42"/>
        <v>6 PE</v>
      </c>
      <c r="E876" t="s">
        <v>482</v>
      </c>
      <c r="F876" t="s">
        <v>483</v>
      </c>
      <c r="G876" t="s">
        <v>480</v>
      </c>
      <c r="H876" t="s">
        <v>462</v>
      </c>
      <c r="I876">
        <f t="shared" si="43"/>
        <v>1999</v>
      </c>
      <c r="J876" s="229">
        <v>3</v>
      </c>
      <c r="K876" s="254">
        <v>82.33</v>
      </c>
      <c r="L876" s="254">
        <v>23.87</v>
      </c>
      <c r="M876" s="254">
        <v>58.46</v>
      </c>
      <c r="N876" s="255">
        <v>352</v>
      </c>
      <c r="O876" s="256">
        <v>491</v>
      </c>
      <c r="P876" s="254">
        <f t="shared" si="44"/>
        <v>114.84099431818181</v>
      </c>
    </row>
    <row r="877" spans="1:16" x14ac:dyDescent="0.2">
      <c r="A877" t="s">
        <v>568</v>
      </c>
      <c r="B877" s="253">
        <v>6</v>
      </c>
      <c r="C877" s="257" t="s">
        <v>556</v>
      </c>
      <c r="D877" s="257" t="str">
        <f t="shared" si="42"/>
        <v>6 PE</v>
      </c>
      <c r="E877" t="s">
        <v>482</v>
      </c>
      <c r="F877" t="s">
        <v>483</v>
      </c>
      <c r="G877" t="s">
        <v>477</v>
      </c>
      <c r="H877" t="s">
        <v>462</v>
      </c>
      <c r="I877">
        <f t="shared" si="43"/>
        <v>2006</v>
      </c>
      <c r="J877" s="229">
        <v>166</v>
      </c>
      <c r="K877" s="254">
        <v>114752.86</v>
      </c>
      <c r="L877" s="254">
        <v>12927.54</v>
      </c>
      <c r="M877" s="254">
        <v>101825.32</v>
      </c>
      <c r="N877" s="255">
        <v>434</v>
      </c>
      <c r="O877" s="256">
        <v>491</v>
      </c>
      <c r="P877" s="254">
        <f t="shared" si="44"/>
        <v>129824.08815668203</v>
      </c>
    </row>
    <row r="878" spans="1:16" x14ac:dyDescent="0.2">
      <c r="A878" t="s">
        <v>568</v>
      </c>
      <c r="B878" s="253">
        <v>6</v>
      </c>
      <c r="C878" s="257" t="s">
        <v>556</v>
      </c>
      <c r="D878" s="257" t="str">
        <f t="shared" si="42"/>
        <v>6 PE</v>
      </c>
      <c r="E878" t="s">
        <v>482</v>
      </c>
      <c r="F878" t="s">
        <v>483</v>
      </c>
      <c r="G878" t="s">
        <v>478</v>
      </c>
      <c r="H878" t="s">
        <v>462</v>
      </c>
      <c r="I878">
        <f t="shared" si="43"/>
        <v>2001</v>
      </c>
      <c r="J878" s="229">
        <v>201</v>
      </c>
      <c r="K878" s="254">
        <v>110703.45</v>
      </c>
      <c r="L878" s="254">
        <v>26382.83</v>
      </c>
      <c r="M878" s="254">
        <v>84320.62</v>
      </c>
      <c r="N878" s="255">
        <v>363</v>
      </c>
      <c r="O878" s="256">
        <v>491</v>
      </c>
      <c r="P878" s="254">
        <f t="shared" si="44"/>
        <v>149739.37727272726</v>
      </c>
    </row>
    <row r="879" spans="1:16" x14ac:dyDescent="0.2">
      <c r="A879" t="s">
        <v>568</v>
      </c>
      <c r="B879" s="253">
        <v>6</v>
      </c>
      <c r="C879" s="257" t="s">
        <v>556</v>
      </c>
      <c r="D879" s="257" t="str">
        <f t="shared" si="42"/>
        <v>6 PE</v>
      </c>
      <c r="E879" t="s">
        <v>482</v>
      </c>
      <c r="F879" t="s">
        <v>483</v>
      </c>
      <c r="G879" t="s">
        <v>472</v>
      </c>
      <c r="H879" t="s">
        <v>462</v>
      </c>
      <c r="I879">
        <f t="shared" si="43"/>
        <v>2000</v>
      </c>
      <c r="J879" s="229">
        <v>441</v>
      </c>
      <c r="K879" s="254">
        <v>12383.21</v>
      </c>
      <c r="L879" s="254">
        <v>3269.59</v>
      </c>
      <c r="M879" s="254">
        <v>9113.6200000000008</v>
      </c>
      <c r="N879" s="255">
        <v>356</v>
      </c>
      <c r="O879" s="256">
        <v>491</v>
      </c>
      <c r="P879" s="254">
        <f t="shared" si="44"/>
        <v>17079.090196629211</v>
      </c>
    </row>
    <row r="880" spans="1:16" x14ac:dyDescent="0.2">
      <c r="A880" t="s">
        <v>568</v>
      </c>
      <c r="B880" s="253">
        <v>6</v>
      </c>
      <c r="C880" s="257" t="s">
        <v>556</v>
      </c>
      <c r="D880" s="257" t="str">
        <f t="shared" si="42"/>
        <v>6 PE</v>
      </c>
      <c r="E880" t="s">
        <v>482</v>
      </c>
      <c r="F880" t="s">
        <v>483</v>
      </c>
      <c r="G880" t="s">
        <v>518</v>
      </c>
      <c r="H880" t="s">
        <v>462</v>
      </c>
      <c r="I880">
        <f t="shared" si="43"/>
        <v>1982</v>
      </c>
      <c r="J880" s="229">
        <v>2150</v>
      </c>
      <c r="K880" s="254">
        <v>55905</v>
      </c>
      <c r="L880" s="254">
        <v>39515.440000000002</v>
      </c>
      <c r="M880" s="254">
        <v>16389.560000000001</v>
      </c>
      <c r="N880" s="255">
        <v>232</v>
      </c>
      <c r="O880" s="256">
        <v>491</v>
      </c>
      <c r="P880" s="254">
        <f t="shared" si="44"/>
        <v>118316.18534482758</v>
      </c>
    </row>
    <row r="881" spans="1:16" x14ac:dyDescent="0.2">
      <c r="A881" t="s">
        <v>568</v>
      </c>
      <c r="B881" s="253">
        <v>6</v>
      </c>
      <c r="C881" s="257" t="s">
        <v>556</v>
      </c>
      <c r="D881" s="257" t="str">
        <f t="shared" si="42"/>
        <v>6 PE</v>
      </c>
      <c r="E881" t="s">
        <v>482</v>
      </c>
      <c r="F881" t="s">
        <v>483</v>
      </c>
      <c r="G881" t="s">
        <v>521</v>
      </c>
      <c r="H881" t="s">
        <v>462</v>
      </c>
      <c r="I881">
        <f t="shared" si="43"/>
        <v>1980</v>
      </c>
      <c r="J881" s="229">
        <v>3716</v>
      </c>
      <c r="K881" s="254">
        <v>44398.42</v>
      </c>
      <c r="L881" s="254">
        <v>33172.21</v>
      </c>
      <c r="M881" s="254">
        <v>11226.21</v>
      </c>
      <c r="N881" s="255">
        <v>196</v>
      </c>
      <c r="O881" s="256">
        <v>491</v>
      </c>
      <c r="P881" s="254">
        <f t="shared" si="44"/>
        <v>111222.57255102041</v>
      </c>
    </row>
    <row r="882" spans="1:16" x14ac:dyDescent="0.2">
      <c r="A882" t="s">
        <v>568</v>
      </c>
      <c r="B882" s="253">
        <v>6</v>
      </c>
      <c r="C882" s="257" t="s">
        <v>556</v>
      </c>
      <c r="D882" s="257" t="str">
        <f t="shared" si="42"/>
        <v>6 PE</v>
      </c>
      <c r="E882" t="s">
        <v>482</v>
      </c>
      <c r="F882" t="s">
        <v>483</v>
      </c>
      <c r="G882" t="s">
        <v>479</v>
      </c>
      <c r="H882" t="s">
        <v>462</v>
      </c>
      <c r="I882">
        <f t="shared" si="43"/>
        <v>1998</v>
      </c>
      <c r="J882" s="229">
        <v>13148</v>
      </c>
      <c r="K882" s="254">
        <v>1180154.02</v>
      </c>
      <c r="L882" s="254">
        <v>372781.4</v>
      </c>
      <c r="M882" s="254">
        <v>807372.62</v>
      </c>
      <c r="N882" s="255">
        <v>346</v>
      </c>
      <c r="O882" s="256">
        <v>491</v>
      </c>
      <c r="P882" s="254">
        <f t="shared" si="44"/>
        <v>1674727.2364739883</v>
      </c>
    </row>
    <row r="883" spans="1:16" x14ac:dyDescent="0.2">
      <c r="A883" t="s">
        <v>568</v>
      </c>
      <c r="B883" s="253">
        <v>6</v>
      </c>
      <c r="C883" s="257" t="s">
        <v>556</v>
      </c>
      <c r="D883" s="257" t="str">
        <f t="shared" si="42"/>
        <v>6 PE</v>
      </c>
      <c r="E883" t="s">
        <v>482</v>
      </c>
      <c r="F883" t="s">
        <v>483</v>
      </c>
      <c r="G883" t="s">
        <v>473</v>
      </c>
      <c r="H883" t="s">
        <v>462</v>
      </c>
      <c r="I883">
        <f t="shared" si="43"/>
        <v>1997</v>
      </c>
      <c r="J883" s="229">
        <v>19283</v>
      </c>
      <c r="K883" s="254">
        <v>93489.56</v>
      </c>
      <c r="L883" s="254">
        <v>31964.65</v>
      </c>
      <c r="M883" s="254">
        <v>61524.91</v>
      </c>
      <c r="N883" s="255">
        <v>341</v>
      </c>
      <c r="O883" s="256">
        <v>491</v>
      </c>
      <c r="P883" s="254">
        <f t="shared" si="44"/>
        <v>134613.99988269794</v>
      </c>
    </row>
    <row r="884" spans="1:16" x14ac:dyDescent="0.2">
      <c r="A884" t="s">
        <v>568</v>
      </c>
      <c r="B884" s="253">
        <v>6</v>
      </c>
      <c r="C884" s="257" t="s">
        <v>556</v>
      </c>
      <c r="D884" s="257" t="str">
        <f t="shared" si="42"/>
        <v>6 PE</v>
      </c>
      <c r="E884" t="s">
        <v>482</v>
      </c>
      <c r="F884" t="s">
        <v>483</v>
      </c>
      <c r="G884" t="s">
        <v>465</v>
      </c>
      <c r="H884" t="s">
        <v>462</v>
      </c>
      <c r="I884">
        <f t="shared" si="43"/>
        <v>1991</v>
      </c>
      <c r="J884" s="229">
        <v>23853</v>
      </c>
      <c r="K884" s="254">
        <v>792893.75</v>
      </c>
      <c r="L884" s="254">
        <v>393877.63</v>
      </c>
      <c r="M884" s="254">
        <v>399016.12</v>
      </c>
      <c r="N884" s="255">
        <v>303</v>
      </c>
      <c r="O884" s="256">
        <v>491</v>
      </c>
      <c r="P884" s="254">
        <f t="shared" si="44"/>
        <v>1284854.2285478548</v>
      </c>
    </row>
    <row r="885" spans="1:16" x14ac:dyDescent="0.2">
      <c r="A885" t="s">
        <v>568</v>
      </c>
      <c r="B885" s="253">
        <v>6</v>
      </c>
      <c r="C885" s="257" t="s">
        <v>556</v>
      </c>
      <c r="D885" s="257" t="str">
        <f t="shared" si="42"/>
        <v>6 PE</v>
      </c>
      <c r="E885" t="s">
        <v>482</v>
      </c>
      <c r="F885" t="s">
        <v>483</v>
      </c>
      <c r="G885" t="s">
        <v>491</v>
      </c>
      <c r="H885" t="s">
        <v>462</v>
      </c>
      <c r="I885">
        <f t="shared" si="43"/>
        <v>1993</v>
      </c>
      <c r="J885" s="229">
        <v>61930</v>
      </c>
      <c r="K885" s="254">
        <v>1766630.15</v>
      </c>
      <c r="L885" s="254">
        <v>787436.51</v>
      </c>
      <c r="M885" s="254">
        <v>979193.64</v>
      </c>
      <c r="N885" s="255">
        <v>313</v>
      </c>
      <c r="O885" s="256">
        <v>491</v>
      </c>
      <c r="P885" s="254">
        <f t="shared" si="44"/>
        <v>2771295.2193290736</v>
      </c>
    </row>
    <row r="886" spans="1:16" x14ac:dyDescent="0.2">
      <c r="A886" t="s">
        <v>568</v>
      </c>
      <c r="B886" s="253">
        <v>6</v>
      </c>
      <c r="C886" s="257" t="s">
        <v>556</v>
      </c>
      <c r="D886" s="257" t="str">
        <f t="shared" si="42"/>
        <v>6 PE</v>
      </c>
      <c r="E886" t="s">
        <v>482</v>
      </c>
      <c r="F886" t="s">
        <v>483</v>
      </c>
      <c r="G886" t="s">
        <v>513</v>
      </c>
      <c r="H886" t="s">
        <v>462</v>
      </c>
      <c r="I886">
        <f t="shared" si="43"/>
        <v>1995</v>
      </c>
      <c r="J886" s="229">
        <v>81998</v>
      </c>
      <c r="K886" s="254">
        <v>3956283.84</v>
      </c>
      <c r="L886" s="254">
        <v>1558662.37</v>
      </c>
      <c r="M886" s="254">
        <v>2397621.4700000002</v>
      </c>
      <c r="N886" s="255">
        <v>328</v>
      </c>
      <c r="O886" s="256">
        <v>491</v>
      </c>
      <c r="P886" s="254">
        <f t="shared" si="44"/>
        <v>5922363.9190243902</v>
      </c>
    </row>
    <row r="887" spans="1:16" x14ac:dyDescent="0.2">
      <c r="A887" t="s">
        <v>568</v>
      </c>
      <c r="B887" s="253">
        <v>6</v>
      </c>
      <c r="C887" s="257" t="s">
        <v>556</v>
      </c>
      <c r="D887" s="257" t="str">
        <f t="shared" si="42"/>
        <v>6 PE</v>
      </c>
      <c r="E887" t="s">
        <v>482</v>
      </c>
      <c r="F887" t="s">
        <v>483</v>
      </c>
      <c r="G887" t="s">
        <v>467</v>
      </c>
      <c r="H887" t="s">
        <v>462</v>
      </c>
      <c r="I887">
        <f t="shared" si="43"/>
        <v>1996</v>
      </c>
      <c r="J887" s="229">
        <v>92963</v>
      </c>
      <c r="K887" s="254">
        <v>5558550.2400000002</v>
      </c>
      <c r="L887" s="254">
        <v>2045311.75</v>
      </c>
      <c r="M887" s="254">
        <v>3513238.49</v>
      </c>
      <c r="N887" s="255">
        <v>334</v>
      </c>
      <c r="O887" s="256">
        <v>491</v>
      </c>
      <c r="P887" s="254">
        <f t="shared" si="44"/>
        <v>8171401.7001197618</v>
      </c>
    </row>
    <row r="888" spans="1:16" x14ac:dyDescent="0.2">
      <c r="A888" t="s">
        <v>568</v>
      </c>
      <c r="B888" s="253">
        <v>6</v>
      </c>
      <c r="C888" s="257" t="s">
        <v>556</v>
      </c>
      <c r="D888" s="257" t="str">
        <f t="shared" si="42"/>
        <v>6 PE</v>
      </c>
      <c r="E888" t="s">
        <v>482</v>
      </c>
      <c r="F888" t="s">
        <v>483</v>
      </c>
      <c r="G888" t="s">
        <v>514</v>
      </c>
      <c r="H888" t="s">
        <v>462</v>
      </c>
      <c r="I888">
        <f t="shared" si="43"/>
        <v>1994</v>
      </c>
      <c r="J888" s="229">
        <v>138206</v>
      </c>
      <c r="K888" s="254">
        <v>6461198.9299999997</v>
      </c>
      <c r="L888" s="254">
        <v>2713165.79</v>
      </c>
      <c r="M888" s="254">
        <v>3748033.14</v>
      </c>
      <c r="N888" s="255">
        <v>319</v>
      </c>
      <c r="O888" s="256">
        <v>491</v>
      </c>
      <c r="P888" s="254">
        <f t="shared" si="44"/>
        <v>9944980.1712539177</v>
      </c>
    </row>
    <row r="889" spans="1:16" x14ac:dyDescent="0.2">
      <c r="A889" t="s">
        <v>568</v>
      </c>
      <c r="B889" s="253">
        <v>6</v>
      </c>
      <c r="C889" s="257" t="s">
        <v>556</v>
      </c>
      <c r="D889" s="257" t="str">
        <f t="shared" si="42"/>
        <v>6 PE</v>
      </c>
      <c r="E889" t="s">
        <v>482</v>
      </c>
      <c r="F889" t="s">
        <v>483</v>
      </c>
      <c r="G889" t="s">
        <v>490</v>
      </c>
      <c r="H889" t="s">
        <v>462</v>
      </c>
      <c r="I889">
        <f t="shared" si="43"/>
        <v>1992</v>
      </c>
      <c r="J889" s="229">
        <v>161618</v>
      </c>
      <c r="K889" s="254">
        <v>5072701.4800000004</v>
      </c>
      <c r="L889" s="254">
        <v>2391066.13</v>
      </c>
      <c r="M889" s="254">
        <v>2681635.35</v>
      </c>
      <c r="N889" s="255">
        <v>305</v>
      </c>
      <c r="O889" s="256">
        <v>491</v>
      </c>
      <c r="P889" s="254">
        <f t="shared" si="44"/>
        <v>8166217.7923934432</v>
      </c>
    </row>
    <row r="890" spans="1:16" x14ac:dyDescent="0.2">
      <c r="A890" t="s">
        <v>569</v>
      </c>
      <c r="B890" s="253">
        <v>8</v>
      </c>
      <c r="C890" s="257" t="s">
        <v>556</v>
      </c>
      <c r="D890" s="257" t="str">
        <f t="shared" si="42"/>
        <v>8 PE</v>
      </c>
      <c r="E890" t="s">
        <v>482</v>
      </c>
      <c r="F890" t="s">
        <v>483</v>
      </c>
      <c r="G890" t="s">
        <v>472</v>
      </c>
      <c r="H890" t="s">
        <v>462</v>
      </c>
      <c r="I890">
        <f t="shared" si="43"/>
        <v>2000</v>
      </c>
      <c r="J890" s="229">
        <v>434</v>
      </c>
      <c r="K890" s="254">
        <v>4603.0200000000004</v>
      </c>
      <c r="L890" s="254">
        <v>1215.3499999999999</v>
      </c>
      <c r="M890" s="254">
        <v>3387.67</v>
      </c>
      <c r="N890" s="255">
        <v>356</v>
      </c>
      <c r="O890" s="256">
        <v>491</v>
      </c>
      <c r="P890" s="254">
        <f t="shared" si="44"/>
        <v>6348.5472471910116</v>
      </c>
    </row>
    <row r="891" spans="1:16" x14ac:dyDescent="0.2">
      <c r="A891" t="s">
        <v>569</v>
      </c>
      <c r="B891" s="253">
        <v>8</v>
      </c>
      <c r="C891" s="257" t="s">
        <v>556</v>
      </c>
      <c r="D891" s="257" t="str">
        <f t="shared" si="42"/>
        <v>8 PE</v>
      </c>
      <c r="E891" t="s">
        <v>482</v>
      </c>
      <c r="F891" t="s">
        <v>483</v>
      </c>
      <c r="G891" t="s">
        <v>478</v>
      </c>
      <c r="H891" t="s">
        <v>462</v>
      </c>
      <c r="I891">
        <f t="shared" si="43"/>
        <v>2001</v>
      </c>
      <c r="J891" s="229">
        <v>806</v>
      </c>
      <c r="K891" s="254">
        <v>40455.160000000003</v>
      </c>
      <c r="L891" s="254">
        <v>9641.27</v>
      </c>
      <c r="M891" s="254">
        <v>30813.89</v>
      </c>
      <c r="N891" s="255">
        <v>363</v>
      </c>
      <c r="O891" s="256">
        <v>491</v>
      </c>
      <c r="P891" s="254">
        <f t="shared" si="44"/>
        <v>54720.340385674936</v>
      </c>
    </row>
    <row r="892" spans="1:16" x14ac:dyDescent="0.2">
      <c r="A892" t="s">
        <v>569</v>
      </c>
      <c r="B892" s="253">
        <v>8</v>
      </c>
      <c r="C892" s="257" t="s">
        <v>556</v>
      </c>
      <c r="D892" s="257" t="str">
        <f t="shared" si="42"/>
        <v>8 PE</v>
      </c>
      <c r="E892" t="s">
        <v>482</v>
      </c>
      <c r="F892" t="s">
        <v>483</v>
      </c>
      <c r="G892" t="s">
        <v>471</v>
      </c>
      <c r="H892" t="s">
        <v>462</v>
      </c>
      <c r="I892">
        <f t="shared" si="43"/>
        <v>2003</v>
      </c>
      <c r="J892" s="229">
        <v>3732</v>
      </c>
      <c r="K892" s="254">
        <v>239435.58</v>
      </c>
      <c r="L892" s="254">
        <v>44875.95</v>
      </c>
      <c r="M892" s="254">
        <v>194559.63</v>
      </c>
      <c r="N892" s="255">
        <v>377</v>
      </c>
      <c r="O892" s="256">
        <v>491</v>
      </c>
      <c r="P892" s="254">
        <f t="shared" si="44"/>
        <v>311837.85087533155</v>
      </c>
    </row>
    <row r="893" spans="1:16" x14ac:dyDescent="0.2">
      <c r="A893" t="s">
        <v>569</v>
      </c>
      <c r="B893" s="253">
        <v>8</v>
      </c>
      <c r="C893" s="257" t="s">
        <v>556</v>
      </c>
      <c r="D893" s="257" t="str">
        <f t="shared" si="42"/>
        <v>8 PE</v>
      </c>
      <c r="E893" t="s">
        <v>482</v>
      </c>
      <c r="F893" t="s">
        <v>483</v>
      </c>
      <c r="G893" t="s">
        <v>469</v>
      </c>
      <c r="H893" t="s">
        <v>462</v>
      </c>
      <c r="I893">
        <f t="shared" si="43"/>
        <v>2010</v>
      </c>
      <c r="J893" s="229">
        <v>5500</v>
      </c>
      <c r="K893" s="254">
        <v>1873260.96</v>
      </c>
      <c r="L893" s="254">
        <v>24795.1</v>
      </c>
      <c r="M893" s="254">
        <v>1848465.86</v>
      </c>
      <c r="N893" s="255">
        <v>491</v>
      </c>
      <c r="O893" s="256">
        <v>491</v>
      </c>
      <c r="P893" s="254">
        <f t="shared" si="44"/>
        <v>1873260.96</v>
      </c>
    </row>
    <row r="894" spans="1:16" x14ac:dyDescent="0.2">
      <c r="A894" t="s">
        <v>569</v>
      </c>
      <c r="B894" s="253">
        <v>8</v>
      </c>
      <c r="C894" s="257" t="s">
        <v>556</v>
      </c>
      <c r="D894" s="257" t="str">
        <f t="shared" si="42"/>
        <v>8 PE</v>
      </c>
      <c r="E894" t="s">
        <v>482</v>
      </c>
      <c r="F894" t="s">
        <v>483</v>
      </c>
      <c r="G894" t="s">
        <v>468</v>
      </c>
      <c r="H894" t="s">
        <v>462</v>
      </c>
      <c r="I894">
        <f t="shared" si="43"/>
        <v>2009</v>
      </c>
      <c r="J894" s="229">
        <v>6760</v>
      </c>
      <c r="K894" s="254">
        <v>947263.2</v>
      </c>
      <c r="L894" s="254">
        <v>36655.839999999997</v>
      </c>
      <c r="M894" s="254">
        <v>910607.35999999999</v>
      </c>
      <c r="N894" s="255">
        <v>502</v>
      </c>
      <c r="O894" s="256">
        <v>491</v>
      </c>
      <c r="P894" s="254">
        <f t="shared" si="44"/>
        <v>926506.43665338645</v>
      </c>
    </row>
    <row r="895" spans="1:16" x14ac:dyDescent="0.2">
      <c r="A895" t="s">
        <v>569</v>
      </c>
      <c r="B895" s="253">
        <v>8</v>
      </c>
      <c r="C895" s="257" t="s">
        <v>556</v>
      </c>
      <c r="D895" s="257" t="str">
        <f>B895&amp;" "&amp;C895</f>
        <v>8 PE</v>
      </c>
      <c r="E895" t="s">
        <v>482</v>
      </c>
      <c r="F895" t="s">
        <v>483</v>
      </c>
      <c r="G895" t="s">
        <v>467</v>
      </c>
      <c r="H895" t="s">
        <v>462</v>
      </c>
      <c r="I895">
        <f t="shared" si="43"/>
        <v>1996</v>
      </c>
      <c r="J895" s="229">
        <v>12706</v>
      </c>
      <c r="K895" s="254">
        <v>276520.96000000002</v>
      </c>
      <c r="L895" s="254">
        <v>101748.04</v>
      </c>
      <c r="M895" s="254">
        <v>174772.92</v>
      </c>
      <c r="N895" s="255">
        <v>334</v>
      </c>
      <c r="O895" s="256">
        <v>491</v>
      </c>
      <c r="P895" s="254">
        <f>+(O895/N895)*K895</f>
        <v>406502.36934131745</v>
      </c>
    </row>
    <row r="896" spans="1:16" x14ac:dyDescent="0.2">
      <c r="A896" t="s">
        <v>569</v>
      </c>
      <c r="B896" s="253">
        <v>8</v>
      </c>
      <c r="C896" s="257" t="s">
        <v>556</v>
      </c>
      <c r="D896" s="257" t="str">
        <f>B896&amp;" "&amp;C896</f>
        <v>8 PE</v>
      </c>
      <c r="E896" t="s">
        <v>482</v>
      </c>
      <c r="F896" t="s">
        <v>483</v>
      </c>
      <c r="G896" t="s">
        <v>514</v>
      </c>
      <c r="H896" t="s">
        <v>462</v>
      </c>
      <c r="I896">
        <f t="shared" si="43"/>
        <v>1994</v>
      </c>
      <c r="J896" s="229">
        <v>13232</v>
      </c>
      <c r="K896" s="254">
        <v>1025551.14</v>
      </c>
      <c r="L896" s="254">
        <v>430646.12</v>
      </c>
      <c r="M896" s="254">
        <v>594905.02</v>
      </c>
      <c r="N896" s="255">
        <v>319</v>
      </c>
      <c r="O896" s="256">
        <v>491</v>
      </c>
      <c r="P896" s="254">
        <f>+(O896/N896)*K896</f>
        <v>1578512.8831974922</v>
      </c>
    </row>
    <row r="897" spans="1:16" x14ac:dyDescent="0.2">
      <c r="A897" t="s">
        <v>569</v>
      </c>
      <c r="B897" s="253">
        <v>8</v>
      </c>
      <c r="C897" s="257" t="s">
        <v>556</v>
      </c>
      <c r="D897" s="257" t="str">
        <f>B897&amp;" "&amp;C897</f>
        <v>8 PE</v>
      </c>
      <c r="E897" t="s">
        <v>482</v>
      </c>
      <c r="F897" t="s">
        <v>483</v>
      </c>
      <c r="G897" t="s">
        <v>513</v>
      </c>
      <c r="H897" t="s">
        <v>462</v>
      </c>
      <c r="I897">
        <f t="shared" si="43"/>
        <v>1995</v>
      </c>
      <c r="J897" s="259">
        <v>16742</v>
      </c>
      <c r="K897" s="260">
        <v>1087387.97</v>
      </c>
      <c r="L897" s="260">
        <v>428399.67</v>
      </c>
      <c r="M897" s="260">
        <v>658988.30000000005</v>
      </c>
      <c r="N897" s="255">
        <v>328</v>
      </c>
      <c r="O897" s="256">
        <v>491</v>
      </c>
      <c r="P897" s="260">
        <f>+(O897/N897)*K897</f>
        <v>1627766.7477743903</v>
      </c>
    </row>
    <row r="898" spans="1:16" ht="13.5" thickBot="1" x14ac:dyDescent="0.25">
      <c r="A898" t="s">
        <v>570</v>
      </c>
      <c r="J898" s="229">
        <f>SUM(J534:J897)</f>
        <v>44610722</v>
      </c>
      <c r="K898" s="229">
        <f>SUM(K534:K897)</f>
        <v>841210647.38</v>
      </c>
      <c r="L898" s="229">
        <f>SUM(L534:L897)</f>
        <v>231439764.74000004</v>
      </c>
      <c r="M898" s="229">
        <f>SUM(M534:M897)</f>
        <v>609770882.63999999</v>
      </c>
      <c r="N898" s="264"/>
      <c r="O898" s="265"/>
      <c r="P898" s="254">
        <f>SUM(P534:P897)</f>
        <v>1165278954.1241398</v>
      </c>
    </row>
    <row r="900" spans="1:16" ht="13.5" thickBot="1" x14ac:dyDescent="0.25">
      <c r="A900" s="7" t="s">
        <v>571</v>
      </c>
      <c r="J900" s="266">
        <f>J531+J898</f>
        <v>69098528</v>
      </c>
      <c r="K900" s="266">
        <f>K531+K898</f>
        <v>1361661102.02</v>
      </c>
      <c r="L900" s="266">
        <f>L531+L898</f>
        <v>403881146.33000016</v>
      </c>
      <c r="M900" s="266">
        <f>M531+M898</f>
        <v>957779955.6900003</v>
      </c>
      <c r="N900" s="267"/>
      <c r="O900" s="267"/>
      <c r="P900" s="268">
        <f>P531+P898</f>
        <v>2566225424.0025144</v>
      </c>
    </row>
    <row r="901" spans="1:16" ht="13.5" thickTop="1" x14ac:dyDescent="0.2"/>
    <row r="902" spans="1:16" ht="13.5" thickBot="1" x14ac:dyDescent="0.25">
      <c r="A902" s="7" t="s">
        <v>572</v>
      </c>
      <c r="J902" s="266">
        <f>J900-SUM(J2:J54)</f>
        <v>69091098</v>
      </c>
      <c r="K902" s="266">
        <f>K900-SUM(K2:K54)</f>
        <v>1332569236.9000001</v>
      </c>
      <c r="L902" s="266">
        <f>L900-SUM(L2:L54)</f>
        <v>398806898.97000015</v>
      </c>
      <c r="M902" s="266">
        <f>M900-SUM(M2:M54)</f>
        <v>933762337.93000031</v>
      </c>
      <c r="N902" s="229"/>
      <c r="O902" s="229"/>
      <c r="P902" s="268">
        <f>P900-SUM(P2:P54)</f>
        <v>2524573308.8378921</v>
      </c>
    </row>
    <row r="903" spans="1:16" ht="13.5" thickTop="1" x14ac:dyDescent="0.2"/>
    <row r="981" spans="11:15" x14ac:dyDescent="0.2">
      <c r="K981" s="229"/>
      <c r="L981" s="229"/>
      <c r="M981" s="229"/>
      <c r="N981" s="229"/>
      <c r="O981" s="229"/>
    </row>
  </sheetData>
  <pageMargins left="0.7" right="0.7" top="0.75" bottom="0.75" header="0.3" footer="0.3"/>
  <pageSetup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O73"/>
  <sheetViews>
    <sheetView workbookViewId="0">
      <selection activeCell="C35" sqref="C35"/>
    </sheetView>
  </sheetViews>
  <sheetFormatPr defaultRowHeight="12.75" x14ac:dyDescent="0.2"/>
  <cols>
    <col min="1" max="1" width="5" style="1025" customWidth="1"/>
    <col min="2" max="2" width="2.28515625" style="1196" customWidth="1"/>
    <col min="3" max="3" width="39.85546875" style="1025" bestFit="1" customWidth="1"/>
    <col min="4" max="4" width="13.85546875" style="1025" bestFit="1" customWidth="1"/>
    <col min="5" max="5" width="9.140625" style="1025"/>
    <col min="6" max="6" width="4.7109375" style="1025" customWidth="1"/>
    <col min="7" max="7" width="12.7109375" style="1025" bestFit="1" customWidth="1"/>
    <col min="8" max="8" width="9.140625" style="1025"/>
    <col min="9" max="9" width="11.5703125" style="1025" customWidth="1"/>
    <col min="10" max="10" width="11.28515625" style="1025" bestFit="1" customWidth="1"/>
    <col min="11" max="11" width="2" style="1025" customWidth="1"/>
    <col min="12" max="12" width="14" style="1025" customWidth="1"/>
    <col min="13" max="13" width="3.28515625" style="1025" customWidth="1"/>
    <col min="14" max="256" width="9.140625" style="1025"/>
    <col min="257" max="257" width="5" style="1025" customWidth="1"/>
    <col min="258" max="258" width="2.28515625" style="1025" customWidth="1"/>
    <col min="259" max="259" width="39.85546875" style="1025" bestFit="1" customWidth="1"/>
    <col min="260" max="260" width="13.85546875" style="1025" bestFit="1" customWidth="1"/>
    <col min="261" max="261" width="9.140625" style="1025"/>
    <col min="262" max="262" width="4.7109375" style="1025" customWidth="1"/>
    <col min="263" max="263" width="12.7109375" style="1025" bestFit="1" customWidth="1"/>
    <col min="264" max="264" width="9.140625" style="1025"/>
    <col min="265" max="265" width="11.5703125" style="1025" customWidth="1"/>
    <col min="266" max="266" width="11.28515625" style="1025" bestFit="1" customWidth="1"/>
    <col min="267" max="267" width="2" style="1025" customWidth="1"/>
    <col min="268" max="268" width="14" style="1025" customWidth="1"/>
    <col min="269" max="269" width="3.28515625" style="1025" customWidth="1"/>
    <col min="270" max="512" width="9.140625" style="1025"/>
    <col min="513" max="513" width="5" style="1025" customWidth="1"/>
    <col min="514" max="514" width="2.28515625" style="1025" customWidth="1"/>
    <col min="515" max="515" width="39.85546875" style="1025" bestFit="1" customWidth="1"/>
    <col min="516" max="516" width="13.85546875" style="1025" bestFit="1" customWidth="1"/>
    <col min="517" max="517" width="9.140625" style="1025"/>
    <col min="518" max="518" width="4.7109375" style="1025" customWidth="1"/>
    <col min="519" max="519" width="12.7109375" style="1025" bestFit="1" customWidth="1"/>
    <col min="520" max="520" width="9.140625" style="1025"/>
    <col min="521" max="521" width="11.5703125" style="1025" customWidth="1"/>
    <col min="522" max="522" width="11.28515625" style="1025" bestFit="1" customWidth="1"/>
    <col min="523" max="523" width="2" style="1025" customWidth="1"/>
    <col min="524" max="524" width="14" style="1025" customWidth="1"/>
    <col min="525" max="525" width="3.28515625" style="1025" customWidth="1"/>
    <col min="526" max="768" width="9.140625" style="1025"/>
    <col min="769" max="769" width="5" style="1025" customWidth="1"/>
    <col min="770" max="770" width="2.28515625" style="1025" customWidth="1"/>
    <col min="771" max="771" width="39.85546875" style="1025" bestFit="1" customWidth="1"/>
    <col min="772" max="772" width="13.85546875" style="1025" bestFit="1" customWidth="1"/>
    <col min="773" max="773" width="9.140625" style="1025"/>
    <col min="774" max="774" width="4.7109375" style="1025" customWidth="1"/>
    <col min="775" max="775" width="12.7109375" style="1025" bestFit="1" customWidth="1"/>
    <col min="776" max="776" width="9.140625" style="1025"/>
    <col min="777" max="777" width="11.5703125" style="1025" customWidth="1"/>
    <col min="778" max="778" width="11.28515625" style="1025" bestFit="1" customWidth="1"/>
    <col min="779" max="779" width="2" style="1025" customWidth="1"/>
    <col min="780" max="780" width="14" style="1025" customWidth="1"/>
    <col min="781" max="781" width="3.28515625" style="1025" customWidth="1"/>
    <col min="782" max="1024" width="9.140625" style="1025"/>
    <col min="1025" max="1025" width="5" style="1025" customWidth="1"/>
    <col min="1026" max="1026" width="2.28515625" style="1025" customWidth="1"/>
    <col min="1027" max="1027" width="39.85546875" style="1025" bestFit="1" customWidth="1"/>
    <col min="1028" max="1028" width="13.85546875" style="1025" bestFit="1" customWidth="1"/>
    <col min="1029" max="1029" width="9.140625" style="1025"/>
    <col min="1030" max="1030" width="4.7109375" style="1025" customWidth="1"/>
    <col min="1031" max="1031" width="12.7109375" style="1025" bestFit="1" customWidth="1"/>
    <col min="1032" max="1032" width="9.140625" style="1025"/>
    <col min="1033" max="1033" width="11.5703125" style="1025" customWidth="1"/>
    <col min="1034" max="1034" width="11.28515625" style="1025" bestFit="1" customWidth="1"/>
    <col min="1035" max="1035" width="2" style="1025" customWidth="1"/>
    <col min="1036" max="1036" width="14" style="1025" customWidth="1"/>
    <col min="1037" max="1037" width="3.28515625" style="1025" customWidth="1"/>
    <col min="1038" max="1280" width="9.140625" style="1025"/>
    <col min="1281" max="1281" width="5" style="1025" customWidth="1"/>
    <col min="1282" max="1282" width="2.28515625" style="1025" customWidth="1"/>
    <col min="1283" max="1283" width="39.85546875" style="1025" bestFit="1" customWidth="1"/>
    <col min="1284" max="1284" width="13.85546875" style="1025" bestFit="1" customWidth="1"/>
    <col min="1285" max="1285" width="9.140625" style="1025"/>
    <col min="1286" max="1286" width="4.7109375" style="1025" customWidth="1"/>
    <col min="1287" max="1287" width="12.7109375" style="1025" bestFit="1" customWidth="1"/>
    <col min="1288" max="1288" width="9.140625" style="1025"/>
    <col min="1289" max="1289" width="11.5703125" style="1025" customWidth="1"/>
    <col min="1290" max="1290" width="11.28515625" style="1025" bestFit="1" customWidth="1"/>
    <col min="1291" max="1291" width="2" style="1025" customWidth="1"/>
    <col min="1292" max="1292" width="14" style="1025" customWidth="1"/>
    <col min="1293" max="1293" width="3.28515625" style="1025" customWidth="1"/>
    <col min="1294" max="1536" width="9.140625" style="1025"/>
    <col min="1537" max="1537" width="5" style="1025" customWidth="1"/>
    <col min="1538" max="1538" width="2.28515625" style="1025" customWidth="1"/>
    <col min="1539" max="1539" width="39.85546875" style="1025" bestFit="1" customWidth="1"/>
    <col min="1540" max="1540" width="13.85546875" style="1025" bestFit="1" customWidth="1"/>
    <col min="1541" max="1541" width="9.140625" style="1025"/>
    <col min="1542" max="1542" width="4.7109375" style="1025" customWidth="1"/>
    <col min="1543" max="1543" width="12.7109375" style="1025" bestFit="1" customWidth="1"/>
    <col min="1544" max="1544" width="9.140625" style="1025"/>
    <col min="1545" max="1545" width="11.5703125" style="1025" customWidth="1"/>
    <col min="1546" max="1546" width="11.28515625" style="1025" bestFit="1" customWidth="1"/>
    <col min="1547" max="1547" width="2" style="1025" customWidth="1"/>
    <col min="1548" max="1548" width="14" style="1025" customWidth="1"/>
    <col min="1549" max="1549" width="3.28515625" style="1025" customWidth="1"/>
    <col min="1550" max="1792" width="9.140625" style="1025"/>
    <col min="1793" max="1793" width="5" style="1025" customWidth="1"/>
    <col min="1794" max="1794" width="2.28515625" style="1025" customWidth="1"/>
    <col min="1795" max="1795" width="39.85546875" style="1025" bestFit="1" customWidth="1"/>
    <col min="1796" max="1796" width="13.85546875" style="1025" bestFit="1" customWidth="1"/>
    <col min="1797" max="1797" width="9.140625" style="1025"/>
    <col min="1798" max="1798" width="4.7109375" style="1025" customWidth="1"/>
    <col min="1799" max="1799" width="12.7109375" style="1025" bestFit="1" customWidth="1"/>
    <col min="1800" max="1800" width="9.140625" style="1025"/>
    <col min="1801" max="1801" width="11.5703125" style="1025" customWidth="1"/>
    <col min="1802" max="1802" width="11.28515625" style="1025" bestFit="1" customWidth="1"/>
    <col min="1803" max="1803" width="2" style="1025" customWidth="1"/>
    <col min="1804" max="1804" width="14" style="1025" customWidth="1"/>
    <col min="1805" max="1805" width="3.28515625" style="1025" customWidth="1"/>
    <col min="1806" max="2048" width="9.140625" style="1025"/>
    <col min="2049" max="2049" width="5" style="1025" customWidth="1"/>
    <col min="2050" max="2050" width="2.28515625" style="1025" customWidth="1"/>
    <col min="2051" max="2051" width="39.85546875" style="1025" bestFit="1" customWidth="1"/>
    <col min="2052" max="2052" width="13.85546875" style="1025" bestFit="1" customWidth="1"/>
    <col min="2053" max="2053" width="9.140625" style="1025"/>
    <col min="2054" max="2054" width="4.7109375" style="1025" customWidth="1"/>
    <col min="2055" max="2055" width="12.7109375" style="1025" bestFit="1" customWidth="1"/>
    <col min="2056" max="2056" width="9.140625" style="1025"/>
    <col min="2057" max="2057" width="11.5703125" style="1025" customWidth="1"/>
    <col min="2058" max="2058" width="11.28515625" style="1025" bestFit="1" customWidth="1"/>
    <col min="2059" max="2059" width="2" style="1025" customWidth="1"/>
    <col min="2060" max="2060" width="14" style="1025" customWidth="1"/>
    <col min="2061" max="2061" width="3.28515625" style="1025" customWidth="1"/>
    <col min="2062" max="2304" width="9.140625" style="1025"/>
    <col min="2305" max="2305" width="5" style="1025" customWidth="1"/>
    <col min="2306" max="2306" width="2.28515625" style="1025" customWidth="1"/>
    <col min="2307" max="2307" width="39.85546875" style="1025" bestFit="1" customWidth="1"/>
    <col min="2308" max="2308" width="13.85546875" style="1025" bestFit="1" customWidth="1"/>
    <col min="2309" max="2309" width="9.140625" style="1025"/>
    <col min="2310" max="2310" width="4.7109375" style="1025" customWidth="1"/>
    <col min="2311" max="2311" width="12.7109375" style="1025" bestFit="1" customWidth="1"/>
    <col min="2312" max="2312" width="9.140625" style="1025"/>
    <col min="2313" max="2313" width="11.5703125" style="1025" customWidth="1"/>
    <col min="2314" max="2314" width="11.28515625" style="1025" bestFit="1" customWidth="1"/>
    <col min="2315" max="2315" width="2" style="1025" customWidth="1"/>
    <col min="2316" max="2316" width="14" style="1025" customWidth="1"/>
    <col min="2317" max="2317" width="3.28515625" style="1025" customWidth="1"/>
    <col min="2318" max="2560" width="9.140625" style="1025"/>
    <col min="2561" max="2561" width="5" style="1025" customWidth="1"/>
    <col min="2562" max="2562" width="2.28515625" style="1025" customWidth="1"/>
    <col min="2563" max="2563" width="39.85546875" style="1025" bestFit="1" customWidth="1"/>
    <col min="2564" max="2564" width="13.85546875" style="1025" bestFit="1" customWidth="1"/>
    <col min="2565" max="2565" width="9.140625" style="1025"/>
    <col min="2566" max="2566" width="4.7109375" style="1025" customWidth="1"/>
    <col min="2567" max="2567" width="12.7109375" style="1025" bestFit="1" customWidth="1"/>
    <col min="2568" max="2568" width="9.140625" style="1025"/>
    <col min="2569" max="2569" width="11.5703125" style="1025" customWidth="1"/>
    <col min="2570" max="2570" width="11.28515625" style="1025" bestFit="1" customWidth="1"/>
    <col min="2571" max="2571" width="2" style="1025" customWidth="1"/>
    <col min="2572" max="2572" width="14" style="1025" customWidth="1"/>
    <col min="2573" max="2573" width="3.28515625" style="1025" customWidth="1"/>
    <col min="2574" max="2816" width="9.140625" style="1025"/>
    <col min="2817" max="2817" width="5" style="1025" customWidth="1"/>
    <col min="2818" max="2818" width="2.28515625" style="1025" customWidth="1"/>
    <col min="2819" max="2819" width="39.85546875" style="1025" bestFit="1" customWidth="1"/>
    <col min="2820" max="2820" width="13.85546875" style="1025" bestFit="1" customWidth="1"/>
    <col min="2821" max="2821" width="9.140625" style="1025"/>
    <col min="2822" max="2822" width="4.7109375" style="1025" customWidth="1"/>
    <col min="2823" max="2823" width="12.7109375" style="1025" bestFit="1" customWidth="1"/>
    <col min="2824" max="2824" width="9.140625" style="1025"/>
    <col min="2825" max="2825" width="11.5703125" style="1025" customWidth="1"/>
    <col min="2826" max="2826" width="11.28515625" style="1025" bestFit="1" customWidth="1"/>
    <col min="2827" max="2827" width="2" style="1025" customWidth="1"/>
    <col min="2828" max="2828" width="14" style="1025" customWidth="1"/>
    <col min="2829" max="2829" width="3.28515625" style="1025" customWidth="1"/>
    <col min="2830" max="3072" width="9.140625" style="1025"/>
    <col min="3073" max="3073" width="5" style="1025" customWidth="1"/>
    <col min="3074" max="3074" width="2.28515625" style="1025" customWidth="1"/>
    <col min="3075" max="3075" width="39.85546875" style="1025" bestFit="1" customWidth="1"/>
    <col min="3076" max="3076" width="13.85546875" style="1025" bestFit="1" customWidth="1"/>
    <col min="3077" max="3077" width="9.140625" style="1025"/>
    <col min="3078" max="3078" width="4.7109375" style="1025" customWidth="1"/>
    <col min="3079" max="3079" width="12.7109375" style="1025" bestFit="1" customWidth="1"/>
    <col min="3080" max="3080" width="9.140625" style="1025"/>
    <col min="3081" max="3081" width="11.5703125" style="1025" customWidth="1"/>
    <col min="3082" max="3082" width="11.28515625" style="1025" bestFit="1" customWidth="1"/>
    <col min="3083" max="3083" width="2" style="1025" customWidth="1"/>
    <col min="3084" max="3084" width="14" style="1025" customWidth="1"/>
    <col min="3085" max="3085" width="3.28515625" style="1025" customWidth="1"/>
    <col min="3086" max="3328" width="9.140625" style="1025"/>
    <col min="3329" max="3329" width="5" style="1025" customWidth="1"/>
    <col min="3330" max="3330" width="2.28515625" style="1025" customWidth="1"/>
    <col min="3331" max="3331" width="39.85546875" style="1025" bestFit="1" customWidth="1"/>
    <col min="3332" max="3332" width="13.85546875" style="1025" bestFit="1" customWidth="1"/>
    <col min="3333" max="3333" width="9.140625" style="1025"/>
    <col min="3334" max="3334" width="4.7109375" style="1025" customWidth="1"/>
    <col min="3335" max="3335" width="12.7109375" style="1025" bestFit="1" customWidth="1"/>
    <col min="3336" max="3336" width="9.140625" style="1025"/>
    <col min="3337" max="3337" width="11.5703125" style="1025" customWidth="1"/>
    <col min="3338" max="3338" width="11.28515625" style="1025" bestFit="1" customWidth="1"/>
    <col min="3339" max="3339" width="2" style="1025" customWidth="1"/>
    <col min="3340" max="3340" width="14" style="1025" customWidth="1"/>
    <col min="3341" max="3341" width="3.28515625" style="1025" customWidth="1"/>
    <col min="3342" max="3584" width="9.140625" style="1025"/>
    <col min="3585" max="3585" width="5" style="1025" customWidth="1"/>
    <col min="3586" max="3586" width="2.28515625" style="1025" customWidth="1"/>
    <col min="3587" max="3587" width="39.85546875" style="1025" bestFit="1" customWidth="1"/>
    <col min="3588" max="3588" width="13.85546875" style="1025" bestFit="1" customWidth="1"/>
    <col min="3589" max="3589" width="9.140625" style="1025"/>
    <col min="3590" max="3590" width="4.7109375" style="1025" customWidth="1"/>
    <col min="3591" max="3591" width="12.7109375" style="1025" bestFit="1" customWidth="1"/>
    <col min="3592" max="3592" width="9.140625" style="1025"/>
    <col min="3593" max="3593" width="11.5703125" style="1025" customWidth="1"/>
    <col min="3594" max="3594" width="11.28515625" style="1025" bestFit="1" customWidth="1"/>
    <col min="3595" max="3595" width="2" style="1025" customWidth="1"/>
    <col min="3596" max="3596" width="14" style="1025" customWidth="1"/>
    <col min="3597" max="3597" width="3.28515625" style="1025" customWidth="1"/>
    <col min="3598" max="3840" width="9.140625" style="1025"/>
    <col min="3841" max="3841" width="5" style="1025" customWidth="1"/>
    <col min="3842" max="3842" width="2.28515625" style="1025" customWidth="1"/>
    <col min="3843" max="3843" width="39.85546875" style="1025" bestFit="1" customWidth="1"/>
    <col min="3844" max="3844" width="13.85546875" style="1025" bestFit="1" customWidth="1"/>
    <col min="3845" max="3845" width="9.140625" style="1025"/>
    <col min="3846" max="3846" width="4.7109375" style="1025" customWidth="1"/>
    <col min="3847" max="3847" width="12.7109375" style="1025" bestFit="1" customWidth="1"/>
    <col min="3848" max="3848" width="9.140625" style="1025"/>
    <col min="3849" max="3849" width="11.5703125" style="1025" customWidth="1"/>
    <col min="3850" max="3850" width="11.28515625" style="1025" bestFit="1" customWidth="1"/>
    <col min="3851" max="3851" width="2" style="1025" customWidth="1"/>
    <col min="3852" max="3852" width="14" style="1025" customWidth="1"/>
    <col min="3853" max="3853" width="3.28515625" style="1025" customWidth="1"/>
    <col min="3854" max="4096" width="9.140625" style="1025"/>
    <col min="4097" max="4097" width="5" style="1025" customWidth="1"/>
    <col min="4098" max="4098" width="2.28515625" style="1025" customWidth="1"/>
    <col min="4099" max="4099" width="39.85546875" style="1025" bestFit="1" customWidth="1"/>
    <col min="4100" max="4100" width="13.85546875" style="1025" bestFit="1" customWidth="1"/>
    <col min="4101" max="4101" width="9.140625" style="1025"/>
    <col min="4102" max="4102" width="4.7109375" style="1025" customWidth="1"/>
    <col min="4103" max="4103" width="12.7109375" style="1025" bestFit="1" customWidth="1"/>
    <col min="4104" max="4104" width="9.140625" style="1025"/>
    <col min="4105" max="4105" width="11.5703125" style="1025" customWidth="1"/>
    <col min="4106" max="4106" width="11.28515625" style="1025" bestFit="1" customWidth="1"/>
    <col min="4107" max="4107" width="2" style="1025" customWidth="1"/>
    <col min="4108" max="4108" width="14" style="1025" customWidth="1"/>
    <col min="4109" max="4109" width="3.28515625" style="1025" customWidth="1"/>
    <col min="4110" max="4352" width="9.140625" style="1025"/>
    <col min="4353" max="4353" width="5" style="1025" customWidth="1"/>
    <col min="4354" max="4354" width="2.28515625" style="1025" customWidth="1"/>
    <col min="4355" max="4355" width="39.85546875" style="1025" bestFit="1" customWidth="1"/>
    <col min="4356" max="4356" width="13.85546875" style="1025" bestFit="1" customWidth="1"/>
    <col min="4357" max="4357" width="9.140625" style="1025"/>
    <col min="4358" max="4358" width="4.7109375" style="1025" customWidth="1"/>
    <col min="4359" max="4359" width="12.7109375" style="1025" bestFit="1" customWidth="1"/>
    <col min="4360" max="4360" width="9.140625" style="1025"/>
    <col min="4361" max="4361" width="11.5703125" style="1025" customWidth="1"/>
    <col min="4362" max="4362" width="11.28515625" style="1025" bestFit="1" customWidth="1"/>
    <col min="4363" max="4363" width="2" style="1025" customWidth="1"/>
    <col min="4364" max="4364" width="14" style="1025" customWidth="1"/>
    <col min="4365" max="4365" width="3.28515625" style="1025" customWidth="1"/>
    <col min="4366" max="4608" width="9.140625" style="1025"/>
    <col min="4609" max="4609" width="5" style="1025" customWidth="1"/>
    <col min="4610" max="4610" width="2.28515625" style="1025" customWidth="1"/>
    <col min="4611" max="4611" width="39.85546875" style="1025" bestFit="1" customWidth="1"/>
    <col min="4612" max="4612" width="13.85546875" style="1025" bestFit="1" customWidth="1"/>
    <col min="4613" max="4613" width="9.140625" style="1025"/>
    <col min="4614" max="4614" width="4.7109375" style="1025" customWidth="1"/>
    <col min="4615" max="4615" width="12.7109375" style="1025" bestFit="1" customWidth="1"/>
    <col min="4616" max="4616" width="9.140625" style="1025"/>
    <col min="4617" max="4617" width="11.5703125" style="1025" customWidth="1"/>
    <col min="4618" max="4618" width="11.28515625" style="1025" bestFit="1" customWidth="1"/>
    <col min="4619" max="4619" width="2" style="1025" customWidth="1"/>
    <col min="4620" max="4620" width="14" style="1025" customWidth="1"/>
    <col min="4621" max="4621" width="3.28515625" style="1025" customWidth="1"/>
    <col min="4622" max="4864" width="9.140625" style="1025"/>
    <col min="4865" max="4865" width="5" style="1025" customWidth="1"/>
    <col min="4866" max="4866" width="2.28515625" style="1025" customWidth="1"/>
    <col min="4867" max="4867" width="39.85546875" style="1025" bestFit="1" customWidth="1"/>
    <col min="4868" max="4868" width="13.85546875" style="1025" bestFit="1" customWidth="1"/>
    <col min="4869" max="4869" width="9.140625" style="1025"/>
    <col min="4870" max="4870" width="4.7109375" style="1025" customWidth="1"/>
    <col min="4871" max="4871" width="12.7109375" style="1025" bestFit="1" customWidth="1"/>
    <col min="4872" max="4872" width="9.140625" style="1025"/>
    <col min="4873" max="4873" width="11.5703125" style="1025" customWidth="1"/>
    <col min="4874" max="4874" width="11.28515625" style="1025" bestFit="1" customWidth="1"/>
    <col min="4875" max="4875" width="2" style="1025" customWidth="1"/>
    <col min="4876" max="4876" width="14" style="1025" customWidth="1"/>
    <col min="4877" max="4877" width="3.28515625" style="1025" customWidth="1"/>
    <col min="4878" max="5120" width="9.140625" style="1025"/>
    <col min="5121" max="5121" width="5" style="1025" customWidth="1"/>
    <col min="5122" max="5122" width="2.28515625" style="1025" customWidth="1"/>
    <col min="5123" max="5123" width="39.85546875" style="1025" bestFit="1" customWidth="1"/>
    <col min="5124" max="5124" width="13.85546875" style="1025" bestFit="1" customWidth="1"/>
    <col min="5125" max="5125" width="9.140625" style="1025"/>
    <col min="5126" max="5126" width="4.7109375" style="1025" customWidth="1"/>
    <col min="5127" max="5127" width="12.7109375" style="1025" bestFit="1" customWidth="1"/>
    <col min="5128" max="5128" width="9.140625" style="1025"/>
    <col min="5129" max="5129" width="11.5703125" style="1025" customWidth="1"/>
    <col min="5130" max="5130" width="11.28515625" style="1025" bestFit="1" customWidth="1"/>
    <col min="5131" max="5131" width="2" style="1025" customWidth="1"/>
    <col min="5132" max="5132" width="14" style="1025" customWidth="1"/>
    <col min="5133" max="5133" width="3.28515625" style="1025" customWidth="1"/>
    <col min="5134" max="5376" width="9.140625" style="1025"/>
    <col min="5377" max="5377" width="5" style="1025" customWidth="1"/>
    <col min="5378" max="5378" width="2.28515625" style="1025" customWidth="1"/>
    <col min="5379" max="5379" width="39.85546875" style="1025" bestFit="1" customWidth="1"/>
    <col min="5380" max="5380" width="13.85546875" style="1025" bestFit="1" customWidth="1"/>
    <col min="5381" max="5381" width="9.140625" style="1025"/>
    <col min="5382" max="5382" width="4.7109375" style="1025" customWidth="1"/>
    <col min="5383" max="5383" width="12.7109375" style="1025" bestFit="1" customWidth="1"/>
    <col min="5384" max="5384" width="9.140625" style="1025"/>
    <col min="5385" max="5385" width="11.5703125" style="1025" customWidth="1"/>
    <col min="5386" max="5386" width="11.28515625" style="1025" bestFit="1" customWidth="1"/>
    <col min="5387" max="5387" width="2" style="1025" customWidth="1"/>
    <col min="5388" max="5388" width="14" style="1025" customWidth="1"/>
    <col min="5389" max="5389" width="3.28515625" style="1025" customWidth="1"/>
    <col min="5390" max="5632" width="9.140625" style="1025"/>
    <col min="5633" max="5633" width="5" style="1025" customWidth="1"/>
    <col min="5634" max="5634" width="2.28515625" style="1025" customWidth="1"/>
    <col min="5635" max="5635" width="39.85546875" style="1025" bestFit="1" customWidth="1"/>
    <col min="5636" max="5636" width="13.85546875" style="1025" bestFit="1" customWidth="1"/>
    <col min="5637" max="5637" width="9.140625" style="1025"/>
    <col min="5638" max="5638" width="4.7109375" style="1025" customWidth="1"/>
    <col min="5639" max="5639" width="12.7109375" style="1025" bestFit="1" customWidth="1"/>
    <col min="5640" max="5640" width="9.140625" style="1025"/>
    <col min="5641" max="5641" width="11.5703125" style="1025" customWidth="1"/>
    <col min="5642" max="5642" width="11.28515625" style="1025" bestFit="1" customWidth="1"/>
    <col min="5643" max="5643" width="2" style="1025" customWidth="1"/>
    <col min="5644" max="5644" width="14" style="1025" customWidth="1"/>
    <col min="5645" max="5645" width="3.28515625" style="1025" customWidth="1"/>
    <col min="5646" max="5888" width="9.140625" style="1025"/>
    <col min="5889" max="5889" width="5" style="1025" customWidth="1"/>
    <col min="5890" max="5890" width="2.28515625" style="1025" customWidth="1"/>
    <col min="5891" max="5891" width="39.85546875" style="1025" bestFit="1" customWidth="1"/>
    <col min="5892" max="5892" width="13.85546875" style="1025" bestFit="1" customWidth="1"/>
    <col min="5893" max="5893" width="9.140625" style="1025"/>
    <col min="5894" max="5894" width="4.7109375" style="1025" customWidth="1"/>
    <col min="5895" max="5895" width="12.7109375" style="1025" bestFit="1" customWidth="1"/>
    <col min="5896" max="5896" width="9.140625" style="1025"/>
    <col min="5897" max="5897" width="11.5703125" style="1025" customWidth="1"/>
    <col min="5898" max="5898" width="11.28515625" style="1025" bestFit="1" customWidth="1"/>
    <col min="5899" max="5899" width="2" style="1025" customWidth="1"/>
    <col min="5900" max="5900" width="14" style="1025" customWidth="1"/>
    <col min="5901" max="5901" width="3.28515625" style="1025" customWidth="1"/>
    <col min="5902" max="6144" width="9.140625" style="1025"/>
    <col min="6145" max="6145" width="5" style="1025" customWidth="1"/>
    <col min="6146" max="6146" width="2.28515625" style="1025" customWidth="1"/>
    <col min="6147" max="6147" width="39.85546875" style="1025" bestFit="1" customWidth="1"/>
    <col min="6148" max="6148" width="13.85546875" style="1025" bestFit="1" customWidth="1"/>
    <col min="6149" max="6149" width="9.140625" style="1025"/>
    <col min="6150" max="6150" width="4.7109375" style="1025" customWidth="1"/>
    <col min="6151" max="6151" width="12.7109375" style="1025" bestFit="1" customWidth="1"/>
    <col min="6152" max="6152" width="9.140625" style="1025"/>
    <col min="6153" max="6153" width="11.5703125" style="1025" customWidth="1"/>
    <col min="6154" max="6154" width="11.28515625" style="1025" bestFit="1" customWidth="1"/>
    <col min="6155" max="6155" width="2" style="1025" customWidth="1"/>
    <col min="6156" max="6156" width="14" style="1025" customWidth="1"/>
    <col min="6157" max="6157" width="3.28515625" style="1025" customWidth="1"/>
    <col min="6158" max="6400" width="9.140625" style="1025"/>
    <col min="6401" max="6401" width="5" style="1025" customWidth="1"/>
    <col min="6402" max="6402" width="2.28515625" style="1025" customWidth="1"/>
    <col min="6403" max="6403" width="39.85546875" style="1025" bestFit="1" customWidth="1"/>
    <col min="6404" max="6404" width="13.85546875" style="1025" bestFit="1" customWidth="1"/>
    <col min="6405" max="6405" width="9.140625" style="1025"/>
    <col min="6406" max="6406" width="4.7109375" style="1025" customWidth="1"/>
    <col min="6407" max="6407" width="12.7109375" style="1025" bestFit="1" customWidth="1"/>
    <col min="6408" max="6408" width="9.140625" style="1025"/>
    <col min="6409" max="6409" width="11.5703125" style="1025" customWidth="1"/>
    <col min="6410" max="6410" width="11.28515625" style="1025" bestFit="1" customWidth="1"/>
    <col min="6411" max="6411" width="2" style="1025" customWidth="1"/>
    <col min="6412" max="6412" width="14" style="1025" customWidth="1"/>
    <col min="6413" max="6413" width="3.28515625" style="1025" customWidth="1"/>
    <col min="6414" max="6656" width="9.140625" style="1025"/>
    <col min="6657" max="6657" width="5" style="1025" customWidth="1"/>
    <col min="6658" max="6658" width="2.28515625" style="1025" customWidth="1"/>
    <col min="6659" max="6659" width="39.85546875" style="1025" bestFit="1" customWidth="1"/>
    <col min="6660" max="6660" width="13.85546875" style="1025" bestFit="1" customWidth="1"/>
    <col min="6661" max="6661" width="9.140625" style="1025"/>
    <col min="6662" max="6662" width="4.7109375" style="1025" customWidth="1"/>
    <col min="6663" max="6663" width="12.7109375" style="1025" bestFit="1" customWidth="1"/>
    <col min="6664" max="6664" width="9.140625" style="1025"/>
    <col min="6665" max="6665" width="11.5703125" style="1025" customWidth="1"/>
    <col min="6666" max="6666" width="11.28515625" style="1025" bestFit="1" customWidth="1"/>
    <col min="6667" max="6667" width="2" style="1025" customWidth="1"/>
    <col min="6668" max="6668" width="14" style="1025" customWidth="1"/>
    <col min="6669" max="6669" width="3.28515625" style="1025" customWidth="1"/>
    <col min="6670" max="6912" width="9.140625" style="1025"/>
    <col min="6913" max="6913" width="5" style="1025" customWidth="1"/>
    <col min="6914" max="6914" width="2.28515625" style="1025" customWidth="1"/>
    <col min="6915" max="6915" width="39.85546875" style="1025" bestFit="1" customWidth="1"/>
    <col min="6916" max="6916" width="13.85546875" style="1025" bestFit="1" customWidth="1"/>
    <col min="6917" max="6917" width="9.140625" style="1025"/>
    <col min="6918" max="6918" width="4.7109375" style="1025" customWidth="1"/>
    <col min="6919" max="6919" width="12.7109375" style="1025" bestFit="1" customWidth="1"/>
    <col min="6920" max="6920" width="9.140625" style="1025"/>
    <col min="6921" max="6921" width="11.5703125" style="1025" customWidth="1"/>
    <col min="6922" max="6922" width="11.28515625" style="1025" bestFit="1" customWidth="1"/>
    <col min="6923" max="6923" width="2" style="1025" customWidth="1"/>
    <col min="6924" max="6924" width="14" style="1025" customWidth="1"/>
    <col min="6925" max="6925" width="3.28515625" style="1025" customWidth="1"/>
    <col min="6926" max="7168" width="9.140625" style="1025"/>
    <col min="7169" max="7169" width="5" style="1025" customWidth="1"/>
    <col min="7170" max="7170" width="2.28515625" style="1025" customWidth="1"/>
    <col min="7171" max="7171" width="39.85546875" style="1025" bestFit="1" customWidth="1"/>
    <col min="7172" max="7172" width="13.85546875" style="1025" bestFit="1" customWidth="1"/>
    <col min="7173" max="7173" width="9.140625" style="1025"/>
    <col min="7174" max="7174" width="4.7109375" style="1025" customWidth="1"/>
    <col min="7175" max="7175" width="12.7109375" style="1025" bestFit="1" customWidth="1"/>
    <col min="7176" max="7176" width="9.140625" style="1025"/>
    <col min="7177" max="7177" width="11.5703125" style="1025" customWidth="1"/>
    <col min="7178" max="7178" width="11.28515625" style="1025" bestFit="1" customWidth="1"/>
    <col min="7179" max="7179" width="2" style="1025" customWidth="1"/>
    <col min="7180" max="7180" width="14" style="1025" customWidth="1"/>
    <col min="7181" max="7181" width="3.28515625" style="1025" customWidth="1"/>
    <col min="7182" max="7424" width="9.140625" style="1025"/>
    <col min="7425" max="7425" width="5" style="1025" customWidth="1"/>
    <col min="7426" max="7426" width="2.28515625" style="1025" customWidth="1"/>
    <col min="7427" max="7427" width="39.85546875" style="1025" bestFit="1" customWidth="1"/>
    <col min="7428" max="7428" width="13.85546875" style="1025" bestFit="1" customWidth="1"/>
    <col min="7429" max="7429" width="9.140625" style="1025"/>
    <col min="7430" max="7430" width="4.7109375" style="1025" customWidth="1"/>
    <col min="7431" max="7431" width="12.7109375" style="1025" bestFit="1" customWidth="1"/>
    <col min="7432" max="7432" width="9.140625" style="1025"/>
    <col min="7433" max="7433" width="11.5703125" style="1025" customWidth="1"/>
    <col min="7434" max="7434" width="11.28515625" style="1025" bestFit="1" customWidth="1"/>
    <col min="7435" max="7435" width="2" style="1025" customWidth="1"/>
    <col min="7436" max="7436" width="14" style="1025" customWidth="1"/>
    <col min="7437" max="7437" width="3.28515625" style="1025" customWidth="1"/>
    <col min="7438" max="7680" width="9.140625" style="1025"/>
    <col min="7681" max="7681" width="5" style="1025" customWidth="1"/>
    <col min="7682" max="7682" width="2.28515625" style="1025" customWidth="1"/>
    <col min="7683" max="7683" width="39.85546875" style="1025" bestFit="1" customWidth="1"/>
    <col min="7684" max="7684" width="13.85546875" style="1025" bestFit="1" customWidth="1"/>
    <col min="7685" max="7685" width="9.140625" style="1025"/>
    <col min="7686" max="7686" width="4.7109375" style="1025" customWidth="1"/>
    <col min="7687" max="7687" width="12.7109375" style="1025" bestFit="1" customWidth="1"/>
    <col min="7688" max="7688" width="9.140625" style="1025"/>
    <col min="7689" max="7689" width="11.5703125" style="1025" customWidth="1"/>
    <col min="7690" max="7690" width="11.28515625" style="1025" bestFit="1" customWidth="1"/>
    <col min="7691" max="7691" width="2" style="1025" customWidth="1"/>
    <col min="7692" max="7692" width="14" style="1025" customWidth="1"/>
    <col min="7693" max="7693" width="3.28515625" style="1025" customWidth="1"/>
    <col min="7694" max="7936" width="9.140625" style="1025"/>
    <col min="7937" max="7937" width="5" style="1025" customWidth="1"/>
    <col min="7938" max="7938" width="2.28515625" style="1025" customWidth="1"/>
    <col min="7939" max="7939" width="39.85546875" style="1025" bestFit="1" customWidth="1"/>
    <col min="7940" max="7940" width="13.85546875" style="1025" bestFit="1" customWidth="1"/>
    <col min="7941" max="7941" width="9.140625" style="1025"/>
    <col min="7942" max="7942" width="4.7109375" style="1025" customWidth="1"/>
    <col min="7943" max="7943" width="12.7109375" style="1025" bestFit="1" customWidth="1"/>
    <col min="7944" max="7944" width="9.140625" style="1025"/>
    <col min="7945" max="7945" width="11.5703125" style="1025" customWidth="1"/>
    <col min="7946" max="7946" width="11.28515625" style="1025" bestFit="1" customWidth="1"/>
    <col min="7947" max="7947" width="2" style="1025" customWidth="1"/>
    <col min="7948" max="7948" width="14" style="1025" customWidth="1"/>
    <col min="7949" max="7949" width="3.28515625" style="1025" customWidth="1"/>
    <col min="7950" max="8192" width="9.140625" style="1025"/>
    <col min="8193" max="8193" width="5" style="1025" customWidth="1"/>
    <col min="8194" max="8194" width="2.28515625" style="1025" customWidth="1"/>
    <col min="8195" max="8195" width="39.85546875" style="1025" bestFit="1" customWidth="1"/>
    <col min="8196" max="8196" width="13.85546875" style="1025" bestFit="1" customWidth="1"/>
    <col min="8197" max="8197" width="9.140625" style="1025"/>
    <col min="8198" max="8198" width="4.7109375" style="1025" customWidth="1"/>
    <col min="8199" max="8199" width="12.7109375" style="1025" bestFit="1" customWidth="1"/>
    <col min="8200" max="8200" width="9.140625" style="1025"/>
    <col min="8201" max="8201" width="11.5703125" style="1025" customWidth="1"/>
    <col min="8202" max="8202" width="11.28515625" style="1025" bestFit="1" customWidth="1"/>
    <col min="8203" max="8203" width="2" style="1025" customWidth="1"/>
    <col min="8204" max="8204" width="14" style="1025" customWidth="1"/>
    <col min="8205" max="8205" width="3.28515625" style="1025" customWidth="1"/>
    <col min="8206" max="8448" width="9.140625" style="1025"/>
    <col min="8449" max="8449" width="5" style="1025" customWidth="1"/>
    <col min="8450" max="8450" width="2.28515625" style="1025" customWidth="1"/>
    <col min="8451" max="8451" width="39.85546875" style="1025" bestFit="1" customWidth="1"/>
    <col min="8452" max="8452" width="13.85546875" style="1025" bestFit="1" customWidth="1"/>
    <col min="8453" max="8453" width="9.140625" style="1025"/>
    <col min="8454" max="8454" width="4.7109375" style="1025" customWidth="1"/>
    <col min="8455" max="8455" width="12.7109375" style="1025" bestFit="1" customWidth="1"/>
    <col min="8456" max="8456" width="9.140625" style="1025"/>
    <col min="8457" max="8457" width="11.5703125" style="1025" customWidth="1"/>
    <col min="8458" max="8458" width="11.28515625" style="1025" bestFit="1" customWidth="1"/>
    <col min="8459" max="8459" width="2" style="1025" customWidth="1"/>
    <col min="8460" max="8460" width="14" style="1025" customWidth="1"/>
    <col min="8461" max="8461" width="3.28515625" style="1025" customWidth="1"/>
    <col min="8462" max="8704" width="9.140625" style="1025"/>
    <col min="8705" max="8705" width="5" style="1025" customWidth="1"/>
    <col min="8706" max="8706" width="2.28515625" style="1025" customWidth="1"/>
    <col min="8707" max="8707" width="39.85546875" style="1025" bestFit="1" customWidth="1"/>
    <col min="8708" max="8708" width="13.85546875" style="1025" bestFit="1" customWidth="1"/>
    <col min="8709" max="8709" width="9.140625" style="1025"/>
    <col min="8710" max="8710" width="4.7109375" style="1025" customWidth="1"/>
    <col min="8711" max="8711" width="12.7109375" style="1025" bestFit="1" customWidth="1"/>
    <col min="8712" max="8712" width="9.140625" style="1025"/>
    <col min="8713" max="8713" width="11.5703125" style="1025" customWidth="1"/>
    <col min="8714" max="8714" width="11.28515625" style="1025" bestFit="1" customWidth="1"/>
    <col min="8715" max="8715" width="2" style="1025" customWidth="1"/>
    <col min="8716" max="8716" width="14" style="1025" customWidth="1"/>
    <col min="8717" max="8717" width="3.28515625" style="1025" customWidth="1"/>
    <col min="8718" max="8960" width="9.140625" style="1025"/>
    <col min="8961" max="8961" width="5" style="1025" customWidth="1"/>
    <col min="8962" max="8962" width="2.28515625" style="1025" customWidth="1"/>
    <col min="8963" max="8963" width="39.85546875" style="1025" bestFit="1" customWidth="1"/>
    <col min="8964" max="8964" width="13.85546875" style="1025" bestFit="1" customWidth="1"/>
    <col min="8965" max="8965" width="9.140625" style="1025"/>
    <col min="8966" max="8966" width="4.7109375" style="1025" customWidth="1"/>
    <col min="8967" max="8967" width="12.7109375" style="1025" bestFit="1" customWidth="1"/>
    <col min="8968" max="8968" width="9.140625" style="1025"/>
    <col min="8969" max="8969" width="11.5703125" style="1025" customWidth="1"/>
    <col min="8970" max="8970" width="11.28515625" style="1025" bestFit="1" customWidth="1"/>
    <col min="8971" max="8971" width="2" style="1025" customWidth="1"/>
    <col min="8972" max="8972" width="14" style="1025" customWidth="1"/>
    <col min="8973" max="8973" width="3.28515625" style="1025" customWidth="1"/>
    <col min="8974" max="9216" width="9.140625" style="1025"/>
    <col min="9217" max="9217" width="5" style="1025" customWidth="1"/>
    <col min="9218" max="9218" width="2.28515625" style="1025" customWidth="1"/>
    <col min="9219" max="9219" width="39.85546875" style="1025" bestFit="1" customWidth="1"/>
    <col min="9220" max="9220" width="13.85546875" style="1025" bestFit="1" customWidth="1"/>
    <col min="9221" max="9221" width="9.140625" style="1025"/>
    <col min="9222" max="9222" width="4.7109375" style="1025" customWidth="1"/>
    <col min="9223" max="9223" width="12.7109375" style="1025" bestFit="1" customWidth="1"/>
    <col min="9224" max="9224" width="9.140625" style="1025"/>
    <col min="9225" max="9225" width="11.5703125" style="1025" customWidth="1"/>
    <col min="9226" max="9226" width="11.28515625" style="1025" bestFit="1" customWidth="1"/>
    <col min="9227" max="9227" width="2" style="1025" customWidth="1"/>
    <col min="9228" max="9228" width="14" style="1025" customWidth="1"/>
    <col min="9229" max="9229" width="3.28515625" style="1025" customWidth="1"/>
    <col min="9230" max="9472" width="9.140625" style="1025"/>
    <col min="9473" max="9473" width="5" style="1025" customWidth="1"/>
    <col min="9474" max="9474" width="2.28515625" style="1025" customWidth="1"/>
    <col min="9475" max="9475" width="39.85546875" style="1025" bestFit="1" customWidth="1"/>
    <col min="9476" max="9476" width="13.85546875" style="1025" bestFit="1" customWidth="1"/>
    <col min="9477" max="9477" width="9.140625" style="1025"/>
    <col min="9478" max="9478" width="4.7109375" style="1025" customWidth="1"/>
    <col min="9479" max="9479" width="12.7109375" style="1025" bestFit="1" customWidth="1"/>
    <col min="9480" max="9480" width="9.140625" style="1025"/>
    <col min="9481" max="9481" width="11.5703125" style="1025" customWidth="1"/>
    <col min="9482" max="9482" width="11.28515625" style="1025" bestFit="1" customWidth="1"/>
    <col min="9483" max="9483" width="2" style="1025" customWidth="1"/>
    <col min="9484" max="9484" width="14" style="1025" customWidth="1"/>
    <col min="9485" max="9485" width="3.28515625" style="1025" customWidth="1"/>
    <col min="9486" max="9728" width="9.140625" style="1025"/>
    <col min="9729" max="9729" width="5" style="1025" customWidth="1"/>
    <col min="9730" max="9730" width="2.28515625" style="1025" customWidth="1"/>
    <col min="9731" max="9731" width="39.85546875" style="1025" bestFit="1" customWidth="1"/>
    <col min="9732" max="9732" width="13.85546875" style="1025" bestFit="1" customWidth="1"/>
    <col min="9733" max="9733" width="9.140625" style="1025"/>
    <col min="9734" max="9734" width="4.7109375" style="1025" customWidth="1"/>
    <col min="9735" max="9735" width="12.7109375" style="1025" bestFit="1" customWidth="1"/>
    <col min="9736" max="9736" width="9.140625" style="1025"/>
    <col min="9737" max="9737" width="11.5703125" style="1025" customWidth="1"/>
    <col min="9738" max="9738" width="11.28515625" style="1025" bestFit="1" customWidth="1"/>
    <col min="9739" max="9739" width="2" style="1025" customWidth="1"/>
    <col min="9740" max="9740" width="14" style="1025" customWidth="1"/>
    <col min="9741" max="9741" width="3.28515625" style="1025" customWidth="1"/>
    <col min="9742" max="9984" width="9.140625" style="1025"/>
    <col min="9985" max="9985" width="5" style="1025" customWidth="1"/>
    <col min="9986" max="9986" width="2.28515625" style="1025" customWidth="1"/>
    <col min="9987" max="9987" width="39.85546875" style="1025" bestFit="1" customWidth="1"/>
    <col min="9988" max="9988" width="13.85546875" style="1025" bestFit="1" customWidth="1"/>
    <col min="9989" max="9989" width="9.140625" style="1025"/>
    <col min="9990" max="9990" width="4.7109375" style="1025" customWidth="1"/>
    <col min="9991" max="9991" width="12.7109375" style="1025" bestFit="1" customWidth="1"/>
    <col min="9992" max="9992" width="9.140625" style="1025"/>
    <col min="9993" max="9993" width="11.5703125" style="1025" customWidth="1"/>
    <col min="9994" max="9994" width="11.28515625" style="1025" bestFit="1" customWidth="1"/>
    <col min="9995" max="9995" width="2" style="1025" customWidth="1"/>
    <col min="9996" max="9996" width="14" style="1025" customWidth="1"/>
    <col min="9997" max="9997" width="3.28515625" style="1025" customWidth="1"/>
    <col min="9998" max="10240" width="9.140625" style="1025"/>
    <col min="10241" max="10241" width="5" style="1025" customWidth="1"/>
    <col min="10242" max="10242" width="2.28515625" style="1025" customWidth="1"/>
    <col min="10243" max="10243" width="39.85546875" style="1025" bestFit="1" customWidth="1"/>
    <col min="10244" max="10244" width="13.85546875" style="1025" bestFit="1" customWidth="1"/>
    <col min="10245" max="10245" width="9.140625" style="1025"/>
    <col min="10246" max="10246" width="4.7109375" style="1025" customWidth="1"/>
    <col min="10247" max="10247" width="12.7109375" style="1025" bestFit="1" customWidth="1"/>
    <col min="10248" max="10248" width="9.140625" style="1025"/>
    <col min="10249" max="10249" width="11.5703125" style="1025" customWidth="1"/>
    <col min="10250" max="10250" width="11.28515625" style="1025" bestFit="1" customWidth="1"/>
    <col min="10251" max="10251" width="2" style="1025" customWidth="1"/>
    <col min="10252" max="10252" width="14" style="1025" customWidth="1"/>
    <col min="10253" max="10253" width="3.28515625" style="1025" customWidth="1"/>
    <col min="10254" max="10496" width="9.140625" style="1025"/>
    <col min="10497" max="10497" width="5" style="1025" customWidth="1"/>
    <col min="10498" max="10498" width="2.28515625" style="1025" customWidth="1"/>
    <col min="10499" max="10499" width="39.85546875" style="1025" bestFit="1" customWidth="1"/>
    <col min="10500" max="10500" width="13.85546875" style="1025" bestFit="1" customWidth="1"/>
    <col min="10501" max="10501" width="9.140625" style="1025"/>
    <col min="10502" max="10502" width="4.7109375" style="1025" customWidth="1"/>
    <col min="10503" max="10503" width="12.7109375" style="1025" bestFit="1" customWidth="1"/>
    <col min="10504" max="10504" width="9.140625" style="1025"/>
    <col min="10505" max="10505" width="11.5703125" style="1025" customWidth="1"/>
    <col min="10506" max="10506" width="11.28515625" style="1025" bestFit="1" customWidth="1"/>
    <col min="10507" max="10507" width="2" style="1025" customWidth="1"/>
    <col min="10508" max="10508" width="14" style="1025" customWidth="1"/>
    <col min="10509" max="10509" width="3.28515625" style="1025" customWidth="1"/>
    <col min="10510" max="10752" width="9.140625" style="1025"/>
    <col min="10753" max="10753" width="5" style="1025" customWidth="1"/>
    <col min="10754" max="10754" width="2.28515625" style="1025" customWidth="1"/>
    <col min="10755" max="10755" width="39.85546875" style="1025" bestFit="1" customWidth="1"/>
    <col min="10756" max="10756" width="13.85546875" style="1025" bestFit="1" customWidth="1"/>
    <col min="10757" max="10757" width="9.140625" style="1025"/>
    <col min="10758" max="10758" width="4.7109375" style="1025" customWidth="1"/>
    <col min="10759" max="10759" width="12.7109375" style="1025" bestFit="1" customWidth="1"/>
    <col min="10760" max="10760" width="9.140625" style="1025"/>
    <col min="10761" max="10761" width="11.5703125" style="1025" customWidth="1"/>
    <col min="10762" max="10762" width="11.28515625" style="1025" bestFit="1" customWidth="1"/>
    <col min="10763" max="10763" width="2" style="1025" customWidth="1"/>
    <col min="10764" max="10764" width="14" style="1025" customWidth="1"/>
    <col min="10765" max="10765" width="3.28515625" style="1025" customWidth="1"/>
    <col min="10766" max="11008" width="9.140625" style="1025"/>
    <col min="11009" max="11009" width="5" style="1025" customWidth="1"/>
    <col min="11010" max="11010" width="2.28515625" style="1025" customWidth="1"/>
    <col min="11011" max="11011" width="39.85546875" style="1025" bestFit="1" customWidth="1"/>
    <col min="11012" max="11012" width="13.85546875" style="1025" bestFit="1" customWidth="1"/>
    <col min="11013" max="11013" width="9.140625" style="1025"/>
    <col min="11014" max="11014" width="4.7109375" style="1025" customWidth="1"/>
    <col min="11015" max="11015" width="12.7109375" style="1025" bestFit="1" customWidth="1"/>
    <col min="11016" max="11016" width="9.140625" style="1025"/>
    <col min="11017" max="11017" width="11.5703125" style="1025" customWidth="1"/>
    <col min="11018" max="11018" width="11.28515625" style="1025" bestFit="1" customWidth="1"/>
    <col min="11019" max="11019" width="2" style="1025" customWidth="1"/>
    <col min="11020" max="11020" width="14" style="1025" customWidth="1"/>
    <col min="11021" max="11021" width="3.28515625" style="1025" customWidth="1"/>
    <col min="11022" max="11264" width="9.140625" style="1025"/>
    <col min="11265" max="11265" width="5" style="1025" customWidth="1"/>
    <col min="11266" max="11266" width="2.28515625" style="1025" customWidth="1"/>
    <col min="11267" max="11267" width="39.85546875" style="1025" bestFit="1" customWidth="1"/>
    <col min="11268" max="11268" width="13.85546875" style="1025" bestFit="1" customWidth="1"/>
    <col min="11269" max="11269" width="9.140625" style="1025"/>
    <col min="11270" max="11270" width="4.7109375" style="1025" customWidth="1"/>
    <col min="11271" max="11271" width="12.7109375" style="1025" bestFit="1" customWidth="1"/>
    <col min="11272" max="11272" width="9.140625" style="1025"/>
    <col min="11273" max="11273" width="11.5703125" style="1025" customWidth="1"/>
    <col min="11274" max="11274" width="11.28515625" style="1025" bestFit="1" customWidth="1"/>
    <col min="11275" max="11275" width="2" style="1025" customWidth="1"/>
    <col min="11276" max="11276" width="14" style="1025" customWidth="1"/>
    <col min="11277" max="11277" width="3.28515625" style="1025" customWidth="1"/>
    <col min="11278" max="11520" width="9.140625" style="1025"/>
    <col min="11521" max="11521" width="5" style="1025" customWidth="1"/>
    <col min="11522" max="11522" width="2.28515625" style="1025" customWidth="1"/>
    <col min="11523" max="11523" width="39.85546875" style="1025" bestFit="1" customWidth="1"/>
    <col min="11524" max="11524" width="13.85546875" style="1025" bestFit="1" customWidth="1"/>
    <col min="11525" max="11525" width="9.140625" style="1025"/>
    <col min="11526" max="11526" width="4.7109375" style="1025" customWidth="1"/>
    <col min="11527" max="11527" width="12.7109375" style="1025" bestFit="1" customWidth="1"/>
    <col min="11528" max="11528" width="9.140625" style="1025"/>
    <col min="11529" max="11529" width="11.5703125" style="1025" customWidth="1"/>
    <col min="11530" max="11530" width="11.28515625" style="1025" bestFit="1" customWidth="1"/>
    <col min="11531" max="11531" width="2" style="1025" customWidth="1"/>
    <col min="11532" max="11532" width="14" style="1025" customWidth="1"/>
    <col min="11533" max="11533" width="3.28515625" style="1025" customWidth="1"/>
    <col min="11534" max="11776" width="9.140625" style="1025"/>
    <col min="11777" max="11777" width="5" style="1025" customWidth="1"/>
    <col min="11778" max="11778" width="2.28515625" style="1025" customWidth="1"/>
    <col min="11779" max="11779" width="39.85546875" style="1025" bestFit="1" customWidth="1"/>
    <col min="11780" max="11780" width="13.85546875" style="1025" bestFit="1" customWidth="1"/>
    <col min="11781" max="11781" width="9.140625" style="1025"/>
    <col min="11782" max="11782" width="4.7109375" style="1025" customWidth="1"/>
    <col min="11783" max="11783" width="12.7109375" style="1025" bestFit="1" customWidth="1"/>
    <col min="11784" max="11784" width="9.140625" style="1025"/>
    <col min="11785" max="11785" width="11.5703125" style="1025" customWidth="1"/>
    <col min="11786" max="11786" width="11.28515625" style="1025" bestFit="1" customWidth="1"/>
    <col min="11787" max="11787" width="2" style="1025" customWidth="1"/>
    <col min="11788" max="11788" width="14" style="1025" customWidth="1"/>
    <col min="11789" max="11789" width="3.28515625" style="1025" customWidth="1"/>
    <col min="11790" max="12032" width="9.140625" style="1025"/>
    <col min="12033" max="12033" width="5" style="1025" customWidth="1"/>
    <col min="12034" max="12034" width="2.28515625" style="1025" customWidth="1"/>
    <col min="12035" max="12035" width="39.85546875" style="1025" bestFit="1" customWidth="1"/>
    <col min="12036" max="12036" width="13.85546875" style="1025" bestFit="1" customWidth="1"/>
    <col min="12037" max="12037" width="9.140625" style="1025"/>
    <col min="12038" max="12038" width="4.7109375" style="1025" customWidth="1"/>
    <col min="12039" max="12039" width="12.7109375" style="1025" bestFit="1" customWidth="1"/>
    <col min="12040" max="12040" width="9.140625" style="1025"/>
    <col min="12041" max="12041" width="11.5703125" style="1025" customWidth="1"/>
    <col min="12042" max="12042" width="11.28515625" style="1025" bestFit="1" customWidth="1"/>
    <col min="12043" max="12043" width="2" style="1025" customWidth="1"/>
    <col min="12044" max="12044" width="14" style="1025" customWidth="1"/>
    <col min="12045" max="12045" width="3.28515625" style="1025" customWidth="1"/>
    <col min="12046" max="12288" width="9.140625" style="1025"/>
    <col min="12289" max="12289" width="5" style="1025" customWidth="1"/>
    <col min="12290" max="12290" width="2.28515625" style="1025" customWidth="1"/>
    <col min="12291" max="12291" width="39.85546875" style="1025" bestFit="1" customWidth="1"/>
    <col min="12292" max="12292" width="13.85546875" style="1025" bestFit="1" customWidth="1"/>
    <col min="12293" max="12293" width="9.140625" style="1025"/>
    <col min="12294" max="12294" width="4.7109375" style="1025" customWidth="1"/>
    <col min="12295" max="12295" width="12.7109375" style="1025" bestFit="1" customWidth="1"/>
    <col min="12296" max="12296" width="9.140625" style="1025"/>
    <col min="12297" max="12297" width="11.5703125" style="1025" customWidth="1"/>
    <col min="12298" max="12298" width="11.28515625" style="1025" bestFit="1" customWidth="1"/>
    <col min="12299" max="12299" width="2" style="1025" customWidth="1"/>
    <col min="12300" max="12300" width="14" style="1025" customWidth="1"/>
    <col min="12301" max="12301" width="3.28515625" style="1025" customWidth="1"/>
    <col min="12302" max="12544" width="9.140625" style="1025"/>
    <col min="12545" max="12545" width="5" style="1025" customWidth="1"/>
    <col min="12546" max="12546" width="2.28515625" style="1025" customWidth="1"/>
    <col min="12547" max="12547" width="39.85546875" style="1025" bestFit="1" customWidth="1"/>
    <col min="12548" max="12548" width="13.85546875" style="1025" bestFit="1" customWidth="1"/>
    <col min="12549" max="12549" width="9.140625" style="1025"/>
    <col min="12550" max="12550" width="4.7109375" style="1025" customWidth="1"/>
    <col min="12551" max="12551" width="12.7109375" style="1025" bestFit="1" customWidth="1"/>
    <col min="12552" max="12552" width="9.140625" style="1025"/>
    <col min="12553" max="12553" width="11.5703125" style="1025" customWidth="1"/>
    <col min="12554" max="12554" width="11.28515625" style="1025" bestFit="1" customWidth="1"/>
    <col min="12555" max="12555" width="2" style="1025" customWidth="1"/>
    <col min="12556" max="12556" width="14" style="1025" customWidth="1"/>
    <col min="12557" max="12557" width="3.28515625" style="1025" customWidth="1"/>
    <col min="12558" max="12800" width="9.140625" style="1025"/>
    <col min="12801" max="12801" width="5" style="1025" customWidth="1"/>
    <col min="12802" max="12802" width="2.28515625" style="1025" customWidth="1"/>
    <col min="12803" max="12803" width="39.85546875" style="1025" bestFit="1" customWidth="1"/>
    <col min="12804" max="12804" width="13.85546875" style="1025" bestFit="1" customWidth="1"/>
    <col min="12805" max="12805" width="9.140625" style="1025"/>
    <col min="12806" max="12806" width="4.7109375" style="1025" customWidth="1"/>
    <col min="12807" max="12807" width="12.7109375" style="1025" bestFit="1" customWidth="1"/>
    <col min="12808" max="12808" width="9.140625" style="1025"/>
    <col min="12809" max="12809" width="11.5703125" style="1025" customWidth="1"/>
    <col min="12810" max="12810" width="11.28515625" style="1025" bestFit="1" customWidth="1"/>
    <col min="12811" max="12811" width="2" style="1025" customWidth="1"/>
    <col min="12812" max="12812" width="14" style="1025" customWidth="1"/>
    <col min="12813" max="12813" width="3.28515625" style="1025" customWidth="1"/>
    <col min="12814" max="13056" width="9.140625" style="1025"/>
    <col min="13057" max="13057" width="5" style="1025" customWidth="1"/>
    <col min="13058" max="13058" width="2.28515625" style="1025" customWidth="1"/>
    <col min="13059" max="13059" width="39.85546875" style="1025" bestFit="1" customWidth="1"/>
    <col min="13060" max="13060" width="13.85546875" style="1025" bestFit="1" customWidth="1"/>
    <col min="13061" max="13061" width="9.140625" style="1025"/>
    <col min="13062" max="13062" width="4.7109375" style="1025" customWidth="1"/>
    <col min="13063" max="13063" width="12.7109375" style="1025" bestFit="1" customWidth="1"/>
    <col min="13064" max="13064" width="9.140625" style="1025"/>
    <col min="13065" max="13065" width="11.5703125" style="1025" customWidth="1"/>
    <col min="13066" max="13066" width="11.28515625" style="1025" bestFit="1" customWidth="1"/>
    <col min="13067" max="13067" width="2" style="1025" customWidth="1"/>
    <col min="13068" max="13068" width="14" style="1025" customWidth="1"/>
    <col min="13069" max="13069" width="3.28515625" style="1025" customWidth="1"/>
    <col min="13070" max="13312" width="9.140625" style="1025"/>
    <col min="13313" max="13313" width="5" style="1025" customWidth="1"/>
    <col min="13314" max="13314" width="2.28515625" style="1025" customWidth="1"/>
    <col min="13315" max="13315" width="39.85546875" style="1025" bestFit="1" customWidth="1"/>
    <col min="13316" max="13316" width="13.85546875" style="1025" bestFit="1" customWidth="1"/>
    <col min="13317" max="13317" width="9.140625" style="1025"/>
    <col min="13318" max="13318" width="4.7109375" style="1025" customWidth="1"/>
    <col min="13319" max="13319" width="12.7109375" style="1025" bestFit="1" customWidth="1"/>
    <col min="13320" max="13320" width="9.140625" style="1025"/>
    <col min="13321" max="13321" width="11.5703125" style="1025" customWidth="1"/>
    <col min="13322" max="13322" width="11.28515625" style="1025" bestFit="1" customWidth="1"/>
    <col min="13323" max="13323" width="2" style="1025" customWidth="1"/>
    <col min="13324" max="13324" width="14" style="1025" customWidth="1"/>
    <col min="13325" max="13325" width="3.28515625" style="1025" customWidth="1"/>
    <col min="13326" max="13568" width="9.140625" style="1025"/>
    <col min="13569" max="13569" width="5" style="1025" customWidth="1"/>
    <col min="13570" max="13570" width="2.28515625" style="1025" customWidth="1"/>
    <col min="13571" max="13571" width="39.85546875" style="1025" bestFit="1" customWidth="1"/>
    <col min="13572" max="13572" width="13.85546875" style="1025" bestFit="1" customWidth="1"/>
    <col min="13573" max="13573" width="9.140625" style="1025"/>
    <col min="13574" max="13574" width="4.7109375" style="1025" customWidth="1"/>
    <col min="13575" max="13575" width="12.7109375" style="1025" bestFit="1" customWidth="1"/>
    <col min="13576" max="13576" width="9.140625" style="1025"/>
    <col min="13577" max="13577" width="11.5703125" style="1025" customWidth="1"/>
    <col min="13578" max="13578" width="11.28515625" style="1025" bestFit="1" customWidth="1"/>
    <col min="13579" max="13579" width="2" style="1025" customWidth="1"/>
    <col min="13580" max="13580" width="14" style="1025" customWidth="1"/>
    <col min="13581" max="13581" width="3.28515625" style="1025" customWidth="1"/>
    <col min="13582" max="13824" width="9.140625" style="1025"/>
    <col min="13825" max="13825" width="5" style="1025" customWidth="1"/>
    <col min="13826" max="13826" width="2.28515625" style="1025" customWidth="1"/>
    <col min="13827" max="13827" width="39.85546875" style="1025" bestFit="1" customWidth="1"/>
    <col min="13828" max="13828" width="13.85546875" style="1025" bestFit="1" customWidth="1"/>
    <col min="13829" max="13829" width="9.140625" style="1025"/>
    <col min="13830" max="13830" width="4.7109375" style="1025" customWidth="1"/>
    <col min="13831" max="13831" width="12.7109375" style="1025" bestFit="1" customWidth="1"/>
    <col min="13832" max="13832" width="9.140625" style="1025"/>
    <col min="13833" max="13833" width="11.5703125" style="1025" customWidth="1"/>
    <col min="13834" max="13834" width="11.28515625" style="1025" bestFit="1" customWidth="1"/>
    <col min="13835" max="13835" width="2" style="1025" customWidth="1"/>
    <col min="13836" max="13836" width="14" style="1025" customWidth="1"/>
    <col min="13837" max="13837" width="3.28515625" style="1025" customWidth="1"/>
    <col min="13838" max="14080" width="9.140625" style="1025"/>
    <col min="14081" max="14081" width="5" style="1025" customWidth="1"/>
    <col min="14082" max="14082" width="2.28515625" style="1025" customWidth="1"/>
    <col min="14083" max="14083" width="39.85546875" style="1025" bestFit="1" customWidth="1"/>
    <col min="14084" max="14084" width="13.85546875" style="1025" bestFit="1" customWidth="1"/>
    <col min="14085" max="14085" width="9.140625" style="1025"/>
    <col min="14086" max="14086" width="4.7109375" style="1025" customWidth="1"/>
    <col min="14087" max="14087" width="12.7109375" style="1025" bestFit="1" customWidth="1"/>
    <col min="14088" max="14088" width="9.140625" style="1025"/>
    <col min="14089" max="14089" width="11.5703125" style="1025" customWidth="1"/>
    <col min="14090" max="14090" width="11.28515625" style="1025" bestFit="1" customWidth="1"/>
    <col min="14091" max="14091" width="2" style="1025" customWidth="1"/>
    <col min="14092" max="14092" width="14" style="1025" customWidth="1"/>
    <col min="14093" max="14093" width="3.28515625" style="1025" customWidth="1"/>
    <col min="14094" max="14336" width="9.140625" style="1025"/>
    <col min="14337" max="14337" width="5" style="1025" customWidth="1"/>
    <col min="14338" max="14338" width="2.28515625" style="1025" customWidth="1"/>
    <col min="14339" max="14339" width="39.85546875" style="1025" bestFit="1" customWidth="1"/>
    <col min="14340" max="14340" width="13.85546875" style="1025" bestFit="1" customWidth="1"/>
    <col min="14341" max="14341" width="9.140625" style="1025"/>
    <col min="14342" max="14342" width="4.7109375" style="1025" customWidth="1"/>
    <col min="14343" max="14343" width="12.7109375" style="1025" bestFit="1" customWidth="1"/>
    <col min="14344" max="14344" width="9.140625" style="1025"/>
    <col min="14345" max="14345" width="11.5703125" style="1025" customWidth="1"/>
    <col min="14346" max="14346" width="11.28515625" style="1025" bestFit="1" customWidth="1"/>
    <col min="14347" max="14347" width="2" style="1025" customWidth="1"/>
    <col min="14348" max="14348" width="14" style="1025" customWidth="1"/>
    <col min="14349" max="14349" width="3.28515625" style="1025" customWidth="1"/>
    <col min="14350" max="14592" width="9.140625" style="1025"/>
    <col min="14593" max="14593" width="5" style="1025" customWidth="1"/>
    <col min="14594" max="14594" width="2.28515625" style="1025" customWidth="1"/>
    <col min="14595" max="14595" width="39.85546875" style="1025" bestFit="1" customWidth="1"/>
    <col min="14596" max="14596" width="13.85546875" style="1025" bestFit="1" customWidth="1"/>
    <col min="14597" max="14597" width="9.140625" style="1025"/>
    <col min="14598" max="14598" width="4.7109375" style="1025" customWidth="1"/>
    <col min="14599" max="14599" width="12.7109375" style="1025" bestFit="1" customWidth="1"/>
    <col min="14600" max="14600" width="9.140625" style="1025"/>
    <col min="14601" max="14601" width="11.5703125" style="1025" customWidth="1"/>
    <col min="14602" max="14602" width="11.28515625" style="1025" bestFit="1" customWidth="1"/>
    <col min="14603" max="14603" width="2" style="1025" customWidth="1"/>
    <col min="14604" max="14604" width="14" style="1025" customWidth="1"/>
    <col min="14605" max="14605" width="3.28515625" style="1025" customWidth="1"/>
    <col min="14606" max="14848" width="9.140625" style="1025"/>
    <col min="14849" max="14849" width="5" style="1025" customWidth="1"/>
    <col min="14850" max="14850" width="2.28515625" style="1025" customWidth="1"/>
    <col min="14851" max="14851" width="39.85546875" style="1025" bestFit="1" customWidth="1"/>
    <col min="14852" max="14852" width="13.85546875" style="1025" bestFit="1" customWidth="1"/>
    <col min="14853" max="14853" width="9.140625" style="1025"/>
    <col min="14854" max="14854" width="4.7109375" style="1025" customWidth="1"/>
    <col min="14855" max="14855" width="12.7109375" style="1025" bestFit="1" customWidth="1"/>
    <col min="14856" max="14856" width="9.140625" style="1025"/>
    <col min="14857" max="14857" width="11.5703125" style="1025" customWidth="1"/>
    <col min="14858" max="14858" width="11.28515625" style="1025" bestFit="1" customWidth="1"/>
    <col min="14859" max="14859" width="2" style="1025" customWidth="1"/>
    <col min="14860" max="14860" width="14" style="1025" customWidth="1"/>
    <col min="14861" max="14861" width="3.28515625" style="1025" customWidth="1"/>
    <col min="14862" max="15104" width="9.140625" style="1025"/>
    <col min="15105" max="15105" width="5" style="1025" customWidth="1"/>
    <col min="15106" max="15106" width="2.28515625" style="1025" customWidth="1"/>
    <col min="15107" max="15107" width="39.85546875" style="1025" bestFit="1" customWidth="1"/>
    <col min="15108" max="15108" width="13.85546875" style="1025" bestFit="1" customWidth="1"/>
    <col min="15109" max="15109" width="9.140625" style="1025"/>
    <col min="15110" max="15110" width="4.7109375" style="1025" customWidth="1"/>
    <col min="15111" max="15111" width="12.7109375" style="1025" bestFit="1" customWidth="1"/>
    <col min="15112" max="15112" width="9.140625" style="1025"/>
    <col min="15113" max="15113" width="11.5703125" style="1025" customWidth="1"/>
    <col min="15114" max="15114" width="11.28515625" style="1025" bestFit="1" customWidth="1"/>
    <col min="15115" max="15115" width="2" style="1025" customWidth="1"/>
    <col min="15116" max="15116" width="14" style="1025" customWidth="1"/>
    <col min="15117" max="15117" width="3.28515625" style="1025" customWidth="1"/>
    <col min="15118" max="15360" width="9.140625" style="1025"/>
    <col min="15361" max="15361" width="5" style="1025" customWidth="1"/>
    <col min="15362" max="15362" width="2.28515625" style="1025" customWidth="1"/>
    <col min="15363" max="15363" width="39.85546875" style="1025" bestFit="1" customWidth="1"/>
    <col min="15364" max="15364" width="13.85546875" style="1025" bestFit="1" customWidth="1"/>
    <col min="15365" max="15365" width="9.140625" style="1025"/>
    <col min="15366" max="15366" width="4.7109375" style="1025" customWidth="1"/>
    <col min="15367" max="15367" width="12.7109375" style="1025" bestFit="1" customWidth="1"/>
    <col min="15368" max="15368" width="9.140625" style="1025"/>
    <col min="15369" max="15369" width="11.5703125" style="1025" customWidth="1"/>
    <col min="15370" max="15370" width="11.28515625" style="1025" bestFit="1" customWidth="1"/>
    <col min="15371" max="15371" width="2" style="1025" customWidth="1"/>
    <col min="15372" max="15372" width="14" style="1025" customWidth="1"/>
    <col min="15373" max="15373" width="3.28515625" style="1025" customWidth="1"/>
    <col min="15374" max="15616" width="9.140625" style="1025"/>
    <col min="15617" max="15617" width="5" style="1025" customWidth="1"/>
    <col min="15618" max="15618" width="2.28515625" style="1025" customWidth="1"/>
    <col min="15619" max="15619" width="39.85546875" style="1025" bestFit="1" customWidth="1"/>
    <col min="15620" max="15620" width="13.85546875" style="1025" bestFit="1" customWidth="1"/>
    <col min="15621" max="15621" width="9.140625" style="1025"/>
    <col min="15622" max="15622" width="4.7109375" style="1025" customWidth="1"/>
    <col min="15623" max="15623" width="12.7109375" style="1025" bestFit="1" customWidth="1"/>
    <col min="15624" max="15624" width="9.140625" style="1025"/>
    <col min="15625" max="15625" width="11.5703125" style="1025" customWidth="1"/>
    <col min="15626" max="15626" width="11.28515625" style="1025" bestFit="1" customWidth="1"/>
    <col min="15627" max="15627" width="2" style="1025" customWidth="1"/>
    <col min="15628" max="15628" width="14" style="1025" customWidth="1"/>
    <col min="15629" max="15629" width="3.28515625" style="1025" customWidth="1"/>
    <col min="15630" max="15872" width="9.140625" style="1025"/>
    <col min="15873" max="15873" width="5" style="1025" customWidth="1"/>
    <col min="15874" max="15874" width="2.28515625" style="1025" customWidth="1"/>
    <col min="15875" max="15875" width="39.85546875" style="1025" bestFit="1" customWidth="1"/>
    <col min="15876" max="15876" width="13.85546875" style="1025" bestFit="1" customWidth="1"/>
    <col min="15877" max="15877" width="9.140625" style="1025"/>
    <col min="15878" max="15878" width="4.7109375" style="1025" customWidth="1"/>
    <col min="15879" max="15879" width="12.7109375" style="1025" bestFit="1" customWidth="1"/>
    <col min="15880" max="15880" width="9.140625" style="1025"/>
    <col min="15881" max="15881" width="11.5703125" style="1025" customWidth="1"/>
    <col min="15882" max="15882" width="11.28515625" style="1025" bestFit="1" customWidth="1"/>
    <col min="15883" max="15883" width="2" style="1025" customWidth="1"/>
    <col min="15884" max="15884" width="14" style="1025" customWidth="1"/>
    <col min="15885" max="15885" width="3.28515625" style="1025" customWidth="1"/>
    <col min="15886" max="16128" width="9.140625" style="1025"/>
    <col min="16129" max="16129" width="5" style="1025" customWidth="1"/>
    <col min="16130" max="16130" width="2.28515625" style="1025" customWidth="1"/>
    <col min="16131" max="16131" width="39.85546875" style="1025" bestFit="1" customWidth="1"/>
    <col min="16132" max="16132" width="13.85546875" style="1025" bestFit="1" customWidth="1"/>
    <col min="16133" max="16133" width="9.140625" style="1025"/>
    <col min="16134" max="16134" width="4.7109375" style="1025" customWidth="1"/>
    <col min="16135" max="16135" width="12.7109375" style="1025" bestFit="1" customWidth="1"/>
    <col min="16136" max="16136" width="9.140625" style="1025"/>
    <col min="16137" max="16137" width="11.5703125" style="1025" customWidth="1"/>
    <col min="16138" max="16138" width="11.28515625" style="1025" bestFit="1" customWidth="1"/>
    <col min="16139" max="16139" width="2" style="1025" customWidth="1"/>
    <col min="16140" max="16140" width="14" style="1025" customWidth="1"/>
    <col min="16141" max="16141" width="3.28515625" style="1025" customWidth="1"/>
    <col min="16142" max="16384" width="9.140625" style="1025"/>
  </cols>
  <sheetData>
    <row r="1" spans="1:8" x14ac:dyDescent="0.2">
      <c r="A1" s="1155" t="s">
        <v>70</v>
      </c>
      <c r="B1" s="1154"/>
      <c r="C1" s="1154"/>
      <c r="D1" s="1154"/>
      <c r="E1" s="1154"/>
      <c r="F1" s="1154"/>
      <c r="G1" s="1154"/>
      <c r="H1" s="1154"/>
    </row>
    <row r="2" spans="1:8" x14ac:dyDescent="0.2">
      <c r="A2" s="1154" t="s">
        <v>1938</v>
      </c>
      <c r="B2" s="1154"/>
      <c r="C2" s="1154"/>
      <c r="D2" s="1154"/>
      <c r="E2" s="1154"/>
      <c r="F2" s="1154"/>
      <c r="G2" s="1154"/>
      <c r="H2" s="1154"/>
    </row>
    <row r="3" spans="1:8" x14ac:dyDescent="0.2">
      <c r="A3" s="1154" t="s">
        <v>1939</v>
      </c>
      <c r="B3" s="1154"/>
      <c r="C3" s="1154"/>
      <c r="D3" s="1154"/>
      <c r="E3" s="1154"/>
      <c r="F3" s="1154"/>
      <c r="G3" s="1154"/>
      <c r="H3" s="1154"/>
    </row>
    <row r="4" spans="1:8" x14ac:dyDescent="0.2">
      <c r="A4" s="1154" t="s">
        <v>1940</v>
      </c>
      <c r="B4" s="1154"/>
      <c r="C4" s="1154"/>
      <c r="D4" s="1154"/>
      <c r="E4" s="1154"/>
      <c r="F4" s="1154"/>
      <c r="G4" s="1154"/>
      <c r="H4" s="1154"/>
    </row>
    <row r="6" spans="1:8" s="1191" customFormat="1" ht="25.5" customHeight="1" x14ac:dyDescent="0.2">
      <c r="A6" s="1068" t="s">
        <v>95</v>
      </c>
      <c r="B6" s="1029"/>
      <c r="C6" s="1190" t="s">
        <v>1941</v>
      </c>
      <c r="D6" s="1190" t="s">
        <v>1942</v>
      </c>
    </row>
    <row r="7" spans="1:8" s="1191" customFormat="1" x14ac:dyDescent="0.2">
      <c r="A7" s="1168"/>
      <c r="B7" s="1192"/>
      <c r="C7" s="1169"/>
      <c r="D7" s="1193"/>
    </row>
    <row r="8" spans="1:8" x14ac:dyDescent="0.2">
      <c r="B8" s="1194" t="s">
        <v>1943</v>
      </c>
      <c r="D8" s="1195"/>
    </row>
    <row r="9" spans="1:8" x14ac:dyDescent="0.2">
      <c r="A9" s="1086">
        <v>1</v>
      </c>
      <c r="C9" s="1079" t="s">
        <v>374</v>
      </c>
      <c r="D9" s="1197"/>
    </row>
    <row r="10" spans="1:8" x14ac:dyDescent="0.2">
      <c r="A10" s="1086">
        <f>A9+1</f>
        <v>2</v>
      </c>
      <c r="C10" s="1074" t="s">
        <v>1944</v>
      </c>
      <c r="D10" s="1198">
        <f>'JKP-8.8 - Class Calc'!F9</f>
        <v>6266897.1001373474</v>
      </c>
    </row>
    <row r="11" spans="1:8" x14ac:dyDescent="0.2">
      <c r="A11" s="1086">
        <f>A10+1</f>
        <v>3</v>
      </c>
      <c r="C11" s="1074" t="s">
        <v>1945</v>
      </c>
      <c r="D11" s="1199">
        <f>SUM(D10)</f>
        <v>6266897.1001373474</v>
      </c>
    </row>
    <row r="12" spans="1:8" x14ac:dyDescent="0.2">
      <c r="A12" s="1086"/>
      <c r="C12" s="1074"/>
      <c r="D12" s="1200"/>
    </row>
    <row r="13" spans="1:8" x14ac:dyDescent="0.2">
      <c r="A13" s="1086">
        <f>A11+1</f>
        <v>4</v>
      </c>
      <c r="C13" s="1201" t="s">
        <v>1946</v>
      </c>
      <c r="D13" s="1202"/>
    </row>
    <row r="14" spans="1:8" x14ac:dyDescent="0.2">
      <c r="A14" s="1086">
        <f>A13+1</f>
        <v>5</v>
      </c>
      <c r="C14" s="1074" t="s">
        <v>1947</v>
      </c>
      <c r="D14" s="1198">
        <f>'JKP-8.8 - Class Calc'!F12</f>
        <v>2015843.5912136312</v>
      </c>
    </row>
    <row r="15" spans="1:8" x14ac:dyDescent="0.2">
      <c r="A15" s="1086">
        <f>A14+1</f>
        <v>6</v>
      </c>
      <c r="C15" s="1074" t="s">
        <v>1948</v>
      </c>
      <c r="D15" s="1198">
        <f>'JKP-8.8 - Class Calc'!F13</f>
        <v>305525</v>
      </c>
    </row>
    <row r="16" spans="1:8" x14ac:dyDescent="0.2">
      <c r="A16" s="1086">
        <f>A15+1</f>
        <v>7</v>
      </c>
      <c r="C16" s="1074" t="s">
        <v>1946</v>
      </c>
      <c r="D16" s="1199">
        <f>SUM(D14:D15)</f>
        <v>2321368.5912136314</v>
      </c>
    </row>
    <row r="17" spans="1:4" x14ac:dyDescent="0.2">
      <c r="A17" s="1086"/>
      <c r="C17" s="1074"/>
      <c r="D17" s="1200"/>
    </row>
    <row r="18" spans="1:4" x14ac:dyDescent="0.2">
      <c r="A18" s="1086">
        <f>A16+1</f>
        <v>8</v>
      </c>
      <c r="C18" s="1201" t="s">
        <v>1949</v>
      </c>
      <c r="D18" s="1202"/>
    </row>
    <row r="19" spans="1:4" x14ac:dyDescent="0.2">
      <c r="A19" s="1086">
        <f>A18+1</f>
        <v>9</v>
      </c>
      <c r="C19" s="1074" t="s">
        <v>1950</v>
      </c>
      <c r="D19" s="1198">
        <f>'JKP-8.8 - Class Calc'!F16</f>
        <v>153127.8864237672</v>
      </c>
    </row>
    <row r="20" spans="1:4" x14ac:dyDescent="0.2">
      <c r="A20" s="1086">
        <f>A19+1</f>
        <v>10</v>
      </c>
      <c r="C20" s="1074" t="s">
        <v>1951</v>
      </c>
      <c r="D20" s="1198">
        <f>'JKP-8.8 - Class Calc'!F17</f>
        <v>57337</v>
      </c>
    </row>
    <row r="21" spans="1:4" x14ac:dyDescent="0.2">
      <c r="A21" s="1086">
        <f>A20+1</f>
        <v>11</v>
      </c>
      <c r="C21" s="1081" t="s">
        <v>1949</v>
      </c>
      <c r="D21" s="1199">
        <f>SUM(D19:D20)</f>
        <v>210464.8864237672</v>
      </c>
    </row>
    <row r="22" spans="1:4" x14ac:dyDescent="0.2">
      <c r="A22" s="1086">
        <f>A21+1</f>
        <v>12</v>
      </c>
      <c r="C22" s="1081" t="s">
        <v>1952</v>
      </c>
      <c r="D22" s="1200">
        <f>D11+D16+D21</f>
        <v>8798730.5777747445</v>
      </c>
    </row>
    <row r="23" spans="1:4" x14ac:dyDescent="0.2">
      <c r="A23" s="1086"/>
      <c r="C23" s="1074"/>
      <c r="D23" s="1200"/>
    </row>
    <row r="24" spans="1:4" x14ac:dyDescent="0.2">
      <c r="A24" s="1086">
        <f>A22+1</f>
        <v>13</v>
      </c>
      <c r="C24" s="1201" t="s">
        <v>1953</v>
      </c>
      <c r="D24" s="1203"/>
    </row>
    <row r="25" spans="1:4" x14ac:dyDescent="0.2">
      <c r="A25" s="1086">
        <f>A24+1</f>
        <v>14</v>
      </c>
      <c r="C25" s="1081" t="s">
        <v>1954</v>
      </c>
      <c r="D25" s="1198">
        <f>'JKP-8.8 - Class Calc'!F23+'JKP-8.8 - Class Calc'!F26</f>
        <v>10036</v>
      </c>
    </row>
    <row r="26" spans="1:4" x14ac:dyDescent="0.2">
      <c r="A26" s="1086">
        <f>A25+1</f>
        <v>15</v>
      </c>
      <c r="C26" s="1081" t="s">
        <v>1955</v>
      </c>
      <c r="D26" s="1198">
        <f>'JKP-8.8 - Class Calc'!F24+'JKP-8.8 - Class Calc'!F27</f>
        <v>8376</v>
      </c>
    </row>
    <row r="27" spans="1:4" x14ac:dyDescent="0.2">
      <c r="A27" s="1086">
        <f>A26+1</f>
        <v>16</v>
      </c>
      <c r="C27" s="1081" t="s">
        <v>1956</v>
      </c>
      <c r="D27" s="1198">
        <f>'JKP-8.8 - Class Calc'!F25+'JKP-8.8 - Class Calc'!F28</f>
        <v>532</v>
      </c>
    </row>
    <row r="28" spans="1:4" x14ac:dyDescent="0.2">
      <c r="A28" s="1086">
        <f>A27+1</f>
        <v>17</v>
      </c>
      <c r="C28" s="1042" t="s">
        <v>1953</v>
      </c>
      <c r="D28" s="1199">
        <f>SUM(D25:D27)</f>
        <v>18944</v>
      </c>
    </row>
    <row r="29" spans="1:4" x14ac:dyDescent="0.2">
      <c r="A29" s="1086"/>
      <c r="C29" s="1042"/>
      <c r="D29" s="1204"/>
    </row>
    <row r="30" spans="1:4" ht="13.5" thickBot="1" x14ac:dyDescent="0.25">
      <c r="A30" s="1086">
        <f>A28+1</f>
        <v>18</v>
      </c>
      <c r="C30" s="1074" t="s">
        <v>1957</v>
      </c>
      <c r="D30" s="1205">
        <f>D22+D28</f>
        <v>8817674.5777747445</v>
      </c>
    </row>
    <row r="31" spans="1:4" ht="13.5" thickTop="1" x14ac:dyDescent="0.2">
      <c r="A31" s="1086"/>
      <c r="C31" s="1074"/>
      <c r="D31" s="1200"/>
    </row>
    <row r="32" spans="1:4" x14ac:dyDescent="0.2">
      <c r="A32" s="1086">
        <f>A30+1</f>
        <v>19</v>
      </c>
      <c r="C32" s="1079" t="s">
        <v>368</v>
      </c>
      <c r="D32" s="1202"/>
    </row>
    <row r="33" spans="1:4" x14ac:dyDescent="0.2">
      <c r="A33" s="1086">
        <f t="shared" ref="A33:A55" si="0">A32+1</f>
        <v>20</v>
      </c>
      <c r="C33" s="1081" t="s">
        <v>1958</v>
      </c>
      <c r="D33" s="1203">
        <f>12103+20237</f>
        <v>32340</v>
      </c>
    </row>
    <row r="34" spans="1:4" x14ac:dyDescent="0.2">
      <c r="A34" s="1086">
        <f t="shared" si="0"/>
        <v>21</v>
      </c>
      <c r="C34" s="1081" t="s">
        <v>1959</v>
      </c>
      <c r="D34" s="1203">
        <f>19356+35601</f>
        <v>54957</v>
      </c>
    </row>
    <row r="35" spans="1:4" x14ac:dyDescent="0.2">
      <c r="A35" s="1086">
        <f t="shared" si="0"/>
        <v>22</v>
      </c>
      <c r="C35" s="1081" t="s">
        <v>1960</v>
      </c>
      <c r="D35" s="1203">
        <v>0</v>
      </c>
    </row>
    <row r="36" spans="1:4" x14ac:dyDescent="0.2">
      <c r="A36" s="1086">
        <f t="shared" si="0"/>
        <v>23</v>
      </c>
      <c r="C36" s="1081" t="s">
        <v>1961</v>
      </c>
      <c r="D36" s="1203">
        <f>2+37722</f>
        <v>37724</v>
      </c>
    </row>
    <row r="37" spans="1:4" x14ac:dyDescent="0.2">
      <c r="A37" s="1086">
        <f t="shared" si="0"/>
        <v>24</v>
      </c>
      <c r="C37" s="1039" t="s">
        <v>144</v>
      </c>
      <c r="D37" s="1203">
        <v>38483</v>
      </c>
    </row>
    <row r="38" spans="1:4" x14ac:dyDescent="0.2">
      <c r="A38" s="1086">
        <f t="shared" si="0"/>
        <v>25</v>
      </c>
      <c r="C38" s="1074" t="s">
        <v>1962</v>
      </c>
      <c r="D38" s="1199">
        <f>SUM(D33:D37)</f>
        <v>163504</v>
      </c>
    </row>
    <row r="39" spans="1:4" ht="13.5" thickBot="1" x14ac:dyDescent="0.25">
      <c r="A39" s="1086">
        <f t="shared" si="0"/>
        <v>26</v>
      </c>
      <c r="C39" s="1074" t="s">
        <v>1963</v>
      </c>
      <c r="D39" s="1205">
        <f>SUM(D30,D38)</f>
        <v>8981178.5777747445</v>
      </c>
    </row>
    <row r="40" spans="1:4" ht="13.5" thickTop="1" x14ac:dyDescent="0.2">
      <c r="A40" s="1086"/>
      <c r="C40" s="1074"/>
      <c r="D40" s="1200"/>
    </row>
    <row r="41" spans="1:4" x14ac:dyDescent="0.2">
      <c r="B41" s="1206" t="s">
        <v>1964</v>
      </c>
      <c r="D41" s="1202"/>
    </row>
    <row r="42" spans="1:4" x14ac:dyDescent="0.2">
      <c r="A42" s="1086">
        <f>A39+1</f>
        <v>27</v>
      </c>
      <c r="C42" s="1079" t="s">
        <v>1965</v>
      </c>
      <c r="D42" s="1202"/>
    </row>
    <row r="43" spans="1:4" x14ac:dyDescent="0.2">
      <c r="A43" s="1086">
        <f t="shared" si="0"/>
        <v>28</v>
      </c>
      <c r="C43" s="1081" t="s">
        <v>1966</v>
      </c>
      <c r="D43" s="1203">
        <v>0</v>
      </c>
    </row>
    <row r="44" spans="1:4" x14ac:dyDescent="0.2">
      <c r="A44" s="1086">
        <f t="shared" si="0"/>
        <v>29</v>
      </c>
      <c r="C44" s="1081" t="s">
        <v>1967</v>
      </c>
      <c r="D44" s="1203">
        <v>0</v>
      </c>
    </row>
    <row r="45" spans="1:4" x14ac:dyDescent="0.2">
      <c r="A45" s="1086">
        <f t="shared" si="0"/>
        <v>30</v>
      </c>
      <c r="C45" s="1081" t="s">
        <v>1968</v>
      </c>
      <c r="D45" s="1203">
        <v>0</v>
      </c>
    </row>
    <row r="46" spans="1:4" x14ac:dyDescent="0.2">
      <c r="A46" s="1086">
        <f t="shared" si="0"/>
        <v>31</v>
      </c>
      <c r="C46" s="1074" t="s">
        <v>1969</v>
      </c>
      <c r="D46" s="1199">
        <f>SUM(D43:D45)</f>
        <v>0</v>
      </c>
    </row>
    <row r="47" spans="1:4" x14ac:dyDescent="0.2">
      <c r="A47" s="1086"/>
      <c r="C47" s="1074"/>
      <c r="D47" s="1200"/>
    </row>
    <row r="48" spans="1:4" x14ac:dyDescent="0.2">
      <c r="A48" s="1086">
        <f>A46+1</f>
        <v>32</v>
      </c>
      <c r="C48" s="1079" t="s">
        <v>368</v>
      </c>
      <c r="D48" s="1202"/>
    </row>
    <row r="49" spans="1:15" x14ac:dyDescent="0.2">
      <c r="A49" s="1086">
        <f>A48+1</f>
        <v>33</v>
      </c>
      <c r="C49" s="1081" t="s">
        <v>1959</v>
      </c>
      <c r="D49" s="1203">
        <v>0</v>
      </c>
    </row>
    <row r="50" spans="1:15" x14ac:dyDescent="0.2">
      <c r="A50" s="1086">
        <f>A49+1</f>
        <v>34</v>
      </c>
      <c r="C50" s="1081" t="s">
        <v>1960</v>
      </c>
      <c r="D50" s="1203">
        <v>0</v>
      </c>
    </row>
    <row r="51" spans="1:15" x14ac:dyDescent="0.2">
      <c r="A51" s="1086">
        <f>A50+1</f>
        <v>35</v>
      </c>
      <c r="C51" s="1081" t="s">
        <v>1961</v>
      </c>
      <c r="D51" s="1203">
        <v>0</v>
      </c>
    </row>
    <row r="52" spans="1:15" x14ac:dyDescent="0.2">
      <c r="A52" s="1086">
        <f t="shared" si="0"/>
        <v>36</v>
      </c>
      <c r="C52" s="1081" t="s">
        <v>144</v>
      </c>
      <c r="D52" s="1203">
        <v>0</v>
      </c>
    </row>
    <row r="53" spans="1:15" x14ac:dyDescent="0.2">
      <c r="A53" s="1086">
        <f t="shared" si="0"/>
        <v>37</v>
      </c>
      <c r="C53" s="1074" t="s">
        <v>1970</v>
      </c>
      <c r="D53" s="1199">
        <f>SUM(D49:D52)</f>
        <v>0</v>
      </c>
    </row>
    <row r="54" spans="1:15" ht="13.5" thickBot="1" x14ac:dyDescent="0.25">
      <c r="A54" s="1086">
        <f t="shared" si="0"/>
        <v>38</v>
      </c>
      <c r="C54" s="1074" t="s">
        <v>1971</v>
      </c>
      <c r="D54" s="1205">
        <f>SUM(D53,D46)</f>
        <v>0</v>
      </c>
    </row>
    <row r="55" spans="1:15" ht="14.25" thickTop="1" thickBot="1" x14ac:dyDescent="0.25">
      <c r="A55" s="1086">
        <f t="shared" si="0"/>
        <v>39</v>
      </c>
      <c r="C55" s="1206" t="s">
        <v>1972</v>
      </c>
      <c r="D55" s="1207">
        <f>SUM(D54,D39)</f>
        <v>8981178.5777747445</v>
      </c>
    </row>
    <row r="56" spans="1:15" ht="13.5" thickTop="1" x14ac:dyDescent="0.2">
      <c r="A56" s="1086"/>
      <c r="C56" s="1206"/>
      <c r="D56" s="1200"/>
    </row>
    <row r="57" spans="1:15" x14ac:dyDescent="0.2">
      <c r="A57" s="1086"/>
      <c r="B57" s="1079" t="s">
        <v>1973</v>
      </c>
      <c r="C57" s="1074"/>
      <c r="D57" s="1074"/>
      <c r="E57" s="1074"/>
      <c r="F57" s="1074"/>
      <c r="G57" s="1074"/>
    </row>
    <row r="58" spans="1:15" ht="38.25" x14ac:dyDescent="0.2">
      <c r="A58" s="1086"/>
      <c r="C58" s="1190" t="s">
        <v>1974</v>
      </c>
      <c r="D58" s="1190" t="s">
        <v>1975</v>
      </c>
      <c r="E58" s="1190" t="s">
        <v>1976</v>
      </c>
      <c r="F58" s="1190"/>
      <c r="G58" s="1068" t="s">
        <v>1977</v>
      </c>
      <c r="H58" s="1190" t="s">
        <v>1978</v>
      </c>
    </row>
    <row r="59" spans="1:15" x14ac:dyDescent="0.2">
      <c r="A59" s="1086">
        <f>A55+1</f>
        <v>40</v>
      </c>
      <c r="C59" s="1081" t="s">
        <v>1979</v>
      </c>
      <c r="D59" s="1200">
        <f xml:space="preserve"> SUM(D10:D10)</f>
        <v>6266897.1001373474</v>
      </c>
      <c r="E59" s="1208">
        <f>ROUND(D59/$D$67,4)</f>
        <v>0.69779999999999998</v>
      </c>
      <c r="F59" s="1209"/>
      <c r="G59" s="1200">
        <f>D59</f>
        <v>6266897.1001373474</v>
      </c>
      <c r="H59" s="1208">
        <f>ROUND(G59/$G$67,4)</f>
        <v>0.7107</v>
      </c>
      <c r="J59" s="1181"/>
      <c r="L59" s="1045"/>
      <c r="O59" s="1181"/>
    </row>
    <row r="60" spans="1:15" x14ac:dyDescent="0.2">
      <c r="A60" s="1086">
        <f>A59+1</f>
        <v>41</v>
      </c>
      <c r="C60" s="1081" t="s">
        <v>1980</v>
      </c>
      <c r="D60" s="1200">
        <f>D14+D19</f>
        <v>2168971.4776373985</v>
      </c>
      <c r="E60" s="1208">
        <f>ROUND(D60/$D$67,4)</f>
        <v>0.24149999999999999</v>
      </c>
      <c r="F60" s="1209"/>
      <c r="G60" s="1200">
        <f>D60</f>
        <v>2168971.4776373985</v>
      </c>
      <c r="H60" s="1208">
        <f>ROUND(G60/$G$67,4)</f>
        <v>0.246</v>
      </c>
      <c r="J60" s="1181"/>
      <c r="L60" s="1045"/>
      <c r="O60" s="1181"/>
    </row>
    <row r="61" spans="1:15" x14ac:dyDescent="0.2">
      <c r="A61" s="1086">
        <f t="shared" ref="A61:A67" si="1">A60+1</f>
        <v>42</v>
      </c>
      <c r="C61" s="1081" t="s">
        <v>801</v>
      </c>
      <c r="D61" s="1200">
        <f>D15+D20+D33</f>
        <v>395202</v>
      </c>
      <c r="E61" s="1208">
        <f t="shared" ref="E61:E67" si="2">ROUND(D61/$D$67,4)</f>
        <v>4.3999999999999997E-2</v>
      </c>
      <c r="F61" s="1209"/>
      <c r="G61" s="1200">
        <f>D61-D33</f>
        <v>362862</v>
      </c>
      <c r="H61" s="1208">
        <f t="shared" ref="H61:H67" si="3">ROUND(G61/$G$67,4)</f>
        <v>4.1200000000000001E-2</v>
      </c>
      <c r="J61" s="1181"/>
      <c r="L61" s="1045"/>
      <c r="O61" s="1181"/>
    </row>
    <row r="62" spans="1:15" x14ac:dyDescent="0.2">
      <c r="A62" s="1086">
        <f t="shared" si="1"/>
        <v>43</v>
      </c>
      <c r="C62" s="1081" t="s">
        <v>1404</v>
      </c>
      <c r="D62" s="1200">
        <f>D25+D34+D43+D50</f>
        <v>64993</v>
      </c>
      <c r="E62" s="1208">
        <f t="shared" si="2"/>
        <v>7.1999999999999998E-3</v>
      </c>
      <c r="F62" s="1209"/>
      <c r="G62" s="1200">
        <f>D62-D34</f>
        <v>10036</v>
      </c>
      <c r="H62" s="1208">
        <f t="shared" si="3"/>
        <v>1.1000000000000001E-3</v>
      </c>
      <c r="J62" s="1181"/>
      <c r="L62" s="1045"/>
      <c r="O62" s="1181"/>
    </row>
    <row r="63" spans="1:15" x14ac:dyDescent="0.2">
      <c r="A63" s="1086">
        <f t="shared" si="1"/>
        <v>44</v>
      </c>
      <c r="C63" s="1081" t="s">
        <v>802</v>
      </c>
      <c r="D63" s="1200">
        <f>D26+D44</f>
        <v>8376</v>
      </c>
      <c r="E63" s="1208">
        <f>ROUND(D63/$D$67,4)</f>
        <v>8.9999999999999998E-4</v>
      </c>
      <c r="F63" s="1209"/>
      <c r="G63" s="1200">
        <f>D63</f>
        <v>8376</v>
      </c>
      <c r="H63" s="1208">
        <f>ROUND(G63/$G$67,4)-0.0001</f>
        <v>7.9999999999999993E-4</v>
      </c>
      <c r="J63" s="1181"/>
      <c r="L63" s="1045"/>
      <c r="O63" s="1181"/>
    </row>
    <row r="64" spans="1:15" x14ac:dyDescent="0.2">
      <c r="A64" s="1086">
        <f t="shared" si="1"/>
        <v>45</v>
      </c>
      <c r="C64" s="1081" t="s">
        <v>1981</v>
      </c>
      <c r="D64" s="1200">
        <f>D27+D36+D45+D51</f>
        <v>38256</v>
      </c>
      <c r="E64" s="1208">
        <f t="shared" si="2"/>
        <v>4.3E-3</v>
      </c>
      <c r="F64" s="1209"/>
      <c r="G64" s="1200">
        <f>D64-D36</f>
        <v>532</v>
      </c>
      <c r="H64" s="1208">
        <f t="shared" si="3"/>
        <v>1E-4</v>
      </c>
      <c r="J64" s="1181"/>
      <c r="L64" s="1045"/>
      <c r="O64" s="1181"/>
    </row>
    <row r="65" spans="1:15" x14ac:dyDescent="0.2">
      <c r="A65" s="1086">
        <f t="shared" si="1"/>
        <v>46</v>
      </c>
      <c r="C65" s="1039" t="s">
        <v>144</v>
      </c>
      <c r="D65" s="1200">
        <f>D37</f>
        <v>38483</v>
      </c>
      <c r="E65" s="1208">
        <f t="shared" si="2"/>
        <v>4.3E-3</v>
      </c>
      <c r="F65" s="1209"/>
      <c r="G65" s="1200">
        <v>0</v>
      </c>
      <c r="H65" s="1208">
        <f t="shared" si="3"/>
        <v>0</v>
      </c>
      <c r="J65" s="1181"/>
      <c r="L65" s="1045"/>
      <c r="O65" s="1181"/>
    </row>
    <row r="66" spans="1:15" x14ac:dyDescent="0.2">
      <c r="A66" s="1086">
        <f t="shared" si="1"/>
        <v>47</v>
      </c>
      <c r="C66" s="1081" t="s">
        <v>90</v>
      </c>
      <c r="D66" s="1210">
        <v>0</v>
      </c>
      <c r="E66" s="1208">
        <f t="shared" si="2"/>
        <v>0</v>
      </c>
      <c r="F66" s="1209"/>
      <c r="G66" s="1211">
        <v>0</v>
      </c>
      <c r="H66" s="1208">
        <f t="shared" si="3"/>
        <v>0</v>
      </c>
      <c r="J66" s="1181"/>
      <c r="L66" s="1045"/>
      <c r="O66" s="1181"/>
    </row>
    <row r="67" spans="1:15" x14ac:dyDescent="0.2">
      <c r="A67" s="1086">
        <f t="shared" si="1"/>
        <v>48</v>
      </c>
      <c r="C67" s="1081" t="s">
        <v>1982</v>
      </c>
      <c r="D67" s="1204">
        <f>SUM(D59:D66)</f>
        <v>8981178.5777747463</v>
      </c>
      <c r="E67" s="1208">
        <f t="shared" si="2"/>
        <v>1</v>
      </c>
      <c r="F67" s="1209"/>
      <c r="G67" s="1200">
        <f>SUM(G59:G66)</f>
        <v>8817674.5777747463</v>
      </c>
      <c r="H67" s="1208">
        <f t="shared" si="3"/>
        <v>1</v>
      </c>
      <c r="J67" s="1181"/>
      <c r="L67" s="1045"/>
      <c r="O67" s="1181"/>
    </row>
    <row r="68" spans="1:15" x14ac:dyDescent="0.2">
      <c r="A68" s="1086"/>
      <c r="C68" s="1074"/>
      <c r="D68" s="1200"/>
      <c r="E68" s="1081"/>
      <c r="F68" s="1212"/>
      <c r="G68" s="1081"/>
      <c r="H68" s="1026"/>
    </row>
    <row r="69" spans="1:15" x14ac:dyDescent="0.2">
      <c r="C69" s="1074"/>
      <c r="D69" s="1074"/>
      <c r="E69" s="1074"/>
      <c r="F69" s="1074"/>
      <c r="G69" s="1074"/>
    </row>
    <row r="71" spans="1:15" x14ac:dyDescent="0.2">
      <c r="A71" s="1026"/>
      <c r="B71" s="1213"/>
      <c r="C71" s="1026"/>
      <c r="D71" s="1026"/>
      <c r="E71" s="1026"/>
      <c r="F71" s="1026"/>
      <c r="G71" s="1026"/>
      <c r="H71" s="1026"/>
    </row>
    <row r="72" spans="1:15" x14ac:dyDescent="0.2">
      <c r="G72" s="1074"/>
    </row>
    <row r="73" spans="1:15" x14ac:dyDescent="0.2">
      <c r="G73" s="1074"/>
    </row>
  </sheetData>
  <pageMargins left="0.7" right="0.7" top="0.75" bottom="0.75" header="0.3" footer="0.3"/>
  <pageSetup orientation="portrait" r:id="rId1"/>
  <rowBreaks count="1" manualBreakCount="1">
    <brk id="69"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G36"/>
  <sheetViews>
    <sheetView workbookViewId="0">
      <selection activeCell="C35" sqref="C35"/>
    </sheetView>
  </sheetViews>
  <sheetFormatPr defaultRowHeight="12.75" x14ac:dyDescent="0.2"/>
  <cols>
    <col min="1" max="1" width="9.140625" style="1217"/>
    <col min="2" max="2" width="24.7109375" style="1217" customWidth="1"/>
    <col min="3" max="3" width="9.28515625" style="1217" bestFit="1" customWidth="1"/>
    <col min="4" max="4" width="15.42578125" style="1275" customWidth="1"/>
    <col min="5" max="5" width="15.140625" style="1267" bestFit="1" customWidth="1"/>
    <col min="6" max="6" width="13.7109375" style="1275" bestFit="1" customWidth="1"/>
    <col min="7" max="7" width="59.42578125" style="1217" bestFit="1" customWidth="1"/>
    <col min="8" max="257" width="9.140625" style="1217"/>
    <col min="258" max="258" width="24.7109375" style="1217" customWidth="1"/>
    <col min="259" max="259" width="9.28515625" style="1217" bestFit="1" customWidth="1"/>
    <col min="260" max="260" width="15.42578125" style="1217" customWidth="1"/>
    <col min="261" max="261" width="15.140625" style="1217" bestFit="1" customWidth="1"/>
    <col min="262" max="262" width="13.7109375" style="1217" bestFit="1" customWidth="1"/>
    <col min="263" max="263" width="59.42578125" style="1217" bestFit="1" customWidth="1"/>
    <col min="264" max="513" width="9.140625" style="1217"/>
    <col min="514" max="514" width="24.7109375" style="1217" customWidth="1"/>
    <col min="515" max="515" width="9.28515625" style="1217" bestFit="1" customWidth="1"/>
    <col min="516" max="516" width="15.42578125" style="1217" customWidth="1"/>
    <col min="517" max="517" width="15.140625" style="1217" bestFit="1" customWidth="1"/>
    <col min="518" max="518" width="13.7109375" style="1217" bestFit="1" customWidth="1"/>
    <col min="519" max="519" width="59.42578125" style="1217" bestFit="1" customWidth="1"/>
    <col min="520" max="769" width="9.140625" style="1217"/>
    <col min="770" max="770" width="24.7109375" style="1217" customWidth="1"/>
    <col min="771" max="771" width="9.28515625" style="1217" bestFit="1" customWidth="1"/>
    <col min="772" max="772" width="15.42578125" style="1217" customWidth="1"/>
    <col min="773" max="773" width="15.140625" style="1217" bestFit="1" customWidth="1"/>
    <col min="774" max="774" width="13.7109375" style="1217" bestFit="1" customWidth="1"/>
    <col min="775" max="775" width="59.42578125" style="1217" bestFit="1" customWidth="1"/>
    <col min="776" max="1025" width="9.140625" style="1217"/>
    <col min="1026" max="1026" width="24.7109375" style="1217" customWidth="1"/>
    <col min="1027" max="1027" width="9.28515625" style="1217" bestFit="1" customWidth="1"/>
    <col min="1028" max="1028" width="15.42578125" style="1217" customWidth="1"/>
    <col min="1029" max="1029" width="15.140625" style="1217" bestFit="1" customWidth="1"/>
    <col min="1030" max="1030" width="13.7109375" style="1217" bestFit="1" customWidth="1"/>
    <col min="1031" max="1031" width="59.42578125" style="1217" bestFit="1" customWidth="1"/>
    <col min="1032" max="1281" width="9.140625" style="1217"/>
    <col min="1282" max="1282" width="24.7109375" style="1217" customWidth="1"/>
    <col min="1283" max="1283" width="9.28515625" style="1217" bestFit="1" customWidth="1"/>
    <col min="1284" max="1284" width="15.42578125" style="1217" customWidth="1"/>
    <col min="1285" max="1285" width="15.140625" style="1217" bestFit="1" customWidth="1"/>
    <col min="1286" max="1286" width="13.7109375" style="1217" bestFit="1" customWidth="1"/>
    <col min="1287" max="1287" width="59.42578125" style="1217" bestFit="1" customWidth="1"/>
    <col min="1288" max="1537" width="9.140625" style="1217"/>
    <col min="1538" max="1538" width="24.7109375" style="1217" customWidth="1"/>
    <col min="1539" max="1539" width="9.28515625" style="1217" bestFit="1" customWidth="1"/>
    <col min="1540" max="1540" width="15.42578125" style="1217" customWidth="1"/>
    <col min="1541" max="1541" width="15.140625" style="1217" bestFit="1" customWidth="1"/>
    <col min="1542" max="1542" width="13.7109375" style="1217" bestFit="1" customWidth="1"/>
    <col min="1543" max="1543" width="59.42578125" style="1217" bestFit="1" customWidth="1"/>
    <col min="1544" max="1793" width="9.140625" style="1217"/>
    <col min="1794" max="1794" width="24.7109375" style="1217" customWidth="1"/>
    <col min="1795" max="1795" width="9.28515625" style="1217" bestFit="1" customWidth="1"/>
    <col min="1796" max="1796" width="15.42578125" style="1217" customWidth="1"/>
    <col min="1797" max="1797" width="15.140625" style="1217" bestFit="1" customWidth="1"/>
    <col min="1798" max="1798" width="13.7109375" style="1217" bestFit="1" customWidth="1"/>
    <col min="1799" max="1799" width="59.42578125" style="1217" bestFit="1" customWidth="1"/>
    <col min="1800" max="2049" width="9.140625" style="1217"/>
    <col min="2050" max="2050" width="24.7109375" style="1217" customWidth="1"/>
    <col min="2051" max="2051" width="9.28515625" style="1217" bestFit="1" customWidth="1"/>
    <col min="2052" max="2052" width="15.42578125" style="1217" customWidth="1"/>
    <col min="2053" max="2053" width="15.140625" style="1217" bestFit="1" customWidth="1"/>
    <col min="2054" max="2054" width="13.7109375" style="1217" bestFit="1" customWidth="1"/>
    <col min="2055" max="2055" width="59.42578125" style="1217" bestFit="1" customWidth="1"/>
    <col min="2056" max="2305" width="9.140625" style="1217"/>
    <col min="2306" max="2306" width="24.7109375" style="1217" customWidth="1"/>
    <col min="2307" max="2307" width="9.28515625" style="1217" bestFit="1" customWidth="1"/>
    <col min="2308" max="2308" width="15.42578125" style="1217" customWidth="1"/>
    <col min="2309" max="2309" width="15.140625" style="1217" bestFit="1" customWidth="1"/>
    <col min="2310" max="2310" width="13.7109375" style="1217" bestFit="1" customWidth="1"/>
    <col min="2311" max="2311" width="59.42578125" style="1217" bestFit="1" customWidth="1"/>
    <col min="2312" max="2561" width="9.140625" style="1217"/>
    <col min="2562" max="2562" width="24.7109375" style="1217" customWidth="1"/>
    <col min="2563" max="2563" width="9.28515625" style="1217" bestFit="1" customWidth="1"/>
    <col min="2564" max="2564" width="15.42578125" style="1217" customWidth="1"/>
    <col min="2565" max="2565" width="15.140625" style="1217" bestFit="1" customWidth="1"/>
    <col min="2566" max="2566" width="13.7109375" style="1217" bestFit="1" customWidth="1"/>
    <col min="2567" max="2567" width="59.42578125" style="1217" bestFit="1" customWidth="1"/>
    <col min="2568" max="2817" width="9.140625" style="1217"/>
    <col min="2818" max="2818" width="24.7109375" style="1217" customWidth="1"/>
    <col min="2819" max="2819" width="9.28515625" style="1217" bestFit="1" customWidth="1"/>
    <col min="2820" max="2820" width="15.42578125" style="1217" customWidth="1"/>
    <col min="2821" max="2821" width="15.140625" style="1217" bestFit="1" customWidth="1"/>
    <col min="2822" max="2822" width="13.7109375" style="1217" bestFit="1" customWidth="1"/>
    <col min="2823" max="2823" width="59.42578125" style="1217" bestFit="1" customWidth="1"/>
    <col min="2824" max="3073" width="9.140625" style="1217"/>
    <col min="3074" max="3074" width="24.7109375" style="1217" customWidth="1"/>
    <col min="3075" max="3075" width="9.28515625" style="1217" bestFit="1" customWidth="1"/>
    <col min="3076" max="3076" width="15.42578125" style="1217" customWidth="1"/>
    <col min="3077" max="3077" width="15.140625" style="1217" bestFit="1" customWidth="1"/>
    <col min="3078" max="3078" width="13.7109375" style="1217" bestFit="1" customWidth="1"/>
    <col min="3079" max="3079" width="59.42578125" style="1217" bestFit="1" customWidth="1"/>
    <col min="3080" max="3329" width="9.140625" style="1217"/>
    <col min="3330" max="3330" width="24.7109375" style="1217" customWidth="1"/>
    <col min="3331" max="3331" width="9.28515625" style="1217" bestFit="1" customWidth="1"/>
    <col min="3332" max="3332" width="15.42578125" style="1217" customWidth="1"/>
    <col min="3333" max="3333" width="15.140625" style="1217" bestFit="1" customWidth="1"/>
    <col min="3334" max="3334" width="13.7109375" style="1217" bestFit="1" customWidth="1"/>
    <col min="3335" max="3335" width="59.42578125" style="1217" bestFit="1" customWidth="1"/>
    <col min="3336" max="3585" width="9.140625" style="1217"/>
    <col min="3586" max="3586" width="24.7109375" style="1217" customWidth="1"/>
    <col min="3587" max="3587" width="9.28515625" style="1217" bestFit="1" customWidth="1"/>
    <col min="3588" max="3588" width="15.42578125" style="1217" customWidth="1"/>
    <col min="3589" max="3589" width="15.140625" style="1217" bestFit="1" customWidth="1"/>
    <col min="3590" max="3590" width="13.7109375" style="1217" bestFit="1" customWidth="1"/>
    <col min="3591" max="3591" width="59.42578125" style="1217" bestFit="1" customWidth="1"/>
    <col min="3592" max="3841" width="9.140625" style="1217"/>
    <col min="3842" max="3842" width="24.7109375" style="1217" customWidth="1"/>
    <col min="3843" max="3843" width="9.28515625" style="1217" bestFit="1" customWidth="1"/>
    <col min="3844" max="3844" width="15.42578125" style="1217" customWidth="1"/>
    <col min="3845" max="3845" width="15.140625" style="1217" bestFit="1" customWidth="1"/>
    <col min="3846" max="3846" width="13.7109375" style="1217" bestFit="1" customWidth="1"/>
    <col min="3847" max="3847" width="59.42578125" style="1217" bestFit="1" customWidth="1"/>
    <col min="3848" max="4097" width="9.140625" style="1217"/>
    <col min="4098" max="4098" width="24.7109375" style="1217" customWidth="1"/>
    <col min="4099" max="4099" width="9.28515625" style="1217" bestFit="1" customWidth="1"/>
    <col min="4100" max="4100" width="15.42578125" style="1217" customWidth="1"/>
    <col min="4101" max="4101" width="15.140625" style="1217" bestFit="1" customWidth="1"/>
    <col min="4102" max="4102" width="13.7109375" style="1217" bestFit="1" customWidth="1"/>
    <col min="4103" max="4103" width="59.42578125" style="1217" bestFit="1" customWidth="1"/>
    <col min="4104" max="4353" width="9.140625" style="1217"/>
    <col min="4354" max="4354" width="24.7109375" style="1217" customWidth="1"/>
    <col min="4355" max="4355" width="9.28515625" style="1217" bestFit="1" customWidth="1"/>
    <col min="4356" max="4356" width="15.42578125" style="1217" customWidth="1"/>
    <col min="4357" max="4357" width="15.140625" style="1217" bestFit="1" customWidth="1"/>
    <col min="4358" max="4358" width="13.7109375" style="1217" bestFit="1" customWidth="1"/>
    <col min="4359" max="4359" width="59.42578125" style="1217" bestFit="1" customWidth="1"/>
    <col min="4360" max="4609" width="9.140625" style="1217"/>
    <col min="4610" max="4610" width="24.7109375" style="1217" customWidth="1"/>
    <col min="4611" max="4611" width="9.28515625" style="1217" bestFit="1" customWidth="1"/>
    <col min="4612" max="4612" width="15.42578125" style="1217" customWidth="1"/>
    <col min="4613" max="4613" width="15.140625" style="1217" bestFit="1" customWidth="1"/>
    <col min="4614" max="4614" width="13.7109375" style="1217" bestFit="1" customWidth="1"/>
    <col min="4615" max="4615" width="59.42578125" style="1217" bestFit="1" customWidth="1"/>
    <col min="4616" max="4865" width="9.140625" style="1217"/>
    <col min="4866" max="4866" width="24.7109375" style="1217" customWidth="1"/>
    <col min="4867" max="4867" width="9.28515625" style="1217" bestFit="1" customWidth="1"/>
    <col min="4868" max="4868" width="15.42578125" style="1217" customWidth="1"/>
    <col min="4869" max="4869" width="15.140625" style="1217" bestFit="1" customWidth="1"/>
    <col min="4870" max="4870" width="13.7109375" style="1217" bestFit="1" customWidth="1"/>
    <col min="4871" max="4871" width="59.42578125" style="1217" bestFit="1" customWidth="1"/>
    <col min="4872" max="5121" width="9.140625" style="1217"/>
    <col min="5122" max="5122" width="24.7109375" style="1217" customWidth="1"/>
    <col min="5123" max="5123" width="9.28515625" style="1217" bestFit="1" customWidth="1"/>
    <col min="5124" max="5124" width="15.42578125" style="1217" customWidth="1"/>
    <col min="5125" max="5125" width="15.140625" style="1217" bestFit="1" customWidth="1"/>
    <col min="5126" max="5126" width="13.7109375" style="1217" bestFit="1" customWidth="1"/>
    <col min="5127" max="5127" width="59.42578125" style="1217" bestFit="1" customWidth="1"/>
    <col min="5128" max="5377" width="9.140625" style="1217"/>
    <col min="5378" max="5378" width="24.7109375" style="1217" customWidth="1"/>
    <col min="5379" max="5379" width="9.28515625" style="1217" bestFit="1" customWidth="1"/>
    <col min="5380" max="5380" width="15.42578125" style="1217" customWidth="1"/>
    <col min="5381" max="5381" width="15.140625" style="1217" bestFit="1" customWidth="1"/>
    <col min="5382" max="5382" width="13.7109375" style="1217" bestFit="1" customWidth="1"/>
    <col min="5383" max="5383" width="59.42578125" style="1217" bestFit="1" customWidth="1"/>
    <col min="5384" max="5633" width="9.140625" style="1217"/>
    <col min="5634" max="5634" width="24.7109375" style="1217" customWidth="1"/>
    <col min="5635" max="5635" width="9.28515625" style="1217" bestFit="1" customWidth="1"/>
    <col min="5636" max="5636" width="15.42578125" style="1217" customWidth="1"/>
    <col min="5637" max="5637" width="15.140625" style="1217" bestFit="1" customWidth="1"/>
    <col min="5638" max="5638" width="13.7109375" style="1217" bestFit="1" customWidth="1"/>
    <col min="5639" max="5639" width="59.42578125" style="1217" bestFit="1" customWidth="1"/>
    <col min="5640" max="5889" width="9.140625" style="1217"/>
    <col min="5890" max="5890" width="24.7109375" style="1217" customWidth="1"/>
    <col min="5891" max="5891" width="9.28515625" style="1217" bestFit="1" customWidth="1"/>
    <col min="5892" max="5892" width="15.42578125" style="1217" customWidth="1"/>
    <col min="5893" max="5893" width="15.140625" style="1217" bestFit="1" customWidth="1"/>
    <col min="5894" max="5894" width="13.7109375" style="1217" bestFit="1" customWidth="1"/>
    <col min="5895" max="5895" width="59.42578125" style="1217" bestFit="1" customWidth="1"/>
    <col min="5896" max="6145" width="9.140625" style="1217"/>
    <col min="6146" max="6146" width="24.7109375" style="1217" customWidth="1"/>
    <col min="6147" max="6147" width="9.28515625" style="1217" bestFit="1" customWidth="1"/>
    <col min="6148" max="6148" width="15.42578125" style="1217" customWidth="1"/>
    <col min="6149" max="6149" width="15.140625" style="1217" bestFit="1" customWidth="1"/>
    <col min="6150" max="6150" width="13.7109375" style="1217" bestFit="1" customWidth="1"/>
    <col min="6151" max="6151" width="59.42578125" style="1217" bestFit="1" customWidth="1"/>
    <col min="6152" max="6401" width="9.140625" style="1217"/>
    <col min="6402" max="6402" width="24.7109375" style="1217" customWidth="1"/>
    <col min="6403" max="6403" width="9.28515625" style="1217" bestFit="1" customWidth="1"/>
    <col min="6404" max="6404" width="15.42578125" style="1217" customWidth="1"/>
    <col min="6405" max="6405" width="15.140625" style="1217" bestFit="1" customWidth="1"/>
    <col min="6406" max="6406" width="13.7109375" style="1217" bestFit="1" customWidth="1"/>
    <col min="6407" max="6407" width="59.42578125" style="1217" bestFit="1" customWidth="1"/>
    <col min="6408" max="6657" width="9.140625" style="1217"/>
    <col min="6658" max="6658" width="24.7109375" style="1217" customWidth="1"/>
    <col min="6659" max="6659" width="9.28515625" style="1217" bestFit="1" customWidth="1"/>
    <col min="6660" max="6660" width="15.42578125" style="1217" customWidth="1"/>
    <col min="6661" max="6661" width="15.140625" style="1217" bestFit="1" customWidth="1"/>
    <col min="6662" max="6662" width="13.7109375" style="1217" bestFit="1" customWidth="1"/>
    <col min="6663" max="6663" width="59.42578125" style="1217" bestFit="1" customWidth="1"/>
    <col min="6664" max="6913" width="9.140625" style="1217"/>
    <col min="6914" max="6914" width="24.7109375" style="1217" customWidth="1"/>
    <col min="6915" max="6915" width="9.28515625" style="1217" bestFit="1" customWidth="1"/>
    <col min="6916" max="6916" width="15.42578125" style="1217" customWidth="1"/>
    <col min="6917" max="6917" width="15.140625" style="1217" bestFit="1" customWidth="1"/>
    <col min="6918" max="6918" width="13.7109375" style="1217" bestFit="1" customWidth="1"/>
    <col min="6919" max="6919" width="59.42578125" style="1217" bestFit="1" customWidth="1"/>
    <col min="6920" max="7169" width="9.140625" style="1217"/>
    <col min="7170" max="7170" width="24.7109375" style="1217" customWidth="1"/>
    <col min="7171" max="7171" width="9.28515625" style="1217" bestFit="1" customWidth="1"/>
    <col min="7172" max="7172" width="15.42578125" style="1217" customWidth="1"/>
    <col min="7173" max="7173" width="15.140625" style="1217" bestFit="1" customWidth="1"/>
    <col min="7174" max="7174" width="13.7109375" style="1217" bestFit="1" customWidth="1"/>
    <col min="7175" max="7175" width="59.42578125" style="1217" bestFit="1" customWidth="1"/>
    <col min="7176" max="7425" width="9.140625" style="1217"/>
    <col min="7426" max="7426" width="24.7109375" style="1217" customWidth="1"/>
    <col min="7427" max="7427" width="9.28515625" style="1217" bestFit="1" customWidth="1"/>
    <col min="7428" max="7428" width="15.42578125" style="1217" customWidth="1"/>
    <col min="7429" max="7429" width="15.140625" style="1217" bestFit="1" customWidth="1"/>
    <col min="7430" max="7430" width="13.7109375" style="1217" bestFit="1" customWidth="1"/>
    <col min="7431" max="7431" width="59.42578125" style="1217" bestFit="1" customWidth="1"/>
    <col min="7432" max="7681" width="9.140625" style="1217"/>
    <col min="7682" max="7682" width="24.7109375" style="1217" customWidth="1"/>
    <col min="7683" max="7683" width="9.28515625" style="1217" bestFit="1" customWidth="1"/>
    <col min="7684" max="7684" width="15.42578125" style="1217" customWidth="1"/>
    <col min="7685" max="7685" width="15.140625" style="1217" bestFit="1" customWidth="1"/>
    <col min="7686" max="7686" width="13.7109375" style="1217" bestFit="1" customWidth="1"/>
    <col min="7687" max="7687" width="59.42578125" style="1217" bestFit="1" customWidth="1"/>
    <col min="7688" max="7937" width="9.140625" style="1217"/>
    <col min="7938" max="7938" width="24.7109375" style="1217" customWidth="1"/>
    <col min="7939" max="7939" width="9.28515625" style="1217" bestFit="1" customWidth="1"/>
    <col min="7940" max="7940" width="15.42578125" style="1217" customWidth="1"/>
    <col min="7941" max="7941" width="15.140625" style="1217" bestFit="1" customWidth="1"/>
    <col min="7942" max="7942" width="13.7109375" style="1217" bestFit="1" customWidth="1"/>
    <col min="7943" max="7943" width="59.42578125" style="1217" bestFit="1" customWidth="1"/>
    <col min="7944" max="8193" width="9.140625" style="1217"/>
    <col min="8194" max="8194" width="24.7109375" style="1217" customWidth="1"/>
    <col min="8195" max="8195" width="9.28515625" style="1217" bestFit="1" customWidth="1"/>
    <col min="8196" max="8196" width="15.42578125" style="1217" customWidth="1"/>
    <col min="8197" max="8197" width="15.140625" style="1217" bestFit="1" customWidth="1"/>
    <col min="8198" max="8198" width="13.7109375" style="1217" bestFit="1" customWidth="1"/>
    <col min="8199" max="8199" width="59.42578125" style="1217" bestFit="1" customWidth="1"/>
    <col min="8200" max="8449" width="9.140625" style="1217"/>
    <col min="8450" max="8450" width="24.7109375" style="1217" customWidth="1"/>
    <col min="8451" max="8451" width="9.28515625" style="1217" bestFit="1" customWidth="1"/>
    <col min="8452" max="8452" width="15.42578125" style="1217" customWidth="1"/>
    <col min="8453" max="8453" width="15.140625" style="1217" bestFit="1" customWidth="1"/>
    <col min="8454" max="8454" width="13.7109375" style="1217" bestFit="1" customWidth="1"/>
    <col min="8455" max="8455" width="59.42578125" style="1217" bestFit="1" customWidth="1"/>
    <col min="8456" max="8705" width="9.140625" style="1217"/>
    <col min="8706" max="8706" width="24.7109375" style="1217" customWidth="1"/>
    <col min="8707" max="8707" width="9.28515625" style="1217" bestFit="1" customWidth="1"/>
    <col min="8708" max="8708" width="15.42578125" style="1217" customWidth="1"/>
    <col min="8709" max="8709" width="15.140625" style="1217" bestFit="1" customWidth="1"/>
    <col min="8710" max="8710" width="13.7109375" style="1217" bestFit="1" customWidth="1"/>
    <col min="8711" max="8711" width="59.42578125" style="1217" bestFit="1" customWidth="1"/>
    <col min="8712" max="8961" width="9.140625" style="1217"/>
    <col min="8962" max="8962" width="24.7109375" style="1217" customWidth="1"/>
    <col min="8963" max="8963" width="9.28515625" style="1217" bestFit="1" customWidth="1"/>
    <col min="8964" max="8964" width="15.42578125" style="1217" customWidth="1"/>
    <col min="8965" max="8965" width="15.140625" style="1217" bestFit="1" customWidth="1"/>
    <col min="8966" max="8966" width="13.7109375" style="1217" bestFit="1" customWidth="1"/>
    <col min="8967" max="8967" width="59.42578125" style="1217" bestFit="1" customWidth="1"/>
    <col min="8968" max="9217" width="9.140625" style="1217"/>
    <col min="9218" max="9218" width="24.7109375" style="1217" customWidth="1"/>
    <col min="9219" max="9219" width="9.28515625" style="1217" bestFit="1" customWidth="1"/>
    <col min="9220" max="9220" width="15.42578125" style="1217" customWidth="1"/>
    <col min="9221" max="9221" width="15.140625" style="1217" bestFit="1" customWidth="1"/>
    <col min="9222" max="9222" width="13.7109375" style="1217" bestFit="1" customWidth="1"/>
    <col min="9223" max="9223" width="59.42578125" style="1217" bestFit="1" customWidth="1"/>
    <col min="9224" max="9473" width="9.140625" style="1217"/>
    <col min="9474" max="9474" width="24.7109375" style="1217" customWidth="1"/>
    <col min="9475" max="9475" width="9.28515625" style="1217" bestFit="1" customWidth="1"/>
    <col min="9476" max="9476" width="15.42578125" style="1217" customWidth="1"/>
    <col min="9477" max="9477" width="15.140625" style="1217" bestFit="1" customWidth="1"/>
    <col min="9478" max="9478" width="13.7109375" style="1217" bestFit="1" customWidth="1"/>
    <col min="9479" max="9479" width="59.42578125" style="1217" bestFit="1" customWidth="1"/>
    <col min="9480" max="9729" width="9.140625" style="1217"/>
    <col min="9730" max="9730" width="24.7109375" style="1217" customWidth="1"/>
    <col min="9731" max="9731" width="9.28515625" style="1217" bestFit="1" customWidth="1"/>
    <col min="9732" max="9732" width="15.42578125" style="1217" customWidth="1"/>
    <col min="9733" max="9733" width="15.140625" style="1217" bestFit="1" customWidth="1"/>
    <col min="9734" max="9734" width="13.7109375" style="1217" bestFit="1" customWidth="1"/>
    <col min="9735" max="9735" width="59.42578125" style="1217" bestFit="1" customWidth="1"/>
    <col min="9736" max="9985" width="9.140625" style="1217"/>
    <col min="9986" max="9986" width="24.7109375" style="1217" customWidth="1"/>
    <col min="9987" max="9987" width="9.28515625" style="1217" bestFit="1" customWidth="1"/>
    <col min="9988" max="9988" width="15.42578125" style="1217" customWidth="1"/>
    <col min="9989" max="9989" width="15.140625" style="1217" bestFit="1" customWidth="1"/>
    <col min="9990" max="9990" width="13.7109375" style="1217" bestFit="1" customWidth="1"/>
    <col min="9991" max="9991" width="59.42578125" style="1217" bestFit="1" customWidth="1"/>
    <col min="9992" max="10241" width="9.140625" style="1217"/>
    <col min="10242" max="10242" width="24.7109375" style="1217" customWidth="1"/>
    <col min="10243" max="10243" width="9.28515625" style="1217" bestFit="1" customWidth="1"/>
    <col min="10244" max="10244" width="15.42578125" style="1217" customWidth="1"/>
    <col min="10245" max="10245" width="15.140625" style="1217" bestFit="1" customWidth="1"/>
    <col min="10246" max="10246" width="13.7109375" style="1217" bestFit="1" customWidth="1"/>
    <col min="10247" max="10247" width="59.42578125" style="1217" bestFit="1" customWidth="1"/>
    <col min="10248" max="10497" width="9.140625" style="1217"/>
    <col min="10498" max="10498" width="24.7109375" style="1217" customWidth="1"/>
    <col min="10499" max="10499" width="9.28515625" style="1217" bestFit="1" customWidth="1"/>
    <col min="10500" max="10500" width="15.42578125" style="1217" customWidth="1"/>
    <col min="10501" max="10501" width="15.140625" style="1217" bestFit="1" customWidth="1"/>
    <col min="10502" max="10502" width="13.7109375" style="1217" bestFit="1" customWidth="1"/>
    <col min="10503" max="10503" width="59.42578125" style="1217" bestFit="1" customWidth="1"/>
    <col min="10504" max="10753" width="9.140625" style="1217"/>
    <col min="10754" max="10754" width="24.7109375" style="1217" customWidth="1"/>
    <col min="10755" max="10755" width="9.28515625" style="1217" bestFit="1" customWidth="1"/>
    <col min="10756" max="10756" width="15.42578125" style="1217" customWidth="1"/>
    <col min="10757" max="10757" width="15.140625" style="1217" bestFit="1" customWidth="1"/>
    <col min="10758" max="10758" width="13.7109375" style="1217" bestFit="1" customWidth="1"/>
    <col min="10759" max="10759" width="59.42578125" style="1217" bestFit="1" customWidth="1"/>
    <col min="10760" max="11009" width="9.140625" style="1217"/>
    <col min="11010" max="11010" width="24.7109375" style="1217" customWidth="1"/>
    <col min="11011" max="11011" width="9.28515625" style="1217" bestFit="1" customWidth="1"/>
    <col min="11012" max="11012" width="15.42578125" style="1217" customWidth="1"/>
    <col min="11013" max="11013" width="15.140625" style="1217" bestFit="1" customWidth="1"/>
    <col min="11014" max="11014" width="13.7109375" style="1217" bestFit="1" customWidth="1"/>
    <col min="11015" max="11015" width="59.42578125" style="1217" bestFit="1" customWidth="1"/>
    <col min="11016" max="11265" width="9.140625" style="1217"/>
    <col min="11266" max="11266" width="24.7109375" style="1217" customWidth="1"/>
    <col min="11267" max="11267" width="9.28515625" style="1217" bestFit="1" customWidth="1"/>
    <col min="11268" max="11268" width="15.42578125" style="1217" customWidth="1"/>
    <col min="11269" max="11269" width="15.140625" style="1217" bestFit="1" customWidth="1"/>
    <col min="11270" max="11270" width="13.7109375" style="1217" bestFit="1" customWidth="1"/>
    <col min="11271" max="11271" width="59.42578125" style="1217" bestFit="1" customWidth="1"/>
    <col min="11272" max="11521" width="9.140625" style="1217"/>
    <col min="11522" max="11522" width="24.7109375" style="1217" customWidth="1"/>
    <col min="11523" max="11523" width="9.28515625" style="1217" bestFit="1" customWidth="1"/>
    <col min="11524" max="11524" width="15.42578125" style="1217" customWidth="1"/>
    <col min="11525" max="11525" width="15.140625" style="1217" bestFit="1" customWidth="1"/>
    <col min="11526" max="11526" width="13.7109375" style="1217" bestFit="1" customWidth="1"/>
    <col min="11527" max="11527" width="59.42578125" style="1217" bestFit="1" customWidth="1"/>
    <col min="11528" max="11777" width="9.140625" style="1217"/>
    <col min="11778" max="11778" width="24.7109375" style="1217" customWidth="1"/>
    <col min="11779" max="11779" width="9.28515625" style="1217" bestFit="1" customWidth="1"/>
    <col min="11780" max="11780" width="15.42578125" style="1217" customWidth="1"/>
    <col min="11781" max="11781" width="15.140625" style="1217" bestFit="1" customWidth="1"/>
    <col min="11782" max="11782" width="13.7109375" style="1217" bestFit="1" customWidth="1"/>
    <col min="11783" max="11783" width="59.42578125" style="1217" bestFit="1" customWidth="1"/>
    <col min="11784" max="12033" width="9.140625" style="1217"/>
    <col min="12034" max="12034" width="24.7109375" style="1217" customWidth="1"/>
    <col min="12035" max="12035" width="9.28515625" style="1217" bestFit="1" customWidth="1"/>
    <col min="12036" max="12036" width="15.42578125" style="1217" customWidth="1"/>
    <col min="12037" max="12037" width="15.140625" style="1217" bestFit="1" customWidth="1"/>
    <col min="12038" max="12038" width="13.7109375" style="1217" bestFit="1" customWidth="1"/>
    <col min="12039" max="12039" width="59.42578125" style="1217" bestFit="1" customWidth="1"/>
    <col min="12040" max="12289" width="9.140625" style="1217"/>
    <col min="12290" max="12290" width="24.7109375" style="1217" customWidth="1"/>
    <col min="12291" max="12291" width="9.28515625" style="1217" bestFit="1" customWidth="1"/>
    <col min="12292" max="12292" width="15.42578125" style="1217" customWidth="1"/>
    <col min="12293" max="12293" width="15.140625" style="1217" bestFit="1" customWidth="1"/>
    <col min="12294" max="12294" width="13.7109375" style="1217" bestFit="1" customWidth="1"/>
    <col min="12295" max="12295" width="59.42578125" style="1217" bestFit="1" customWidth="1"/>
    <col min="12296" max="12545" width="9.140625" style="1217"/>
    <col min="12546" max="12546" width="24.7109375" style="1217" customWidth="1"/>
    <col min="12547" max="12547" width="9.28515625" style="1217" bestFit="1" customWidth="1"/>
    <col min="12548" max="12548" width="15.42578125" style="1217" customWidth="1"/>
    <col min="12549" max="12549" width="15.140625" style="1217" bestFit="1" customWidth="1"/>
    <col min="12550" max="12550" width="13.7109375" style="1217" bestFit="1" customWidth="1"/>
    <col min="12551" max="12551" width="59.42578125" style="1217" bestFit="1" customWidth="1"/>
    <col min="12552" max="12801" width="9.140625" style="1217"/>
    <col min="12802" max="12802" width="24.7109375" style="1217" customWidth="1"/>
    <col min="12803" max="12803" width="9.28515625" style="1217" bestFit="1" customWidth="1"/>
    <col min="12804" max="12804" width="15.42578125" style="1217" customWidth="1"/>
    <col min="12805" max="12805" width="15.140625" style="1217" bestFit="1" customWidth="1"/>
    <col min="12806" max="12806" width="13.7109375" style="1217" bestFit="1" customWidth="1"/>
    <col min="12807" max="12807" width="59.42578125" style="1217" bestFit="1" customWidth="1"/>
    <col min="12808" max="13057" width="9.140625" style="1217"/>
    <col min="13058" max="13058" width="24.7109375" style="1217" customWidth="1"/>
    <col min="13059" max="13059" width="9.28515625" style="1217" bestFit="1" customWidth="1"/>
    <col min="13060" max="13060" width="15.42578125" style="1217" customWidth="1"/>
    <col min="13061" max="13061" width="15.140625" style="1217" bestFit="1" customWidth="1"/>
    <col min="13062" max="13062" width="13.7109375" style="1217" bestFit="1" customWidth="1"/>
    <col min="13063" max="13063" width="59.42578125" style="1217" bestFit="1" customWidth="1"/>
    <col min="13064" max="13313" width="9.140625" style="1217"/>
    <col min="13314" max="13314" width="24.7109375" style="1217" customWidth="1"/>
    <col min="13315" max="13315" width="9.28515625" style="1217" bestFit="1" customWidth="1"/>
    <col min="13316" max="13316" width="15.42578125" style="1217" customWidth="1"/>
    <col min="13317" max="13317" width="15.140625" style="1217" bestFit="1" customWidth="1"/>
    <col min="13318" max="13318" width="13.7109375" style="1217" bestFit="1" customWidth="1"/>
    <col min="13319" max="13319" width="59.42578125" style="1217" bestFit="1" customWidth="1"/>
    <col min="13320" max="13569" width="9.140625" style="1217"/>
    <col min="13570" max="13570" width="24.7109375" style="1217" customWidth="1"/>
    <col min="13571" max="13571" width="9.28515625" style="1217" bestFit="1" customWidth="1"/>
    <col min="13572" max="13572" width="15.42578125" style="1217" customWidth="1"/>
    <col min="13573" max="13573" width="15.140625" style="1217" bestFit="1" customWidth="1"/>
    <col min="13574" max="13574" width="13.7109375" style="1217" bestFit="1" customWidth="1"/>
    <col min="13575" max="13575" width="59.42578125" style="1217" bestFit="1" customWidth="1"/>
    <col min="13576" max="13825" width="9.140625" style="1217"/>
    <col min="13826" max="13826" width="24.7109375" style="1217" customWidth="1"/>
    <col min="13827" max="13827" width="9.28515625" style="1217" bestFit="1" customWidth="1"/>
    <col min="13828" max="13828" width="15.42578125" style="1217" customWidth="1"/>
    <col min="13829" max="13829" width="15.140625" style="1217" bestFit="1" customWidth="1"/>
    <col min="13830" max="13830" width="13.7109375" style="1217" bestFit="1" customWidth="1"/>
    <col min="13831" max="13831" width="59.42578125" style="1217" bestFit="1" customWidth="1"/>
    <col min="13832" max="14081" width="9.140625" style="1217"/>
    <col min="14082" max="14082" width="24.7109375" style="1217" customWidth="1"/>
    <col min="14083" max="14083" width="9.28515625" style="1217" bestFit="1" customWidth="1"/>
    <col min="14084" max="14084" width="15.42578125" style="1217" customWidth="1"/>
    <col min="14085" max="14085" width="15.140625" style="1217" bestFit="1" customWidth="1"/>
    <col min="14086" max="14086" width="13.7109375" style="1217" bestFit="1" customWidth="1"/>
    <col min="14087" max="14087" width="59.42578125" style="1217" bestFit="1" customWidth="1"/>
    <col min="14088" max="14337" width="9.140625" style="1217"/>
    <col min="14338" max="14338" width="24.7109375" style="1217" customWidth="1"/>
    <col min="14339" max="14339" width="9.28515625" style="1217" bestFit="1" customWidth="1"/>
    <col min="14340" max="14340" width="15.42578125" style="1217" customWidth="1"/>
    <col min="14341" max="14341" width="15.140625" style="1217" bestFit="1" customWidth="1"/>
    <col min="14342" max="14342" width="13.7109375" style="1217" bestFit="1" customWidth="1"/>
    <col min="14343" max="14343" width="59.42578125" style="1217" bestFit="1" customWidth="1"/>
    <col min="14344" max="14593" width="9.140625" style="1217"/>
    <col min="14594" max="14594" width="24.7109375" style="1217" customWidth="1"/>
    <col min="14595" max="14595" width="9.28515625" style="1217" bestFit="1" customWidth="1"/>
    <col min="14596" max="14596" width="15.42578125" style="1217" customWidth="1"/>
    <col min="14597" max="14597" width="15.140625" style="1217" bestFit="1" customWidth="1"/>
    <col min="14598" max="14598" width="13.7109375" style="1217" bestFit="1" customWidth="1"/>
    <col min="14599" max="14599" width="59.42578125" style="1217" bestFit="1" customWidth="1"/>
    <col min="14600" max="14849" width="9.140625" style="1217"/>
    <col min="14850" max="14850" width="24.7109375" style="1217" customWidth="1"/>
    <col min="14851" max="14851" width="9.28515625" style="1217" bestFit="1" customWidth="1"/>
    <col min="14852" max="14852" width="15.42578125" style="1217" customWidth="1"/>
    <col min="14853" max="14853" width="15.140625" style="1217" bestFit="1" customWidth="1"/>
    <col min="14854" max="14854" width="13.7109375" style="1217" bestFit="1" customWidth="1"/>
    <col min="14855" max="14855" width="59.42578125" style="1217" bestFit="1" customWidth="1"/>
    <col min="14856" max="15105" width="9.140625" style="1217"/>
    <col min="15106" max="15106" width="24.7109375" style="1217" customWidth="1"/>
    <col min="15107" max="15107" width="9.28515625" style="1217" bestFit="1" customWidth="1"/>
    <col min="15108" max="15108" width="15.42578125" style="1217" customWidth="1"/>
    <col min="15109" max="15109" width="15.140625" style="1217" bestFit="1" customWidth="1"/>
    <col min="15110" max="15110" width="13.7109375" style="1217" bestFit="1" customWidth="1"/>
    <col min="15111" max="15111" width="59.42578125" style="1217" bestFit="1" customWidth="1"/>
    <col min="15112" max="15361" width="9.140625" style="1217"/>
    <col min="15362" max="15362" width="24.7109375" style="1217" customWidth="1"/>
    <col min="15363" max="15363" width="9.28515625" style="1217" bestFit="1" customWidth="1"/>
    <col min="15364" max="15364" width="15.42578125" style="1217" customWidth="1"/>
    <col min="15365" max="15365" width="15.140625" style="1217" bestFit="1" customWidth="1"/>
    <col min="15366" max="15366" width="13.7109375" style="1217" bestFit="1" customWidth="1"/>
    <col min="15367" max="15367" width="59.42578125" style="1217" bestFit="1" customWidth="1"/>
    <col min="15368" max="15617" width="9.140625" style="1217"/>
    <col min="15618" max="15618" width="24.7109375" style="1217" customWidth="1"/>
    <col min="15619" max="15619" width="9.28515625" style="1217" bestFit="1" customWidth="1"/>
    <col min="15620" max="15620" width="15.42578125" style="1217" customWidth="1"/>
    <col min="15621" max="15621" width="15.140625" style="1217" bestFit="1" customWidth="1"/>
    <col min="15622" max="15622" width="13.7109375" style="1217" bestFit="1" customWidth="1"/>
    <col min="15623" max="15623" width="59.42578125" style="1217" bestFit="1" customWidth="1"/>
    <col min="15624" max="15873" width="9.140625" style="1217"/>
    <col min="15874" max="15874" width="24.7109375" style="1217" customWidth="1"/>
    <col min="15875" max="15875" width="9.28515625" style="1217" bestFit="1" customWidth="1"/>
    <col min="15876" max="15876" width="15.42578125" style="1217" customWidth="1"/>
    <col min="15877" max="15877" width="15.140625" style="1217" bestFit="1" customWidth="1"/>
    <col min="15878" max="15878" width="13.7109375" style="1217" bestFit="1" customWidth="1"/>
    <col min="15879" max="15879" width="59.42578125" style="1217" bestFit="1" customWidth="1"/>
    <col min="15880" max="16129" width="9.140625" style="1217"/>
    <col min="16130" max="16130" width="24.7109375" style="1217" customWidth="1"/>
    <col min="16131" max="16131" width="9.28515625" style="1217" bestFit="1" customWidth="1"/>
    <col min="16132" max="16132" width="15.42578125" style="1217" customWidth="1"/>
    <col min="16133" max="16133" width="15.140625" style="1217" bestFit="1" customWidth="1"/>
    <col min="16134" max="16134" width="13.7109375" style="1217" bestFit="1" customWidth="1"/>
    <col min="16135" max="16135" width="59.42578125" style="1217" bestFit="1" customWidth="1"/>
    <col min="16136" max="16384" width="9.140625" style="1217"/>
  </cols>
  <sheetData>
    <row r="1" spans="2:7" x14ac:dyDescent="0.2">
      <c r="B1" s="1214" t="s">
        <v>1983</v>
      </c>
      <c r="C1" s="1215"/>
      <c r="D1" s="1216"/>
      <c r="E1" s="1216"/>
      <c r="F1" s="1216"/>
      <c r="G1" s="1215"/>
    </row>
    <row r="2" spans="2:7" ht="15.75" x14ac:dyDescent="0.25">
      <c r="B2" s="1214" t="s">
        <v>1984</v>
      </c>
      <c r="C2" s="1215"/>
      <c r="D2" s="1218"/>
      <c r="E2" s="1218"/>
      <c r="F2" s="1218"/>
      <c r="G2" s="1215"/>
    </row>
    <row r="3" spans="2:7" x14ac:dyDescent="0.2">
      <c r="B3" s="1214" t="s">
        <v>1985</v>
      </c>
      <c r="C3" s="1215"/>
      <c r="D3" s="1216"/>
      <c r="E3" s="1216"/>
      <c r="F3" s="1216"/>
      <c r="G3" s="1215"/>
    </row>
    <row r="4" spans="2:7" ht="13.5" customHeight="1" x14ac:dyDescent="0.2">
      <c r="B4" s="1219"/>
      <c r="D4" s="1220"/>
      <c r="E4" s="1220"/>
      <c r="F4" s="1220"/>
    </row>
    <row r="5" spans="2:7" s="1221" customFormat="1" x14ac:dyDescent="0.2"/>
    <row r="6" spans="2:7" ht="25.5" x14ac:dyDescent="0.2">
      <c r="B6" s="1222" t="s">
        <v>1986</v>
      </c>
      <c r="C6" s="1222" t="s">
        <v>1987</v>
      </c>
      <c r="D6" s="1223" t="s">
        <v>1988</v>
      </c>
      <c r="E6" s="1222" t="s">
        <v>93</v>
      </c>
      <c r="F6" s="1222" t="s">
        <v>1989</v>
      </c>
      <c r="G6" s="1224" t="s">
        <v>1990</v>
      </c>
    </row>
    <row r="7" spans="2:7" x14ac:dyDescent="0.2">
      <c r="B7" s="1215" t="s">
        <v>317</v>
      </c>
      <c r="C7" s="1225" t="s">
        <v>318</v>
      </c>
      <c r="D7" s="1226" t="s">
        <v>319</v>
      </c>
      <c r="E7" s="1226" t="s">
        <v>1991</v>
      </c>
      <c r="F7" s="1226" t="s">
        <v>321</v>
      </c>
    </row>
    <row r="8" spans="2:7" x14ac:dyDescent="0.2">
      <c r="B8" s="1227" t="s">
        <v>1992</v>
      </c>
      <c r="C8" s="1225"/>
      <c r="D8" s="1226"/>
      <c r="E8" s="1226"/>
      <c r="F8" s="1226"/>
    </row>
    <row r="9" spans="2:7" x14ac:dyDescent="0.2">
      <c r="B9" s="1228" t="s">
        <v>374</v>
      </c>
      <c r="C9" s="1229" t="s">
        <v>1993</v>
      </c>
      <c r="D9" s="1230">
        <f>84734325+1007+280</f>
        <v>84735612</v>
      </c>
      <c r="E9" s="1231">
        <f>+ROUND(D9/D$20,6)</f>
        <v>0.74288699999999996</v>
      </c>
      <c r="F9" s="1232">
        <f>+E9*('JKP-8.8 - Est Firm Sys Peak Day'!$D$7-$F$13-$F$17)</f>
        <v>6266897.1001373474</v>
      </c>
      <c r="G9" s="1217" t="s">
        <v>1994</v>
      </c>
    </row>
    <row r="10" spans="2:7" x14ac:dyDescent="0.2">
      <c r="B10" s="1233" t="s">
        <v>1995</v>
      </c>
      <c r="C10" s="1234"/>
      <c r="D10" s="1235">
        <f>SUM(D9)</f>
        <v>84735612</v>
      </c>
      <c r="E10" s="1236">
        <f>SUM(E9)</f>
        <v>0.74288699999999996</v>
      </c>
      <c r="F10" s="1235">
        <f>SUM(F9)</f>
        <v>6266897.1001373474</v>
      </c>
    </row>
    <row r="11" spans="2:7" x14ac:dyDescent="0.2">
      <c r="B11" s="1237"/>
      <c r="C11" s="1237"/>
      <c r="D11" s="1238"/>
      <c r="E11" s="1239"/>
      <c r="F11" s="1238"/>
    </row>
    <row r="12" spans="2:7" ht="12.75" customHeight="1" x14ac:dyDescent="0.2">
      <c r="B12" s="1217" t="s">
        <v>1996</v>
      </c>
      <c r="C12" s="1217">
        <v>31</v>
      </c>
      <c r="D12" s="1230">
        <v>27256517</v>
      </c>
      <c r="E12" s="1231">
        <f>+ROUND(D12/D$20,6)</f>
        <v>0.23896100000000001</v>
      </c>
      <c r="F12" s="1232">
        <f>+E12*('JKP-8.8 - Est Firm Sys Peak Day'!$D$7-$F$13-$F$17)</f>
        <v>2015843.5912136312</v>
      </c>
      <c r="G12" s="1240" t="s">
        <v>1994</v>
      </c>
    </row>
    <row r="13" spans="2:7" x14ac:dyDescent="0.2">
      <c r="B13" s="1217" t="s">
        <v>1996</v>
      </c>
      <c r="C13" s="1229">
        <v>41</v>
      </c>
      <c r="D13" s="1230"/>
      <c r="E13" s="1241"/>
      <c r="F13" s="1230">
        <v>305525</v>
      </c>
      <c r="G13" s="1242" t="s">
        <v>1997</v>
      </c>
    </row>
    <row r="14" spans="2:7" x14ac:dyDescent="0.2">
      <c r="B14" s="1243" t="s">
        <v>1998</v>
      </c>
      <c r="C14" s="1244"/>
      <c r="D14" s="1235">
        <f>SUM(D12:D13)</f>
        <v>27256517</v>
      </c>
      <c r="E14" s="1236">
        <f>SUM(E12:E13)</f>
        <v>0.23896100000000001</v>
      </c>
      <c r="F14" s="1235">
        <f>SUM(F12:F13)</f>
        <v>2321368.5912136314</v>
      </c>
    </row>
    <row r="15" spans="2:7" x14ac:dyDescent="0.2">
      <c r="B15" s="1237"/>
      <c r="C15" s="1237"/>
      <c r="D15" s="1245"/>
      <c r="E15" s="1241"/>
      <c r="F15" s="1238"/>
    </row>
    <row r="16" spans="2:7" x14ac:dyDescent="0.2">
      <c r="B16" s="1217" t="s">
        <v>1949</v>
      </c>
      <c r="C16" s="1217">
        <v>31</v>
      </c>
      <c r="D16" s="1230">
        <v>2070494</v>
      </c>
      <c r="E16" s="1231">
        <f>+ROUND(D16/D$20,6)</f>
        <v>1.8152000000000001E-2</v>
      </c>
      <c r="F16" s="1232">
        <f>+E16*('JKP-8.8 - Est Firm Sys Peak Day'!$D$7-$F$13-$F$17)</f>
        <v>153127.8864237672</v>
      </c>
      <c r="G16" s="1240" t="s">
        <v>1994</v>
      </c>
    </row>
    <row r="17" spans="2:7" x14ac:dyDescent="0.2">
      <c r="B17" s="1217" t="s">
        <v>1949</v>
      </c>
      <c r="C17" s="1217">
        <v>41</v>
      </c>
      <c r="D17" s="1245"/>
      <c r="E17" s="1241"/>
      <c r="F17" s="1230">
        <v>57337</v>
      </c>
      <c r="G17" s="1242" t="s">
        <v>1997</v>
      </c>
    </row>
    <row r="18" spans="2:7" x14ac:dyDescent="0.2">
      <c r="B18" s="1243" t="s">
        <v>1999</v>
      </c>
      <c r="C18" s="1244"/>
      <c r="D18" s="1246">
        <f>SUM(D16:D17)</f>
        <v>2070494</v>
      </c>
      <c r="E18" s="1236">
        <f>SUM(E16:E17)</f>
        <v>1.8152000000000001E-2</v>
      </c>
      <c r="F18" s="1235">
        <f>SUM(F16:F17)</f>
        <v>210464.8864237672</v>
      </c>
    </row>
    <row r="19" spans="2:7" x14ac:dyDescent="0.2">
      <c r="B19" s="1237"/>
      <c r="C19" s="1237"/>
      <c r="D19" s="1247"/>
      <c r="E19" s="1241"/>
      <c r="F19" s="1248"/>
    </row>
    <row r="20" spans="2:7" ht="13.5" thickBot="1" x14ac:dyDescent="0.25">
      <c r="B20" s="1249" t="s">
        <v>2000</v>
      </c>
      <c r="C20" s="1250"/>
      <c r="D20" s="1251">
        <f>+D18+D14+D10</f>
        <v>114062623</v>
      </c>
      <c r="E20" s="1252">
        <f>+E18+E14+E10</f>
        <v>1</v>
      </c>
      <c r="F20" s="1253">
        <f>+F18+F14+F10</f>
        <v>8798730.5777747463</v>
      </c>
    </row>
    <row r="21" spans="2:7" ht="13.5" thickTop="1" x14ac:dyDescent="0.2">
      <c r="B21" s="1254"/>
      <c r="C21" s="1254"/>
      <c r="D21" s="1255"/>
      <c r="E21" s="1256"/>
      <c r="F21" s="1257">
        <f>F20-'JKP-8.8 - Est Firm Sys Peak Day'!D7</f>
        <v>0</v>
      </c>
    </row>
    <row r="22" spans="2:7" x14ac:dyDescent="0.2">
      <c r="B22" s="1227" t="s">
        <v>1953</v>
      </c>
      <c r="C22" s="1258"/>
      <c r="D22" s="1255"/>
      <c r="E22" s="1256"/>
      <c r="F22" s="1257"/>
    </row>
    <row r="23" spans="2:7" x14ac:dyDescent="0.2">
      <c r="B23" s="1217" t="s">
        <v>942</v>
      </c>
      <c r="C23" s="1217">
        <v>85</v>
      </c>
      <c r="D23" s="1255"/>
      <c r="E23" s="1241"/>
      <c r="F23" s="1230">
        <v>7593</v>
      </c>
      <c r="G23" s="1242" t="s">
        <v>2001</v>
      </c>
    </row>
    <row r="24" spans="2:7" x14ac:dyDescent="0.2">
      <c r="B24" s="1217" t="s">
        <v>942</v>
      </c>
      <c r="C24" s="1217">
        <v>86</v>
      </c>
      <c r="D24" s="1255"/>
      <c r="E24" s="1241"/>
      <c r="F24" s="1230">
        <v>8244</v>
      </c>
      <c r="G24" s="1242" t="s">
        <v>2001</v>
      </c>
    </row>
    <row r="25" spans="2:7" x14ac:dyDescent="0.2">
      <c r="B25" s="1217" t="s">
        <v>942</v>
      </c>
      <c r="C25" s="1217">
        <v>87</v>
      </c>
      <c r="D25" s="1255"/>
      <c r="E25" s="1241"/>
      <c r="F25" s="1230">
        <v>532</v>
      </c>
      <c r="G25" s="1242" t="s">
        <v>2001</v>
      </c>
    </row>
    <row r="26" spans="2:7" x14ac:dyDescent="0.2">
      <c r="B26" s="1217" t="s">
        <v>947</v>
      </c>
      <c r="C26" s="1217">
        <v>85</v>
      </c>
      <c r="D26" s="1255"/>
      <c r="E26" s="1241"/>
      <c r="F26" s="1230">
        <v>2443</v>
      </c>
      <c r="G26" s="1242" t="s">
        <v>2001</v>
      </c>
    </row>
    <row r="27" spans="2:7" x14ac:dyDescent="0.2">
      <c r="B27" s="1217" t="s">
        <v>947</v>
      </c>
      <c r="C27" s="1217">
        <v>86</v>
      </c>
      <c r="D27" s="1255"/>
      <c r="E27" s="1241"/>
      <c r="F27" s="1230">
        <v>132</v>
      </c>
      <c r="G27" s="1242" t="s">
        <v>2001</v>
      </c>
    </row>
    <row r="28" spans="2:7" x14ac:dyDescent="0.2">
      <c r="B28" s="1217" t="s">
        <v>947</v>
      </c>
      <c r="C28" s="1217">
        <v>87</v>
      </c>
      <c r="D28" s="1255"/>
      <c r="E28" s="1259"/>
      <c r="F28" s="1230">
        <v>0</v>
      </c>
      <c r="G28" s="1242" t="s">
        <v>2001</v>
      </c>
    </row>
    <row r="29" spans="2:7" ht="13.5" thickBot="1" x14ac:dyDescent="0.25">
      <c r="B29" s="1260" t="s">
        <v>2002</v>
      </c>
      <c r="C29" s="1261"/>
      <c r="D29" s="1262"/>
      <c r="E29" s="1263"/>
      <c r="F29" s="1264">
        <f>SUM(F23:F28)</f>
        <v>18944</v>
      </c>
    </row>
    <row r="30" spans="2:7" ht="13.5" thickTop="1" x14ac:dyDescent="0.2">
      <c r="B30" s="1265"/>
      <c r="C30" s="1258"/>
      <c r="D30" s="1255"/>
      <c r="E30" s="1256"/>
      <c r="F30" s="1257"/>
    </row>
    <row r="31" spans="2:7" x14ac:dyDescent="0.2">
      <c r="B31" s="1892"/>
      <c r="C31" s="1892"/>
      <c r="D31" s="1266"/>
      <c r="F31" s="1268"/>
    </row>
    <row r="32" spans="2:7" ht="45" customHeight="1" x14ac:dyDescent="0.2">
      <c r="B32" s="1893" t="s">
        <v>2003</v>
      </c>
      <c r="C32" s="1893"/>
      <c r="D32" s="1893"/>
      <c r="E32" s="1893"/>
      <c r="F32" s="1893"/>
      <c r="G32" s="1893"/>
    </row>
    <row r="33" spans="2:6" s="1272" customFormat="1" x14ac:dyDescent="0.2">
      <c r="B33" s="1228"/>
      <c r="C33" s="1228"/>
      <c r="D33" s="1269"/>
      <c r="E33" s="1270"/>
      <c r="F33" s="1271"/>
    </row>
    <row r="34" spans="2:6" x14ac:dyDescent="0.2">
      <c r="D34" s="1273"/>
      <c r="F34" s="1274"/>
    </row>
    <row r="35" spans="2:6" x14ac:dyDescent="0.2">
      <c r="F35" s="1274"/>
    </row>
    <row r="36" spans="2:6" x14ac:dyDescent="0.2">
      <c r="F36" s="1274"/>
    </row>
  </sheetData>
  <mergeCells count="2">
    <mergeCell ref="B31:C31"/>
    <mergeCell ref="B32:G32"/>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1:F92"/>
  <sheetViews>
    <sheetView workbookViewId="0">
      <selection activeCell="C35" sqref="C35"/>
    </sheetView>
  </sheetViews>
  <sheetFormatPr defaultRowHeight="12.75" x14ac:dyDescent="0.2"/>
  <cols>
    <col min="1" max="1" width="2.140625" style="1278" customWidth="1"/>
    <col min="2" max="2" width="6.42578125" style="1278" bestFit="1" customWidth="1"/>
    <col min="3" max="3" width="9" style="1277" bestFit="1" customWidth="1"/>
    <col min="4" max="4" width="23.7109375" style="1072" customWidth="1"/>
    <col min="5" max="5" width="20.5703125" style="1277" bestFit="1" customWidth="1"/>
    <col min="6" max="6" width="16.5703125" style="1278" bestFit="1" customWidth="1"/>
    <col min="7" max="256" width="9.140625" style="1278"/>
    <col min="257" max="257" width="2.140625" style="1278" customWidth="1"/>
    <col min="258" max="258" width="6.42578125" style="1278" bestFit="1" customWidth="1"/>
    <col min="259" max="259" width="9" style="1278" bestFit="1" customWidth="1"/>
    <col min="260" max="260" width="23.7109375" style="1278" customWidth="1"/>
    <col min="261" max="261" width="20.5703125" style="1278" bestFit="1" customWidth="1"/>
    <col min="262" max="262" width="16.5703125" style="1278" bestFit="1" customWidth="1"/>
    <col min="263" max="512" width="9.140625" style="1278"/>
    <col min="513" max="513" width="2.140625" style="1278" customWidth="1"/>
    <col min="514" max="514" width="6.42578125" style="1278" bestFit="1" customWidth="1"/>
    <col min="515" max="515" width="9" style="1278" bestFit="1" customWidth="1"/>
    <col min="516" max="516" width="23.7109375" style="1278" customWidth="1"/>
    <col min="517" max="517" width="20.5703125" style="1278" bestFit="1" customWidth="1"/>
    <col min="518" max="518" width="16.5703125" style="1278" bestFit="1" customWidth="1"/>
    <col min="519" max="768" width="9.140625" style="1278"/>
    <col min="769" max="769" width="2.140625" style="1278" customWidth="1"/>
    <col min="770" max="770" width="6.42578125" style="1278" bestFit="1" customWidth="1"/>
    <col min="771" max="771" width="9" style="1278" bestFit="1" customWidth="1"/>
    <col min="772" max="772" width="23.7109375" style="1278" customWidth="1"/>
    <col min="773" max="773" width="20.5703125" style="1278" bestFit="1" customWidth="1"/>
    <col min="774" max="774" width="16.5703125" style="1278" bestFit="1" customWidth="1"/>
    <col min="775" max="1024" width="9.140625" style="1278"/>
    <col min="1025" max="1025" width="2.140625" style="1278" customWidth="1"/>
    <col min="1026" max="1026" width="6.42578125" style="1278" bestFit="1" customWidth="1"/>
    <col min="1027" max="1027" width="9" style="1278" bestFit="1" customWidth="1"/>
    <col min="1028" max="1028" width="23.7109375" style="1278" customWidth="1"/>
    <col min="1029" max="1029" width="20.5703125" style="1278" bestFit="1" customWidth="1"/>
    <col min="1030" max="1030" width="16.5703125" style="1278" bestFit="1" customWidth="1"/>
    <col min="1031" max="1280" width="9.140625" style="1278"/>
    <col min="1281" max="1281" width="2.140625" style="1278" customWidth="1"/>
    <col min="1282" max="1282" width="6.42578125" style="1278" bestFit="1" customWidth="1"/>
    <col min="1283" max="1283" width="9" style="1278" bestFit="1" customWidth="1"/>
    <col min="1284" max="1284" width="23.7109375" style="1278" customWidth="1"/>
    <col min="1285" max="1285" width="20.5703125" style="1278" bestFit="1" customWidth="1"/>
    <col min="1286" max="1286" width="16.5703125" style="1278" bestFit="1" customWidth="1"/>
    <col min="1287" max="1536" width="9.140625" style="1278"/>
    <col min="1537" max="1537" width="2.140625" style="1278" customWidth="1"/>
    <col min="1538" max="1538" width="6.42578125" style="1278" bestFit="1" customWidth="1"/>
    <col min="1539" max="1539" width="9" style="1278" bestFit="1" customWidth="1"/>
    <col min="1540" max="1540" width="23.7109375" style="1278" customWidth="1"/>
    <col min="1541" max="1541" width="20.5703125" style="1278" bestFit="1" customWidth="1"/>
    <col min="1542" max="1542" width="16.5703125" style="1278" bestFit="1" customWidth="1"/>
    <col min="1543" max="1792" width="9.140625" style="1278"/>
    <col min="1793" max="1793" width="2.140625" style="1278" customWidth="1"/>
    <col min="1794" max="1794" width="6.42578125" style="1278" bestFit="1" customWidth="1"/>
    <col min="1795" max="1795" width="9" style="1278" bestFit="1" customWidth="1"/>
    <col min="1796" max="1796" width="23.7109375" style="1278" customWidth="1"/>
    <col min="1797" max="1797" width="20.5703125" style="1278" bestFit="1" customWidth="1"/>
    <col min="1798" max="1798" width="16.5703125" style="1278" bestFit="1" customWidth="1"/>
    <col min="1799" max="2048" width="9.140625" style="1278"/>
    <col min="2049" max="2049" width="2.140625" style="1278" customWidth="1"/>
    <col min="2050" max="2050" width="6.42578125" style="1278" bestFit="1" customWidth="1"/>
    <col min="2051" max="2051" width="9" style="1278" bestFit="1" customWidth="1"/>
    <col min="2052" max="2052" width="23.7109375" style="1278" customWidth="1"/>
    <col min="2053" max="2053" width="20.5703125" style="1278" bestFit="1" customWidth="1"/>
    <col min="2054" max="2054" width="16.5703125" style="1278" bestFit="1" customWidth="1"/>
    <col min="2055" max="2304" width="9.140625" style="1278"/>
    <col min="2305" max="2305" width="2.140625" style="1278" customWidth="1"/>
    <col min="2306" max="2306" width="6.42578125" style="1278" bestFit="1" customWidth="1"/>
    <col min="2307" max="2307" width="9" style="1278" bestFit="1" customWidth="1"/>
    <col min="2308" max="2308" width="23.7109375" style="1278" customWidth="1"/>
    <col min="2309" max="2309" width="20.5703125" style="1278" bestFit="1" customWidth="1"/>
    <col min="2310" max="2310" width="16.5703125" style="1278" bestFit="1" customWidth="1"/>
    <col min="2311" max="2560" width="9.140625" style="1278"/>
    <col min="2561" max="2561" width="2.140625" style="1278" customWidth="1"/>
    <col min="2562" max="2562" width="6.42578125" style="1278" bestFit="1" customWidth="1"/>
    <col min="2563" max="2563" width="9" style="1278" bestFit="1" customWidth="1"/>
    <col min="2564" max="2564" width="23.7109375" style="1278" customWidth="1"/>
    <col min="2565" max="2565" width="20.5703125" style="1278" bestFit="1" customWidth="1"/>
    <col min="2566" max="2566" width="16.5703125" style="1278" bestFit="1" customWidth="1"/>
    <col min="2567" max="2816" width="9.140625" style="1278"/>
    <col min="2817" max="2817" width="2.140625" style="1278" customWidth="1"/>
    <col min="2818" max="2818" width="6.42578125" style="1278" bestFit="1" customWidth="1"/>
    <col min="2819" max="2819" width="9" style="1278" bestFit="1" customWidth="1"/>
    <col min="2820" max="2820" width="23.7109375" style="1278" customWidth="1"/>
    <col min="2821" max="2821" width="20.5703125" style="1278" bestFit="1" customWidth="1"/>
    <col min="2822" max="2822" width="16.5703125" style="1278" bestFit="1" customWidth="1"/>
    <col min="2823" max="3072" width="9.140625" style="1278"/>
    <col min="3073" max="3073" width="2.140625" style="1278" customWidth="1"/>
    <col min="3074" max="3074" width="6.42578125" style="1278" bestFit="1" customWidth="1"/>
    <col min="3075" max="3075" width="9" style="1278" bestFit="1" customWidth="1"/>
    <col min="3076" max="3076" width="23.7109375" style="1278" customWidth="1"/>
    <col min="3077" max="3077" width="20.5703125" style="1278" bestFit="1" customWidth="1"/>
    <col min="3078" max="3078" width="16.5703125" style="1278" bestFit="1" customWidth="1"/>
    <col min="3079" max="3328" width="9.140625" style="1278"/>
    <col min="3329" max="3329" width="2.140625" style="1278" customWidth="1"/>
    <col min="3330" max="3330" width="6.42578125" style="1278" bestFit="1" customWidth="1"/>
    <col min="3331" max="3331" width="9" style="1278" bestFit="1" customWidth="1"/>
    <col min="3332" max="3332" width="23.7109375" style="1278" customWidth="1"/>
    <col min="3333" max="3333" width="20.5703125" style="1278" bestFit="1" customWidth="1"/>
    <col min="3334" max="3334" width="16.5703125" style="1278" bestFit="1" customWidth="1"/>
    <col min="3335" max="3584" width="9.140625" style="1278"/>
    <col min="3585" max="3585" width="2.140625" style="1278" customWidth="1"/>
    <col min="3586" max="3586" width="6.42578125" style="1278" bestFit="1" customWidth="1"/>
    <col min="3587" max="3587" width="9" style="1278" bestFit="1" customWidth="1"/>
    <col min="3588" max="3588" width="23.7109375" style="1278" customWidth="1"/>
    <col min="3589" max="3589" width="20.5703125" style="1278" bestFit="1" customWidth="1"/>
    <col min="3590" max="3590" width="16.5703125" style="1278" bestFit="1" customWidth="1"/>
    <col min="3591" max="3840" width="9.140625" style="1278"/>
    <col min="3841" max="3841" width="2.140625" style="1278" customWidth="1"/>
    <col min="3842" max="3842" width="6.42578125" style="1278" bestFit="1" customWidth="1"/>
    <col min="3843" max="3843" width="9" style="1278" bestFit="1" customWidth="1"/>
    <col min="3844" max="3844" width="23.7109375" style="1278" customWidth="1"/>
    <col min="3845" max="3845" width="20.5703125" style="1278" bestFit="1" customWidth="1"/>
    <col min="3846" max="3846" width="16.5703125" style="1278" bestFit="1" customWidth="1"/>
    <col min="3847" max="4096" width="9.140625" style="1278"/>
    <col min="4097" max="4097" width="2.140625" style="1278" customWidth="1"/>
    <col min="4098" max="4098" width="6.42578125" style="1278" bestFit="1" customWidth="1"/>
    <col min="4099" max="4099" width="9" style="1278" bestFit="1" customWidth="1"/>
    <col min="4100" max="4100" width="23.7109375" style="1278" customWidth="1"/>
    <col min="4101" max="4101" width="20.5703125" style="1278" bestFit="1" customWidth="1"/>
    <col min="4102" max="4102" width="16.5703125" style="1278" bestFit="1" customWidth="1"/>
    <col min="4103" max="4352" width="9.140625" style="1278"/>
    <col min="4353" max="4353" width="2.140625" style="1278" customWidth="1"/>
    <col min="4354" max="4354" width="6.42578125" style="1278" bestFit="1" customWidth="1"/>
    <col min="4355" max="4355" width="9" style="1278" bestFit="1" customWidth="1"/>
    <col min="4356" max="4356" width="23.7109375" style="1278" customWidth="1"/>
    <col min="4357" max="4357" width="20.5703125" style="1278" bestFit="1" customWidth="1"/>
    <col min="4358" max="4358" width="16.5703125" style="1278" bestFit="1" customWidth="1"/>
    <col min="4359" max="4608" width="9.140625" style="1278"/>
    <col min="4609" max="4609" width="2.140625" style="1278" customWidth="1"/>
    <col min="4610" max="4610" width="6.42578125" style="1278" bestFit="1" customWidth="1"/>
    <col min="4611" max="4611" width="9" style="1278" bestFit="1" customWidth="1"/>
    <col min="4612" max="4612" width="23.7109375" style="1278" customWidth="1"/>
    <col min="4613" max="4613" width="20.5703125" style="1278" bestFit="1" customWidth="1"/>
    <col min="4614" max="4614" width="16.5703125" style="1278" bestFit="1" customWidth="1"/>
    <col min="4615" max="4864" width="9.140625" style="1278"/>
    <col min="4865" max="4865" width="2.140625" style="1278" customWidth="1"/>
    <col min="4866" max="4866" width="6.42578125" style="1278" bestFit="1" customWidth="1"/>
    <col min="4867" max="4867" width="9" style="1278" bestFit="1" customWidth="1"/>
    <col min="4868" max="4868" width="23.7109375" style="1278" customWidth="1"/>
    <col min="4869" max="4869" width="20.5703125" style="1278" bestFit="1" customWidth="1"/>
    <col min="4870" max="4870" width="16.5703125" style="1278" bestFit="1" customWidth="1"/>
    <col min="4871" max="5120" width="9.140625" style="1278"/>
    <col min="5121" max="5121" width="2.140625" style="1278" customWidth="1"/>
    <col min="5122" max="5122" width="6.42578125" style="1278" bestFit="1" customWidth="1"/>
    <col min="5123" max="5123" width="9" style="1278" bestFit="1" customWidth="1"/>
    <col min="5124" max="5124" width="23.7109375" style="1278" customWidth="1"/>
    <col min="5125" max="5125" width="20.5703125" style="1278" bestFit="1" customWidth="1"/>
    <col min="5126" max="5126" width="16.5703125" style="1278" bestFit="1" customWidth="1"/>
    <col min="5127" max="5376" width="9.140625" style="1278"/>
    <col min="5377" max="5377" width="2.140625" style="1278" customWidth="1"/>
    <col min="5378" max="5378" width="6.42578125" style="1278" bestFit="1" customWidth="1"/>
    <col min="5379" max="5379" width="9" style="1278" bestFit="1" customWidth="1"/>
    <col min="5380" max="5380" width="23.7109375" style="1278" customWidth="1"/>
    <col min="5381" max="5381" width="20.5703125" style="1278" bestFit="1" customWidth="1"/>
    <col min="5382" max="5382" width="16.5703125" style="1278" bestFit="1" customWidth="1"/>
    <col min="5383" max="5632" width="9.140625" style="1278"/>
    <col min="5633" max="5633" width="2.140625" style="1278" customWidth="1"/>
    <col min="5634" max="5634" width="6.42578125" style="1278" bestFit="1" customWidth="1"/>
    <col min="5635" max="5635" width="9" style="1278" bestFit="1" customWidth="1"/>
    <col min="5636" max="5636" width="23.7109375" style="1278" customWidth="1"/>
    <col min="5637" max="5637" width="20.5703125" style="1278" bestFit="1" customWidth="1"/>
    <col min="5638" max="5638" width="16.5703125" style="1278" bestFit="1" customWidth="1"/>
    <col min="5639" max="5888" width="9.140625" style="1278"/>
    <col min="5889" max="5889" width="2.140625" style="1278" customWidth="1"/>
    <col min="5890" max="5890" width="6.42578125" style="1278" bestFit="1" customWidth="1"/>
    <col min="5891" max="5891" width="9" style="1278" bestFit="1" customWidth="1"/>
    <col min="5892" max="5892" width="23.7109375" style="1278" customWidth="1"/>
    <col min="5893" max="5893" width="20.5703125" style="1278" bestFit="1" customWidth="1"/>
    <col min="5894" max="5894" width="16.5703125" style="1278" bestFit="1" customWidth="1"/>
    <col min="5895" max="6144" width="9.140625" style="1278"/>
    <col min="6145" max="6145" width="2.140625" style="1278" customWidth="1"/>
    <col min="6146" max="6146" width="6.42578125" style="1278" bestFit="1" customWidth="1"/>
    <col min="6147" max="6147" width="9" style="1278" bestFit="1" customWidth="1"/>
    <col min="6148" max="6148" width="23.7109375" style="1278" customWidth="1"/>
    <col min="6149" max="6149" width="20.5703125" style="1278" bestFit="1" customWidth="1"/>
    <col min="6150" max="6150" width="16.5703125" style="1278" bestFit="1" customWidth="1"/>
    <col min="6151" max="6400" width="9.140625" style="1278"/>
    <col min="6401" max="6401" width="2.140625" style="1278" customWidth="1"/>
    <col min="6402" max="6402" width="6.42578125" style="1278" bestFit="1" customWidth="1"/>
    <col min="6403" max="6403" width="9" style="1278" bestFit="1" customWidth="1"/>
    <col min="6404" max="6404" width="23.7109375" style="1278" customWidth="1"/>
    <col min="6405" max="6405" width="20.5703125" style="1278" bestFit="1" customWidth="1"/>
    <col min="6406" max="6406" width="16.5703125" style="1278" bestFit="1" customWidth="1"/>
    <col min="6407" max="6656" width="9.140625" style="1278"/>
    <col min="6657" max="6657" width="2.140625" style="1278" customWidth="1"/>
    <col min="6658" max="6658" width="6.42578125" style="1278" bestFit="1" customWidth="1"/>
    <col min="6659" max="6659" width="9" style="1278" bestFit="1" customWidth="1"/>
    <col min="6660" max="6660" width="23.7109375" style="1278" customWidth="1"/>
    <col min="6661" max="6661" width="20.5703125" style="1278" bestFit="1" customWidth="1"/>
    <col min="6662" max="6662" width="16.5703125" style="1278" bestFit="1" customWidth="1"/>
    <col min="6663" max="6912" width="9.140625" style="1278"/>
    <col min="6913" max="6913" width="2.140625" style="1278" customWidth="1"/>
    <col min="6914" max="6914" width="6.42578125" style="1278" bestFit="1" customWidth="1"/>
    <col min="6915" max="6915" width="9" style="1278" bestFit="1" customWidth="1"/>
    <col min="6916" max="6916" width="23.7109375" style="1278" customWidth="1"/>
    <col min="6917" max="6917" width="20.5703125" style="1278" bestFit="1" customWidth="1"/>
    <col min="6918" max="6918" width="16.5703125" style="1278" bestFit="1" customWidth="1"/>
    <col min="6919" max="7168" width="9.140625" style="1278"/>
    <col min="7169" max="7169" width="2.140625" style="1278" customWidth="1"/>
    <col min="7170" max="7170" width="6.42578125" style="1278" bestFit="1" customWidth="1"/>
    <col min="7171" max="7171" width="9" style="1278" bestFit="1" customWidth="1"/>
    <col min="7172" max="7172" width="23.7109375" style="1278" customWidth="1"/>
    <col min="7173" max="7173" width="20.5703125" style="1278" bestFit="1" customWidth="1"/>
    <col min="7174" max="7174" width="16.5703125" style="1278" bestFit="1" customWidth="1"/>
    <col min="7175" max="7424" width="9.140625" style="1278"/>
    <col min="7425" max="7425" width="2.140625" style="1278" customWidth="1"/>
    <col min="7426" max="7426" width="6.42578125" style="1278" bestFit="1" customWidth="1"/>
    <col min="7427" max="7427" width="9" style="1278" bestFit="1" customWidth="1"/>
    <col min="7428" max="7428" width="23.7109375" style="1278" customWidth="1"/>
    <col min="7429" max="7429" width="20.5703125" style="1278" bestFit="1" customWidth="1"/>
    <col min="7430" max="7430" width="16.5703125" style="1278" bestFit="1" customWidth="1"/>
    <col min="7431" max="7680" width="9.140625" style="1278"/>
    <col min="7681" max="7681" width="2.140625" style="1278" customWidth="1"/>
    <col min="7682" max="7682" width="6.42578125" style="1278" bestFit="1" customWidth="1"/>
    <col min="7683" max="7683" width="9" style="1278" bestFit="1" customWidth="1"/>
    <col min="7684" max="7684" width="23.7109375" style="1278" customWidth="1"/>
    <col min="7685" max="7685" width="20.5703125" style="1278" bestFit="1" customWidth="1"/>
    <col min="7686" max="7686" width="16.5703125" style="1278" bestFit="1" customWidth="1"/>
    <col min="7687" max="7936" width="9.140625" style="1278"/>
    <col min="7937" max="7937" width="2.140625" style="1278" customWidth="1"/>
    <col min="7938" max="7938" width="6.42578125" style="1278" bestFit="1" customWidth="1"/>
    <col min="7939" max="7939" width="9" style="1278" bestFit="1" customWidth="1"/>
    <col min="7940" max="7940" width="23.7109375" style="1278" customWidth="1"/>
    <col min="7941" max="7941" width="20.5703125" style="1278" bestFit="1" customWidth="1"/>
    <col min="7942" max="7942" width="16.5703125" style="1278" bestFit="1" customWidth="1"/>
    <col min="7943" max="8192" width="9.140625" style="1278"/>
    <col min="8193" max="8193" width="2.140625" style="1278" customWidth="1"/>
    <col min="8194" max="8194" width="6.42578125" style="1278" bestFit="1" customWidth="1"/>
    <col min="8195" max="8195" width="9" style="1278" bestFit="1" customWidth="1"/>
    <col min="8196" max="8196" width="23.7109375" style="1278" customWidth="1"/>
    <col min="8197" max="8197" width="20.5703125" style="1278" bestFit="1" customWidth="1"/>
    <col min="8198" max="8198" width="16.5703125" style="1278" bestFit="1" customWidth="1"/>
    <col min="8199" max="8448" width="9.140625" style="1278"/>
    <col min="8449" max="8449" width="2.140625" style="1278" customWidth="1"/>
    <col min="8450" max="8450" width="6.42578125" style="1278" bestFit="1" customWidth="1"/>
    <col min="8451" max="8451" width="9" style="1278" bestFit="1" customWidth="1"/>
    <col min="8452" max="8452" width="23.7109375" style="1278" customWidth="1"/>
    <col min="8453" max="8453" width="20.5703125" style="1278" bestFit="1" customWidth="1"/>
    <col min="8454" max="8454" width="16.5703125" style="1278" bestFit="1" customWidth="1"/>
    <col min="8455" max="8704" width="9.140625" style="1278"/>
    <col min="8705" max="8705" width="2.140625" style="1278" customWidth="1"/>
    <col min="8706" max="8706" width="6.42578125" style="1278" bestFit="1" customWidth="1"/>
    <col min="8707" max="8707" width="9" style="1278" bestFit="1" customWidth="1"/>
    <col min="8708" max="8708" width="23.7109375" style="1278" customWidth="1"/>
    <col min="8709" max="8709" width="20.5703125" style="1278" bestFit="1" customWidth="1"/>
    <col min="8710" max="8710" width="16.5703125" style="1278" bestFit="1" customWidth="1"/>
    <col min="8711" max="8960" width="9.140625" style="1278"/>
    <col min="8961" max="8961" width="2.140625" style="1278" customWidth="1"/>
    <col min="8962" max="8962" width="6.42578125" style="1278" bestFit="1" customWidth="1"/>
    <col min="8963" max="8963" width="9" style="1278" bestFit="1" customWidth="1"/>
    <col min="8964" max="8964" width="23.7109375" style="1278" customWidth="1"/>
    <col min="8965" max="8965" width="20.5703125" style="1278" bestFit="1" customWidth="1"/>
    <col min="8966" max="8966" width="16.5703125" style="1278" bestFit="1" customWidth="1"/>
    <col min="8967" max="9216" width="9.140625" style="1278"/>
    <col min="9217" max="9217" width="2.140625" style="1278" customWidth="1"/>
    <col min="9218" max="9218" width="6.42578125" style="1278" bestFit="1" customWidth="1"/>
    <col min="9219" max="9219" width="9" style="1278" bestFit="1" customWidth="1"/>
    <col min="9220" max="9220" width="23.7109375" style="1278" customWidth="1"/>
    <col min="9221" max="9221" width="20.5703125" style="1278" bestFit="1" customWidth="1"/>
    <col min="9222" max="9222" width="16.5703125" style="1278" bestFit="1" customWidth="1"/>
    <col min="9223" max="9472" width="9.140625" style="1278"/>
    <col min="9473" max="9473" width="2.140625" style="1278" customWidth="1"/>
    <col min="9474" max="9474" width="6.42578125" style="1278" bestFit="1" customWidth="1"/>
    <col min="9475" max="9475" width="9" style="1278" bestFit="1" customWidth="1"/>
    <col min="9476" max="9476" width="23.7109375" style="1278" customWidth="1"/>
    <col min="9477" max="9477" width="20.5703125" style="1278" bestFit="1" customWidth="1"/>
    <col min="9478" max="9478" width="16.5703125" style="1278" bestFit="1" customWidth="1"/>
    <col min="9479" max="9728" width="9.140625" style="1278"/>
    <col min="9729" max="9729" width="2.140625" style="1278" customWidth="1"/>
    <col min="9730" max="9730" width="6.42578125" style="1278" bestFit="1" customWidth="1"/>
    <col min="9731" max="9731" width="9" style="1278" bestFit="1" customWidth="1"/>
    <col min="9732" max="9732" width="23.7109375" style="1278" customWidth="1"/>
    <col min="9733" max="9733" width="20.5703125" style="1278" bestFit="1" customWidth="1"/>
    <col min="9734" max="9734" width="16.5703125" style="1278" bestFit="1" customWidth="1"/>
    <col min="9735" max="9984" width="9.140625" style="1278"/>
    <col min="9985" max="9985" width="2.140625" style="1278" customWidth="1"/>
    <col min="9986" max="9986" width="6.42578125" style="1278" bestFit="1" customWidth="1"/>
    <col min="9987" max="9987" width="9" style="1278" bestFit="1" customWidth="1"/>
    <col min="9988" max="9988" width="23.7109375" style="1278" customWidth="1"/>
    <col min="9989" max="9989" width="20.5703125" style="1278" bestFit="1" customWidth="1"/>
    <col min="9990" max="9990" width="16.5703125" style="1278" bestFit="1" customWidth="1"/>
    <col min="9991" max="10240" width="9.140625" style="1278"/>
    <col min="10241" max="10241" width="2.140625" style="1278" customWidth="1"/>
    <col min="10242" max="10242" width="6.42578125" style="1278" bestFit="1" customWidth="1"/>
    <col min="10243" max="10243" width="9" style="1278" bestFit="1" customWidth="1"/>
    <col min="10244" max="10244" width="23.7109375" style="1278" customWidth="1"/>
    <col min="10245" max="10245" width="20.5703125" style="1278" bestFit="1" customWidth="1"/>
    <col min="10246" max="10246" width="16.5703125" style="1278" bestFit="1" customWidth="1"/>
    <col min="10247" max="10496" width="9.140625" style="1278"/>
    <col min="10497" max="10497" width="2.140625" style="1278" customWidth="1"/>
    <col min="10498" max="10498" width="6.42578125" style="1278" bestFit="1" customWidth="1"/>
    <col min="10499" max="10499" width="9" style="1278" bestFit="1" customWidth="1"/>
    <col min="10500" max="10500" width="23.7109375" style="1278" customWidth="1"/>
    <col min="10501" max="10501" width="20.5703125" style="1278" bestFit="1" customWidth="1"/>
    <col min="10502" max="10502" width="16.5703125" style="1278" bestFit="1" customWidth="1"/>
    <col min="10503" max="10752" width="9.140625" style="1278"/>
    <col min="10753" max="10753" width="2.140625" style="1278" customWidth="1"/>
    <col min="10754" max="10754" width="6.42578125" style="1278" bestFit="1" customWidth="1"/>
    <col min="10755" max="10755" width="9" style="1278" bestFit="1" customWidth="1"/>
    <col min="10756" max="10756" width="23.7109375" style="1278" customWidth="1"/>
    <col min="10757" max="10757" width="20.5703125" style="1278" bestFit="1" customWidth="1"/>
    <col min="10758" max="10758" width="16.5703125" style="1278" bestFit="1" customWidth="1"/>
    <col min="10759" max="11008" width="9.140625" style="1278"/>
    <col min="11009" max="11009" width="2.140625" style="1278" customWidth="1"/>
    <col min="11010" max="11010" width="6.42578125" style="1278" bestFit="1" customWidth="1"/>
    <col min="11011" max="11011" width="9" style="1278" bestFit="1" customWidth="1"/>
    <col min="11012" max="11012" width="23.7109375" style="1278" customWidth="1"/>
    <col min="11013" max="11013" width="20.5703125" style="1278" bestFit="1" customWidth="1"/>
    <col min="11014" max="11014" width="16.5703125" style="1278" bestFit="1" customWidth="1"/>
    <col min="11015" max="11264" width="9.140625" style="1278"/>
    <col min="11265" max="11265" width="2.140625" style="1278" customWidth="1"/>
    <col min="11266" max="11266" width="6.42578125" style="1278" bestFit="1" customWidth="1"/>
    <col min="11267" max="11267" width="9" style="1278" bestFit="1" customWidth="1"/>
    <col min="11268" max="11268" width="23.7109375" style="1278" customWidth="1"/>
    <col min="11269" max="11269" width="20.5703125" style="1278" bestFit="1" customWidth="1"/>
    <col min="11270" max="11270" width="16.5703125" style="1278" bestFit="1" customWidth="1"/>
    <col min="11271" max="11520" width="9.140625" style="1278"/>
    <col min="11521" max="11521" width="2.140625" style="1278" customWidth="1"/>
    <col min="11522" max="11522" width="6.42578125" style="1278" bestFit="1" customWidth="1"/>
    <col min="11523" max="11523" width="9" style="1278" bestFit="1" customWidth="1"/>
    <col min="11524" max="11524" width="23.7109375" style="1278" customWidth="1"/>
    <col min="11525" max="11525" width="20.5703125" style="1278" bestFit="1" customWidth="1"/>
    <col min="11526" max="11526" width="16.5703125" style="1278" bestFit="1" customWidth="1"/>
    <col min="11527" max="11776" width="9.140625" style="1278"/>
    <col min="11777" max="11777" width="2.140625" style="1278" customWidth="1"/>
    <col min="11778" max="11778" width="6.42578125" style="1278" bestFit="1" customWidth="1"/>
    <col min="11779" max="11779" width="9" style="1278" bestFit="1" customWidth="1"/>
    <col min="11780" max="11780" width="23.7109375" style="1278" customWidth="1"/>
    <col min="11781" max="11781" width="20.5703125" style="1278" bestFit="1" customWidth="1"/>
    <col min="11782" max="11782" width="16.5703125" style="1278" bestFit="1" customWidth="1"/>
    <col min="11783" max="12032" width="9.140625" style="1278"/>
    <col min="12033" max="12033" width="2.140625" style="1278" customWidth="1"/>
    <col min="12034" max="12034" width="6.42578125" style="1278" bestFit="1" customWidth="1"/>
    <col min="12035" max="12035" width="9" style="1278" bestFit="1" customWidth="1"/>
    <col min="12036" max="12036" width="23.7109375" style="1278" customWidth="1"/>
    <col min="12037" max="12037" width="20.5703125" style="1278" bestFit="1" customWidth="1"/>
    <col min="12038" max="12038" width="16.5703125" style="1278" bestFit="1" customWidth="1"/>
    <col min="12039" max="12288" width="9.140625" style="1278"/>
    <col min="12289" max="12289" width="2.140625" style="1278" customWidth="1"/>
    <col min="12290" max="12290" width="6.42578125" style="1278" bestFit="1" customWidth="1"/>
    <col min="12291" max="12291" width="9" style="1278" bestFit="1" customWidth="1"/>
    <col min="12292" max="12292" width="23.7109375" style="1278" customWidth="1"/>
    <col min="12293" max="12293" width="20.5703125" style="1278" bestFit="1" customWidth="1"/>
    <col min="12294" max="12294" width="16.5703125" style="1278" bestFit="1" customWidth="1"/>
    <col min="12295" max="12544" width="9.140625" style="1278"/>
    <col min="12545" max="12545" width="2.140625" style="1278" customWidth="1"/>
    <col min="12546" max="12546" width="6.42578125" style="1278" bestFit="1" customWidth="1"/>
    <col min="12547" max="12547" width="9" style="1278" bestFit="1" customWidth="1"/>
    <col min="12548" max="12548" width="23.7109375" style="1278" customWidth="1"/>
    <col min="12549" max="12549" width="20.5703125" style="1278" bestFit="1" customWidth="1"/>
    <col min="12550" max="12550" width="16.5703125" style="1278" bestFit="1" customWidth="1"/>
    <col min="12551" max="12800" width="9.140625" style="1278"/>
    <col min="12801" max="12801" width="2.140625" style="1278" customWidth="1"/>
    <col min="12802" max="12802" width="6.42578125" style="1278" bestFit="1" customWidth="1"/>
    <col min="12803" max="12803" width="9" style="1278" bestFit="1" customWidth="1"/>
    <col min="12804" max="12804" width="23.7109375" style="1278" customWidth="1"/>
    <col min="12805" max="12805" width="20.5703125" style="1278" bestFit="1" customWidth="1"/>
    <col min="12806" max="12806" width="16.5703125" style="1278" bestFit="1" customWidth="1"/>
    <col min="12807" max="13056" width="9.140625" style="1278"/>
    <col min="13057" max="13057" width="2.140625" style="1278" customWidth="1"/>
    <col min="13058" max="13058" width="6.42578125" style="1278" bestFit="1" customWidth="1"/>
    <col min="13059" max="13059" width="9" style="1278" bestFit="1" customWidth="1"/>
    <col min="13060" max="13060" width="23.7109375" style="1278" customWidth="1"/>
    <col min="13061" max="13061" width="20.5703125" style="1278" bestFit="1" customWidth="1"/>
    <col min="13062" max="13062" width="16.5703125" style="1278" bestFit="1" customWidth="1"/>
    <col min="13063" max="13312" width="9.140625" style="1278"/>
    <col min="13313" max="13313" width="2.140625" style="1278" customWidth="1"/>
    <col min="13314" max="13314" width="6.42578125" style="1278" bestFit="1" customWidth="1"/>
    <col min="13315" max="13315" width="9" style="1278" bestFit="1" customWidth="1"/>
    <col min="13316" max="13316" width="23.7109375" style="1278" customWidth="1"/>
    <col min="13317" max="13317" width="20.5703125" style="1278" bestFit="1" customWidth="1"/>
    <col min="13318" max="13318" width="16.5703125" style="1278" bestFit="1" customWidth="1"/>
    <col min="13319" max="13568" width="9.140625" style="1278"/>
    <col min="13569" max="13569" width="2.140625" style="1278" customWidth="1"/>
    <col min="13570" max="13570" width="6.42578125" style="1278" bestFit="1" customWidth="1"/>
    <col min="13571" max="13571" width="9" style="1278" bestFit="1" customWidth="1"/>
    <col min="13572" max="13572" width="23.7109375" style="1278" customWidth="1"/>
    <col min="13573" max="13573" width="20.5703125" style="1278" bestFit="1" customWidth="1"/>
    <col min="13574" max="13574" width="16.5703125" style="1278" bestFit="1" customWidth="1"/>
    <col min="13575" max="13824" width="9.140625" style="1278"/>
    <col min="13825" max="13825" width="2.140625" style="1278" customWidth="1"/>
    <col min="13826" max="13826" width="6.42578125" style="1278" bestFit="1" customWidth="1"/>
    <col min="13827" max="13827" width="9" style="1278" bestFit="1" customWidth="1"/>
    <col min="13828" max="13828" width="23.7109375" style="1278" customWidth="1"/>
    <col min="13829" max="13829" width="20.5703125" style="1278" bestFit="1" customWidth="1"/>
    <col min="13830" max="13830" width="16.5703125" style="1278" bestFit="1" customWidth="1"/>
    <col min="13831" max="14080" width="9.140625" style="1278"/>
    <col min="14081" max="14081" width="2.140625" style="1278" customWidth="1"/>
    <col min="14082" max="14082" width="6.42578125" style="1278" bestFit="1" customWidth="1"/>
    <col min="14083" max="14083" width="9" style="1278" bestFit="1" customWidth="1"/>
    <col min="14084" max="14084" width="23.7109375" style="1278" customWidth="1"/>
    <col min="14085" max="14085" width="20.5703125" style="1278" bestFit="1" customWidth="1"/>
    <col min="14086" max="14086" width="16.5703125" style="1278" bestFit="1" customWidth="1"/>
    <col min="14087" max="14336" width="9.140625" style="1278"/>
    <col min="14337" max="14337" width="2.140625" style="1278" customWidth="1"/>
    <col min="14338" max="14338" width="6.42578125" style="1278" bestFit="1" customWidth="1"/>
    <col min="14339" max="14339" width="9" style="1278" bestFit="1" customWidth="1"/>
    <col min="14340" max="14340" width="23.7109375" style="1278" customWidth="1"/>
    <col min="14341" max="14341" width="20.5703125" style="1278" bestFit="1" customWidth="1"/>
    <col min="14342" max="14342" width="16.5703125" style="1278" bestFit="1" customWidth="1"/>
    <col min="14343" max="14592" width="9.140625" style="1278"/>
    <col min="14593" max="14593" width="2.140625" style="1278" customWidth="1"/>
    <col min="14594" max="14594" width="6.42578125" style="1278" bestFit="1" customWidth="1"/>
    <col min="14595" max="14595" width="9" style="1278" bestFit="1" customWidth="1"/>
    <col min="14596" max="14596" width="23.7109375" style="1278" customWidth="1"/>
    <col min="14597" max="14597" width="20.5703125" style="1278" bestFit="1" customWidth="1"/>
    <col min="14598" max="14598" width="16.5703125" style="1278" bestFit="1" customWidth="1"/>
    <col min="14599" max="14848" width="9.140625" style="1278"/>
    <col min="14849" max="14849" width="2.140625" style="1278" customWidth="1"/>
    <col min="14850" max="14850" width="6.42578125" style="1278" bestFit="1" customWidth="1"/>
    <col min="14851" max="14851" width="9" style="1278" bestFit="1" customWidth="1"/>
    <col min="14852" max="14852" width="23.7109375" style="1278" customWidth="1"/>
    <col min="14853" max="14853" width="20.5703125" style="1278" bestFit="1" customWidth="1"/>
    <col min="14854" max="14854" width="16.5703125" style="1278" bestFit="1" customWidth="1"/>
    <col min="14855" max="15104" width="9.140625" style="1278"/>
    <col min="15105" max="15105" width="2.140625" style="1278" customWidth="1"/>
    <col min="15106" max="15106" width="6.42578125" style="1278" bestFit="1" customWidth="1"/>
    <col min="15107" max="15107" width="9" style="1278" bestFit="1" customWidth="1"/>
    <col min="15108" max="15108" width="23.7109375" style="1278" customWidth="1"/>
    <col min="15109" max="15109" width="20.5703125" style="1278" bestFit="1" customWidth="1"/>
    <col min="15110" max="15110" width="16.5703125" style="1278" bestFit="1" customWidth="1"/>
    <col min="15111" max="15360" width="9.140625" style="1278"/>
    <col min="15361" max="15361" width="2.140625" style="1278" customWidth="1"/>
    <col min="15362" max="15362" width="6.42578125" style="1278" bestFit="1" customWidth="1"/>
    <col min="15363" max="15363" width="9" style="1278" bestFit="1" customWidth="1"/>
    <col min="15364" max="15364" width="23.7109375" style="1278" customWidth="1"/>
    <col min="15365" max="15365" width="20.5703125" style="1278" bestFit="1" customWidth="1"/>
    <col min="15366" max="15366" width="16.5703125" style="1278" bestFit="1" customWidth="1"/>
    <col min="15367" max="15616" width="9.140625" style="1278"/>
    <col min="15617" max="15617" width="2.140625" style="1278" customWidth="1"/>
    <col min="15618" max="15618" width="6.42578125" style="1278" bestFit="1" customWidth="1"/>
    <col min="15619" max="15619" width="9" style="1278" bestFit="1" customWidth="1"/>
    <col min="15620" max="15620" width="23.7109375" style="1278" customWidth="1"/>
    <col min="15621" max="15621" width="20.5703125" style="1278" bestFit="1" customWidth="1"/>
    <col min="15622" max="15622" width="16.5703125" style="1278" bestFit="1" customWidth="1"/>
    <col min="15623" max="15872" width="9.140625" style="1278"/>
    <col min="15873" max="15873" width="2.140625" style="1278" customWidth="1"/>
    <col min="15874" max="15874" width="6.42578125" style="1278" bestFit="1" customWidth="1"/>
    <col min="15875" max="15875" width="9" style="1278" bestFit="1" customWidth="1"/>
    <col min="15876" max="15876" width="23.7109375" style="1278" customWidth="1"/>
    <col min="15877" max="15877" width="20.5703125" style="1278" bestFit="1" customWidth="1"/>
    <col min="15878" max="15878" width="16.5703125" style="1278" bestFit="1" customWidth="1"/>
    <col min="15879" max="16128" width="9.140625" style="1278"/>
    <col min="16129" max="16129" width="2.140625" style="1278" customWidth="1"/>
    <col min="16130" max="16130" width="6.42578125" style="1278" bestFit="1" customWidth="1"/>
    <col min="16131" max="16131" width="9" style="1278" bestFit="1" customWidth="1"/>
    <col min="16132" max="16132" width="23.7109375" style="1278" customWidth="1"/>
    <col min="16133" max="16133" width="20.5703125" style="1278" bestFit="1" customWidth="1"/>
    <col min="16134" max="16134" width="16.5703125" style="1278" bestFit="1" customWidth="1"/>
    <col min="16135" max="16384" width="9.140625" style="1278"/>
  </cols>
  <sheetData>
    <row r="1" spans="2:6" x14ac:dyDescent="0.2">
      <c r="B1" s="1276"/>
    </row>
    <row r="2" spans="2:6" s="1280" customFormat="1" x14ac:dyDescent="0.2">
      <c r="B2" s="1279"/>
      <c r="D2" s="1281"/>
    </row>
    <row r="3" spans="2:6" s="1283" customFormat="1" x14ac:dyDescent="0.2">
      <c r="B3" s="1894"/>
      <c r="C3" s="1894"/>
      <c r="D3" s="1282"/>
    </row>
    <row r="4" spans="2:6" s="1280" customFormat="1" x14ac:dyDescent="0.2">
      <c r="D4" s="1284"/>
    </row>
    <row r="5" spans="2:6" s="1289" customFormat="1" ht="64.5" thickBot="1" x14ac:dyDescent="0.25">
      <c r="B5" s="1285" t="s">
        <v>739</v>
      </c>
      <c r="C5" s="1285" t="s">
        <v>1221</v>
      </c>
      <c r="D5" s="1286" t="s">
        <v>2004</v>
      </c>
      <c r="E5" s="1287"/>
      <c r="F5" s="1288"/>
    </row>
    <row r="6" spans="2:6" x14ac:dyDescent="0.2">
      <c r="D6" s="1290"/>
      <c r="F6" s="1280"/>
    </row>
    <row r="7" spans="2:6" x14ac:dyDescent="0.2">
      <c r="B7" s="1278">
        <v>2010</v>
      </c>
      <c r="C7" s="1277">
        <v>12</v>
      </c>
      <c r="D7" s="1291">
        <v>8798730.5777747463</v>
      </c>
      <c r="E7" s="1292" t="s">
        <v>2005</v>
      </c>
      <c r="F7" s="1280"/>
    </row>
    <row r="8" spans="2:6" x14ac:dyDescent="0.2">
      <c r="B8" s="1217"/>
      <c r="C8" s="1217"/>
      <c r="D8" s="1293"/>
      <c r="F8" s="1280"/>
    </row>
    <row r="9" spans="2:6" x14ac:dyDescent="0.2">
      <c r="F9" s="1280"/>
    </row>
    <row r="10" spans="2:6" x14ac:dyDescent="0.2">
      <c r="C10" s="1278"/>
      <c r="D10" s="1278"/>
      <c r="E10" s="1278"/>
    </row>
    <row r="11" spans="2:6" x14ac:dyDescent="0.2">
      <c r="C11" s="1278"/>
      <c r="D11" s="1278"/>
      <c r="E11" s="1278"/>
    </row>
    <row r="12" spans="2:6" x14ac:dyDescent="0.2">
      <c r="C12" s="1278"/>
      <c r="D12" s="1278"/>
      <c r="E12" s="1278"/>
    </row>
    <row r="13" spans="2:6" x14ac:dyDescent="0.2">
      <c r="C13" s="1278"/>
      <c r="D13" s="1278"/>
      <c r="E13" s="1278"/>
    </row>
    <row r="14" spans="2:6" x14ac:dyDescent="0.2">
      <c r="C14" s="1278"/>
      <c r="D14" s="1278"/>
      <c r="E14" s="1278"/>
    </row>
    <row r="15" spans="2:6" x14ac:dyDescent="0.2">
      <c r="C15" s="1278"/>
      <c r="D15" s="1278"/>
      <c r="E15" s="1278"/>
    </row>
    <row r="16" spans="2:6" x14ac:dyDescent="0.2">
      <c r="C16" s="1278"/>
      <c r="D16" s="1278"/>
      <c r="E16" s="1278"/>
    </row>
    <row r="17" spans="3:5" x14ac:dyDescent="0.2">
      <c r="C17" s="1278"/>
      <c r="D17" s="1278"/>
      <c r="E17" s="1278"/>
    </row>
    <row r="18" spans="3:5" x14ac:dyDescent="0.2">
      <c r="C18" s="1278"/>
      <c r="D18" s="1278"/>
      <c r="E18" s="1278"/>
    </row>
    <row r="19" spans="3:5" x14ac:dyDescent="0.2">
      <c r="C19" s="1278"/>
      <c r="D19" s="1278"/>
      <c r="E19" s="1278"/>
    </row>
    <row r="20" spans="3:5" x14ac:dyDescent="0.2">
      <c r="C20" s="1278"/>
      <c r="D20" s="1278"/>
      <c r="E20" s="1278"/>
    </row>
    <row r="21" spans="3:5" x14ac:dyDescent="0.2">
      <c r="C21" s="1278"/>
      <c r="D21" s="1278"/>
      <c r="E21" s="1278"/>
    </row>
    <row r="22" spans="3:5" x14ac:dyDescent="0.2">
      <c r="C22" s="1278"/>
      <c r="D22" s="1278"/>
      <c r="E22" s="1278"/>
    </row>
    <row r="23" spans="3:5" x14ac:dyDescent="0.2">
      <c r="C23" s="1278"/>
      <c r="D23" s="1278"/>
      <c r="E23" s="1278"/>
    </row>
    <row r="24" spans="3:5" x14ac:dyDescent="0.2">
      <c r="C24" s="1278"/>
      <c r="D24" s="1278"/>
      <c r="E24" s="1278"/>
    </row>
    <row r="25" spans="3:5" x14ac:dyDescent="0.2">
      <c r="C25" s="1278"/>
      <c r="D25" s="1278"/>
      <c r="E25" s="1278"/>
    </row>
    <row r="26" spans="3:5" x14ac:dyDescent="0.2">
      <c r="C26" s="1278"/>
      <c r="D26" s="1278"/>
      <c r="E26" s="1278"/>
    </row>
    <row r="27" spans="3:5" x14ac:dyDescent="0.2">
      <c r="C27" s="1278"/>
      <c r="D27" s="1278"/>
      <c r="E27" s="1278"/>
    </row>
    <row r="28" spans="3:5" x14ac:dyDescent="0.2">
      <c r="C28" s="1278"/>
      <c r="D28" s="1278"/>
      <c r="E28" s="1278"/>
    </row>
    <row r="29" spans="3:5" x14ac:dyDescent="0.2">
      <c r="C29" s="1278"/>
      <c r="D29" s="1278"/>
      <c r="E29" s="1278"/>
    </row>
    <row r="30" spans="3:5" x14ac:dyDescent="0.2">
      <c r="C30" s="1278"/>
      <c r="D30" s="1278"/>
      <c r="E30" s="1278"/>
    </row>
    <row r="31" spans="3:5" x14ac:dyDescent="0.2">
      <c r="C31" s="1278"/>
      <c r="D31" s="1278"/>
      <c r="E31" s="1278"/>
    </row>
    <row r="32" spans="3:5" x14ac:dyDescent="0.2">
      <c r="C32" s="1278"/>
      <c r="D32" s="1278"/>
      <c r="E32" s="1278"/>
    </row>
    <row r="33" spans="3:5" x14ac:dyDescent="0.2">
      <c r="C33" s="1278"/>
      <c r="D33" s="1278"/>
      <c r="E33" s="1278"/>
    </row>
    <row r="34" spans="3:5" x14ac:dyDescent="0.2">
      <c r="C34" s="1278"/>
      <c r="D34" s="1278"/>
      <c r="E34" s="1278"/>
    </row>
    <row r="35" spans="3:5" x14ac:dyDescent="0.2">
      <c r="C35" s="1278"/>
      <c r="D35" s="1278"/>
      <c r="E35" s="1278"/>
    </row>
    <row r="36" spans="3:5" x14ac:dyDescent="0.2">
      <c r="C36" s="1278"/>
      <c r="D36" s="1278"/>
      <c r="E36" s="1278"/>
    </row>
    <row r="37" spans="3:5" x14ac:dyDescent="0.2">
      <c r="C37" s="1278"/>
      <c r="D37" s="1278"/>
      <c r="E37" s="1278"/>
    </row>
    <row r="38" spans="3:5" x14ac:dyDescent="0.2">
      <c r="C38" s="1278"/>
      <c r="D38" s="1278"/>
      <c r="E38" s="1278"/>
    </row>
    <row r="39" spans="3:5" x14ac:dyDescent="0.2">
      <c r="C39" s="1278"/>
      <c r="D39" s="1278"/>
      <c r="E39" s="1278"/>
    </row>
    <row r="40" spans="3:5" x14ac:dyDescent="0.2">
      <c r="C40" s="1278"/>
      <c r="D40" s="1278"/>
      <c r="E40" s="1278"/>
    </row>
    <row r="41" spans="3:5" x14ac:dyDescent="0.2">
      <c r="C41" s="1278"/>
      <c r="D41" s="1278"/>
      <c r="E41" s="1278"/>
    </row>
    <row r="42" spans="3:5" x14ac:dyDescent="0.2">
      <c r="C42" s="1278"/>
      <c r="D42" s="1278"/>
      <c r="E42" s="1278"/>
    </row>
    <row r="43" spans="3:5" x14ac:dyDescent="0.2">
      <c r="C43" s="1278"/>
      <c r="D43" s="1278"/>
      <c r="E43" s="1278"/>
    </row>
    <row r="44" spans="3:5" x14ac:dyDescent="0.2">
      <c r="C44" s="1278"/>
      <c r="D44" s="1278"/>
      <c r="E44" s="1278"/>
    </row>
    <row r="45" spans="3:5" x14ac:dyDescent="0.2">
      <c r="C45" s="1278"/>
      <c r="D45" s="1278"/>
      <c r="E45" s="1278"/>
    </row>
    <row r="46" spans="3:5" x14ac:dyDescent="0.2">
      <c r="C46" s="1278"/>
      <c r="D46" s="1278"/>
      <c r="E46" s="1278"/>
    </row>
    <row r="47" spans="3:5" x14ac:dyDescent="0.2">
      <c r="C47" s="1278"/>
      <c r="D47" s="1278"/>
      <c r="E47" s="1278"/>
    </row>
    <row r="48" spans="3:5" x14ac:dyDescent="0.2">
      <c r="C48" s="1278"/>
      <c r="D48" s="1278"/>
      <c r="E48" s="1278"/>
    </row>
    <row r="49" spans="3:5" x14ac:dyDescent="0.2">
      <c r="C49" s="1278"/>
      <c r="D49" s="1278"/>
      <c r="E49" s="1278"/>
    </row>
    <row r="50" spans="3:5" x14ac:dyDescent="0.2">
      <c r="C50" s="1278"/>
      <c r="D50" s="1278"/>
      <c r="E50" s="1278"/>
    </row>
    <row r="51" spans="3:5" x14ac:dyDescent="0.2">
      <c r="C51" s="1278"/>
      <c r="D51" s="1278"/>
      <c r="E51" s="1278"/>
    </row>
    <row r="52" spans="3:5" x14ac:dyDescent="0.2">
      <c r="C52" s="1278"/>
      <c r="D52" s="1278"/>
      <c r="E52" s="1278"/>
    </row>
    <row r="53" spans="3:5" x14ac:dyDescent="0.2">
      <c r="C53" s="1278"/>
      <c r="D53" s="1278"/>
      <c r="E53" s="1278"/>
    </row>
    <row r="54" spans="3:5" x14ac:dyDescent="0.2">
      <c r="C54" s="1278"/>
      <c r="D54" s="1278"/>
      <c r="E54" s="1278"/>
    </row>
    <row r="55" spans="3:5" x14ac:dyDescent="0.2">
      <c r="C55" s="1278"/>
      <c r="D55" s="1278"/>
      <c r="E55" s="1278"/>
    </row>
    <row r="56" spans="3:5" x14ac:dyDescent="0.2">
      <c r="C56" s="1278"/>
      <c r="D56" s="1278"/>
      <c r="E56" s="1278"/>
    </row>
    <row r="57" spans="3:5" x14ac:dyDescent="0.2">
      <c r="C57" s="1278"/>
      <c r="D57" s="1278"/>
      <c r="E57" s="1278"/>
    </row>
    <row r="58" spans="3:5" x14ac:dyDescent="0.2">
      <c r="C58" s="1278"/>
      <c r="D58" s="1278"/>
      <c r="E58" s="1278"/>
    </row>
    <row r="59" spans="3:5" x14ac:dyDescent="0.2">
      <c r="C59" s="1278"/>
      <c r="D59" s="1278"/>
      <c r="E59" s="1278"/>
    </row>
    <row r="60" spans="3:5" x14ac:dyDescent="0.2">
      <c r="C60" s="1278"/>
      <c r="D60" s="1278"/>
      <c r="E60" s="1278"/>
    </row>
    <row r="61" spans="3:5" x14ac:dyDescent="0.2">
      <c r="C61" s="1278"/>
      <c r="D61" s="1278"/>
      <c r="E61" s="1278"/>
    </row>
    <row r="62" spans="3:5" x14ac:dyDescent="0.2">
      <c r="C62" s="1278"/>
      <c r="D62" s="1278"/>
      <c r="E62" s="1278"/>
    </row>
    <row r="63" spans="3:5" x14ac:dyDescent="0.2">
      <c r="C63" s="1278"/>
      <c r="D63" s="1278"/>
      <c r="E63" s="1278"/>
    </row>
    <row r="64" spans="3:5" x14ac:dyDescent="0.2">
      <c r="C64" s="1278"/>
      <c r="D64" s="1278"/>
      <c r="E64" s="1278"/>
    </row>
    <row r="65" spans="3:5" x14ac:dyDescent="0.2">
      <c r="C65" s="1278"/>
      <c r="D65" s="1278"/>
      <c r="E65" s="1278"/>
    </row>
    <row r="66" spans="3:5" x14ac:dyDescent="0.2">
      <c r="C66" s="1278"/>
      <c r="D66" s="1278"/>
      <c r="E66" s="1278"/>
    </row>
    <row r="67" spans="3:5" x14ac:dyDescent="0.2">
      <c r="C67" s="1278"/>
      <c r="D67" s="1278"/>
      <c r="E67" s="1278"/>
    </row>
    <row r="68" spans="3:5" x14ac:dyDescent="0.2">
      <c r="C68" s="1278"/>
      <c r="D68" s="1278"/>
      <c r="E68" s="1278"/>
    </row>
    <row r="69" spans="3:5" x14ac:dyDescent="0.2">
      <c r="C69" s="1278"/>
      <c r="D69" s="1278"/>
      <c r="E69" s="1278"/>
    </row>
    <row r="70" spans="3:5" x14ac:dyDescent="0.2">
      <c r="C70" s="1278"/>
      <c r="D70" s="1278"/>
      <c r="E70" s="1278"/>
    </row>
    <row r="71" spans="3:5" x14ac:dyDescent="0.2">
      <c r="C71" s="1278"/>
      <c r="D71" s="1278"/>
      <c r="E71" s="1278"/>
    </row>
    <row r="72" spans="3:5" x14ac:dyDescent="0.2">
      <c r="C72" s="1278"/>
      <c r="D72" s="1278"/>
      <c r="E72" s="1278"/>
    </row>
    <row r="73" spans="3:5" x14ac:dyDescent="0.2">
      <c r="C73" s="1278"/>
      <c r="D73" s="1278"/>
      <c r="E73" s="1278"/>
    </row>
    <row r="74" spans="3:5" x14ac:dyDescent="0.2">
      <c r="C74" s="1278"/>
      <c r="D74" s="1278"/>
      <c r="E74" s="1278"/>
    </row>
    <row r="75" spans="3:5" x14ac:dyDescent="0.2">
      <c r="C75" s="1278"/>
      <c r="D75" s="1278"/>
      <c r="E75" s="1278"/>
    </row>
    <row r="76" spans="3:5" x14ac:dyDescent="0.2">
      <c r="C76" s="1278"/>
      <c r="D76" s="1278"/>
      <c r="E76" s="1278"/>
    </row>
    <row r="77" spans="3:5" x14ac:dyDescent="0.2">
      <c r="C77" s="1278"/>
      <c r="D77" s="1278"/>
      <c r="E77" s="1278"/>
    </row>
    <row r="78" spans="3:5" x14ac:dyDescent="0.2">
      <c r="C78" s="1278"/>
      <c r="D78" s="1278"/>
      <c r="E78" s="1278"/>
    </row>
    <row r="79" spans="3:5" x14ac:dyDescent="0.2">
      <c r="C79" s="1278"/>
      <c r="D79" s="1278"/>
      <c r="E79" s="1278"/>
    </row>
    <row r="80" spans="3:5" x14ac:dyDescent="0.2">
      <c r="C80" s="1278"/>
      <c r="D80" s="1278"/>
      <c r="E80" s="1278"/>
    </row>
    <row r="81" spans="3:5" x14ac:dyDescent="0.2">
      <c r="C81" s="1278"/>
      <c r="D81" s="1278"/>
      <c r="E81" s="1278"/>
    </row>
    <row r="82" spans="3:5" x14ac:dyDescent="0.2">
      <c r="C82" s="1278"/>
      <c r="D82" s="1278"/>
      <c r="E82" s="1278"/>
    </row>
    <row r="83" spans="3:5" x14ac:dyDescent="0.2">
      <c r="C83" s="1278"/>
      <c r="D83" s="1278"/>
      <c r="E83" s="1278"/>
    </row>
    <row r="84" spans="3:5" x14ac:dyDescent="0.2">
      <c r="C84" s="1278"/>
      <c r="D84" s="1278"/>
      <c r="E84" s="1278"/>
    </row>
    <row r="85" spans="3:5" x14ac:dyDescent="0.2">
      <c r="C85" s="1278"/>
      <c r="D85" s="1278"/>
      <c r="E85" s="1278"/>
    </row>
    <row r="86" spans="3:5" x14ac:dyDescent="0.2">
      <c r="C86" s="1278"/>
      <c r="D86" s="1278"/>
      <c r="E86" s="1278"/>
    </row>
    <row r="87" spans="3:5" x14ac:dyDescent="0.2">
      <c r="C87" s="1278"/>
      <c r="D87" s="1278"/>
      <c r="E87" s="1278"/>
    </row>
    <row r="88" spans="3:5" x14ac:dyDescent="0.2">
      <c r="C88" s="1278"/>
      <c r="D88" s="1278"/>
      <c r="E88" s="1278"/>
    </row>
    <row r="89" spans="3:5" x14ac:dyDescent="0.2">
      <c r="C89" s="1278"/>
      <c r="D89" s="1278"/>
      <c r="E89" s="1278"/>
    </row>
    <row r="90" spans="3:5" x14ac:dyDescent="0.2">
      <c r="C90" s="1278"/>
      <c r="D90" s="1278"/>
      <c r="E90" s="1278"/>
    </row>
    <row r="91" spans="3:5" x14ac:dyDescent="0.2">
      <c r="C91" s="1278"/>
      <c r="D91" s="1278"/>
      <c r="E91" s="1278"/>
    </row>
    <row r="92" spans="3:5" x14ac:dyDescent="0.2">
      <c r="C92" s="1278"/>
      <c r="D92" s="1278"/>
      <c r="E92" s="1278"/>
    </row>
  </sheetData>
  <mergeCells count="1">
    <mergeCell ref="B3:C3"/>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R74"/>
  <sheetViews>
    <sheetView workbookViewId="0">
      <selection activeCell="C35" sqref="C35"/>
    </sheetView>
  </sheetViews>
  <sheetFormatPr defaultRowHeight="12.75" x14ac:dyDescent="0.2"/>
  <cols>
    <col min="1" max="1" width="5.140625" style="1025" customWidth="1"/>
    <col min="2" max="2" width="33.85546875" style="1025" customWidth="1"/>
    <col min="3" max="3" width="2.85546875" style="1025" customWidth="1"/>
    <col min="4" max="4" width="12" style="1025" bestFit="1" customWidth="1"/>
    <col min="5" max="5" width="12.5703125" style="1025" bestFit="1" customWidth="1"/>
    <col min="6" max="6" width="11.5703125" style="1025" bestFit="1" customWidth="1"/>
    <col min="7" max="8" width="12" style="1025" bestFit="1" customWidth="1"/>
    <col min="9" max="9" width="11.5703125" style="1025" bestFit="1" customWidth="1"/>
    <col min="10" max="10" width="12" style="1025" bestFit="1" customWidth="1"/>
    <col min="11" max="11" width="11.28515625" style="1025" bestFit="1" customWidth="1"/>
    <col min="12" max="12" width="11.5703125" style="1025" bestFit="1" customWidth="1"/>
    <col min="13" max="13" width="11.28515625" style="1025" bestFit="1" customWidth="1"/>
    <col min="14" max="14" width="12" style="1025" bestFit="1" customWidth="1"/>
    <col min="15" max="15" width="12.28515625" style="1025" bestFit="1" customWidth="1"/>
    <col min="16" max="16" width="12.7109375" style="1025" bestFit="1" customWidth="1"/>
    <col min="17" max="17" width="12.28515625" style="1025" bestFit="1" customWidth="1"/>
    <col min="18" max="18" width="13.28515625" style="1074" bestFit="1" customWidth="1"/>
    <col min="19" max="24" width="9.140625" style="1025"/>
    <col min="25" max="25" width="1.5703125" style="1025" customWidth="1"/>
    <col min="26" max="256" width="9.140625" style="1025"/>
    <col min="257" max="257" width="5.140625" style="1025" customWidth="1"/>
    <col min="258" max="258" width="33.85546875" style="1025" customWidth="1"/>
    <col min="259" max="259" width="2.85546875" style="1025" customWidth="1"/>
    <col min="260" max="260" width="12" style="1025" bestFit="1" customWidth="1"/>
    <col min="261" max="261" width="12.5703125" style="1025" bestFit="1" customWidth="1"/>
    <col min="262" max="262" width="11.5703125" style="1025" bestFit="1" customWidth="1"/>
    <col min="263" max="264" width="12" style="1025" bestFit="1" customWidth="1"/>
    <col min="265" max="265" width="11.5703125" style="1025" bestFit="1" customWidth="1"/>
    <col min="266" max="266" width="12" style="1025" bestFit="1" customWidth="1"/>
    <col min="267" max="267" width="11.28515625" style="1025" bestFit="1" customWidth="1"/>
    <col min="268" max="268" width="11.5703125" style="1025" bestFit="1" customWidth="1"/>
    <col min="269" max="269" width="11.28515625" style="1025" bestFit="1" customWidth="1"/>
    <col min="270" max="270" width="12" style="1025" bestFit="1" customWidth="1"/>
    <col min="271" max="271" width="12.28515625" style="1025" bestFit="1" customWidth="1"/>
    <col min="272" max="272" width="12.7109375" style="1025" bestFit="1" customWidth="1"/>
    <col min="273" max="273" width="12.28515625" style="1025" bestFit="1" customWidth="1"/>
    <col min="274" max="274" width="13.28515625" style="1025" bestFit="1" customWidth="1"/>
    <col min="275" max="280" width="9.140625" style="1025"/>
    <col min="281" max="281" width="1.5703125" style="1025" customWidth="1"/>
    <col min="282" max="512" width="9.140625" style="1025"/>
    <col min="513" max="513" width="5.140625" style="1025" customWidth="1"/>
    <col min="514" max="514" width="33.85546875" style="1025" customWidth="1"/>
    <col min="515" max="515" width="2.85546875" style="1025" customWidth="1"/>
    <col min="516" max="516" width="12" style="1025" bestFit="1" customWidth="1"/>
    <col min="517" max="517" width="12.5703125" style="1025" bestFit="1" customWidth="1"/>
    <col min="518" max="518" width="11.5703125" style="1025" bestFit="1" customWidth="1"/>
    <col min="519" max="520" width="12" style="1025" bestFit="1" customWidth="1"/>
    <col min="521" max="521" width="11.5703125" style="1025" bestFit="1" customWidth="1"/>
    <col min="522" max="522" width="12" style="1025" bestFit="1" customWidth="1"/>
    <col min="523" max="523" width="11.28515625" style="1025" bestFit="1" customWidth="1"/>
    <col min="524" max="524" width="11.5703125" style="1025" bestFit="1" customWidth="1"/>
    <col min="525" max="525" width="11.28515625" style="1025" bestFit="1" customWidth="1"/>
    <col min="526" max="526" width="12" style="1025" bestFit="1" customWidth="1"/>
    <col min="527" max="527" width="12.28515625" style="1025" bestFit="1" customWidth="1"/>
    <col min="528" max="528" width="12.7109375" style="1025" bestFit="1" customWidth="1"/>
    <col min="529" max="529" width="12.28515625" style="1025" bestFit="1" customWidth="1"/>
    <col min="530" max="530" width="13.28515625" style="1025" bestFit="1" customWidth="1"/>
    <col min="531" max="536" width="9.140625" style="1025"/>
    <col min="537" max="537" width="1.5703125" style="1025" customWidth="1"/>
    <col min="538" max="768" width="9.140625" style="1025"/>
    <col min="769" max="769" width="5.140625" style="1025" customWidth="1"/>
    <col min="770" max="770" width="33.85546875" style="1025" customWidth="1"/>
    <col min="771" max="771" width="2.85546875" style="1025" customWidth="1"/>
    <col min="772" max="772" width="12" style="1025" bestFit="1" customWidth="1"/>
    <col min="773" max="773" width="12.5703125" style="1025" bestFit="1" customWidth="1"/>
    <col min="774" max="774" width="11.5703125" style="1025" bestFit="1" customWidth="1"/>
    <col min="775" max="776" width="12" style="1025" bestFit="1" customWidth="1"/>
    <col min="777" max="777" width="11.5703125" style="1025" bestFit="1" customWidth="1"/>
    <col min="778" max="778" width="12" style="1025" bestFit="1" customWidth="1"/>
    <col min="779" max="779" width="11.28515625" style="1025" bestFit="1" customWidth="1"/>
    <col min="780" max="780" width="11.5703125" style="1025" bestFit="1" customWidth="1"/>
    <col min="781" max="781" width="11.28515625" style="1025" bestFit="1" customWidth="1"/>
    <col min="782" max="782" width="12" style="1025" bestFit="1" customWidth="1"/>
    <col min="783" max="783" width="12.28515625" style="1025" bestFit="1" customWidth="1"/>
    <col min="784" max="784" width="12.7109375" style="1025" bestFit="1" customWidth="1"/>
    <col min="785" max="785" width="12.28515625" style="1025" bestFit="1" customWidth="1"/>
    <col min="786" max="786" width="13.28515625" style="1025" bestFit="1" customWidth="1"/>
    <col min="787" max="792" width="9.140625" style="1025"/>
    <col min="793" max="793" width="1.5703125" style="1025" customWidth="1"/>
    <col min="794" max="1024" width="9.140625" style="1025"/>
    <col min="1025" max="1025" width="5.140625" style="1025" customWidth="1"/>
    <col min="1026" max="1026" width="33.85546875" style="1025" customWidth="1"/>
    <col min="1027" max="1027" width="2.85546875" style="1025" customWidth="1"/>
    <col min="1028" max="1028" width="12" style="1025" bestFit="1" customWidth="1"/>
    <col min="1029" max="1029" width="12.5703125" style="1025" bestFit="1" customWidth="1"/>
    <col min="1030" max="1030" width="11.5703125" style="1025" bestFit="1" customWidth="1"/>
    <col min="1031" max="1032" width="12" style="1025" bestFit="1" customWidth="1"/>
    <col min="1033" max="1033" width="11.5703125" style="1025" bestFit="1" customWidth="1"/>
    <col min="1034" max="1034" width="12" style="1025" bestFit="1" customWidth="1"/>
    <col min="1035" max="1035" width="11.28515625" style="1025" bestFit="1" customWidth="1"/>
    <col min="1036" max="1036" width="11.5703125" style="1025" bestFit="1" customWidth="1"/>
    <col min="1037" max="1037" width="11.28515625" style="1025" bestFit="1" customWidth="1"/>
    <col min="1038" max="1038" width="12" style="1025" bestFit="1" customWidth="1"/>
    <col min="1039" max="1039" width="12.28515625" style="1025" bestFit="1" customWidth="1"/>
    <col min="1040" max="1040" width="12.7109375" style="1025" bestFit="1" customWidth="1"/>
    <col min="1041" max="1041" width="12.28515625" style="1025" bestFit="1" customWidth="1"/>
    <col min="1042" max="1042" width="13.28515625" style="1025" bestFit="1" customWidth="1"/>
    <col min="1043" max="1048" width="9.140625" style="1025"/>
    <col min="1049" max="1049" width="1.5703125" style="1025" customWidth="1"/>
    <col min="1050" max="1280" width="9.140625" style="1025"/>
    <col min="1281" max="1281" width="5.140625" style="1025" customWidth="1"/>
    <col min="1282" max="1282" width="33.85546875" style="1025" customWidth="1"/>
    <col min="1283" max="1283" width="2.85546875" style="1025" customWidth="1"/>
    <col min="1284" max="1284" width="12" style="1025" bestFit="1" customWidth="1"/>
    <col min="1285" max="1285" width="12.5703125" style="1025" bestFit="1" customWidth="1"/>
    <col min="1286" max="1286" width="11.5703125" style="1025" bestFit="1" customWidth="1"/>
    <col min="1287" max="1288" width="12" style="1025" bestFit="1" customWidth="1"/>
    <col min="1289" max="1289" width="11.5703125" style="1025" bestFit="1" customWidth="1"/>
    <col min="1290" max="1290" width="12" style="1025" bestFit="1" customWidth="1"/>
    <col min="1291" max="1291" width="11.28515625" style="1025" bestFit="1" customWidth="1"/>
    <col min="1292" max="1292" width="11.5703125" style="1025" bestFit="1" customWidth="1"/>
    <col min="1293" max="1293" width="11.28515625" style="1025" bestFit="1" customWidth="1"/>
    <col min="1294" max="1294" width="12" style="1025" bestFit="1" customWidth="1"/>
    <col min="1295" max="1295" width="12.28515625" style="1025" bestFit="1" customWidth="1"/>
    <col min="1296" max="1296" width="12.7109375" style="1025" bestFit="1" customWidth="1"/>
    <col min="1297" max="1297" width="12.28515625" style="1025" bestFit="1" customWidth="1"/>
    <col min="1298" max="1298" width="13.28515625" style="1025" bestFit="1" customWidth="1"/>
    <col min="1299" max="1304" width="9.140625" style="1025"/>
    <col min="1305" max="1305" width="1.5703125" style="1025" customWidth="1"/>
    <col min="1306" max="1536" width="9.140625" style="1025"/>
    <col min="1537" max="1537" width="5.140625" style="1025" customWidth="1"/>
    <col min="1538" max="1538" width="33.85546875" style="1025" customWidth="1"/>
    <col min="1539" max="1539" width="2.85546875" style="1025" customWidth="1"/>
    <col min="1540" max="1540" width="12" style="1025" bestFit="1" customWidth="1"/>
    <col min="1541" max="1541" width="12.5703125" style="1025" bestFit="1" customWidth="1"/>
    <col min="1542" max="1542" width="11.5703125" style="1025" bestFit="1" customWidth="1"/>
    <col min="1543" max="1544" width="12" style="1025" bestFit="1" customWidth="1"/>
    <col min="1545" max="1545" width="11.5703125" style="1025" bestFit="1" customWidth="1"/>
    <col min="1546" max="1546" width="12" style="1025" bestFit="1" customWidth="1"/>
    <col min="1547" max="1547" width="11.28515625" style="1025" bestFit="1" customWidth="1"/>
    <col min="1548" max="1548" width="11.5703125" style="1025" bestFit="1" customWidth="1"/>
    <col min="1549" max="1549" width="11.28515625" style="1025" bestFit="1" customWidth="1"/>
    <col min="1550" max="1550" width="12" style="1025" bestFit="1" customWidth="1"/>
    <col min="1551" max="1551" width="12.28515625" style="1025" bestFit="1" customWidth="1"/>
    <col min="1552" max="1552" width="12.7109375" style="1025" bestFit="1" customWidth="1"/>
    <col min="1553" max="1553" width="12.28515625" style="1025" bestFit="1" customWidth="1"/>
    <col min="1554" max="1554" width="13.28515625" style="1025" bestFit="1" customWidth="1"/>
    <col min="1555" max="1560" width="9.140625" style="1025"/>
    <col min="1561" max="1561" width="1.5703125" style="1025" customWidth="1"/>
    <col min="1562" max="1792" width="9.140625" style="1025"/>
    <col min="1793" max="1793" width="5.140625" style="1025" customWidth="1"/>
    <col min="1794" max="1794" width="33.85546875" style="1025" customWidth="1"/>
    <col min="1795" max="1795" width="2.85546875" style="1025" customWidth="1"/>
    <col min="1796" max="1796" width="12" style="1025" bestFit="1" customWidth="1"/>
    <col min="1797" max="1797" width="12.5703125" style="1025" bestFit="1" customWidth="1"/>
    <col min="1798" max="1798" width="11.5703125" style="1025" bestFit="1" customWidth="1"/>
    <col min="1799" max="1800" width="12" style="1025" bestFit="1" customWidth="1"/>
    <col min="1801" max="1801" width="11.5703125" style="1025" bestFit="1" customWidth="1"/>
    <col min="1802" max="1802" width="12" style="1025" bestFit="1" customWidth="1"/>
    <col min="1803" max="1803" width="11.28515625" style="1025" bestFit="1" customWidth="1"/>
    <col min="1804" max="1804" width="11.5703125" style="1025" bestFit="1" customWidth="1"/>
    <col min="1805" max="1805" width="11.28515625" style="1025" bestFit="1" customWidth="1"/>
    <col min="1806" max="1806" width="12" style="1025" bestFit="1" customWidth="1"/>
    <col min="1807" max="1807" width="12.28515625" style="1025" bestFit="1" customWidth="1"/>
    <col min="1808" max="1808" width="12.7109375" style="1025" bestFit="1" customWidth="1"/>
    <col min="1809" max="1809" width="12.28515625" style="1025" bestFit="1" customWidth="1"/>
    <col min="1810" max="1810" width="13.28515625" style="1025" bestFit="1" customWidth="1"/>
    <col min="1811" max="1816" width="9.140625" style="1025"/>
    <col min="1817" max="1817" width="1.5703125" style="1025" customWidth="1"/>
    <col min="1818" max="2048" width="9.140625" style="1025"/>
    <col min="2049" max="2049" width="5.140625" style="1025" customWidth="1"/>
    <col min="2050" max="2050" width="33.85546875" style="1025" customWidth="1"/>
    <col min="2051" max="2051" width="2.85546875" style="1025" customWidth="1"/>
    <col min="2052" max="2052" width="12" style="1025" bestFit="1" customWidth="1"/>
    <col min="2053" max="2053" width="12.5703125" style="1025" bestFit="1" customWidth="1"/>
    <col min="2054" max="2054" width="11.5703125" style="1025" bestFit="1" customWidth="1"/>
    <col min="2055" max="2056" width="12" style="1025" bestFit="1" customWidth="1"/>
    <col min="2057" max="2057" width="11.5703125" style="1025" bestFit="1" customWidth="1"/>
    <col min="2058" max="2058" width="12" style="1025" bestFit="1" customWidth="1"/>
    <col min="2059" max="2059" width="11.28515625" style="1025" bestFit="1" customWidth="1"/>
    <col min="2060" max="2060" width="11.5703125" style="1025" bestFit="1" customWidth="1"/>
    <col min="2061" max="2061" width="11.28515625" style="1025" bestFit="1" customWidth="1"/>
    <col min="2062" max="2062" width="12" style="1025" bestFit="1" customWidth="1"/>
    <col min="2063" max="2063" width="12.28515625" style="1025" bestFit="1" customWidth="1"/>
    <col min="2064" max="2064" width="12.7109375" style="1025" bestFit="1" customWidth="1"/>
    <col min="2065" max="2065" width="12.28515625" style="1025" bestFit="1" customWidth="1"/>
    <col min="2066" max="2066" width="13.28515625" style="1025" bestFit="1" customWidth="1"/>
    <col min="2067" max="2072" width="9.140625" style="1025"/>
    <col min="2073" max="2073" width="1.5703125" style="1025" customWidth="1"/>
    <col min="2074" max="2304" width="9.140625" style="1025"/>
    <col min="2305" max="2305" width="5.140625" style="1025" customWidth="1"/>
    <col min="2306" max="2306" width="33.85546875" style="1025" customWidth="1"/>
    <col min="2307" max="2307" width="2.85546875" style="1025" customWidth="1"/>
    <col min="2308" max="2308" width="12" style="1025" bestFit="1" customWidth="1"/>
    <col min="2309" max="2309" width="12.5703125" style="1025" bestFit="1" customWidth="1"/>
    <col min="2310" max="2310" width="11.5703125" style="1025" bestFit="1" customWidth="1"/>
    <col min="2311" max="2312" width="12" style="1025" bestFit="1" customWidth="1"/>
    <col min="2313" max="2313" width="11.5703125" style="1025" bestFit="1" customWidth="1"/>
    <col min="2314" max="2314" width="12" style="1025" bestFit="1" customWidth="1"/>
    <col min="2315" max="2315" width="11.28515625" style="1025" bestFit="1" customWidth="1"/>
    <col min="2316" max="2316" width="11.5703125" style="1025" bestFit="1" customWidth="1"/>
    <col min="2317" max="2317" width="11.28515625" style="1025" bestFit="1" customWidth="1"/>
    <col min="2318" max="2318" width="12" style="1025" bestFit="1" customWidth="1"/>
    <col min="2319" max="2319" width="12.28515625" style="1025" bestFit="1" customWidth="1"/>
    <col min="2320" max="2320" width="12.7109375" style="1025" bestFit="1" customWidth="1"/>
    <col min="2321" max="2321" width="12.28515625" style="1025" bestFit="1" customWidth="1"/>
    <col min="2322" max="2322" width="13.28515625" style="1025" bestFit="1" customWidth="1"/>
    <col min="2323" max="2328" width="9.140625" style="1025"/>
    <col min="2329" max="2329" width="1.5703125" style="1025" customWidth="1"/>
    <col min="2330" max="2560" width="9.140625" style="1025"/>
    <col min="2561" max="2561" width="5.140625" style="1025" customWidth="1"/>
    <col min="2562" max="2562" width="33.85546875" style="1025" customWidth="1"/>
    <col min="2563" max="2563" width="2.85546875" style="1025" customWidth="1"/>
    <col min="2564" max="2564" width="12" style="1025" bestFit="1" customWidth="1"/>
    <col min="2565" max="2565" width="12.5703125" style="1025" bestFit="1" customWidth="1"/>
    <col min="2566" max="2566" width="11.5703125" style="1025" bestFit="1" customWidth="1"/>
    <col min="2567" max="2568" width="12" style="1025" bestFit="1" customWidth="1"/>
    <col min="2569" max="2569" width="11.5703125" style="1025" bestFit="1" customWidth="1"/>
    <col min="2570" max="2570" width="12" style="1025" bestFit="1" customWidth="1"/>
    <col min="2571" max="2571" width="11.28515625" style="1025" bestFit="1" customWidth="1"/>
    <col min="2572" max="2572" width="11.5703125" style="1025" bestFit="1" customWidth="1"/>
    <col min="2573" max="2573" width="11.28515625" style="1025" bestFit="1" customWidth="1"/>
    <col min="2574" max="2574" width="12" style="1025" bestFit="1" customWidth="1"/>
    <col min="2575" max="2575" width="12.28515625" style="1025" bestFit="1" customWidth="1"/>
    <col min="2576" max="2576" width="12.7109375" style="1025" bestFit="1" customWidth="1"/>
    <col min="2577" max="2577" width="12.28515625" style="1025" bestFit="1" customWidth="1"/>
    <col min="2578" max="2578" width="13.28515625" style="1025" bestFit="1" customWidth="1"/>
    <col min="2579" max="2584" width="9.140625" style="1025"/>
    <col min="2585" max="2585" width="1.5703125" style="1025" customWidth="1"/>
    <col min="2586" max="2816" width="9.140625" style="1025"/>
    <col min="2817" max="2817" width="5.140625" style="1025" customWidth="1"/>
    <col min="2818" max="2818" width="33.85546875" style="1025" customWidth="1"/>
    <col min="2819" max="2819" width="2.85546875" style="1025" customWidth="1"/>
    <col min="2820" max="2820" width="12" style="1025" bestFit="1" customWidth="1"/>
    <col min="2821" max="2821" width="12.5703125" style="1025" bestFit="1" customWidth="1"/>
    <col min="2822" max="2822" width="11.5703125" style="1025" bestFit="1" customWidth="1"/>
    <col min="2823" max="2824" width="12" style="1025" bestFit="1" customWidth="1"/>
    <col min="2825" max="2825" width="11.5703125" style="1025" bestFit="1" customWidth="1"/>
    <col min="2826" max="2826" width="12" style="1025" bestFit="1" customWidth="1"/>
    <col min="2827" max="2827" width="11.28515625" style="1025" bestFit="1" customWidth="1"/>
    <col min="2828" max="2828" width="11.5703125" style="1025" bestFit="1" customWidth="1"/>
    <col min="2829" max="2829" width="11.28515625" style="1025" bestFit="1" customWidth="1"/>
    <col min="2830" max="2830" width="12" style="1025" bestFit="1" customWidth="1"/>
    <col min="2831" max="2831" width="12.28515625" style="1025" bestFit="1" customWidth="1"/>
    <col min="2832" max="2832" width="12.7109375" style="1025" bestFit="1" customWidth="1"/>
    <col min="2833" max="2833" width="12.28515625" style="1025" bestFit="1" customWidth="1"/>
    <col min="2834" max="2834" width="13.28515625" style="1025" bestFit="1" customWidth="1"/>
    <col min="2835" max="2840" width="9.140625" style="1025"/>
    <col min="2841" max="2841" width="1.5703125" style="1025" customWidth="1"/>
    <col min="2842" max="3072" width="9.140625" style="1025"/>
    <col min="3073" max="3073" width="5.140625" style="1025" customWidth="1"/>
    <col min="3074" max="3074" width="33.85546875" style="1025" customWidth="1"/>
    <col min="3075" max="3075" width="2.85546875" style="1025" customWidth="1"/>
    <col min="3076" max="3076" width="12" style="1025" bestFit="1" customWidth="1"/>
    <col min="3077" max="3077" width="12.5703125" style="1025" bestFit="1" customWidth="1"/>
    <col min="3078" max="3078" width="11.5703125" style="1025" bestFit="1" customWidth="1"/>
    <col min="3079" max="3080" width="12" style="1025" bestFit="1" customWidth="1"/>
    <col min="3081" max="3081" width="11.5703125" style="1025" bestFit="1" customWidth="1"/>
    <col min="3082" max="3082" width="12" style="1025" bestFit="1" customWidth="1"/>
    <col min="3083" max="3083" width="11.28515625" style="1025" bestFit="1" customWidth="1"/>
    <col min="3084" max="3084" width="11.5703125" style="1025" bestFit="1" customWidth="1"/>
    <col min="3085" max="3085" width="11.28515625" style="1025" bestFit="1" customWidth="1"/>
    <col min="3086" max="3086" width="12" style="1025" bestFit="1" customWidth="1"/>
    <col min="3087" max="3087" width="12.28515625" style="1025" bestFit="1" customWidth="1"/>
    <col min="3088" max="3088" width="12.7109375" style="1025" bestFit="1" customWidth="1"/>
    <col min="3089" max="3089" width="12.28515625" style="1025" bestFit="1" customWidth="1"/>
    <col min="3090" max="3090" width="13.28515625" style="1025" bestFit="1" customWidth="1"/>
    <col min="3091" max="3096" width="9.140625" style="1025"/>
    <col min="3097" max="3097" width="1.5703125" style="1025" customWidth="1"/>
    <col min="3098" max="3328" width="9.140625" style="1025"/>
    <col min="3329" max="3329" width="5.140625" style="1025" customWidth="1"/>
    <col min="3330" max="3330" width="33.85546875" style="1025" customWidth="1"/>
    <col min="3331" max="3331" width="2.85546875" style="1025" customWidth="1"/>
    <col min="3332" max="3332" width="12" style="1025" bestFit="1" customWidth="1"/>
    <col min="3333" max="3333" width="12.5703125" style="1025" bestFit="1" customWidth="1"/>
    <col min="3334" max="3334" width="11.5703125" style="1025" bestFit="1" customWidth="1"/>
    <col min="3335" max="3336" width="12" style="1025" bestFit="1" customWidth="1"/>
    <col min="3337" max="3337" width="11.5703125" style="1025" bestFit="1" customWidth="1"/>
    <col min="3338" max="3338" width="12" style="1025" bestFit="1" customWidth="1"/>
    <col min="3339" max="3339" width="11.28515625" style="1025" bestFit="1" customWidth="1"/>
    <col min="3340" max="3340" width="11.5703125" style="1025" bestFit="1" customWidth="1"/>
    <col min="3341" max="3341" width="11.28515625" style="1025" bestFit="1" customWidth="1"/>
    <col min="3342" max="3342" width="12" style="1025" bestFit="1" customWidth="1"/>
    <col min="3343" max="3343" width="12.28515625" style="1025" bestFit="1" customWidth="1"/>
    <col min="3344" max="3344" width="12.7109375" style="1025" bestFit="1" customWidth="1"/>
    <col min="3345" max="3345" width="12.28515625" style="1025" bestFit="1" customWidth="1"/>
    <col min="3346" max="3346" width="13.28515625" style="1025" bestFit="1" customWidth="1"/>
    <col min="3347" max="3352" width="9.140625" style="1025"/>
    <col min="3353" max="3353" width="1.5703125" style="1025" customWidth="1"/>
    <col min="3354" max="3584" width="9.140625" style="1025"/>
    <col min="3585" max="3585" width="5.140625" style="1025" customWidth="1"/>
    <col min="3586" max="3586" width="33.85546875" style="1025" customWidth="1"/>
    <col min="3587" max="3587" width="2.85546875" style="1025" customWidth="1"/>
    <col min="3588" max="3588" width="12" style="1025" bestFit="1" customWidth="1"/>
    <col min="3589" max="3589" width="12.5703125" style="1025" bestFit="1" customWidth="1"/>
    <col min="3590" max="3590" width="11.5703125" style="1025" bestFit="1" customWidth="1"/>
    <col min="3591" max="3592" width="12" style="1025" bestFit="1" customWidth="1"/>
    <col min="3593" max="3593" width="11.5703125" style="1025" bestFit="1" customWidth="1"/>
    <col min="3594" max="3594" width="12" style="1025" bestFit="1" customWidth="1"/>
    <col min="3595" max="3595" width="11.28515625" style="1025" bestFit="1" customWidth="1"/>
    <col min="3596" max="3596" width="11.5703125" style="1025" bestFit="1" customWidth="1"/>
    <col min="3597" max="3597" width="11.28515625" style="1025" bestFit="1" customWidth="1"/>
    <col min="3598" max="3598" width="12" style="1025" bestFit="1" customWidth="1"/>
    <col min="3599" max="3599" width="12.28515625" style="1025" bestFit="1" customWidth="1"/>
    <col min="3600" max="3600" width="12.7109375" style="1025" bestFit="1" customWidth="1"/>
    <col min="3601" max="3601" width="12.28515625" style="1025" bestFit="1" customWidth="1"/>
    <col min="3602" max="3602" width="13.28515625" style="1025" bestFit="1" customWidth="1"/>
    <col min="3603" max="3608" width="9.140625" style="1025"/>
    <col min="3609" max="3609" width="1.5703125" style="1025" customWidth="1"/>
    <col min="3610" max="3840" width="9.140625" style="1025"/>
    <col min="3841" max="3841" width="5.140625" style="1025" customWidth="1"/>
    <col min="3842" max="3842" width="33.85546875" style="1025" customWidth="1"/>
    <col min="3843" max="3843" width="2.85546875" style="1025" customWidth="1"/>
    <col min="3844" max="3844" width="12" style="1025" bestFit="1" customWidth="1"/>
    <col min="3845" max="3845" width="12.5703125" style="1025" bestFit="1" customWidth="1"/>
    <col min="3846" max="3846" width="11.5703125" style="1025" bestFit="1" customWidth="1"/>
    <col min="3847" max="3848" width="12" style="1025" bestFit="1" customWidth="1"/>
    <col min="3849" max="3849" width="11.5703125" style="1025" bestFit="1" customWidth="1"/>
    <col min="3850" max="3850" width="12" style="1025" bestFit="1" customWidth="1"/>
    <col min="3851" max="3851" width="11.28515625" style="1025" bestFit="1" customWidth="1"/>
    <col min="3852" max="3852" width="11.5703125" style="1025" bestFit="1" customWidth="1"/>
    <col min="3853" max="3853" width="11.28515625" style="1025" bestFit="1" customWidth="1"/>
    <col min="3854" max="3854" width="12" style="1025" bestFit="1" customWidth="1"/>
    <col min="3855" max="3855" width="12.28515625" style="1025" bestFit="1" customWidth="1"/>
    <col min="3856" max="3856" width="12.7109375" style="1025" bestFit="1" customWidth="1"/>
    <col min="3857" max="3857" width="12.28515625" style="1025" bestFit="1" customWidth="1"/>
    <col min="3858" max="3858" width="13.28515625" style="1025" bestFit="1" customWidth="1"/>
    <col min="3859" max="3864" width="9.140625" style="1025"/>
    <col min="3865" max="3865" width="1.5703125" style="1025" customWidth="1"/>
    <col min="3866" max="4096" width="9.140625" style="1025"/>
    <col min="4097" max="4097" width="5.140625" style="1025" customWidth="1"/>
    <col min="4098" max="4098" width="33.85546875" style="1025" customWidth="1"/>
    <col min="4099" max="4099" width="2.85546875" style="1025" customWidth="1"/>
    <col min="4100" max="4100" width="12" style="1025" bestFit="1" customWidth="1"/>
    <col min="4101" max="4101" width="12.5703125" style="1025" bestFit="1" customWidth="1"/>
    <col min="4102" max="4102" width="11.5703125" style="1025" bestFit="1" customWidth="1"/>
    <col min="4103" max="4104" width="12" style="1025" bestFit="1" customWidth="1"/>
    <col min="4105" max="4105" width="11.5703125" style="1025" bestFit="1" customWidth="1"/>
    <col min="4106" max="4106" width="12" style="1025" bestFit="1" customWidth="1"/>
    <col min="4107" max="4107" width="11.28515625" style="1025" bestFit="1" customWidth="1"/>
    <col min="4108" max="4108" width="11.5703125" style="1025" bestFit="1" customWidth="1"/>
    <col min="4109" max="4109" width="11.28515625" style="1025" bestFit="1" customWidth="1"/>
    <col min="4110" max="4110" width="12" style="1025" bestFit="1" customWidth="1"/>
    <col min="4111" max="4111" width="12.28515625" style="1025" bestFit="1" customWidth="1"/>
    <col min="4112" max="4112" width="12.7109375" style="1025" bestFit="1" customWidth="1"/>
    <col min="4113" max="4113" width="12.28515625" style="1025" bestFit="1" customWidth="1"/>
    <col min="4114" max="4114" width="13.28515625" style="1025" bestFit="1" customWidth="1"/>
    <col min="4115" max="4120" width="9.140625" style="1025"/>
    <col min="4121" max="4121" width="1.5703125" style="1025" customWidth="1"/>
    <col min="4122" max="4352" width="9.140625" style="1025"/>
    <col min="4353" max="4353" width="5.140625" style="1025" customWidth="1"/>
    <col min="4354" max="4354" width="33.85546875" style="1025" customWidth="1"/>
    <col min="4355" max="4355" width="2.85546875" style="1025" customWidth="1"/>
    <col min="4356" max="4356" width="12" style="1025" bestFit="1" customWidth="1"/>
    <col min="4357" max="4357" width="12.5703125" style="1025" bestFit="1" customWidth="1"/>
    <col min="4358" max="4358" width="11.5703125" style="1025" bestFit="1" customWidth="1"/>
    <col min="4359" max="4360" width="12" style="1025" bestFit="1" customWidth="1"/>
    <col min="4361" max="4361" width="11.5703125" style="1025" bestFit="1" customWidth="1"/>
    <col min="4362" max="4362" width="12" style="1025" bestFit="1" customWidth="1"/>
    <col min="4363" max="4363" width="11.28515625" style="1025" bestFit="1" customWidth="1"/>
    <col min="4364" max="4364" width="11.5703125" style="1025" bestFit="1" customWidth="1"/>
    <col min="4365" max="4365" width="11.28515625" style="1025" bestFit="1" customWidth="1"/>
    <col min="4366" max="4366" width="12" style="1025" bestFit="1" customWidth="1"/>
    <col min="4367" max="4367" width="12.28515625" style="1025" bestFit="1" customWidth="1"/>
    <col min="4368" max="4368" width="12.7109375" style="1025" bestFit="1" customWidth="1"/>
    <col min="4369" max="4369" width="12.28515625" style="1025" bestFit="1" customWidth="1"/>
    <col min="4370" max="4370" width="13.28515625" style="1025" bestFit="1" customWidth="1"/>
    <col min="4371" max="4376" width="9.140625" style="1025"/>
    <col min="4377" max="4377" width="1.5703125" style="1025" customWidth="1"/>
    <col min="4378" max="4608" width="9.140625" style="1025"/>
    <col min="4609" max="4609" width="5.140625" style="1025" customWidth="1"/>
    <col min="4610" max="4610" width="33.85546875" style="1025" customWidth="1"/>
    <col min="4611" max="4611" width="2.85546875" style="1025" customWidth="1"/>
    <col min="4612" max="4612" width="12" style="1025" bestFit="1" customWidth="1"/>
    <col min="4613" max="4613" width="12.5703125" style="1025" bestFit="1" customWidth="1"/>
    <col min="4614" max="4614" width="11.5703125" style="1025" bestFit="1" customWidth="1"/>
    <col min="4615" max="4616" width="12" style="1025" bestFit="1" customWidth="1"/>
    <col min="4617" max="4617" width="11.5703125" style="1025" bestFit="1" customWidth="1"/>
    <col min="4618" max="4618" width="12" style="1025" bestFit="1" customWidth="1"/>
    <col min="4619" max="4619" width="11.28515625" style="1025" bestFit="1" customWidth="1"/>
    <col min="4620" max="4620" width="11.5703125" style="1025" bestFit="1" customWidth="1"/>
    <col min="4621" max="4621" width="11.28515625" style="1025" bestFit="1" customWidth="1"/>
    <col min="4622" max="4622" width="12" style="1025" bestFit="1" customWidth="1"/>
    <col min="4623" max="4623" width="12.28515625" style="1025" bestFit="1" customWidth="1"/>
    <col min="4624" max="4624" width="12.7109375" style="1025" bestFit="1" customWidth="1"/>
    <col min="4625" max="4625" width="12.28515625" style="1025" bestFit="1" customWidth="1"/>
    <col min="4626" max="4626" width="13.28515625" style="1025" bestFit="1" customWidth="1"/>
    <col min="4627" max="4632" width="9.140625" style="1025"/>
    <col min="4633" max="4633" width="1.5703125" style="1025" customWidth="1"/>
    <col min="4634" max="4864" width="9.140625" style="1025"/>
    <col min="4865" max="4865" width="5.140625" style="1025" customWidth="1"/>
    <col min="4866" max="4866" width="33.85546875" style="1025" customWidth="1"/>
    <col min="4867" max="4867" width="2.85546875" style="1025" customWidth="1"/>
    <col min="4868" max="4868" width="12" style="1025" bestFit="1" customWidth="1"/>
    <col min="4869" max="4869" width="12.5703125" style="1025" bestFit="1" customWidth="1"/>
    <col min="4870" max="4870" width="11.5703125" style="1025" bestFit="1" customWidth="1"/>
    <col min="4871" max="4872" width="12" style="1025" bestFit="1" customWidth="1"/>
    <col min="4873" max="4873" width="11.5703125" style="1025" bestFit="1" customWidth="1"/>
    <col min="4874" max="4874" width="12" style="1025" bestFit="1" customWidth="1"/>
    <col min="4875" max="4875" width="11.28515625" style="1025" bestFit="1" customWidth="1"/>
    <col min="4876" max="4876" width="11.5703125" style="1025" bestFit="1" customWidth="1"/>
    <col min="4877" max="4877" width="11.28515625" style="1025" bestFit="1" customWidth="1"/>
    <col min="4878" max="4878" width="12" style="1025" bestFit="1" customWidth="1"/>
    <col min="4879" max="4879" width="12.28515625" style="1025" bestFit="1" customWidth="1"/>
    <col min="4880" max="4880" width="12.7109375" style="1025" bestFit="1" customWidth="1"/>
    <col min="4881" max="4881" width="12.28515625" style="1025" bestFit="1" customWidth="1"/>
    <col min="4882" max="4882" width="13.28515625" style="1025" bestFit="1" customWidth="1"/>
    <col min="4883" max="4888" width="9.140625" style="1025"/>
    <col min="4889" max="4889" width="1.5703125" style="1025" customWidth="1"/>
    <col min="4890" max="5120" width="9.140625" style="1025"/>
    <col min="5121" max="5121" width="5.140625" style="1025" customWidth="1"/>
    <col min="5122" max="5122" width="33.85546875" style="1025" customWidth="1"/>
    <col min="5123" max="5123" width="2.85546875" style="1025" customWidth="1"/>
    <col min="5124" max="5124" width="12" style="1025" bestFit="1" customWidth="1"/>
    <col min="5125" max="5125" width="12.5703125" style="1025" bestFit="1" customWidth="1"/>
    <col min="5126" max="5126" width="11.5703125" style="1025" bestFit="1" customWidth="1"/>
    <col min="5127" max="5128" width="12" style="1025" bestFit="1" customWidth="1"/>
    <col min="5129" max="5129" width="11.5703125" style="1025" bestFit="1" customWidth="1"/>
    <col min="5130" max="5130" width="12" style="1025" bestFit="1" customWidth="1"/>
    <col min="5131" max="5131" width="11.28515625" style="1025" bestFit="1" customWidth="1"/>
    <col min="5132" max="5132" width="11.5703125" style="1025" bestFit="1" customWidth="1"/>
    <col min="5133" max="5133" width="11.28515625" style="1025" bestFit="1" customWidth="1"/>
    <col min="5134" max="5134" width="12" style="1025" bestFit="1" customWidth="1"/>
    <col min="5135" max="5135" width="12.28515625" style="1025" bestFit="1" customWidth="1"/>
    <col min="5136" max="5136" width="12.7109375" style="1025" bestFit="1" customWidth="1"/>
    <col min="5137" max="5137" width="12.28515625" style="1025" bestFit="1" customWidth="1"/>
    <col min="5138" max="5138" width="13.28515625" style="1025" bestFit="1" customWidth="1"/>
    <col min="5139" max="5144" width="9.140625" style="1025"/>
    <col min="5145" max="5145" width="1.5703125" style="1025" customWidth="1"/>
    <col min="5146" max="5376" width="9.140625" style="1025"/>
    <col min="5377" max="5377" width="5.140625" style="1025" customWidth="1"/>
    <col min="5378" max="5378" width="33.85546875" style="1025" customWidth="1"/>
    <col min="5379" max="5379" width="2.85546875" style="1025" customWidth="1"/>
    <col min="5380" max="5380" width="12" style="1025" bestFit="1" customWidth="1"/>
    <col min="5381" max="5381" width="12.5703125" style="1025" bestFit="1" customWidth="1"/>
    <col min="5382" max="5382" width="11.5703125" style="1025" bestFit="1" customWidth="1"/>
    <col min="5383" max="5384" width="12" style="1025" bestFit="1" customWidth="1"/>
    <col min="5385" max="5385" width="11.5703125" style="1025" bestFit="1" customWidth="1"/>
    <col min="5386" max="5386" width="12" style="1025" bestFit="1" customWidth="1"/>
    <col min="5387" max="5387" width="11.28515625" style="1025" bestFit="1" customWidth="1"/>
    <col min="5388" max="5388" width="11.5703125" style="1025" bestFit="1" customWidth="1"/>
    <col min="5389" max="5389" width="11.28515625" style="1025" bestFit="1" customWidth="1"/>
    <col min="5390" max="5390" width="12" style="1025" bestFit="1" customWidth="1"/>
    <col min="5391" max="5391" width="12.28515625" style="1025" bestFit="1" customWidth="1"/>
    <col min="5392" max="5392" width="12.7109375" style="1025" bestFit="1" customWidth="1"/>
    <col min="5393" max="5393" width="12.28515625" style="1025" bestFit="1" customWidth="1"/>
    <col min="5394" max="5394" width="13.28515625" style="1025" bestFit="1" customWidth="1"/>
    <col min="5395" max="5400" width="9.140625" style="1025"/>
    <col min="5401" max="5401" width="1.5703125" style="1025" customWidth="1"/>
    <col min="5402" max="5632" width="9.140625" style="1025"/>
    <col min="5633" max="5633" width="5.140625" style="1025" customWidth="1"/>
    <col min="5634" max="5634" width="33.85546875" style="1025" customWidth="1"/>
    <col min="5635" max="5635" width="2.85546875" style="1025" customWidth="1"/>
    <col min="5636" max="5636" width="12" style="1025" bestFit="1" customWidth="1"/>
    <col min="5637" max="5637" width="12.5703125" style="1025" bestFit="1" customWidth="1"/>
    <col min="5638" max="5638" width="11.5703125" style="1025" bestFit="1" customWidth="1"/>
    <col min="5639" max="5640" width="12" style="1025" bestFit="1" customWidth="1"/>
    <col min="5641" max="5641" width="11.5703125" style="1025" bestFit="1" customWidth="1"/>
    <col min="5642" max="5642" width="12" style="1025" bestFit="1" customWidth="1"/>
    <col min="5643" max="5643" width="11.28515625" style="1025" bestFit="1" customWidth="1"/>
    <col min="5644" max="5644" width="11.5703125" style="1025" bestFit="1" customWidth="1"/>
    <col min="5645" max="5645" width="11.28515625" style="1025" bestFit="1" customWidth="1"/>
    <col min="5646" max="5646" width="12" style="1025" bestFit="1" customWidth="1"/>
    <col min="5647" max="5647" width="12.28515625" style="1025" bestFit="1" customWidth="1"/>
    <col min="5648" max="5648" width="12.7109375" style="1025" bestFit="1" customWidth="1"/>
    <col min="5649" max="5649" width="12.28515625" style="1025" bestFit="1" customWidth="1"/>
    <col min="5650" max="5650" width="13.28515625" style="1025" bestFit="1" customWidth="1"/>
    <col min="5651" max="5656" width="9.140625" style="1025"/>
    <col min="5657" max="5657" width="1.5703125" style="1025" customWidth="1"/>
    <col min="5658" max="5888" width="9.140625" style="1025"/>
    <col min="5889" max="5889" width="5.140625" style="1025" customWidth="1"/>
    <col min="5890" max="5890" width="33.85546875" style="1025" customWidth="1"/>
    <col min="5891" max="5891" width="2.85546875" style="1025" customWidth="1"/>
    <col min="5892" max="5892" width="12" style="1025" bestFit="1" customWidth="1"/>
    <col min="5893" max="5893" width="12.5703125" style="1025" bestFit="1" customWidth="1"/>
    <col min="5894" max="5894" width="11.5703125" style="1025" bestFit="1" customWidth="1"/>
    <col min="5895" max="5896" width="12" style="1025" bestFit="1" customWidth="1"/>
    <col min="5897" max="5897" width="11.5703125" style="1025" bestFit="1" customWidth="1"/>
    <col min="5898" max="5898" width="12" style="1025" bestFit="1" customWidth="1"/>
    <col min="5899" max="5899" width="11.28515625" style="1025" bestFit="1" customWidth="1"/>
    <col min="5900" max="5900" width="11.5703125" style="1025" bestFit="1" customWidth="1"/>
    <col min="5901" max="5901" width="11.28515625" style="1025" bestFit="1" customWidth="1"/>
    <col min="5902" max="5902" width="12" style="1025" bestFit="1" customWidth="1"/>
    <col min="5903" max="5903" width="12.28515625" style="1025" bestFit="1" customWidth="1"/>
    <col min="5904" max="5904" width="12.7109375" style="1025" bestFit="1" customWidth="1"/>
    <col min="5905" max="5905" width="12.28515625" style="1025" bestFit="1" customWidth="1"/>
    <col min="5906" max="5906" width="13.28515625" style="1025" bestFit="1" customWidth="1"/>
    <col min="5907" max="5912" width="9.140625" style="1025"/>
    <col min="5913" max="5913" width="1.5703125" style="1025" customWidth="1"/>
    <col min="5914" max="6144" width="9.140625" style="1025"/>
    <col min="6145" max="6145" width="5.140625" style="1025" customWidth="1"/>
    <col min="6146" max="6146" width="33.85546875" style="1025" customWidth="1"/>
    <col min="6147" max="6147" width="2.85546875" style="1025" customWidth="1"/>
    <col min="6148" max="6148" width="12" style="1025" bestFit="1" customWidth="1"/>
    <col min="6149" max="6149" width="12.5703125" style="1025" bestFit="1" customWidth="1"/>
    <col min="6150" max="6150" width="11.5703125" style="1025" bestFit="1" customWidth="1"/>
    <col min="6151" max="6152" width="12" style="1025" bestFit="1" customWidth="1"/>
    <col min="6153" max="6153" width="11.5703125" style="1025" bestFit="1" customWidth="1"/>
    <col min="6154" max="6154" width="12" style="1025" bestFit="1" customWidth="1"/>
    <col min="6155" max="6155" width="11.28515625" style="1025" bestFit="1" customWidth="1"/>
    <col min="6156" max="6156" width="11.5703125" style="1025" bestFit="1" customWidth="1"/>
    <col min="6157" max="6157" width="11.28515625" style="1025" bestFit="1" customWidth="1"/>
    <col min="6158" max="6158" width="12" style="1025" bestFit="1" customWidth="1"/>
    <col min="6159" max="6159" width="12.28515625" style="1025" bestFit="1" customWidth="1"/>
    <col min="6160" max="6160" width="12.7109375" style="1025" bestFit="1" customWidth="1"/>
    <col min="6161" max="6161" width="12.28515625" style="1025" bestFit="1" customWidth="1"/>
    <col min="6162" max="6162" width="13.28515625" style="1025" bestFit="1" customWidth="1"/>
    <col min="6163" max="6168" width="9.140625" style="1025"/>
    <col min="6169" max="6169" width="1.5703125" style="1025" customWidth="1"/>
    <col min="6170" max="6400" width="9.140625" style="1025"/>
    <col min="6401" max="6401" width="5.140625" style="1025" customWidth="1"/>
    <col min="6402" max="6402" width="33.85546875" style="1025" customWidth="1"/>
    <col min="6403" max="6403" width="2.85546875" style="1025" customWidth="1"/>
    <col min="6404" max="6404" width="12" style="1025" bestFit="1" customWidth="1"/>
    <col min="6405" max="6405" width="12.5703125" style="1025" bestFit="1" customWidth="1"/>
    <col min="6406" max="6406" width="11.5703125" style="1025" bestFit="1" customWidth="1"/>
    <col min="6407" max="6408" width="12" style="1025" bestFit="1" customWidth="1"/>
    <col min="6409" max="6409" width="11.5703125" style="1025" bestFit="1" customWidth="1"/>
    <col min="6410" max="6410" width="12" style="1025" bestFit="1" customWidth="1"/>
    <col min="6411" max="6411" width="11.28515625" style="1025" bestFit="1" customWidth="1"/>
    <col min="6412" max="6412" width="11.5703125" style="1025" bestFit="1" customWidth="1"/>
    <col min="6413" max="6413" width="11.28515625" style="1025" bestFit="1" customWidth="1"/>
    <col min="6414" max="6414" width="12" style="1025" bestFit="1" customWidth="1"/>
    <col min="6415" max="6415" width="12.28515625" style="1025" bestFit="1" customWidth="1"/>
    <col min="6416" max="6416" width="12.7109375" style="1025" bestFit="1" customWidth="1"/>
    <col min="6417" max="6417" width="12.28515625" style="1025" bestFit="1" customWidth="1"/>
    <col min="6418" max="6418" width="13.28515625" style="1025" bestFit="1" customWidth="1"/>
    <col min="6419" max="6424" width="9.140625" style="1025"/>
    <col min="6425" max="6425" width="1.5703125" style="1025" customWidth="1"/>
    <col min="6426" max="6656" width="9.140625" style="1025"/>
    <col min="6657" max="6657" width="5.140625" style="1025" customWidth="1"/>
    <col min="6658" max="6658" width="33.85546875" style="1025" customWidth="1"/>
    <col min="6659" max="6659" width="2.85546875" style="1025" customWidth="1"/>
    <col min="6660" max="6660" width="12" style="1025" bestFit="1" customWidth="1"/>
    <col min="6661" max="6661" width="12.5703125" style="1025" bestFit="1" customWidth="1"/>
    <col min="6662" max="6662" width="11.5703125" style="1025" bestFit="1" customWidth="1"/>
    <col min="6663" max="6664" width="12" style="1025" bestFit="1" customWidth="1"/>
    <col min="6665" max="6665" width="11.5703125" style="1025" bestFit="1" customWidth="1"/>
    <col min="6666" max="6666" width="12" style="1025" bestFit="1" customWidth="1"/>
    <col min="6667" max="6667" width="11.28515625" style="1025" bestFit="1" customWidth="1"/>
    <col min="6668" max="6668" width="11.5703125" style="1025" bestFit="1" customWidth="1"/>
    <col min="6669" max="6669" width="11.28515625" style="1025" bestFit="1" customWidth="1"/>
    <col min="6670" max="6670" width="12" style="1025" bestFit="1" customWidth="1"/>
    <col min="6671" max="6671" width="12.28515625" style="1025" bestFit="1" customWidth="1"/>
    <col min="6672" max="6672" width="12.7109375" style="1025" bestFit="1" customWidth="1"/>
    <col min="6673" max="6673" width="12.28515625" style="1025" bestFit="1" customWidth="1"/>
    <col min="6674" max="6674" width="13.28515625" style="1025" bestFit="1" customWidth="1"/>
    <col min="6675" max="6680" width="9.140625" style="1025"/>
    <col min="6681" max="6681" width="1.5703125" style="1025" customWidth="1"/>
    <col min="6682" max="6912" width="9.140625" style="1025"/>
    <col min="6913" max="6913" width="5.140625" style="1025" customWidth="1"/>
    <col min="6914" max="6914" width="33.85546875" style="1025" customWidth="1"/>
    <col min="6915" max="6915" width="2.85546875" style="1025" customWidth="1"/>
    <col min="6916" max="6916" width="12" style="1025" bestFit="1" customWidth="1"/>
    <col min="6917" max="6917" width="12.5703125" style="1025" bestFit="1" customWidth="1"/>
    <col min="6918" max="6918" width="11.5703125" style="1025" bestFit="1" customWidth="1"/>
    <col min="6919" max="6920" width="12" style="1025" bestFit="1" customWidth="1"/>
    <col min="6921" max="6921" width="11.5703125" style="1025" bestFit="1" customWidth="1"/>
    <col min="6922" max="6922" width="12" style="1025" bestFit="1" customWidth="1"/>
    <col min="6923" max="6923" width="11.28515625" style="1025" bestFit="1" customWidth="1"/>
    <col min="6924" max="6924" width="11.5703125" style="1025" bestFit="1" customWidth="1"/>
    <col min="6925" max="6925" width="11.28515625" style="1025" bestFit="1" customWidth="1"/>
    <col min="6926" max="6926" width="12" style="1025" bestFit="1" customWidth="1"/>
    <col min="6927" max="6927" width="12.28515625" style="1025" bestFit="1" customWidth="1"/>
    <col min="6928" max="6928" width="12.7109375" style="1025" bestFit="1" customWidth="1"/>
    <col min="6929" max="6929" width="12.28515625" style="1025" bestFit="1" customWidth="1"/>
    <col min="6930" max="6930" width="13.28515625" style="1025" bestFit="1" customWidth="1"/>
    <col min="6931" max="6936" width="9.140625" style="1025"/>
    <col min="6937" max="6937" width="1.5703125" style="1025" customWidth="1"/>
    <col min="6938" max="7168" width="9.140625" style="1025"/>
    <col min="7169" max="7169" width="5.140625" style="1025" customWidth="1"/>
    <col min="7170" max="7170" width="33.85546875" style="1025" customWidth="1"/>
    <col min="7171" max="7171" width="2.85546875" style="1025" customWidth="1"/>
    <col min="7172" max="7172" width="12" style="1025" bestFit="1" customWidth="1"/>
    <col min="7173" max="7173" width="12.5703125" style="1025" bestFit="1" customWidth="1"/>
    <col min="7174" max="7174" width="11.5703125" style="1025" bestFit="1" customWidth="1"/>
    <col min="7175" max="7176" width="12" style="1025" bestFit="1" customWidth="1"/>
    <col min="7177" max="7177" width="11.5703125" style="1025" bestFit="1" customWidth="1"/>
    <col min="7178" max="7178" width="12" style="1025" bestFit="1" customWidth="1"/>
    <col min="7179" max="7179" width="11.28515625" style="1025" bestFit="1" customWidth="1"/>
    <col min="7180" max="7180" width="11.5703125" style="1025" bestFit="1" customWidth="1"/>
    <col min="7181" max="7181" width="11.28515625" style="1025" bestFit="1" customWidth="1"/>
    <col min="7182" max="7182" width="12" style="1025" bestFit="1" customWidth="1"/>
    <col min="7183" max="7183" width="12.28515625" style="1025" bestFit="1" customWidth="1"/>
    <col min="7184" max="7184" width="12.7109375" style="1025" bestFit="1" customWidth="1"/>
    <col min="7185" max="7185" width="12.28515625" style="1025" bestFit="1" customWidth="1"/>
    <col min="7186" max="7186" width="13.28515625" style="1025" bestFit="1" customWidth="1"/>
    <col min="7187" max="7192" width="9.140625" style="1025"/>
    <col min="7193" max="7193" width="1.5703125" style="1025" customWidth="1"/>
    <col min="7194" max="7424" width="9.140625" style="1025"/>
    <col min="7425" max="7425" width="5.140625" style="1025" customWidth="1"/>
    <col min="7426" max="7426" width="33.85546875" style="1025" customWidth="1"/>
    <col min="7427" max="7427" width="2.85546875" style="1025" customWidth="1"/>
    <col min="7428" max="7428" width="12" style="1025" bestFit="1" customWidth="1"/>
    <col min="7429" max="7429" width="12.5703125" style="1025" bestFit="1" customWidth="1"/>
    <col min="7430" max="7430" width="11.5703125" style="1025" bestFit="1" customWidth="1"/>
    <col min="7431" max="7432" width="12" style="1025" bestFit="1" customWidth="1"/>
    <col min="7433" max="7433" width="11.5703125" style="1025" bestFit="1" customWidth="1"/>
    <col min="7434" max="7434" width="12" style="1025" bestFit="1" customWidth="1"/>
    <col min="7435" max="7435" width="11.28515625" style="1025" bestFit="1" customWidth="1"/>
    <col min="7436" max="7436" width="11.5703125" style="1025" bestFit="1" customWidth="1"/>
    <col min="7437" max="7437" width="11.28515625" style="1025" bestFit="1" customWidth="1"/>
    <col min="7438" max="7438" width="12" style="1025" bestFit="1" customWidth="1"/>
    <col min="7439" max="7439" width="12.28515625" style="1025" bestFit="1" customWidth="1"/>
    <col min="7440" max="7440" width="12.7109375" style="1025" bestFit="1" customWidth="1"/>
    <col min="7441" max="7441" width="12.28515625" style="1025" bestFit="1" customWidth="1"/>
    <col min="7442" max="7442" width="13.28515625" style="1025" bestFit="1" customWidth="1"/>
    <col min="7443" max="7448" width="9.140625" style="1025"/>
    <col min="7449" max="7449" width="1.5703125" style="1025" customWidth="1"/>
    <col min="7450" max="7680" width="9.140625" style="1025"/>
    <col min="7681" max="7681" width="5.140625" style="1025" customWidth="1"/>
    <col min="7682" max="7682" width="33.85546875" style="1025" customWidth="1"/>
    <col min="7683" max="7683" width="2.85546875" style="1025" customWidth="1"/>
    <col min="7684" max="7684" width="12" style="1025" bestFit="1" customWidth="1"/>
    <col min="7685" max="7685" width="12.5703125" style="1025" bestFit="1" customWidth="1"/>
    <col min="7686" max="7686" width="11.5703125" style="1025" bestFit="1" customWidth="1"/>
    <col min="7687" max="7688" width="12" style="1025" bestFit="1" customWidth="1"/>
    <col min="7689" max="7689" width="11.5703125" style="1025" bestFit="1" customWidth="1"/>
    <col min="7690" max="7690" width="12" style="1025" bestFit="1" customWidth="1"/>
    <col min="7691" max="7691" width="11.28515625" style="1025" bestFit="1" customWidth="1"/>
    <col min="7692" max="7692" width="11.5703125" style="1025" bestFit="1" customWidth="1"/>
    <col min="7693" max="7693" width="11.28515625" style="1025" bestFit="1" customWidth="1"/>
    <col min="7694" max="7694" width="12" style="1025" bestFit="1" customWidth="1"/>
    <col min="7695" max="7695" width="12.28515625" style="1025" bestFit="1" customWidth="1"/>
    <col min="7696" max="7696" width="12.7109375" style="1025" bestFit="1" customWidth="1"/>
    <col min="7697" max="7697" width="12.28515625" style="1025" bestFit="1" customWidth="1"/>
    <col min="7698" max="7698" width="13.28515625" style="1025" bestFit="1" customWidth="1"/>
    <col min="7699" max="7704" width="9.140625" style="1025"/>
    <col min="7705" max="7705" width="1.5703125" style="1025" customWidth="1"/>
    <col min="7706" max="7936" width="9.140625" style="1025"/>
    <col min="7937" max="7937" width="5.140625" style="1025" customWidth="1"/>
    <col min="7938" max="7938" width="33.85546875" style="1025" customWidth="1"/>
    <col min="7939" max="7939" width="2.85546875" style="1025" customWidth="1"/>
    <col min="7940" max="7940" width="12" style="1025" bestFit="1" customWidth="1"/>
    <col min="7941" max="7941" width="12.5703125" style="1025" bestFit="1" customWidth="1"/>
    <col min="7942" max="7942" width="11.5703125" style="1025" bestFit="1" customWidth="1"/>
    <col min="7943" max="7944" width="12" style="1025" bestFit="1" customWidth="1"/>
    <col min="7945" max="7945" width="11.5703125" style="1025" bestFit="1" customWidth="1"/>
    <col min="7946" max="7946" width="12" style="1025" bestFit="1" customWidth="1"/>
    <col min="7947" max="7947" width="11.28515625" style="1025" bestFit="1" customWidth="1"/>
    <col min="7948" max="7948" width="11.5703125" style="1025" bestFit="1" customWidth="1"/>
    <col min="7949" max="7949" width="11.28515625" style="1025" bestFit="1" customWidth="1"/>
    <col min="7950" max="7950" width="12" style="1025" bestFit="1" customWidth="1"/>
    <col min="7951" max="7951" width="12.28515625" style="1025" bestFit="1" customWidth="1"/>
    <col min="7952" max="7952" width="12.7109375" style="1025" bestFit="1" customWidth="1"/>
    <col min="7953" max="7953" width="12.28515625" style="1025" bestFit="1" customWidth="1"/>
    <col min="7954" max="7954" width="13.28515625" style="1025" bestFit="1" customWidth="1"/>
    <col min="7955" max="7960" width="9.140625" style="1025"/>
    <col min="7961" max="7961" width="1.5703125" style="1025" customWidth="1"/>
    <col min="7962" max="8192" width="9.140625" style="1025"/>
    <col min="8193" max="8193" width="5.140625" style="1025" customWidth="1"/>
    <col min="8194" max="8194" width="33.85546875" style="1025" customWidth="1"/>
    <col min="8195" max="8195" width="2.85546875" style="1025" customWidth="1"/>
    <col min="8196" max="8196" width="12" style="1025" bestFit="1" customWidth="1"/>
    <col min="8197" max="8197" width="12.5703125" style="1025" bestFit="1" customWidth="1"/>
    <col min="8198" max="8198" width="11.5703125" style="1025" bestFit="1" customWidth="1"/>
    <col min="8199" max="8200" width="12" style="1025" bestFit="1" customWidth="1"/>
    <col min="8201" max="8201" width="11.5703125" style="1025" bestFit="1" customWidth="1"/>
    <col min="8202" max="8202" width="12" style="1025" bestFit="1" customWidth="1"/>
    <col min="8203" max="8203" width="11.28515625" style="1025" bestFit="1" customWidth="1"/>
    <col min="8204" max="8204" width="11.5703125" style="1025" bestFit="1" customWidth="1"/>
    <col min="8205" max="8205" width="11.28515625" style="1025" bestFit="1" customWidth="1"/>
    <col min="8206" max="8206" width="12" style="1025" bestFit="1" customWidth="1"/>
    <col min="8207" max="8207" width="12.28515625" style="1025" bestFit="1" customWidth="1"/>
    <col min="8208" max="8208" width="12.7109375" style="1025" bestFit="1" customWidth="1"/>
    <col min="8209" max="8209" width="12.28515625" style="1025" bestFit="1" customWidth="1"/>
    <col min="8210" max="8210" width="13.28515625" style="1025" bestFit="1" customWidth="1"/>
    <col min="8211" max="8216" width="9.140625" style="1025"/>
    <col min="8217" max="8217" width="1.5703125" style="1025" customWidth="1"/>
    <col min="8218" max="8448" width="9.140625" style="1025"/>
    <col min="8449" max="8449" width="5.140625" style="1025" customWidth="1"/>
    <col min="8450" max="8450" width="33.85546875" style="1025" customWidth="1"/>
    <col min="8451" max="8451" width="2.85546875" style="1025" customWidth="1"/>
    <col min="8452" max="8452" width="12" style="1025" bestFit="1" customWidth="1"/>
    <col min="8453" max="8453" width="12.5703125" style="1025" bestFit="1" customWidth="1"/>
    <col min="8454" max="8454" width="11.5703125" style="1025" bestFit="1" customWidth="1"/>
    <col min="8455" max="8456" width="12" style="1025" bestFit="1" customWidth="1"/>
    <col min="8457" max="8457" width="11.5703125" style="1025" bestFit="1" customWidth="1"/>
    <col min="8458" max="8458" width="12" style="1025" bestFit="1" customWidth="1"/>
    <col min="8459" max="8459" width="11.28515625" style="1025" bestFit="1" customWidth="1"/>
    <col min="8460" max="8460" width="11.5703125" style="1025" bestFit="1" customWidth="1"/>
    <col min="8461" max="8461" width="11.28515625" style="1025" bestFit="1" customWidth="1"/>
    <col min="8462" max="8462" width="12" style="1025" bestFit="1" customWidth="1"/>
    <col min="8463" max="8463" width="12.28515625" style="1025" bestFit="1" customWidth="1"/>
    <col min="8464" max="8464" width="12.7109375" style="1025" bestFit="1" customWidth="1"/>
    <col min="8465" max="8465" width="12.28515625" style="1025" bestFit="1" customWidth="1"/>
    <col min="8466" max="8466" width="13.28515625" style="1025" bestFit="1" customWidth="1"/>
    <col min="8467" max="8472" width="9.140625" style="1025"/>
    <col min="8473" max="8473" width="1.5703125" style="1025" customWidth="1"/>
    <col min="8474" max="8704" width="9.140625" style="1025"/>
    <col min="8705" max="8705" width="5.140625" style="1025" customWidth="1"/>
    <col min="8706" max="8706" width="33.85546875" style="1025" customWidth="1"/>
    <col min="8707" max="8707" width="2.85546875" style="1025" customWidth="1"/>
    <col min="8708" max="8708" width="12" style="1025" bestFit="1" customWidth="1"/>
    <col min="8709" max="8709" width="12.5703125" style="1025" bestFit="1" customWidth="1"/>
    <col min="8710" max="8710" width="11.5703125" style="1025" bestFit="1" customWidth="1"/>
    <col min="8711" max="8712" width="12" style="1025" bestFit="1" customWidth="1"/>
    <col min="8713" max="8713" width="11.5703125" style="1025" bestFit="1" customWidth="1"/>
    <col min="8714" max="8714" width="12" style="1025" bestFit="1" customWidth="1"/>
    <col min="8715" max="8715" width="11.28515625" style="1025" bestFit="1" customWidth="1"/>
    <col min="8716" max="8716" width="11.5703125" style="1025" bestFit="1" customWidth="1"/>
    <col min="8717" max="8717" width="11.28515625" style="1025" bestFit="1" customWidth="1"/>
    <col min="8718" max="8718" width="12" style="1025" bestFit="1" customWidth="1"/>
    <col min="8719" max="8719" width="12.28515625" style="1025" bestFit="1" customWidth="1"/>
    <col min="8720" max="8720" width="12.7109375" style="1025" bestFit="1" customWidth="1"/>
    <col min="8721" max="8721" width="12.28515625" style="1025" bestFit="1" customWidth="1"/>
    <col min="8722" max="8722" width="13.28515625" style="1025" bestFit="1" customWidth="1"/>
    <col min="8723" max="8728" width="9.140625" style="1025"/>
    <col min="8729" max="8729" width="1.5703125" style="1025" customWidth="1"/>
    <col min="8730" max="8960" width="9.140625" style="1025"/>
    <col min="8961" max="8961" width="5.140625" style="1025" customWidth="1"/>
    <col min="8962" max="8962" width="33.85546875" style="1025" customWidth="1"/>
    <col min="8963" max="8963" width="2.85546875" style="1025" customWidth="1"/>
    <col min="8964" max="8964" width="12" style="1025" bestFit="1" customWidth="1"/>
    <col min="8965" max="8965" width="12.5703125" style="1025" bestFit="1" customWidth="1"/>
    <col min="8966" max="8966" width="11.5703125" style="1025" bestFit="1" customWidth="1"/>
    <col min="8967" max="8968" width="12" style="1025" bestFit="1" customWidth="1"/>
    <col min="8969" max="8969" width="11.5703125" style="1025" bestFit="1" customWidth="1"/>
    <col min="8970" max="8970" width="12" style="1025" bestFit="1" customWidth="1"/>
    <col min="8971" max="8971" width="11.28515625" style="1025" bestFit="1" customWidth="1"/>
    <col min="8972" max="8972" width="11.5703125" style="1025" bestFit="1" customWidth="1"/>
    <col min="8973" max="8973" width="11.28515625" style="1025" bestFit="1" customWidth="1"/>
    <col min="8974" max="8974" width="12" style="1025" bestFit="1" customWidth="1"/>
    <col min="8975" max="8975" width="12.28515625" style="1025" bestFit="1" customWidth="1"/>
    <col min="8976" max="8976" width="12.7109375" style="1025" bestFit="1" customWidth="1"/>
    <col min="8977" max="8977" width="12.28515625" style="1025" bestFit="1" customWidth="1"/>
    <col min="8978" max="8978" width="13.28515625" style="1025" bestFit="1" customWidth="1"/>
    <col min="8979" max="8984" width="9.140625" style="1025"/>
    <col min="8985" max="8985" width="1.5703125" style="1025" customWidth="1"/>
    <col min="8986" max="9216" width="9.140625" style="1025"/>
    <col min="9217" max="9217" width="5.140625" style="1025" customWidth="1"/>
    <col min="9218" max="9218" width="33.85546875" style="1025" customWidth="1"/>
    <col min="9219" max="9219" width="2.85546875" style="1025" customWidth="1"/>
    <col min="9220" max="9220" width="12" style="1025" bestFit="1" customWidth="1"/>
    <col min="9221" max="9221" width="12.5703125" style="1025" bestFit="1" customWidth="1"/>
    <col min="9222" max="9222" width="11.5703125" style="1025" bestFit="1" customWidth="1"/>
    <col min="9223" max="9224" width="12" style="1025" bestFit="1" customWidth="1"/>
    <col min="9225" max="9225" width="11.5703125" style="1025" bestFit="1" customWidth="1"/>
    <col min="9226" max="9226" width="12" style="1025" bestFit="1" customWidth="1"/>
    <col min="9227" max="9227" width="11.28515625" style="1025" bestFit="1" customWidth="1"/>
    <col min="9228" max="9228" width="11.5703125" style="1025" bestFit="1" customWidth="1"/>
    <col min="9229" max="9229" width="11.28515625" style="1025" bestFit="1" customWidth="1"/>
    <col min="9230" max="9230" width="12" style="1025" bestFit="1" customWidth="1"/>
    <col min="9231" max="9231" width="12.28515625" style="1025" bestFit="1" customWidth="1"/>
    <col min="9232" max="9232" width="12.7109375" style="1025" bestFit="1" customWidth="1"/>
    <col min="9233" max="9233" width="12.28515625" style="1025" bestFit="1" customWidth="1"/>
    <col min="9234" max="9234" width="13.28515625" style="1025" bestFit="1" customWidth="1"/>
    <col min="9235" max="9240" width="9.140625" style="1025"/>
    <col min="9241" max="9241" width="1.5703125" style="1025" customWidth="1"/>
    <col min="9242" max="9472" width="9.140625" style="1025"/>
    <col min="9473" max="9473" width="5.140625" style="1025" customWidth="1"/>
    <col min="9474" max="9474" width="33.85546875" style="1025" customWidth="1"/>
    <col min="9475" max="9475" width="2.85546875" style="1025" customWidth="1"/>
    <col min="9476" max="9476" width="12" style="1025" bestFit="1" customWidth="1"/>
    <col min="9477" max="9477" width="12.5703125" style="1025" bestFit="1" customWidth="1"/>
    <col min="9478" max="9478" width="11.5703125" style="1025" bestFit="1" customWidth="1"/>
    <col min="9479" max="9480" width="12" style="1025" bestFit="1" customWidth="1"/>
    <col min="9481" max="9481" width="11.5703125" style="1025" bestFit="1" customWidth="1"/>
    <col min="9482" max="9482" width="12" style="1025" bestFit="1" customWidth="1"/>
    <col min="9483" max="9483" width="11.28515625" style="1025" bestFit="1" customWidth="1"/>
    <col min="9484" max="9484" width="11.5703125" style="1025" bestFit="1" customWidth="1"/>
    <col min="9485" max="9485" width="11.28515625" style="1025" bestFit="1" customWidth="1"/>
    <col min="9486" max="9486" width="12" style="1025" bestFit="1" customWidth="1"/>
    <col min="9487" max="9487" width="12.28515625" style="1025" bestFit="1" customWidth="1"/>
    <col min="9488" max="9488" width="12.7109375" style="1025" bestFit="1" customWidth="1"/>
    <col min="9489" max="9489" width="12.28515625" style="1025" bestFit="1" customWidth="1"/>
    <col min="9490" max="9490" width="13.28515625" style="1025" bestFit="1" customWidth="1"/>
    <col min="9491" max="9496" width="9.140625" style="1025"/>
    <col min="9497" max="9497" width="1.5703125" style="1025" customWidth="1"/>
    <col min="9498" max="9728" width="9.140625" style="1025"/>
    <col min="9729" max="9729" width="5.140625" style="1025" customWidth="1"/>
    <col min="9730" max="9730" width="33.85546875" style="1025" customWidth="1"/>
    <col min="9731" max="9731" width="2.85546875" style="1025" customWidth="1"/>
    <col min="9732" max="9732" width="12" style="1025" bestFit="1" customWidth="1"/>
    <col min="9733" max="9733" width="12.5703125" style="1025" bestFit="1" customWidth="1"/>
    <col min="9734" max="9734" width="11.5703125" style="1025" bestFit="1" customWidth="1"/>
    <col min="9735" max="9736" width="12" style="1025" bestFit="1" customWidth="1"/>
    <col min="9737" max="9737" width="11.5703125" style="1025" bestFit="1" customWidth="1"/>
    <col min="9738" max="9738" width="12" style="1025" bestFit="1" customWidth="1"/>
    <col min="9739" max="9739" width="11.28515625" style="1025" bestFit="1" customWidth="1"/>
    <col min="9740" max="9740" width="11.5703125" style="1025" bestFit="1" customWidth="1"/>
    <col min="9741" max="9741" width="11.28515625" style="1025" bestFit="1" customWidth="1"/>
    <col min="9742" max="9742" width="12" style="1025" bestFit="1" customWidth="1"/>
    <col min="9743" max="9743" width="12.28515625" style="1025" bestFit="1" customWidth="1"/>
    <col min="9744" max="9744" width="12.7109375" style="1025" bestFit="1" customWidth="1"/>
    <col min="9745" max="9745" width="12.28515625" style="1025" bestFit="1" customWidth="1"/>
    <col min="9746" max="9746" width="13.28515625" style="1025" bestFit="1" customWidth="1"/>
    <col min="9747" max="9752" width="9.140625" style="1025"/>
    <col min="9753" max="9753" width="1.5703125" style="1025" customWidth="1"/>
    <col min="9754" max="9984" width="9.140625" style="1025"/>
    <col min="9985" max="9985" width="5.140625" style="1025" customWidth="1"/>
    <col min="9986" max="9986" width="33.85546875" style="1025" customWidth="1"/>
    <col min="9987" max="9987" width="2.85546875" style="1025" customWidth="1"/>
    <col min="9988" max="9988" width="12" style="1025" bestFit="1" customWidth="1"/>
    <col min="9989" max="9989" width="12.5703125" style="1025" bestFit="1" customWidth="1"/>
    <col min="9990" max="9990" width="11.5703125" style="1025" bestFit="1" customWidth="1"/>
    <col min="9991" max="9992" width="12" style="1025" bestFit="1" customWidth="1"/>
    <col min="9993" max="9993" width="11.5703125" style="1025" bestFit="1" customWidth="1"/>
    <col min="9994" max="9994" width="12" style="1025" bestFit="1" customWidth="1"/>
    <col min="9995" max="9995" width="11.28515625" style="1025" bestFit="1" customWidth="1"/>
    <col min="9996" max="9996" width="11.5703125" style="1025" bestFit="1" customWidth="1"/>
    <col min="9997" max="9997" width="11.28515625" style="1025" bestFit="1" customWidth="1"/>
    <col min="9998" max="9998" width="12" style="1025" bestFit="1" customWidth="1"/>
    <col min="9999" max="9999" width="12.28515625" style="1025" bestFit="1" customWidth="1"/>
    <col min="10000" max="10000" width="12.7109375" style="1025" bestFit="1" customWidth="1"/>
    <col min="10001" max="10001" width="12.28515625" style="1025" bestFit="1" customWidth="1"/>
    <col min="10002" max="10002" width="13.28515625" style="1025" bestFit="1" customWidth="1"/>
    <col min="10003" max="10008" width="9.140625" style="1025"/>
    <col min="10009" max="10009" width="1.5703125" style="1025" customWidth="1"/>
    <col min="10010" max="10240" width="9.140625" style="1025"/>
    <col min="10241" max="10241" width="5.140625" style="1025" customWidth="1"/>
    <col min="10242" max="10242" width="33.85546875" style="1025" customWidth="1"/>
    <col min="10243" max="10243" width="2.85546875" style="1025" customWidth="1"/>
    <col min="10244" max="10244" width="12" style="1025" bestFit="1" customWidth="1"/>
    <col min="10245" max="10245" width="12.5703125" style="1025" bestFit="1" customWidth="1"/>
    <col min="10246" max="10246" width="11.5703125" style="1025" bestFit="1" customWidth="1"/>
    <col min="10247" max="10248" width="12" style="1025" bestFit="1" customWidth="1"/>
    <col min="10249" max="10249" width="11.5703125" style="1025" bestFit="1" customWidth="1"/>
    <col min="10250" max="10250" width="12" style="1025" bestFit="1" customWidth="1"/>
    <col min="10251" max="10251" width="11.28515625" style="1025" bestFit="1" customWidth="1"/>
    <col min="10252" max="10252" width="11.5703125" style="1025" bestFit="1" customWidth="1"/>
    <col min="10253" max="10253" width="11.28515625" style="1025" bestFit="1" customWidth="1"/>
    <col min="10254" max="10254" width="12" style="1025" bestFit="1" customWidth="1"/>
    <col min="10255" max="10255" width="12.28515625" style="1025" bestFit="1" customWidth="1"/>
    <col min="10256" max="10256" width="12.7109375" style="1025" bestFit="1" customWidth="1"/>
    <col min="10257" max="10257" width="12.28515625" style="1025" bestFit="1" customWidth="1"/>
    <col min="10258" max="10258" width="13.28515625" style="1025" bestFit="1" customWidth="1"/>
    <col min="10259" max="10264" width="9.140625" style="1025"/>
    <col min="10265" max="10265" width="1.5703125" style="1025" customWidth="1"/>
    <col min="10266" max="10496" width="9.140625" style="1025"/>
    <col min="10497" max="10497" width="5.140625" style="1025" customWidth="1"/>
    <col min="10498" max="10498" width="33.85546875" style="1025" customWidth="1"/>
    <col min="10499" max="10499" width="2.85546875" style="1025" customWidth="1"/>
    <col min="10500" max="10500" width="12" style="1025" bestFit="1" customWidth="1"/>
    <col min="10501" max="10501" width="12.5703125" style="1025" bestFit="1" customWidth="1"/>
    <col min="10502" max="10502" width="11.5703125" style="1025" bestFit="1" customWidth="1"/>
    <col min="10503" max="10504" width="12" style="1025" bestFit="1" customWidth="1"/>
    <col min="10505" max="10505" width="11.5703125" style="1025" bestFit="1" customWidth="1"/>
    <col min="10506" max="10506" width="12" style="1025" bestFit="1" customWidth="1"/>
    <col min="10507" max="10507" width="11.28515625" style="1025" bestFit="1" customWidth="1"/>
    <col min="10508" max="10508" width="11.5703125" style="1025" bestFit="1" customWidth="1"/>
    <col min="10509" max="10509" width="11.28515625" style="1025" bestFit="1" customWidth="1"/>
    <col min="10510" max="10510" width="12" style="1025" bestFit="1" customWidth="1"/>
    <col min="10511" max="10511" width="12.28515625" style="1025" bestFit="1" customWidth="1"/>
    <col min="10512" max="10512" width="12.7109375" style="1025" bestFit="1" customWidth="1"/>
    <col min="10513" max="10513" width="12.28515625" style="1025" bestFit="1" customWidth="1"/>
    <col min="10514" max="10514" width="13.28515625" style="1025" bestFit="1" customWidth="1"/>
    <col min="10515" max="10520" width="9.140625" style="1025"/>
    <col min="10521" max="10521" width="1.5703125" style="1025" customWidth="1"/>
    <col min="10522" max="10752" width="9.140625" style="1025"/>
    <col min="10753" max="10753" width="5.140625" style="1025" customWidth="1"/>
    <col min="10754" max="10754" width="33.85546875" style="1025" customWidth="1"/>
    <col min="10755" max="10755" width="2.85546875" style="1025" customWidth="1"/>
    <col min="10756" max="10756" width="12" style="1025" bestFit="1" customWidth="1"/>
    <col min="10757" max="10757" width="12.5703125" style="1025" bestFit="1" customWidth="1"/>
    <col min="10758" max="10758" width="11.5703125" style="1025" bestFit="1" customWidth="1"/>
    <col min="10759" max="10760" width="12" style="1025" bestFit="1" customWidth="1"/>
    <col min="10761" max="10761" width="11.5703125" style="1025" bestFit="1" customWidth="1"/>
    <col min="10762" max="10762" width="12" style="1025" bestFit="1" customWidth="1"/>
    <col min="10763" max="10763" width="11.28515625" style="1025" bestFit="1" customWidth="1"/>
    <col min="10764" max="10764" width="11.5703125" style="1025" bestFit="1" customWidth="1"/>
    <col min="10765" max="10765" width="11.28515625" style="1025" bestFit="1" customWidth="1"/>
    <col min="10766" max="10766" width="12" style="1025" bestFit="1" customWidth="1"/>
    <col min="10767" max="10767" width="12.28515625" style="1025" bestFit="1" customWidth="1"/>
    <col min="10768" max="10768" width="12.7109375" style="1025" bestFit="1" customWidth="1"/>
    <col min="10769" max="10769" width="12.28515625" style="1025" bestFit="1" customWidth="1"/>
    <col min="10770" max="10770" width="13.28515625" style="1025" bestFit="1" customWidth="1"/>
    <col min="10771" max="10776" width="9.140625" style="1025"/>
    <col min="10777" max="10777" width="1.5703125" style="1025" customWidth="1"/>
    <col min="10778" max="11008" width="9.140625" style="1025"/>
    <col min="11009" max="11009" width="5.140625" style="1025" customWidth="1"/>
    <col min="11010" max="11010" width="33.85546875" style="1025" customWidth="1"/>
    <col min="11011" max="11011" width="2.85546875" style="1025" customWidth="1"/>
    <col min="11012" max="11012" width="12" style="1025" bestFit="1" customWidth="1"/>
    <col min="11013" max="11013" width="12.5703125" style="1025" bestFit="1" customWidth="1"/>
    <col min="11014" max="11014" width="11.5703125" style="1025" bestFit="1" customWidth="1"/>
    <col min="11015" max="11016" width="12" style="1025" bestFit="1" customWidth="1"/>
    <col min="11017" max="11017" width="11.5703125" style="1025" bestFit="1" customWidth="1"/>
    <col min="11018" max="11018" width="12" style="1025" bestFit="1" customWidth="1"/>
    <col min="11019" max="11019" width="11.28515625" style="1025" bestFit="1" customWidth="1"/>
    <col min="11020" max="11020" width="11.5703125" style="1025" bestFit="1" customWidth="1"/>
    <col min="11021" max="11021" width="11.28515625" style="1025" bestFit="1" customWidth="1"/>
    <col min="11022" max="11022" width="12" style="1025" bestFit="1" customWidth="1"/>
    <col min="11023" max="11023" width="12.28515625" style="1025" bestFit="1" customWidth="1"/>
    <col min="11024" max="11024" width="12.7109375" style="1025" bestFit="1" customWidth="1"/>
    <col min="11025" max="11025" width="12.28515625" style="1025" bestFit="1" customWidth="1"/>
    <col min="11026" max="11026" width="13.28515625" style="1025" bestFit="1" customWidth="1"/>
    <col min="11027" max="11032" width="9.140625" style="1025"/>
    <col min="11033" max="11033" width="1.5703125" style="1025" customWidth="1"/>
    <col min="11034" max="11264" width="9.140625" style="1025"/>
    <col min="11265" max="11265" width="5.140625" style="1025" customWidth="1"/>
    <col min="11266" max="11266" width="33.85546875" style="1025" customWidth="1"/>
    <col min="11267" max="11267" width="2.85546875" style="1025" customWidth="1"/>
    <col min="11268" max="11268" width="12" style="1025" bestFit="1" customWidth="1"/>
    <col min="11269" max="11269" width="12.5703125" style="1025" bestFit="1" customWidth="1"/>
    <col min="11270" max="11270" width="11.5703125" style="1025" bestFit="1" customWidth="1"/>
    <col min="11271" max="11272" width="12" style="1025" bestFit="1" customWidth="1"/>
    <col min="11273" max="11273" width="11.5703125" style="1025" bestFit="1" customWidth="1"/>
    <col min="11274" max="11274" width="12" style="1025" bestFit="1" customWidth="1"/>
    <col min="11275" max="11275" width="11.28515625" style="1025" bestFit="1" customWidth="1"/>
    <col min="11276" max="11276" width="11.5703125" style="1025" bestFit="1" customWidth="1"/>
    <col min="11277" max="11277" width="11.28515625" style="1025" bestFit="1" customWidth="1"/>
    <col min="11278" max="11278" width="12" style="1025" bestFit="1" customWidth="1"/>
    <col min="11279" max="11279" width="12.28515625" style="1025" bestFit="1" customWidth="1"/>
    <col min="11280" max="11280" width="12.7109375" style="1025" bestFit="1" customWidth="1"/>
    <col min="11281" max="11281" width="12.28515625" style="1025" bestFit="1" customWidth="1"/>
    <col min="11282" max="11282" width="13.28515625" style="1025" bestFit="1" customWidth="1"/>
    <col min="11283" max="11288" width="9.140625" style="1025"/>
    <col min="11289" max="11289" width="1.5703125" style="1025" customWidth="1"/>
    <col min="11290" max="11520" width="9.140625" style="1025"/>
    <col min="11521" max="11521" width="5.140625" style="1025" customWidth="1"/>
    <col min="11522" max="11522" width="33.85546875" style="1025" customWidth="1"/>
    <col min="11523" max="11523" width="2.85546875" style="1025" customWidth="1"/>
    <col min="11524" max="11524" width="12" style="1025" bestFit="1" customWidth="1"/>
    <col min="11525" max="11525" width="12.5703125" style="1025" bestFit="1" customWidth="1"/>
    <col min="11526" max="11526" width="11.5703125" style="1025" bestFit="1" customWidth="1"/>
    <col min="11527" max="11528" width="12" style="1025" bestFit="1" customWidth="1"/>
    <col min="11529" max="11529" width="11.5703125" style="1025" bestFit="1" customWidth="1"/>
    <col min="11530" max="11530" width="12" style="1025" bestFit="1" customWidth="1"/>
    <col min="11531" max="11531" width="11.28515625" style="1025" bestFit="1" customWidth="1"/>
    <col min="11532" max="11532" width="11.5703125" style="1025" bestFit="1" customWidth="1"/>
    <col min="11533" max="11533" width="11.28515625" style="1025" bestFit="1" customWidth="1"/>
    <col min="11534" max="11534" width="12" style="1025" bestFit="1" customWidth="1"/>
    <col min="11535" max="11535" width="12.28515625" style="1025" bestFit="1" customWidth="1"/>
    <col min="11536" max="11536" width="12.7109375" style="1025" bestFit="1" customWidth="1"/>
    <col min="11537" max="11537" width="12.28515625" style="1025" bestFit="1" customWidth="1"/>
    <col min="11538" max="11538" width="13.28515625" style="1025" bestFit="1" customWidth="1"/>
    <col min="11539" max="11544" width="9.140625" style="1025"/>
    <col min="11545" max="11545" width="1.5703125" style="1025" customWidth="1"/>
    <col min="11546" max="11776" width="9.140625" style="1025"/>
    <col min="11777" max="11777" width="5.140625" style="1025" customWidth="1"/>
    <col min="11778" max="11778" width="33.85546875" style="1025" customWidth="1"/>
    <col min="11779" max="11779" width="2.85546875" style="1025" customWidth="1"/>
    <col min="11780" max="11780" width="12" style="1025" bestFit="1" customWidth="1"/>
    <col min="11781" max="11781" width="12.5703125" style="1025" bestFit="1" customWidth="1"/>
    <col min="11782" max="11782" width="11.5703125" style="1025" bestFit="1" customWidth="1"/>
    <col min="11783" max="11784" width="12" style="1025" bestFit="1" customWidth="1"/>
    <col min="11785" max="11785" width="11.5703125" style="1025" bestFit="1" customWidth="1"/>
    <col min="11786" max="11786" width="12" style="1025" bestFit="1" customWidth="1"/>
    <col min="11787" max="11787" width="11.28515625" style="1025" bestFit="1" customWidth="1"/>
    <col min="11788" max="11788" width="11.5703125" style="1025" bestFit="1" customWidth="1"/>
    <col min="11789" max="11789" width="11.28515625" style="1025" bestFit="1" customWidth="1"/>
    <col min="11790" max="11790" width="12" style="1025" bestFit="1" customWidth="1"/>
    <col min="11791" max="11791" width="12.28515625" style="1025" bestFit="1" customWidth="1"/>
    <col min="11792" max="11792" width="12.7109375" style="1025" bestFit="1" customWidth="1"/>
    <col min="11793" max="11793" width="12.28515625" style="1025" bestFit="1" customWidth="1"/>
    <col min="11794" max="11794" width="13.28515625" style="1025" bestFit="1" customWidth="1"/>
    <col min="11795" max="11800" width="9.140625" style="1025"/>
    <col min="11801" max="11801" width="1.5703125" style="1025" customWidth="1"/>
    <col min="11802" max="12032" width="9.140625" style="1025"/>
    <col min="12033" max="12033" width="5.140625" style="1025" customWidth="1"/>
    <col min="12034" max="12034" width="33.85546875" style="1025" customWidth="1"/>
    <col min="12035" max="12035" width="2.85546875" style="1025" customWidth="1"/>
    <col min="12036" max="12036" width="12" style="1025" bestFit="1" customWidth="1"/>
    <col min="12037" max="12037" width="12.5703125" style="1025" bestFit="1" customWidth="1"/>
    <col min="12038" max="12038" width="11.5703125" style="1025" bestFit="1" customWidth="1"/>
    <col min="12039" max="12040" width="12" style="1025" bestFit="1" customWidth="1"/>
    <col min="12041" max="12041" width="11.5703125" style="1025" bestFit="1" customWidth="1"/>
    <col min="12042" max="12042" width="12" style="1025" bestFit="1" customWidth="1"/>
    <col min="12043" max="12043" width="11.28515625" style="1025" bestFit="1" customWidth="1"/>
    <col min="12044" max="12044" width="11.5703125" style="1025" bestFit="1" customWidth="1"/>
    <col min="12045" max="12045" width="11.28515625" style="1025" bestFit="1" customWidth="1"/>
    <col min="12046" max="12046" width="12" style="1025" bestFit="1" customWidth="1"/>
    <col min="12047" max="12047" width="12.28515625" style="1025" bestFit="1" customWidth="1"/>
    <col min="12048" max="12048" width="12.7109375" style="1025" bestFit="1" customWidth="1"/>
    <col min="12049" max="12049" width="12.28515625" style="1025" bestFit="1" customWidth="1"/>
    <col min="12050" max="12050" width="13.28515625" style="1025" bestFit="1" customWidth="1"/>
    <col min="12051" max="12056" width="9.140625" style="1025"/>
    <col min="12057" max="12057" width="1.5703125" style="1025" customWidth="1"/>
    <col min="12058" max="12288" width="9.140625" style="1025"/>
    <col min="12289" max="12289" width="5.140625" style="1025" customWidth="1"/>
    <col min="12290" max="12290" width="33.85546875" style="1025" customWidth="1"/>
    <col min="12291" max="12291" width="2.85546875" style="1025" customWidth="1"/>
    <col min="12292" max="12292" width="12" style="1025" bestFit="1" customWidth="1"/>
    <col min="12293" max="12293" width="12.5703125" style="1025" bestFit="1" customWidth="1"/>
    <col min="12294" max="12294" width="11.5703125" style="1025" bestFit="1" customWidth="1"/>
    <col min="12295" max="12296" width="12" style="1025" bestFit="1" customWidth="1"/>
    <col min="12297" max="12297" width="11.5703125" style="1025" bestFit="1" customWidth="1"/>
    <col min="12298" max="12298" width="12" style="1025" bestFit="1" customWidth="1"/>
    <col min="12299" max="12299" width="11.28515625" style="1025" bestFit="1" customWidth="1"/>
    <col min="12300" max="12300" width="11.5703125" style="1025" bestFit="1" customWidth="1"/>
    <col min="12301" max="12301" width="11.28515625" style="1025" bestFit="1" customWidth="1"/>
    <col min="12302" max="12302" width="12" style="1025" bestFit="1" customWidth="1"/>
    <col min="12303" max="12303" width="12.28515625" style="1025" bestFit="1" customWidth="1"/>
    <col min="12304" max="12304" width="12.7109375" style="1025" bestFit="1" customWidth="1"/>
    <col min="12305" max="12305" width="12.28515625" style="1025" bestFit="1" customWidth="1"/>
    <col min="12306" max="12306" width="13.28515625" style="1025" bestFit="1" customWidth="1"/>
    <col min="12307" max="12312" width="9.140625" style="1025"/>
    <col min="12313" max="12313" width="1.5703125" style="1025" customWidth="1"/>
    <col min="12314" max="12544" width="9.140625" style="1025"/>
    <col min="12545" max="12545" width="5.140625" style="1025" customWidth="1"/>
    <col min="12546" max="12546" width="33.85546875" style="1025" customWidth="1"/>
    <col min="12547" max="12547" width="2.85546875" style="1025" customWidth="1"/>
    <col min="12548" max="12548" width="12" style="1025" bestFit="1" customWidth="1"/>
    <col min="12549" max="12549" width="12.5703125" style="1025" bestFit="1" customWidth="1"/>
    <col min="12550" max="12550" width="11.5703125" style="1025" bestFit="1" customWidth="1"/>
    <col min="12551" max="12552" width="12" style="1025" bestFit="1" customWidth="1"/>
    <col min="12553" max="12553" width="11.5703125" style="1025" bestFit="1" customWidth="1"/>
    <col min="12554" max="12554" width="12" style="1025" bestFit="1" customWidth="1"/>
    <col min="12555" max="12555" width="11.28515625" style="1025" bestFit="1" customWidth="1"/>
    <col min="12556" max="12556" width="11.5703125" style="1025" bestFit="1" customWidth="1"/>
    <col min="12557" max="12557" width="11.28515625" style="1025" bestFit="1" customWidth="1"/>
    <col min="12558" max="12558" width="12" style="1025" bestFit="1" customWidth="1"/>
    <col min="12559" max="12559" width="12.28515625" style="1025" bestFit="1" customWidth="1"/>
    <col min="12560" max="12560" width="12.7109375" style="1025" bestFit="1" customWidth="1"/>
    <col min="12561" max="12561" width="12.28515625" style="1025" bestFit="1" customWidth="1"/>
    <col min="12562" max="12562" width="13.28515625" style="1025" bestFit="1" customWidth="1"/>
    <col min="12563" max="12568" width="9.140625" style="1025"/>
    <col min="12569" max="12569" width="1.5703125" style="1025" customWidth="1"/>
    <col min="12570" max="12800" width="9.140625" style="1025"/>
    <col min="12801" max="12801" width="5.140625" style="1025" customWidth="1"/>
    <col min="12802" max="12802" width="33.85546875" style="1025" customWidth="1"/>
    <col min="12803" max="12803" width="2.85546875" style="1025" customWidth="1"/>
    <col min="12804" max="12804" width="12" style="1025" bestFit="1" customWidth="1"/>
    <col min="12805" max="12805" width="12.5703125" style="1025" bestFit="1" customWidth="1"/>
    <col min="12806" max="12806" width="11.5703125" style="1025" bestFit="1" customWidth="1"/>
    <col min="12807" max="12808" width="12" style="1025" bestFit="1" customWidth="1"/>
    <col min="12809" max="12809" width="11.5703125" style="1025" bestFit="1" customWidth="1"/>
    <col min="12810" max="12810" width="12" style="1025" bestFit="1" customWidth="1"/>
    <col min="12811" max="12811" width="11.28515625" style="1025" bestFit="1" customWidth="1"/>
    <col min="12812" max="12812" width="11.5703125" style="1025" bestFit="1" customWidth="1"/>
    <col min="12813" max="12813" width="11.28515625" style="1025" bestFit="1" customWidth="1"/>
    <col min="12814" max="12814" width="12" style="1025" bestFit="1" customWidth="1"/>
    <col min="12815" max="12815" width="12.28515625" style="1025" bestFit="1" customWidth="1"/>
    <col min="12816" max="12816" width="12.7109375" style="1025" bestFit="1" customWidth="1"/>
    <col min="12817" max="12817" width="12.28515625" style="1025" bestFit="1" customWidth="1"/>
    <col min="12818" max="12818" width="13.28515625" style="1025" bestFit="1" customWidth="1"/>
    <col min="12819" max="12824" width="9.140625" style="1025"/>
    <col min="12825" max="12825" width="1.5703125" style="1025" customWidth="1"/>
    <col min="12826" max="13056" width="9.140625" style="1025"/>
    <col min="13057" max="13057" width="5.140625" style="1025" customWidth="1"/>
    <col min="13058" max="13058" width="33.85546875" style="1025" customWidth="1"/>
    <col min="13059" max="13059" width="2.85546875" style="1025" customWidth="1"/>
    <col min="13060" max="13060" width="12" style="1025" bestFit="1" customWidth="1"/>
    <col min="13061" max="13061" width="12.5703125" style="1025" bestFit="1" customWidth="1"/>
    <col min="13062" max="13062" width="11.5703125" style="1025" bestFit="1" customWidth="1"/>
    <col min="13063" max="13064" width="12" style="1025" bestFit="1" customWidth="1"/>
    <col min="13065" max="13065" width="11.5703125" style="1025" bestFit="1" customWidth="1"/>
    <col min="13066" max="13066" width="12" style="1025" bestFit="1" customWidth="1"/>
    <col min="13067" max="13067" width="11.28515625" style="1025" bestFit="1" customWidth="1"/>
    <col min="13068" max="13068" width="11.5703125" style="1025" bestFit="1" customWidth="1"/>
    <col min="13069" max="13069" width="11.28515625" style="1025" bestFit="1" customWidth="1"/>
    <col min="13070" max="13070" width="12" style="1025" bestFit="1" customWidth="1"/>
    <col min="13071" max="13071" width="12.28515625" style="1025" bestFit="1" customWidth="1"/>
    <col min="13072" max="13072" width="12.7109375" style="1025" bestFit="1" customWidth="1"/>
    <col min="13073" max="13073" width="12.28515625" style="1025" bestFit="1" customWidth="1"/>
    <col min="13074" max="13074" width="13.28515625" style="1025" bestFit="1" customWidth="1"/>
    <col min="13075" max="13080" width="9.140625" style="1025"/>
    <col min="13081" max="13081" width="1.5703125" style="1025" customWidth="1"/>
    <col min="13082" max="13312" width="9.140625" style="1025"/>
    <col min="13313" max="13313" width="5.140625" style="1025" customWidth="1"/>
    <col min="13314" max="13314" width="33.85546875" style="1025" customWidth="1"/>
    <col min="13315" max="13315" width="2.85546875" style="1025" customWidth="1"/>
    <col min="13316" max="13316" width="12" style="1025" bestFit="1" customWidth="1"/>
    <col min="13317" max="13317" width="12.5703125" style="1025" bestFit="1" customWidth="1"/>
    <col min="13318" max="13318" width="11.5703125" style="1025" bestFit="1" customWidth="1"/>
    <col min="13319" max="13320" width="12" style="1025" bestFit="1" customWidth="1"/>
    <col min="13321" max="13321" width="11.5703125" style="1025" bestFit="1" customWidth="1"/>
    <col min="13322" max="13322" width="12" style="1025" bestFit="1" customWidth="1"/>
    <col min="13323" max="13323" width="11.28515625" style="1025" bestFit="1" customWidth="1"/>
    <col min="13324" max="13324" width="11.5703125" style="1025" bestFit="1" customWidth="1"/>
    <col min="13325" max="13325" width="11.28515625" style="1025" bestFit="1" customWidth="1"/>
    <col min="13326" max="13326" width="12" style="1025" bestFit="1" customWidth="1"/>
    <col min="13327" max="13327" width="12.28515625" style="1025" bestFit="1" customWidth="1"/>
    <col min="13328" max="13328" width="12.7109375" style="1025" bestFit="1" customWidth="1"/>
    <col min="13329" max="13329" width="12.28515625" style="1025" bestFit="1" customWidth="1"/>
    <col min="13330" max="13330" width="13.28515625" style="1025" bestFit="1" customWidth="1"/>
    <col min="13331" max="13336" width="9.140625" style="1025"/>
    <col min="13337" max="13337" width="1.5703125" style="1025" customWidth="1"/>
    <col min="13338" max="13568" width="9.140625" style="1025"/>
    <col min="13569" max="13569" width="5.140625" style="1025" customWidth="1"/>
    <col min="13570" max="13570" width="33.85546875" style="1025" customWidth="1"/>
    <col min="13571" max="13571" width="2.85546875" style="1025" customWidth="1"/>
    <col min="13572" max="13572" width="12" style="1025" bestFit="1" customWidth="1"/>
    <col min="13573" max="13573" width="12.5703125" style="1025" bestFit="1" customWidth="1"/>
    <col min="13574" max="13574" width="11.5703125" style="1025" bestFit="1" customWidth="1"/>
    <col min="13575" max="13576" width="12" style="1025" bestFit="1" customWidth="1"/>
    <col min="13577" max="13577" width="11.5703125" style="1025" bestFit="1" customWidth="1"/>
    <col min="13578" max="13578" width="12" style="1025" bestFit="1" customWidth="1"/>
    <col min="13579" max="13579" width="11.28515625" style="1025" bestFit="1" customWidth="1"/>
    <col min="13580" max="13580" width="11.5703125" style="1025" bestFit="1" customWidth="1"/>
    <col min="13581" max="13581" width="11.28515625" style="1025" bestFit="1" customWidth="1"/>
    <col min="13582" max="13582" width="12" style="1025" bestFit="1" customWidth="1"/>
    <col min="13583" max="13583" width="12.28515625" style="1025" bestFit="1" customWidth="1"/>
    <col min="13584" max="13584" width="12.7109375" style="1025" bestFit="1" customWidth="1"/>
    <col min="13585" max="13585" width="12.28515625" style="1025" bestFit="1" customWidth="1"/>
    <col min="13586" max="13586" width="13.28515625" style="1025" bestFit="1" customWidth="1"/>
    <col min="13587" max="13592" width="9.140625" style="1025"/>
    <col min="13593" max="13593" width="1.5703125" style="1025" customWidth="1"/>
    <col min="13594" max="13824" width="9.140625" style="1025"/>
    <col min="13825" max="13825" width="5.140625" style="1025" customWidth="1"/>
    <col min="13826" max="13826" width="33.85546875" style="1025" customWidth="1"/>
    <col min="13827" max="13827" width="2.85546875" style="1025" customWidth="1"/>
    <col min="13828" max="13828" width="12" style="1025" bestFit="1" customWidth="1"/>
    <col min="13829" max="13829" width="12.5703125" style="1025" bestFit="1" customWidth="1"/>
    <col min="13830" max="13830" width="11.5703125" style="1025" bestFit="1" customWidth="1"/>
    <col min="13831" max="13832" width="12" style="1025" bestFit="1" customWidth="1"/>
    <col min="13833" max="13833" width="11.5703125" style="1025" bestFit="1" customWidth="1"/>
    <col min="13834" max="13834" width="12" style="1025" bestFit="1" customWidth="1"/>
    <col min="13835" max="13835" width="11.28515625" style="1025" bestFit="1" customWidth="1"/>
    <col min="13836" max="13836" width="11.5703125" style="1025" bestFit="1" customWidth="1"/>
    <col min="13837" max="13837" width="11.28515625" style="1025" bestFit="1" customWidth="1"/>
    <col min="13838" max="13838" width="12" style="1025" bestFit="1" customWidth="1"/>
    <col min="13839" max="13839" width="12.28515625" style="1025" bestFit="1" customWidth="1"/>
    <col min="13840" max="13840" width="12.7109375" style="1025" bestFit="1" customWidth="1"/>
    <col min="13841" max="13841" width="12.28515625" style="1025" bestFit="1" customWidth="1"/>
    <col min="13842" max="13842" width="13.28515625" style="1025" bestFit="1" customWidth="1"/>
    <col min="13843" max="13848" width="9.140625" style="1025"/>
    <col min="13849" max="13849" width="1.5703125" style="1025" customWidth="1"/>
    <col min="13850" max="14080" width="9.140625" style="1025"/>
    <col min="14081" max="14081" width="5.140625" style="1025" customWidth="1"/>
    <col min="14082" max="14082" width="33.85546875" style="1025" customWidth="1"/>
    <col min="14083" max="14083" width="2.85546875" style="1025" customWidth="1"/>
    <col min="14084" max="14084" width="12" style="1025" bestFit="1" customWidth="1"/>
    <col min="14085" max="14085" width="12.5703125" style="1025" bestFit="1" customWidth="1"/>
    <col min="14086" max="14086" width="11.5703125" style="1025" bestFit="1" customWidth="1"/>
    <col min="14087" max="14088" width="12" style="1025" bestFit="1" customWidth="1"/>
    <col min="14089" max="14089" width="11.5703125" style="1025" bestFit="1" customWidth="1"/>
    <col min="14090" max="14090" width="12" style="1025" bestFit="1" customWidth="1"/>
    <col min="14091" max="14091" width="11.28515625" style="1025" bestFit="1" customWidth="1"/>
    <col min="14092" max="14092" width="11.5703125" style="1025" bestFit="1" customWidth="1"/>
    <col min="14093" max="14093" width="11.28515625" style="1025" bestFit="1" customWidth="1"/>
    <col min="14094" max="14094" width="12" style="1025" bestFit="1" customWidth="1"/>
    <col min="14095" max="14095" width="12.28515625" style="1025" bestFit="1" customWidth="1"/>
    <col min="14096" max="14096" width="12.7109375" style="1025" bestFit="1" customWidth="1"/>
    <col min="14097" max="14097" width="12.28515625" style="1025" bestFit="1" customWidth="1"/>
    <col min="14098" max="14098" width="13.28515625" style="1025" bestFit="1" customWidth="1"/>
    <col min="14099" max="14104" width="9.140625" style="1025"/>
    <col min="14105" max="14105" width="1.5703125" style="1025" customWidth="1"/>
    <col min="14106" max="14336" width="9.140625" style="1025"/>
    <col min="14337" max="14337" width="5.140625" style="1025" customWidth="1"/>
    <col min="14338" max="14338" width="33.85546875" style="1025" customWidth="1"/>
    <col min="14339" max="14339" width="2.85546875" style="1025" customWidth="1"/>
    <col min="14340" max="14340" width="12" style="1025" bestFit="1" customWidth="1"/>
    <col min="14341" max="14341" width="12.5703125" style="1025" bestFit="1" customWidth="1"/>
    <col min="14342" max="14342" width="11.5703125" style="1025" bestFit="1" customWidth="1"/>
    <col min="14343" max="14344" width="12" style="1025" bestFit="1" customWidth="1"/>
    <col min="14345" max="14345" width="11.5703125" style="1025" bestFit="1" customWidth="1"/>
    <col min="14346" max="14346" width="12" style="1025" bestFit="1" customWidth="1"/>
    <col min="14347" max="14347" width="11.28515625" style="1025" bestFit="1" customWidth="1"/>
    <col min="14348" max="14348" width="11.5703125" style="1025" bestFit="1" customWidth="1"/>
    <col min="14349" max="14349" width="11.28515625" style="1025" bestFit="1" customWidth="1"/>
    <col min="14350" max="14350" width="12" style="1025" bestFit="1" customWidth="1"/>
    <col min="14351" max="14351" width="12.28515625" style="1025" bestFit="1" customWidth="1"/>
    <col min="14352" max="14352" width="12.7109375" style="1025" bestFit="1" customWidth="1"/>
    <col min="14353" max="14353" width="12.28515625" style="1025" bestFit="1" customWidth="1"/>
    <col min="14354" max="14354" width="13.28515625" style="1025" bestFit="1" customWidth="1"/>
    <col min="14355" max="14360" width="9.140625" style="1025"/>
    <col min="14361" max="14361" width="1.5703125" style="1025" customWidth="1"/>
    <col min="14362" max="14592" width="9.140625" style="1025"/>
    <col min="14593" max="14593" width="5.140625" style="1025" customWidth="1"/>
    <col min="14594" max="14594" width="33.85546875" style="1025" customWidth="1"/>
    <col min="14595" max="14595" width="2.85546875" style="1025" customWidth="1"/>
    <col min="14596" max="14596" width="12" style="1025" bestFit="1" customWidth="1"/>
    <col min="14597" max="14597" width="12.5703125" style="1025" bestFit="1" customWidth="1"/>
    <col min="14598" max="14598" width="11.5703125" style="1025" bestFit="1" customWidth="1"/>
    <col min="14599" max="14600" width="12" style="1025" bestFit="1" customWidth="1"/>
    <col min="14601" max="14601" width="11.5703125" style="1025" bestFit="1" customWidth="1"/>
    <col min="14602" max="14602" width="12" style="1025" bestFit="1" customWidth="1"/>
    <col min="14603" max="14603" width="11.28515625" style="1025" bestFit="1" customWidth="1"/>
    <col min="14604" max="14604" width="11.5703125" style="1025" bestFit="1" customWidth="1"/>
    <col min="14605" max="14605" width="11.28515625" style="1025" bestFit="1" customWidth="1"/>
    <col min="14606" max="14606" width="12" style="1025" bestFit="1" customWidth="1"/>
    <col min="14607" max="14607" width="12.28515625" style="1025" bestFit="1" customWidth="1"/>
    <col min="14608" max="14608" width="12.7109375" style="1025" bestFit="1" customWidth="1"/>
    <col min="14609" max="14609" width="12.28515625" style="1025" bestFit="1" customWidth="1"/>
    <col min="14610" max="14610" width="13.28515625" style="1025" bestFit="1" customWidth="1"/>
    <col min="14611" max="14616" width="9.140625" style="1025"/>
    <col min="14617" max="14617" width="1.5703125" style="1025" customWidth="1"/>
    <col min="14618" max="14848" width="9.140625" style="1025"/>
    <col min="14849" max="14849" width="5.140625" style="1025" customWidth="1"/>
    <col min="14850" max="14850" width="33.85546875" style="1025" customWidth="1"/>
    <col min="14851" max="14851" width="2.85546875" style="1025" customWidth="1"/>
    <col min="14852" max="14852" width="12" style="1025" bestFit="1" customWidth="1"/>
    <col min="14853" max="14853" width="12.5703125" style="1025" bestFit="1" customWidth="1"/>
    <col min="14854" max="14854" width="11.5703125" style="1025" bestFit="1" customWidth="1"/>
    <col min="14855" max="14856" width="12" style="1025" bestFit="1" customWidth="1"/>
    <col min="14857" max="14857" width="11.5703125" style="1025" bestFit="1" customWidth="1"/>
    <col min="14858" max="14858" width="12" style="1025" bestFit="1" customWidth="1"/>
    <col min="14859" max="14859" width="11.28515625" style="1025" bestFit="1" customWidth="1"/>
    <col min="14860" max="14860" width="11.5703125" style="1025" bestFit="1" customWidth="1"/>
    <col min="14861" max="14861" width="11.28515625" style="1025" bestFit="1" customWidth="1"/>
    <col min="14862" max="14862" width="12" style="1025" bestFit="1" customWidth="1"/>
    <col min="14863" max="14863" width="12.28515625" style="1025" bestFit="1" customWidth="1"/>
    <col min="14864" max="14864" width="12.7109375" style="1025" bestFit="1" customWidth="1"/>
    <col min="14865" max="14865" width="12.28515625" style="1025" bestFit="1" customWidth="1"/>
    <col min="14866" max="14866" width="13.28515625" style="1025" bestFit="1" customWidth="1"/>
    <col min="14867" max="14872" width="9.140625" style="1025"/>
    <col min="14873" max="14873" width="1.5703125" style="1025" customWidth="1"/>
    <col min="14874" max="15104" width="9.140625" style="1025"/>
    <col min="15105" max="15105" width="5.140625" style="1025" customWidth="1"/>
    <col min="15106" max="15106" width="33.85546875" style="1025" customWidth="1"/>
    <col min="15107" max="15107" width="2.85546875" style="1025" customWidth="1"/>
    <col min="15108" max="15108" width="12" style="1025" bestFit="1" customWidth="1"/>
    <col min="15109" max="15109" width="12.5703125" style="1025" bestFit="1" customWidth="1"/>
    <col min="15110" max="15110" width="11.5703125" style="1025" bestFit="1" customWidth="1"/>
    <col min="15111" max="15112" width="12" style="1025" bestFit="1" customWidth="1"/>
    <col min="15113" max="15113" width="11.5703125" style="1025" bestFit="1" customWidth="1"/>
    <col min="15114" max="15114" width="12" style="1025" bestFit="1" customWidth="1"/>
    <col min="15115" max="15115" width="11.28515625" style="1025" bestFit="1" customWidth="1"/>
    <col min="15116" max="15116" width="11.5703125" style="1025" bestFit="1" customWidth="1"/>
    <col min="15117" max="15117" width="11.28515625" style="1025" bestFit="1" customWidth="1"/>
    <col min="15118" max="15118" width="12" style="1025" bestFit="1" customWidth="1"/>
    <col min="15119" max="15119" width="12.28515625" style="1025" bestFit="1" customWidth="1"/>
    <col min="15120" max="15120" width="12.7109375" style="1025" bestFit="1" customWidth="1"/>
    <col min="15121" max="15121" width="12.28515625" style="1025" bestFit="1" customWidth="1"/>
    <col min="15122" max="15122" width="13.28515625" style="1025" bestFit="1" customWidth="1"/>
    <col min="15123" max="15128" width="9.140625" style="1025"/>
    <col min="15129" max="15129" width="1.5703125" style="1025" customWidth="1"/>
    <col min="15130" max="15360" width="9.140625" style="1025"/>
    <col min="15361" max="15361" width="5.140625" style="1025" customWidth="1"/>
    <col min="15362" max="15362" width="33.85546875" style="1025" customWidth="1"/>
    <col min="15363" max="15363" width="2.85546875" style="1025" customWidth="1"/>
    <col min="15364" max="15364" width="12" style="1025" bestFit="1" customWidth="1"/>
    <col min="15365" max="15365" width="12.5703125" style="1025" bestFit="1" customWidth="1"/>
    <col min="15366" max="15366" width="11.5703125" style="1025" bestFit="1" customWidth="1"/>
    <col min="15367" max="15368" width="12" style="1025" bestFit="1" customWidth="1"/>
    <col min="15369" max="15369" width="11.5703125" style="1025" bestFit="1" customWidth="1"/>
    <col min="15370" max="15370" width="12" style="1025" bestFit="1" customWidth="1"/>
    <col min="15371" max="15371" width="11.28515625" style="1025" bestFit="1" customWidth="1"/>
    <col min="15372" max="15372" width="11.5703125" style="1025" bestFit="1" customWidth="1"/>
    <col min="15373" max="15373" width="11.28515625" style="1025" bestFit="1" customWidth="1"/>
    <col min="15374" max="15374" width="12" style="1025" bestFit="1" customWidth="1"/>
    <col min="15375" max="15375" width="12.28515625" style="1025" bestFit="1" customWidth="1"/>
    <col min="15376" max="15376" width="12.7109375" style="1025" bestFit="1" customWidth="1"/>
    <col min="15377" max="15377" width="12.28515625" style="1025" bestFit="1" customWidth="1"/>
    <col min="15378" max="15378" width="13.28515625" style="1025" bestFit="1" customWidth="1"/>
    <col min="15379" max="15384" width="9.140625" style="1025"/>
    <col min="15385" max="15385" width="1.5703125" style="1025" customWidth="1"/>
    <col min="15386" max="15616" width="9.140625" style="1025"/>
    <col min="15617" max="15617" width="5.140625" style="1025" customWidth="1"/>
    <col min="15618" max="15618" width="33.85546875" style="1025" customWidth="1"/>
    <col min="15619" max="15619" width="2.85546875" style="1025" customWidth="1"/>
    <col min="15620" max="15620" width="12" style="1025" bestFit="1" customWidth="1"/>
    <col min="15621" max="15621" width="12.5703125" style="1025" bestFit="1" customWidth="1"/>
    <col min="15622" max="15622" width="11.5703125" style="1025" bestFit="1" customWidth="1"/>
    <col min="15623" max="15624" width="12" style="1025" bestFit="1" customWidth="1"/>
    <col min="15625" max="15625" width="11.5703125" style="1025" bestFit="1" customWidth="1"/>
    <col min="15626" max="15626" width="12" style="1025" bestFit="1" customWidth="1"/>
    <col min="15627" max="15627" width="11.28515625" style="1025" bestFit="1" customWidth="1"/>
    <col min="15628" max="15628" width="11.5703125" style="1025" bestFit="1" customWidth="1"/>
    <col min="15629" max="15629" width="11.28515625" style="1025" bestFit="1" customWidth="1"/>
    <col min="15630" max="15630" width="12" style="1025" bestFit="1" customWidth="1"/>
    <col min="15631" max="15631" width="12.28515625" style="1025" bestFit="1" customWidth="1"/>
    <col min="15632" max="15632" width="12.7109375" style="1025" bestFit="1" customWidth="1"/>
    <col min="15633" max="15633" width="12.28515625" style="1025" bestFit="1" customWidth="1"/>
    <col min="15634" max="15634" width="13.28515625" style="1025" bestFit="1" customWidth="1"/>
    <col min="15635" max="15640" width="9.140625" style="1025"/>
    <col min="15641" max="15641" width="1.5703125" style="1025" customWidth="1"/>
    <col min="15642" max="15872" width="9.140625" style="1025"/>
    <col min="15873" max="15873" width="5.140625" style="1025" customWidth="1"/>
    <col min="15874" max="15874" width="33.85546875" style="1025" customWidth="1"/>
    <col min="15875" max="15875" width="2.85546875" style="1025" customWidth="1"/>
    <col min="15876" max="15876" width="12" style="1025" bestFit="1" customWidth="1"/>
    <col min="15877" max="15877" width="12.5703125" style="1025" bestFit="1" customWidth="1"/>
    <col min="15878" max="15878" width="11.5703125" style="1025" bestFit="1" customWidth="1"/>
    <col min="15879" max="15880" width="12" style="1025" bestFit="1" customWidth="1"/>
    <col min="15881" max="15881" width="11.5703125" style="1025" bestFit="1" customWidth="1"/>
    <col min="15882" max="15882" width="12" style="1025" bestFit="1" customWidth="1"/>
    <col min="15883" max="15883" width="11.28515625" style="1025" bestFit="1" customWidth="1"/>
    <col min="15884" max="15884" width="11.5703125" style="1025" bestFit="1" customWidth="1"/>
    <col min="15885" max="15885" width="11.28515625" style="1025" bestFit="1" customWidth="1"/>
    <col min="15886" max="15886" width="12" style="1025" bestFit="1" customWidth="1"/>
    <col min="15887" max="15887" width="12.28515625" style="1025" bestFit="1" customWidth="1"/>
    <col min="15888" max="15888" width="12.7109375" style="1025" bestFit="1" customWidth="1"/>
    <col min="15889" max="15889" width="12.28515625" style="1025" bestFit="1" customWidth="1"/>
    <col min="15890" max="15890" width="13.28515625" style="1025" bestFit="1" customWidth="1"/>
    <col min="15891" max="15896" width="9.140625" style="1025"/>
    <col min="15897" max="15897" width="1.5703125" style="1025" customWidth="1"/>
    <col min="15898" max="16128" width="9.140625" style="1025"/>
    <col min="16129" max="16129" width="5.140625" style="1025" customWidth="1"/>
    <col min="16130" max="16130" width="33.85546875" style="1025" customWidth="1"/>
    <col min="16131" max="16131" width="2.85546875" style="1025" customWidth="1"/>
    <col min="16132" max="16132" width="12" style="1025" bestFit="1" customWidth="1"/>
    <col min="16133" max="16133" width="12.5703125" style="1025" bestFit="1" customWidth="1"/>
    <col min="16134" max="16134" width="11.5703125" style="1025" bestFit="1" customWidth="1"/>
    <col min="16135" max="16136" width="12" style="1025" bestFit="1" customWidth="1"/>
    <col min="16137" max="16137" width="11.5703125" style="1025" bestFit="1" customWidth="1"/>
    <col min="16138" max="16138" width="12" style="1025" bestFit="1" customWidth="1"/>
    <col min="16139" max="16139" width="11.28515625" style="1025" bestFit="1" customWidth="1"/>
    <col min="16140" max="16140" width="11.5703125" style="1025" bestFit="1" customWidth="1"/>
    <col min="16141" max="16141" width="11.28515625" style="1025" bestFit="1" customWidth="1"/>
    <col min="16142" max="16142" width="12" style="1025" bestFit="1" customWidth="1"/>
    <col min="16143" max="16143" width="12.28515625" style="1025" bestFit="1" customWidth="1"/>
    <col min="16144" max="16144" width="12.7109375" style="1025" bestFit="1" customWidth="1"/>
    <col min="16145" max="16145" width="12.28515625" style="1025" bestFit="1" customWidth="1"/>
    <col min="16146" max="16146" width="13.28515625" style="1025" bestFit="1" customWidth="1"/>
    <col min="16147" max="16152" width="9.140625" style="1025"/>
    <col min="16153" max="16153" width="1.5703125" style="1025" customWidth="1"/>
    <col min="16154" max="16384" width="9.140625" style="1025"/>
  </cols>
  <sheetData>
    <row r="1" spans="1:18" x14ac:dyDescent="0.2">
      <c r="B1" s="1154" t="s">
        <v>70</v>
      </c>
      <c r="C1" s="1154"/>
      <c r="D1" s="1154"/>
      <c r="E1" s="1154"/>
      <c r="F1" s="1154"/>
      <c r="G1" s="1154"/>
      <c r="H1" s="1154"/>
      <c r="I1" s="1154"/>
      <c r="J1" s="1154"/>
      <c r="K1" s="1154"/>
      <c r="L1" s="1154"/>
      <c r="M1" s="1154"/>
      <c r="N1" s="1154"/>
      <c r="O1" s="1154"/>
      <c r="P1" s="1154"/>
      <c r="Q1" s="1154"/>
      <c r="R1" s="1155"/>
    </row>
    <row r="2" spans="1:18" x14ac:dyDescent="0.2">
      <c r="B2" s="1154" t="s">
        <v>1938</v>
      </c>
      <c r="C2" s="1154"/>
      <c r="D2" s="1154"/>
      <c r="E2" s="1154"/>
      <c r="F2" s="1154"/>
      <c r="G2" s="1294"/>
      <c r="H2" s="1154"/>
      <c r="I2" s="1154"/>
      <c r="J2" s="1154"/>
      <c r="K2" s="1154"/>
      <c r="L2" s="1154"/>
      <c r="M2" s="1154"/>
      <c r="N2" s="1154"/>
      <c r="O2" s="1154"/>
      <c r="P2" s="1154"/>
      <c r="Q2" s="1154"/>
      <c r="R2" s="1155"/>
    </row>
    <row r="3" spans="1:18" x14ac:dyDescent="0.2">
      <c r="B3" s="1154" t="s">
        <v>2006</v>
      </c>
      <c r="C3" s="1154"/>
      <c r="D3" s="1154"/>
      <c r="E3" s="1154"/>
      <c r="F3" s="1154"/>
      <c r="G3" s="1154"/>
      <c r="H3" s="1154"/>
      <c r="I3" s="1154"/>
      <c r="J3" s="1154"/>
      <c r="K3" s="1154"/>
      <c r="L3" s="1154"/>
      <c r="M3" s="1154"/>
      <c r="N3" s="1154"/>
      <c r="O3" s="1154"/>
      <c r="P3" s="1154"/>
      <c r="Q3" s="1154"/>
      <c r="R3" s="1155"/>
    </row>
    <row r="4" spans="1:18" x14ac:dyDescent="0.2">
      <c r="B4" s="1154" t="s">
        <v>1330</v>
      </c>
      <c r="C4" s="1154"/>
      <c r="D4" s="1154"/>
      <c r="E4" s="1154"/>
      <c r="F4" s="1154"/>
      <c r="G4" s="1155"/>
      <c r="H4" s="1155"/>
      <c r="I4" s="1154"/>
      <c r="J4" s="1154"/>
      <c r="K4" s="1154"/>
      <c r="L4" s="1154"/>
      <c r="M4" s="1154"/>
      <c r="N4" s="1154"/>
      <c r="O4" s="1154"/>
      <c r="P4" s="1154"/>
      <c r="Q4" s="1154"/>
      <c r="R4" s="1155"/>
    </row>
    <row r="5" spans="1:18" x14ac:dyDescent="0.2">
      <c r="B5" s="1154"/>
      <c r="C5" s="1154"/>
      <c r="D5" s="1154"/>
      <c r="E5" s="1154"/>
      <c r="F5" s="1154"/>
      <c r="G5" s="1155"/>
      <c r="H5" s="1155"/>
      <c r="I5" s="1154"/>
      <c r="J5" s="1154"/>
      <c r="K5" s="1154"/>
      <c r="L5" s="1154"/>
      <c r="M5" s="1154"/>
      <c r="N5" s="1154"/>
      <c r="O5" s="1154"/>
      <c r="P5" s="1154"/>
    </row>
    <row r="6" spans="1:18" x14ac:dyDescent="0.2">
      <c r="A6" s="1086"/>
      <c r="B6" s="1294"/>
      <c r="C6" s="1154"/>
      <c r="D6" s="1154"/>
      <c r="E6" s="1154"/>
      <c r="F6" s="1154"/>
      <c r="G6" s="1154"/>
      <c r="H6" s="1154"/>
      <c r="I6" s="1154"/>
      <c r="J6" s="1154"/>
      <c r="K6" s="1154"/>
      <c r="L6" s="1154"/>
      <c r="M6" s="1154"/>
      <c r="N6" s="1154"/>
      <c r="O6" s="1154"/>
      <c r="P6" s="1154" t="s">
        <v>309</v>
      </c>
      <c r="Q6" s="1086" t="s">
        <v>2007</v>
      </c>
    </row>
    <row r="7" spans="1:18" x14ac:dyDescent="0.2">
      <c r="A7" s="1029"/>
      <c r="B7" s="1295" t="s">
        <v>69</v>
      </c>
      <c r="C7" s="1296"/>
      <c r="D7" s="1030">
        <v>40179</v>
      </c>
      <c r="E7" s="1030">
        <v>40210</v>
      </c>
      <c r="F7" s="1030">
        <v>40238</v>
      </c>
      <c r="G7" s="1030">
        <v>40269</v>
      </c>
      <c r="H7" s="1030">
        <v>40299</v>
      </c>
      <c r="I7" s="1030">
        <v>40330</v>
      </c>
      <c r="J7" s="1030">
        <v>40360</v>
      </c>
      <c r="K7" s="1030">
        <v>40391</v>
      </c>
      <c r="L7" s="1030">
        <v>40422</v>
      </c>
      <c r="M7" s="1030">
        <v>40452</v>
      </c>
      <c r="N7" s="1030">
        <v>40483</v>
      </c>
      <c r="O7" s="1030">
        <v>40513</v>
      </c>
      <c r="P7" s="1029" t="s">
        <v>23</v>
      </c>
      <c r="Q7" s="1297" t="s">
        <v>2008</v>
      </c>
      <c r="R7" s="1298" t="s">
        <v>2009</v>
      </c>
    </row>
    <row r="8" spans="1:18" x14ac:dyDescent="0.2">
      <c r="A8" s="1086"/>
      <c r="B8" s="1086" t="s">
        <v>774</v>
      </c>
      <c r="C8" s="1086"/>
      <c r="D8" s="1086" t="s">
        <v>775</v>
      </c>
      <c r="E8" s="1086" t="s">
        <v>776</v>
      </c>
      <c r="F8" s="1086" t="s">
        <v>777</v>
      </c>
      <c r="G8" s="1086" t="s">
        <v>778</v>
      </c>
      <c r="H8" s="1086" t="s">
        <v>793</v>
      </c>
      <c r="I8" s="1086" t="s">
        <v>794</v>
      </c>
      <c r="J8" s="1086" t="s">
        <v>2010</v>
      </c>
      <c r="K8" s="1086" t="s">
        <v>2011</v>
      </c>
      <c r="L8" s="1086" t="s">
        <v>2012</v>
      </c>
      <c r="M8" s="1086" t="s">
        <v>2013</v>
      </c>
      <c r="N8" s="1086" t="s">
        <v>2014</v>
      </c>
      <c r="O8" s="1086" t="s">
        <v>2015</v>
      </c>
      <c r="P8" s="1086" t="s">
        <v>2016</v>
      </c>
      <c r="Q8" s="1299" t="s">
        <v>2017</v>
      </c>
      <c r="R8" s="1075" t="s">
        <v>2018</v>
      </c>
    </row>
    <row r="9" spans="1:18" x14ac:dyDescent="0.2">
      <c r="A9" s="1086"/>
      <c r="B9" s="1079" t="s">
        <v>1288</v>
      </c>
      <c r="C9" s="1296"/>
      <c r="D9" s="1034"/>
      <c r="E9" s="1034"/>
      <c r="F9" s="1034"/>
      <c r="G9" s="1034"/>
      <c r="H9" s="1034"/>
      <c r="I9" s="1034"/>
      <c r="J9" s="1034"/>
      <c r="K9" s="1034"/>
      <c r="L9" s="1034"/>
      <c r="M9" s="1034"/>
      <c r="N9" s="1034"/>
      <c r="O9" s="1034"/>
      <c r="P9" s="1034"/>
      <c r="Q9" s="1299"/>
      <c r="R9" s="1075"/>
    </row>
    <row r="10" spans="1:18" x14ac:dyDescent="0.2">
      <c r="A10" s="1086"/>
      <c r="B10" s="1037" t="s">
        <v>1037</v>
      </c>
      <c r="C10" s="1296"/>
      <c r="D10" s="1033">
        <v>86696402</v>
      </c>
      <c r="E10" s="1033">
        <v>68942175</v>
      </c>
      <c r="F10" s="1033">
        <v>61851002</v>
      </c>
      <c r="G10" s="1033">
        <v>44616554</v>
      </c>
      <c r="H10" s="1033">
        <v>28759593</v>
      </c>
      <c r="I10" s="1033">
        <v>19471763</v>
      </c>
      <c r="J10" s="1033">
        <v>13950117</v>
      </c>
      <c r="K10" s="1033">
        <v>13136643</v>
      </c>
      <c r="L10" s="1033">
        <v>18066667</v>
      </c>
      <c r="M10" s="1033">
        <v>38478325</v>
      </c>
      <c r="N10" s="1033">
        <v>60611661</v>
      </c>
      <c r="O10" s="1033">
        <v>93458361</v>
      </c>
      <c r="P10" s="1034">
        <f t="shared" ref="P10:P15" si="0">SUM(D10:O10)</f>
        <v>548039263</v>
      </c>
      <c r="Q10" s="1299"/>
      <c r="R10" s="1300">
        <f>SUM(P10:Q10)</f>
        <v>548039263</v>
      </c>
    </row>
    <row r="11" spans="1:18" x14ac:dyDescent="0.2">
      <c r="A11" s="1086"/>
      <c r="B11" s="1039" t="s">
        <v>830</v>
      </c>
      <c r="C11" s="1296"/>
      <c r="D11" s="1033">
        <v>29816513</v>
      </c>
      <c r="E11" s="1033">
        <v>23686793</v>
      </c>
      <c r="F11" s="1033">
        <v>21443417</v>
      </c>
      <c r="G11" s="1033">
        <v>16051551</v>
      </c>
      <c r="H11" s="1033">
        <v>11681549</v>
      </c>
      <c r="I11" s="1033">
        <v>9079743</v>
      </c>
      <c r="J11" s="1033">
        <v>7654391</v>
      </c>
      <c r="K11" s="1033">
        <v>7494720</v>
      </c>
      <c r="L11" s="1033">
        <v>8427744</v>
      </c>
      <c r="M11" s="1033">
        <v>14043903</v>
      </c>
      <c r="N11" s="1033">
        <v>20914948</v>
      </c>
      <c r="O11" s="1033">
        <v>32091778</v>
      </c>
      <c r="P11" s="1034">
        <f t="shared" si="0"/>
        <v>202387050</v>
      </c>
      <c r="Q11" s="1299"/>
      <c r="R11" s="1300">
        <f t="shared" ref="R11:R20" si="1">SUM(P11:Q11)</f>
        <v>202387050</v>
      </c>
    </row>
    <row r="12" spans="1:18" x14ac:dyDescent="0.2">
      <c r="A12" s="1086"/>
      <c r="B12" s="1037" t="s">
        <v>832</v>
      </c>
      <c r="C12" s="1296"/>
      <c r="D12" s="1033">
        <v>8059108</v>
      </c>
      <c r="E12" s="1033">
        <v>6905650</v>
      </c>
      <c r="F12" s="1033">
        <v>7042830</v>
      </c>
      <c r="G12" s="1033">
        <v>6020182</v>
      </c>
      <c r="H12" s="1033">
        <v>5271381</v>
      </c>
      <c r="I12" s="1033">
        <v>4286054</v>
      </c>
      <c r="J12" s="1033">
        <v>3804167</v>
      </c>
      <c r="K12" s="1033">
        <v>3792874</v>
      </c>
      <c r="L12" s="1033">
        <v>4059909</v>
      </c>
      <c r="M12" s="1033">
        <v>5434076</v>
      </c>
      <c r="N12" s="1033">
        <v>6657091</v>
      </c>
      <c r="O12" s="1033">
        <v>8234935</v>
      </c>
      <c r="P12" s="1034">
        <f t="shared" si="0"/>
        <v>69568257</v>
      </c>
      <c r="Q12" s="1299"/>
      <c r="R12" s="1300">
        <f t="shared" si="1"/>
        <v>69568257</v>
      </c>
    </row>
    <row r="13" spans="1:18" x14ac:dyDescent="0.2">
      <c r="A13" s="1086"/>
      <c r="B13" s="1037" t="s">
        <v>837</v>
      </c>
      <c r="C13" s="1296"/>
      <c r="D13" s="1033">
        <v>2039331</v>
      </c>
      <c r="E13" s="1033">
        <v>1764580</v>
      </c>
      <c r="F13" s="1033">
        <v>1843935</v>
      </c>
      <c r="G13" s="1033">
        <v>1548429</v>
      </c>
      <c r="H13" s="1033">
        <v>1262533</v>
      </c>
      <c r="I13" s="1033">
        <v>1036249</v>
      </c>
      <c r="J13" s="1033">
        <v>930314</v>
      </c>
      <c r="K13" s="1033">
        <v>937178</v>
      </c>
      <c r="L13" s="1033">
        <v>990505</v>
      </c>
      <c r="M13" s="1033">
        <v>1365743</v>
      </c>
      <c r="N13" s="1033">
        <v>1616785</v>
      </c>
      <c r="O13" s="1033">
        <v>1949246</v>
      </c>
      <c r="P13" s="1034">
        <f t="shared" si="0"/>
        <v>17284828</v>
      </c>
      <c r="Q13" s="1299"/>
      <c r="R13" s="1300">
        <f t="shared" si="1"/>
        <v>17284828</v>
      </c>
    </row>
    <row r="14" spans="1:18" x14ac:dyDescent="0.2">
      <c r="A14" s="1086"/>
      <c r="B14" s="1037" t="s">
        <v>839</v>
      </c>
      <c r="C14" s="1296"/>
      <c r="D14" s="1033">
        <v>2139696</v>
      </c>
      <c r="E14" s="1033">
        <v>1756260</v>
      </c>
      <c r="F14" s="1033">
        <v>1589183</v>
      </c>
      <c r="G14" s="1033">
        <v>1214930</v>
      </c>
      <c r="H14" s="1033">
        <v>922059</v>
      </c>
      <c r="I14" s="1033">
        <v>600772</v>
      </c>
      <c r="J14" s="1033">
        <v>418367</v>
      </c>
      <c r="K14" s="1033">
        <v>369982</v>
      </c>
      <c r="L14" s="1033">
        <v>517672</v>
      </c>
      <c r="M14" s="1033">
        <v>1000639</v>
      </c>
      <c r="N14" s="1033">
        <v>1451364</v>
      </c>
      <c r="O14" s="1033">
        <v>1908654</v>
      </c>
      <c r="P14" s="1034">
        <f t="shared" si="0"/>
        <v>13889578</v>
      </c>
      <c r="Q14" s="1299"/>
      <c r="R14" s="1300">
        <f t="shared" si="1"/>
        <v>13889578</v>
      </c>
    </row>
    <row r="15" spans="1:18" x14ac:dyDescent="0.2">
      <c r="A15" s="1086"/>
      <c r="B15" s="1037" t="s">
        <v>841</v>
      </c>
      <c r="C15" s="1296"/>
      <c r="D15" s="1033">
        <v>3484213</v>
      </c>
      <c r="E15" s="1033">
        <v>3021529</v>
      </c>
      <c r="F15" s="1033">
        <v>2969030</v>
      </c>
      <c r="G15" s="1033">
        <v>2565692</v>
      </c>
      <c r="H15" s="1033">
        <v>2262834</v>
      </c>
      <c r="I15" s="1033">
        <v>1869770</v>
      </c>
      <c r="J15" s="1033">
        <v>1670626</v>
      </c>
      <c r="K15" s="1033">
        <v>1577331</v>
      </c>
      <c r="L15" s="1033">
        <v>1726459</v>
      </c>
      <c r="M15" s="1033">
        <v>2425380</v>
      </c>
      <c r="N15" s="1033">
        <v>2874110</v>
      </c>
      <c r="O15" s="1033">
        <v>3588681</v>
      </c>
      <c r="P15" s="1034">
        <f t="shared" si="0"/>
        <v>30035655</v>
      </c>
      <c r="Q15" s="1299"/>
      <c r="R15" s="1300">
        <f t="shared" si="1"/>
        <v>30035655</v>
      </c>
    </row>
    <row r="16" spans="1:18" x14ac:dyDescent="0.2">
      <c r="A16" s="1086"/>
      <c r="B16" s="1025" t="s">
        <v>1039</v>
      </c>
      <c r="C16" s="1296"/>
      <c r="D16" s="1033">
        <v>639788</v>
      </c>
      <c r="E16" s="1033">
        <v>605719</v>
      </c>
      <c r="F16" s="1033">
        <v>661819</v>
      </c>
      <c r="G16" s="1033">
        <v>614152</v>
      </c>
      <c r="H16" s="1033">
        <v>556103</v>
      </c>
      <c r="I16" s="1033">
        <v>621160</v>
      </c>
      <c r="J16" s="1033">
        <v>633300</v>
      </c>
      <c r="K16" s="1033">
        <v>638278</v>
      </c>
      <c r="L16" s="1033">
        <v>613872</v>
      </c>
      <c r="M16" s="1033">
        <v>652890</v>
      </c>
      <c r="N16" s="1033">
        <v>764251</v>
      </c>
      <c r="O16" s="1033">
        <v>813242</v>
      </c>
      <c r="P16" s="1045"/>
      <c r="Q16" s="1034">
        <f>SUM(D16:O16)</f>
        <v>7814574</v>
      </c>
      <c r="R16" s="1300">
        <f t="shared" si="1"/>
        <v>7814574</v>
      </c>
    </row>
    <row r="17" spans="1:18" x14ac:dyDescent="0.2">
      <c r="A17" s="1086"/>
      <c r="B17" s="1025" t="s">
        <v>1040</v>
      </c>
      <c r="C17" s="1296"/>
      <c r="D17" s="1033">
        <v>5294892</v>
      </c>
      <c r="E17" s="1033">
        <v>5034870</v>
      </c>
      <c r="F17" s="1033">
        <v>5736791</v>
      </c>
      <c r="G17" s="1033">
        <v>5444693</v>
      </c>
      <c r="H17" s="1033">
        <v>5421407</v>
      </c>
      <c r="I17" s="1033">
        <v>5646872</v>
      </c>
      <c r="J17" s="1033">
        <v>5207081</v>
      </c>
      <c r="K17" s="1033">
        <v>5373590</v>
      </c>
      <c r="L17" s="1033">
        <v>5129610</v>
      </c>
      <c r="M17" s="1033">
        <v>5583091</v>
      </c>
      <c r="N17" s="1033">
        <v>5594102</v>
      </c>
      <c r="O17" s="1033">
        <v>5438885</v>
      </c>
      <c r="P17" s="1045"/>
      <c r="Q17" s="1034">
        <f>SUM(D17:O17)</f>
        <v>64905884</v>
      </c>
      <c r="R17" s="1300">
        <f t="shared" si="1"/>
        <v>64905884</v>
      </c>
    </row>
    <row r="18" spans="1:18" x14ac:dyDescent="0.2">
      <c r="A18" s="1086"/>
      <c r="B18" s="1025" t="s">
        <v>1284</v>
      </c>
      <c r="C18" s="1296"/>
      <c r="D18" s="1033">
        <v>91</v>
      </c>
      <c r="E18" s="1033">
        <v>2886</v>
      </c>
      <c r="F18" s="1033">
        <v>12304</v>
      </c>
      <c r="G18" s="1033">
        <v>22580</v>
      </c>
      <c r="H18" s="1033">
        <v>14443</v>
      </c>
      <c r="I18" s="1033">
        <v>0</v>
      </c>
      <c r="J18" s="1033">
        <v>0</v>
      </c>
      <c r="K18" s="1033">
        <v>2158</v>
      </c>
      <c r="L18" s="1033">
        <v>9063</v>
      </c>
      <c r="M18" s="1033">
        <v>8098</v>
      </c>
      <c r="N18" s="1033">
        <v>963</v>
      </c>
      <c r="O18" s="1033">
        <v>197</v>
      </c>
      <c r="P18" s="1045"/>
      <c r="Q18" s="1034">
        <f>SUM(D18:O18)</f>
        <v>72783</v>
      </c>
      <c r="R18" s="1300">
        <f>SUM(P18:Q18)</f>
        <v>72783</v>
      </c>
    </row>
    <row r="19" spans="1:18" x14ac:dyDescent="0.2">
      <c r="A19" s="1086"/>
      <c r="B19" s="1025" t="s">
        <v>1042</v>
      </c>
      <c r="C19" s="1296"/>
      <c r="D19" s="1033">
        <v>9606184</v>
      </c>
      <c r="E19" s="1033">
        <v>7685668</v>
      </c>
      <c r="F19" s="1033">
        <v>8803610</v>
      </c>
      <c r="G19" s="1033">
        <v>8482069</v>
      </c>
      <c r="H19" s="1033">
        <v>9388528</v>
      </c>
      <c r="I19" s="1033">
        <v>8005470</v>
      </c>
      <c r="J19" s="1033">
        <v>8496772</v>
      </c>
      <c r="K19" s="1033">
        <v>8613339</v>
      </c>
      <c r="L19" s="1033">
        <v>7541047</v>
      </c>
      <c r="M19" s="1033">
        <v>7978763</v>
      </c>
      <c r="N19" s="1033">
        <v>7176279</v>
      </c>
      <c r="O19" s="1033">
        <v>7800846</v>
      </c>
      <c r="P19" s="1045"/>
      <c r="Q19" s="1034">
        <f>SUM(D19:O19)</f>
        <v>99578575</v>
      </c>
      <c r="R19" s="1300">
        <f t="shared" si="1"/>
        <v>99578575</v>
      </c>
    </row>
    <row r="20" spans="1:18" x14ac:dyDescent="0.2">
      <c r="A20" s="1086"/>
      <c r="B20" s="1046" t="s">
        <v>144</v>
      </c>
      <c r="C20" s="1296"/>
      <c r="D20" s="1033">
        <v>4174040</v>
      </c>
      <c r="E20" s="1033">
        <v>3718409</v>
      </c>
      <c r="F20" s="1033">
        <v>3764950</v>
      </c>
      <c r="G20" s="1033">
        <v>3145382</v>
      </c>
      <c r="H20" s="1033">
        <v>2395387</v>
      </c>
      <c r="I20" s="1033">
        <v>2216168</v>
      </c>
      <c r="J20" s="1033">
        <v>2006793</v>
      </c>
      <c r="K20" s="1033">
        <v>1941842</v>
      </c>
      <c r="L20" s="1033">
        <v>1974119</v>
      </c>
      <c r="M20" s="1033">
        <v>2868579</v>
      </c>
      <c r="N20" s="1033">
        <v>3672235</v>
      </c>
      <c r="O20" s="1033">
        <v>4102274</v>
      </c>
      <c r="P20" s="1045"/>
      <c r="Q20" s="1034">
        <f>SUM(D20:O20)</f>
        <v>35980178</v>
      </c>
      <c r="R20" s="1300">
        <f t="shared" si="1"/>
        <v>35980178</v>
      </c>
    </row>
    <row r="21" spans="1:18" x14ac:dyDescent="0.2">
      <c r="A21" s="1086"/>
      <c r="B21" s="1046" t="s">
        <v>1286</v>
      </c>
      <c r="C21" s="1296"/>
      <c r="D21" s="1038">
        <f>SUM(D10:D20)</f>
        <v>151950258</v>
      </c>
      <c r="E21" s="1038">
        <f t="shared" ref="E21:O21" si="2">SUM(E10:E20)</f>
        <v>123124539</v>
      </c>
      <c r="F21" s="1038">
        <f t="shared" si="2"/>
        <v>115718871</v>
      </c>
      <c r="G21" s="1038">
        <f t="shared" si="2"/>
        <v>89726214</v>
      </c>
      <c r="H21" s="1038">
        <f t="shared" si="2"/>
        <v>67935817</v>
      </c>
      <c r="I21" s="1038">
        <f t="shared" si="2"/>
        <v>52834021</v>
      </c>
      <c r="J21" s="1038">
        <f t="shared" si="2"/>
        <v>44771928</v>
      </c>
      <c r="K21" s="1038">
        <f t="shared" si="2"/>
        <v>43877935</v>
      </c>
      <c r="L21" s="1038">
        <f t="shared" si="2"/>
        <v>49056667</v>
      </c>
      <c r="M21" s="1038">
        <f t="shared" si="2"/>
        <v>79839487</v>
      </c>
      <c r="N21" s="1038">
        <f t="shared" si="2"/>
        <v>111333789</v>
      </c>
      <c r="O21" s="1038">
        <f t="shared" si="2"/>
        <v>159387099</v>
      </c>
      <c r="P21" s="1038">
        <f>SUM(P10:P20)</f>
        <v>881204631</v>
      </c>
      <c r="Q21" s="1038">
        <f>SUM(Q10:Q20)</f>
        <v>208351994</v>
      </c>
      <c r="R21" s="1038">
        <f>SUM(R10:R20)</f>
        <v>1089556625</v>
      </c>
    </row>
    <row r="22" spans="1:18" x14ac:dyDescent="0.2">
      <c r="A22" s="1086"/>
      <c r="B22" s="1086"/>
      <c r="C22" s="1086"/>
      <c r="D22" s="1086"/>
      <c r="E22" s="1086"/>
      <c r="F22" s="1086"/>
      <c r="G22" s="1086"/>
      <c r="H22" s="1086"/>
      <c r="I22" s="1086"/>
      <c r="J22" s="1086"/>
      <c r="K22" s="1086"/>
      <c r="L22" s="1086"/>
      <c r="M22" s="1086"/>
      <c r="N22" s="1086"/>
      <c r="O22" s="1086"/>
      <c r="P22" s="1086"/>
      <c r="Q22" s="1299"/>
      <c r="R22" s="1075"/>
    </row>
    <row r="23" spans="1:18" x14ac:dyDescent="0.2">
      <c r="C23" s="1296"/>
      <c r="D23" s="1034"/>
      <c r="E23" s="1034"/>
      <c r="F23" s="1034"/>
      <c r="G23" s="1034"/>
      <c r="H23" s="1034"/>
      <c r="I23" s="1034"/>
      <c r="J23" s="1034"/>
      <c r="K23" s="1034"/>
      <c r="L23" s="1034"/>
      <c r="M23" s="1034"/>
      <c r="N23" s="1034"/>
      <c r="O23" s="1034"/>
      <c r="P23" s="1034"/>
      <c r="Q23" s="1045"/>
      <c r="R23" s="1301"/>
    </row>
    <row r="24" spans="1:18" x14ac:dyDescent="0.2">
      <c r="B24" s="1302"/>
      <c r="D24" s="1045"/>
      <c r="E24" s="1045"/>
      <c r="F24" s="1045"/>
      <c r="G24" s="1045"/>
      <c r="H24" s="1045"/>
      <c r="I24" s="1045"/>
      <c r="J24" s="1045"/>
      <c r="K24" s="1045"/>
      <c r="L24" s="1045"/>
      <c r="M24" s="1045"/>
      <c r="N24" s="1045"/>
      <c r="O24" s="1045"/>
      <c r="P24" s="1045"/>
    </row>
    <row r="25" spans="1:18" x14ac:dyDescent="0.2">
      <c r="B25" s="1302"/>
      <c r="D25" s="1045"/>
      <c r="E25" s="1045"/>
      <c r="F25" s="1045"/>
      <c r="G25" s="1045"/>
      <c r="H25" s="1045"/>
      <c r="I25" s="1045"/>
      <c r="J25" s="1045"/>
      <c r="K25" s="1045"/>
      <c r="L25" s="1045"/>
      <c r="M25" s="1045"/>
      <c r="N25" s="1045"/>
      <c r="O25" s="1045"/>
      <c r="P25" s="1045"/>
    </row>
    <row r="26" spans="1:18" x14ac:dyDescent="0.2">
      <c r="D26" s="1045"/>
      <c r="E26" s="1045"/>
      <c r="F26" s="1045"/>
      <c r="G26" s="1045"/>
      <c r="H26" s="1045"/>
      <c r="I26" s="1045"/>
      <c r="J26" s="1045"/>
      <c r="K26" s="1045"/>
      <c r="L26" s="1045"/>
      <c r="M26" s="1045"/>
      <c r="N26" s="1045"/>
      <c r="O26" s="1045"/>
      <c r="P26" s="1045"/>
    </row>
    <row r="27" spans="1:18" x14ac:dyDescent="0.2">
      <c r="D27" s="1045"/>
      <c r="E27" s="1045"/>
      <c r="F27" s="1045"/>
      <c r="G27" s="1045"/>
      <c r="H27" s="1045"/>
      <c r="I27" s="1045"/>
      <c r="J27" s="1045"/>
      <c r="K27" s="1045"/>
      <c r="L27" s="1045"/>
      <c r="M27" s="1045"/>
      <c r="N27" s="1045"/>
      <c r="O27" s="1045"/>
      <c r="P27" s="1045"/>
    </row>
    <row r="28" spans="1:18" x14ac:dyDescent="0.2">
      <c r="D28" s="1045"/>
      <c r="E28" s="1045"/>
      <c r="F28" s="1045"/>
      <c r="G28" s="1045"/>
      <c r="H28" s="1045"/>
      <c r="I28" s="1045"/>
      <c r="J28" s="1045"/>
      <c r="K28" s="1045"/>
      <c r="L28" s="1045"/>
      <c r="M28" s="1045"/>
      <c r="N28" s="1045"/>
      <c r="O28" s="1045"/>
      <c r="P28" s="1045"/>
    </row>
    <row r="29" spans="1:18" x14ac:dyDescent="0.2">
      <c r="D29" s="1045"/>
      <c r="E29" s="1045"/>
      <c r="F29" s="1045"/>
      <c r="G29" s="1045"/>
      <c r="H29" s="1045"/>
      <c r="I29" s="1045"/>
      <c r="J29" s="1045"/>
      <c r="K29" s="1045"/>
      <c r="L29" s="1045"/>
      <c r="M29" s="1045"/>
      <c r="N29" s="1045"/>
      <c r="O29" s="1045"/>
      <c r="P29" s="1045"/>
    </row>
    <row r="30" spans="1:18" x14ac:dyDescent="0.2">
      <c r="D30" s="1045"/>
      <c r="E30" s="1045"/>
      <c r="F30" s="1045"/>
      <c r="G30" s="1045"/>
      <c r="H30" s="1045"/>
      <c r="I30" s="1045"/>
      <c r="J30" s="1045"/>
      <c r="K30" s="1045"/>
      <c r="L30" s="1045"/>
      <c r="M30" s="1045"/>
      <c r="N30" s="1045"/>
      <c r="O30" s="1045"/>
      <c r="P30" s="1045"/>
    </row>
    <row r="31" spans="1:18" x14ac:dyDescent="0.2">
      <c r="D31" s="1045"/>
      <c r="E31" s="1045"/>
      <c r="F31" s="1045"/>
      <c r="G31" s="1045"/>
      <c r="H31" s="1045"/>
      <c r="I31" s="1045"/>
      <c r="J31" s="1045"/>
      <c r="K31" s="1045"/>
      <c r="L31" s="1045"/>
      <c r="M31" s="1045"/>
      <c r="N31" s="1045"/>
      <c r="O31" s="1045"/>
      <c r="P31" s="1045"/>
    </row>
    <row r="32" spans="1:18" x14ac:dyDescent="0.2">
      <c r="D32" s="1045"/>
      <c r="E32" s="1045"/>
      <c r="F32" s="1045"/>
      <c r="G32" s="1045"/>
      <c r="H32" s="1045"/>
      <c r="I32" s="1045"/>
      <c r="J32" s="1045"/>
      <c r="K32" s="1045"/>
      <c r="L32" s="1045"/>
      <c r="M32" s="1045"/>
      <c r="N32" s="1045"/>
      <c r="O32" s="1045"/>
      <c r="P32" s="1045"/>
    </row>
    <row r="33" spans="4:16" x14ac:dyDescent="0.2">
      <c r="D33" s="1045"/>
      <c r="E33" s="1045"/>
      <c r="F33" s="1045"/>
      <c r="G33" s="1045"/>
      <c r="H33" s="1045"/>
      <c r="I33" s="1045"/>
      <c r="J33" s="1045"/>
      <c r="K33" s="1045"/>
      <c r="L33" s="1045"/>
      <c r="M33" s="1045"/>
      <c r="N33" s="1045"/>
      <c r="O33" s="1045"/>
      <c r="P33" s="1045"/>
    </row>
    <row r="34" spans="4:16" x14ac:dyDescent="0.2">
      <c r="D34" s="1045"/>
      <c r="E34" s="1045"/>
      <c r="F34" s="1045"/>
      <c r="G34" s="1045"/>
      <c r="H34" s="1045"/>
      <c r="I34" s="1045"/>
      <c r="J34" s="1045"/>
      <c r="K34" s="1045"/>
      <c r="L34" s="1045"/>
      <c r="M34" s="1045"/>
      <c r="N34" s="1045"/>
      <c r="O34" s="1045"/>
      <c r="P34" s="1045"/>
    </row>
    <row r="35" spans="4:16" x14ac:dyDescent="0.2">
      <c r="D35" s="1045"/>
      <c r="E35" s="1045"/>
      <c r="F35" s="1045"/>
      <c r="G35" s="1045"/>
      <c r="H35" s="1045"/>
      <c r="I35" s="1045"/>
      <c r="J35" s="1045"/>
      <c r="K35" s="1045"/>
      <c r="L35" s="1045"/>
      <c r="M35" s="1045"/>
      <c r="N35" s="1045"/>
      <c r="O35" s="1045"/>
      <c r="P35" s="1045"/>
    </row>
    <row r="36" spans="4:16" x14ac:dyDescent="0.2">
      <c r="D36" s="1045"/>
      <c r="E36" s="1045"/>
      <c r="F36" s="1045"/>
      <c r="G36" s="1045"/>
      <c r="H36" s="1045"/>
      <c r="I36" s="1045"/>
      <c r="J36" s="1045"/>
      <c r="K36" s="1045"/>
      <c r="L36" s="1045"/>
      <c r="M36" s="1045"/>
      <c r="N36" s="1045"/>
      <c r="O36" s="1045"/>
      <c r="P36" s="1045"/>
    </row>
    <row r="37" spans="4:16" x14ac:dyDescent="0.2">
      <c r="D37" s="1045"/>
      <c r="E37" s="1045"/>
      <c r="F37" s="1045"/>
      <c r="G37" s="1045"/>
      <c r="H37" s="1045"/>
      <c r="I37" s="1045"/>
      <c r="J37" s="1045"/>
      <c r="K37" s="1045"/>
      <c r="L37" s="1045"/>
      <c r="M37" s="1045"/>
      <c r="N37" s="1045"/>
      <c r="O37" s="1045"/>
      <c r="P37" s="1045"/>
    </row>
    <row r="38" spans="4:16" x14ac:dyDescent="0.2">
      <c r="D38" s="1045"/>
      <c r="E38" s="1045"/>
      <c r="F38" s="1045"/>
      <c r="G38" s="1045"/>
      <c r="H38" s="1045"/>
      <c r="I38" s="1045"/>
      <c r="J38" s="1045"/>
      <c r="K38" s="1045"/>
      <c r="L38" s="1045"/>
      <c r="M38" s="1045"/>
      <c r="N38" s="1045"/>
      <c r="O38" s="1045"/>
      <c r="P38" s="1045"/>
    </row>
    <row r="39" spans="4:16" x14ac:dyDescent="0.2">
      <c r="D39" s="1045"/>
      <c r="E39" s="1045"/>
      <c r="F39" s="1045"/>
      <c r="G39" s="1045"/>
      <c r="H39" s="1045"/>
      <c r="I39" s="1045"/>
      <c r="J39" s="1045"/>
      <c r="K39" s="1045"/>
      <c r="L39" s="1045"/>
      <c r="M39" s="1045"/>
      <c r="N39" s="1045"/>
      <c r="O39" s="1045"/>
      <c r="P39" s="1045"/>
    </row>
    <row r="40" spans="4:16" x14ac:dyDescent="0.2">
      <c r="D40" s="1045"/>
      <c r="E40" s="1045"/>
      <c r="F40" s="1045"/>
      <c r="G40" s="1045"/>
      <c r="H40" s="1045"/>
      <c r="I40" s="1045"/>
      <c r="J40" s="1045"/>
      <c r="K40" s="1045"/>
      <c r="L40" s="1045"/>
      <c r="M40" s="1045"/>
      <c r="N40" s="1045"/>
      <c r="O40" s="1045"/>
      <c r="P40" s="1045"/>
    </row>
    <row r="41" spans="4:16" x14ac:dyDescent="0.2">
      <c r="D41" s="1045"/>
      <c r="E41" s="1045"/>
      <c r="F41" s="1045"/>
      <c r="G41" s="1045"/>
      <c r="H41" s="1045"/>
      <c r="I41" s="1045"/>
      <c r="J41" s="1045"/>
      <c r="K41" s="1045"/>
      <c r="L41" s="1045"/>
      <c r="M41" s="1045"/>
      <c r="N41" s="1045"/>
      <c r="O41" s="1045"/>
      <c r="P41" s="1045"/>
    </row>
    <row r="42" spans="4:16" x14ac:dyDescent="0.2">
      <c r="D42" s="1045"/>
      <c r="E42" s="1045"/>
      <c r="F42" s="1045"/>
      <c r="G42" s="1045"/>
      <c r="H42" s="1045"/>
      <c r="I42" s="1045"/>
      <c r="J42" s="1045"/>
      <c r="K42" s="1045"/>
      <c r="L42" s="1045"/>
      <c r="M42" s="1045"/>
      <c r="N42" s="1045"/>
      <c r="O42" s="1045"/>
      <c r="P42" s="1045"/>
    </row>
    <row r="43" spans="4:16" x14ac:dyDescent="0.2">
      <c r="D43" s="1045"/>
      <c r="E43" s="1045"/>
      <c r="F43" s="1045"/>
      <c r="G43" s="1045"/>
      <c r="H43" s="1045"/>
      <c r="I43" s="1045"/>
      <c r="J43" s="1045"/>
      <c r="K43" s="1045"/>
      <c r="L43" s="1045"/>
      <c r="M43" s="1045"/>
      <c r="N43" s="1045"/>
      <c r="O43" s="1045"/>
      <c r="P43" s="1045"/>
    </row>
    <row r="44" spans="4:16" x14ac:dyDescent="0.2">
      <c r="D44" s="1045"/>
      <c r="E44" s="1045"/>
      <c r="F44" s="1045"/>
      <c r="G44" s="1045"/>
      <c r="H44" s="1045"/>
      <c r="I44" s="1045"/>
      <c r="J44" s="1045"/>
      <c r="K44" s="1045"/>
      <c r="L44" s="1045"/>
      <c r="M44" s="1045"/>
      <c r="N44" s="1045"/>
      <c r="O44" s="1045"/>
      <c r="P44" s="1045"/>
    </row>
    <row r="45" spans="4:16" x14ac:dyDescent="0.2">
      <c r="D45" s="1045"/>
      <c r="E45" s="1045"/>
      <c r="F45" s="1045"/>
      <c r="G45" s="1045"/>
      <c r="H45" s="1045"/>
      <c r="I45" s="1045"/>
      <c r="J45" s="1045"/>
      <c r="K45" s="1045"/>
      <c r="L45" s="1045"/>
      <c r="M45" s="1045"/>
      <c r="N45" s="1045"/>
      <c r="O45" s="1045"/>
      <c r="P45" s="1045"/>
    </row>
    <row r="46" spans="4:16" x14ac:dyDescent="0.2">
      <c r="D46" s="1045"/>
      <c r="E46" s="1045"/>
      <c r="F46" s="1045"/>
      <c r="G46" s="1045"/>
      <c r="H46" s="1045"/>
      <c r="I46" s="1045"/>
      <c r="J46" s="1045"/>
      <c r="K46" s="1045"/>
      <c r="L46" s="1045"/>
      <c r="M46" s="1045"/>
      <c r="N46" s="1045"/>
      <c r="O46" s="1045"/>
      <c r="P46" s="1045"/>
    </row>
    <row r="47" spans="4:16" x14ac:dyDescent="0.2">
      <c r="D47" s="1045"/>
      <c r="E47" s="1045"/>
      <c r="F47" s="1045"/>
      <c r="G47" s="1045"/>
      <c r="H47" s="1045"/>
      <c r="I47" s="1045"/>
      <c r="J47" s="1045"/>
      <c r="K47" s="1045"/>
      <c r="L47" s="1045"/>
      <c r="M47" s="1045"/>
      <c r="N47" s="1045"/>
      <c r="O47" s="1045"/>
      <c r="P47" s="1045"/>
    </row>
    <row r="48" spans="4:16" x14ac:dyDescent="0.2">
      <c r="D48" s="1045"/>
      <c r="E48" s="1045"/>
      <c r="F48" s="1045"/>
      <c r="G48" s="1045"/>
      <c r="H48" s="1045"/>
      <c r="I48" s="1045"/>
      <c r="J48" s="1045"/>
      <c r="K48" s="1045"/>
      <c r="L48" s="1045"/>
      <c r="M48" s="1045"/>
      <c r="N48" s="1045"/>
      <c r="O48" s="1045"/>
      <c r="P48" s="1045"/>
    </row>
    <row r="49" spans="4:16" x14ac:dyDescent="0.2">
      <c r="D49" s="1045"/>
      <c r="E49" s="1045"/>
      <c r="F49" s="1045"/>
      <c r="G49" s="1045"/>
      <c r="H49" s="1045"/>
      <c r="I49" s="1045"/>
      <c r="J49" s="1045"/>
      <c r="K49" s="1045"/>
      <c r="L49" s="1045"/>
      <c r="M49" s="1045"/>
      <c r="N49" s="1045"/>
      <c r="O49" s="1045"/>
      <c r="P49" s="1045"/>
    </row>
    <row r="50" spans="4:16" x14ac:dyDescent="0.2">
      <c r="D50" s="1045"/>
      <c r="E50" s="1045"/>
      <c r="F50" s="1045"/>
      <c r="G50" s="1045"/>
      <c r="H50" s="1045"/>
      <c r="I50" s="1045"/>
      <c r="J50" s="1045"/>
      <c r="K50" s="1045"/>
      <c r="L50" s="1045"/>
      <c r="M50" s="1045"/>
      <c r="N50" s="1045"/>
      <c r="O50" s="1045"/>
      <c r="P50" s="1045"/>
    </row>
    <row r="51" spans="4:16" x14ac:dyDescent="0.2">
      <c r="D51" s="1045"/>
      <c r="E51" s="1045"/>
      <c r="F51" s="1045"/>
      <c r="G51" s="1045"/>
      <c r="H51" s="1045"/>
      <c r="I51" s="1045"/>
      <c r="J51" s="1045"/>
      <c r="K51" s="1045"/>
      <c r="L51" s="1045"/>
      <c r="M51" s="1045"/>
      <c r="N51" s="1045"/>
      <c r="O51" s="1045"/>
      <c r="P51" s="1045"/>
    </row>
    <row r="52" spans="4:16" x14ac:dyDescent="0.2">
      <c r="D52" s="1045"/>
      <c r="E52" s="1045"/>
      <c r="F52" s="1045"/>
      <c r="G52" s="1045"/>
      <c r="H52" s="1045"/>
      <c r="I52" s="1045"/>
      <c r="J52" s="1045"/>
      <c r="K52" s="1045"/>
      <c r="L52" s="1045"/>
      <c r="M52" s="1045"/>
      <c r="N52" s="1045"/>
      <c r="O52" s="1045"/>
      <c r="P52" s="1045"/>
    </row>
    <row r="53" spans="4:16" x14ac:dyDescent="0.2">
      <c r="D53" s="1045"/>
      <c r="E53" s="1045"/>
      <c r="F53" s="1045"/>
      <c r="G53" s="1045"/>
      <c r="H53" s="1045"/>
      <c r="I53" s="1045"/>
      <c r="J53" s="1045"/>
      <c r="K53" s="1045"/>
      <c r="L53" s="1045"/>
      <c r="M53" s="1045"/>
      <c r="N53" s="1045"/>
      <c r="O53" s="1045"/>
      <c r="P53" s="1045"/>
    </row>
    <row r="54" spans="4:16" x14ac:dyDescent="0.2">
      <c r="D54" s="1045"/>
      <c r="E54" s="1045"/>
      <c r="F54" s="1045"/>
      <c r="G54" s="1045"/>
      <c r="H54" s="1045"/>
      <c r="I54" s="1045"/>
      <c r="J54" s="1045"/>
      <c r="K54" s="1045"/>
      <c r="L54" s="1045"/>
      <c r="M54" s="1045"/>
      <c r="N54" s="1045"/>
      <c r="O54" s="1045"/>
      <c r="P54" s="1045"/>
    </row>
    <row r="55" spans="4:16" x14ac:dyDescent="0.2">
      <c r="D55" s="1045"/>
      <c r="E55" s="1045"/>
      <c r="F55" s="1045"/>
      <c r="G55" s="1045"/>
      <c r="H55" s="1045"/>
      <c r="I55" s="1045"/>
      <c r="J55" s="1045"/>
      <c r="K55" s="1045"/>
      <c r="L55" s="1045"/>
      <c r="M55" s="1045"/>
      <c r="N55" s="1045"/>
      <c r="O55" s="1045"/>
      <c r="P55" s="1045"/>
    </row>
    <row r="56" spans="4:16" x14ac:dyDescent="0.2">
      <c r="D56" s="1045"/>
      <c r="E56" s="1045"/>
      <c r="F56" s="1045"/>
      <c r="G56" s="1045"/>
      <c r="H56" s="1045"/>
      <c r="I56" s="1045"/>
      <c r="J56" s="1045"/>
      <c r="K56" s="1045"/>
      <c r="L56" s="1045"/>
      <c r="M56" s="1045"/>
      <c r="N56" s="1045"/>
      <c r="O56" s="1045"/>
      <c r="P56" s="1045"/>
    </row>
    <row r="57" spans="4:16" x14ac:dyDescent="0.2">
      <c r="D57" s="1045"/>
      <c r="E57" s="1045"/>
      <c r="F57" s="1045"/>
      <c r="G57" s="1045"/>
      <c r="H57" s="1045"/>
      <c r="I57" s="1045"/>
      <c r="J57" s="1045"/>
      <c r="K57" s="1045"/>
      <c r="L57" s="1045"/>
      <c r="M57" s="1045"/>
      <c r="N57" s="1045"/>
      <c r="O57" s="1045"/>
      <c r="P57" s="1045"/>
    </row>
    <row r="58" spans="4:16" x14ac:dyDescent="0.2">
      <c r="D58" s="1045"/>
      <c r="E58" s="1045"/>
      <c r="F58" s="1045"/>
      <c r="G58" s="1045"/>
      <c r="H58" s="1045"/>
      <c r="I58" s="1045"/>
      <c r="J58" s="1045"/>
      <c r="K58" s="1045"/>
      <c r="L58" s="1045"/>
      <c r="M58" s="1045"/>
      <c r="N58" s="1045"/>
      <c r="O58" s="1045"/>
      <c r="P58" s="1045"/>
    </row>
    <row r="59" spans="4:16" x14ac:dyDescent="0.2">
      <c r="D59" s="1045"/>
      <c r="E59" s="1045"/>
      <c r="F59" s="1045"/>
      <c r="G59" s="1045"/>
      <c r="H59" s="1045"/>
      <c r="I59" s="1045"/>
      <c r="J59" s="1045"/>
      <c r="K59" s="1045"/>
      <c r="L59" s="1045"/>
      <c r="M59" s="1045"/>
      <c r="N59" s="1045"/>
      <c r="O59" s="1045"/>
      <c r="P59" s="1045"/>
    </row>
    <row r="60" spans="4:16" x14ac:dyDescent="0.2">
      <c r="D60" s="1045"/>
      <c r="E60" s="1045"/>
      <c r="F60" s="1045"/>
      <c r="G60" s="1045"/>
      <c r="H60" s="1045"/>
      <c r="I60" s="1045"/>
      <c r="J60" s="1045"/>
      <c r="K60" s="1045"/>
      <c r="L60" s="1045"/>
      <c r="M60" s="1045"/>
      <c r="N60" s="1045"/>
      <c r="O60" s="1045"/>
      <c r="P60" s="1045"/>
    </row>
    <row r="61" spans="4:16" x14ac:dyDescent="0.2">
      <c r="D61" s="1045"/>
      <c r="E61" s="1045"/>
      <c r="F61" s="1045"/>
      <c r="G61" s="1045"/>
      <c r="H61" s="1045"/>
      <c r="I61" s="1045"/>
      <c r="J61" s="1045"/>
      <c r="K61" s="1045"/>
      <c r="L61" s="1045"/>
      <c r="M61" s="1045"/>
      <c r="N61" s="1045"/>
      <c r="O61" s="1045"/>
      <c r="P61" s="1045"/>
    </row>
    <row r="62" spans="4:16" x14ac:dyDescent="0.2">
      <c r="D62" s="1045"/>
      <c r="E62" s="1045"/>
      <c r="F62" s="1045"/>
      <c r="G62" s="1045"/>
      <c r="H62" s="1045"/>
      <c r="I62" s="1045"/>
      <c r="J62" s="1045"/>
      <c r="K62" s="1045"/>
      <c r="L62" s="1045"/>
      <c r="M62" s="1045"/>
      <c r="N62" s="1045"/>
      <c r="O62" s="1045"/>
      <c r="P62" s="1045"/>
    </row>
    <row r="63" spans="4:16" x14ac:dyDescent="0.2">
      <c r="D63" s="1045"/>
      <c r="E63" s="1045"/>
      <c r="F63" s="1045"/>
      <c r="G63" s="1045"/>
      <c r="H63" s="1045"/>
      <c r="I63" s="1045"/>
      <c r="J63" s="1045"/>
      <c r="K63" s="1045"/>
      <c r="L63" s="1045"/>
      <c r="M63" s="1045"/>
      <c r="N63" s="1045"/>
      <c r="O63" s="1045"/>
      <c r="P63" s="1045"/>
    </row>
    <row r="64" spans="4:16" x14ac:dyDescent="0.2">
      <c r="D64" s="1045"/>
      <c r="E64" s="1045"/>
      <c r="F64" s="1045"/>
      <c r="G64" s="1045"/>
      <c r="H64" s="1045"/>
      <c r="I64" s="1045"/>
      <c r="J64" s="1045"/>
      <c r="K64" s="1045"/>
      <c r="L64" s="1045"/>
      <c r="M64" s="1045"/>
      <c r="N64" s="1045"/>
      <c r="O64" s="1045"/>
      <c r="P64" s="1045"/>
    </row>
    <row r="65" spans="4:16" x14ac:dyDescent="0.2">
      <c r="D65" s="1045"/>
      <c r="E65" s="1045"/>
      <c r="F65" s="1045"/>
      <c r="G65" s="1045"/>
      <c r="H65" s="1045"/>
      <c r="I65" s="1045"/>
      <c r="J65" s="1045"/>
      <c r="K65" s="1045"/>
      <c r="L65" s="1045"/>
      <c r="M65" s="1045"/>
      <c r="N65" s="1045"/>
      <c r="O65" s="1045"/>
      <c r="P65" s="1045"/>
    </row>
    <row r="66" spans="4:16" x14ac:dyDescent="0.2">
      <c r="D66" s="1045"/>
      <c r="E66" s="1045"/>
      <c r="F66" s="1045"/>
      <c r="G66" s="1045"/>
      <c r="H66" s="1045"/>
      <c r="I66" s="1045"/>
      <c r="J66" s="1045"/>
      <c r="K66" s="1045"/>
      <c r="L66" s="1045"/>
      <c r="M66" s="1045"/>
      <c r="N66" s="1045"/>
      <c r="O66" s="1045"/>
      <c r="P66" s="1045"/>
    </row>
    <row r="67" spans="4:16" x14ac:dyDescent="0.2">
      <c r="D67" s="1045"/>
      <c r="E67" s="1045"/>
      <c r="F67" s="1045"/>
      <c r="G67" s="1045"/>
      <c r="H67" s="1045"/>
      <c r="I67" s="1045"/>
      <c r="J67" s="1045"/>
      <c r="K67" s="1045"/>
      <c r="L67" s="1045"/>
      <c r="M67" s="1045"/>
      <c r="N67" s="1045"/>
      <c r="O67" s="1045"/>
      <c r="P67" s="1045"/>
    </row>
    <row r="68" spans="4:16" x14ac:dyDescent="0.2">
      <c r="D68" s="1045"/>
      <c r="E68" s="1045"/>
      <c r="F68" s="1045"/>
      <c r="G68" s="1045"/>
      <c r="H68" s="1045"/>
      <c r="I68" s="1045"/>
      <c r="J68" s="1045"/>
      <c r="K68" s="1045"/>
      <c r="L68" s="1045"/>
      <c r="M68" s="1045"/>
      <c r="N68" s="1045"/>
      <c r="O68" s="1045"/>
      <c r="P68" s="1045"/>
    </row>
    <row r="69" spans="4:16" x14ac:dyDescent="0.2">
      <c r="D69" s="1045"/>
      <c r="E69" s="1045"/>
      <c r="F69" s="1045"/>
      <c r="G69" s="1045"/>
      <c r="H69" s="1045"/>
      <c r="I69" s="1045"/>
      <c r="J69" s="1045"/>
      <c r="K69" s="1045"/>
      <c r="L69" s="1045"/>
      <c r="M69" s="1045"/>
      <c r="N69" s="1045"/>
      <c r="O69" s="1045"/>
      <c r="P69" s="1045"/>
    </row>
    <row r="70" spans="4:16" x14ac:dyDescent="0.2">
      <c r="D70" s="1045"/>
      <c r="E70" s="1045"/>
      <c r="F70" s="1045"/>
      <c r="G70" s="1045"/>
      <c r="H70" s="1045"/>
      <c r="I70" s="1045"/>
      <c r="J70" s="1045"/>
      <c r="K70" s="1045"/>
      <c r="L70" s="1045"/>
      <c r="M70" s="1045"/>
      <c r="N70" s="1045"/>
      <c r="O70" s="1045"/>
      <c r="P70" s="1045"/>
    </row>
    <row r="71" spans="4:16" x14ac:dyDescent="0.2">
      <c r="D71" s="1045"/>
      <c r="E71" s="1045"/>
      <c r="F71" s="1045"/>
      <c r="G71" s="1045"/>
      <c r="H71" s="1045"/>
      <c r="I71" s="1045"/>
      <c r="J71" s="1045"/>
      <c r="K71" s="1045"/>
      <c r="L71" s="1045"/>
      <c r="M71" s="1045"/>
      <c r="N71" s="1045"/>
      <c r="O71" s="1045"/>
      <c r="P71" s="1045"/>
    </row>
    <row r="72" spans="4:16" x14ac:dyDescent="0.2">
      <c r="D72" s="1045"/>
      <c r="E72" s="1045"/>
      <c r="F72" s="1045"/>
      <c r="G72" s="1045"/>
      <c r="H72" s="1045"/>
      <c r="I72" s="1045"/>
      <c r="J72" s="1045"/>
      <c r="K72" s="1045"/>
      <c r="L72" s="1045"/>
      <c r="M72" s="1045"/>
      <c r="N72" s="1045"/>
      <c r="O72" s="1045"/>
      <c r="P72" s="1045"/>
    </row>
    <row r="73" spans="4:16" x14ac:dyDescent="0.2">
      <c r="D73" s="1045"/>
      <c r="E73" s="1045"/>
      <c r="F73" s="1045"/>
      <c r="G73" s="1045"/>
      <c r="H73" s="1045"/>
      <c r="I73" s="1045"/>
      <c r="J73" s="1045"/>
      <c r="K73" s="1045"/>
      <c r="L73" s="1045"/>
      <c r="M73" s="1045"/>
      <c r="N73" s="1045"/>
      <c r="O73" s="1045"/>
      <c r="P73" s="1045"/>
    </row>
    <row r="74" spans="4:16" x14ac:dyDescent="0.2">
      <c r="D74" s="1045"/>
      <c r="E74" s="1045"/>
      <c r="F74" s="1045"/>
      <c r="G74" s="1045"/>
      <c r="H74" s="1045"/>
      <c r="I74" s="1045"/>
      <c r="J74" s="1045"/>
      <c r="K74" s="1045"/>
      <c r="L74" s="1045"/>
      <c r="M74" s="1045"/>
      <c r="N74" s="1045"/>
      <c r="O74" s="1045"/>
      <c r="P74" s="1045"/>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O52"/>
  <sheetViews>
    <sheetView topLeftCell="A10" workbookViewId="0">
      <selection activeCell="C35" sqref="C35"/>
    </sheetView>
  </sheetViews>
  <sheetFormatPr defaultColWidth="10.28515625" defaultRowHeight="12.75" x14ac:dyDescent="0.2"/>
  <cols>
    <col min="1" max="1" width="4" style="1076" customWidth="1"/>
    <col min="2" max="2" width="30" style="1362" customWidth="1"/>
    <col min="3" max="3" width="6.42578125" style="1026" bestFit="1" customWidth="1"/>
    <col min="4" max="5" width="12.85546875" style="1026" customWidth="1"/>
    <col min="6" max="9" width="14.5703125" style="1026" customWidth="1"/>
    <col min="10" max="10" width="14.5703125" style="1036" customWidth="1"/>
    <col min="11" max="11" width="13" style="1026" customWidth="1"/>
    <col min="12" max="12" width="15.42578125" style="1026" customWidth="1"/>
    <col min="13" max="13" width="14.28515625" style="1026" customWidth="1"/>
    <col min="14" max="14" width="14.28515625" style="1026" bestFit="1" customWidth="1"/>
    <col min="15" max="15" width="17.7109375" style="1026" customWidth="1"/>
    <col min="16" max="16" width="16.85546875" style="1026" customWidth="1"/>
    <col min="17" max="17" width="22.140625" style="1026" customWidth="1"/>
    <col min="18" max="18" width="26.140625" style="1026" customWidth="1"/>
    <col min="19" max="19" width="18.85546875" style="1026" customWidth="1"/>
    <col min="20" max="20" width="25.5703125" style="1026" customWidth="1"/>
    <col min="21" max="21" width="21.5703125" style="1026" bestFit="1" customWidth="1"/>
    <col min="22" max="22" width="21.28515625" style="1026" customWidth="1"/>
    <col min="23" max="23" width="3.7109375" style="1026" customWidth="1"/>
    <col min="24" max="256" width="10.28515625" style="1026"/>
    <col min="257" max="257" width="4" style="1026" customWidth="1"/>
    <col min="258" max="258" width="30" style="1026" customWidth="1"/>
    <col min="259" max="259" width="6.42578125" style="1026" bestFit="1" customWidth="1"/>
    <col min="260" max="261" width="12.85546875" style="1026" customWidth="1"/>
    <col min="262" max="266" width="14.5703125" style="1026" customWidth="1"/>
    <col min="267" max="267" width="13" style="1026" customWidth="1"/>
    <col min="268" max="268" width="15.42578125" style="1026" customWidth="1"/>
    <col min="269" max="269" width="14.28515625" style="1026" customWidth="1"/>
    <col min="270" max="270" width="14.28515625" style="1026" bestFit="1" customWidth="1"/>
    <col min="271" max="271" width="17.7109375" style="1026" customWidth="1"/>
    <col min="272" max="272" width="16.85546875" style="1026" customWidth="1"/>
    <col min="273" max="273" width="22.140625" style="1026" customWidth="1"/>
    <col min="274" max="274" width="26.140625" style="1026" customWidth="1"/>
    <col min="275" max="275" width="18.85546875" style="1026" customWidth="1"/>
    <col min="276" max="276" width="25.5703125" style="1026" customWidth="1"/>
    <col min="277" max="277" width="21.5703125" style="1026" bestFit="1" customWidth="1"/>
    <col min="278" max="278" width="21.28515625" style="1026" customWidth="1"/>
    <col min="279" max="279" width="3.7109375" style="1026" customWidth="1"/>
    <col min="280" max="512" width="10.28515625" style="1026"/>
    <col min="513" max="513" width="4" style="1026" customWidth="1"/>
    <col min="514" max="514" width="30" style="1026" customWidth="1"/>
    <col min="515" max="515" width="6.42578125" style="1026" bestFit="1" customWidth="1"/>
    <col min="516" max="517" width="12.85546875" style="1026" customWidth="1"/>
    <col min="518" max="522" width="14.5703125" style="1026" customWidth="1"/>
    <col min="523" max="523" width="13" style="1026" customWidth="1"/>
    <col min="524" max="524" width="15.42578125" style="1026" customWidth="1"/>
    <col min="525" max="525" width="14.28515625" style="1026" customWidth="1"/>
    <col min="526" max="526" width="14.28515625" style="1026" bestFit="1" customWidth="1"/>
    <col min="527" max="527" width="17.7109375" style="1026" customWidth="1"/>
    <col min="528" max="528" width="16.85546875" style="1026" customWidth="1"/>
    <col min="529" max="529" width="22.140625" style="1026" customWidth="1"/>
    <col min="530" max="530" width="26.140625" style="1026" customWidth="1"/>
    <col min="531" max="531" width="18.85546875" style="1026" customWidth="1"/>
    <col min="532" max="532" width="25.5703125" style="1026" customWidth="1"/>
    <col min="533" max="533" width="21.5703125" style="1026" bestFit="1" customWidth="1"/>
    <col min="534" max="534" width="21.28515625" style="1026" customWidth="1"/>
    <col min="535" max="535" width="3.7109375" style="1026" customWidth="1"/>
    <col min="536" max="768" width="10.28515625" style="1026"/>
    <col min="769" max="769" width="4" style="1026" customWidth="1"/>
    <col min="770" max="770" width="30" style="1026" customWidth="1"/>
    <col min="771" max="771" width="6.42578125" style="1026" bestFit="1" customWidth="1"/>
    <col min="772" max="773" width="12.85546875" style="1026" customWidth="1"/>
    <col min="774" max="778" width="14.5703125" style="1026" customWidth="1"/>
    <col min="779" max="779" width="13" style="1026" customWidth="1"/>
    <col min="780" max="780" width="15.42578125" style="1026" customWidth="1"/>
    <col min="781" max="781" width="14.28515625" style="1026" customWidth="1"/>
    <col min="782" max="782" width="14.28515625" style="1026" bestFit="1" customWidth="1"/>
    <col min="783" max="783" width="17.7109375" style="1026" customWidth="1"/>
    <col min="784" max="784" width="16.85546875" style="1026" customWidth="1"/>
    <col min="785" max="785" width="22.140625" style="1026" customWidth="1"/>
    <col min="786" max="786" width="26.140625" style="1026" customWidth="1"/>
    <col min="787" max="787" width="18.85546875" style="1026" customWidth="1"/>
    <col min="788" max="788" width="25.5703125" style="1026" customWidth="1"/>
    <col min="789" max="789" width="21.5703125" style="1026" bestFit="1" customWidth="1"/>
    <col min="790" max="790" width="21.28515625" style="1026" customWidth="1"/>
    <col min="791" max="791" width="3.7109375" style="1026" customWidth="1"/>
    <col min="792" max="1024" width="10.28515625" style="1026"/>
    <col min="1025" max="1025" width="4" style="1026" customWidth="1"/>
    <col min="1026" max="1026" width="30" style="1026" customWidth="1"/>
    <col min="1027" max="1027" width="6.42578125" style="1026" bestFit="1" customWidth="1"/>
    <col min="1028" max="1029" width="12.85546875" style="1026" customWidth="1"/>
    <col min="1030" max="1034" width="14.5703125" style="1026" customWidth="1"/>
    <col min="1035" max="1035" width="13" style="1026" customWidth="1"/>
    <col min="1036" max="1036" width="15.42578125" style="1026" customWidth="1"/>
    <col min="1037" max="1037" width="14.28515625" style="1026" customWidth="1"/>
    <col min="1038" max="1038" width="14.28515625" style="1026" bestFit="1" customWidth="1"/>
    <col min="1039" max="1039" width="17.7109375" style="1026" customWidth="1"/>
    <col min="1040" max="1040" width="16.85546875" style="1026" customWidth="1"/>
    <col min="1041" max="1041" width="22.140625" style="1026" customWidth="1"/>
    <col min="1042" max="1042" width="26.140625" style="1026" customWidth="1"/>
    <col min="1043" max="1043" width="18.85546875" style="1026" customWidth="1"/>
    <col min="1044" max="1044" width="25.5703125" style="1026" customWidth="1"/>
    <col min="1045" max="1045" width="21.5703125" style="1026" bestFit="1" customWidth="1"/>
    <col min="1046" max="1046" width="21.28515625" style="1026" customWidth="1"/>
    <col min="1047" max="1047" width="3.7109375" style="1026" customWidth="1"/>
    <col min="1048" max="1280" width="10.28515625" style="1026"/>
    <col min="1281" max="1281" width="4" style="1026" customWidth="1"/>
    <col min="1282" max="1282" width="30" style="1026" customWidth="1"/>
    <col min="1283" max="1283" width="6.42578125" style="1026" bestFit="1" customWidth="1"/>
    <col min="1284" max="1285" width="12.85546875" style="1026" customWidth="1"/>
    <col min="1286" max="1290" width="14.5703125" style="1026" customWidth="1"/>
    <col min="1291" max="1291" width="13" style="1026" customWidth="1"/>
    <col min="1292" max="1292" width="15.42578125" style="1026" customWidth="1"/>
    <col min="1293" max="1293" width="14.28515625" style="1026" customWidth="1"/>
    <col min="1294" max="1294" width="14.28515625" style="1026" bestFit="1" customWidth="1"/>
    <col min="1295" max="1295" width="17.7109375" style="1026" customWidth="1"/>
    <col min="1296" max="1296" width="16.85546875" style="1026" customWidth="1"/>
    <col min="1297" max="1297" width="22.140625" style="1026" customWidth="1"/>
    <col min="1298" max="1298" width="26.140625" style="1026" customWidth="1"/>
    <col min="1299" max="1299" width="18.85546875" style="1026" customWidth="1"/>
    <col min="1300" max="1300" width="25.5703125" style="1026" customWidth="1"/>
    <col min="1301" max="1301" width="21.5703125" style="1026" bestFit="1" customWidth="1"/>
    <col min="1302" max="1302" width="21.28515625" style="1026" customWidth="1"/>
    <col min="1303" max="1303" width="3.7109375" style="1026" customWidth="1"/>
    <col min="1304" max="1536" width="10.28515625" style="1026"/>
    <col min="1537" max="1537" width="4" style="1026" customWidth="1"/>
    <col min="1538" max="1538" width="30" style="1026" customWidth="1"/>
    <col min="1539" max="1539" width="6.42578125" style="1026" bestFit="1" customWidth="1"/>
    <col min="1540" max="1541" width="12.85546875" style="1026" customWidth="1"/>
    <col min="1542" max="1546" width="14.5703125" style="1026" customWidth="1"/>
    <col min="1547" max="1547" width="13" style="1026" customWidth="1"/>
    <col min="1548" max="1548" width="15.42578125" style="1026" customWidth="1"/>
    <col min="1549" max="1549" width="14.28515625" style="1026" customWidth="1"/>
    <col min="1550" max="1550" width="14.28515625" style="1026" bestFit="1" customWidth="1"/>
    <col min="1551" max="1551" width="17.7109375" style="1026" customWidth="1"/>
    <col min="1552" max="1552" width="16.85546875" style="1026" customWidth="1"/>
    <col min="1553" max="1553" width="22.140625" style="1026" customWidth="1"/>
    <col min="1554" max="1554" width="26.140625" style="1026" customWidth="1"/>
    <col min="1555" max="1555" width="18.85546875" style="1026" customWidth="1"/>
    <col min="1556" max="1556" width="25.5703125" style="1026" customWidth="1"/>
    <col min="1557" max="1557" width="21.5703125" style="1026" bestFit="1" customWidth="1"/>
    <col min="1558" max="1558" width="21.28515625" style="1026" customWidth="1"/>
    <col min="1559" max="1559" width="3.7109375" style="1026" customWidth="1"/>
    <col min="1560" max="1792" width="10.28515625" style="1026"/>
    <col min="1793" max="1793" width="4" style="1026" customWidth="1"/>
    <col min="1794" max="1794" width="30" style="1026" customWidth="1"/>
    <col min="1795" max="1795" width="6.42578125" style="1026" bestFit="1" customWidth="1"/>
    <col min="1796" max="1797" width="12.85546875" style="1026" customWidth="1"/>
    <col min="1798" max="1802" width="14.5703125" style="1026" customWidth="1"/>
    <col min="1803" max="1803" width="13" style="1026" customWidth="1"/>
    <col min="1804" max="1804" width="15.42578125" style="1026" customWidth="1"/>
    <col min="1805" max="1805" width="14.28515625" style="1026" customWidth="1"/>
    <col min="1806" max="1806" width="14.28515625" style="1026" bestFit="1" customWidth="1"/>
    <col min="1807" max="1807" width="17.7109375" style="1026" customWidth="1"/>
    <col min="1808" max="1808" width="16.85546875" style="1026" customWidth="1"/>
    <col min="1809" max="1809" width="22.140625" style="1026" customWidth="1"/>
    <col min="1810" max="1810" width="26.140625" style="1026" customWidth="1"/>
    <col min="1811" max="1811" width="18.85546875" style="1026" customWidth="1"/>
    <col min="1812" max="1812" width="25.5703125" style="1026" customWidth="1"/>
    <col min="1813" max="1813" width="21.5703125" style="1026" bestFit="1" customWidth="1"/>
    <col min="1814" max="1814" width="21.28515625" style="1026" customWidth="1"/>
    <col min="1815" max="1815" width="3.7109375" style="1026" customWidth="1"/>
    <col min="1816" max="2048" width="10.28515625" style="1026"/>
    <col min="2049" max="2049" width="4" style="1026" customWidth="1"/>
    <col min="2050" max="2050" width="30" style="1026" customWidth="1"/>
    <col min="2051" max="2051" width="6.42578125" style="1026" bestFit="1" customWidth="1"/>
    <col min="2052" max="2053" width="12.85546875" style="1026" customWidth="1"/>
    <col min="2054" max="2058" width="14.5703125" style="1026" customWidth="1"/>
    <col min="2059" max="2059" width="13" style="1026" customWidth="1"/>
    <col min="2060" max="2060" width="15.42578125" style="1026" customWidth="1"/>
    <col min="2061" max="2061" width="14.28515625" style="1026" customWidth="1"/>
    <col min="2062" max="2062" width="14.28515625" style="1026" bestFit="1" customWidth="1"/>
    <col min="2063" max="2063" width="17.7109375" style="1026" customWidth="1"/>
    <col min="2064" max="2064" width="16.85546875" style="1026" customWidth="1"/>
    <col min="2065" max="2065" width="22.140625" style="1026" customWidth="1"/>
    <col min="2066" max="2066" width="26.140625" style="1026" customWidth="1"/>
    <col min="2067" max="2067" width="18.85546875" style="1026" customWidth="1"/>
    <col min="2068" max="2068" width="25.5703125" style="1026" customWidth="1"/>
    <col min="2069" max="2069" width="21.5703125" style="1026" bestFit="1" customWidth="1"/>
    <col min="2070" max="2070" width="21.28515625" style="1026" customWidth="1"/>
    <col min="2071" max="2071" width="3.7109375" style="1026" customWidth="1"/>
    <col min="2072" max="2304" width="10.28515625" style="1026"/>
    <col min="2305" max="2305" width="4" style="1026" customWidth="1"/>
    <col min="2306" max="2306" width="30" style="1026" customWidth="1"/>
    <col min="2307" max="2307" width="6.42578125" style="1026" bestFit="1" customWidth="1"/>
    <col min="2308" max="2309" width="12.85546875" style="1026" customWidth="1"/>
    <col min="2310" max="2314" width="14.5703125" style="1026" customWidth="1"/>
    <col min="2315" max="2315" width="13" style="1026" customWidth="1"/>
    <col min="2316" max="2316" width="15.42578125" style="1026" customWidth="1"/>
    <col min="2317" max="2317" width="14.28515625" style="1026" customWidth="1"/>
    <col min="2318" max="2318" width="14.28515625" style="1026" bestFit="1" customWidth="1"/>
    <col min="2319" max="2319" width="17.7109375" style="1026" customWidth="1"/>
    <col min="2320" max="2320" width="16.85546875" style="1026" customWidth="1"/>
    <col min="2321" max="2321" width="22.140625" style="1026" customWidth="1"/>
    <col min="2322" max="2322" width="26.140625" style="1026" customWidth="1"/>
    <col min="2323" max="2323" width="18.85546875" style="1026" customWidth="1"/>
    <col min="2324" max="2324" width="25.5703125" style="1026" customWidth="1"/>
    <col min="2325" max="2325" width="21.5703125" style="1026" bestFit="1" customWidth="1"/>
    <col min="2326" max="2326" width="21.28515625" style="1026" customWidth="1"/>
    <col min="2327" max="2327" width="3.7109375" style="1026" customWidth="1"/>
    <col min="2328" max="2560" width="10.28515625" style="1026"/>
    <col min="2561" max="2561" width="4" style="1026" customWidth="1"/>
    <col min="2562" max="2562" width="30" style="1026" customWidth="1"/>
    <col min="2563" max="2563" width="6.42578125" style="1026" bestFit="1" customWidth="1"/>
    <col min="2564" max="2565" width="12.85546875" style="1026" customWidth="1"/>
    <col min="2566" max="2570" width="14.5703125" style="1026" customWidth="1"/>
    <col min="2571" max="2571" width="13" style="1026" customWidth="1"/>
    <col min="2572" max="2572" width="15.42578125" style="1026" customWidth="1"/>
    <col min="2573" max="2573" width="14.28515625" style="1026" customWidth="1"/>
    <col min="2574" max="2574" width="14.28515625" style="1026" bestFit="1" customWidth="1"/>
    <col min="2575" max="2575" width="17.7109375" style="1026" customWidth="1"/>
    <col min="2576" max="2576" width="16.85546875" style="1026" customWidth="1"/>
    <col min="2577" max="2577" width="22.140625" style="1026" customWidth="1"/>
    <col min="2578" max="2578" width="26.140625" style="1026" customWidth="1"/>
    <col min="2579" max="2579" width="18.85546875" style="1026" customWidth="1"/>
    <col min="2580" max="2580" width="25.5703125" style="1026" customWidth="1"/>
    <col min="2581" max="2581" width="21.5703125" style="1026" bestFit="1" customWidth="1"/>
    <col min="2582" max="2582" width="21.28515625" style="1026" customWidth="1"/>
    <col min="2583" max="2583" width="3.7109375" style="1026" customWidth="1"/>
    <col min="2584" max="2816" width="10.28515625" style="1026"/>
    <col min="2817" max="2817" width="4" style="1026" customWidth="1"/>
    <col min="2818" max="2818" width="30" style="1026" customWidth="1"/>
    <col min="2819" max="2819" width="6.42578125" style="1026" bestFit="1" customWidth="1"/>
    <col min="2820" max="2821" width="12.85546875" style="1026" customWidth="1"/>
    <col min="2822" max="2826" width="14.5703125" style="1026" customWidth="1"/>
    <col min="2827" max="2827" width="13" style="1026" customWidth="1"/>
    <col min="2828" max="2828" width="15.42578125" style="1026" customWidth="1"/>
    <col min="2829" max="2829" width="14.28515625" style="1026" customWidth="1"/>
    <col min="2830" max="2830" width="14.28515625" style="1026" bestFit="1" customWidth="1"/>
    <col min="2831" max="2831" width="17.7109375" style="1026" customWidth="1"/>
    <col min="2832" max="2832" width="16.85546875" style="1026" customWidth="1"/>
    <col min="2833" max="2833" width="22.140625" style="1026" customWidth="1"/>
    <col min="2834" max="2834" width="26.140625" style="1026" customWidth="1"/>
    <col min="2835" max="2835" width="18.85546875" style="1026" customWidth="1"/>
    <col min="2836" max="2836" width="25.5703125" style="1026" customWidth="1"/>
    <col min="2837" max="2837" width="21.5703125" style="1026" bestFit="1" customWidth="1"/>
    <col min="2838" max="2838" width="21.28515625" style="1026" customWidth="1"/>
    <col min="2839" max="2839" width="3.7109375" style="1026" customWidth="1"/>
    <col min="2840" max="3072" width="10.28515625" style="1026"/>
    <col min="3073" max="3073" width="4" style="1026" customWidth="1"/>
    <col min="3074" max="3074" width="30" style="1026" customWidth="1"/>
    <col min="3075" max="3075" width="6.42578125" style="1026" bestFit="1" customWidth="1"/>
    <col min="3076" max="3077" width="12.85546875" style="1026" customWidth="1"/>
    <col min="3078" max="3082" width="14.5703125" style="1026" customWidth="1"/>
    <col min="3083" max="3083" width="13" style="1026" customWidth="1"/>
    <col min="3084" max="3084" width="15.42578125" style="1026" customWidth="1"/>
    <col min="3085" max="3085" width="14.28515625" style="1026" customWidth="1"/>
    <col min="3086" max="3086" width="14.28515625" style="1026" bestFit="1" customWidth="1"/>
    <col min="3087" max="3087" width="17.7109375" style="1026" customWidth="1"/>
    <col min="3088" max="3088" width="16.85546875" style="1026" customWidth="1"/>
    <col min="3089" max="3089" width="22.140625" style="1026" customWidth="1"/>
    <col min="3090" max="3090" width="26.140625" style="1026" customWidth="1"/>
    <col min="3091" max="3091" width="18.85546875" style="1026" customWidth="1"/>
    <col min="3092" max="3092" width="25.5703125" style="1026" customWidth="1"/>
    <col min="3093" max="3093" width="21.5703125" style="1026" bestFit="1" customWidth="1"/>
    <col min="3094" max="3094" width="21.28515625" style="1026" customWidth="1"/>
    <col min="3095" max="3095" width="3.7109375" style="1026" customWidth="1"/>
    <col min="3096" max="3328" width="10.28515625" style="1026"/>
    <col min="3329" max="3329" width="4" style="1026" customWidth="1"/>
    <col min="3330" max="3330" width="30" style="1026" customWidth="1"/>
    <col min="3331" max="3331" width="6.42578125" style="1026" bestFit="1" customWidth="1"/>
    <col min="3332" max="3333" width="12.85546875" style="1026" customWidth="1"/>
    <col min="3334" max="3338" width="14.5703125" style="1026" customWidth="1"/>
    <col min="3339" max="3339" width="13" style="1026" customWidth="1"/>
    <col min="3340" max="3340" width="15.42578125" style="1026" customWidth="1"/>
    <col min="3341" max="3341" width="14.28515625" style="1026" customWidth="1"/>
    <col min="3342" max="3342" width="14.28515625" style="1026" bestFit="1" customWidth="1"/>
    <col min="3343" max="3343" width="17.7109375" style="1026" customWidth="1"/>
    <col min="3344" max="3344" width="16.85546875" style="1026" customWidth="1"/>
    <col min="3345" max="3345" width="22.140625" style="1026" customWidth="1"/>
    <col min="3346" max="3346" width="26.140625" style="1026" customWidth="1"/>
    <col min="3347" max="3347" width="18.85546875" style="1026" customWidth="1"/>
    <col min="3348" max="3348" width="25.5703125" style="1026" customWidth="1"/>
    <col min="3349" max="3349" width="21.5703125" style="1026" bestFit="1" customWidth="1"/>
    <col min="3350" max="3350" width="21.28515625" style="1026" customWidth="1"/>
    <col min="3351" max="3351" width="3.7109375" style="1026" customWidth="1"/>
    <col min="3352" max="3584" width="10.28515625" style="1026"/>
    <col min="3585" max="3585" width="4" style="1026" customWidth="1"/>
    <col min="3586" max="3586" width="30" style="1026" customWidth="1"/>
    <col min="3587" max="3587" width="6.42578125" style="1026" bestFit="1" customWidth="1"/>
    <col min="3588" max="3589" width="12.85546875" style="1026" customWidth="1"/>
    <col min="3590" max="3594" width="14.5703125" style="1026" customWidth="1"/>
    <col min="3595" max="3595" width="13" style="1026" customWidth="1"/>
    <col min="3596" max="3596" width="15.42578125" style="1026" customWidth="1"/>
    <col min="3597" max="3597" width="14.28515625" style="1026" customWidth="1"/>
    <col min="3598" max="3598" width="14.28515625" style="1026" bestFit="1" customWidth="1"/>
    <col min="3599" max="3599" width="17.7109375" style="1026" customWidth="1"/>
    <col min="3600" max="3600" width="16.85546875" style="1026" customWidth="1"/>
    <col min="3601" max="3601" width="22.140625" style="1026" customWidth="1"/>
    <col min="3602" max="3602" width="26.140625" style="1026" customWidth="1"/>
    <col min="3603" max="3603" width="18.85546875" style="1026" customWidth="1"/>
    <col min="3604" max="3604" width="25.5703125" style="1026" customWidth="1"/>
    <col min="3605" max="3605" width="21.5703125" style="1026" bestFit="1" customWidth="1"/>
    <col min="3606" max="3606" width="21.28515625" style="1026" customWidth="1"/>
    <col min="3607" max="3607" width="3.7109375" style="1026" customWidth="1"/>
    <col min="3608" max="3840" width="10.28515625" style="1026"/>
    <col min="3841" max="3841" width="4" style="1026" customWidth="1"/>
    <col min="3842" max="3842" width="30" style="1026" customWidth="1"/>
    <col min="3843" max="3843" width="6.42578125" style="1026" bestFit="1" customWidth="1"/>
    <col min="3844" max="3845" width="12.85546875" style="1026" customWidth="1"/>
    <col min="3846" max="3850" width="14.5703125" style="1026" customWidth="1"/>
    <col min="3851" max="3851" width="13" style="1026" customWidth="1"/>
    <col min="3852" max="3852" width="15.42578125" style="1026" customWidth="1"/>
    <col min="3853" max="3853" width="14.28515625" style="1026" customWidth="1"/>
    <col min="3854" max="3854" width="14.28515625" style="1026" bestFit="1" customWidth="1"/>
    <col min="3855" max="3855" width="17.7109375" style="1026" customWidth="1"/>
    <col min="3856" max="3856" width="16.85546875" style="1026" customWidth="1"/>
    <col min="3857" max="3857" width="22.140625" style="1026" customWidth="1"/>
    <col min="3858" max="3858" width="26.140625" style="1026" customWidth="1"/>
    <col min="3859" max="3859" width="18.85546875" style="1026" customWidth="1"/>
    <col min="3860" max="3860" width="25.5703125" style="1026" customWidth="1"/>
    <col min="3861" max="3861" width="21.5703125" style="1026" bestFit="1" customWidth="1"/>
    <col min="3862" max="3862" width="21.28515625" style="1026" customWidth="1"/>
    <col min="3863" max="3863" width="3.7109375" style="1026" customWidth="1"/>
    <col min="3864" max="4096" width="10.28515625" style="1026"/>
    <col min="4097" max="4097" width="4" style="1026" customWidth="1"/>
    <col min="4098" max="4098" width="30" style="1026" customWidth="1"/>
    <col min="4099" max="4099" width="6.42578125" style="1026" bestFit="1" customWidth="1"/>
    <col min="4100" max="4101" width="12.85546875" style="1026" customWidth="1"/>
    <col min="4102" max="4106" width="14.5703125" style="1026" customWidth="1"/>
    <col min="4107" max="4107" width="13" style="1026" customWidth="1"/>
    <col min="4108" max="4108" width="15.42578125" style="1026" customWidth="1"/>
    <col min="4109" max="4109" width="14.28515625" style="1026" customWidth="1"/>
    <col min="4110" max="4110" width="14.28515625" style="1026" bestFit="1" customWidth="1"/>
    <col min="4111" max="4111" width="17.7109375" style="1026" customWidth="1"/>
    <col min="4112" max="4112" width="16.85546875" style="1026" customWidth="1"/>
    <col min="4113" max="4113" width="22.140625" style="1026" customWidth="1"/>
    <col min="4114" max="4114" width="26.140625" style="1026" customWidth="1"/>
    <col min="4115" max="4115" width="18.85546875" style="1026" customWidth="1"/>
    <col min="4116" max="4116" width="25.5703125" style="1026" customWidth="1"/>
    <col min="4117" max="4117" width="21.5703125" style="1026" bestFit="1" customWidth="1"/>
    <col min="4118" max="4118" width="21.28515625" style="1026" customWidth="1"/>
    <col min="4119" max="4119" width="3.7109375" style="1026" customWidth="1"/>
    <col min="4120" max="4352" width="10.28515625" style="1026"/>
    <col min="4353" max="4353" width="4" style="1026" customWidth="1"/>
    <col min="4354" max="4354" width="30" style="1026" customWidth="1"/>
    <col min="4355" max="4355" width="6.42578125" style="1026" bestFit="1" customWidth="1"/>
    <col min="4356" max="4357" width="12.85546875" style="1026" customWidth="1"/>
    <col min="4358" max="4362" width="14.5703125" style="1026" customWidth="1"/>
    <col min="4363" max="4363" width="13" style="1026" customWidth="1"/>
    <col min="4364" max="4364" width="15.42578125" style="1026" customWidth="1"/>
    <col min="4365" max="4365" width="14.28515625" style="1026" customWidth="1"/>
    <col min="4366" max="4366" width="14.28515625" style="1026" bestFit="1" customWidth="1"/>
    <col min="4367" max="4367" width="17.7109375" style="1026" customWidth="1"/>
    <col min="4368" max="4368" width="16.85546875" style="1026" customWidth="1"/>
    <col min="4369" max="4369" width="22.140625" style="1026" customWidth="1"/>
    <col min="4370" max="4370" width="26.140625" style="1026" customWidth="1"/>
    <col min="4371" max="4371" width="18.85546875" style="1026" customWidth="1"/>
    <col min="4372" max="4372" width="25.5703125" style="1026" customWidth="1"/>
    <col min="4373" max="4373" width="21.5703125" style="1026" bestFit="1" customWidth="1"/>
    <col min="4374" max="4374" width="21.28515625" style="1026" customWidth="1"/>
    <col min="4375" max="4375" width="3.7109375" style="1026" customWidth="1"/>
    <col min="4376" max="4608" width="10.28515625" style="1026"/>
    <col min="4609" max="4609" width="4" style="1026" customWidth="1"/>
    <col min="4610" max="4610" width="30" style="1026" customWidth="1"/>
    <col min="4611" max="4611" width="6.42578125" style="1026" bestFit="1" customWidth="1"/>
    <col min="4612" max="4613" width="12.85546875" style="1026" customWidth="1"/>
    <col min="4614" max="4618" width="14.5703125" style="1026" customWidth="1"/>
    <col min="4619" max="4619" width="13" style="1026" customWidth="1"/>
    <col min="4620" max="4620" width="15.42578125" style="1026" customWidth="1"/>
    <col min="4621" max="4621" width="14.28515625" style="1026" customWidth="1"/>
    <col min="4622" max="4622" width="14.28515625" style="1026" bestFit="1" customWidth="1"/>
    <col min="4623" max="4623" width="17.7109375" style="1026" customWidth="1"/>
    <col min="4624" max="4624" width="16.85546875" style="1026" customWidth="1"/>
    <col min="4625" max="4625" width="22.140625" style="1026" customWidth="1"/>
    <col min="4626" max="4626" width="26.140625" style="1026" customWidth="1"/>
    <col min="4627" max="4627" width="18.85546875" style="1026" customWidth="1"/>
    <col min="4628" max="4628" width="25.5703125" style="1026" customWidth="1"/>
    <col min="4629" max="4629" width="21.5703125" style="1026" bestFit="1" customWidth="1"/>
    <col min="4630" max="4630" width="21.28515625" style="1026" customWidth="1"/>
    <col min="4631" max="4631" width="3.7109375" style="1026" customWidth="1"/>
    <col min="4632" max="4864" width="10.28515625" style="1026"/>
    <col min="4865" max="4865" width="4" style="1026" customWidth="1"/>
    <col min="4866" max="4866" width="30" style="1026" customWidth="1"/>
    <col min="4867" max="4867" width="6.42578125" style="1026" bestFit="1" customWidth="1"/>
    <col min="4868" max="4869" width="12.85546875" style="1026" customWidth="1"/>
    <col min="4870" max="4874" width="14.5703125" style="1026" customWidth="1"/>
    <col min="4875" max="4875" width="13" style="1026" customWidth="1"/>
    <col min="4876" max="4876" width="15.42578125" style="1026" customWidth="1"/>
    <col min="4877" max="4877" width="14.28515625" style="1026" customWidth="1"/>
    <col min="4878" max="4878" width="14.28515625" style="1026" bestFit="1" customWidth="1"/>
    <col min="4879" max="4879" width="17.7109375" style="1026" customWidth="1"/>
    <col min="4880" max="4880" width="16.85546875" style="1026" customWidth="1"/>
    <col min="4881" max="4881" width="22.140625" style="1026" customWidth="1"/>
    <col min="4882" max="4882" width="26.140625" style="1026" customWidth="1"/>
    <col min="4883" max="4883" width="18.85546875" style="1026" customWidth="1"/>
    <col min="4884" max="4884" width="25.5703125" style="1026" customWidth="1"/>
    <col min="4885" max="4885" width="21.5703125" style="1026" bestFit="1" customWidth="1"/>
    <col min="4886" max="4886" width="21.28515625" style="1026" customWidth="1"/>
    <col min="4887" max="4887" width="3.7109375" style="1026" customWidth="1"/>
    <col min="4888" max="5120" width="10.28515625" style="1026"/>
    <col min="5121" max="5121" width="4" style="1026" customWidth="1"/>
    <col min="5122" max="5122" width="30" style="1026" customWidth="1"/>
    <col min="5123" max="5123" width="6.42578125" style="1026" bestFit="1" customWidth="1"/>
    <col min="5124" max="5125" width="12.85546875" style="1026" customWidth="1"/>
    <col min="5126" max="5130" width="14.5703125" style="1026" customWidth="1"/>
    <col min="5131" max="5131" width="13" style="1026" customWidth="1"/>
    <col min="5132" max="5132" width="15.42578125" style="1026" customWidth="1"/>
    <col min="5133" max="5133" width="14.28515625" style="1026" customWidth="1"/>
    <col min="5134" max="5134" width="14.28515625" style="1026" bestFit="1" customWidth="1"/>
    <col min="5135" max="5135" width="17.7109375" style="1026" customWidth="1"/>
    <col min="5136" max="5136" width="16.85546875" style="1026" customWidth="1"/>
    <col min="5137" max="5137" width="22.140625" style="1026" customWidth="1"/>
    <col min="5138" max="5138" width="26.140625" style="1026" customWidth="1"/>
    <col min="5139" max="5139" width="18.85546875" style="1026" customWidth="1"/>
    <col min="5140" max="5140" width="25.5703125" style="1026" customWidth="1"/>
    <col min="5141" max="5141" width="21.5703125" style="1026" bestFit="1" customWidth="1"/>
    <col min="5142" max="5142" width="21.28515625" style="1026" customWidth="1"/>
    <col min="5143" max="5143" width="3.7109375" style="1026" customWidth="1"/>
    <col min="5144" max="5376" width="10.28515625" style="1026"/>
    <col min="5377" max="5377" width="4" style="1026" customWidth="1"/>
    <col min="5378" max="5378" width="30" style="1026" customWidth="1"/>
    <col min="5379" max="5379" width="6.42578125" style="1026" bestFit="1" customWidth="1"/>
    <col min="5380" max="5381" width="12.85546875" style="1026" customWidth="1"/>
    <col min="5382" max="5386" width="14.5703125" style="1026" customWidth="1"/>
    <col min="5387" max="5387" width="13" style="1026" customWidth="1"/>
    <col min="5388" max="5388" width="15.42578125" style="1026" customWidth="1"/>
    <col min="5389" max="5389" width="14.28515625" style="1026" customWidth="1"/>
    <col min="5390" max="5390" width="14.28515625" style="1026" bestFit="1" customWidth="1"/>
    <col min="5391" max="5391" width="17.7109375" style="1026" customWidth="1"/>
    <col min="5392" max="5392" width="16.85546875" style="1026" customWidth="1"/>
    <col min="5393" max="5393" width="22.140625" style="1026" customWidth="1"/>
    <col min="5394" max="5394" width="26.140625" style="1026" customWidth="1"/>
    <col min="5395" max="5395" width="18.85546875" style="1026" customWidth="1"/>
    <col min="5396" max="5396" width="25.5703125" style="1026" customWidth="1"/>
    <col min="5397" max="5397" width="21.5703125" style="1026" bestFit="1" customWidth="1"/>
    <col min="5398" max="5398" width="21.28515625" style="1026" customWidth="1"/>
    <col min="5399" max="5399" width="3.7109375" style="1026" customWidth="1"/>
    <col min="5400" max="5632" width="10.28515625" style="1026"/>
    <col min="5633" max="5633" width="4" style="1026" customWidth="1"/>
    <col min="5634" max="5634" width="30" style="1026" customWidth="1"/>
    <col min="5635" max="5635" width="6.42578125" style="1026" bestFit="1" customWidth="1"/>
    <col min="5636" max="5637" width="12.85546875" style="1026" customWidth="1"/>
    <col min="5638" max="5642" width="14.5703125" style="1026" customWidth="1"/>
    <col min="5643" max="5643" width="13" style="1026" customWidth="1"/>
    <col min="5644" max="5644" width="15.42578125" style="1026" customWidth="1"/>
    <col min="5645" max="5645" width="14.28515625" style="1026" customWidth="1"/>
    <col min="5646" max="5646" width="14.28515625" style="1026" bestFit="1" customWidth="1"/>
    <col min="5647" max="5647" width="17.7109375" style="1026" customWidth="1"/>
    <col min="5648" max="5648" width="16.85546875" style="1026" customWidth="1"/>
    <col min="5649" max="5649" width="22.140625" style="1026" customWidth="1"/>
    <col min="5650" max="5650" width="26.140625" style="1026" customWidth="1"/>
    <col min="5651" max="5651" width="18.85546875" style="1026" customWidth="1"/>
    <col min="5652" max="5652" width="25.5703125" style="1026" customWidth="1"/>
    <col min="5653" max="5653" width="21.5703125" style="1026" bestFit="1" customWidth="1"/>
    <col min="5654" max="5654" width="21.28515625" style="1026" customWidth="1"/>
    <col min="5655" max="5655" width="3.7109375" style="1026" customWidth="1"/>
    <col min="5656" max="5888" width="10.28515625" style="1026"/>
    <col min="5889" max="5889" width="4" style="1026" customWidth="1"/>
    <col min="5890" max="5890" width="30" style="1026" customWidth="1"/>
    <col min="5891" max="5891" width="6.42578125" style="1026" bestFit="1" customWidth="1"/>
    <col min="5892" max="5893" width="12.85546875" style="1026" customWidth="1"/>
    <col min="5894" max="5898" width="14.5703125" style="1026" customWidth="1"/>
    <col min="5899" max="5899" width="13" style="1026" customWidth="1"/>
    <col min="5900" max="5900" width="15.42578125" style="1026" customWidth="1"/>
    <col min="5901" max="5901" width="14.28515625" style="1026" customWidth="1"/>
    <col min="5902" max="5902" width="14.28515625" style="1026" bestFit="1" customWidth="1"/>
    <col min="5903" max="5903" width="17.7109375" style="1026" customWidth="1"/>
    <col min="5904" max="5904" width="16.85546875" style="1026" customWidth="1"/>
    <col min="5905" max="5905" width="22.140625" style="1026" customWidth="1"/>
    <col min="5906" max="5906" width="26.140625" style="1026" customWidth="1"/>
    <col min="5907" max="5907" width="18.85546875" style="1026" customWidth="1"/>
    <col min="5908" max="5908" width="25.5703125" style="1026" customWidth="1"/>
    <col min="5909" max="5909" width="21.5703125" style="1026" bestFit="1" customWidth="1"/>
    <col min="5910" max="5910" width="21.28515625" style="1026" customWidth="1"/>
    <col min="5911" max="5911" width="3.7109375" style="1026" customWidth="1"/>
    <col min="5912" max="6144" width="10.28515625" style="1026"/>
    <col min="6145" max="6145" width="4" style="1026" customWidth="1"/>
    <col min="6146" max="6146" width="30" style="1026" customWidth="1"/>
    <col min="6147" max="6147" width="6.42578125" style="1026" bestFit="1" customWidth="1"/>
    <col min="6148" max="6149" width="12.85546875" style="1026" customWidth="1"/>
    <col min="6150" max="6154" width="14.5703125" style="1026" customWidth="1"/>
    <col min="6155" max="6155" width="13" style="1026" customWidth="1"/>
    <col min="6156" max="6156" width="15.42578125" style="1026" customWidth="1"/>
    <col min="6157" max="6157" width="14.28515625" style="1026" customWidth="1"/>
    <col min="6158" max="6158" width="14.28515625" style="1026" bestFit="1" customWidth="1"/>
    <col min="6159" max="6159" width="17.7109375" style="1026" customWidth="1"/>
    <col min="6160" max="6160" width="16.85546875" style="1026" customWidth="1"/>
    <col min="6161" max="6161" width="22.140625" style="1026" customWidth="1"/>
    <col min="6162" max="6162" width="26.140625" style="1026" customWidth="1"/>
    <col min="6163" max="6163" width="18.85546875" style="1026" customWidth="1"/>
    <col min="6164" max="6164" width="25.5703125" style="1026" customWidth="1"/>
    <col min="6165" max="6165" width="21.5703125" style="1026" bestFit="1" customWidth="1"/>
    <col min="6166" max="6166" width="21.28515625" style="1026" customWidth="1"/>
    <col min="6167" max="6167" width="3.7109375" style="1026" customWidth="1"/>
    <col min="6168" max="6400" width="10.28515625" style="1026"/>
    <col min="6401" max="6401" width="4" style="1026" customWidth="1"/>
    <col min="6402" max="6402" width="30" style="1026" customWidth="1"/>
    <col min="6403" max="6403" width="6.42578125" style="1026" bestFit="1" customWidth="1"/>
    <col min="6404" max="6405" width="12.85546875" style="1026" customWidth="1"/>
    <col min="6406" max="6410" width="14.5703125" style="1026" customWidth="1"/>
    <col min="6411" max="6411" width="13" style="1026" customWidth="1"/>
    <col min="6412" max="6412" width="15.42578125" style="1026" customWidth="1"/>
    <col min="6413" max="6413" width="14.28515625" style="1026" customWidth="1"/>
    <col min="6414" max="6414" width="14.28515625" style="1026" bestFit="1" customWidth="1"/>
    <col min="6415" max="6415" width="17.7109375" style="1026" customWidth="1"/>
    <col min="6416" max="6416" width="16.85546875" style="1026" customWidth="1"/>
    <col min="6417" max="6417" width="22.140625" style="1026" customWidth="1"/>
    <col min="6418" max="6418" width="26.140625" style="1026" customWidth="1"/>
    <col min="6419" max="6419" width="18.85546875" style="1026" customWidth="1"/>
    <col min="6420" max="6420" width="25.5703125" style="1026" customWidth="1"/>
    <col min="6421" max="6421" width="21.5703125" style="1026" bestFit="1" customWidth="1"/>
    <col min="6422" max="6422" width="21.28515625" style="1026" customWidth="1"/>
    <col min="6423" max="6423" width="3.7109375" style="1026" customWidth="1"/>
    <col min="6424" max="6656" width="10.28515625" style="1026"/>
    <col min="6657" max="6657" width="4" style="1026" customWidth="1"/>
    <col min="6658" max="6658" width="30" style="1026" customWidth="1"/>
    <col min="6659" max="6659" width="6.42578125" style="1026" bestFit="1" customWidth="1"/>
    <col min="6660" max="6661" width="12.85546875" style="1026" customWidth="1"/>
    <col min="6662" max="6666" width="14.5703125" style="1026" customWidth="1"/>
    <col min="6667" max="6667" width="13" style="1026" customWidth="1"/>
    <col min="6668" max="6668" width="15.42578125" style="1026" customWidth="1"/>
    <col min="6669" max="6669" width="14.28515625" style="1026" customWidth="1"/>
    <col min="6670" max="6670" width="14.28515625" style="1026" bestFit="1" customWidth="1"/>
    <col min="6671" max="6671" width="17.7109375" style="1026" customWidth="1"/>
    <col min="6672" max="6672" width="16.85546875" style="1026" customWidth="1"/>
    <col min="6673" max="6673" width="22.140625" style="1026" customWidth="1"/>
    <col min="6674" max="6674" width="26.140625" style="1026" customWidth="1"/>
    <col min="6675" max="6675" width="18.85546875" style="1026" customWidth="1"/>
    <col min="6676" max="6676" width="25.5703125" style="1026" customWidth="1"/>
    <col min="6677" max="6677" width="21.5703125" style="1026" bestFit="1" customWidth="1"/>
    <col min="6678" max="6678" width="21.28515625" style="1026" customWidth="1"/>
    <col min="6679" max="6679" width="3.7109375" style="1026" customWidth="1"/>
    <col min="6680" max="6912" width="10.28515625" style="1026"/>
    <col min="6913" max="6913" width="4" style="1026" customWidth="1"/>
    <col min="6914" max="6914" width="30" style="1026" customWidth="1"/>
    <col min="6915" max="6915" width="6.42578125" style="1026" bestFit="1" customWidth="1"/>
    <col min="6916" max="6917" width="12.85546875" style="1026" customWidth="1"/>
    <col min="6918" max="6922" width="14.5703125" style="1026" customWidth="1"/>
    <col min="6923" max="6923" width="13" style="1026" customWidth="1"/>
    <col min="6924" max="6924" width="15.42578125" style="1026" customWidth="1"/>
    <col min="6925" max="6925" width="14.28515625" style="1026" customWidth="1"/>
    <col min="6926" max="6926" width="14.28515625" style="1026" bestFit="1" customWidth="1"/>
    <col min="6927" max="6927" width="17.7109375" style="1026" customWidth="1"/>
    <col min="6928" max="6928" width="16.85546875" style="1026" customWidth="1"/>
    <col min="6929" max="6929" width="22.140625" style="1026" customWidth="1"/>
    <col min="6930" max="6930" width="26.140625" style="1026" customWidth="1"/>
    <col min="6931" max="6931" width="18.85546875" style="1026" customWidth="1"/>
    <col min="6932" max="6932" width="25.5703125" style="1026" customWidth="1"/>
    <col min="6933" max="6933" width="21.5703125" style="1026" bestFit="1" customWidth="1"/>
    <col min="6934" max="6934" width="21.28515625" style="1026" customWidth="1"/>
    <col min="6935" max="6935" width="3.7109375" style="1026" customWidth="1"/>
    <col min="6936" max="7168" width="10.28515625" style="1026"/>
    <col min="7169" max="7169" width="4" style="1026" customWidth="1"/>
    <col min="7170" max="7170" width="30" style="1026" customWidth="1"/>
    <col min="7171" max="7171" width="6.42578125" style="1026" bestFit="1" customWidth="1"/>
    <col min="7172" max="7173" width="12.85546875" style="1026" customWidth="1"/>
    <col min="7174" max="7178" width="14.5703125" style="1026" customWidth="1"/>
    <col min="7179" max="7179" width="13" style="1026" customWidth="1"/>
    <col min="7180" max="7180" width="15.42578125" style="1026" customWidth="1"/>
    <col min="7181" max="7181" width="14.28515625" style="1026" customWidth="1"/>
    <col min="7182" max="7182" width="14.28515625" style="1026" bestFit="1" customWidth="1"/>
    <col min="7183" max="7183" width="17.7109375" style="1026" customWidth="1"/>
    <col min="7184" max="7184" width="16.85546875" style="1026" customWidth="1"/>
    <col min="7185" max="7185" width="22.140625" style="1026" customWidth="1"/>
    <col min="7186" max="7186" width="26.140625" style="1026" customWidth="1"/>
    <col min="7187" max="7187" width="18.85546875" style="1026" customWidth="1"/>
    <col min="7188" max="7188" width="25.5703125" style="1026" customWidth="1"/>
    <col min="7189" max="7189" width="21.5703125" style="1026" bestFit="1" customWidth="1"/>
    <col min="7190" max="7190" width="21.28515625" style="1026" customWidth="1"/>
    <col min="7191" max="7191" width="3.7109375" style="1026" customWidth="1"/>
    <col min="7192" max="7424" width="10.28515625" style="1026"/>
    <col min="7425" max="7425" width="4" style="1026" customWidth="1"/>
    <col min="7426" max="7426" width="30" style="1026" customWidth="1"/>
    <col min="7427" max="7427" width="6.42578125" style="1026" bestFit="1" customWidth="1"/>
    <col min="7428" max="7429" width="12.85546875" style="1026" customWidth="1"/>
    <col min="7430" max="7434" width="14.5703125" style="1026" customWidth="1"/>
    <col min="7435" max="7435" width="13" style="1026" customWidth="1"/>
    <col min="7436" max="7436" width="15.42578125" style="1026" customWidth="1"/>
    <col min="7437" max="7437" width="14.28515625" style="1026" customWidth="1"/>
    <col min="7438" max="7438" width="14.28515625" style="1026" bestFit="1" customWidth="1"/>
    <col min="7439" max="7439" width="17.7109375" style="1026" customWidth="1"/>
    <col min="7440" max="7440" width="16.85546875" style="1026" customWidth="1"/>
    <col min="7441" max="7441" width="22.140625" style="1026" customWidth="1"/>
    <col min="7442" max="7442" width="26.140625" style="1026" customWidth="1"/>
    <col min="7443" max="7443" width="18.85546875" style="1026" customWidth="1"/>
    <col min="7444" max="7444" width="25.5703125" style="1026" customWidth="1"/>
    <col min="7445" max="7445" width="21.5703125" style="1026" bestFit="1" customWidth="1"/>
    <col min="7446" max="7446" width="21.28515625" style="1026" customWidth="1"/>
    <col min="7447" max="7447" width="3.7109375" style="1026" customWidth="1"/>
    <col min="7448" max="7680" width="10.28515625" style="1026"/>
    <col min="7681" max="7681" width="4" style="1026" customWidth="1"/>
    <col min="7682" max="7682" width="30" style="1026" customWidth="1"/>
    <col min="7683" max="7683" width="6.42578125" style="1026" bestFit="1" customWidth="1"/>
    <col min="7684" max="7685" width="12.85546875" style="1026" customWidth="1"/>
    <col min="7686" max="7690" width="14.5703125" style="1026" customWidth="1"/>
    <col min="7691" max="7691" width="13" style="1026" customWidth="1"/>
    <col min="7692" max="7692" width="15.42578125" style="1026" customWidth="1"/>
    <col min="7693" max="7693" width="14.28515625" style="1026" customWidth="1"/>
    <col min="7694" max="7694" width="14.28515625" style="1026" bestFit="1" customWidth="1"/>
    <col min="7695" max="7695" width="17.7109375" style="1026" customWidth="1"/>
    <col min="7696" max="7696" width="16.85546875" style="1026" customWidth="1"/>
    <col min="7697" max="7697" width="22.140625" style="1026" customWidth="1"/>
    <col min="7698" max="7698" width="26.140625" style="1026" customWidth="1"/>
    <col min="7699" max="7699" width="18.85546875" style="1026" customWidth="1"/>
    <col min="7700" max="7700" width="25.5703125" style="1026" customWidth="1"/>
    <col min="7701" max="7701" width="21.5703125" style="1026" bestFit="1" customWidth="1"/>
    <col min="7702" max="7702" width="21.28515625" style="1026" customWidth="1"/>
    <col min="7703" max="7703" width="3.7109375" style="1026" customWidth="1"/>
    <col min="7704" max="7936" width="10.28515625" style="1026"/>
    <col min="7937" max="7937" width="4" style="1026" customWidth="1"/>
    <col min="7938" max="7938" width="30" style="1026" customWidth="1"/>
    <col min="7939" max="7939" width="6.42578125" style="1026" bestFit="1" customWidth="1"/>
    <col min="7940" max="7941" width="12.85546875" style="1026" customWidth="1"/>
    <col min="7942" max="7946" width="14.5703125" style="1026" customWidth="1"/>
    <col min="7947" max="7947" width="13" style="1026" customWidth="1"/>
    <col min="7948" max="7948" width="15.42578125" style="1026" customWidth="1"/>
    <col min="7949" max="7949" width="14.28515625" style="1026" customWidth="1"/>
    <col min="7950" max="7950" width="14.28515625" style="1026" bestFit="1" customWidth="1"/>
    <col min="7951" max="7951" width="17.7109375" style="1026" customWidth="1"/>
    <col min="7952" max="7952" width="16.85546875" style="1026" customWidth="1"/>
    <col min="7953" max="7953" width="22.140625" style="1026" customWidth="1"/>
    <col min="7954" max="7954" width="26.140625" style="1026" customWidth="1"/>
    <col min="7955" max="7955" width="18.85546875" style="1026" customWidth="1"/>
    <col min="7956" max="7956" width="25.5703125" style="1026" customWidth="1"/>
    <col min="7957" max="7957" width="21.5703125" style="1026" bestFit="1" customWidth="1"/>
    <col min="7958" max="7958" width="21.28515625" style="1026" customWidth="1"/>
    <col min="7959" max="7959" width="3.7109375" style="1026" customWidth="1"/>
    <col min="7960" max="8192" width="10.28515625" style="1026"/>
    <col min="8193" max="8193" width="4" style="1026" customWidth="1"/>
    <col min="8194" max="8194" width="30" style="1026" customWidth="1"/>
    <col min="8195" max="8195" width="6.42578125" style="1026" bestFit="1" customWidth="1"/>
    <col min="8196" max="8197" width="12.85546875" style="1026" customWidth="1"/>
    <col min="8198" max="8202" width="14.5703125" style="1026" customWidth="1"/>
    <col min="8203" max="8203" width="13" style="1026" customWidth="1"/>
    <col min="8204" max="8204" width="15.42578125" style="1026" customWidth="1"/>
    <col min="8205" max="8205" width="14.28515625" style="1026" customWidth="1"/>
    <col min="8206" max="8206" width="14.28515625" style="1026" bestFit="1" customWidth="1"/>
    <col min="8207" max="8207" width="17.7109375" style="1026" customWidth="1"/>
    <col min="8208" max="8208" width="16.85546875" style="1026" customWidth="1"/>
    <col min="8209" max="8209" width="22.140625" style="1026" customWidth="1"/>
    <col min="8210" max="8210" width="26.140625" style="1026" customWidth="1"/>
    <col min="8211" max="8211" width="18.85546875" style="1026" customWidth="1"/>
    <col min="8212" max="8212" width="25.5703125" style="1026" customWidth="1"/>
    <col min="8213" max="8213" width="21.5703125" style="1026" bestFit="1" customWidth="1"/>
    <col min="8214" max="8214" width="21.28515625" style="1026" customWidth="1"/>
    <col min="8215" max="8215" width="3.7109375" style="1026" customWidth="1"/>
    <col min="8216" max="8448" width="10.28515625" style="1026"/>
    <col min="8449" max="8449" width="4" style="1026" customWidth="1"/>
    <col min="8450" max="8450" width="30" style="1026" customWidth="1"/>
    <col min="8451" max="8451" width="6.42578125" style="1026" bestFit="1" customWidth="1"/>
    <col min="8452" max="8453" width="12.85546875" style="1026" customWidth="1"/>
    <col min="8454" max="8458" width="14.5703125" style="1026" customWidth="1"/>
    <col min="8459" max="8459" width="13" style="1026" customWidth="1"/>
    <col min="8460" max="8460" width="15.42578125" style="1026" customWidth="1"/>
    <col min="8461" max="8461" width="14.28515625" style="1026" customWidth="1"/>
    <col min="8462" max="8462" width="14.28515625" style="1026" bestFit="1" customWidth="1"/>
    <col min="8463" max="8463" width="17.7109375" style="1026" customWidth="1"/>
    <col min="8464" max="8464" width="16.85546875" style="1026" customWidth="1"/>
    <col min="8465" max="8465" width="22.140625" style="1026" customWidth="1"/>
    <col min="8466" max="8466" width="26.140625" style="1026" customWidth="1"/>
    <col min="8467" max="8467" width="18.85546875" style="1026" customWidth="1"/>
    <col min="8468" max="8468" width="25.5703125" style="1026" customWidth="1"/>
    <col min="8469" max="8469" width="21.5703125" style="1026" bestFit="1" customWidth="1"/>
    <col min="8470" max="8470" width="21.28515625" style="1026" customWidth="1"/>
    <col min="8471" max="8471" width="3.7109375" style="1026" customWidth="1"/>
    <col min="8472" max="8704" width="10.28515625" style="1026"/>
    <col min="8705" max="8705" width="4" style="1026" customWidth="1"/>
    <col min="8706" max="8706" width="30" style="1026" customWidth="1"/>
    <col min="8707" max="8707" width="6.42578125" style="1026" bestFit="1" customWidth="1"/>
    <col min="8708" max="8709" width="12.85546875" style="1026" customWidth="1"/>
    <col min="8710" max="8714" width="14.5703125" style="1026" customWidth="1"/>
    <col min="8715" max="8715" width="13" style="1026" customWidth="1"/>
    <col min="8716" max="8716" width="15.42578125" style="1026" customWidth="1"/>
    <col min="8717" max="8717" width="14.28515625" style="1026" customWidth="1"/>
    <col min="8718" max="8718" width="14.28515625" style="1026" bestFit="1" customWidth="1"/>
    <col min="8719" max="8719" width="17.7109375" style="1026" customWidth="1"/>
    <col min="8720" max="8720" width="16.85546875" style="1026" customWidth="1"/>
    <col min="8721" max="8721" width="22.140625" style="1026" customWidth="1"/>
    <col min="8722" max="8722" width="26.140625" style="1026" customWidth="1"/>
    <col min="8723" max="8723" width="18.85546875" style="1026" customWidth="1"/>
    <col min="8724" max="8724" width="25.5703125" style="1026" customWidth="1"/>
    <col min="8725" max="8725" width="21.5703125" style="1026" bestFit="1" customWidth="1"/>
    <col min="8726" max="8726" width="21.28515625" style="1026" customWidth="1"/>
    <col min="8727" max="8727" width="3.7109375" style="1026" customWidth="1"/>
    <col min="8728" max="8960" width="10.28515625" style="1026"/>
    <col min="8961" max="8961" width="4" style="1026" customWidth="1"/>
    <col min="8962" max="8962" width="30" style="1026" customWidth="1"/>
    <col min="8963" max="8963" width="6.42578125" style="1026" bestFit="1" customWidth="1"/>
    <col min="8964" max="8965" width="12.85546875" style="1026" customWidth="1"/>
    <col min="8966" max="8970" width="14.5703125" style="1026" customWidth="1"/>
    <col min="8971" max="8971" width="13" style="1026" customWidth="1"/>
    <col min="8972" max="8972" width="15.42578125" style="1026" customWidth="1"/>
    <col min="8973" max="8973" width="14.28515625" style="1026" customWidth="1"/>
    <col min="8974" max="8974" width="14.28515625" style="1026" bestFit="1" customWidth="1"/>
    <col min="8975" max="8975" width="17.7109375" style="1026" customWidth="1"/>
    <col min="8976" max="8976" width="16.85546875" style="1026" customWidth="1"/>
    <col min="8977" max="8977" width="22.140625" style="1026" customWidth="1"/>
    <col min="8978" max="8978" width="26.140625" style="1026" customWidth="1"/>
    <col min="8979" max="8979" width="18.85546875" style="1026" customWidth="1"/>
    <col min="8980" max="8980" width="25.5703125" style="1026" customWidth="1"/>
    <col min="8981" max="8981" width="21.5703125" style="1026" bestFit="1" customWidth="1"/>
    <col min="8982" max="8982" width="21.28515625" style="1026" customWidth="1"/>
    <col min="8983" max="8983" width="3.7109375" style="1026" customWidth="1"/>
    <col min="8984" max="9216" width="10.28515625" style="1026"/>
    <col min="9217" max="9217" width="4" style="1026" customWidth="1"/>
    <col min="9218" max="9218" width="30" style="1026" customWidth="1"/>
    <col min="9219" max="9219" width="6.42578125" style="1026" bestFit="1" customWidth="1"/>
    <col min="9220" max="9221" width="12.85546875" style="1026" customWidth="1"/>
    <col min="9222" max="9226" width="14.5703125" style="1026" customWidth="1"/>
    <col min="9227" max="9227" width="13" style="1026" customWidth="1"/>
    <col min="9228" max="9228" width="15.42578125" style="1026" customWidth="1"/>
    <col min="9229" max="9229" width="14.28515625" style="1026" customWidth="1"/>
    <col min="9230" max="9230" width="14.28515625" style="1026" bestFit="1" customWidth="1"/>
    <col min="9231" max="9231" width="17.7109375" style="1026" customWidth="1"/>
    <col min="9232" max="9232" width="16.85546875" style="1026" customWidth="1"/>
    <col min="9233" max="9233" width="22.140625" style="1026" customWidth="1"/>
    <col min="9234" max="9234" width="26.140625" style="1026" customWidth="1"/>
    <col min="9235" max="9235" width="18.85546875" style="1026" customWidth="1"/>
    <col min="9236" max="9236" width="25.5703125" style="1026" customWidth="1"/>
    <col min="9237" max="9237" width="21.5703125" style="1026" bestFit="1" customWidth="1"/>
    <col min="9238" max="9238" width="21.28515625" style="1026" customWidth="1"/>
    <col min="9239" max="9239" width="3.7109375" style="1026" customWidth="1"/>
    <col min="9240" max="9472" width="10.28515625" style="1026"/>
    <col min="9473" max="9473" width="4" style="1026" customWidth="1"/>
    <col min="9474" max="9474" width="30" style="1026" customWidth="1"/>
    <col min="9475" max="9475" width="6.42578125" style="1026" bestFit="1" customWidth="1"/>
    <col min="9476" max="9477" width="12.85546875" style="1026" customWidth="1"/>
    <col min="9478" max="9482" width="14.5703125" style="1026" customWidth="1"/>
    <col min="9483" max="9483" width="13" style="1026" customWidth="1"/>
    <col min="9484" max="9484" width="15.42578125" style="1026" customWidth="1"/>
    <col min="9485" max="9485" width="14.28515625" style="1026" customWidth="1"/>
    <col min="9486" max="9486" width="14.28515625" style="1026" bestFit="1" customWidth="1"/>
    <col min="9487" max="9487" width="17.7109375" style="1026" customWidth="1"/>
    <col min="9488" max="9488" width="16.85546875" style="1026" customWidth="1"/>
    <col min="9489" max="9489" width="22.140625" style="1026" customWidth="1"/>
    <col min="9490" max="9490" width="26.140625" style="1026" customWidth="1"/>
    <col min="9491" max="9491" width="18.85546875" style="1026" customWidth="1"/>
    <col min="9492" max="9492" width="25.5703125" style="1026" customWidth="1"/>
    <col min="9493" max="9493" width="21.5703125" style="1026" bestFit="1" customWidth="1"/>
    <col min="9494" max="9494" width="21.28515625" style="1026" customWidth="1"/>
    <col min="9495" max="9495" width="3.7109375" style="1026" customWidth="1"/>
    <col min="9496" max="9728" width="10.28515625" style="1026"/>
    <col min="9729" max="9729" width="4" style="1026" customWidth="1"/>
    <col min="9730" max="9730" width="30" style="1026" customWidth="1"/>
    <col min="9731" max="9731" width="6.42578125" style="1026" bestFit="1" customWidth="1"/>
    <col min="9732" max="9733" width="12.85546875" style="1026" customWidth="1"/>
    <col min="9734" max="9738" width="14.5703125" style="1026" customWidth="1"/>
    <col min="9739" max="9739" width="13" style="1026" customWidth="1"/>
    <col min="9740" max="9740" width="15.42578125" style="1026" customWidth="1"/>
    <col min="9741" max="9741" width="14.28515625" style="1026" customWidth="1"/>
    <col min="9742" max="9742" width="14.28515625" style="1026" bestFit="1" customWidth="1"/>
    <col min="9743" max="9743" width="17.7109375" style="1026" customWidth="1"/>
    <col min="9744" max="9744" width="16.85546875" style="1026" customWidth="1"/>
    <col min="9745" max="9745" width="22.140625" style="1026" customWidth="1"/>
    <col min="9746" max="9746" width="26.140625" style="1026" customWidth="1"/>
    <col min="9747" max="9747" width="18.85546875" style="1026" customWidth="1"/>
    <col min="9748" max="9748" width="25.5703125" style="1026" customWidth="1"/>
    <col min="9749" max="9749" width="21.5703125" style="1026" bestFit="1" customWidth="1"/>
    <col min="9750" max="9750" width="21.28515625" style="1026" customWidth="1"/>
    <col min="9751" max="9751" width="3.7109375" style="1026" customWidth="1"/>
    <col min="9752" max="9984" width="10.28515625" style="1026"/>
    <col min="9985" max="9985" width="4" style="1026" customWidth="1"/>
    <col min="9986" max="9986" width="30" style="1026" customWidth="1"/>
    <col min="9987" max="9987" width="6.42578125" style="1026" bestFit="1" customWidth="1"/>
    <col min="9988" max="9989" width="12.85546875" style="1026" customWidth="1"/>
    <col min="9990" max="9994" width="14.5703125" style="1026" customWidth="1"/>
    <col min="9995" max="9995" width="13" style="1026" customWidth="1"/>
    <col min="9996" max="9996" width="15.42578125" style="1026" customWidth="1"/>
    <col min="9997" max="9997" width="14.28515625" style="1026" customWidth="1"/>
    <col min="9998" max="9998" width="14.28515625" style="1026" bestFit="1" customWidth="1"/>
    <col min="9999" max="9999" width="17.7109375" style="1026" customWidth="1"/>
    <col min="10000" max="10000" width="16.85546875" style="1026" customWidth="1"/>
    <col min="10001" max="10001" width="22.140625" style="1026" customWidth="1"/>
    <col min="10002" max="10002" width="26.140625" style="1026" customWidth="1"/>
    <col min="10003" max="10003" width="18.85546875" style="1026" customWidth="1"/>
    <col min="10004" max="10004" width="25.5703125" style="1026" customWidth="1"/>
    <col min="10005" max="10005" width="21.5703125" style="1026" bestFit="1" customWidth="1"/>
    <col min="10006" max="10006" width="21.28515625" style="1026" customWidth="1"/>
    <col min="10007" max="10007" width="3.7109375" style="1026" customWidth="1"/>
    <col min="10008" max="10240" width="10.28515625" style="1026"/>
    <col min="10241" max="10241" width="4" style="1026" customWidth="1"/>
    <col min="10242" max="10242" width="30" style="1026" customWidth="1"/>
    <col min="10243" max="10243" width="6.42578125" style="1026" bestFit="1" customWidth="1"/>
    <col min="10244" max="10245" width="12.85546875" style="1026" customWidth="1"/>
    <col min="10246" max="10250" width="14.5703125" style="1026" customWidth="1"/>
    <col min="10251" max="10251" width="13" style="1026" customWidth="1"/>
    <col min="10252" max="10252" width="15.42578125" style="1026" customWidth="1"/>
    <col min="10253" max="10253" width="14.28515625" style="1026" customWidth="1"/>
    <col min="10254" max="10254" width="14.28515625" style="1026" bestFit="1" customWidth="1"/>
    <col min="10255" max="10255" width="17.7109375" style="1026" customWidth="1"/>
    <col min="10256" max="10256" width="16.85546875" style="1026" customWidth="1"/>
    <col min="10257" max="10257" width="22.140625" style="1026" customWidth="1"/>
    <col min="10258" max="10258" width="26.140625" style="1026" customWidth="1"/>
    <col min="10259" max="10259" width="18.85546875" style="1026" customWidth="1"/>
    <col min="10260" max="10260" width="25.5703125" style="1026" customWidth="1"/>
    <col min="10261" max="10261" width="21.5703125" style="1026" bestFit="1" customWidth="1"/>
    <col min="10262" max="10262" width="21.28515625" style="1026" customWidth="1"/>
    <col min="10263" max="10263" width="3.7109375" style="1026" customWidth="1"/>
    <col min="10264" max="10496" width="10.28515625" style="1026"/>
    <col min="10497" max="10497" width="4" style="1026" customWidth="1"/>
    <col min="10498" max="10498" width="30" style="1026" customWidth="1"/>
    <col min="10499" max="10499" width="6.42578125" style="1026" bestFit="1" customWidth="1"/>
    <col min="10500" max="10501" width="12.85546875" style="1026" customWidth="1"/>
    <col min="10502" max="10506" width="14.5703125" style="1026" customWidth="1"/>
    <col min="10507" max="10507" width="13" style="1026" customWidth="1"/>
    <col min="10508" max="10508" width="15.42578125" style="1026" customWidth="1"/>
    <col min="10509" max="10509" width="14.28515625" style="1026" customWidth="1"/>
    <col min="10510" max="10510" width="14.28515625" style="1026" bestFit="1" customWidth="1"/>
    <col min="10511" max="10511" width="17.7109375" style="1026" customWidth="1"/>
    <col min="10512" max="10512" width="16.85546875" style="1026" customWidth="1"/>
    <col min="10513" max="10513" width="22.140625" style="1026" customWidth="1"/>
    <col min="10514" max="10514" width="26.140625" style="1026" customWidth="1"/>
    <col min="10515" max="10515" width="18.85546875" style="1026" customWidth="1"/>
    <col min="10516" max="10516" width="25.5703125" style="1026" customWidth="1"/>
    <col min="10517" max="10517" width="21.5703125" style="1026" bestFit="1" customWidth="1"/>
    <col min="10518" max="10518" width="21.28515625" style="1026" customWidth="1"/>
    <col min="10519" max="10519" width="3.7109375" style="1026" customWidth="1"/>
    <col min="10520" max="10752" width="10.28515625" style="1026"/>
    <col min="10753" max="10753" width="4" style="1026" customWidth="1"/>
    <col min="10754" max="10754" width="30" style="1026" customWidth="1"/>
    <col min="10755" max="10755" width="6.42578125" style="1026" bestFit="1" customWidth="1"/>
    <col min="10756" max="10757" width="12.85546875" style="1026" customWidth="1"/>
    <col min="10758" max="10762" width="14.5703125" style="1026" customWidth="1"/>
    <col min="10763" max="10763" width="13" style="1026" customWidth="1"/>
    <col min="10764" max="10764" width="15.42578125" style="1026" customWidth="1"/>
    <col min="10765" max="10765" width="14.28515625" style="1026" customWidth="1"/>
    <col min="10766" max="10766" width="14.28515625" style="1026" bestFit="1" customWidth="1"/>
    <col min="10767" max="10767" width="17.7109375" style="1026" customWidth="1"/>
    <col min="10768" max="10768" width="16.85546875" style="1026" customWidth="1"/>
    <col min="10769" max="10769" width="22.140625" style="1026" customWidth="1"/>
    <col min="10770" max="10770" width="26.140625" style="1026" customWidth="1"/>
    <col min="10771" max="10771" width="18.85546875" style="1026" customWidth="1"/>
    <col min="10772" max="10772" width="25.5703125" style="1026" customWidth="1"/>
    <col min="10773" max="10773" width="21.5703125" style="1026" bestFit="1" customWidth="1"/>
    <col min="10774" max="10774" width="21.28515625" style="1026" customWidth="1"/>
    <col min="10775" max="10775" width="3.7109375" style="1026" customWidth="1"/>
    <col min="10776" max="11008" width="10.28515625" style="1026"/>
    <col min="11009" max="11009" width="4" style="1026" customWidth="1"/>
    <col min="11010" max="11010" width="30" style="1026" customWidth="1"/>
    <col min="11011" max="11011" width="6.42578125" style="1026" bestFit="1" customWidth="1"/>
    <col min="11012" max="11013" width="12.85546875" style="1026" customWidth="1"/>
    <col min="11014" max="11018" width="14.5703125" style="1026" customWidth="1"/>
    <col min="11019" max="11019" width="13" style="1026" customWidth="1"/>
    <col min="11020" max="11020" width="15.42578125" style="1026" customWidth="1"/>
    <col min="11021" max="11021" width="14.28515625" style="1026" customWidth="1"/>
    <col min="11022" max="11022" width="14.28515625" style="1026" bestFit="1" customWidth="1"/>
    <col min="11023" max="11023" width="17.7109375" style="1026" customWidth="1"/>
    <col min="11024" max="11024" width="16.85546875" style="1026" customWidth="1"/>
    <col min="11025" max="11025" width="22.140625" style="1026" customWidth="1"/>
    <col min="11026" max="11026" width="26.140625" style="1026" customWidth="1"/>
    <col min="11027" max="11027" width="18.85546875" style="1026" customWidth="1"/>
    <col min="11028" max="11028" width="25.5703125" style="1026" customWidth="1"/>
    <col min="11029" max="11029" width="21.5703125" style="1026" bestFit="1" customWidth="1"/>
    <col min="11030" max="11030" width="21.28515625" style="1026" customWidth="1"/>
    <col min="11031" max="11031" width="3.7109375" style="1026" customWidth="1"/>
    <col min="11032" max="11264" width="10.28515625" style="1026"/>
    <col min="11265" max="11265" width="4" style="1026" customWidth="1"/>
    <col min="11266" max="11266" width="30" style="1026" customWidth="1"/>
    <col min="11267" max="11267" width="6.42578125" style="1026" bestFit="1" customWidth="1"/>
    <col min="11268" max="11269" width="12.85546875" style="1026" customWidth="1"/>
    <col min="11270" max="11274" width="14.5703125" style="1026" customWidth="1"/>
    <col min="11275" max="11275" width="13" style="1026" customWidth="1"/>
    <col min="11276" max="11276" width="15.42578125" style="1026" customWidth="1"/>
    <col min="11277" max="11277" width="14.28515625" style="1026" customWidth="1"/>
    <col min="11278" max="11278" width="14.28515625" style="1026" bestFit="1" customWidth="1"/>
    <col min="11279" max="11279" width="17.7109375" style="1026" customWidth="1"/>
    <col min="11280" max="11280" width="16.85546875" style="1026" customWidth="1"/>
    <col min="11281" max="11281" width="22.140625" style="1026" customWidth="1"/>
    <col min="11282" max="11282" width="26.140625" style="1026" customWidth="1"/>
    <col min="11283" max="11283" width="18.85546875" style="1026" customWidth="1"/>
    <col min="11284" max="11284" width="25.5703125" style="1026" customWidth="1"/>
    <col min="11285" max="11285" width="21.5703125" style="1026" bestFit="1" customWidth="1"/>
    <col min="11286" max="11286" width="21.28515625" style="1026" customWidth="1"/>
    <col min="11287" max="11287" width="3.7109375" style="1026" customWidth="1"/>
    <col min="11288" max="11520" width="10.28515625" style="1026"/>
    <col min="11521" max="11521" width="4" style="1026" customWidth="1"/>
    <col min="11522" max="11522" width="30" style="1026" customWidth="1"/>
    <col min="11523" max="11523" width="6.42578125" style="1026" bestFit="1" customWidth="1"/>
    <col min="11524" max="11525" width="12.85546875" style="1026" customWidth="1"/>
    <col min="11526" max="11530" width="14.5703125" style="1026" customWidth="1"/>
    <col min="11531" max="11531" width="13" style="1026" customWidth="1"/>
    <col min="11532" max="11532" width="15.42578125" style="1026" customWidth="1"/>
    <col min="11533" max="11533" width="14.28515625" style="1026" customWidth="1"/>
    <col min="11534" max="11534" width="14.28515625" style="1026" bestFit="1" customWidth="1"/>
    <col min="11535" max="11535" width="17.7109375" style="1026" customWidth="1"/>
    <col min="11536" max="11536" width="16.85546875" style="1026" customWidth="1"/>
    <col min="11537" max="11537" width="22.140625" style="1026" customWidth="1"/>
    <col min="11538" max="11538" width="26.140625" style="1026" customWidth="1"/>
    <col min="11539" max="11539" width="18.85546875" style="1026" customWidth="1"/>
    <col min="11540" max="11540" width="25.5703125" style="1026" customWidth="1"/>
    <col min="11541" max="11541" width="21.5703125" style="1026" bestFit="1" customWidth="1"/>
    <col min="11542" max="11542" width="21.28515625" style="1026" customWidth="1"/>
    <col min="11543" max="11543" width="3.7109375" style="1026" customWidth="1"/>
    <col min="11544" max="11776" width="10.28515625" style="1026"/>
    <col min="11777" max="11777" width="4" style="1026" customWidth="1"/>
    <col min="11778" max="11778" width="30" style="1026" customWidth="1"/>
    <col min="11779" max="11779" width="6.42578125" style="1026" bestFit="1" customWidth="1"/>
    <col min="11780" max="11781" width="12.85546875" style="1026" customWidth="1"/>
    <col min="11782" max="11786" width="14.5703125" style="1026" customWidth="1"/>
    <col min="11787" max="11787" width="13" style="1026" customWidth="1"/>
    <col min="11788" max="11788" width="15.42578125" style="1026" customWidth="1"/>
    <col min="11789" max="11789" width="14.28515625" style="1026" customWidth="1"/>
    <col min="11790" max="11790" width="14.28515625" style="1026" bestFit="1" customWidth="1"/>
    <col min="11791" max="11791" width="17.7109375" style="1026" customWidth="1"/>
    <col min="11792" max="11792" width="16.85546875" style="1026" customWidth="1"/>
    <col min="11793" max="11793" width="22.140625" style="1026" customWidth="1"/>
    <col min="11794" max="11794" width="26.140625" style="1026" customWidth="1"/>
    <col min="11795" max="11795" width="18.85546875" style="1026" customWidth="1"/>
    <col min="11796" max="11796" width="25.5703125" style="1026" customWidth="1"/>
    <col min="11797" max="11797" width="21.5703125" style="1026" bestFit="1" customWidth="1"/>
    <col min="11798" max="11798" width="21.28515625" style="1026" customWidth="1"/>
    <col min="11799" max="11799" width="3.7109375" style="1026" customWidth="1"/>
    <col min="11800" max="12032" width="10.28515625" style="1026"/>
    <col min="12033" max="12033" width="4" style="1026" customWidth="1"/>
    <col min="12034" max="12034" width="30" style="1026" customWidth="1"/>
    <col min="12035" max="12035" width="6.42578125" style="1026" bestFit="1" customWidth="1"/>
    <col min="12036" max="12037" width="12.85546875" style="1026" customWidth="1"/>
    <col min="12038" max="12042" width="14.5703125" style="1026" customWidth="1"/>
    <col min="12043" max="12043" width="13" style="1026" customWidth="1"/>
    <col min="12044" max="12044" width="15.42578125" style="1026" customWidth="1"/>
    <col min="12045" max="12045" width="14.28515625" style="1026" customWidth="1"/>
    <col min="12046" max="12046" width="14.28515625" style="1026" bestFit="1" customWidth="1"/>
    <col min="12047" max="12047" width="17.7109375" style="1026" customWidth="1"/>
    <col min="12048" max="12048" width="16.85546875" style="1026" customWidth="1"/>
    <col min="12049" max="12049" width="22.140625" style="1026" customWidth="1"/>
    <col min="12050" max="12050" width="26.140625" style="1026" customWidth="1"/>
    <col min="12051" max="12051" width="18.85546875" style="1026" customWidth="1"/>
    <col min="12052" max="12052" width="25.5703125" style="1026" customWidth="1"/>
    <col min="12053" max="12053" width="21.5703125" style="1026" bestFit="1" customWidth="1"/>
    <col min="12054" max="12054" width="21.28515625" style="1026" customWidth="1"/>
    <col min="12055" max="12055" width="3.7109375" style="1026" customWidth="1"/>
    <col min="12056" max="12288" width="10.28515625" style="1026"/>
    <col min="12289" max="12289" width="4" style="1026" customWidth="1"/>
    <col min="12290" max="12290" width="30" style="1026" customWidth="1"/>
    <col min="12291" max="12291" width="6.42578125" style="1026" bestFit="1" customWidth="1"/>
    <col min="12292" max="12293" width="12.85546875" style="1026" customWidth="1"/>
    <col min="12294" max="12298" width="14.5703125" style="1026" customWidth="1"/>
    <col min="12299" max="12299" width="13" style="1026" customWidth="1"/>
    <col min="12300" max="12300" width="15.42578125" style="1026" customWidth="1"/>
    <col min="12301" max="12301" width="14.28515625" style="1026" customWidth="1"/>
    <col min="12302" max="12302" width="14.28515625" style="1026" bestFit="1" customWidth="1"/>
    <col min="12303" max="12303" width="17.7109375" style="1026" customWidth="1"/>
    <col min="12304" max="12304" width="16.85546875" style="1026" customWidth="1"/>
    <col min="12305" max="12305" width="22.140625" style="1026" customWidth="1"/>
    <col min="12306" max="12306" width="26.140625" style="1026" customWidth="1"/>
    <col min="12307" max="12307" width="18.85546875" style="1026" customWidth="1"/>
    <col min="12308" max="12308" width="25.5703125" style="1026" customWidth="1"/>
    <col min="12309" max="12309" width="21.5703125" style="1026" bestFit="1" customWidth="1"/>
    <col min="12310" max="12310" width="21.28515625" style="1026" customWidth="1"/>
    <col min="12311" max="12311" width="3.7109375" style="1026" customWidth="1"/>
    <col min="12312" max="12544" width="10.28515625" style="1026"/>
    <col min="12545" max="12545" width="4" style="1026" customWidth="1"/>
    <col min="12546" max="12546" width="30" style="1026" customWidth="1"/>
    <col min="12547" max="12547" width="6.42578125" style="1026" bestFit="1" customWidth="1"/>
    <col min="12548" max="12549" width="12.85546875" style="1026" customWidth="1"/>
    <col min="12550" max="12554" width="14.5703125" style="1026" customWidth="1"/>
    <col min="12555" max="12555" width="13" style="1026" customWidth="1"/>
    <col min="12556" max="12556" width="15.42578125" style="1026" customWidth="1"/>
    <col min="12557" max="12557" width="14.28515625" style="1026" customWidth="1"/>
    <col min="12558" max="12558" width="14.28515625" style="1026" bestFit="1" customWidth="1"/>
    <col min="12559" max="12559" width="17.7109375" style="1026" customWidth="1"/>
    <col min="12560" max="12560" width="16.85546875" style="1026" customWidth="1"/>
    <col min="12561" max="12561" width="22.140625" style="1026" customWidth="1"/>
    <col min="12562" max="12562" width="26.140625" style="1026" customWidth="1"/>
    <col min="12563" max="12563" width="18.85546875" style="1026" customWidth="1"/>
    <col min="12564" max="12564" width="25.5703125" style="1026" customWidth="1"/>
    <col min="12565" max="12565" width="21.5703125" style="1026" bestFit="1" customWidth="1"/>
    <col min="12566" max="12566" width="21.28515625" style="1026" customWidth="1"/>
    <col min="12567" max="12567" width="3.7109375" style="1026" customWidth="1"/>
    <col min="12568" max="12800" width="10.28515625" style="1026"/>
    <col min="12801" max="12801" width="4" style="1026" customWidth="1"/>
    <col min="12802" max="12802" width="30" style="1026" customWidth="1"/>
    <col min="12803" max="12803" width="6.42578125" style="1026" bestFit="1" customWidth="1"/>
    <col min="12804" max="12805" width="12.85546875" style="1026" customWidth="1"/>
    <col min="12806" max="12810" width="14.5703125" style="1026" customWidth="1"/>
    <col min="12811" max="12811" width="13" style="1026" customWidth="1"/>
    <col min="12812" max="12812" width="15.42578125" style="1026" customWidth="1"/>
    <col min="12813" max="12813" width="14.28515625" style="1026" customWidth="1"/>
    <col min="12814" max="12814" width="14.28515625" style="1026" bestFit="1" customWidth="1"/>
    <col min="12815" max="12815" width="17.7109375" style="1026" customWidth="1"/>
    <col min="12816" max="12816" width="16.85546875" style="1026" customWidth="1"/>
    <col min="12817" max="12817" width="22.140625" style="1026" customWidth="1"/>
    <col min="12818" max="12818" width="26.140625" style="1026" customWidth="1"/>
    <col min="12819" max="12819" width="18.85546875" style="1026" customWidth="1"/>
    <col min="12820" max="12820" width="25.5703125" style="1026" customWidth="1"/>
    <col min="12821" max="12821" width="21.5703125" style="1026" bestFit="1" customWidth="1"/>
    <col min="12822" max="12822" width="21.28515625" style="1026" customWidth="1"/>
    <col min="12823" max="12823" width="3.7109375" style="1026" customWidth="1"/>
    <col min="12824" max="13056" width="10.28515625" style="1026"/>
    <col min="13057" max="13057" width="4" style="1026" customWidth="1"/>
    <col min="13058" max="13058" width="30" style="1026" customWidth="1"/>
    <col min="13059" max="13059" width="6.42578125" style="1026" bestFit="1" customWidth="1"/>
    <col min="13060" max="13061" width="12.85546875" style="1026" customWidth="1"/>
    <col min="13062" max="13066" width="14.5703125" style="1026" customWidth="1"/>
    <col min="13067" max="13067" width="13" style="1026" customWidth="1"/>
    <col min="13068" max="13068" width="15.42578125" style="1026" customWidth="1"/>
    <col min="13069" max="13069" width="14.28515625" style="1026" customWidth="1"/>
    <col min="13070" max="13070" width="14.28515625" style="1026" bestFit="1" customWidth="1"/>
    <col min="13071" max="13071" width="17.7109375" style="1026" customWidth="1"/>
    <col min="13072" max="13072" width="16.85546875" style="1026" customWidth="1"/>
    <col min="13073" max="13073" width="22.140625" style="1026" customWidth="1"/>
    <col min="13074" max="13074" width="26.140625" style="1026" customWidth="1"/>
    <col min="13075" max="13075" width="18.85546875" style="1026" customWidth="1"/>
    <col min="13076" max="13076" width="25.5703125" style="1026" customWidth="1"/>
    <col min="13077" max="13077" width="21.5703125" style="1026" bestFit="1" customWidth="1"/>
    <col min="13078" max="13078" width="21.28515625" style="1026" customWidth="1"/>
    <col min="13079" max="13079" width="3.7109375" style="1026" customWidth="1"/>
    <col min="13080" max="13312" width="10.28515625" style="1026"/>
    <col min="13313" max="13313" width="4" style="1026" customWidth="1"/>
    <col min="13314" max="13314" width="30" style="1026" customWidth="1"/>
    <col min="13315" max="13315" width="6.42578125" style="1026" bestFit="1" customWidth="1"/>
    <col min="13316" max="13317" width="12.85546875" style="1026" customWidth="1"/>
    <col min="13318" max="13322" width="14.5703125" style="1026" customWidth="1"/>
    <col min="13323" max="13323" width="13" style="1026" customWidth="1"/>
    <col min="13324" max="13324" width="15.42578125" style="1026" customWidth="1"/>
    <col min="13325" max="13325" width="14.28515625" style="1026" customWidth="1"/>
    <col min="13326" max="13326" width="14.28515625" style="1026" bestFit="1" customWidth="1"/>
    <col min="13327" max="13327" width="17.7109375" style="1026" customWidth="1"/>
    <col min="13328" max="13328" width="16.85546875" style="1026" customWidth="1"/>
    <col min="13329" max="13329" width="22.140625" style="1026" customWidth="1"/>
    <col min="13330" max="13330" width="26.140625" style="1026" customWidth="1"/>
    <col min="13331" max="13331" width="18.85546875" style="1026" customWidth="1"/>
    <col min="13332" max="13332" width="25.5703125" style="1026" customWidth="1"/>
    <col min="13333" max="13333" width="21.5703125" style="1026" bestFit="1" customWidth="1"/>
    <col min="13334" max="13334" width="21.28515625" style="1026" customWidth="1"/>
    <col min="13335" max="13335" width="3.7109375" style="1026" customWidth="1"/>
    <col min="13336" max="13568" width="10.28515625" style="1026"/>
    <col min="13569" max="13569" width="4" style="1026" customWidth="1"/>
    <col min="13570" max="13570" width="30" style="1026" customWidth="1"/>
    <col min="13571" max="13571" width="6.42578125" style="1026" bestFit="1" customWidth="1"/>
    <col min="13572" max="13573" width="12.85546875" style="1026" customWidth="1"/>
    <col min="13574" max="13578" width="14.5703125" style="1026" customWidth="1"/>
    <col min="13579" max="13579" width="13" style="1026" customWidth="1"/>
    <col min="13580" max="13580" width="15.42578125" style="1026" customWidth="1"/>
    <col min="13581" max="13581" width="14.28515625" style="1026" customWidth="1"/>
    <col min="13582" max="13582" width="14.28515625" style="1026" bestFit="1" customWidth="1"/>
    <col min="13583" max="13583" width="17.7109375" style="1026" customWidth="1"/>
    <col min="13584" max="13584" width="16.85546875" style="1026" customWidth="1"/>
    <col min="13585" max="13585" width="22.140625" style="1026" customWidth="1"/>
    <col min="13586" max="13586" width="26.140625" style="1026" customWidth="1"/>
    <col min="13587" max="13587" width="18.85546875" style="1026" customWidth="1"/>
    <col min="13588" max="13588" width="25.5703125" style="1026" customWidth="1"/>
    <col min="13589" max="13589" width="21.5703125" style="1026" bestFit="1" customWidth="1"/>
    <col min="13590" max="13590" width="21.28515625" style="1026" customWidth="1"/>
    <col min="13591" max="13591" width="3.7109375" style="1026" customWidth="1"/>
    <col min="13592" max="13824" width="10.28515625" style="1026"/>
    <col min="13825" max="13825" width="4" style="1026" customWidth="1"/>
    <col min="13826" max="13826" width="30" style="1026" customWidth="1"/>
    <col min="13827" max="13827" width="6.42578125" style="1026" bestFit="1" customWidth="1"/>
    <col min="13828" max="13829" width="12.85546875" style="1026" customWidth="1"/>
    <col min="13830" max="13834" width="14.5703125" style="1026" customWidth="1"/>
    <col min="13835" max="13835" width="13" style="1026" customWidth="1"/>
    <col min="13836" max="13836" width="15.42578125" style="1026" customWidth="1"/>
    <col min="13837" max="13837" width="14.28515625" style="1026" customWidth="1"/>
    <col min="13838" max="13838" width="14.28515625" style="1026" bestFit="1" customWidth="1"/>
    <col min="13839" max="13839" width="17.7109375" style="1026" customWidth="1"/>
    <col min="13840" max="13840" width="16.85546875" style="1026" customWidth="1"/>
    <col min="13841" max="13841" width="22.140625" style="1026" customWidth="1"/>
    <col min="13842" max="13842" width="26.140625" style="1026" customWidth="1"/>
    <col min="13843" max="13843" width="18.85546875" style="1026" customWidth="1"/>
    <col min="13844" max="13844" width="25.5703125" style="1026" customWidth="1"/>
    <col min="13845" max="13845" width="21.5703125" style="1026" bestFit="1" customWidth="1"/>
    <col min="13846" max="13846" width="21.28515625" style="1026" customWidth="1"/>
    <col min="13847" max="13847" width="3.7109375" style="1026" customWidth="1"/>
    <col min="13848" max="14080" width="10.28515625" style="1026"/>
    <col min="14081" max="14081" width="4" style="1026" customWidth="1"/>
    <col min="14082" max="14082" width="30" style="1026" customWidth="1"/>
    <col min="14083" max="14083" width="6.42578125" style="1026" bestFit="1" customWidth="1"/>
    <col min="14084" max="14085" width="12.85546875" style="1026" customWidth="1"/>
    <col min="14086" max="14090" width="14.5703125" style="1026" customWidth="1"/>
    <col min="14091" max="14091" width="13" style="1026" customWidth="1"/>
    <col min="14092" max="14092" width="15.42578125" style="1026" customWidth="1"/>
    <col min="14093" max="14093" width="14.28515625" style="1026" customWidth="1"/>
    <col min="14094" max="14094" width="14.28515625" style="1026" bestFit="1" customWidth="1"/>
    <col min="14095" max="14095" width="17.7109375" style="1026" customWidth="1"/>
    <col min="14096" max="14096" width="16.85546875" style="1026" customWidth="1"/>
    <col min="14097" max="14097" width="22.140625" style="1026" customWidth="1"/>
    <col min="14098" max="14098" width="26.140625" style="1026" customWidth="1"/>
    <col min="14099" max="14099" width="18.85546875" style="1026" customWidth="1"/>
    <col min="14100" max="14100" width="25.5703125" style="1026" customWidth="1"/>
    <col min="14101" max="14101" width="21.5703125" style="1026" bestFit="1" customWidth="1"/>
    <col min="14102" max="14102" width="21.28515625" style="1026" customWidth="1"/>
    <col min="14103" max="14103" width="3.7109375" style="1026" customWidth="1"/>
    <col min="14104" max="14336" width="10.28515625" style="1026"/>
    <col min="14337" max="14337" width="4" style="1026" customWidth="1"/>
    <col min="14338" max="14338" width="30" style="1026" customWidth="1"/>
    <col min="14339" max="14339" width="6.42578125" style="1026" bestFit="1" customWidth="1"/>
    <col min="14340" max="14341" width="12.85546875" style="1026" customWidth="1"/>
    <col min="14342" max="14346" width="14.5703125" style="1026" customWidth="1"/>
    <col min="14347" max="14347" width="13" style="1026" customWidth="1"/>
    <col min="14348" max="14348" width="15.42578125" style="1026" customWidth="1"/>
    <col min="14349" max="14349" width="14.28515625" style="1026" customWidth="1"/>
    <col min="14350" max="14350" width="14.28515625" style="1026" bestFit="1" customWidth="1"/>
    <col min="14351" max="14351" width="17.7109375" style="1026" customWidth="1"/>
    <col min="14352" max="14352" width="16.85546875" style="1026" customWidth="1"/>
    <col min="14353" max="14353" width="22.140625" style="1026" customWidth="1"/>
    <col min="14354" max="14354" width="26.140625" style="1026" customWidth="1"/>
    <col min="14355" max="14355" width="18.85546875" style="1026" customWidth="1"/>
    <col min="14356" max="14356" width="25.5703125" style="1026" customWidth="1"/>
    <col min="14357" max="14357" width="21.5703125" style="1026" bestFit="1" customWidth="1"/>
    <col min="14358" max="14358" width="21.28515625" style="1026" customWidth="1"/>
    <col min="14359" max="14359" width="3.7109375" style="1026" customWidth="1"/>
    <col min="14360" max="14592" width="10.28515625" style="1026"/>
    <col min="14593" max="14593" width="4" style="1026" customWidth="1"/>
    <col min="14594" max="14594" width="30" style="1026" customWidth="1"/>
    <col min="14595" max="14595" width="6.42578125" style="1026" bestFit="1" customWidth="1"/>
    <col min="14596" max="14597" width="12.85546875" style="1026" customWidth="1"/>
    <col min="14598" max="14602" width="14.5703125" style="1026" customWidth="1"/>
    <col min="14603" max="14603" width="13" style="1026" customWidth="1"/>
    <col min="14604" max="14604" width="15.42578125" style="1026" customWidth="1"/>
    <col min="14605" max="14605" width="14.28515625" style="1026" customWidth="1"/>
    <col min="14606" max="14606" width="14.28515625" style="1026" bestFit="1" customWidth="1"/>
    <col min="14607" max="14607" width="17.7109375" style="1026" customWidth="1"/>
    <col min="14608" max="14608" width="16.85546875" style="1026" customWidth="1"/>
    <col min="14609" max="14609" width="22.140625" style="1026" customWidth="1"/>
    <col min="14610" max="14610" width="26.140625" style="1026" customWidth="1"/>
    <col min="14611" max="14611" width="18.85546875" style="1026" customWidth="1"/>
    <col min="14612" max="14612" width="25.5703125" style="1026" customWidth="1"/>
    <col min="14613" max="14613" width="21.5703125" style="1026" bestFit="1" customWidth="1"/>
    <col min="14614" max="14614" width="21.28515625" style="1026" customWidth="1"/>
    <col min="14615" max="14615" width="3.7109375" style="1026" customWidth="1"/>
    <col min="14616" max="14848" width="10.28515625" style="1026"/>
    <col min="14849" max="14849" width="4" style="1026" customWidth="1"/>
    <col min="14850" max="14850" width="30" style="1026" customWidth="1"/>
    <col min="14851" max="14851" width="6.42578125" style="1026" bestFit="1" customWidth="1"/>
    <col min="14852" max="14853" width="12.85546875" style="1026" customWidth="1"/>
    <col min="14854" max="14858" width="14.5703125" style="1026" customWidth="1"/>
    <col min="14859" max="14859" width="13" style="1026" customWidth="1"/>
    <col min="14860" max="14860" width="15.42578125" style="1026" customWidth="1"/>
    <col min="14861" max="14861" width="14.28515625" style="1026" customWidth="1"/>
    <col min="14862" max="14862" width="14.28515625" style="1026" bestFit="1" customWidth="1"/>
    <col min="14863" max="14863" width="17.7109375" style="1026" customWidth="1"/>
    <col min="14864" max="14864" width="16.85546875" style="1026" customWidth="1"/>
    <col min="14865" max="14865" width="22.140625" style="1026" customWidth="1"/>
    <col min="14866" max="14866" width="26.140625" style="1026" customWidth="1"/>
    <col min="14867" max="14867" width="18.85546875" style="1026" customWidth="1"/>
    <col min="14868" max="14868" width="25.5703125" style="1026" customWidth="1"/>
    <col min="14869" max="14869" width="21.5703125" style="1026" bestFit="1" customWidth="1"/>
    <col min="14870" max="14870" width="21.28515625" style="1026" customWidth="1"/>
    <col min="14871" max="14871" width="3.7109375" style="1026" customWidth="1"/>
    <col min="14872" max="15104" width="10.28515625" style="1026"/>
    <col min="15105" max="15105" width="4" style="1026" customWidth="1"/>
    <col min="15106" max="15106" width="30" style="1026" customWidth="1"/>
    <col min="15107" max="15107" width="6.42578125" style="1026" bestFit="1" customWidth="1"/>
    <col min="15108" max="15109" width="12.85546875" style="1026" customWidth="1"/>
    <col min="15110" max="15114" width="14.5703125" style="1026" customWidth="1"/>
    <col min="15115" max="15115" width="13" style="1026" customWidth="1"/>
    <col min="15116" max="15116" width="15.42578125" style="1026" customWidth="1"/>
    <col min="15117" max="15117" width="14.28515625" style="1026" customWidth="1"/>
    <col min="15118" max="15118" width="14.28515625" style="1026" bestFit="1" customWidth="1"/>
    <col min="15119" max="15119" width="17.7109375" style="1026" customWidth="1"/>
    <col min="15120" max="15120" width="16.85546875" style="1026" customWidth="1"/>
    <col min="15121" max="15121" width="22.140625" style="1026" customWidth="1"/>
    <col min="15122" max="15122" width="26.140625" style="1026" customWidth="1"/>
    <col min="15123" max="15123" width="18.85546875" style="1026" customWidth="1"/>
    <col min="15124" max="15124" width="25.5703125" style="1026" customWidth="1"/>
    <col min="15125" max="15125" width="21.5703125" style="1026" bestFit="1" customWidth="1"/>
    <col min="15126" max="15126" width="21.28515625" style="1026" customWidth="1"/>
    <col min="15127" max="15127" width="3.7109375" style="1026" customWidth="1"/>
    <col min="15128" max="15360" width="10.28515625" style="1026"/>
    <col min="15361" max="15361" width="4" style="1026" customWidth="1"/>
    <col min="15362" max="15362" width="30" style="1026" customWidth="1"/>
    <col min="15363" max="15363" width="6.42578125" style="1026" bestFit="1" customWidth="1"/>
    <col min="15364" max="15365" width="12.85546875" style="1026" customWidth="1"/>
    <col min="15366" max="15370" width="14.5703125" style="1026" customWidth="1"/>
    <col min="15371" max="15371" width="13" style="1026" customWidth="1"/>
    <col min="15372" max="15372" width="15.42578125" style="1026" customWidth="1"/>
    <col min="15373" max="15373" width="14.28515625" style="1026" customWidth="1"/>
    <col min="15374" max="15374" width="14.28515625" style="1026" bestFit="1" customWidth="1"/>
    <col min="15375" max="15375" width="17.7109375" style="1026" customWidth="1"/>
    <col min="15376" max="15376" width="16.85546875" style="1026" customWidth="1"/>
    <col min="15377" max="15377" width="22.140625" style="1026" customWidth="1"/>
    <col min="15378" max="15378" width="26.140625" style="1026" customWidth="1"/>
    <col min="15379" max="15379" width="18.85546875" style="1026" customWidth="1"/>
    <col min="15380" max="15380" width="25.5703125" style="1026" customWidth="1"/>
    <col min="15381" max="15381" width="21.5703125" style="1026" bestFit="1" customWidth="1"/>
    <col min="15382" max="15382" width="21.28515625" style="1026" customWidth="1"/>
    <col min="15383" max="15383" width="3.7109375" style="1026" customWidth="1"/>
    <col min="15384" max="15616" width="10.28515625" style="1026"/>
    <col min="15617" max="15617" width="4" style="1026" customWidth="1"/>
    <col min="15618" max="15618" width="30" style="1026" customWidth="1"/>
    <col min="15619" max="15619" width="6.42578125" style="1026" bestFit="1" customWidth="1"/>
    <col min="15620" max="15621" width="12.85546875" style="1026" customWidth="1"/>
    <col min="15622" max="15626" width="14.5703125" style="1026" customWidth="1"/>
    <col min="15627" max="15627" width="13" style="1026" customWidth="1"/>
    <col min="15628" max="15628" width="15.42578125" style="1026" customWidth="1"/>
    <col min="15629" max="15629" width="14.28515625" style="1026" customWidth="1"/>
    <col min="15630" max="15630" width="14.28515625" style="1026" bestFit="1" customWidth="1"/>
    <col min="15631" max="15631" width="17.7109375" style="1026" customWidth="1"/>
    <col min="15632" max="15632" width="16.85546875" style="1026" customWidth="1"/>
    <col min="15633" max="15633" width="22.140625" style="1026" customWidth="1"/>
    <col min="15634" max="15634" width="26.140625" style="1026" customWidth="1"/>
    <col min="15635" max="15635" width="18.85546875" style="1026" customWidth="1"/>
    <col min="15636" max="15636" width="25.5703125" style="1026" customWidth="1"/>
    <col min="15637" max="15637" width="21.5703125" style="1026" bestFit="1" customWidth="1"/>
    <col min="15638" max="15638" width="21.28515625" style="1026" customWidth="1"/>
    <col min="15639" max="15639" width="3.7109375" style="1026" customWidth="1"/>
    <col min="15640" max="15872" width="10.28515625" style="1026"/>
    <col min="15873" max="15873" width="4" style="1026" customWidth="1"/>
    <col min="15874" max="15874" width="30" style="1026" customWidth="1"/>
    <col min="15875" max="15875" width="6.42578125" style="1026" bestFit="1" customWidth="1"/>
    <col min="15876" max="15877" width="12.85546875" style="1026" customWidth="1"/>
    <col min="15878" max="15882" width="14.5703125" style="1026" customWidth="1"/>
    <col min="15883" max="15883" width="13" style="1026" customWidth="1"/>
    <col min="15884" max="15884" width="15.42578125" style="1026" customWidth="1"/>
    <col min="15885" max="15885" width="14.28515625" style="1026" customWidth="1"/>
    <col min="15886" max="15886" width="14.28515625" style="1026" bestFit="1" customWidth="1"/>
    <col min="15887" max="15887" width="17.7109375" style="1026" customWidth="1"/>
    <col min="15888" max="15888" width="16.85546875" style="1026" customWidth="1"/>
    <col min="15889" max="15889" width="22.140625" style="1026" customWidth="1"/>
    <col min="15890" max="15890" width="26.140625" style="1026" customWidth="1"/>
    <col min="15891" max="15891" width="18.85546875" style="1026" customWidth="1"/>
    <col min="15892" max="15892" width="25.5703125" style="1026" customWidth="1"/>
    <col min="15893" max="15893" width="21.5703125" style="1026" bestFit="1" customWidth="1"/>
    <col min="15894" max="15894" width="21.28515625" style="1026" customWidth="1"/>
    <col min="15895" max="15895" width="3.7109375" style="1026" customWidth="1"/>
    <col min="15896" max="16128" width="10.28515625" style="1026"/>
    <col min="16129" max="16129" width="4" style="1026" customWidth="1"/>
    <col min="16130" max="16130" width="30" style="1026" customWidth="1"/>
    <col min="16131" max="16131" width="6.42578125" style="1026" bestFit="1" customWidth="1"/>
    <col min="16132" max="16133" width="12.85546875" style="1026" customWidth="1"/>
    <col min="16134" max="16138" width="14.5703125" style="1026" customWidth="1"/>
    <col min="16139" max="16139" width="13" style="1026" customWidth="1"/>
    <col min="16140" max="16140" width="15.42578125" style="1026" customWidth="1"/>
    <col min="16141" max="16141" width="14.28515625" style="1026" customWidth="1"/>
    <col min="16142" max="16142" width="14.28515625" style="1026" bestFit="1" customWidth="1"/>
    <col min="16143" max="16143" width="17.7109375" style="1026" customWidth="1"/>
    <col min="16144" max="16144" width="16.85546875" style="1026" customWidth="1"/>
    <col min="16145" max="16145" width="22.140625" style="1026" customWidth="1"/>
    <col min="16146" max="16146" width="26.140625" style="1026" customWidth="1"/>
    <col min="16147" max="16147" width="18.85546875" style="1026" customWidth="1"/>
    <col min="16148" max="16148" width="25.5703125" style="1026" customWidth="1"/>
    <col min="16149" max="16149" width="21.5703125" style="1026" bestFit="1" customWidth="1"/>
    <col min="16150" max="16150" width="21.28515625" style="1026" customWidth="1"/>
    <col min="16151" max="16151" width="3.7109375" style="1026" customWidth="1"/>
    <col min="16152" max="16384" width="10.28515625" style="1026"/>
  </cols>
  <sheetData>
    <row r="1" spans="1:15" x14ac:dyDescent="0.2">
      <c r="A1" s="1303" t="s">
        <v>2019</v>
      </c>
      <c r="B1" s="1304"/>
      <c r="C1" s="1303"/>
      <c r="D1" s="1303"/>
      <c r="E1" s="1303"/>
      <c r="F1" s="1303"/>
      <c r="G1" s="1303"/>
      <c r="H1" s="1303"/>
      <c r="I1" s="1303"/>
      <c r="J1" s="1305"/>
      <c r="K1" s="1303"/>
      <c r="L1" s="1303"/>
    </row>
    <row r="2" spans="1:15" x14ac:dyDescent="0.2">
      <c r="A2" s="1303" t="s">
        <v>1330</v>
      </c>
      <c r="B2" s="1304"/>
      <c r="C2" s="1303"/>
      <c r="D2" s="1303"/>
      <c r="E2" s="1303"/>
      <c r="F2" s="1303"/>
      <c r="G2" s="1303"/>
      <c r="H2" s="1303"/>
      <c r="I2" s="1303"/>
      <c r="J2" s="1305"/>
      <c r="K2" s="1303"/>
      <c r="L2" s="1303"/>
    </row>
    <row r="5" spans="1:15" s="1312" customFormat="1" x14ac:dyDescent="0.2">
      <c r="A5" s="1306"/>
      <c r="B5" s="1307" t="s">
        <v>1845</v>
      </c>
      <c r="C5" s="1308"/>
      <c r="D5" s="1309" t="s">
        <v>2020</v>
      </c>
      <c r="E5" s="1309" t="s">
        <v>2021</v>
      </c>
      <c r="F5" s="1309" t="s">
        <v>2022</v>
      </c>
      <c r="G5" s="1309" t="s">
        <v>2023</v>
      </c>
      <c r="H5" s="1309" t="s">
        <v>2024</v>
      </c>
      <c r="I5" s="1309" t="s">
        <v>2025</v>
      </c>
      <c r="J5" s="1310" t="s">
        <v>144</v>
      </c>
      <c r="K5" s="1311" t="s">
        <v>90</v>
      </c>
      <c r="L5" s="1309" t="s">
        <v>23</v>
      </c>
    </row>
    <row r="6" spans="1:15" s="1312" customFormat="1" x14ac:dyDescent="0.2">
      <c r="A6" s="1313">
        <v>1</v>
      </c>
      <c r="B6" s="1314" t="s">
        <v>2026</v>
      </c>
      <c r="C6" s="1315"/>
      <c r="D6" s="1316">
        <f>'JKP-8.8 - Peak Day Calculation'!D59</f>
        <v>6266897.1001373474</v>
      </c>
      <c r="E6" s="1316">
        <f>'JKP-8.8 - Peak Day Calculation'!D60</f>
        <v>2168971.4776373985</v>
      </c>
      <c r="F6" s="1316">
        <f>'JKP-8.8 - Peak Day Calculation'!D61</f>
        <v>395202</v>
      </c>
      <c r="G6" s="1316">
        <f>'JKP-8.8 - Peak Day Calculation'!D62</f>
        <v>64993</v>
      </c>
      <c r="H6" s="1316">
        <f>'JKP-8.8 - Peak Day Calculation'!D63</f>
        <v>8376</v>
      </c>
      <c r="I6" s="1316">
        <f>'JKP-8.8 - Peak Day Calculation'!D64</f>
        <v>38256</v>
      </c>
      <c r="J6" s="1316">
        <f>'JKP-8.8 - Peak Day Calculation'!D66+'JKP-8.8 - Peak Day Calculation'!D65</f>
        <v>38483</v>
      </c>
      <c r="K6" s="1317">
        <v>0</v>
      </c>
      <c r="L6" s="1034">
        <f>SUM(D6:K6)</f>
        <v>8981178.5777747463</v>
      </c>
      <c r="O6" s="1318"/>
    </row>
    <row r="7" spans="1:15" s="1312" customFormat="1" x14ac:dyDescent="0.2">
      <c r="A7" s="1313">
        <f>A6+1</f>
        <v>2</v>
      </c>
      <c r="B7" s="1319"/>
      <c r="C7" s="1315"/>
      <c r="D7" s="1320">
        <f>ROUND(D6/$L$6,4)+0.0001</f>
        <v>0.69789999999999996</v>
      </c>
      <c r="E7" s="1320">
        <f>ROUND(E6/$L$6,4)</f>
        <v>0.24149999999999999</v>
      </c>
      <c r="F7" s="1320">
        <f t="shared" ref="F7:K7" si="0">ROUND(F6/$L$6,4)</f>
        <v>4.3999999999999997E-2</v>
      </c>
      <c r="G7" s="1320">
        <f t="shared" si="0"/>
        <v>7.1999999999999998E-3</v>
      </c>
      <c r="H7" s="1320">
        <f t="shared" si="0"/>
        <v>8.9999999999999998E-4</v>
      </c>
      <c r="I7" s="1320">
        <f t="shared" si="0"/>
        <v>4.3E-3</v>
      </c>
      <c r="J7" s="1320">
        <f t="shared" si="0"/>
        <v>4.3E-3</v>
      </c>
      <c r="K7" s="1320">
        <f t="shared" si="0"/>
        <v>0</v>
      </c>
      <c r="L7" s="1320">
        <f>L6/$L$6</f>
        <v>1</v>
      </c>
    </row>
    <row r="8" spans="1:15" s="1312" customFormat="1" ht="13.5" thickBot="1" x14ac:dyDescent="0.25">
      <c r="A8" s="1313"/>
      <c r="B8" s="1319"/>
      <c r="C8" s="1315"/>
      <c r="D8" s="1321"/>
      <c r="E8" s="1321"/>
      <c r="F8" s="1321"/>
      <c r="G8" s="1321"/>
      <c r="H8" s="1321"/>
      <c r="I8" s="1321"/>
      <c r="J8" s="1321"/>
      <c r="K8" s="1321"/>
      <c r="L8" s="1322"/>
    </row>
    <row r="9" spans="1:15" x14ac:dyDescent="0.2">
      <c r="A9" s="1313">
        <f>A7+1</f>
        <v>3</v>
      </c>
      <c r="B9" s="1323" t="s">
        <v>242</v>
      </c>
      <c r="C9" s="1324"/>
      <c r="D9" s="1316">
        <f>'JKP-8.8 - Peak Day Calculation'!G59</f>
        <v>6266897.1001373474</v>
      </c>
      <c r="E9" s="1316">
        <f>'JKP-8.8 - Peak Day Calculation'!G60</f>
        <v>2168971.4776373985</v>
      </c>
      <c r="F9" s="1316">
        <f>'JKP-8.8 - Peak Day Calculation'!G61</f>
        <v>362862</v>
      </c>
      <c r="G9" s="1316">
        <f>'JKP-8.8 - Peak Day Calculation'!G62</f>
        <v>10036</v>
      </c>
      <c r="H9" s="1316">
        <f>'JKP-8.8 - Peak Day Calculation'!G63</f>
        <v>8376</v>
      </c>
      <c r="I9" s="1316">
        <f>'JKP-8.8 - Peak Day Calculation'!G64</f>
        <v>532</v>
      </c>
      <c r="J9" s="1325">
        <v>0</v>
      </c>
      <c r="K9" s="1317">
        <v>0</v>
      </c>
      <c r="L9" s="1034">
        <f>SUM(D9:K9)</f>
        <v>8817674.5777747463</v>
      </c>
      <c r="N9" s="1326"/>
      <c r="O9" s="1327">
        <v>30</v>
      </c>
    </row>
    <row r="10" spans="1:15" x14ac:dyDescent="0.2">
      <c r="A10" s="1313">
        <f>A9+1</f>
        <v>4</v>
      </c>
      <c r="B10" s="1328"/>
      <c r="C10" s="1318"/>
      <c r="D10" s="1329">
        <f>ROUND(D9/$L$9,4)</f>
        <v>0.7107</v>
      </c>
      <c r="E10" s="1329">
        <f>ROUND(E9/$L$9,4)</f>
        <v>0.246</v>
      </c>
      <c r="F10" s="1329">
        <f t="shared" ref="F10:K10" si="1">ROUND(F9/$L$9,4)</f>
        <v>4.1200000000000001E-2</v>
      </c>
      <c r="G10" s="1329">
        <f t="shared" si="1"/>
        <v>1.1000000000000001E-3</v>
      </c>
      <c r="H10" s="1329">
        <f t="shared" si="1"/>
        <v>8.9999999999999998E-4</v>
      </c>
      <c r="I10" s="1329">
        <f t="shared" si="1"/>
        <v>1E-4</v>
      </c>
      <c r="J10" s="1329">
        <f t="shared" si="1"/>
        <v>0</v>
      </c>
      <c r="K10" s="1329">
        <f t="shared" si="1"/>
        <v>0</v>
      </c>
      <c r="L10" s="1320">
        <f>SUM(D10:K10)</f>
        <v>1</v>
      </c>
      <c r="M10" s="1212"/>
      <c r="N10" s="1330"/>
      <c r="O10" s="1331"/>
    </row>
    <row r="11" spans="1:15" x14ac:dyDescent="0.2">
      <c r="B11" s="1328"/>
      <c r="C11" s="1318"/>
      <c r="D11" s="1332"/>
      <c r="E11" s="1332"/>
      <c r="F11" s="1332"/>
      <c r="G11" s="1332"/>
      <c r="H11" s="1332"/>
      <c r="I11" s="1332"/>
      <c r="J11" s="1332"/>
      <c r="K11" s="1332"/>
      <c r="L11" s="1034"/>
      <c r="M11" s="1212"/>
      <c r="N11" s="1330"/>
      <c r="O11" s="1331"/>
    </row>
    <row r="12" spans="1:15" x14ac:dyDescent="0.2">
      <c r="A12" s="1313">
        <f>A10+1</f>
        <v>5</v>
      </c>
      <c r="B12" s="1323" t="s">
        <v>2027</v>
      </c>
      <c r="C12" s="1333"/>
      <c r="D12" s="1316">
        <f>'JKP-8.8 - SalesVols'!$R$10</f>
        <v>548039263</v>
      </c>
      <c r="E12" s="1316">
        <f>'JKP-8.8 - SalesVols'!$R$11</f>
        <v>202387050</v>
      </c>
      <c r="F12" s="1316">
        <f>'JKP-8.8 - SalesVols'!$R$12+'JKP-8.8 - SalesVols'!$R$16</f>
        <v>77382831</v>
      </c>
      <c r="G12" s="1316">
        <f>'JKP-8.8 - SalesVols'!$R$13+'JKP-8.8 - SalesVols'!$R$17</f>
        <v>82190712</v>
      </c>
      <c r="H12" s="1316">
        <f>'JKP-8.8 - SalesVols'!$R$14+'JKP-8.8 - SalesVols'!$R$18</f>
        <v>13962361</v>
      </c>
      <c r="I12" s="1316">
        <f>'JKP-8.8 - SalesVols'!$R$15+'JKP-8.8 - SalesVols'!$R$19</f>
        <v>129614230</v>
      </c>
      <c r="J12" s="1316">
        <f>'JKP-8.8 - SalesVols'!$R$20</f>
        <v>35980178</v>
      </c>
      <c r="K12" s="1317">
        <v>0</v>
      </c>
      <c r="L12" s="1034">
        <f>SUM(D12:K12)</f>
        <v>1089556625</v>
      </c>
      <c r="M12" s="1212"/>
      <c r="N12" s="1330"/>
      <c r="O12" s="1331"/>
    </row>
    <row r="13" spans="1:15" x14ac:dyDescent="0.2">
      <c r="A13" s="1313">
        <f>A12+1</f>
        <v>6</v>
      </c>
      <c r="B13" s="1334" t="s">
        <v>2028</v>
      </c>
      <c r="C13" s="1335"/>
      <c r="D13" s="1329">
        <f>ROUND(+D12/$L$12,4)</f>
        <v>0.503</v>
      </c>
      <c r="E13" s="1329">
        <f t="shared" ref="E13:K13" si="2">ROUND(+E12/$L$12,4)</f>
        <v>0.18579999999999999</v>
      </c>
      <c r="F13" s="1329">
        <f t="shared" si="2"/>
        <v>7.0999999999999994E-2</v>
      </c>
      <c r="G13" s="1329">
        <f t="shared" si="2"/>
        <v>7.5399999999999995E-2</v>
      </c>
      <c r="H13" s="1329">
        <f t="shared" si="2"/>
        <v>1.2800000000000001E-2</v>
      </c>
      <c r="I13" s="1329">
        <f t="shared" si="2"/>
        <v>0.11899999999999999</v>
      </c>
      <c r="J13" s="1329">
        <f t="shared" si="2"/>
        <v>3.3000000000000002E-2</v>
      </c>
      <c r="K13" s="1329">
        <f t="shared" si="2"/>
        <v>0</v>
      </c>
      <c r="L13" s="1320">
        <f>+SUM(D13:K13)</f>
        <v>1</v>
      </c>
      <c r="M13" s="1212"/>
      <c r="N13" s="1330"/>
      <c r="O13" s="1331"/>
    </row>
    <row r="14" spans="1:15" x14ac:dyDescent="0.2">
      <c r="A14" s="1313"/>
      <c r="B14" s="1336"/>
      <c r="C14" s="1333"/>
      <c r="D14" s="1332"/>
      <c r="E14" s="1332"/>
      <c r="F14" s="1332"/>
      <c r="G14" s="1332"/>
      <c r="H14" s="1332"/>
      <c r="I14" s="1332"/>
      <c r="J14" s="1332"/>
      <c r="K14" s="1332"/>
      <c r="L14" s="1034"/>
      <c r="M14" s="1212"/>
      <c r="N14" s="1330"/>
      <c r="O14" s="1331"/>
    </row>
    <row r="15" spans="1:15" x14ac:dyDescent="0.2">
      <c r="A15" s="1313">
        <f>A13+1</f>
        <v>7</v>
      </c>
      <c r="B15" s="1314" t="s">
        <v>2029</v>
      </c>
      <c r="C15" s="1315"/>
      <c r="D15" s="1337">
        <f>(D13*'JKP-8.8 - System Load Factor'!$B$10)+(D7*'JKP-8.8 - System Load Factor'!$C$10)</f>
        <v>0.63312081964573164</v>
      </c>
      <c r="E15" s="1337">
        <f>(E13*'JKP-8.8 - System Load Factor'!$B$10)+(E7*'JKP-8.8 - System Load Factor'!$C$10)</f>
        <v>0.22298691459346975</v>
      </c>
      <c r="F15" s="1337">
        <f>(F13*'JKP-8.8 - System Load Factor'!$B$10)+(F7*'JKP-8.8 - System Load Factor'!$C$10)-0.0001</f>
        <v>5.2874027037276783E-2</v>
      </c>
      <c r="G15" s="1337">
        <f>(G13*'JKP-8.8 - System Load Factor'!$B$10)+(G7*'JKP-8.8 - System Load Factor'!$C$10)</f>
        <v>2.9867727553417659E-2</v>
      </c>
      <c r="H15" s="1337">
        <f>(H13*'JKP-8.8 - System Load Factor'!$B$10)+(H7*'JKP-8.8 - System Load Factor'!$C$10)</f>
        <v>4.8552193238368055E-3</v>
      </c>
      <c r="I15" s="1337">
        <f>(I13*'JKP-8.8 - System Load Factor'!$B$10)+(I7*'JKP-8.8 - System Load Factor'!$C$10)</f>
        <v>4.2422996339838787E-2</v>
      </c>
      <c r="J15" s="1337">
        <f>(J13*'JKP-8.8 - System Load Factor'!$B$10)+(J7*'JKP-8.8 - System Load Factor'!$C$10)</f>
        <v>1.3839058369253473E-2</v>
      </c>
      <c r="K15" s="1337">
        <f>(K13*'JKP-8.8 - System Load Factor'!$B$10)+(K7*'JKP-8.8 - System Load Factor'!$C$10)</f>
        <v>0</v>
      </c>
      <c r="L15" s="1320">
        <f>SUM(D15:K15)</f>
        <v>0.99996676286282493</v>
      </c>
      <c r="N15" s="1330"/>
      <c r="O15" s="1331"/>
    </row>
    <row r="16" spans="1:15" ht="12.75" customHeight="1" x14ac:dyDescent="0.2">
      <c r="A16" s="1338">
        <f>A15+1</f>
        <v>8</v>
      </c>
      <c r="B16" s="1339" t="s">
        <v>2030</v>
      </c>
      <c r="C16" s="1315"/>
      <c r="D16" s="1320">
        <f t="shared" ref="D16:K16" si="3">D15/$L$15</f>
        <v>0.63314186346869905</v>
      </c>
      <c r="E16" s="1320">
        <f t="shared" si="3"/>
        <v>0.2229943262864818</v>
      </c>
      <c r="F16" s="1320">
        <f t="shared" si="3"/>
        <v>5.2875784476978681E-2</v>
      </c>
      <c r="G16" s="1320">
        <f t="shared" si="3"/>
        <v>2.9868720304171651E-2</v>
      </c>
      <c r="H16" s="1320">
        <f t="shared" si="3"/>
        <v>4.8553807027912612E-3</v>
      </c>
      <c r="I16" s="1320">
        <f t="shared" si="3"/>
        <v>4.2424406405654064E-2</v>
      </c>
      <c r="J16" s="1320">
        <f t="shared" si="3"/>
        <v>1.3839518355223483E-2</v>
      </c>
      <c r="K16" s="1320">
        <f t="shared" si="3"/>
        <v>0</v>
      </c>
      <c r="L16" s="1320">
        <f>+SUM(D16:K16)</f>
        <v>1</v>
      </c>
      <c r="N16" s="1330"/>
      <c r="O16" s="1331"/>
    </row>
    <row r="17" spans="1:15" x14ac:dyDescent="0.2">
      <c r="A17" s="1313"/>
      <c r="B17" s="1336"/>
      <c r="C17" s="1333"/>
      <c r="D17" s="1332"/>
      <c r="E17" s="1332"/>
      <c r="F17" s="1332"/>
      <c r="G17" s="1332"/>
      <c r="H17" s="1332"/>
      <c r="I17" s="1332"/>
      <c r="J17" s="1332"/>
      <c r="K17" s="1332"/>
      <c r="L17" s="1034"/>
      <c r="M17" s="1212"/>
      <c r="N17" s="1330"/>
      <c r="O17" s="1331"/>
    </row>
    <row r="18" spans="1:15" x14ac:dyDescent="0.2">
      <c r="A18" s="1313">
        <f>A16+1</f>
        <v>9</v>
      </c>
      <c r="B18" s="1323" t="s">
        <v>277</v>
      </c>
      <c r="C18" s="1333"/>
      <c r="D18" s="1316">
        <f>'JKP-8.8 - SalesVols'!$P10</f>
        <v>548039263</v>
      </c>
      <c r="E18" s="1316">
        <f>'JKP-8.8 - SalesVols'!$P11</f>
        <v>202387050</v>
      </c>
      <c r="F18" s="1316">
        <f>'JKP-8.8 - SalesVols'!$P12</f>
        <v>69568257</v>
      </c>
      <c r="G18" s="1316">
        <f>'JKP-8.8 - SalesVols'!$P13</f>
        <v>17284828</v>
      </c>
      <c r="H18" s="1316">
        <f>'JKP-8.8 - SalesVols'!$P14</f>
        <v>13889578</v>
      </c>
      <c r="I18" s="1316">
        <f>'JKP-8.8 - SalesVols'!$P15</f>
        <v>30035655</v>
      </c>
      <c r="J18" s="1317">
        <v>0</v>
      </c>
      <c r="K18" s="1317">
        <v>0</v>
      </c>
      <c r="L18" s="1034">
        <f>SUM(D18:K18)</f>
        <v>881204631</v>
      </c>
      <c r="M18" s="1212"/>
      <c r="N18" s="1330"/>
      <c r="O18" s="1331"/>
    </row>
    <row r="19" spans="1:15" x14ac:dyDescent="0.2">
      <c r="A19" s="1338">
        <f>A18+1</f>
        <v>10</v>
      </c>
      <c r="B19" s="1340" t="s">
        <v>2031</v>
      </c>
      <c r="C19" s="1341"/>
      <c r="D19" s="1329">
        <f>ROUND(+D18/$L$18,4)</f>
        <v>0.62190000000000001</v>
      </c>
      <c r="E19" s="1329">
        <f t="shared" ref="E19:K19" si="4">ROUND(+E18/$L$18,4)</f>
        <v>0.22969999999999999</v>
      </c>
      <c r="F19" s="1329">
        <f t="shared" si="4"/>
        <v>7.8899999999999998E-2</v>
      </c>
      <c r="G19" s="1329">
        <f t="shared" si="4"/>
        <v>1.9599999999999999E-2</v>
      </c>
      <c r="H19" s="1329">
        <f t="shared" si="4"/>
        <v>1.5800000000000002E-2</v>
      </c>
      <c r="I19" s="1329">
        <f t="shared" si="4"/>
        <v>3.4099999999999998E-2</v>
      </c>
      <c r="J19" s="1329">
        <f t="shared" si="4"/>
        <v>0</v>
      </c>
      <c r="K19" s="1329">
        <f t="shared" si="4"/>
        <v>0</v>
      </c>
      <c r="L19" s="1320">
        <f>+SUM(D19:K19)</f>
        <v>1</v>
      </c>
      <c r="M19" s="1212"/>
      <c r="N19" s="1330"/>
      <c r="O19" s="1331"/>
    </row>
    <row r="20" spans="1:15" x14ac:dyDescent="0.2">
      <c r="A20" s="1313"/>
      <c r="B20" s="1336"/>
      <c r="C20" s="1333"/>
      <c r="D20" s="1212"/>
      <c r="E20" s="1212"/>
      <c r="F20" s="1212"/>
      <c r="G20" s="1212"/>
      <c r="H20" s="1212"/>
      <c r="I20" s="1212"/>
      <c r="J20" s="1342"/>
      <c r="L20" s="1034"/>
      <c r="M20" s="1212"/>
      <c r="N20" s="1330"/>
      <c r="O20" s="1331"/>
    </row>
    <row r="21" spans="1:15" x14ac:dyDescent="0.2">
      <c r="A21" s="1313">
        <f>A19+1</f>
        <v>11</v>
      </c>
      <c r="B21" s="1323" t="s">
        <v>2032</v>
      </c>
      <c r="C21" s="1333"/>
      <c r="D21" s="1343">
        <f>SUM('JKP-8.8 - SalesVols'!$N10:$O10,'JKP-8.8 - SalesVols'!$D10:$F10)</f>
        <v>371559601</v>
      </c>
      <c r="E21" s="1343">
        <f>SUM('JKP-8.8 - SalesVols'!$N11:$O11,'JKP-8.8 - SalesVols'!$D11:$F11)</f>
        <v>127953449</v>
      </c>
      <c r="F21" s="1343">
        <f>SUM('JKP-8.8 - SalesVols'!$N12:$O12,'JKP-8.8 - SalesVols'!$D12:$F12)</f>
        <v>36899614</v>
      </c>
      <c r="G21" s="1343">
        <f>SUM('JKP-8.8 - SalesVols'!$N13:$O13,'JKP-8.8 - SalesVols'!$D13:$F13)</f>
        <v>9213877</v>
      </c>
      <c r="H21" s="1343">
        <f>SUM('JKP-8.8 - SalesVols'!$N14:$O14,'JKP-8.8 - SalesVols'!$D14:$F14)</f>
        <v>8845157</v>
      </c>
      <c r="I21" s="1343">
        <f>SUM('JKP-8.8 - SalesVols'!$N15:$O15,'JKP-8.8 - SalesVols'!$D15:$F15)</f>
        <v>15937563</v>
      </c>
      <c r="J21" s="1317">
        <v>0</v>
      </c>
      <c r="K21" s="1033">
        <v>0</v>
      </c>
      <c r="L21" s="1034">
        <f>SUM(D21:K21)</f>
        <v>570409261</v>
      </c>
      <c r="M21" s="1212"/>
      <c r="N21" s="1330"/>
      <c r="O21" s="1331"/>
    </row>
    <row r="22" spans="1:15" x14ac:dyDescent="0.2">
      <c r="A22" s="1338">
        <f>A21+1</f>
        <v>12</v>
      </c>
      <c r="B22" s="1340" t="s">
        <v>2033</v>
      </c>
      <c r="C22" s="1341"/>
      <c r="D22" s="1329">
        <f>ROUND(+D21/$L$21,4)</f>
        <v>0.65139999999999998</v>
      </c>
      <c r="E22" s="1329">
        <f t="shared" ref="E22:K22" si="5">ROUND(+E21/$L$21,4)</f>
        <v>0.2243</v>
      </c>
      <c r="F22" s="1329">
        <f t="shared" si="5"/>
        <v>6.4699999999999994E-2</v>
      </c>
      <c r="G22" s="1329">
        <f t="shared" si="5"/>
        <v>1.6199999999999999E-2</v>
      </c>
      <c r="H22" s="1329">
        <f t="shared" si="5"/>
        <v>1.55E-2</v>
      </c>
      <c r="I22" s="1329">
        <f t="shared" si="5"/>
        <v>2.7900000000000001E-2</v>
      </c>
      <c r="J22" s="1329">
        <f t="shared" si="5"/>
        <v>0</v>
      </c>
      <c r="K22" s="1329">
        <f t="shared" si="5"/>
        <v>0</v>
      </c>
      <c r="L22" s="1320">
        <f>+SUM(D22:K22)</f>
        <v>0.99999999999999989</v>
      </c>
      <c r="M22" s="1212"/>
      <c r="N22" s="1330"/>
      <c r="O22" s="1331"/>
    </row>
    <row r="23" spans="1:15" x14ac:dyDescent="0.2">
      <c r="A23" s="1313"/>
      <c r="B23" s="1344"/>
      <c r="C23" s="1345"/>
      <c r="D23" s="1212"/>
      <c r="E23" s="1212"/>
      <c r="F23" s="1212"/>
      <c r="G23" s="1212"/>
      <c r="H23" s="1212"/>
      <c r="I23" s="1212"/>
      <c r="J23" s="1342"/>
      <c r="K23" s="1212"/>
      <c r="L23" s="1034"/>
      <c r="M23" s="1212"/>
      <c r="N23" s="1330"/>
      <c r="O23" s="1331"/>
    </row>
    <row r="24" spans="1:15" x14ac:dyDescent="0.2">
      <c r="A24" s="1313">
        <f>A22+1</f>
        <v>13</v>
      </c>
      <c r="B24" s="1323" t="s">
        <v>2034</v>
      </c>
      <c r="C24" s="1333"/>
      <c r="L24" s="1034"/>
      <c r="M24" s="1212"/>
      <c r="N24" s="1330"/>
      <c r="O24" s="1331"/>
    </row>
    <row r="25" spans="1:15" x14ac:dyDescent="0.2">
      <c r="A25" s="1338">
        <f t="shared" ref="A25:A31" si="6">A24+1</f>
        <v>14</v>
      </c>
      <c r="B25" s="1344" t="s">
        <v>2035</v>
      </c>
      <c r="C25" s="1346"/>
      <c r="D25" s="1347">
        <f>SUM('JKP-8.8 - SalesVols'!$G10:$M10)</f>
        <v>176479662</v>
      </c>
      <c r="E25" s="1347">
        <f>SUM('JKP-8.8 - SalesVols'!$G11:$M11)</f>
        <v>74433601</v>
      </c>
      <c r="F25" s="1347">
        <f>SUM('JKP-8.8 - SalesVols'!$G12:$M12)</f>
        <v>32668643</v>
      </c>
      <c r="G25" s="1347">
        <f>SUM('JKP-8.8 - SalesVols'!$G13:$M13)</f>
        <v>8070951</v>
      </c>
      <c r="H25" s="1347">
        <f>SUM('JKP-8.8 - SalesVols'!$G14:$M14)</f>
        <v>5044421</v>
      </c>
      <c r="I25" s="1347">
        <f>SUM('JKP-8.8 - SalesVols'!$G15:$M15)</f>
        <v>14098092</v>
      </c>
      <c r="J25" s="1317">
        <v>0</v>
      </c>
      <c r="K25" s="1033">
        <v>0</v>
      </c>
      <c r="L25" s="1034">
        <f>SUM(D25:K25)</f>
        <v>310795370</v>
      </c>
      <c r="M25" s="1212"/>
      <c r="N25" s="1330"/>
      <c r="O25" s="1331"/>
    </row>
    <row r="26" spans="1:15" x14ac:dyDescent="0.2">
      <c r="A26" s="1338">
        <f t="shared" si="6"/>
        <v>15</v>
      </c>
      <c r="B26" s="1344" t="s">
        <v>2036</v>
      </c>
      <c r="C26" s="1348"/>
      <c r="D26" s="1349">
        <f>SUM($O$29:$O$35)</f>
        <v>214</v>
      </c>
      <c r="E26" s="1349">
        <f t="shared" ref="E26:K26" si="7">SUM($O$29:$O$35)</f>
        <v>214</v>
      </c>
      <c r="F26" s="1349">
        <f t="shared" si="7"/>
        <v>214</v>
      </c>
      <c r="G26" s="1349">
        <f t="shared" si="7"/>
        <v>214</v>
      </c>
      <c r="H26" s="1349">
        <f t="shared" si="7"/>
        <v>214</v>
      </c>
      <c r="I26" s="1349">
        <f t="shared" si="7"/>
        <v>214</v>
      </c>
      <c r="J26" s="1349">
        <f t="shared" si="7"/>
        <v>214</v>
      </c>
      <c r="K26" s="1349">
        <f t="shared" si="7"/>
        <v>214</v>
      </c>
      <c r="L26" s="1349">
        <f>SUM($O$29:$O$35)</f>
        <v>214</v>
      </c>
      <c r="M26" s="1212"/>
      <c r="N26" s="1350">
        <v>40179</v>
      </c>
      <c r="O26" s="1351">
        <v>31</v>
      </c>
    </row>
    <row r="27" spans="1:15" x14ac:dyDescent="0.2">
      <c r="A27" s="1338">
        <f t="shared" si="6"/>
        <v>16</v>
      </c>
      <c r="B27" s="1344" t="s">
        <v>2037</v>
      </c>
      <c r="C27" s="1348"/>
      <c r="D27" s="1034">
        <f t="shared" ref="D27:K27" si="8">D25/D26</f>
        <v>824671.3177570093</v>
      </c>
      <c r="E27" s="1034">
        <f t="shared" si="8"/>
        <v>347820.56542056077</v>
      </c>
      <c r="F27" s="1034">
        <f t="shared" si="8"/>
        <v>152657.21028037384</v>
      </c>
      <c r="G27" s="1034">
        <f t="shared" si="8"/>
        <v>37714.724299065419</v>
      </c>
      <c r="H27" s="1034">
        <f t="shared" si="8"/>
        <v>23572.060747663552</v>
      </c>
      <c r="I27" s="1034">
        <f t="shared" si="8"/>
        <v>65878.934579439258</v>
      </c>
      <c r="J27" s="1040">
        <f t="shared" si="8"/>
        <v>0</v>
      </c>
      <c r="K27" s="1034">
        <f t="shared" si="8"/>
        <v>0</v>
      </c>
      <c r="L27" s="1034">
        <f>SUM(D27:K27)</f>
        <v>1452314.8130841122</v>
      </c>
      <c r="M27" s="1212"/>
      <c r="N27" s="1350">
        <v>40210</v>
      </c>
      <c r="O27" s="1351">
        <v>28</v>
      </c>
    </row>
    <row r="28" spans="1:15" x14ac:dyDescent="0.2">
      <c r="A28" s="1338">
        <f t="shared" si="6"/>
        <v>17</v>
      </c>
      <c r="B28" s="1344" t="s">
        <v>2038</v>
      </c>
      <c r="C28" s="1348"/>
      <c r="D28" s="1034">
        <f t="shared" ref="D28:L28" si="9">D21/D29</f>
        <v>2460659.6092715231</v>
      </c>
      <c r="E28" s="1034">
        <f t="shared" si="9"/>
        <v>847373.83443708613</v>
      </c>
      <c r="F28" s="1034">
        <f t="shared" si="9"/>
        <v>244368.3046357616</v>
      </c>
      <c r="G28" s="1034">
        <f t="shared" si="9"/>
        <v>61019.052980132452</v>
      </c>
      <c r="H28" s="1034">
        <f t="shared" si="9"/>
        <v>58577.198675496686</v>
      </c>
      <c r="I28" s="1034">
        <f t="shared" si="9"/>
        <v>105546.77483443709</v>
      </c>
      <c r="J28" s="1040">
        <f t="shared" si="9"/>
        <v>0</v>
      </c>
      <c r="K28" s="1034">
        <f t="shared" si="9"/>
        <v>0</v>
      </c>
      <c r="L28" s="1034">
        <f t="shared" si="9"/>
        <v>3777544.7748344373</v>
      </c>
      <c r="M28" s="1212"/>
      <c r="N28" s="1350">
        <v>40238</v>
      </c>
      <c r="O28" s="1351">
        <v>31</v>
      </c>
    </row>
    <row r="29" spans="1:15" x14ac:dyDescent="0.2">
      <c r="A29" s="1338">
        <f t="shared" si="6"/>
        <v>18</v>
      </c>
      <c r="B29" s="1344" t="s">
        <v>2039</v>
      </c>
      <c r="C29" s="1348"/>
      <c r="D29" s="1026">
        <f>SUM($O$26:$O$28,$O$36:$O$37)</f>
        <v>151</v>
      </c>
      <c r="E29" s="1026">
        <f t="shared" ref="E29:K29" si="10">SUM($O$26:$O$28,$O$36:$O$37)</f>
        <v>151</v>
      </c>
      <c r="F29" s="1026">
        <f t="shared" si="10"/>
        <v>151</v>
      </c>
      <c r="G29" s="1026">
        <f t="shared" si="10"/>
        <v>151</v>
      </c>
      <c r="H29" s="1026">
        <f t="shared" si="10"/>
        <v>151</v>
      </c>
      <c r="I29" s="1026">
        <f t="shared" si="10"/>
        <v>151</v>
      </c>
      <c r="J29" s="1026">
        <f t="shared" si="10"/>
        <v>151</v>
      </c>
      <c r="K29" s="1026">
        <f t="shared" si="10"/>
        <v>151</v>
      </c>
      <c r="L29" s="1034">
        <f>SUM($O$26:$O$28,$O$36:$O$37)</f>
        <v>151</v>
      </c>
      <c r="M29" s="1212"/>
      <c r="N29" s="1350">
        <v>40269</v>
      </c>
      <c r="O29" s="1351">
        <v>30</v>
      </c>
    </row>
    <row r="30" spans="1:15" ht="12.75" customHeight="1" x14ac:dyDescent="0.2">
      <c r="A30" s="1338">
        <f t="shared" si="6"/>
        <v>19</v>
      </c>
      <c r="B30" s="1352" t="s">
        <v>2040</v>
      </c>
      <c r="C30" s="1353"/>
      <c r="D30" s="1034">
        <f>(+D28-D27)*D29</f>
        <v>247034232.01869157</v>
      </c>
      <c r="E30" s="1034">
        <f t="shared" ref="E30:K30" si="11">(+E28-E27)*E29</f>
        <v>75432543.621495336</v>
      </c>
      <c r="F30" s="1034">
        <f t="shared" si="11"/>
        <v>13848375.247663552</v>
      </c>
      <c r="G30" s="1034">
        <f t="shared" si="11"/>
        <v>3518953.630841122</v>
      </c>
      <c r="H30" s="1034">
        <f t="shared" si="11"/>
        <v>5285775.8271028027</v>
      </c>
      <c r="I30" s="1034">
        <f t="shared" si="11"/>
        <v>5989843.878504673</v>
      </c>
      <c r="J30" s="1040">
        <f t="shared" si="11"/>
        <v>0</v>
      </c>
      <c r="K30" s="1034">
        <f t="shared" si="11"/>
        <v>0</v>
      </c>
      <c r="L30" s="1034">
        <f>SUM(D30:K30)</f>
        <v>351109724.22429907</v>
      </c>
      <c r="M30" s="1212"/>
      <c r="N30" s="1350">
        <v>40299</v>
      </c>
      <c r="O30" s="1351">
        <v>31</v>
      </c>
    </row>
    <row r="31" spans="1:15" x14ac:dyDescent="0.2">
      <c r="A31" s="1338">
        <f t="shared" si="6"/>
        <v>20</v>
      </c>
      <c r="B31" s="1336"/>
      <c r="C31" s="1318"/>
      <c r="D31" s="1329">
        <f>ROUND(+D30/$L$30,4)+0.0001</f>
        <v>0.70369999999999999</v>
      </c>
      <c r="E31" s="1329">
        <f>ROUND(+E30/$L$30,4)</f>
        <v>0.21479999999999999</v>
      </c>
      <c r="F31" s="1329">
        <f>ROUND(+F30/$L$30,4)</f>
        <v>3.9399999999999998E-2</v>
      </c>
      <c r="G31" s="1329">
        <f>ROUND(+G30/$L$30,5)</f>
        <v>1.0019999999999999E-2</v>
      </c>
      <c r="H31" s="1329">
        <f>ROUND(+H30/$L$30,5)</f>
        <v>1.5049999999999999E-2</v>
      </c>
      <c r="I31" s="1329">
        <f>ROUND(+I30/$L$30,5)</f>
        <v>1.7059999999999999E-2</v>
      </c>
      <c r="J31" s="1354">
        <f>ROUND(+J30/$L$30,5)</f>
        <v>0</v>
      </c>
      <c r="K31" s="1329">
        <f>ROUND(+K30/$L$30,5)</f>
        <v>0</v>
      </c>
      <c r="L31" s="1320">
        <f>+SUM(D31:K31)</f>
        <v>1.00003</v>
      </c>
      <c r="N31" s="1350">
        <v>40330</v>
      </c>
      <c r="O31" s="1351">
        <v>30</v>
      </c>
    </row>
    <row r="32" spans="1:15" x14ac:dyDescent="0.2">
      <c r="B32" s="1344"/>
      <c r="D32" s="1329"/>
      <c r="E32" s="1329"/>
      <c r="F32" s="1329"/>
      <c r="G32" s="1329"/>
      <c r="H32" s="1329"/>
      <c r="I32" s="1329"/>
      <c r="J32" s="1354"/>
      <c r="K32" s="1329"/>
      <c r="L32" s="1355"/>
      <c r="N32" s="1350">
        <v>40360</v>
      </c>
      <c r="O32" s="1351">
        <v>31</v>
      </c>
    </row>
    <row r="33" spans="1:15" x14ac:dyDescent="0.2">
      <c r="A33" s="1313">
        <f>A31+1</f>
        <v>21</v>
      </c>
      <c r="B33" s="1356" t="s">
        <v>263</v>
      </c>
      <c r="C33" s="1036"/>
      <c r="D33" s="1354"/>
      <c r="E33" s="1354"/>
      <c r="F33" s="1354"/>
      <c r="G33" s="1354"/>
      <c r="H33" s="1354"/>
      <c r="I33" s="1354"/>
      <c r="J33" s="1354"/>
      <c r="K33" s="1354"/>
      <c r="L33" s="1357"/>
      <c r="N33" s="1350">
        <v>40391</v>
      </c>
      <c r="O33" s="1351">
        <v>31</v>
      </c>
    </row>
    <row r="34" spans="1:15" x14ac:dyDescent="0.2">
      <c r="A34" s="1338">
        <f>A33+1</f>
        <v>22</v>
      </c>
      <c r="B34" s="1336" t="s">
        <v>2041</v>
      </c>
      <c r="C34" s="1036"/>
      <c r="D34" s="1354">
        <f>D19</f>
        <v>0.62190000000000001</v>
      </c>
      <c r="E34" s="1354">
        <f t="shared" ref="E34:K34" si="12">E19</f>
        <v>0.22969999999999999</v>
      </c>
      <c r="F34" s="1354">
        <f t="shared" si="12"/>
        <v>7.8899999999999998E-2</v>
      </c>
      <c r="G34" s="1354">
        <f t="shared" si="12"/>
        <v>1.9599999999999999E-2</v>
      </c>
      <c r="H34" s="1354">
        <f t="shared" si="12"/>
        <v>1.5800000000000002E-2</v>
      </c>
      <c r="I34" s="1354">
        <f t="shared" si="12"/>
        <v>3.4099999999999998E-2</v>
      </c>
      <c r="J34" s="1354">
        <f t="shared" si="12"/>
        <v>0</v>
      </c>
      <c r="K34" s="1354">
        <f t="shared" si="12"/>
        <v>0</v>
      </c>
      <c r="L34" s="1320">
        <f>SUM(D34:K34)</f>
        <v>1</v>
      </c>
      <c r="N34" s="1350">
        <v>40422</v>
      </c>
      <c r="O34" s="1351">
        <v>30</v>
      </c>
    </row>
    <row r="35" spans="1:15" x14ac:dyDescent="0.2">
      <c r="A35" s="1338">
        <f>A34+1</f>
        <v>23</v>
      </c>
      <c r="B35" s="1336" t="s">
        <v>2042</v>
      </c>
      <c r="C35" s="1358">
        <v>0.31480863693809685</v>
      </c>
      <c r="D35" s="1354">
        <f>D34*$C35</f>
        <v>0.19577949131180244</v>
      </c>
      <c r="E35" s="1354">
        <f t="shared" ref="E35:K35" si="13">E34*$C35</f>
        <v>7.231154390468085E-2</v>
      </c>
      <c r="F35" s="1354">
        <f t="shared" si="13"/>
        <v>2.4838401454415841E-2</v>
      </c>
      <c r="G35" s="1354">
        <f t="shared" si="13"/>
        <v>6.1702492839866979E-3</v>
      </c>
      <c r="H35" s="1354">
        <f t="shared" si="13"/>
        <v>4.9739764636219305E-3</v>
      </c>
      <c r="I35" s="1354">
        <f t="shared" si="13"/>
        <v>1.0734974519589102E-2</v>
      </c>
      <c r="J35" s="1354">
        <f t="shared" si="13"/>
        <v>0</v>
      </c>
      <c r="K35" s="1354">
        <f t="shared" si="13"/>
        <v>0</v>
      </c>
      <c r="L35" s="1320">
        <f>SUM(D35:K35)</f>
        <v>0.31480863693809685</v>
      </c>
      <c r="N35" s="1350">
        <v>40452</v>
      </c>
      <c r="O35" s="1359">
        <v>31</v>
      </c>
    </row>
    <row r="36" spans="1:15" x14ac:dyDescent="0.2">
      <c r="B36" s="1344"/>
      <c r="C36" s="1042"/>
      <c r="D36" s="1354"/>
      <c r="E36" s="1354"/>
      <c r="F36" s="1354"/>
      <c r="G36" s="1354"/>
      <c r="H36" s="1354"/>
      <c r="I36" s="1354"/>
      <c r="J36" s="1354"/>
      <c r="K36" s="1354"/>
      <c r="L36" s="1357"/>
      <c r="N36" s="1350">
        <v>40483</v>
      </c>
      <c r="O36" s="1331">
        <v>30</v>
      </c>
    </row>
    <row r="37" spans="1:15" ht="13.5" thickBot="1" x14ac:dyDescent="0.25">
      <c r="A37" s="1313">
        <f>A35+1</f>
        <v>24</v>
      </c>
      <c r="B37" s="1344" t="s">
        <v>2043</v>
      </c>
      <c r="C37" s="1042"/>
      <c r="D37" s="1354">
        <f>D22</f>
        <v>0.65139999999999998</v>
      </c>
      <c r="E37" s="1354">
        <f t="shared" ref="E37:K37" si="14">E22</f>
        <v>0.2243</v>
      </c>
      <c r="F37" s="1354">
        <f t="shared" si="14"/>
        <v>6.4699999999999994E-2</v>
      </c>
      <c r="G37" s="1354">
        <f t="shared" si="14"/>
        <v>1.6199999999999999E-2</v>
      </c>
      <c r="H37" s="1354">
        <f t="shared" si="14"/>
        <v>1.55E-2</v>
      </c>
      <c r="I37" s="1354">
        <f t="shared" si="14"/>
        <v>2.7900000000000001E-2</v>
      </c>
      <c r="J37" s="1354">
        <f t="shared" si="14"/>
        <v>0</v>
      </c>
      <c r="K37" s="1354">
        <f t="shared" si="14"/>
        <v>0</v>
      </c>
      <c r="L37" s="1320">
        <f>SUM(D37:K37)</f>
        <v>0.99999999999999989</v>
      </c>
      <c r="N37" s="1360">
        <v>40513</v>
      </c>
      <c r="O37" s="1361">
        <v>31</v>
      </c>
    </row>
    <row r="38" spans="1:15" x14ac:dyDescent="0.2">
      <c r="A38" s="1338">
        <f>A37+1</f>
        <v>25</v>
      </c>
      <c r="B38" s="1336" t="s">
        <v>2042</v>
      </c>
      <c r="C38" s="1358">
        <v>0.40323148713442286</v>
      </c>
      <c r="D38" s="1354">
        <f>D37*$C38</f>
        <v>0.26266499071936306</v>
      </c>
      <c r="E38" s="1354">
        <f t="shared" ref="E38:K38" si="15">E37*$C38</f>
        <v>9.0444822564251043E-2</v>
      </c>
      <c r="F38" s="1354">
        <f t="shared" si="15"/>
        <v>2.6089077217597158E-2</v>
      </c>
      <c r="G38" s="1354">
        <f t="shared" si="15"/>
        <v>6.5323500915776501E-3</v>
      </c>
      <c r="H38" s="1354">
        <f t="shared" si="15"/>
        <v>6.2500880505835547E-3</v>
      </c>
      <c r="I38" s="1354">
        <f t="shared" si="15"/>
        <v>1.1250158491050398E-2</v>
      </c>
      <c r="J38" s="1354">
        <f t="shared" si="15"/>
        <v>0</v>
      </c>
      <c r="K38" s="1354">
        <f t="shared" si="15"/>
        <v>0</v>
      </c>
      <c r="L38" s="1320">
        <f>SUM(D38:K38)</f>
        <v>0.40323148713442292</v>
      </c>
    </row>
    <row r="39" spans="1:15" x14ac:dyDescent="0.2">
      <c r="B39" s="1344"/>
      <c r="C39" s="1042"/>
      <c r="D39" s="1354"/>
      <c r="E39" s="1354"/>
      <c r="F39" s="1354"/>
      <c r="G39" s="1354"/>
      <c r="H39" s="1354"/>
      <c r="I39" s="1354"/>
      <c r="J39" s="1354"/>
      <c r="K39" s="1354"/>
      <c r="L39" s="1357"/>
    </row>
    <row r="40" spans="1:15" x14ac:dyDescent="0.2">
      <c r="A40" s="1313">
        <f>A38+1</f>
        <v>26</v>
      </c>
      <c r="B40" s="1344" t="s">
        <v>2044</v>
      </c>
      <c r="C40" s="1042"/>
      <c r="D40" s="1354">
        <f>D10</f>
        <v>0.7107</v>
      </c>
      <c r="E40" s="1354">
        <f t="shared" ref="E40:K40" si="16">E10</f>
        <v>0.246</v>
      </c>
      <c r="F40" s="1354">
        <f t="shared" si="16"/>
        <v>4.1200000000000001E-2</v>
      </c>
      <c r="G40" s="1354">
        <f t="shared" si="16"/>
        <v>1.1000000000000001E-3</v>
      </c>
      <c r="H40" s="1354">
        <f t="shared" si="16"/>
        <v>8.9999999999999998E-4</v>
      </c>
      <c r="I40" s="1354">
        <f t="shared" si="16"/>
        <v>1E-4</v>
      </c>
      <c r="J40" s="1354">
        <f t="shared" si="16"/>
        <v>0</v>
      </c>
      <c r="K40" s="1354">
        <f t="shared" si="16"/>
        <v>0</v>
      </c>
      <c r="L40" s="1320">
        <f>SUM(D40:K40)</f>
        <v>1</v>
      </c>
    </row>
    <row r="41" spans="1:15" x14ac:dyDescent="0.2">
      <c r="A41" s="1338">
        <f>A40+1</f>
        <v>27</v>
      </c>
      <c r="B41" s="1336" t="s">
        <v>2042</v>
      </c>
      <c r="C41" s="1358">
        <v>0.28195987592748029</v>
      </c>
      <c r="D41" s="1354">
        <f>D40*$C41</f>
        <v>0.20038888382166023</v>
      </c>
      <c r="E41" s="1354">
        <f t="shared" ref="E41:K41" si="17">E40*$C41</f>
        <v>6.9362129478160145E-2</v>
      </c>
      <c r="F41" s="1354">
        <f t="shared" si="17"/>
        <v>1.1616746888212189E-2</v>
      </c>
      <c r="G41" s="1354">
        <f t="shared" si="17"/>
        <v>3.1015586352022836E-4</v>
      </c>
      <c r="H41" s="1354">
        <f t="shared" si="17"/>
        <v>2.5376388833473227E-4</v>
      </c>
      <c r="I41" s="1354">
        <f t="shared" si="17"/>
        <v>2.8195987592748029E-5</v>
      </c>
      <c r="J41" s="1354">
        <f t="shared" si="17"/>
        <v>0</v>
      </c>
      <c r="K41" s="1354">
        <f t="shared" si="17"/>
        <v>0</v>
      </c>
      <c r="L41" s="1320">
        <f>SUM(D41:K41)</f>
        <v>0.28195987592748029</v>
      </c>
    </row>
    <row r="42" spans="1:15" x14ac:dyDescent="0.2">
      <c r="B42" s="1336"/>
      <c r="C42" s="1042"/>
      <c r="D42" s="1354"/>
      <c r="E42" s="1354"/>
      <c r="F42" s="1354"/>
      <c r="G42" s="1354"/>
      <c r="H42" s="1354"/>
      <c r="I42" s="1354"/>
      <c r="J42" s="1354"/>
      <c r="K42" s="1354"/>
      <c r="L42" s="1357"/>
    </row>
    <row r="43" spans="1:15" x14ac:dyDescent="0.2">
      <c r="A43" s="1313">
        <f>A41+1</f>
        <v>28</v>
      </c>
      <c r="B43" s="1344" t="s">
        <v>2045</v>
      </c>
      <c r="C43" s="1042"/>
      <c r="D43" s="1354">
        <f>D35+D38+D41</f>
        <v>0.6588333658528257</v>
      </c>
      <c r="E43" s="1354">
        <f t="shared" ref="E43:K43" si="18">E35+E38+E41</f>
        <v>0.23211849594709202</v>
      </c>
      <c r="F43" s="1354">
        <f t="shared" si="18"/>
        <v>6.2544225560225181E-2</v>
      </c>
      <c r="G43" s="1354">
        <f t="shared" si="18"/>
        <v>1.3012755239084578E-2</v>
      </c>
      <c r="H43" s="1354">
        <f t="shared" si="18"/>
        <v>1.1477828402540219E-2</v>
      </c>
      <c r="I43" s="1354">
        <f t="shared" si="18"/>
        <v>2.2013328998232249E-2</v>
      </c>
      <c r="J43" s="1354">
        <f t="shared" si="18"/>
        <v>0</v>
      </c>
      <c r="K43" s="1354">
        <f t="shared" si="18"/>
        <v>0</v>
      </c>
      <c r="L43" s="1320">
        <f>SUM(D43:K43)</f>
        <v>1</v>
      </c>
    </row>
    <row r="44" spans="1:15" x14ac:dyDescent="0.2">
      <c r="A44" s="1338"/>
      <c r="C44" s="1042"/>
      <c r="D44" s="1036"/>
      <c r="E44" s="1036"/>
      <c r="F44" s="1036"/>
      <c r="G44" s="1036"/>
      <c r="H44" s="1036"/>
      <c r="I44" s="1036"/>
      <c r="K44" s="1036"/>
      <c r="L44" s="1040"/>
    </row>
    <row r="45" spans="1:15" x14ac:dyDescent="0.2">
      <c r="A45" s="1313">
        <f>A43+1</f>
        <v>29</v>
      </c>
      <c r="B45" s="1356" t="s">
        <v>251</v>
      </c>
      <c r="C45" s="1042"/>
      <c r="D45" s="1354"/>
      <c r="E45" s="1354"/>
      <c r="F45" s="1354"/>
      <c r="G45" s="1354"/>
      <c r="H45" s="1354"/>
      <c r="I45" s="1354"/>
      <c r="J45" s="1354"/>
      <c r="K45" s="1354"/>
      <c r="L45" s="1357"/>
    </row>
    <row r="46" spans="1:15" x14ac:dyDescent="0.2">
      <c r="A46" s="1313">
        <f>A45+1</f>
        <v>30</v>
      </c>
      <c r="B46" s="1344" t="s">
        <v>2043</v>
      </c>
      <c r="C46" s="1042"/>
      <c r="D46" s="1354">
        <f>D22</f>
        <v>0.65139999999999998</v>
      </c>
      <c r="E46" s="1354">
        <f t="shared" ref="E46:K46" si="19">E22</f>
        <v>0.2243</v>
      </c>
      <c r="F46" s="1354">
        <f t="shared" si="19"/>
        <v>6.4699999999999994E-2</v>
      </c>
      <c r="G46" s="1354">
        <f t="shared" si="19"/>
        <v>1.6199999999999999E-2</v>
      </c>
      <c r="H46" s="1354">
        <f t="shared" si="19"/>
        <v>1.55E-2</v>
      </c>
      <c r="I46" s="1354">
        <f t="shared" si="19"/>
        <v>2.7900000000000001E-2</v>
      </c>
      <c r="J46" s="1354">
        <f t="shared" si="19"/>
        <v>0</v>
      </c>
      <c r="K46" s="1354">
        <f t="shared" si="19"/>
        <v>0</v>
      </c>
      <c r="L46" s="1320">
        <f>SUM(D46:K46)</f>
        <v>0.99999999999999989</v>
      </c>
    </row>
    <row r="47" spans="1:15" x14ac:dyDescent="0.2">
      <c r="A47" s="1338">
        <f>A46+1</f>
        <v>31</v>
      </c>
      <c r="B47" s="1336" t="s">
        <v>2042</v>
      </c>
      <c r="C47" s="1358">
        <v>0.10265151562395805</v>
      </c>
      <c r="D47" s="1354">
        <f t="shared" ref="D47:K47" si="20">D46*$C47</f>
        <v>6.6867197277446278E-2</v>
      </c>
      <c r="E47" s="1354">
        <f t="shared" si="20"/>
        <v>2.3024734954453792E-2</v>
      </c>
      <c r="F47" s="1354">
        <f t="shared" si="20"/>
        <v>6.6415530608700856E-3</v>
      </c>
      <c r="G47" s="1354">
        <f t="shared" si="20"/>
        <v>1.6629545531081204E-3</v>
      </c>
      <c r="H47" s="1354">
        <f t="shared" si="20"/>
        <v>1.5910984921713497E-3</v>
      </c>
      <c r="I47" s="1354">
        <f t="shared" si="20"/>
        <v>2.8639772859084299E-3</v>
      </c>
      <c r="J47" s="1354">
        <f t="shared" si="20"/>
        <v>0</v>
      </c>
      <c r="K47" s="1354">
        <f t="shared" si="20"/>
        <v>0</v>
      </c>
      <c r="L47" s="1320">
        <f>SUM(D47:K47)</f>
        <v>0.10265151562395804</v>
      </c>
    </row>
    <row r="48" spans="1:15" x14ac:dyDescent="0.2">
      <c r="B48" s="1344"/>
      <c r="C48" s="1363"/>
      <c r="D48" s="1354"/>
      <c r="E48" s="1354"/>
      <c r="F48" s="1354"/>
      <c r="G48" s="1354"/>
      <c r="H48" s="1354"/>
      <c r="I48" s="1354"/>
      <c r="J48" s="1354"/>
      <c r="K48" s="1354"/>
      <c r="L48" s="1357"/>
    </row>
    <row r="49" spans="1:12" x14ac:dyDescent="0.2">
      <c r="A49" s="1313">
        <f>A47+1</f>
        <v>32</v>
      </c>
      <c r="B49" s="1344" t="s">
        <v>2044</v>
      </c>
      <c r="C49" s="1363"/>
      <c r="D49" s="1354">
        <f>D10</f>
        <v>0.7107</v>
      </c>
      <c r="E49" s="1354">
        <f t="shared" ref="E49:K49" si="21">E10</f>
        <v>0.246</v>
      </c>
      <c r="F49" s="1354">
        <f t="shared" si="21"/>
        <v>4.1200000000000001E-2</v>
      </c>
      <c r="G49" s="1354">
        <f t="shared" si="21"/>
        <v>1.1000000000000001E-3</v>
      </c>
      <c r="H49" s="1354">
        <f t="shared" si="21"/>
        <v>8.9999999999999998E-4</v>
      </c>
      <c r="I49" s="1354">
        <f t="shared" si="21"/>
        <v>1E-4</v>
      </c>
      <c r="J49" s="1354">
        <f t="shared" si="21"/>
        <v>0</v>
      </c>
      <c r="K49" s="1354">
        <f t="shared" si="21"/>
        <v>0</v>
      </c>
      <c r="L49" s="1320">
        <f>SUM(D49:K49)</f>
        <v>1</v>
      </c>
    </row>
    <row r="50" spans="1:12" x14ac:dyDescent="0.2">
      <c r="A50" s="1338">
        <f>A49+1</f>
        <v>33</v>
      </c>
      <c r="B50" s="1336" t="s">
        <v>2042</v>
      </c>
      <c r="C50" s="1358">
        <v>0.89734848437604187</v>
      </c>
      <c r="D50" s="1354">
        <f t="shared" ref="D50:K50" si="22">D49*$C50</f>
        <v>0.63774556784605296</v>
      </c>
      <c r="E50" s="1354">
        <f t="shared" si="22"/>
        <v>0.22074772715650628</v>
      </c>
      <c r="F50" s="1354">
        <f t="shared" si="22"/>
        <v>3.6970757556292928E-2</v>
      </c>
      <c r="G50" s="1354">
        <f t="shared" si="22"/>
        <v>9.8708333281364614E-4</v>
      </c>
      <c r="H50" s="1354">
        <f t="shared" si="22"/>
        <v>8.0761363593843765E-4</v>
      </c>
      <c r="I50" s="1354">
        <f t="shared" si="22"/>
        <v>8.9734848437604195E-5</v>
      </c>
      <c r="J50" s="1354">
        <f t="shared" si="22"/>
        <v>0</v>
      </c>
      <c r="K50" s="1354">
        <f t="shared" si="22"/>
        <v>0</v>
      </c>
      <c r="L50" s="1320">
        <f>SUM(D50:K50)</f>
        <v>0.89734848437604176</v>
      </c>
    </row>
    <row r="51" spans="1:12" x14ac:dyDescent="0.2">
      <c r="B51" s="1336"/>
      <c r="C51" s="1036"/>
      <c r="D51" s="1354"/>
      <c r="E51" s="1354"/>
      <c r="F51" s="1354"/>
      <c r="G51" s="1354"/>
      <c r="H51" s="1354"/>
      <c r="I51" s="1354"/>
      <c r="J51" s="1354"/>
      <c r="K51" s="1354"/>
      <c r="L51" s="1357"/>
    </row>
    <row r="52" spans="1:12" x14ac:dyDescent="0.2">
      <c r="A52" s="1313">
        <f>A50+1</f>
        <v>34</v>
      </c>
      <c r="B52" s="1344" t="s">
        <v>2045</v>
      </c>
      <c r="C52" s="1036"/>
      <c r="D52" s="1354">
        <f>D47+D50</f>
        <v>0.70461276512349924</v>
      </c>
      <c r="E52" s="1354">
        <f t="shared" ref="E52:K52" si="23">E47+E50</f>
        <v>0.24377246211096007</v>
      </c>
      <c r="F52" s="1354">
        <f t="shared" si="23"/>
        <v>4.3612310617163016E-2</v>
      </c>
      <c r="G52" s="1354">
        <f t="shared" si="23"/>
        <v>2.6500378859217666E-3</v>
      </c>
      <c r="H52" s="1354">
        <f t="shared" si="23"/>
        <v>2.3987121281097874E-3</v>
      </c>
      <c r="I52" s="1354">
        <f t="shared" si="23"/>
        <v>2.9537121343460341E-3</v>
      </c>
      <c r="J52" s="1354">
        <f t="shared" si="23"/>
        <v>0</v>
      </c>
      <c r="K52" s="1354">
        <f t="shared" si="23"/>
        <v>0</v>
      </c>
      <c r="L52" s="1320">
        <f>SUM(D52:K52)</f>
        <v>0.99999999999999989</v>
      </c>
    </row>
  </sheetData>
  <hyperlinks>
    <hyperlink ref="B45" r:id="rId1" display="JPTF@"/>
  </hyperlinks>
  <pageMargins left="0.7" right="0.7" top="0.75" bottom="0.75" header="0.3" footer="0.3"/>
  <pageSetup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H16"/>
  <sheetViews>
    <sheetView workbookViewId="0">
      <selection activeCell="C35" sqref="C35"/>
    </sheetView>
  </sheetViews>
  <sheetFormatPr defaultRowHeight="12.75" x14ac:dyDescent="0.2"/>
  <cols>
    <col min="1" max="1" width="37.42578125" style="1025" bestFit="1" customWidth="1"/>
    <col min="2" max="2" width="12.7109375" style="1025" bestFit="1" customWidth="1"/>
    <col min="3" max="3" width="10.28515625" style="1025" bestFit="1" customWidth="1"/>
    <col min="4" max="4" width="15.85546875" style="1025" bestFit="1" customWidth="1"/>
    <col min="5" max="256" width="9.140625" style="1025"/>
    <col min="257" max="257" width="37.42578125" style="1025" bestFit="1" customWidth="1"/>
    <col min="258" max="258" width="12.7109375" style="1025" bestFit="1" customWidth="1"/>
    <col min="259" max="259" width="10.28515625" style="1025" bestFit="1" customWidth="1"/>
    <col min="260" max="260" width="15.85546875" style="1025" bestFit="1" customWidth="1"/>
    <col min="261" max="512" width="9.140625" style="1025"/>
    <col min="513" max="513" width="37.42578125" style="1025" bestFit="1" customWidth="1"/>
    <col min="514" max="514" width="12.7109375" style="1025" bestFit="1" customWidth="1"/>
    <col min="515" max="515" width="10.28515625" style="1025" bestFit="1" customWidth="1"/>
    <col min="516" max="516" width="15.85546875" style="1025" bestFit="1" customWidth="1"/>
    <col min="517" max="768" width="9.140625" style="1025"/>
    <col min="769" max="769" width="37.42578125" style="1025" bestFit="1" customWidth="1"/>
    <col min="770" max="770" width="12.7109375" style="1025" bestFit="1" customWidth="1"/>
    <col min="771" max="771" width="10.28515625" style="1025" bestFit="1" customWidth="1"/>
    <col min="772" max="772" width="15.85546875" style="1025" bestFit="1" customWidth="1"/>
    <col min="773" max="1024" width="9.140625" style="1025"/>
    <col min="1025" max="1025" width="37.42578125" style="1025" bestFit="1" customWidth="1"/>
    <col min="1026" max="1026" width="12.7109375" style="1025" bestFit="1" customWidth="1"/>
    <col min="1027" max="1027" width="10.28515625" style="1025" bestFit="1" customWidth="1"/>
    <col min="1028" max="1028" width="15.85546875" style="1025" bestFit="1" customWidth="1"/>
    <col min="1029" max="1280" width="9.140625" style="1025"/>
    <col min="1281" max="1281" width="37.42578125" style="1025" bestFit="1" customWidth="1"/>
    <col min="1282" max="1282" width="12.7109375" style="1025" bestFit="1" customWidth="1"/>
    <col min="1283" max="1283" width="10.28515625" style="1025" bestFit="1" customWidth="1"/>
    <col min="1284" max="1284" width="15.85546875" style="1025" bestFit="1" customWidth="1"/>
    <col min="1285" max="1536" width="9.140625" style="1025"/>
    <col min="1537" max="1537" width="37.42578125" style="1025" bestFit="1" customWidth="1"/>
    <col min="1538" max="1538" width="12.7109375" style="1025" bestFit="1" customWidth="1"/>
    <col min="1539" max="1539" width="10.28515625" style="1025" bestFit="1" customWidth="1"/>
    <col min="1540" max="1540" width="15.85546875" style="1025" bestFit="1" customWidth="1"/>
    <col min="1541" max="1792" width="9.140625" style="1025"/>
    <col min="1793" max="1793" width="37.42578125" style="1025" bestFit="1" customWidth="1"/>
    <col min="1794" max="1794" width="12.7109375" style="1025" bestFit="1" customWidth="1"/>
    <col min="1795" max="1795" width="10.28515625" style="1025" bestFit="1" customWidth="1"/>
    <col min="1796" max="1796" width="15.85546875" style="1025" bestFit="1" customWidth="1"/>
    <col min="1797" max="2048" width="9.140625" style="1025"/>
    <col min="2049" max="2049" width="37.42578125" style="1025" bestFit="1" customWidth="1"/>
    <col min="2050" max="2050" width="12.7109375" style="1025" bestFit="1" customWidth="1"/>
    <col min="2051" max="2051" width="10.28515625" style="1025" bestFit="1" customWidth="1"/>
    <col min="2052" max="2052" width="15.85546875" style="1025" bestFit="1" customWidth="1"/>
    <col min="2053" max="2304" width="9.140625" style="1025"/>
    <col min="2305" max="2305" width="37.42578125" style="1025" bestFit="1" customWidth="1"/>
    <col min="2306" max="2306" width="12.7109375" style="1025" bestFit="1" customWidth="1"/>
    <col min="2307" max="2307" width="10.28515625" style="1025" bestFit="1" customWidth="1"/>
    <col min="2308" max="2308" width="15.85546875" style="1025" bestFit="1" customWidth="1"/>
    <col min="2309" max="2560" width="9.140625" style="1025"/>
    <col min="2561" max="2561" width="37.42578125" style="1025" bestFit="1" customWidth="1"/>
    <col min="2562" max="2562" width="12.7109375" style="1025" bestFit="1" customWidth="1"/>
    <col min="2563" max="2563" width="10.28515625" style="1025" bestFit="1" customWidth="1"/>
    <col min="2564" max="2564" width="15.85546875" style="1025" bestFit="1" customWidth="1"/>
    <col min="2565" max="2816" width="9.140625" style="1025"/>
    <col min="2817" max="2817" width="37.42578125" style="1025" bestFit="1" customWidth="1"/>
    <col min="2818" max="2818" width="12.7109375" style="1025" bestFit="1" customWidth="1"/>
    <col min="2819" max="2819" width="10.28515625" style="1025" bestFit="1" customWidth="1"/>
    <col min="2820" max="2820" width="15.85546875" style="1025" bestFit="1" customWidth="1"/>
    <col min="2821" max="3072" width="9.140625" style="1025"/>
    <col min="3073" max="3073" width="37.42578125" style="1025" bestFit="1" customWidth="1"/>
    <col min="3074" max="3074" width="12.7109375" style="1025" bestFit="1" customWidth="1"/>
    <col min="3075" max="3075" width="10.28515625" style="1025" bestFit="1" customWidth="1"/>
    <col min="3076" max="3076" width="15.85546875" style="1025" bestFit="1" customWidth="1"/>
    <col min="3077" max="3328" width="9.140625" style="1025"/>
    <col min="3329" max="3329" width="37.42578125" style="1025" bestFit="1" customWidth="1"/>
    <col min="3330" max="3330" width="12.7109375" style="1025" bestFit="1" customWidth="1"/>
    <col min="3331" max="3331" width="10.28515625" style="1025" bestFit="1" customWidth="1"/>
    <col min="3332" max="3332" width="15.85546875" style="1025" bestFit="1" customWidth="1"/>
    <col min="3333" max="3584" width="9.140625" style="1025"/>
    <col min="3585" max="3585" width="37.42578125" style="1025" bestFit="1" customWidth="1"/>
    <col min="3586" max="3586" width="12.7109375" style="1025" bestFit="1" customWidth="1"/>
    <col min="3587" max="3587" width="10.28515625" style="1025" bestFit="1" customWidth="1"/>
    <col min="3588" max="3588" width="15.85546875" style="1025" bestFit="1" customWidth="1"/>
    <col min="3589" max="3840" width="9.140625" style="1025"/>
    <col min="3841" max="3841" width="37.42578125" style="1025" bestFit="1" customWidth="1"/>
    <col min="3842" max="3842" width="12.7109375" style="1025" bestFit="1" customWidth="1"/>
    <col min="3843" max="3843" width="10.28515625" style="1025" bestFit="1" customWidth="1"/>
    <col min="3844" max="3844" width="15.85546875" style="1025" bestFit="1" customWidth="1"/>
    <col min="3845" max="4096" width="9.140625" style="1025"/>
    <col min="4097" max="4097" width="37.42578125" style="1025" bestFit="1" customWidth="1"/>
    <col min="4098" max="4098" width="12.7109375" style="1025" bestFit="1" customWidth="1"/>
    <col min="4099" max="4099" width="10.28515625" style="1025" bestFit="1" customWidth="1"/>
    <col min="4100" max="4100" width="15.85546875" style="1025" bestFit="1" customWidth="1"/>
    <col min="4101" max="4352" width="9.140625" style="1025"/>
    <col min="4353" max="4353" width="37.42578125" style="1025" bestFit="1" customWidth="1"/>
    <col min="4354" max="4354" width="12.7109375" style="1025" bestFit="1" customWidth="1"/>
    <col min="4355" max="4355" width="10.28515625" style="1025" bestFit="1" customWidth="1"/>
    <col min="4356" max="4356" width="15.85546875" style="1025" bestFit="1" customWidth="1"/>
    <col min="4357" max="4608" width="9.140625" style="1025"/>
    <col min="4609" max="4609" width="37.42578125" style="1025" bestFit="1" customWidth="1"/>
    <col min="4610" max="4610" width="12.7109375" style="1025" bestFit="1" customWidth="1"/>
    <col min="4611" max="4611" width="10.28515625" style="1025" bestFit="1" customWidth="1"/>
    <col min="4612" max="4612" width="15.85546875" style="1025" bestFit="1" customWidth="1"/>
    <col min="4613" max="4864" width="9.140625" style="1025"/>
    <col min="4865" max="4865" width="37.42578125" style="1025" bestFit="1" customWidth="1"/>
    <col min="4866" max="4866" width="12.7109375" style="1025" bestFit="1" customWidth="1"/>
    <col min="4867" max="4867" width="10.28515625" style="1025" bestFit="1" customWidth="1"/>
    <col min="4868" max="4868" width="15.85546875" style="1025" bestFit="1" customWidth="1"/>
    <col min="4869" max="5120" width="9.140625" style="1025"/>
    <col min="5121" max="5121" width="37.42578125" style="1025" bestFit="1" customWidth="1"/>
    <col min="5122" max="5122" width="12.7109375" style="1025" bestFit="1" customWidth="1"/>
    <col min="5123" max="5123" width="10.28515625" style="1025" bestFit="1" customWidth="1"/>
    <col min="5124" max="5124" width="15.85546875" style="1025" bestFit="1" customWidth="1"/>
    <col min="5125" max="5376" width="9.140625" style="1025"/>
    <col min="5377" max="5377" width="37.42578125" style="1025" bestFit="1" customWidth="1"/>
    <col min="5378" max="5378" width="12.7109375" style="1025" bestFit="1" customWidth="1"/>
    <col min="5379" max="5379" width="10.28515625" style="1025" bestFit="1" customWidth="1"/>
    <col min="5380" max="5380" width="15.85546875" style="1025" bestFit="1" customWidth="1"/>
    <col min="5381" max="5632" width="9.140625" style="1025"/>
    <col min="5633" max="5633" width="37.42578125" style="1025" bestFit="1" customWidth="1"/>
    <col min="5634" max="5634" width="12.7109375" style="1025" bestFit="1" customWidth="1"/>
    <col min="5635" max="5635" width="10.28515625" style="1025" bestFit="1" customWidth="1"/>
    <col min="5636" max="5636" width="15.85546875" style="1025" bestFit="1" customWidth="1"/>
    <col min="5637" max="5888" width="9.140625" style="1025"/>
    <col min="5889" max="5889" width="37.42578125" style="1025" bestFit="1" customWidth="1"/>
    <col min="5890" max="5890" width="12.7109375" style="1025" bestFit="1" customWidth="1"/>
    <col min="5891" max="5891" width="10.28515625" style="1025" bestFit="1" customWidth="1"/>
    <col min="5892" max="5892" width="15.85546875" style="1025" bestFit="1" customWidth="1"/>
    <col min="5893" max="6144" width="9.140625" style="1025"/>
    <col min="6145" max="6145" width="37.42578125" style="1025" bestFit="1" customWidth="1"/>
    <col min="6146" max="6146" width="12.7109375" style="1025" bestFit="1" customWidth="1"/>
    <col min="6147" max="6147" width="10.28515625" style="1025" bestFit="1" customWidth="1"/>
    <col min="6148" max="6148" width="15.85546875" style="1025" bestFit="1" customWidth="1"/>
    <col min="6149" max="6400" width="9.140625" style="1025"/>
    <col min="6401" max="6401" width="37.42578125" style="1025" bestFit="1" customWidth="1"/>
    <col min="6402" max="6402" width="12.7109375" style="1025" bestFit="1" customWidth="1"/>
    <col min="6403" max="6403" width="10.28515625" style="1025" bestFit="1" customWidth="1"/>
    <col min="6404" max="6404" width="15.85546875" style="1025" bestFit="1" customWidth="1"/>
    <col min="6405" max="6656" width="9.140625" style="1025"/>
    <col min="6657" max="6657" width="37.42578125" style="1025" bestFit="1" customWidth="1"/>
    <col min="6658" max="6658" width="12.7109375" style="1025" bestFit="1" customWidth="1"/>
    <col min="6659" max="6659" width="10.28515625" style="1025" bestFit="1" customWidth="1"/>
    <col min="6660" max="6660" width="15.85546875" style="1025" bestFit="1" customWidth="1"/>
    <col min="6661" max="6912" width="9.140625" style="1025"/>
    <col min="6913" max="6913" width="37.42578125" style="1025" bestFit="1" customWidth="1"/>
    <col min="6914" max="6914" width="12.7109375" style="1025" bestFit="1" customWidth="1"/>
    <col min="6915" max="6915" width="10.28515625" style="1025" bestFit="1" customWidth="1"/>
    <col min="6916" max="6916" width="15.85546875" style="1025" bestFit="1" customWidth="1"/>
    <col min="6917" max="7168" width="9.140625" style="1025"/>
    <col min="7169" max="7169" width="37.42578125" style="1025" bestFit="1" customWidth="1"/>
    <col min="7170" max="7170" width="12.7109375" style="1025" bestFit="1" customWidth="1"/>
    <col min="7171" max="7171" width="10.28515625" style="1025" bestFit="1" customWidth="1"/>
    <col min="7172" max="7172" width="15.85546875" style="1025" bestFit="1" customWidth="1"/>
    <col min="7173" max="7424" width="9.140625" style="1025"/>
    <col min="7425" max="7425" width="37.42578125" style="1025" bestFit="1" customWidth="1"/>
    <col min="7426" max="7426" width="12.7109375" style="1025" bestFit="1" customWidth="1"/>
    <col min="7427" max="7427" width="10.28515625" style="1025" bestFit="1" customWidth="1"/>
    <col min="7428" max="7428" width="15.85546875" style="1025" bestFit="1" customWidth="1"/>
    <col min="7429" max="7680" width="9.140625" style="1025"/>
    <col min="7681" max="7681" width="37.42578125" style="1025" bestFit="1" customWidth="1"/>
    <col min="7682" max="7682" width="12.7109375" style="1025" bestFit="1" customWidth="1"/>
    <col min="7683" max="7683" width="10.28515625" style="1025" bestFit="1" customWidth="1"/>
    <col min="7684" max="7684" width="15.85546875" style="1025" bestFit="1" customWidth="1"/>
    <col min="7685" max="7936" width="9.140625" style="1025"/>
    <col min="7937" max="7937" width="37.42578125" style="1025" bestFit="1" customWidth="1"/>
    <col min="7938" max="7938" width="12.7109375" style="1025" bestFit="1" customWidth="1"/>
    <col min="7939" max="7939" width="10.28515625" style="1025" bestFit="1" customWidth="1"/>
    <col min="7940" max="7940" width="15.85546875" style="1025" bestFit="1" customWidth="1"/>
    <col min="7941" max="8192" width="9.140625" style="1025"/>
    <col min="8193" max="8193" width="37.42578125" style="1025" bestFit="1" customWidth="1"/>
    <col min="8194" max="8194" width="12.7109375" style="1025" bestFit="1" customWidth="1"/>
    <col min="8195" max="8195" width="10.28515625" style="1025" bestFit="1" customWidth="1"/>
    <col min="8196" max="8196" width="15.85546875" style="1025" bestFit="1" customWidth="1"/>
    <col min="8197" max="8448" width="9.140625" style="1025"/>
    <col min="8449" max="8449" width="37.42578125" style="1025" bestFit="1" customWidth="1"/>
    <col min="8450" max="8450" width="12.7109375" style="1025" bestFit="1" customWidth="1"/>
    <col min="8451" max="8451" width="10.28515625" style="1025" bestFit="1" customWidth="1"/>
    <col min="8452" max="8452" width="15.85546875" style="1025" bestFit="1" customWidth="1"/>
    <col min="8453" max="8704" width="9.140625" style="1025"/>
    <col min="8705" max="8705" width="37.42578125" style="1025" bestFit="1" customWidth="1"/>
    <col min="8706" max="8706" width="12.7109375" style="1025" bestFit="1" customWidth="1"/>
    <col min="8707" max="8707" width="10.28515625" style="1025" bestFit="1" customWidth="1"/>
    <col min="8708" max="8708" width="15.85546875" style="1025" bestFit="1" customWidth="1"/>
    <col min="8709" max="8960" width="9.140625" style="1025"/>
    <col min="8961" max="8961" width="37.42578125" style="1025" bestFit="1" customWidth="1"/>
    <col min="8962" max="8962" width="12.7109375" style="1025" bestFit="1" customWidth="1"/>
    <col min="8963" max="8963" width="10.28515625" style="1025" bestFit="1" customWidth="1"/>
    <col min="8964" max="8964" width="15.85546875" style="1025" bestFit="1" customWidth="1"/>
    <col min="8965" max="9216" width="9.140625" style="1025"/>
    <col min="9217" max="9217" width="37.42578125" style="1025" bestFit="1" customWidth="1"/>
    <col min="9218" max="9218" width="12.7109375" style="1025" bestFit="1" customWidth="1"/>
    <col min="9219" max="9219" width="10.28515625" style="1025" bestFit="1" customWidth="1"/>
    <col min="9220" max="9220" width="15.85546875" style="1025" bestFit="1" customWidth="1"/>
    <col min="9221" max="9472" width="9.140625" style="1025"/>
    <col min="9473" max="9473" width="37.42578125" style="1025" bestFit="1" customWidth="1"/>
    <col min="9474" max="9474" width="12.7109375" style="1025" bestFit="1" customWidth="1"/>
    <col min="9475" max="9475" width="10.28515625" style="1025" bestFit="1" customWidth="1"/>
    <col min="9476" max="9476" width="15.85546875" style="1025" bestFit="1" customWidth="1"/>
    <col min="9477" max="9728" width="9.140625" style="1025"/>
    <col min="9729" max="9729" width="37.42578125" style="1025" bestFit="1" customWidth="1"/>
    <col min="9730" max="9730" width="12.7109375" style="1025" bestFit="1" customWidth="1"/>
    <col min="9731" max="9731" width="10.28515625" style="1025" bestFit="1" customWidth="1"/>
    <col min="9732" max="9732" width="15.85546875" style="1025" bestFit="1" customWidth="1"/>
    <col min="9733" max="9984" width="9.140625" style="1025"/>
    <col min="9985" max="9985" width="37.42578125" style="1025" bestFit="1" customWidth="1"/>
    <col min="9986" max="9986" width="12.7109375" style="1025" bestFit="1" customWidth="1"/>
    <col min="9987" max="9987" width="10.28515625" style="1025" bestFit="1" customWidth="1"/>
    <col min="9988" max="9988" width="15.85546875" style="1025" bestFit="1" customWidth="1"/>
    <col min="9989" max="10240" width="9.140625" style="1025"/>
    <col min="10241" max="10241" width="37.42578125" style="1025" bestFit="1" customWidth="1"/>
    <col min="10242" max="10242" width="12.7109375" style="1025" bestFit="1" customWidth="1"/>
    <col min="10243" max="10243" width="10.28515625" style="1025" bestFit="1" customWidth="1"/>
    <col min="10244" max="10244" width="15.85546875" style="1025" bestFit="1" customWidth="1"/>
    <col min="10245" max="10496" width="9.140625" style="1025"/>
    <col min="10497" max="10497" width="37.42578125" style="1025" bestFit="1" customWidth="1"/>
    <col min="10498" max="10498" width="12.7109375" style="1025" bestFit="1" customWidth="1"/>
    <col min="10499" max="10499" width="10.28515625" style="1025" bestFit="1" customWidth="1"/>
    <col min="10500" max="10500" width="15.85546875" style="1025" bestFit="1" customWidth="1"/>
    <col min="10501" max="10752" width="9.140625" style="1025"/>
    <col min="10753" max="10753" width="37.42578125" style="1025" bestFit="1" customWidth="1"/>
    <col min="10754" max="10754" width="12.7109375" style="1025" bestFit="1" customWidth="1"/>
    <col min="10755" max="10755" width="10.28515625" style="1025" bestFit="1" customWidth="1"/>
    <col min="10756" max="10756" width="15.85546875" style="1025" bestFit="1" customWidth="1"/>
    <col min="10757" max="11008" width="9.140625" style="1025"/>
    <col min="11009" max="11009" width="37.42578125" style="1025" bestFit="1" customWidth="1"/>
    <col min="11010" max="11010" width="12.7109375" style="1025" bestFit="1" customWidth="1"/>
    <col min="11011" max="11011" width="10.28515625" style="1025" bestFit="1" customWidth="1"/>
    <col min="11012" max="11012" width="15.85546875" style="1025" bestFit="1" customWidth="1"/>
    <col min="11013" max="11264" width="9.140625" style="1025"/>
    <col min="11265" max="11265" width="37.42578125" style="1025" bestFit="1" customWidth="1"/>
    <col min="11266" max="11266" width="12.7109375" style="1025" bestFit="1" customWidth="1"/>
    <col min="11267" max="11267" width="10.28515625" style="1025" bestFit="1" customWidth="1"/>
    <col min="11268" max="11268" width="15.85546875" style="1025" bestFit="1" customWidth="1"/>
    <col min="11269" max="11520" width="9.140625" style="1025"/>
    <col min="11521" max="11521" width="37.42578125" style="1025" bestFit="1" customWidth="1"/>
    <col min="11522" max="11522" width="12.7109375" style="1025" bestFit="1" customWidth="1"/>
    <col min="11523" max="11523" width="10.28515625" style="1025" bestFit="1" customWidth="1"/>
    <col min="11524" max="11524" width="15.85546875" style="1025" bestFit="1" customWidth="1"/>
    <col min="11525" max="11776" width="9.140625" style="1025"/>
    <col min="11777" max="11777" width="37.42578125" style="1025" bestFit="1" customWidth="1"/>
    <col min="11778" max="11778" width="12.7109375" style="1025" bestFit="1" customWidth="1"/>
    <col min="11779" max="11779" width="10.28515625" style="1025" bestFit="1" customWidth="1"/>
    <col min="11780" max="11780" width="15.85546875" style="1025" bestFit="1" customWidth="1"/>
    <col min="11781" max="12032" width="9.140625" style="1025"/>
    <col min="12033" max="12033" width="37.42578125" style="1025" bestFit="1" customWidth="1"/>
    <col min="12034" max="12034" width="12.7109375" style="1025" bestFit="1" customWidth="1"/>
    <col min="12035" max="12035" width="10.28515625" style="1025" bestFit="1" customWidth="1"/>
    <col min="12036" max="12036" width="15.85546875" style="1025" bestFit="1" customWidth="1"/>
    <col min="12037" max="12288" width="9.140625" style="1025"/>
    <col min="12289" max="12289" width="37.42578125" style="1025" bestFit="1" customWidth="1"/>
    <col min="12290" max="12290" width="12.7109375" style="1025" bestFit="1" customWidth="1"/>
    <col min="12291" max="12291" width="10.28515625" style="1025" bestFit="1" customWidth="1"/>
    <col min="12292" max="12292" width="15.85546875" style="1025" bestFit="1" customWidth="1"/>
    <col min="12293" max="12544" width="9.140625" style="1025"/>
    <col min="12545" max="12545" width="37.42578125" style="1025" bestFit="1" customWidth="1"/>
    <col min="12546" max="12546" width="12.7109375" style="1025" bestFit="1" customWidth="1"/>
    <col min="12547" max="12547" width="10.28515625" style="1025" bestFit="1" customWidth="1"/>
    <col min="12548" max="12548" width="15.85546875" style="1025" bestFit="1" customWidth="1"/>
    <col min="12549" max="12800" width="9.140625" style="1025"/>
    <col min="12801" max="12801" width="37.42578125" style="1025" bestFit="1" customWidth="1"/>
    <col min="12802" max="12802" width="12.7109375" style="1025" bestFit="1" customWidth="1"/>
    <col min="12803" max="12803" width="10.28515625" style="1025" bestFit="1" customWidth="1"/>
    <col min="12804" max="12804" width="15.85546875" style="1025" bestFit="1" customWidth="1"/>
    <col min="12805" max="13056" width="9.140625" style="1025"/>
    <col min="13057" max="13057" width="37.42578125" style="1025" bestFit="1" customWidth="1"/>
    <col min="13058" max="13058" width="12.7109375" style="1025" bestFit="1" customWidth="1"/>
    <col min="13059" max="13059" width="10.28515625" style="1025" bestFit="1" customWidth="1"/>
    <col min="13060" max="13060" width="15.85546875" style="1025" bestFit="1" customWidth="1"/>
    <col min="13061" max="13312" width="9.140625" style="1025"/>
    <col min="13313" max="13313" width="37.42578125" style="1025" bestFit="1" customWidth="1"/>
    <col min="13314" max="13314" width="12.7109375" style="1025" bestFit="1" customWidth="1"/>
    <col min="13315" max="13315" width="10.28515625" style="1025" bestFit="1" customWidth="1"/>
    <col min="13316" max="13316" width="15.85546875" style="1025" bestFit="1" customWidth="1"/>
    <col min="13317" max="13568" width="9.140625" style="1025"/>
    <col min="13569" max="13569" width="37.42578125" style="1025" bestFit="1" customWidth="1"/>
    <col min="13570" max="13570" width="12.7109375" style="1025" bestFit="1" customWidth="1"/>
    <col min="13571" max="13571" width="10.28515625" style="1025" bestFit="1" customWidth="1"/>
    <col min="13572" max="13572" width="15.85546875" style="1025" bestFit="1" customWidth="1"/>
    <col min="13573" max="13824" width="9.140625" style="1025"/>
    <col min="13825" max="13825" width="37.42578125" style="1025" bestFit="1" customWidth="1"/>
    <col min="13826" max="13826" width="12.7109375" style="1025" bestFit="1" customWidth="1"/>
    <col min="13827" max="13827" width="10.28515625" style="1025" bestFit="1" customWidth="1"/>
    <col min="13828" max="13828" width="15.85546875" style="1025" bestFit="1" customWidth="1"/>
    <col min="13829" max="14080" width="9.140625" style="1025"/>
    <col min="14081" max="14081" width="37.42578125" style="1025" bestFit="1" customWidth="1"/>
    <col min="14082" max="14082" width="12.7109375" style="1025" bestFit="1" customWidth="1"/>
    <col min="14083" max="14083" width="10.28515625" style="1025" bestFit="1" customWidth="1"/>
    <col min="14084" max="14084" width="15.85546875" style="1025" bestFit="1" customWidth="1"/>
    <col min="14085" max="14336" width="9.140625" style="1025"/>
    <col min="14337" max="14337" width="37.42578125" style="1025" bestFit="1" customWidth="1"/>
    <col min="14338" max="14338" width="12.7109375" style="1025" bestFit="1" customWidth="1"/>
    <col min="14339" max="14339" width="10.28515625" style="1025" bestFit="1" customWidth="1"/>
    <col min="14340" max="14340" width="15.85546875" style="1025" bestFit="1" customWidth="1"/>
    <col min="14341" max="14592" width="9.140625" style="1025"/>
    <col min="14593" max="14593" width="37.42578125" style="1025" bestFit="1" customWidth="1"/>
    <col min="14594" max="14594" width="12.7109375" style="1025" bestFit="1" customWidth="1"/>
    <col min="14595" max="14595" width="10.28515625" style="1025" bestFit="1" customWidth="1"/>
    <col min="14596" max="14596" width="15.85546875" style="1025" bestFit="1" customWidth="1"/>
    <col min="14597" max="14848" width="9.140625" style="1025"/>
    <col min="14849" max="14849" width="37.42578125" style="1025" bestFit="1" customWidth="1"/>
    <col min="14850" max="14850" width="12.7109375" style="1025" bestFit="1" customWidth="1"/>
    <col min="14851" max="14851" width="10.28515625" style="1025" bestFit="1" customWidth="1"/>
    <col min="14852" max="14852" width="15.85546875" style="1025" bestFit="1" customWidth="1"/>
    <col min="14853" max="15104" width="9.140625" style="1025"/>
    <col min="15105" max="15105" width="37.42578125" style="1025" bestFit="1" customWidth="1"/>
    <col min="15106" max="15106" width="12.7109375" style="1025" bestFit="1" customWidth="1"/>
    <col min="15107" max="15107" width="10.28515625" style="1025" bestFit="1" customWidth="1"/>
    <col min="15108" max="15108" width="15.85546875" style="1025" bestFit="1" customWidth="1"/>
    <col min="15109" max="15360" width="9.140625" style="1025"/>
    <col min="15361" max="15361" width="37.42578125" style="1025" bestFit="1" customWidth="1"/>
    <col min="15362" max="15362" width="12.7109375" style="1025" bestFit="1" customWidth="1"/>
    <col min="15363" max="15363" width="10.28515625" style="1025" bestFit="1" customWidth="1"/>
    <col min="15364" max="15364" width="15.85546875" style="1025" bestFit="1" customWidth="1"/>
    <col min="15365" max="15616" width="9.140625" style="1025"/>
    <col min="15617" max="15617" width="37.42578125" style="1025" bestFit="1" customWidth="1"/>
    <col min="15618" max="15618" width="12.7109375" style="1025" bestFit="1" customWidth="1"/>
    <col min="15619" max="15619" width="10.28515625" style="1025" bestFit="1" customWidth="1"/>
    <col min="15620" max="15620" width="15.85546875" style="1025" bestFit="1" customWidth="1"/>
    <col min="15621" max="15872" width="9.140625" style="1025"/>
    <col min="15873" max="15873" width="37.42578125" style="1025" bestFit="1" customWidth="1"/>
    <col min="15874" max="15874" width="12.7109375" style="1025" bestFit="1" customWidth="1"/>
    <col min="15875" max="15875" width="10.28515625" style="1025" bestFit="1" customWidth="1"/>
    <col min="15876" max="15876" width="15.85546875" style="1025" bestFit="1" customWidth="1"/>
    <col min="15877" max="16128" width="9.140625" style="1025"/>
    <col min="16129" max="16129" width="37.42578125" style="1025" bestFit="1" customWidth="1"/>
    <col min="16130" max="16130" width="12.7109375" style="1025" bestFit="1" customWidth="1"/>
    <col min="16131" max="16131" width="10.28515625" style="1025" bestFit="1" customWidth="1"/>
    <col min="16132" max="16132" width="15.85546875" style="1025" bestFit="1" customWidth="1"/>
    <col min="16133" max="16384" width="9.140625" style="1025"/>
  </cols>
  <sheetData>
    <row r="1" spans="1:8" x14ac:dyDescent="0.2">
      <c r="A1" s="1154" t="s">
        <v>70</v>
      </c>
      <c r="B1" s="1154"/>
      <c r="C1" s="1154"/>
      <c r="D1" s="1154"/>
    </row>
    <row r="2" spans="1:8" x14ac:dyDescent="0.2">
      <c r="A2" s="1154" t="s">
        <v>1938</v>
      </c>
      <c r="B2" s="1154"/>
      <c r="C2" s="1154"/>
      <c r="D2" s="1154"/>
    </row>
    <row r="3" spans="1:8" x14ac:dyDescent="0.2">
      <c r="A3" s="1154" t="s">
        <v>1330</v>
      </c>
      <c r="B3" s="1154"/>
      <c r="C3" s="1154"/>
      <c r="D3" s="1154"/>
    </row>
    <row r="4" spans="1:8" x14ac:dyDescent="0.2">
      <c r="A4" s="1154" t="s">
        <v>2046</v>
      </c>
      <c r="B4" s="1154"/>
      <c r="C4" s="1154"/>
      <c r="D4" s="1154"/>
    </row>
    <row r="6" spans="1:8" x14ac:dyDescent="0.2">
      <c r="B6" s="1024"/>
      <c r="C6" s="1024"/>
      <c r="D6" s="1024"/>
      <c r="E6" s="1024"/>
      <c r="F6" s="1024"/>
      <c r="G6" s="1024"/>
      <c r="H6" s="1024"/>
    </row>
    <row r="7" spans="1:8" x14ac:dyDescent="0.2">
      <c r="A7" s="1364" t="s">
        <v>2047</v>
      </c>
      <c r="B7" s="1365" t="s">
        <v>2027</v>
      </c>
      <c r="C7" s="1365" t="s">
        <v>2026</v>
      </c>
      <c r="D7" s="1366" t="s">
        <v>2048</v>
      </c>
      <c r="E7" s="1024"/>
    </row>
    <row r="8" spans="1:8" x14ac:dyDescent="0.2">
      <c r="A8" s="1367"/>
      <c r="B8" s="1368">
        <f>'JKP-8.8 - Peak Day Allocators'!L12</f>
        <v>1089556625</v>
      </c>
      <c r="C8" s="1369">
        <f>'JKP-8.8 - Peak Day Calculation'!D67</f>
        <v>8981178.5777747463</v>
      </c>
      <c r="D8" s="1370">
        <f>'JKP-8.8 - Peak Day Allocators'!L26+'JKP-8.8 - Peak Day Allocators'!L29</f>
        <v>365</v>
      </c>
      <c r="E8" s="1024"/>
    </row>
    <row r="9" spans="1:8" x14ac:dyDescent="0.2">
      <c r="A9" s="1371" t="s">
        <v>2049</v>
      </c>
      <c r="B9" s="1026"/>
      <c r="C9" s="1026"/>
      <c r="D9" s="1082"/>
    </row>
    <row r="10" spans="1:8" x14ac:dyDescent="0.2">
      <c r="A10" s="1372" t="s">
        <v>2050</v>
      </c>
      <c r="B10" s="1373">
        <f>B8/(C8*D8)</f>
        <v>0.33237137175099207</v>
      </c>
      <c r="C10" s="1374">
        <f>1-B10</f>
        <v>0.66762862824900793</v>
      </c>
      <c r="D10" s="1375">
        <f>C10+B10</f>
        <v>1</v>
      </c>
    </row>
    <row r="11" spans="1:8" x14ac:dyDescent="0.2">
      <c r="A11" s="1085"/>
      <c r="B11" s="1376"/>
      <c r="C11" s="1377"/>
      <c r="D11" s="1377"/>
    </row>
    <row r="12" spans="1:8" x14ac:dyDescent="0.2">
      <c r="A12" s="1296"/>
      <c r="B12" s="1378"/>
      <c r="C12" s="1379"/>
      <c r="D12" s="1379"/>
    </row>
    <row r="13" spans="1:8" x14ac:dyDescent="0.2">
      <c r="A13" s="1364" t="s">
        <v>2051</v>
      </c>
      <c r="B13" s="1365" t="s">
        <v>277</v>
      </c>
      <c r="C13" s="1365" t="s">
        <v>242</v>
      </c>
      <c r="D13" s="1366" t="s">
        <v>2048</v>
      </c>
      <c r="E13" s="1024"/>
    </row>
    <row r="14" spans="1:8" x14ac:dyDescent="0.2">
      <c r="A14" s="1367"/>
      <c r="B14" s="1368">
        <f>'JKP-8.8 - Peak Day Allocators'!L18</f>
        <v>881204631</v>
      </c>
      <c r="C14" s="1369">
        <f>'JKP-8.8 - Peak Day Allocators'!L9</f>
        <v>8817674.5777747463</v>
      </c>
      <c r="D14" s="1380">
        <f>D8</f>
        <v>365</v>
      </c>
      <c r="E14" s="1024"/>
    </row>
    <row r="15" spans="1:8" x14ac:dyDescent="0.2">
      <c r="A15" s="1371" t="s">
        <v>2049</v>
      </c>
      <c r="B15" s="1026"/>
      <c r="C15" s="1026"/>
      <c r="D15" s="1082"/>
    </row>
    <row r="16" spans="1:8" x14ac:dyDescent="0.2">
      <c r="A16" s="1372" t="s">
        <v>2052</v>
      </c>
      <c r="B16" s="1373">
        <f>B14/(C14*D14)</f>
        <v>0.27379772770237204</v>
      </c>
      <c r="C16" s="1374">
        <f>1-B16</f>
        <v>0.72620227229762802</v>
      </c>
      <c r="D16" s="1375">
        <f>C16+B16</f>
        <v>1</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56"/>
  <sheetViews>
    <sheetView topLeftCell="A10" zoomScale="90" zoomScaleNormal="90" workbookViewId="0">
      <selection activeCell="C35" sqref="C35"/>
    </sheetView>
  </sheetViews>
  <sheetFormatPr defaultRowHeight="12.75" x14ac:dyDescent="0.2"/>
  <cols>
    <col min="1" max="1" width="28.85546875" style="1054" customWidth="1"/>
    <col min="2" max="2" width="22" style="1054" customWidth="1"/>
    <col min="3" max="3" width="20.42578125" style="1054" bestFit="1" customWidth="1"/>
    <col min="4" max="4" width="21.7109375" style="1054" bestFit="1" customWidth="1"/>
    <col min="5" max="5" width="22.85546875" style="1054" bestFit="1" customWidth="1"/>
    <col min="6" max="6" width="18.140625" style="1054" bestFit="1" customWidth="1"/>
    <col min="7" max="7" width="15" style="1054" bestFit="1" customWidth="1"/>
    <col min="8" max="8" width="16.42578125" style="1054" customWidth="1"/>
    <col min="9" max="9" width="16.5703125" style="1054" customWidth="1"/>
    <col min="10" max="12" width="16.140625" style="1054" customWidth="1"/>
    <col min="13" max="13" width="15" style="1054" bestFit="1" customWidth="1"/>
    <col min="14" max="16384" width="9.140625" style="1054"/>
  </cols>
  <sheetData>
    <row r="1" spans="1:13" x14ac:dyDescent="0.2">
      <c r="A1" s="1381" t="s">
        <v>1786</v>
      </c>
      <c r="B1" s="1382" t="s">
        <v>1746</v>
      </c>
    </row>
    <row r="3" spans="1:13" x14ac:dyDescent="0.2">
      <c r="A3" s="1383" t="s">
        <v>2070</v>
      </c>
      <c r="B3" s="1397" t="s">
        <v>2071</v>
      </c>
      <c r="C3" s="1398"/>
      <c r="D3" s="1398"/>
      <c r="E3" s="1398"/>
      <c r="F3" s="1398"/>
      <c r="G3" s="1398"/>
      <c r="H3" s="1398"/>
      <c r="I3" s="1398"/>
      <c r="J3" s="1398"/>
      <c r="K3" s="1399"/>
    </row>
    <row r="4" spans="1:13" s="1406" customFormat="1" ht="25.5" x14ac:dyDescent="0.2">
      <c r="A4" s="1400" t="s">
        <v>1789</v>
      </c>
      <c r="B4" s="1401" t="s">
        <v>2072</v>
      </c>
      <c r="C4" s="1402" t="s">
        <v>2073</v>
      </c>
      <c r="D4" s="1402" t="s">
        <v>2074</v>
      </c>
      <c r="E4" s="1402" t="s">
        <v>2075</v>
      </c>
      <c r="F4" s="1402" t="s">
        <v>2076</v>
      </c>
      <c r="G4" s="1402" t="s">
        <v>1338</v>
      </c>
      <c r="H4" s="1402" t="s">
        <v>2077</v>
      </c>
      <c r="I4" s="1402" t="s">
        <v>2078</v>
      </c>
      <c r="J4" s="1403" t="s">
        <v>2079</v>
      </c>
      <c r="K4" s="1404" t="s">
        <v>143</v>
      </c>
      <c r="L4" s="1405" t="s">
        <v>2080</v>
      </c>
    </row>
    <row r="5" spans="1:13" x14ac:dyDescent="0.2">
      <c r="A5" s="1407">
        <v>16</v>
      </c>
      <c r="B5" s="1408"/>
      <c r="C5" s="1409"/>
      <c r="D5" s="1409"/>
      <c r="E5" s="1409">
        <v>12.66</v>
      </c>
      <c r="F5" s="1409"/>
      <c r="G5" s="1409"/>
      <c r="H5" s="1409"/>
      <c r="I5" s="1409"/>
      <c r="J5" s="1409"/>
      <c r="K5" s="1413">
        <f>SUM(B5:J5)</f>
        <v>12.66</v>
      </c>
      <c r="L5" s="1410">
        <f>+K5-H5</f>
        <v>12.66</v>
      </c>
    </row>
    <row r="6" spans="1:13" x14ac:dyDescent="0.2">
      <c r="A6" s="1411">
        <v>23</v>
      </c>
      <c r="B6" s="1412">
        <v>2.8</v>
      </c>
      <c r="C6" s="1410">
        <v>1409299.66</v>
      </c>
      <c r="D6" s="1410">
        <v>128713</v>
      </c>
      <c r="E6" s="1410">
        <v>1344631.5999999999</v>
      </c>
      <c r="F6" s="1410">
        <v>45824</v>
      </c>
      <c r="G6" s="1410">
        <v>1125457.33</v>
      </c>
      <c r="H6" s="1410">
        <v>1130350.3599999999</v>
      </c>
      <c r="I6" s="1410">
        <v>19529.95</v>
      </c>
      <c r="J6" s="1410">
        <v>-2250</v>
      </c>
      <c r="K6" s="1413">
        <f>SUM(B6:J6)</f>
        <v>5201558.7</v>
      </c>
      <c r="L6" s="1410">
        <f>+K6-H6</f>
        <v>4071208.3400000003</v>
      </c>
      <c r="M6" s="1410"/>
    </row>
    <row r="7" spans="1:13" x14ac:dyDescent="0.2">
      <c r="A7" s="1411">
        <v>24</v>
      </c>
      <c r="B7" s="1412"/>
      <c r="C7" s="1410"/>
      <c r="D7" s="1410"/>
      <c r="E7" s="1410">
        <v>79.95</v>
      </c>
      <c r="F7" s="1410">
        <v>32</v>
      </c>
      <c r="G7" s="1410">
        <v>2206.12</v>
      </c>
      <c r="H7" s="1410"/>
      <c r="I7" s="1410"/>
      <c r="J7" s="1410"/>
      <c r="K7" s="1413">
        <f t="shared" ref="K7:K22" si="0">SUM(B7:J7)</f>
        <v>2318.0699999999997</v>
      </c>
      <c r="L7" s="1410">
        <f t="shared" ref="L7:L22" si="1">+K7-H7</f>
        <v>2318.0699999999997</v>
      </c>
    </row>
    <row r="8" spans="1:13" x14ac:dyDescent="0.2">
      <c r="A8" s="1411">
        <v>31</v>
      </c>
      <c r="B8" s="1412"/>
      <c r="C8" s="1410">
        <v>98934.560000000012</v>
      </c>
      <c r="D8" s="1410">
        <v>30264</v>
      </c>
      <c r="E8" s="1410">
        <v>318805.34000000003</v>
      </c>
      <c r="F8" s="1410">
        <v>7664</v>
      </c>
      <c r="G8" s="1410">
        <v>862181.17999999982</v>
      </c>
      <c r="H8" s="1410">
        <v>869556</v>
      </c>
      <c r="I8" s="1410">
        <v>753</v>
      </c>
      <c r="J8" s="1410">
        <v>-200</v>
      </c>
      <c r="K8" s="1413">
        <f t="shared" si="0"/>
        <v>2187958.08</v>
      </c>
      <c r="L8" s="1410">
        <f t="shared" si="1"/>
        <v>1318402.08</v>
      </c>
    </row>
    <row r="9" spans="1:13" x14ac:dyDescent="0.2">
      <c r="A9" s="1411">
        <v>36</v>
      </c>
      <c r="B9" s="1412"/>
      <c r="C9" s="1410"/>
      <c r="D9" s="1410"/>
      <c r="E9" s="1410"/>
      <c r="F9" s="1410"/>
      <c r="G9" s="1410">
        <v>989</v>
      </c>
      <c r="H9" s="1410">
        <v>20561</v>
      </c>
      <c r="I9" s="1410"/>
      <c r="J9" s="1410"/>
      <c r="K9" s="1413">
        <f t="shared" si="0"/>
        <v>21550</v>
      </c>
      <c r="L9" s="1410">
        <f t="shared" si="1"/>
        <v>989</v>
      </c>
    </row>
    <row r="10" spans="1:13" x14ac:dyDescent="0.2">
      <c r="A10" s="1411">
        <v>41</v>
      </c>
      <c r="B10" s="1412"/>
      <c r="C10" s="1410">
        <v>371.6</v>
      </c>
      <c r="D10" s="1410">
        <v>845</v>
      </c>
      <c r="E10" s="1410">
        <v>44382.43</v>
      </c>
      <c r="F10" s="1410">
        <v>176</v>
      </c>
      <c r="G10" s="1410">
        <v>49142.989999999991</v>
      </c>
      <c r="H10" s="1410">
        <v>34778</v>
      </c>
      <c r="I10" s="1410"/>
      <c r="J10" s="1410"/>
      <c r="K10" s="1413">
        <f t="shared" si="0"/>
        <v>129696.01999999999</v>
      </c>
      <c r="L10" s="1410">
        <f t="shared" si="1"/>
        <v>94918.01999999999</v>
      </c>
    </row>
    <row r="11" spans="1:13" x14ac:dyDescent="0.2">
      <c r="A11" s="1411" t="s">
        <v>808</v>
      </c>
      <c r="B11" s="1412"/>
      <c r="C11" s="1410"/>
      <c r="D11" s="1410"/>
      <c r="E11" s="1410">
        <v>385.81</v>
      </c>
      <c r="F11" s="1410"/>
      <c r="G11" s="1410">
        <v>501.77</v>
      </c>
      <c r="H11" s="1410"/>
      <c r="I11" s="1410"/>
      <c r="J11" s="1410"/>
      <c r="K11" s="1413">
        <f t="shared" si="0"/>
        <v>887.57999999999993</v>
      </c>
      <c r="L11" s="1410">
        <f t="shared" si="1"/>
        <v>887.57999999999993</v>
      </c>
    </row>
    <row r="12" spans="1:13" x14ac:dyDescent="0.2">
      <c r="A12" s="1411">
        <v>53</v>
      </c>
      <c r="B12" s="1412"/>
      <c r="C12" s="1410">
        <v>33.4</v>
      </c>
      <c r="D12" s="1410">
        <v>13</v>
      </c>
      <c r="E12" s="1410">
        <v>66.290000000000006</v>
      </c>
      <c r="F12" s="1410"/>
      <c r="G12" s="1410"/>
      <c r="H12" s="1410"/>
      <c r="I12" s="1410"/>
      <c r="J12" s="1410"/>
      <c r="K12" s="1413">
        <f t="shared" si="0"/>
        <v>112.69</v>
      </c>
      <c r="L12" s="1410">
        <f t="shared" si="1"/>
        <v>112.69</v>
      </c>
    </row>
    <row r="13" spans="1:13" x14ac:dyDescent="0.2">
      <c r="A13" s="1411">
        <v>61</v>
      </c>
      <c r="B13" s="1412"/>
      <c r="C13" s="1410"/>
      <c r="D13" s="1410"/>
      <c r="E13" s="1410">
        <v>53.870000000000005</v>
      </c>
      <c r="F13" s="1410"/>
      <c r="G13" s="1410"/>
      <c r="H13" s="1410"/>
      <c r="I13" s="1410"/>
      <c r="J13" s="1410"/>
      <c r="K13" s="1413">
        <f t="shared" si="0"/>
        <v>53.870000000000005</v>
      </c>
      <c r="L13" s="1410">
        <f t="shared" si="1"/>
        <v>53.870000000000005</v>
      </c>
    </row>
    <row r="14" spans="1:13" x14ac:dyDescent="0.2">
      <c r="A14" s="1411">
        <v>71</v>
      </c>
      <c r="B14" s="1412"/>
      <c r="C14" s="1410"/>
      <c r="D14" s="1410">
        <v>91</v>
      </c>
      <c r="E14" s="1410">
        <v>13882.130000000001</v>
      </c>
      <c r="F14" s="1410">
        <v>2720</v>
      </c>
      <c r="G14" s="1410">
        <v>17830.800000000003</v>
      </c>
      <c r="H14" s="1410"/>
      <c r="I14" s="1410"/>
      <c r="J14" s="1410"/>
      <c r="K14" s="1413">
        <f t="shared" si="0"/>
        <v>34523.930000000008</v>
      </c>
      <c r="L14" s="1410">
        <f t="shared" si="1"/>
        <v>34523.930000000008</v>
      </c>
    </row>
    <row r="15" spans="1:13" x14ac:dyDescent="0.2">
      <c r="A15" s="1411">
        <v>72</v>
      </c>
      <c r="B15" s="1412"/>
      <c r="C15" s="1410"/>
      <c r="D15" s="1410"/>
      <c r="E15" s="1410">
        <v>5595.43</v>
      </c>
      <c r="F15" s="1410">
        <v>48</v>
      </c>
      <c r="G15" s="1410">
        <v>4958.1499999999996</v>
      </c>
      <c r="H15" s="1410"/>
      <c r="I15" s="1410">
        <v>98.53</v>
      </c>
      <c r="J15" s="1410"/>
      <c r="K15" s="1413">
        <f t="shared" si="0"/>
        <v>10700.11</v>
      </c>
      <c r="L15" s="1410">
        <f t="shared" si="1"/>
        <v>10700.11</v>
      </c>
    </row>
    <row r="16" spans="1:13" x14ac:dyDescent="0.2">
      <c r="A16" s="1411">
        <v>74</v>
      </c>
      <c r="B16" s="1412"/>
      <c r="C16" s="1410"/>
      <c r="D16" s="1410">
        <v>13</v>
      </c>
      <c r="E16" s="1410">
        <v>3153.9100000000003</v>
      </c>
      <c r="F16" s="1410">
        <v>176</v>
      </c>
      <c r="G16" s="1410">
        <v>2421.58</v>
      </c>
      <c r="H16" s="1410"/>
      <c r="I16" s="1410"/>
      <c r="J16" s="1410"/>
      <c r="K16" s="1413">
        <f t="shared" si="0"/>
        <v>5764.49</v>
      </c>
      <c r="L16" s="1410">
        <f t="shared" si="1"/>
        <v>5764.49</v>
      </c>
    </row>
    <row r="17" spans="1:12" x14ac:dyDescent="0.2">
      <c r="A17" s="1411">
        <v>75</v>
      </c>
      <c r="B17" s="1412"/>
      <c r="C17" s="1410"/>
      <c r="D17" s="1410"/>
      <c r="E17" s="1410">
        <v>0.05</v>
      </c>
      <c r="F17" s="1410"/>
      <c r="G17" s="1410">
        <v>51.9</v>
      </c>
      <c r="H17" s="1410"/>
      <c r="I17" s="1410"/>
      <c r="J17" s="1410"/>
      <c r="K17" s="1413">
        <f t="shared" si="0"/>
        <v>51.949999999999996</v>
      </c>
      <c r="L17" s="1410">
        <f t="shared" si="1"/>
        <v>51.949999999999996</v>
      </c>
    </row>
    <row r="18" spans="1:12" x14ac:dyDescent="0.2">
      <c r="A18" s="1411">
        <v>85</v>
      </c>
      <c r="B18" s="1412"/>
      <c r="C18" s="1410"/>
      <c r="D18" s="1410"/>
      <c r="E18" s="1410">
        <v>3901.12</v>
      </c>
      <c r="F18" s="1410"/>
      <c r="G18" s="1410">
        <v>78101.84</v>
      </c>
      <c r="H18" s="1410"/>
      <c r="I18" s="1410"/>
      <c r="J18" s="1410"/>
      <c r="K18" s="1413">
        <f t="shared" si="0"/>
        <v>82002.959999999992</v>
      </c>
      <c r="L18" s="1410">
        <f t="shared" si="1"/>
        <v>82002.959999999992</v>
      </c>
    </row>
    <row r="19" spans="1:12" x14ac:dyDescent="0.2">
      <c r="A19" s="1411" t="s">
        <v>809</v>
      </c>
      <c r="B19" s="1412"/>
      <c r="C19" s="1410"/>
      <c r="D19" s="1410"/>
      <c r="E19" s="1410">
        <v>1771.55</v>
      </c>
      <c r="F19" s="1410"/>
      <c r="G19" s="1410">
        <v>1308.25</v>
      </c>
      <c r="H19" s="1410"/>
      <c r="I19" s="1410"/>
      <c r="J19" s="1410"/>
      <c r="K19" s="1413">
        <f t="shared" si="0"/>
        <v>3079.8</v>
      </c>
      <c r="L19" s="1410">
        <f t="shared" si="1"/>
        <v>3079.8</v>
      </c>
    </row>
    <row r="20" spans="1:12" x14ac:dyDescent="0.2">
      <c r="A20" s="1411">
        <v>86</v>
      </c>
      <c r="B20" s="1412"/>
      <c r="C20" s="1410">
        <v>32</v>
      </c>
      <c r="D20" s="1410">
        <v>13</v>
      </c>
      <c r="E20" s="1410">
        <v>2672.5</v>
      </c>
      <c r="F20" s="1410">
        <v>16</v>
      </c>
      <c r="G20" s="1410">
        <v>1529.9</v>
      </c>
      <c r="H20" s="1410">
        <v>23204</v>
      </c>
      <c r="I20" s="1410"/>
      <c r="J20" s="1410"/>
      <c r="K20" s="1413">
        <f t="shared" si="0"/>
        <v>27467.4</v>
      </c>
      <c r="L20" s="1410">
        <f t="shared" si="1"/>
        <v>4263.4000000000015</v>
      </c>
    </row>
    <row r="21" spans="1:12" x14ac:dyDescent="0.2">
      <c r="A21" s="1411" t="s">
        <v>811</v>
      </c>
      <c r="B21" s="1412"/>
      <c r="C21" s="1410"/>
      <c r="D21" s="1410"/>
      <c r="E21" s="1410">
        <v>154.11000000000001</v>
      </c>
      <c r="F21" s="1410"/>
      <c r="G21" s="1410"/>
      <c r="H21" s="1410"/>
      <c r="I21" s="1410"/>
      <c r="J21" s="1410"/>
      <c r="K21" s="1413">
        <f t="shared" si="0"/>
        <v>154.11000000000001</v>
      </c>
      <c r="L21" s="1410">
        <f t="shared" si="1"/>
        <v>154.11000000000001</v>
      </c>
    </row>
    <row r="22" spans="1:12" x14ac:dyDescent="0.2">
      <c r="A22" s="1411" t="s">
        <v>745</v>
      </c>
      <c r="B22" s="1412"/>
      <c r="C22" s="1410"/>
      <c r="D22" s="1410"/>
      <c r="E22" s="1410">
        <v>40.03</v>
      </c>
      <c r="F22" s="1410"/>
      <c r="G22" s="1410"/>
      <c r="H22" s="1410"/>
      <c r="I22" s="1410"/>
      <c r="J22" s="1410"/>
      <c r="K22" s="1413">
        <f t="shared" si="0"/>
        <v>40.03</v>
      </c>
      <c r="L22" s="1410">
        <f t="shared" si="1"/>
        <v>40.03</v>
      </c>
    </row>
    <row r="23" spans="1:12" x14ac:dyDescent="0.2">
      <c r="A23" s="1381" t="s">
        <v>143</v>
      </c>
      <c r="B23" s="1414">
        <v>2.8</v>
      </c>
      <c r="C23" s="1415">
        <v>1508671.22</v>
      </c>
      <c r="D23" s="1415">
        <v>159952</v>
      </c>
      <c r="E23" s="1415">
        <v>1739588.78</v>
      </c>
      <c r="F23" s="1415">
        <v>56656</v>
      </c>
      <c r="G23" s="1415">
        <v>2146680.8099999996</v>
      </c>
      <c r="H23" s="1415">
        <v>2078449.3599999999</v>
      </c>
      <c r="I23" s="1415">
        <v>20381.48</v>
      </c>
      <c r="J23" s="1415">
        <v>-2450</v>
      </c>
      <c r="K23" s="1416">
        <f>SUM(K5:K22)</f>
        <v>7707932.450000002</v>
      </c>
      <c r="L23" s="1410">
        <f>SUM(L5:L22)</f>
        <v>5629483.0900000017</v>
      </c>
    </row>
    <row r="24" spans="1:12" ht="15" x14ac:dyDescent="0.25">
      <c r="A24" s="1417"/>
      <c r="B24" s="1417"/>
      <c r="C24" s="1417"/>
      <c r="D24" s="1417"/>
      <c r="E24" s="1417"/>
      <c r="F24" s="1417"/>
      <c r="G24" s="1417"/>
      <c r="H24" s="1417"/>
      <c r="I24" s="1417"/>
      <c r="J24" s="1417"/>
      <c r="K24" s="1417"/>
      <c r="L24" s="1410"/>
    </row>
    <row r="25" spans="1:12" x14ac:dyDescent="0.2">
      <c r="L25" s="1410"/>
    </row>
    <row r="28" spans="1:12" x14ac:dyDescent="0.2">
      <c r="B28" s="1418" t="s">
        <v>2081</v>
      </c>
    </row>
    <row r="29" spans="1:12" x14ac:dyDescent="0.2">
      <c r="A29" s="1419" t="s">
        <v>69</v>
      </c>
      <c r="B29" s="1419" t="s">
        <v>2082</v>
      </c>
      <c r="C29" s="1419" t="s">
        <v>237</v>
      </c>
    </row>
    <row r="30" spans="1:12" x14ac:dyDescent="0.2">
      <c r="A30" s="1054" t="s">
        <v>89</v>
      </c>
      <c r="B30" s="1410">
        <f>SUM(L5:L7,L12)</f>
        <v>4073651.7600000002</v>
      </c>
      <c r="C30" s="1420">
        <f>B30/$B$38</f>
        <v>0.72362803029576184</v>
      </c>
    </row>
    <row r="31" spans="1:12" x14ac:dyDescent="0.2">
      <c r="A31" s="1054" t="s">
        <v>1794</v>
      </c>
      <c r="B31" s="1410">
        <f>SUM(L8:L9,L13)</f>
        <v>1319444.9500000002</v>
      </c>
      <c r="C31" s="1420">
        <f t="shared" ref="C31:C37" si="2">B31/$B$38</f>
        <v>0.23438119076044686</v>
      </c>
    </row>
    <row r="32" spans="1:12" x14ac:dyDescent="0.2">
      <c r="A32" s="1054" t="s">
        <v>1796</v>
      </c>
      <c r="B32" s="1410">
        <f>SUM(L10:L11)</f>
        <v>95805.599999999991</v>
      </c>
      <c r="C32" s="1420">
        <f t="shared" si="2"/>
        <v>1.7018542993793764E-2</v>
      </c>
    </row>
    <row r="33" spans="1:7" x14ac:dyDescent="0.2">
      <c r="A33" s="1054" t="s">
        <v>163</v>
      </c>
      <c r="B33" s="1410">
        <f>SUM(L18:L19)</f>
        <v>85082.76</v>
      </c>
      <c r="C33" s="1420">
        <f t="shared" si="2"/>
        <v>1.5113778412646403E-2</v>
      </c>
    </row>
    <row r="34" spans="1:7" x14ac:dyDescent="0.2">
      <c r="A34" s="1054" t="s">
        <v>1798</v>
      </c>
      <c r="B34" s="1410">
        <f>L20</f>
        <v>4263.4000000000015</v>
      </c>
      <c r="C34" s="1420">
        <f t="shared" si="2"/>
        <v>7.573341871429265E-4</v>
      </c>
    </row>
    <row r="35" spans="1:7" x14ac:dyDescent="0.2">
      <c r="A35" s="1054" t="s">
        <v>1800</v>
      </c>
      <c r="B35" s="1410">
        <f>L21</f>
        <v>154.11000000000001</v>
      </c>
      <c r="C35" s="1420">
        <f t="shared" si="2"/>
        <v>2.7375515218041087E-5</v>
      </c>
    </row>
    <row r="36" spans="1:7" x14ac:dyDescent="0.2">
      <c r="A36" s="1054" t="s">
        <v>144</v>
      </c>
      <c r="B36" s="1410">
        <f>L22</f>
        <v>40.03</v>
      </c>
      <c r="C36" s="1420">
        <f t="shared" si="2"/>
        <v>7.1107771992614669E-6</v>
      </c>
    </row>
    <row r="37" spans="1:7" x14ac:dyDescent="0.2">
      <c r="A37" s="1054" t="s">
        <v>90</v>
      </c>
      <c r="B37" s="1410">
        <f>SUM(L14:L17)</f>
        <v>51040.480000000003</v>
      </c>
      <c r="C37" s="1420">
        <f t="shared" si="2"/>
        <v>9.0666370577906809E-3</v>
      </c>
    </row>
    <row r="38" spans="1:7" x14ac:dyDescent="0.2">
      <c r="A38" s="1393" t="s">
        <v>23</v>
      </c>
      <c r="B38" s="1421">
        <f>SUM(B30:B37)</f>
        <v>5629483.0900000017</v>
      </c>
      <c r="C38" s="1422">
        <f>SUM(C30:C37)</f>
        <v>0.99999999999999978</v>
      </c>
    </row>
    <row r="40" spans="1:7" x14ac:dyDescent="0.2">
      <c r="E40" s="1384" t="s">
        <v>2081</v>
      </c>
    </row>
    <row r="41" spans="1:7" x14ac:dyDescent="0.2">
      <c r="B41" s="1423" t="s">
        <v>1348</v>
      </c>
      <c r="C41" s="1423" t="s">
        <v>2083</v>
      </c>
      <c r="D41" s="1384" t="s">
        <v>1348</v>
      </c>
      <c r="E41" s="1418" t="s">
        <v>2084</v>
      </c>
      <c r="F41" s="1424" t="s">
        <v>23</v>
      </c>
      <c r="G41" s="1420"/>
    </row>
    <row r="42" spans="1:7" x14ac:dyDescent="0.2">
      <c r="A42" s="1419" t="s">
        <v>69</v>
      </c>
      <c r="B42" s="1387" t="s">
        <v>1364</v>
      </c>
      <c r="C42" s="1387" t="s">
        <v>2085</v>
      </c>
      <c r="D42" s="1419" t="s">
        <v>2086</v>
      </c>
      <c r="E42" s="1419" t="s">
        <v>2087</v>
      </c>
      <c r="F42" s="1425" t="s">
        <v>2088</v>
      </c>
      <c r="G42" s="1425" t="s">
        <v>93</v>
      </c>
    </row>
    <row r="43" spans="1:7" x14ac:dyDescent="0.2">
      <c r="A43" s="1054" t="s">
        <v>89</v>
      </c>
      <c r="B43" s="1426">
        <v>905147.36</v>
      </c>
      <c r="C43" s="1426"/>
      <c r="D43" s="1410">
        <f>SUM(H5:H7,H12)</f>
        <v>1130350.3599999999</v>
      </c>
      <c r="E43" s="1410">
        <f>$E$51*C30</f>
        <v>2514397.6834020317</v>
      </c>
      <c r="F43" s="1427">
        <f>SUM(B43:E43)</f>
        <v>4549895.4034020314</v>
      </c>
      <c r="G43" s="1420">
        <f>F43/$F$51</f>
        <v>0.67305725206257383</v>
      </c>
    </row>
    <row r="44" spans="1:7" x14ac:dyDescent="0.2">
      <c r="A44" s="1054" t="s">
        <v>1794</v>
      </c>
      <c r="B44" s="1426">
        <v>227755.08500000002</v>
      </c>
      <c r="C44" s="1426"/>
      <c r="D44" s="1410">
        <f>SUM(H8:H9,H13)</f>
        <v>890117</v>
      </c>
      <c r="E44" s="1410">
        <f t="shared" ref="E44:E49" si="3">$E$51*C31</f>
        <v>814406.70953584649</v>
      </c>
      <c r="F44" s="1427">
        <f t="shared" ref="F44:F50" si="4">SUM(B44:E44)</f>
        <v>1932278.7945358464</v>
      </c>
      <c r="G44" s="1420">
        <f t="shared" ref="G44:G50" si="5">F44/$F$51</f>
        <v>0.28583827546818957</v>
      </c>
    </row>
    <row r="45" spans="1:7" x14ac:dyDescent="0.2">
      <c r="A45" s="1054" t="s">
        <v>1796</v>
      </c>
      <c r="B45" s="1426">
        <v>23187.49</v>
      </c>
      <c r="C45" s="1426">
        <v>4567.33</v>
      </c>
      <c r="D45" s="1410">
        <f>SUM(H10:H11)</f>
        <v>34778</v>
      </c>
      <c r="E45" s="1410">
        <f t="shared" si="3"/>
        <v>59134.504589302851</v>
      </c>
      <c r="F45" s="1427">
        <f t="shared" si="4"/>
        <v>121667.32458930285</v>
      </c>
      <c r="G45" s="1420">
        <f t="shared" si="5"/>
        <v>1.7998012677973123E-2</v>
      </c>
    </row>
    <row r="46" spans="1:7" x14ac:dyDescent="0.2">
      <c r="A46" s="1054" t="s">
        <v>163</v>
      </c>
      <c r="B46" s="1410"/>
      <c r="C46" s="1426">
        <v>10081.700000000001</v>
      </c>
      <c r="D46" s="1410">
        <f>SUM(H18:H19)</f>
        <v>0</v>
      </c>
      <c r="E46" s="1410">
        <f t="shared" si="3"/>
        <v>52515.999708686686</v>
      </c>
      <c r="F46" s="1427">
        <f t="shared" si="4"/>
        <v>62597.69970868669</v>
      </c>
      <c r="G46" s="1420">
        <f t="shared" si="5"/>
        <v>9.259956991508899E-3</v>
      </c>
    </row>
    <row r="47" spans="1:7" x14ac:dyDescent="0.2">
      <c r="A47" s="1054" t="s">
        <v>1798</v>
      </c>
      <c r="B47" s="1410"/>
      <c r="C47" s="1410"/>
      <c r="D47" s="1410">
        <f>H20</f>
        <v>23204</v>
      </c>
      <c r="E47" s="1410">
        <f>$E$51*C34</f>
        <v>2631.5168097275514</v>
      </c>
      <c r="F47" s="1427">
        <f t="shared" si="4"/>
        <v>25835.516809727553</v>
      </c>
      <c r="G47" s="1420">
        <f t="shared" si="5"/>
        <v>3.8217981750898675E-3</v>
      </c>
    </row>
    <row r="48" spans="1:7" x14ac:dyDescent="0.2">
      <c r="A48" s="1054" t="s">
        <v>1800</v>
      </c>
      <c r="B48" s="1410"/>
      <c r="C48" s="1426">
        <v>36143.660000000003</v>
      </c>
      <c r="D48" s="1410">
        <f>H21</f>
        <v>0</v>
      </c>
      <c r="E48" s="1410">
        <f t="shared" si="3"/>
        <v>95.121981410872266</v>
      </c>
      <c r="F48" s="1427">
        <f t="shared" si="4"/>
        <v>36238.781981410873</v>
      </c>
      <c r="G48" s="1420">
        <f t="shared" si="5"/>
        <v>5.3607331281210844E-3</v>
      </c>
    </row>
    <row r="49" spans="1:7" x14ac:dyDescent="0.2">
      <c r="A49" s="1054" t="s">
        <v>144</v>
      </c>
      <c r="B49" s="1410"/>
      <c r="C49" s="1410"/>
      <c r="D49" s="1410">
        <f>H22</f>
        <v>0</v>
      </c>
      <c r="E49" s="1410">
        <f t="shared" si="3"/>
        <v>24.707889921985704</v>
      </c>
      <c r="F49" s="1427">
        <f t="shared" si="4"/>
        <v>24.707889921985704</v>
      </c>
      <c r="G49" s="1420">
        <f t="shared" si="5"/>
        <v>3.6549905043359604E-6</v>
      </c>
    </row>
    <row r="50" spans="1:7" x14ac:dyDescent="0.2">
      <c r="A50" s="1054" t="s">
        <v>90</v>
      </c>
      <c r="B50" s="1410"/>
      <c r="C50" s="1410"/>
      <c r="D50" s="1410">
        <f>SUM(H14:H17)</f>
        <v>0</v>
      </c>
      <c r="E50" s="1410">
        <f>$E$51*C37</f>
        <v>31503.936083070519</v>
      </c>
      <c r="F50" s="1427">
        <f t="shared" si="4"/>
        <v>31503.936083070519</v>
      </c>
      <c r="G50" s="1420">
        <f t="shared" si="5"/>
        <v>4.6603165060392082E-3</v>
      </c>
    </row>
    <row r="51" spans="1:7" x14ac:dyDescent="0.2">
      <c r="A51" s="1393" t="s">
        <v>23</v>
      </c>
      <c r="B51" s="1421">
        <f>SUM(B43:B50)</f>
        <v>1156089.9350000001</v>
      </c>
      <c r="C51" s="1421">
        <f>SUM(C43:C50)</f>
        <v>50792.69</v>
      </c>
      <c r="D51" s="1421">
        <f>SUM(D43:D50)</f>
        <v>2078449.3599999999</v>
      </c>
      <c r="E51" s="1428">
        <f>B53-SUM(B51:D51)</f>
        <v>3474710.1799999992</v>
      </c>
      <c r="F51" s="1421">
        <f>SUM(F43:F50)</f>
        <v>6760042.1649999991</v>
      </c>
      <c r="G51" s="1429">
        <f>SUM(G43:G50)</f>
        <v>1</v>
      </c>
    </row>
    <row r="52" spans="1:7" x14ac:dyDescent="0.2">
      <c r="D52" s="1410"/>
    </row>
    <row r="53" spans="1:7" x14ac:dyDescent="0.2">
      <c r="A53" s="1054" t="s">
        <v>2089</v>
      </c>
      <c r="B53" s="1426">
        <v>6760042.1649999991</v>
      </c>
    </row>
    <row r="54" spans="1:7" x14ac:dyDescent="0.2">
      <c r="D54" s="1430"/>
    </row>
    <row r="55" spans="1:7" x14ac:dyDescent="0.2">
      <c r="A55" s="1054" t="s">
        <v>2090</v>
      </c>
      <c r="D55" s="1420"/>
    </row>
    <row r="56" spans="1:7" x14ac:dyDescent="0.2">
      <c r="A56" s="1054" t="s">
        <v>2091</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9"/>
  <sheetViews>
    <sheetView workbookViewId="0">
      <selection activeCell="C35" sqref="C35"/>
    </sheetView>
  </sheetViews>
  <sheetFormatPr defaultRowHeight="12.75" x14ac:dyDescent="0.2"/>
  <cols>
    <col min="1" max="1" width="22.5703125" style="1054" customWidth="1"/>
    <col min="2" max="2" width="13.42578125" style="1054" customWidth="1"/>
    <col min="3" max="3" width="5.85546875" style="1054" customWidth="1"/>
    <col min="4" max="4" width="31.42578125" style="1054" bestFit="1" customWidth="1"/>
    <col min="5" max="5" width="12.7109375" style="1054" bestFit="1" customWidth="1"/>
    <col min="6" max="6" width="10.5703125" style="1054" bestFit="1" customWidth="1"/>
    <col min="7" max="16384" width="9.140625" style="1054"/>
  </cols>
  <sheetData>
    <row r="1" spans="1:6" x14ac:dyDescent="0.2">
      <c r="A1" s="1054" t="s">
        <v>2053</v>
      </c>
    </row>
    <row r="3" spans="1:6" x14ac:dyDescent="0.2">
      <c r="A3" s="1381" t="s">
        <v>2054</v>
      </c>
      <c r="B3" s="1382" t="s">
        <v>1056</v>
      </c>
    </row>
    <row r="5" spans="1:6" x14ac:dyDescent="0.2">
      <c r="A5" s="1383" t="s">
        <v>2055</v>
      </c>
      <c r="B5" s="1383"/>
      <c r="F5" s="1384" t="s">
        <v>2056</v>
      </c>
    </row>
    <row r="6" spans="1:6" x14ac:dyDescent="0.2">
      <c r="A6" s="1383" t="s">
        <v>2057</v>
      </c>
      <c r="B6" s="1385" t="s">
        <v>23</v>
      </c>
      <c r="D6" s="1386" t="s">
        <v>69</v>
      </c>
      <c r="E6" s="1386" t="s">
        <v>1793</v>
      </c>
      <c r="F6" s="1387" t="s">
        <v>1435</v>
      </c>
    </row>
    <row r="7" spans="1:6" x14ac:dyDescent="0.2">
      <c r="A7" s="1383" t="s">
        <v>2058</v>
      </c>
      <c r="B7" s="1388">
        <v>3585699.49</v>
      </c>
      <c r="D7" s="1054" t="s">
        <v>89</v>
      </c>
      <c r="E7" s="1389">
        <f>SUM(B7:B11)</f>
        <v>3626395.3200000003</v>
      </c>
      <c r="F7" s="1390">
        <f>E7/$E$15</f>
        <v>0.75150340975218022</v>
      </c>
    </row>
    <row r="8" spans="1:6" x14ac:dyDescent="0.2">
      <c r="A8" s="1391" t="s">
        <v>2059</v>
      </c>
      <c r="B8" s="1392">
        <v>4501</v>
      </c>
      <c r="D8" s="1054" t="s">
        <v>1794</v>
      </c>
      <c r="E8" s="1389">
        <f>SUM(B12:B16,B18)</f>
        <v>1174399.4600000002</v>
      </c>
      <c r="F8" s="1390">
        <f t="shared" ref="F8:F14" si="0">E8/$E$15</f>
        <v>0.24337258371520268</v>
      </c>
    </row>
    <row r="9" spans="1:6" x14ac:dyDescent="0.2">
      <c r="A9" s="1391" t="s">
        <v>2060</v>
      </c>
      <c r="B9" s="1392">
        <v>4485.6000000000004</v>
      </c>
      <c r="D9" s="1054" t="s">
        <v>1796</v>
      </c>
      <c r="E9" s="1389">
        <f>B17</f>
        <v>24726</v>
      </c>
      <c r="F9" s="1390">
        <f t="shared" si="0"/>
        <v>5.1240065326171903E-3</v>
      </c>
    </row>
    <row r="10" spans="1:6" x14ac:dyDescent="0.2">
      <c r="A10" s="1391" t="s">
        <v>2061</v>
      </c>
      <c r="B10" s="1392">
        <v>28637.23</v>
      </c>
      <c r="D10" s="1054" t="s">
        <v>163</v>
      </c>
      <c r="E10" s="1054">
        <v>0</v>
      </c>
      <c r="F10" s="1390">
        <f t="shared" si="0"/>
        <v>0</v>
      </c>
    </row>
    <row r="11" spans="1:6" x14ac:dyDescent="0.2">
      <c r="A11" s="1391" t="s">
        <v>2062</v>
      </c>
      <c r="B11" s="1392">
        <v>3072</v>
      </c>
      <c r="D11" s="1054" t="s">
        <v>802</v>
      </c>
      <c r="E11" s="1054">
        <v>0</v>
      </c>
      <c r="F11" s="1390">
        <f t="shared" si="0"/>
        <v>0</v>
      </c>
    </row>
    <row r="12" spans="1:6" x14ac:dyDescent="0.2">
      <c r="A12" s="1391" t="s">
        <v>2063</v>
      </c>
      <c r="B12" s="1392">
        <v>1109739.1300000001</v>
      </c>
      <c r="D12" s="1054" t="s">
        <v>1800</v>
      </c>
      <c r="E12" s="1054">
        <v>0</v>
      </c>
      <c r="F12" s="1390">
        <f t="shared" si="0"/>
        <v>0</v>
      </c>
    </row>
    <row r="13" spans="1:6" x14ac:dyDescent="0.2">
      <c r="A13" s="1391" t="s">
        <v>2064</v>
      </c>
      <c r="B13" s="1392">
        <v>1668</v>
      </c>
      <c r="D13" s="1054" t="s">
        <v>144</v>
      </c>
      <c r="E13" s="1054">
        <v>0</v>
      </c>
      <c r="F13" s="1390">
        <f t="shared" si="0"/>
        <v>0</v>
      </c>
    </row>
    <row r="14" spans="1:6" x14ac:dyDescent="0.2">
      <c r="A14" s="1391" t="s">
        <v>2065</v>
      </c>
      <c r="B14" s="1392">
        <v>2126.56</v>
      </c>
      <c r="D14" s="1054" t="s">
        <v>90</v>
      </c>
      <c r="E14" s="1054">
        <v>0</v>
      </c>
      <c r="F14" s="1390">
        <f t="shared" si="0"/>
        <v>0</v>
      </c>
    </row>
    <row r="15" spans="1:6" x14ac:dyDescent="0.2">
      <c r="A15" s="1391" t="s">
        <v>2066</v>
      </c>
      <c r="B15" s="1392">
        <v>3287</v>
      </c>
      <c r="D15" s="1393" t="s">
        <v>23</v>
      </c>
      <c r="E15" s="1394">
        <f>SUM(E7:E14)</f>
        <v>4825520.78</v>
      </c>
      <c r="F15" s="1395">
        <f>SUM(F7:F14)</f>
        <v>1</v>
      </c>
    </row>
    <row r="16" spans="1:6" x14ac:dyDescent="0.2">
      <c r="A16" s="1391" t="s">
        <v>2067</v>
      </c>
      <c r="B16" s="1392">
        <v>57524.770000000004</v>
      </c>
    </row>
    <row r="17" spans="1:2" x14ac:dyDescent="0.2">
      <c r="A17" s="1391" t="s">
        <v>2068</v>
      </c>
      <c r="B17" s="1392">
        <v>24726</v>
      </c>
    </row>
    <row r="18" spans="1:2" x14ac:dyDescent="0.2">
      <c r="A18" s="1391" t="s">
        <v>2069</v>
      </c>
      <c r="B18" s="1392">
        <v>54</v>
      </c>
    </row>
    <row r="19" spans="1:2" x14ac:dyDescent="0.2">
      <c r="A19" s="1381" t="s">
        <v>143</v>
      </c>
      <c r="B19" s="1396">
        <v>4825520.7799999993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pageSetUpPr fitToPage="1"/>
  </sheetPr>
  <dimension ref="A1:V37"/>
  <sheetViews>
    <sheetView topLeftCell="A2" workbookViewId="0">
      <selection activeCell="K39" sqref="K39"/>
    </sheetView>
  </sheetViews>
  <sheetFormatPr defaultRowHeight="12.75" x14ac:dyDescent="0.2"/>
  <cols>
    <col min="1" max="1" width="4.42578125" style="1472" customWidth="1"/>
    <col min="2" max="2" width="4.5703125" style="1479" bestFit="1" customWidth="1"/>
    <col min="3" max="3" width="11" style="1472" customWidth="1"/>
    <col min="4" max="4" width="8.7109375" style="1472" bestFit="1" customWidth="1"/>
    <col min="5" max="5" width="42.42578125" style="1472" bestFit="1" customWidth="1"/>
    <col min="6" max="6" width="9.85546875" style="1472" bestFit="1" customWidth="1"/>
    <col min="7" max="7" width="8.7109375" style="1472" bestFit="1" customWidth="1"/>
    <col min="8" max="8" width="13.42578125" style="1472" bestFit="1" customWidth="1"/>
    <col min="9" max="9" width="9.85546875" style="1472" bestFit="1" customWidth="1"/>
    <col min="10" max="10" width="14.5703125" style="1472" bestFit="1" customWidth="1"/>
    <col min="11" max="11" width="13.5703125" style="1472" customWidth="1"/>
    <col min="12" max="12" width="2.85546875" style="1472" customWidth="1"/>
    <col min="13" max="13" width="14.7109375" style="1472" hidden="1" customWidth="1"/>
    <col min="14" max="14" width="14" style="1472" customWidth="1"/>
    <col min="15" max="15" width="10.28515625" style="1473" bestFit="1" customWidth="1"/>
    <col min="16" max="16" width="8.85546875" style="1473" bestFit="1" customWidth="1"/>
    <col min="17" max="17" width="14.7109375" style="1472" customWidth="1"/>
    <col min="18" max="18" width="15.28515625" style="1472" customWidth="1"/>
    <col min="19" max="20" width="14" style="1472" customWidth="1"/>
    <col min="21" max="21" width="9.140625" style="1472"/>
    <col min="22" max="22" width="14" style="1472" customWidth="1"/>
    <col min="23" max="16384" width="9.140625" style="1472"/>
  </cols>
  <sheetData>
    <row r="1" spans="1:22" hidden="1" x14ac:dyDescent="0.2">
      <c r="K1" s="1472">
        <f>'Exhibit No._(CTM-4), Pg. 5'!M1+1</f>
        <v>6</v>
      </c>
    </row>
    <row r="2" spans="1:22" x14ac:dyDescent="0.2">
      <c r="A2" s="1829"/>
      <c r="B2" s="1856"/>
      <c r="C2" s="1829"/>
      <c r="D2" s="1829"/>
      <c r="E2" s="1829"/>
      <c r="F2" s="1829"/>
      <c r="G2" s="1829"/>
      <c r="H2" s="1829"/>
      <c r="I2" s="1829"/>
      <c r="J2" s="1829"/>
      <c r="K2" s="1826" t="str">
        <f>'Exhibit No._(CTM-4), Pg. 1'!$K$2</f>
        <v>Exhibit No.__ (CTM-4)</v>
      </c>
      <c r="L2" s="1826"/>
      <c r="Q2" s="1473"/>
    </row>
    <row r="3" spans="1:22" ht="13.5" thickBot="1" x14ac:dyDescent="0.25">
      <c r="A3" s="1829"/>
      <c r="B3" s="1856"/>
      <c r="C3" s="1829"/>
      <c r="D3" s="1829"/>
      <c r="E3" s="1829"/>
      <c r="F3" s="1829"/>
      <c r="G3" s="1829"/>
      <c r="H3" s="1829"/>
      <c r="I3" s="1829"/>
      <c r="J3" s="1829"/>
      <c r="K3" s="1827" t="s">
        <v>2131</v>
      </c>
      <c r="L3" s="1827"/>
      <c r="Q3" s="1473"/>
    </row>
    <row r="4" spans="1:22" ht="14.25" thickTop="1" thickBot="1" x14ac:dyDescent="0.25">
      <c r="A4" s="1829"/>
      <c r="B4" s="1856"/>
      <c r="C4" s="1829"/>
      <c r="D4" s="1829"/>
      <c r="E4" s="1829"/>
      <c r="F4" s="1829"/>
      <c r="G4" s="1829"/>
      <c r="H4" s="1829"/>
      <c r="I4" s="1829"/>
      <c r="J4" s="1829"/>
      <c r="K4" s="1828" t="str">
        <f>"Page "&amp;K1&amp;" of "&amp;'Exhibit No._(CTM-4), Pg. 6'!$K$1</f>
        <v>Page 6 of 6</v>
      </c>
      <c r="L4" s="1854"/>
      <c r="Q4" s="1473"/>
    </row>
    <row r="5" spans="1:22" ht="13.5" thickTop="1" x14ac:dyDescent="0.2">
      <c r="B5" s="1863" t="s">
        <v>2132</v>
      </c>
      <c r="C5" s="1863"/>
      <c r="D5" s="1863"/>
      <c r="E5" s="1863"/>
      <c r="F5" s="1863"/>
      <c r="G5" s="1863"/>
      <c r="H5" s="1863"/>
      <c r="I5" s="1863"/>
      <c r="J5" s="1863"/>
      <c r="K5" s="1863"/>
      <c r="L5" s="1832"/>
      <c r="M5" s="1475"/>
      <c r="Q5" s="1473"/>
    </row>
    <row r="6" spans="1:22" x14ac:dyDescent="0.2">
      <c r="B6" s="1863" t="s">
        <v>2139</v>
      </c>
      <c r="C6" s="1863"/>
      <c r="D6" s="1863"/>
      <c r="E6" s="1863"/>
      <c r="F6" s="1863"/>
      <c r="G6" s="1863"/>
      <c r="H6" s="1863"/>
      <c r="I6" s="1863"/>
      <c r="J6" s="1863"/>
      <c r="K6" s="1863"/>
      <c r="L6" s="1832"/>
      <c r="M6" s="1475"/>
      <c r="Q6" s="1473"/>
    </row>
    <row r="7" spans="1:22" s="1479" customFormat="1" x14ac:dyDescent="0.2">
      <c r="A7" s="1476"/>
      <c r="B7" s="1863" t="s">
        <v>2134</v>
      </c>
      <c r="C7" s="1863"/>
      <c r="D7" s="1863"/>
      <c r="E7" s="1863"/>
      <c r="F7" s="1863"/>
      <c r="G7" s="1863"/>
      <c r="H7" s="1863"/>
      <c r="I7" s="1863"/>
      <c r="J7" s="1863"/>
      <c r="K7" s="1863"/>
      <c r="L7" s="1832"/>
      <c r="M7" s="1475"/>
      <c r="N7" s="1477"/>
      <c r="O7" s="1478"/>
      <c r="P7" s="1478"/>
      <c r="Q7" s="1478"/>
      <c r="R7" s="1477"/>
      <c r="S7" s="1477"/>
      <c r="T7" s="1477"/>
      <c r="U7" s="1477"/>
      <c r="V7" s="1477"/>
    </row>
    <row r="8" spans="1:22" s="1479" customFormat="1" x14ac:dyDescent="0.2">
      <c r="A8" s="1476"/>
      <c r="B8" s="1476"/>
      <c r="C8" s="1478"/>
      <c r="D8" s="1478"/>
      <c r="E8" s="1478"/>
      <c r="F8" s="1478"/>
      <c r="G8" s="1478"/>
      <c r="H8" s="1478"/>
      <c r="I8" s="1478"/>
      <c r="J8" s="1478"/>
      <c r="K8" s="1480"/>
      <c r="L8" s="1833"/>
      <c r="N8" s="1477"/>
      <c r="O8" s="1478"/>
      <c r="P8" s="1478"/>
      <c r="Q8" s="1478"/>
      <c r="R8" s="1477"/>
      <c r="S8" s="1477"/>
      <c r="T8" s="1477"/>
      <c r="U8" s="1477"/>
      <c r="V8" s="1477"/>
    </row>
    <row r="9" spans="1:22" s="1479" customFormat="1" x14ac:dyDescent="0.2">
      <c r="B9" s="1476"/>
      <c r="C9" s="1478"/>
      <c r="D9" s="1478"/>
      <c r="E9" s="1478"/>
      <c r="F9" s="1478"/>
      <c r="G9" s="1478"/>
      <c r="H9" s="1478" t="s">
        <v>92</v>
      </c>
      <c r="I9" s="1478"/>
      <c r="J9" s="1478" t="s">
        <v>92</v>
      </c>
      <c r="K9" s="1480"/>
      <c r="L9" s="1833"/>
      <c r="N9" s="1477"/>
      <c r="O9" s="1478"/>
      <c r="P9" s="1478"/>
      <c r="Q9" s="1478"/>
      <c r="R9" s="1477"/>
      <c r="S9" s="1477"/>
      <c r="T9" s="1477"/>
      <c r="U9" s="1477"/>
      <c r="V9" s="1477"/>
    </row>
    <row r="10" spans="1:22" s="1479" customFormat="1" x14ac:dyDescent="0.2">
      <c r="B10" s="1478" t="s">
        <v>2140</v>
      </c>
      <c r="C10" s="1478"/>
      <c r="D10" s="1478" t="s">
        <v>83</v>
      </c>
      <c r="E10" s="1478"/>
      <c r="F10" s="1478" t="s">
        <v>146</v>
      </c>
      <c r="G10" s="1478" t="s">
        <v>22</v>
      </c>
      <c r="H10" s="1478" t="s">
        <v>99</v>
      </c>
      <c r="I10" s="1478" t="s">
        <v>1</v>
      </c>
      <c r="J10" s="1478" t="s">
        <v>99</v>
      </c>
      <c r="K10" s="1480" t="s">
        <v>1</v>
      </c>
      <c r="L10" s="1833"/>
      <c r="N10" s="1477"/>
      <c r="O10" s="1478"/>
      <c r="P10" s="1478"/>
      <c r="Q10" s="1478"/>
      <c r="R10" s="1477"/>
      <c r="S10" s="1477"/>
      <c r="T10" s="1477"/>
      <c r="U10" s="1477"/>
      <c r="V10" s="1477"/>
    </row>
    <row r="11" spans="1:22" s="1479" customFormat="1" x14ac:dyDescent="0.2">
      <c r="B11" s="1481" t="s">
        <v>770</v>
      </c>
      <c r="C11" s="1481" t="s">
        <v>25</v>
      </c>
      <c r="D11" s="1481" t="s">
        <v>25</v>
      </c>
      <c r="E11" s="1481" t="s">
        <v>3</v>
      </c>
      <c r="F11" s="1481" t="s">
        <v>147</v>
      </c>
      <c r="G11" s="1481" t="s">
        <v>5</v>
      </c>
      <c r="H11" s="1481" t="s">
        <v>100</v>
      </c>
      <c r="I11" s="1481" t="s">
        <v>5</v>
      </c>
      <c r="J11" s="1481" t="s">
        <v>101</v>
      </c>
      <c r="K11" s="1481" t="s">
        <v>65</v>
      </c>
      <c r="L11" s="1478"/>
      <c r="N11" s="1477"/>
      <c r="O11" s="1478"/>
      <c r="P11" s="1478"/>
      <c r="Q11" s="1478"/>
      <c r="R11" s="1477"/>
      <c r="S11" s="1477"/>
      <c r="T11" s="1477"/>
      <c r="U11" s="1477"/>
      <c r="V11" s="1477"/>
    </row>
    <row r="12" spans="1:22" x14ac:dyDescent="0.2">
      <c r="C12" s="1482" t="s">
        <v>102</v>
      </c>
      <c r="D12" s="1482" t="s">
        <v>103</v>
      </c>
      <c r="E12" s="1482" t="s">
        <v>104</v>
      </c>
      <c r="F12" s="1482" t="s">
        <v>105</v>
      </c>
      <c r="G12" s="1482" t="s">
        <v>106</v>
      </c>
      <c r="H12" s="1482" t="s">
        <v>107</v>
      </c>
      <c r="I12" s="1482" t="s">
        <v>108</v>
      </c>
      <c r="J12" s="1482" t="s">
        <v>109</v>
      </c>
      <c r="K12" s="1482" t="s">
        <v>116</v>
      </c>
      <c r="L12" s="1482"/>
      <c r="O12" s="1482"/>
      <c r="Q12" s="1473"/>
    </row>
    <row r="13" spans="1:22" ht="12.75" customHeight="1" x14ac:dyDescent="0.2">
      <c r="B13" s="1477">
        <v>1</v>
      </c>
      <c r="C13" s="1477" t="s">
        <v>28</v>
      </c>
      <c r="D13" s="1472" t="s">
        <v>29</v>
      </c>
      <c r="E13" s="1472" t="s">
        <v>30</v>
      </c>
      <c r="F13" s="1805">
        <v>17947</v>
      </c>
      <c r="G13" s="1806">
        <v>7.88</v>
      </c>
      <c r="H13" s="1483">
        <f>F13*G13</f>
        <v>141422.35999999999</v>
      </c>
      <c r="I13" s="1484">
        <f>ROUND(G13*(1+$M$32),2)</f>
        <v>7.88</v>
      </c>
      <c r="J13" s="1483">
        <f>F13*I13</f>
        <v>141422.35999999999</v>
      </c>
      <c r="K13" s="1485">
        <f>J13-H13</f>
        <v>0</v>
      </c>
      <c r="L13" s="1485"/>
      <c r="M13" s="1486"/>
      <c r="N13" s="1486"/>
      <c r="O13" s="1484"/>
      <c r="P13" s="1484"/>
      <c r="Q13" s="1484"/>
      <c r="R13" s="1486"/>
      <c r="S13" s="1486"/>
      <c r="T13" s="1486"/>
      <c r="V13" s="1486"/>
    </row>
    <row r="14" spans="1:22" x14ac:dyDescent="0.2">
      <c r="B14" s="1477">
        <f>B13+1</f>
        <v>2</v>
      </c>
      <c r="C14" s="1477" t="s">
        <v>28</v>
      </c>
      <c r="D14" s="1472" t="s">
        <v>31</v>
      </c>
      <c r="E14" s="1472" t="s">
        <v>32</v>
      </c>
      <c r="F14" s="1805">
        <v>285976</v>
      </c>
      <c r="G14" s="1806">
        <v>12.64</v>
      </c>
      <c r="H14" s="1487">
        <f>F14*G14</f>
        <v>3614736.64</v>
      </c>
      <c r="I14" s="1484">
        <f t="shared" ref="I14:I29" si="0">ROUND(G14*(1+$M$32),2)</f>
        <v>12.64</v>
      </c>
      <c r="J14" s="1487">
        <f>F14*I14</f>
        <v>3614736.64</v>
      </c>
      <c r="K14" s="1487">
        <f t="shared" ref="K14:K25" si="1">J14-H14</f>
        <v>0</v>
      </c>
      <c r="L14" s="1487"/>
      <c r="M14" s="1486"/>
      <c r="N14" s="1486"/>
      <c r="O14" s="1484"/>
      <c r="P14" s="1484"/>
      <c r="Q14" s="1484"/>
      <c r="R14" s="1486"/>
      <c r="S14" s="1486"/>
      <c r="T14" s="1486"/>
      <c r="U14" s="1486"/>
      <c r="V14" s="1486"/>
    </row>
    <row r="15" spans="1:22" x14ac:dyDescent="0.2">
      <c r="B15" s="1477">
        <f t="shared" ref="B15:B30" si="2">B14+1</f>
        <v>3</v>
      </c>
      <c r="C15" s="1477" t="s">
        <v>28</v>
      </c>
      <c r="D15" s="1472" t="s">
        <v>33</v>
      </c>
      <c r="E15" s="1472" t="s">
        <v>34</v>
      </c>
      <c r="F15" s="1805">
        <v>52189</v>
      </c>
      <c r="G15" s="1806">
        <v>17.739999999999998</v>
      </c>
      <c r="H15" s="1487">
        <f t="shared" ref="H15:H29" si="3">F15*G15</f>
        <v>925832.85999999987</v>
      </c>
      <c r="I15" s="1484">
        <f t="shared" si="0"/>
        <v>17.739999999999998</v>
      </c>
      <c r="J15" s="1487">
        <f t="shared" ref="J15:J29" si="4">F15*I15</f>
        <v>925832.85999999987</v>
      </c>
      <c r="K15" s="1487">
        <f t="shared" si="1"/>
        <v>0</v>
      </c>
      <c r="L15" s="1487"/>
      <c r="M15" s="1486"/>
      <c r="N15" s="1486"/>
      <c r="O15" s="1484"/>
      <c r="P15" s="1484"/>
      <c r="Q15" s="1484"/>
      <c r="R15" s="1486"/>
      <c r="S15" s="1486"/>
      <c r="T15" s="1486"/>
      <c r="U15" s="1486"/>
      <c r="V15" s="1486"/>
    </row>
    <row r="16" spans="1:22" x14ac:dyDescent="0.2">
      <c r="B16" s="1477">
        <f t="shared" si="2"/>
        <v>4</v>
      </c>
      <c r="C16" s="1477" t="s">
        <v>28</v>
      </c>
      <c r="D16" s="1472" t="s">
        <v>35</v>
      </c>
      <c r="E16" s="1472" t="s">
        <v>36</v>
      </c>
      <c r="F16" s="1805">
        <v>14037</v>
      </c>
      <c r="G16" s="1806">
        <v>17.37</v>
      </c>
      <c r="H16" s="1487">
        <f t="shared" si="3"/>
        <v>243822.69</v>
      </c>
      <c r="I16" s="1484">
        <f t="shared" si="0"/>
        <v>17.37</v>
      </c>
      <c r="J16" s="1487">
        <f>F16*I16</f>
        <v>243822.69</v>
      </c>
      <c r="K16" s="1487">
        <f>J16-H16</f>
        <v>0</v>
      </c>
      <c r="L16" s="1487"/>
      <c r="M16" s="1486"/>
      <c r="N16" s="1486"/>
      <c r="O16" s="1484"/>
      <c r="P16" s="1484"/>
      <c r="Q16" s="1484"/>
      <c r="R16" s="1486"/>
      <c r="S16" s="1486"/>
      <c r="T16" s="1486"/>
      <c r="U16" s="1486"/>
      <c r="V16" s="1486"/>
    </row>
    <row r="17" spans="2:22" x14ac:dyDescent="0.2">
      <c r="B17" s="1477">
        <f t="shared" si="2"/>
        <v>5</v>
      </c>
      <c r="C17" s="1477" t="s">
        <v>28</v>
      </c>
      <c r="D17" s="1472" t="s">
        <v>37</v>
      </c>
      <c r="E17" s="1472" t="s">
        <v>38</v>
      </c>
      <c r="F17" s="1805">
        <v>56035</v>
      </c>
      <c r="G17" s="1806">
        <v>6.34</v>
      </c>
      <c r="H17" s="1487">
        <f t="shared" si="3"/>
        <v>355261.89999999997</v>
      </c>
      <c r="I17" s="1484">
        <f t="shared" si="0"/>
        <v>6.34</v>
      </c>
      <c r="J17" s="1487">
        <f t="shared" si="4"/>
        <v>355261.89999999997</v>
      </c>
      <c r="K17" s="1487">
        <f t="shared" si="1"/>
        <v>0</v>
      </c>
      <c r="L17" s="1487"/>
      <c r="M17" s="1486"/>
      <c r="N17" s="1486"/>
      <c r="O17" s="1484"/>
      <c r="P17" s="1484"/>
      <c r="Q17" s="1484"/>
      <c r="R17" s="1486"/>
      <c r="S17" s="1486"/>
      <c r="T17" s="1486"/>
      <c r="U17" s="1486"/>
      <c r="V17" s="1486"/>
    </row>
    <row r="18" spans="2:22" x14ac:dyDescent="0.2">
      <c r="B18" s="1477">
        <f t="shared" si="2"/>
        <v>6</v>
      </c>
      <c r="C18" s="1477" t="s">
        <v>28</v>
      </c>
      <c r="D18" s="1472" t="s">
        <v>39</v>
      </c>
      <c r="E18" s="1472" t="s">
        <v>40</v>
      </c>
      <c r="F18" s="1805">
        <v>3117</v>
      </c>
      <c r="G18" s="1806">
        <v>11.11</v>
      </c>
      <c r="H18" s="1487">
        <f t="shared" si="3"/>
        <v>34629.869999999995</v>
      </c>
      <c r="I18" s="1484">
        <f t="shared" si="0"/>
        <v>11.11</v>
      </c>
      <c r="J18" s="1487">
        <f t="shared" si="4"/>
        <v>34629.869999999995</v>
      </c>
      <c r="K18" s="1487">
        <f t="shared" si="1"/>
        <v>0</v>
      </c>
      <c r="L18" s="1487"/>
      <c r="M18" s="1486"/>
      <c r="N18" s="1486"/>
      <c r="O18" s="1484"/>
      <c r="P18" s="1484"/>
      <c r="Q18" s="1484"/>
      <c r="R18" s="1486"/>
      <c r="S18" s="1486"/>
      <c r="T18" s="1486"/>
      <c r="U18" s="1486"/>
      <c r="V18" s="1486"/>
    </row>
    <row r="19" spans="2:22" x14ac:dyDescent="0.2">
      <c r="B19" s="1477">
        <f t="shared" si="2"/>
        <v>7</v>
      </c>
      <c r="C19" s="1477" t="s">
        <v>41</v>
      </c>
      <c r="D19" s="1472" t="s">
        <v>42</v>
      </c>
      <c r="E19" s="1472" t="s">
        <v>43</v>
      </c>
      <c r="F19" s="1805">
        <v>2263</v>
      </c>
      <c r="G19" s="1806">
        <v>15.47</v>
      </c>
      <c r="H19" s="1487">
        <f t="shared" si="3"/>
        <v>35008.61</v>
      </c>
      <c r="I19" s="1484">
        <f t="shared" si="0"/>
        <v>15.47</v>
      </c>
      <c r="J19" s="1487">
        <f t="shared" si="4"/>
        <v>35008.61</v>
      </c>
      <c r="K19" s="1487">
        <f t="shared" si="1"/>
        <v>0</v>
      </c>
      <c r="L19" s="1487"/>
      <c r="M19" s="1486"/>
      <c r="N19" s="1486"/>
      <c r="O19" s="1484"/>
      <c r="P19" s="1496"/>
      <c r="Q19" s="1484"/>
      <c r="R19" s="1486"/>
      <c r="S19" s="1486"/>
      <c r="T19" s="1486"/>
      <c r="U19" s="1486"/>
      <c r="V19" s="1486"/>
    </row>
    <row r="20" spans="2:22" x14ac:dyDescent="0.2">
      <c r="B20" s="1477">
        <f t="shared" si="2"/>
        <v>8</v>
      </c>
      <c r="C20" s="1477" t="s">
        <v>41</v>
      </c>
      <c r="D20" s="1472" t="s">
        <v>44</v>
      </c>
      <c r="E20" s="1472" t="s">
        <v>45</v>
      </c>
      <c r="F20" s="1805">
        <v>1422</v>
      </c>
      <c r="G20" s="1806">
        <v>20.21</v>
      </c>
      <c r="H20" s="1487">
        <f t="shared" si="3"/>
        <v>28738.620000000003</v>
      </c>
      <c r="I20" s="1484">
        <f t="shared" si="0"/>
        <v>20.21</v>
      </c>
      <c r="J20" s="1487">
        <f t="shared" si="4"/>
        <v>28738.620000000003</v>
      </c>
      <c r="K20" s="1487">
        <f t="shared" si="1"/>
        <v>0</v>
      </c>
      <c r="L20" s="1487"/>
      <c r="M20" s="1486"/>
      <c r="N20" s="1486"/>
      <c r="O20" s="1484"/>
      <c r="P20" s="1488"/>
      <c r="Q20" s="1484"/>
      <c r="R20" s="1486"/>
      <c r="S20" s="1486"/>
      <c r="T20" s="1486"/>
      <c r="U20" s="1486"/>
      <c r="V20" s="1486"/>
    </row>
    <row r="21" spans="2:22" x14ac:dyDescent="0.2">
      <c r="B21" s="1477">
        <f t="shared" si="2"/>
        <v>9</v>
      </c>
      <c r="C21" s="1477" t="s">
        <v>41</v>
      </c>
      <c r="D21" s="1472" t="s">
        <v>46</v>
      </c>
      <c r="E21" s="1472" t="s">
        <v>47</v>
      </c>
      <c r="F21" s="1805">
        <v>4250</v>
      </c>
      <c r="G21" s="1806">
        <v>20.21</v>
      </c>
      <c r="H21" s="1487">
        <f t="shared" si="3"/>
        <v>85892.5</v>
      </c>
      <c r="I21" s="1484">
        <f t="shared" si="0"/>
        <v>20.21</v>
      </c>
      <c r="J21" s="1487">
        <f t="shared" si="4"/>
        <v>85892.5</v>
      </c>
      <c r="K21" s="1487">
        <f t="shared" si="1"/>
        <v>0</v>
      </c>
      <c r="L21" s="1487"/>
      <c r="M21" s="1486"/>
      <c r="N21" s="1486"/>
      <c r="O21" s="1484"/>
      <c r="P21" s="1488"/>
      <c r="Q21" s="1484"/>
      <c r="R21" s="1486"/>
      <c r="S21" s="1486"/>
      <c r="T21" s="1486"/>
      <c r="U21" s="1486"/>
      <c r="V21" s="1486"/>
    </row>
    <row r="22" spans="2:22" x14ac:dyDescent="0.2">
      <c r="B22" s="1477">
        <f t="shared" si="2"/>
        <v>10</v>
      </c>
      <c r="C22" s="1477" t="s">
        <v>41</v>
      </c>
      <c r="D22" s="1472" t="s">
        <v>48</v>
      </c>
      <c r="E22" s="1472" t="s">
        <v>49</v>
      </c>
      <c r="F22" s="1805">
        <v>232</v>
      </c>
      <c r="G22" s="1806">
        <v>31.66</v>
      </c>
      <c r="H22" s="1487">
        <f t="shared" si="3"/>
        <v>7345.12</v>
      </c>
      <c r="I22" s="1484">
        <f t="shared" si="0"/>
        <v>31.66</v>
      </c>
      <c r="J22" s="1487">
        <f t="shared" si="4"/>
        <v>7345.12</v>
      </c>
      <c r="K22" s="1487">
        <f t="shared" si="1"/>
        <v>0</v>
      </c>
      <c r="L22" s="1487"/>
      <c r="M22" s="1486"/>
      <c r="N22" s="1486"/>
      <c r="O22" s="1484"/>
      <c r="P22" s="1488"/>
      <c r="Q22" s="1484"/>
      <c r="R22" s="1486"/>
      <c r="S22" s="1486"/>
      <c r="T22" s="1486"/>
      <c r="U22" s="1486"/>
      <c r="V22" s="1486"/>
    </row>
    <row r="23" spans="2:22" x14ac:dyDescent="0.2">
      <c r="B23" s="1477">
        <f t="shared" si="2"/>
        <v>11</v>
      </c>
      <c r="C23" s="1477" t="s">
        <v>41</v>
      </c>
      <c r="D23" s="1472" t="s">
        <v>50</v>
      </c>
      <c r="E23" s="1472" t="s">
        <v>51</v>
      </c>
      <c r="F23" s="1805">
        <v>9455</v>
      </c>
      <c r="G23" s="1806">
        <v>41.3</v>
      </c>
      <c r="H23" s="1487">
        <f t="shared" si="3"/>
        <v>390491.5</v>
      </c>
      <c r="I23" s="1484">
        <f t="shared" si="0"/>
        <v>41.3</v>
      </c>
      <c r="J23" s="1487">
        <f t="shared" si="4"/>
        <v>390491.5</v>
      </c>
      <c r="K23" s="1487">
        <f t="shared" si="1"/>
        <v>0</v>
      </c>
      <c r="L23" s="1487"/>
      <c r="M23" s="1486"/>
      <c r="N23" s="1486"/>
      <c r="O23" s="1484"/>
      <c r="P23" s="1488"/>
      <c r="Q23" s="1484"/>
      <c r="R23" s="1486"/>
      <c r="S23" s="1486"/>
      <c r="T23" s="1486"/>
      <c r="U23" s="1486"/>
      <c r="V23" s="1486"/>
    </row>
    <row r="24" spans="2:22" x14ac:dyDescent="0.2">
      <c r="B24" s="1477">
        <f t="shared" si="2"/>
        <v>12</v>
      </c>
      <c r="C24" s="1477" t="s">
        <v>41</v>
      </c>
      <c r="D24" s="1472" t="s">
        <v>52</v>
      </c>
      <c r="E24" s="1472" t="s">
        <v>53</v>
      </c>
      <c r="F24" s="1805">
        <v>6107</v>
      </c>
      <c r="G24" s="1806">
        <v>55.14</v>
      </c>
      <c r="H24" s="1487">
        <f t="shared" si="3"/>
        <v>336739.98</v>
      </c>
      <c r="I24" s="1484">
        <f t="shared" si="0"/>
        <v>55.14</v>
      </c>
      <c r="J24" s="1487">
        <f t="shared" si="4"/>
        <v>336739.98</v>
      </c>
      <c r="K24" s="1487">
        <f t="shared" si="1"/>
        <v>0</v>
      </c>
      <c r="L24" s="1487"/>
      <c r="M24" s="1486"/>
      <c r="N24" s="1486"/>
      <c r="O24" s="1484"/>
      <c r="P24" s="1488"/>
      <c r="Q24" s="1484"/>
      <c r="R24" s="1486"/>
      <c r="S24" s="1486"/>
      <c r="T24" s="1486"/>
      <c r="U24" s="1486"/>
      <c r="V24" s="1486"/>
    </row>
    <row r="25" spans="2:22" x14ac:dyDescent="0.2">
      <c r="B25" s="1477">
        <f t="shared" si="2"/>
        <v>13</v>
      </c>
      <c r="C25" s="1477" t="s">
        <v>41</v>
      </c>
      <c r="D25" s="1472" t="s">
        <v>54</v>
      </c>
      <c r="E25" s="1472" t="s">
        <v>55</v>
      </c>
      <c r="F25" s="1805">
        <v>16707</v>
      </c>
      <c r="G25" s="1806">
        <v>64.06</v>
      </c>
      <c r="H25" s="1487">
        <f t="shared" si="3"/>
        <v>1070250.42</v>
      </c>
      <c r="I25" s="1484">
        <f t="shared" si="0"/>
        <v>64.06</v>
      </c>
      <c r="J25" s="1487">
        <f t="shared" si="4"/>
        <v>1070250.42</v>
      </c>
      <c r="K25" s="1487">
        <f t="shared" si="1"/>
        <v>0</v>
      </c>
      <c r="L25" s="1487"/>
      <c r="M25" s="1486"/>
      <c r="N25" s="1486"/>
      <c r="O25" s="1484"/>
      <c r="P25" s="1488"/>
      <c r="Q25" s="1484"/>
      <c r="R25" s="1486"/>
      <c r="S25" s="1486"/>
      <c r="T25" s="1486"/>
      <c r="U25" s="1486"/>
      <c r="V25" s="1486"/>
    </row>
    <row r="26" spans="2:22" x14ac:dyDescent="0.2">
      <c r="B26" s="1477">
        <f t="shared" si="2"/>
        <v>14</v>
      </c>
      <c r="C26" s="1477" t="s">
        <v>56</v>
      </c>
      <c r="D26" s="1472" t="s">
        <v>57</v>
      </c>
      <c r="E26" s="1472" t="s">
        <v>58</v>
      </c>
      <c r="F26" s="1805">
        <v>20365</v>
      </c>
      <c r="G26" s="1806">
        <v>10.7</v>
      </c>
      <c r="H26" s="1487">
        <f t="shared" si="3"/>
        <v>217905.5</v>
      </c>
      <c r="I26" s="1484">
        <f t="shared" si="0"/>
        <v>10.7</v>
      </c>
      <c r="J26" s="1487">
        <f t="shared" si="4"/>
        <v>217905.5</v>
      </c>
      <c r="K26" s="1487">
        <f>J26-H26</f>
        <v>0</v>
      </c>
      <c r="L26" s="1487"/>
      <c r="M26" s="1489" t="s">
        <v>8</v>
      </c>
      <c r="N26" s="1486"/>
      <c r="O26" s="1484"/>
      <c r="P26" s="1484"/>
      <c r="Q26" s="1484"/>
      <c r="R26" s="1486"/>
      <c r="S26" s="1486"/>
      <c r="T26" s="1486"/>
      <c r="U26" s="1486"/>
      <c r="V26" s="1486"/>
    </row>
    <row r="27" spans="2:22" x14ac:dyDescent="0.2">
      <c r="B27" s="1477">
        <f t="shared" si="2"/>
        <v>15</v>
      </c>
      <c r="C27" s="1477" t="s">
        <v>56</v>
      </c>
      <c r="D27" s="1472" t="s">
        <v>59</v>
      </c>
      <c r="E27" s="1472" t="s">
        <v>60</v>
      </c>
      <c r="F27" s="1805">
        <v>1259</v>
      </c>
      <c r="G27" s="1806">
        <v>28.39</v>
      </c>
      <c r="H27" s="1487">
        <f t="shared" si="3"/>
        <v>35743.01</v>
      </c>
      <c r="I27" s="1484">
        <f t="shared" si="0"/>
        <v>28.39</v>
      </c>
      <c r="J27" s="1487">
        <f t="shared" si="4"/>
        <v>35743.01</v>
      </c>
      <c r="K27" s="1487">
        <f>J27-H27</f>
        <v>0</v>
      </c>
      <c r="L27" s="1487"/>
      <c r="M27" s="1807">
        <f>'Exhibit No._(CTM-4), Pg. 2'!J21</f>
        <v>0</v>
      </c>
      <c r="N27" s="1486"/>
      <c r="O27" s="1484"/>
      <c r="P27" s="1484"/>
      <c r="Q27" s="1484"/>
      <c r="R27" s="1486"/>
      <c r="S27" s="1486"/>
      <c r="T27" s="1486"/>
      <c r="U27" s="1486"/>
      <c r="V27" s="1486"/>
    </row>
    <row r="28" spans="2:22" x14ac:dyDescent="0.2">
      <c r="B28" s="1477">
        <f t="shared" si="2"/>
        <v>16</v>
      </c>
      <c r="C28" s="1477" t="s">
        <v>56</v>
      </c>
      <c r="D28" s="1472" t="s">
        <v>61</v>
      </c>
      <c r="E28" s="1472" t="s">
        <v>62</v>
      </c>
      <c r="F28" s="1805">
        <v>769</v>
      </c>
      <c r="G28" s="1806">
        <v>38.340000000000003</v>
      </c>
      <c r="H28" s="1487">
        <f t="shared" si="3"/>
        <v>29483.460000000003</v>
      </c>
      <c r="I28" s="1484">
        <f t="shared" si="0"/>
        <v>38.340000000000003</v>
      </c>
      <c r="J28" s="1487">
        <f t="shared" si="4"/>
        <v>29483.460000000003</v>
      </c>
      <c r="K28" s="1487">
        <f>J28-H28</f>
        <v>0</v>
      </c>
      <c r="L28" s="1487"/>
      <c r="M28" s="1490" t="s">
        <v>118</v>
      </c>
      <c r="N28" s="1486"/>
      <c r="O28" s="1484"/>
      <c r="P28" s="1484"/>
      <c r="Q28" s="1484"/>
      <c r="R28" s="1486"/>
      <c r="S28" s="1486"/>
      <c r="T28" s="1486"/>
      <c r="U28" s="1486"/>
      <c r="V28" s="1486"/>
    </row>
    <row r="29" spans="2:22" x14ac:dyDescent="0.2">
      <c r="B29" s="1477">
        <f t="shared" si="2"/>
        <v>17</v>
      </c>
      <c r="C29" s="1477" t="s">
        <v>56</v>
      </c>
      <c r="D29" s="1472" t="s">
        <v>63</v>
      </c>
      <c r="E29" s="1472" t="s">
        <v>64</v>
      </c>
      <c r="F29" s="1808">
        <v>36365</v>
      </c>
      <c r="G29" s="1806">
        <v>16.100000000000001</v>
      </c>
      <c r="H29" s="1487">
        <f t="shared" si="3"/>
        <v>585476.5</v>
      </c>
      <c r="I29" s="1484">
        <f t="shared" si="0"/>
        <v>16.100000000000001</v>
      </c>
      <c r="J29" s="1487">
        <f t="shared" si="4"/>
        <v>585476.5</v>
      </c>
      <c r="K29" s="1487">
        <f>J29-H29</f>
        <v>0</v>
      </c>
      <c r="L29" s="1487"/>
      <c r="M29" s="1491">
        <f>K30-M27</f>
        <v>0</v>
      </c>
      <c r="N29" s="1486"/>
      <c r="O29" s="1484"/>
      <c r="P29" s="1484"/>
      <c r="Q29" s="1484"/>
      <c r="R29" s="1486"/>
      <c r="S29" s="1486"/>
      <c r="T29" s="1486"/>
      <c r="U29" s="1486"/>
      <c r="V29" s="1486"/>
    </row>
    <row r="30" spans="2:22" x14ac:dyDescent="0.2">
      <c r="B30" s="1477">
        <f t="shared" si="2"/>
        <v>18</v>
      </c>
      <c r="E30" s="1472" t="s">
        <v>23</v>
      </c>
      <c r="F30" s="1492">
        <f>SUM(F13:F29)</f>
        <v>528495</v>
      </c>
      <c r="H30" s="1493">
        <f>SUM(H13:H29)</f>
        <v>8138781.54</v>
      </c>
      <c r="I30" s="1486"/>
      <c r="J30" s="1493">
        <f>SUM(J13:J29)</f>
        <v>8138781.54</v>
      </c>
      <c r="K30" s="1494">
        <f>SUM(K13:K29)</f>
        <v>0</v>
      </c>
      <c r="L30" s="1855"/>
      <c r="M30" s="1495"/>
      <c r="P30" s="1496"/>
      <c r="Q30" s="1495"/>
    </row>
    <row r="31" spans="2:22" s="1473" customFormat="1" x14ac:dyDescent="0.2">
      <c r="B31" s="1476"/>
      <c r="G31" s="1495"/>
      <c r="H31" s="1495"/>
      <c r="I31" s="1495"/>
      <c r="J31" s="1495"/>
      <c r="K31" s="1495"/>
      <c r="L31" s="1495"/>
    </row>
    <row r="32" spans="2:22" s="1473" customFormat="1" x14ac:dyDescent="0.2">
      <c r="B32" s="1476"/>
      <c r="C32" s="1472"/>
      <c r="D32" s="1472"/>
      <c r="E32" s="1472"/>
      <c r="F32" s="1472"/>
      <c r="G32" s="1626"/>
      <c r="H32" s="1483"/>
      <c r="I32" s="1486"/>
      <c r="J32" s="1486"/>
      <c r="K32" s="1495"/>
      <c r="L32" s="1495"/>
      <c r="M32" s="1809">
        <f>'Exhibit No._(CTM-4), Pg. 2'!I21</f>
        <v>0</v>
      </c>
      <c r="N32" s="1484"/>
      <c r="O32" s="1478"/>
      <c r="P32" s="1484"/>
      <c r="Q32" s="1484"/>
      <c r="R32" s="1484"/>
      <c r="S32" s="1484"/>
      <c r="T32" s="1484"/>
      <c r="V32" s="1484"/>
    </row>
    <row r="33" spans="2:20" s="1473" customFormat="1" x14ac:dyDescent="0.2">
      <c r="B33" s="1476"/>
      <c r="G33" s="1626"/>
      <c r="J33" s="1478"/>
      <c r="K33" s="1498"/>
      <c r="L33" s="1498"/>
    </row>
    <row r="34" spans="2:20" x14ac:dyDescent="0.2">
      <c r="G34" s="1626"/>
      <c r="P34" s="1499"/>
      <c r="Q34" s="1484"/>
      <c r="R34" s="1486"/>
      <c r="S34" s="1486"/>
      <c r="T34" s="1486"/>
    </row>
    <row r="35" spans="2:20" x14ac:dyDescent="0.2">
      <c r="G35" s="1626"/>
      <c r="Q35" s="1484"/>
      <c r="R35" s="1486"/>
      <c r="S35" s="1486"/>
      <c r="T35" s="1486"/>
    </row>
    <row r="36" spans="2:20" x14ac:dyDescent="0.2">
      <c r="G36" s="1626"/>
      <c r="J36" s="1486"/>
      <c r="K36" s="1486"/>
      <c r="L36" s="1486"/>
      <c r="P36" s="1497"/>
      <c r="Q36" s="1500"/>
      <c r="R36" s="1500"/>
      <c r="S36" s="1501"/>
      <c r="T36" s="1501"/>
    </row>
    <row r="37" spans="2:20" x14ac:dyDescent="0.2">
      <c r="G37" s="1626"/>
      <c r="Q37" s="1473"/>
    </row>
  </sheetData>
  <mergeCells count="3">
    <mergeCell ref="B5:K5"/>
    <mergeCell ref="B6:K6"/>
    <mergeCell ref="B7:K7"/>
  </mergeCells>
  <phoneticPr fontId="0" type="noConversion"/>
  <pageMargins left="0.2" right="0.2" top="0.25" bottom="0.25" header="0" footer="0"/>
  <pageSetup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S196"/>
  <sheetViews>
    <sheetView topLeftCell="A151" workbookViewId="0">
      <selection activeCell="C35" sqref="C35"/>
    </sheetView>
  </sheetViews>
  <sheetFormatPr defaultRowHeight="12.75" x14ac:dyDescent="0.2"/>
  <cols>
    <col min="1" max="1" width="4.140625" style="32" customWidth="1"/>
    <col min="2" max="2" width="42.5703125" style="32" customWidth="1"/>
    <col min="3" max="3" width="10.85546875" style="32" customWidth="1"/>
    <col min="4" max="4" width="11.42578125" style="32" bestFit="1" customWidth="1"/>
    <col min="5" max="5" width="10.85546875" style="32" customWidth="1"/>
    <col min="6" max="6" width="11.5703125" style="32" bestFit="1" customWidth="1"/>
    <col min="7" max="7" width="11.42578125" style="32" bestFit="1" customWidth="1"/>
    <col min="8" max="8" width="10.85546875" style="32" customWidth="1"/>
    <col min="9" max="9" width="11.42578125" style="32" bestFit="1" customWidth="1"/>
    <col min="10" max="14" width="10.85546875" style="32" customWidth="1"/>
    <col min="15" max="15" width="13" style="32" bestFit="1" customWidth="1"/>
    <col min="16" max="16" width="9.7109375" style="32" bestFit="1" customWidth="1"/>
    <col min="17" max="16384" width="9.140625" style="32"/>
  </cols>
  <sheetData>
    <row r="1" spans="2:15" x14ac:dyDescent="0.2">
      <c r="B1" s="276" t="s">
        <v>803</v>
      </c>
      <c r="D1" s="276"/>
    </row>
    <row r="2" spans="2:15" x14ac:dyDescent="0.2">
      <c r="B2" s="331" t="str">
        <f>'JKP-3.1c - Revenue'!B4</f>
        <v>Test Year Ended December 31, 2010</v>
      </c>
    </row>
    <row r="3" spans="2:15" x14ac:dyDescent="0.2">
      <c r="O3" s="276"/>
    </row>
    <row r="4" spans="2:15" x14ac:dyDescent="0.2">
      <c r="C4" s="332">
        <v>40179</v>
      </c>
      <c r="D4" s="332">
        <v>40210</v>
      </c>
      <c r="E4" s="332">
        <v>40238</v>
      </c>
      <c r="F4" s="332">
        <v>40269</v>
      </c>
      <c r="G4" s="332">
        <v>40299</v>
      </c>
      <c r="H4" s="332">
        <v>40330</v>
      </c>
      <c r="I4" s="332">
        <v>40360</v>
      </c>
      <c r="J4" s="332">
        <v>40391</v>
      </c>
      <c r="K4" s="332">
        <v>40422</v>
      </c>
      <c r="L4" s="332">
        <v>40452</v>
      </c>
      <c r="M4" s="332">
        <v>40483</v>
      </c>
      <c r="N4" s="332">
        <v>40513</v>
      </c>
      <c r="O4" s="333" t="s">
        <v>23</v>
      </c>
    </row>
    <row r="5" spans="2:15" s="336" customFormat="1" x14ac:dyDescent="0.2">
      <c r="B5" s="182" t="s">
        <v>804</v>
      </c>
      <c r="C5" s="334"/>
      <c r="D5" s="334"/>
      <c r="E5" s="334"/>
      <c r="F5" s="334"/>
      <c r="G5" s="334"/>
      <c r="H5" s="334"/>
      <c r="I5" s="334"/>
      <c r="J5" s="334"/>
      <c r="K5" s="334"/>
      <c r="L5" s="334"/>
      <c r="M5" s="334"/>
      <c r="N5" s="334"/>
      <c r="O5" s="335"/>
    </row>
    <row r="6" spans="2:15" s="336" customFormat="1" x14ac:dyDescent="0.2">
      <c r="B6" s="336" t="s">
        <v>805</v>
      </c>
      <c r="C6" s="337"/>
      <c r="D6" s="337"/>
      <c r="E6" s="337"/>
      <c r="F6" s="337"/>
      <c r="G6" s="337"/>
      <c r="H6" s="337"/>
      <c r="I6" s="337"/>
      <c r="J6" s="337"/>
      <c r="K6" s="337"/>
      <c r="L6" s="337"/>
      <c r="M6" s="337"/>
      <c r="N6" s="337"/>
      <c r="O6" s="337">
        <v>0</v>
      </c>
    </row>
    <row r="7" spans="2:15" s="336" customFormat="1" x14ac:dyDescent="0.2">
      <c r="B7" s="336" t="s">
        <v>806</v>
      </c>
      <c r="C7" s="337"/>
      <c r="D7" s="337"/>
      <c r="E7" s="337"/>
      <c r="F7" s="337"/>
      <c r="G7" s="337"/>
      <c r="H7" s="337"/>
      <c r="I7" s="337"/>
      <c r="J7" s="337"/>
      <c r="K7" s="337"/>
      <c r="L7" s="337"/>
      <c r="M7" s="337"/>
      <c r="N7" s="337"/>
      <c r="O7" s="337">
        <v>0</v>
      </c>
    </row>
    <row r="8" spans="2:15" s="336" customFormat="1" x14ac:dyDescent="0.2">
      <c r="B8" s="336" t="s">
        <v>807</v>
      </c>
      <c r="C8" s="337"/>
      <c r="D8" s="337"/>
      <c r="E8" s="337"/>
      <c r="F8" s="337"/>
      <c r="G8" s="337"/>
      <c r="H8" s="337"/>
      <c r="I8" s="337"/>
      <c r="J8" s="337"/>
      <c r="K8" s="337"/>
      <c r="L8" s="337"/>
      <c r="M8" s="337"/>
      <c r="N8" s="337"/>
      <c r="O8" s="337">
        <v>0</v>
      </c>
    </row>
    <row r="9" spans="2:15" s="336" customFormat="1" x14ac:dyDescent="0.2">
      <c r="B9" s="338" t="s">
        <v>808</v>
      </c>
      <c r="C9" s="337"/>
      <c r="D9" s="337"/>
      <c r="E9" s="337"/>
      <c r="F9" s="337"/>
      <c r="G9" s="337"/>
      <c r="H9" s="337"/>
      <c r="I9" s="337"/>
      <c r="J9" s="337"/>
      <c r="K9" s="337"/>
      <c r="L9" s="337"/>
      <c r="M9" s="337"/>
      <c r="N9" s="337"/>
      <c r="O9" s="337">
        <v>4567.33</v>
      </c>
    </row>
    <row r="10" spans="2:15" s="336" customFormat="1" x14ac:dyDescent="0.2">
      <c r="B10" s="336" t="s">
        <v>809</v>
      </c>
      <c r="C10" s="337"/>
      <c r="D10" s="337"/>
      <c r="E10" s="337"/>
      <c r="F10" s="337"/>
      <c r="G10" s="337"/>
      <c r="H10" s="337"/>
      <c r="I10" s="337"/>
      <c r="J10" s="337"/>
      <c r="K10" s="337"/>
      <c r="L10" s="337"/>
      <c r="M10" s="337"/>
      <c r="N10" s="337"/>
      <c r="O10" s="337">
        <v>10081.700000000001</v>
      </c>
    </row>
    <row r="11" spans="2:15" s="336" customFormat="1" x14ac:dyDescent="0.2">
      <c r="B11" s="336" t="s">
        <v>810</v>
      </c>
      <c r="C11" s="337"/>
      <c r="D11" s="337"/>
      <c r="E11" s="337"/>
      <c r="F11" s="337"/>
      <c r="G11" s="337"/>
      <c r="H11" s="337"/>
      <c r="I11" s="337"/>
      <c r="J11" s="337"/>
      <c r="K11" s="337"/>
      <c r="L11" s="337"/>
      <c r="M11" s="337"/>
      <c r="N11" s="337"/>
      <c r="O11" s="337">
        <v>0</v>
      </c>
    </row>
    <row r="12" spans="2:15" s="336" customFormat="1" x14ac:dyDescent="0.2">
      <c r="B12" s="336" t="s">
        <v>811</v>
      </c>
      <c r="C12" s="337"/>
      <c r="D12" s="337"/>
      <c r="E12" s="337"/>
      <c r="F12" s="337"/>
      <c r="G12" s="337"/>
      <c r="H12" s="337"/>
      <c r="I12" s="337"/>
      <c r="J12" s="337"/>
      <c r="K12" s="337"/>
      <c r="L12" s="337"/>
      <c r="M12" s="337"/>
      <c r="N12" s="337"/>
      <c r="O12" s="337">
        <v>36143.660000000003</v>
      </c>
    </row>
    <row r="13" spans="2:15" s="336" customFormat="1" x14ac:dyDescent="0.2">
      <c r="B13" s="336" t="s">
        <v>144</v>
      </c>
      <c r="C13" s="337"/>
      <c r="D13" s="337"/>
      <c r="E13" s="337"/>
      <c r="F13" s="337"/>
      <c r="G13" s="337"/>
      <c r="H13" s="337"/>
      <c r="I13" s="337"/>
      <c r="J13" s="337"/>
      <c r="K13" s="337"/>
      <c r="L13" s="337"/>
      <c r="M13" s="337"/>
      <c r="N13" s="337"/>
      <c r="O13" s="337">
        <v>0</v>
      </c>
    </row>
    <row r="14" spans="2:15" s="336" customFormat="1" x14ac:dyDescent="0.2">
      <c r="B14" s="336" t="s">
        <v>812</v>
      </c>
      <c r="C14" s="339">
        <f t="shared" ref="C14:K14" si="0">SUM(C6:C13)</f>
        <v>0</v>
      </c>
      <c r="D14" s="339">
        <f t="shared" si="0"/>
        <v>0</v>
      </c>
      <c r="E14" s="339">
        <f t="shared" si="0"/>
        <v>0</v>
      </c>
      <c r="F14" s="339">
        <f t="shared" si="0"/>
        <v>0</v>
      </c>
      <c r="G14" s="339">
        <f t="shared" si="0"/>
        <v>0</v>
      </c>
      <c r="H14" s="339">
        <f t="shared" si="0"/>
        <v>0</v>
      </c>
      <c r="I14" s="339">
        <f t="shared" si="0"/>
        <v>0</v>
      </c>
      <c r="J14" s="339">
        <f t="shared" si="0"/>
        <v>0</v>
      </c>
      <c r="K14" s="339">
        <f t="shared" si="0"/>
        <v>0</v>
      </c>
      <c r="L14" s="339">
        <f>SUM(L6:L13)</f>
        <v>0</v>
      </c>
      <c r="M14" s="339">
        <f>SUM(M6:M13)</f>
        <v>0</v>
      </c>
      <c r="N14" s="339">
        <f>SUM(N6:N13)</f>
        <v>0</v>
      </c>
      <c r="O14" s="339">
        <f>SUM(O6:O13)</f>
        <v>50792.69</v>
      </c>
    </row>
    <row r="15" spans="2:15" s="336" customFormat="1" x14ac:dyDescent="0.2">
      <c r="C15" s="340"/>
      <c r="D15" s="340"/>
      <c r="E15" s="340"/>
      <c r="F15" s="340"/>
      <c r="G15" s="340"/>
      <c r="H15" s="340"/>
      <c r="I15" s="340"/>
      <c r="J15" s="340"/>
      <c r="K15" s="340"/>
      <c r="L15" s="340"/>
      <c r="M15" s="340"/>
      <c r="N15" s="340"/>
      <c r="O15" s="340"/>
    </row>
    <row r="16" spans="2:15" s="336" customFormat="1" x14ac:dyDescent="0.2"/>
    <row r="17" spans="2:15" s="336" customFormat="1" x14ac:dyDescent="0.2"/>
    <row r="18" spans="2:15" s="336" customFormat="1" x14ac:dyDescent="0.2"/>
    <row r="19" spans="2:15" x14ac:dyDescent="0.2">
      <c r="B19" s="276" t="s">
        <v>813</v>
      </c>
      <c r="C19" s="341"/>
      <c r="D19" s="341"/>
      <c r="E19" s="341"/>
      <c r="F19" s="341"/>
      <c r="G19" s="341"/>
      <c r="H19" s="341"/>
      <c r="I19" s="341"/>
      <c r="J19" s="341"/>
      <c r="K19" s="341"/>
      <c r="L19" s="341"/>
      <c r="M19" s="341"/>
      <c r="N19" s="341"/>
      <c r="O19" s="341"/>
    </row>
    <row r="20" spans="2:15" x14ac:dyDescent="0.2">
      <c r="B20" s="32" t="s">
        <v>814</v>
      </c>
      <c r="C20" s="337"/>
      <c r="D20" s="337"/>
      <c r="E20" s="337"/>
      <c r="F20" s="337"/>
      <c r="G20" s="337"/>
      <c r="H20" s="337"/>
      <c r="I20" s="337"/>
      <c r="J20" s="337"/>
      <c r="K20" s="337"/>
      <c r="L20" s="337"/>
      <c r="M20" s="337"/>
      <c r="N20" s="337"/>
      <c r="O20" s="337">
        <v>167.80242999999996</v>
      </c>
    </row>
    <row r="21" spans="2:15" x14ac:dyDescent="0.2">
      <c r="B21" s="32" t="s">
        <v>815</v>
      </c>
      <c r="C21" s="337"/>
      <c r="D21" s="337"/>
      <c r="E21" s="337"/>
      <c r="F21" s="337"/>
      <c r="G21" s="337"/>
      <c r="H21" s="337"/>
      <c r="I21" s="337"/>
      <c r="J21" s="337"/>
      <c r="K21" s="337"/>
      <c r="L21" s="337"/>
      <c r="M21" s="337"/>
      <c r="N21" s="337"/>
      <c r="O21" s="337">
        <v>9515982.5399499983</v>
      </c>
    </row>
    <row r="22" spans="2:15" x14ac:dyDescent="0.2">
      <c r="B22" s="32" t="s">
        <v>816</v>
      </c>
      <c r="C22" s="337"/>
      <c r="D22" s="337"/>
      <c r="E22" s="337"/>
      <c r="F22" s="337"/>
      <c r="G22" s="337"/>
      <c r="H22" s="337"/>
      <c r="I22" s="337"/>
      <c r="J22" s="337"/>
      <c r="K22" s="337"/>
      <c r="L22" s="337"/>
      <c r="M22" s="337"/>
      <c r="N22" s="337"/>
      <c r="O22" s="337">
        <v>3482733.0757700005</v>
      </c>
    </row>
    <row r="23" spans="2:15" x14ac:dyDescent="0.2">
      <c r="B23" s="32" t="s">
        <v>817</v>
      </c>
      <c r="C23" s="337"/>
      <c r="D23" s="337"/>
      <c r="E23" s="337"/>
      <c r="F23" s="337"/>
      <c r="G23" s="337"/>
      <c r="H23" s="337"/>
      <c r="I23" s="337"/>
      <c r="J23" s="337"/>
      <c r="K23" s="337"/>
      <c r="L23" s="337"/>
      <c r="M23" s="337"/>
      <c r="N23" s="337"/>
      <c r="O23" s="337">
        <v>0</v>
      </c>
    </row>
    <row r="24" spans="2:15" x14ac:dyDescent="0.2">
      <c r="B24" s="32" t="s">
        <v>818</v>
      </c>
      <c r="C24" s="337"/>
      <c r="D24" s="337"/>
      <c r="E24" s="337"/>
      <c r="F24" s="337"/>
      <c r="G24" s="337"/>
      <c r="H24" s="337"/>
      <c r="I24" s="337"/>
      <c r="J24" s="337"/>
      <c r="K24" s="337"/>
      <c r="L24" s="337"/>
      <c r="M24" s="337"/>
      <c r="N24" s="337"/>
      <c r="O24" s="337">
        <v>1396552.76305</v>
      </c>
    </row>
    <row r="25" spans="2:15" x14ac:dyDescent="0.2">
      <c r="B25" s="32" t="s">
        <v>819</v>
      </c>
      <c r="C25" s="337"/>
      <c r="D25" s="337"/>
      <c r="E25" s="337"/>
      <c r="F25" s="337"/>
      <c r="G25" s="337"/>
      <c r="H25" s="337"/>
      <c r="I25" s="337"/>
      <c r="J25" s="337"/>
      <c r="K25" s="337"/>
      <c r="L25" s="337"/>
      <c r="M25" s="337"/>
      <c r="N25" s="337"/>
      <c r="O25" s="337">
        <v>0</v>
      </c>
    </row>
    <row r="26" spans="2:15" x14ac:dyDescent="0.2">
      <c r="B26" s="32" t="s">
        <v>820</v>
      </c>
      <c r="C26" s="337"/>
      <c r="D26" s="337"/>
      <c r="E26" s="337"/>
      <c r="F26" s="337"/>
      <c r="G26" s="337"/>
      <c r="H26" s="337"/>
      <c r="I26" s="337"/>
      <c r="J26" s="337"/>
      <c r="K26" s="337"/>
      <c r="L26" s="337"/>
      <c r="M26" s="337"/>
      <c r="N26" s="337"/>
      <c r="O26" s="337">
        <v>0</v>
      </c>
    </row>
    <row r="27" spans="2:15" x14ac:dyDescent="0.2">
      <c r="B27" s="32" t="s">
        <v>821</v>
      </c>
      <c r="C27" s="337"/>
      <c r="D27" s="337"/>
      <c r="E27" s="337"/>
      <c r="F27" s="337"/>
      <c r="G27" s="337"/>
      <c r="H27" s="337"/>
      <c r="I27" s="337"/>
      <c r="J27" s="337"/>
      <c r="K27" s="337"/>
      <c r="L27" s="337"/>
      <c r="M27" s="337"/>
      <c r="N27" s="337"/>
      <c r="O27" s="337">
        <v>70.108519999999999</v>
      </c>
    </row>
    <row r="28" spans="2:15" x14ac:dyDescent="0.2">
      <c r="B28" s="32" t="s">
        <v>822</v>
      </c>
      <c r="C28" s="337"/>
      <c r="D28" s="337"/>
      <c r="E28" s="337"/>
      <c r="F28" s="337"/>
      <c r="G28" s="337"/>
      <c r="H28" s="337"/>
      <c r="I28" s="337"/>
      <c r="J28" s="337"/>
      <c r="K28" s="337"/>
      <c r="L28" s="337"/>
      <c r="M28" s="337"/>
      <c r="N28" s="337"/>
      <c r="O28" s="337">
        <v>301283.13975000003</v>
      </c>
    </row>
    <row r="29" spans="2:15" x14ac:dyDescent="0.2">
      <c r="B29" s="32" t="s">
        <v>823</v>
      </c>
      <c r="C29" s="337"/>
      <c r="D29" s="337"/>
      <c r="E29" s="337"/>
      <c r="F29" s="337"/>
      <c r="G29" s="337"/>
      <c r="H29" s="337"/>
      <c r="I29" s="337"/>
      <c r="J29" s="337"/>
      <c r="K29" s="337"/>
      <c r="L29" s="337"/>
      <c r="M29" s="337"/>
      <c r="N29" s="337"/>
      <c r="O29" s="337">
        <v>227417.50805999999</v>
      </c>
    </row>
    <row r="30" spans="2:15" x14ac:dyDescent="0.2">
      <c r="B30" s="32" t="s">
        <v>824</v>
      </c>
      <c r="C30" s="337"/>
      <c r="D30" s="337"/>
      <c r="E30" s="337"/>
      <c r="F30" s="337"/>
      <c r="G30" s="337"/>
      <c r="H30" s="337"/>
      <c r="I30" s="337"/>
      <c r="J30" s="337"/>
      <c r="K30" s="337"/>
      <c r="L30" s="337"/>
      <c r="M30" s="337"/>
      <c r="N30" s="337"/>
      <c r="O30" s="337">
        <v>514268.38449999993</v>
      </c>
    </row>
    <row r="31" spans="2:15" x14ac:dyDescent="0.2">
      <c r="B31" s="32" t="s">
        <v>23</v>
      </c>
      <c r="C31" s="342">
        <f t="shared" ref="C31:N31" si="1">SUM(C20:C30)</f>
        <v>0</v>
      </c>
      <c r="D31" s="342">
        <f t="shared" si="1"/>
        <v>0</v>
      </c>
      <c r="E31" s="342">
        <f t="shared" si="1"/>
        <v>0</v>
      </c>
      <c r="F31" s="342">
        <f t="shared" si="1"/>
        <v>0</v>
      </c>
      <c r="G31" s="342">
        <f t="shared" si="1"/>
        <v>0</v>
      </c>
      <c r="H31" s="342">
        <f t="shared" si="1"/>
        <v>0</v>
      </c>
      <c r="I31" s="342">
        <f t="shared" si="1"/>
        <v>0</v>
      </c>
      <c r="J31" s="342">
        <f t="shared" si="1"/>
        <v>0</v>
      </c>
      <c r="K31" s="342">
        <f t="shared" si="1"/>
        <v>0</v>
      </c>
      <c r="L31" s="342">
        <f t="shared" si="1"/>
        <v>0</v>
      </c>
      <c r="M31" s="342">
        <f t="shared" si="1"/>
        <v>0</v>
      </c>
      <c r="N31" s="342">
        <f t="shared" si="1"/>
        <v>0</v>
      </c>
      <c r="O31" s="342">
        <f>SUM(O20:O30)</f>
        <v>15438475.322029999</v>
      </c>
    </row>
    <row r="32" spans="2:15" x14ac:dyDescent="0.2">
      <c r="C32" s="341"/>
      <c r="D32" s="341"/>
      <c r="E32" s="341"/>
      <c r="F32" s="341"/>
      <c r="G32" s="341"/>
      <c r="H32" s="341"/>
      <c r="I32" s="341"/>
      <c r="J32" s="341"/>
      <c r="K32" s="341"/>
      <c r="L32" s="341"/>
      <c r="M32" s="341"/>
      <c r="N32" s="341"/>
      <c r="O32" s="341"/>
    </row>
    <row r="33" spans="2:15" x14ac:dyDescent="0.2">
      <c r="B33" s="32" t="s">
        <v>825</v>
      </c>
      <c r="C33" s="341"/>
      <c r="D33" s="341"/>
      <c r="E33" s="341"/>
      <c r="F33" s="341"/>
      <c r="G33" s="341"/>
      <c r="H33" s="341"/>
      <c r="I33" s="341"/>
      <c r="J33" s="341"/>
      <c r="K33" s="341"/>
      <c r="L33" s="341"/>
      <c r="M33" s="341"/>
      <c r="N33" s="341"/>
      <c r="O33" s="341">
        <f>SUM(O21:O21,O27)</f>
        <v>9516052.6484699976</v>
      </c>
    </row>
    <row r="34" spans="2:15" x14ac:dyDescent="0.2">
      <c r="C34" s="341"/>
      <c r="D34" s="341"/>
      <c r="E34" s="341"/>
      <c r="F34" s="341"/>
      <c r="G34" s="341"/>
      <c r="H34" s="341"/>
      <c r="I34" s="341"/>
      <c r="J34" s="341"/>
      <c r="K34" s="341"/>
      <c r="L34" s="341"/>
      <c r="M34" s="341"/>
      <c r="N34" s="341"/>
      <c r="O34" s="341"/>
    </row>
    <row r="35" spans="2:15" x14ac:dyDescent="0.2">
      <c r="C35" s="341"/>
      <c r="D35" s="341"/>
      <c r="E35" s="341"/>
      <c r="F35" s="341"/>
      <c r="G35" s="341"/>
      <c r="H35" s="341"/>
      <c r="I35" s="341"/>
      <c r="J35" s="341"/>
      <c r="K35" s="341"/>
      <c r="L35" s="341"/>
      <c r="M35" s="341"/>
      <c r="N35" s="341"/>
      <c r="O35" s="341"/>
    </row>
    <row r="36" spans="2:15" x14ac:dyDescent="0.2">
      <c r="C36" s="341"/>
      <c r="D36" s="341"/>
      <c r="E36" s="341"/>
      <c r="F36" s="341"/>
      <c r="G36" s="341"/>
      <c r="H36" s="341"/>
      <c r="I36" s="341"/>
      <c r="J36" s="341"/>
      <c r="K36" s="341"/>
      <c r="L36" s="341"/>
      <c r="M36" s="341"/>
      <c r="N36" s="341"/>
      <c r="O36" s="341"/>
    </row>
    <row r="37" spans="2:15" x14ac:dyDescent="0.2">
      <c r="C37" s="341"/>
      <c r="D37" s="341"/>
      <c r="E37" s="341"/>
      <c r="F37" s="341"/>
      <c r="G37" s="341"/>
      <c r="H37" s="341"/>
      <c r="I37" s="341"/>
      <c r="J37" s="341"/>
      <c r="K37" s="341"/>
      <c r="L37" s="341"/>
      <c r="M37" s="341"/>
      <c r="N37" s="341"/>
      <c r="O37" s="341"/>
    </row>
    <row r="38" spans="2:15" x14ac:dyDescent="0.2">
      <c r="B38" s="276" t="s">
        <v>826</v>
      </c>
      <c r="C38" s="341"/>
      <c r="D38" s="341"/>
      <c r="E38" s="341"/>
      <c r="F38" s="341"/>
      <c r="G38" s="341"/>
      <c r="H38" s="341"/>
      <c r="I38" s="341"/>
      <c r="J38" s="341"/>
      <c r="K38" s="341"/>
      <c r="L38" s="341"/>
      <c r="M38" s="341"/>
      <c r="N38" s="341"/>
      <c r="O38" s="341"/>
    </row>
    <row r="39" spans="2:15" x14ac:dyDescent="0.2">
      <c r="B39" s="32" t="s">
        <v>827</v>
      </c>
      <c r="C39" s="341"/>
      <c r="D39" s="341"/>
      <c r="E39" s="341"/>
      <c r="F39" s="341"/>
      <c r="G39" s="341"/>
      <c r="H39" s="341"/>
      <c r="I39" s="341"/>
      <c r="J39" s="341"/>
      <c r="K39" s="341"/>
      <c r="L39" s="341"/>
      <c r="M39" s="341"/>
      <c r="N39" s="341"/>
      <c r="O39" s="337">
        <v>448.14</v>
      </c>
    </row>
    <row r="40" spans="2:15" x14ac:dyDescent="0.2">
      <c r="B40" s="32" t="s">
        <v>828</v>
      </c>
      <c r="C40" s="341"/>
      <c r="D40" s="341"/>
      <c r="E40" s="341"/>
      <c r="F40" s="341"/>
      <c r="G40" s="341"/>
      <c r="H40" s="341"/>
      <c r="I40" s="341"/>
      <c r="J40" s="341"/>
      <c r="K40" s="341"/>
      <c r="L40" s="341"/>
      <c r="M40" s="341"/>
      <c r="N40" s="341"/>
      <c r="O40" s="337">
        <v>26077621.550000001</v>
      </c>
    </row>
    <row r="41" spans="2:15" x14ac:dyDescent="0.2">
      <c r="B41" s="32" t="s">
        <v>829</v>
      </c>
      <c r="C41" s="341"/>
      <c r="D41" s="341"/>
      <c r="E41" s="341"/>
      <c r="F41" s="341"/>
      <c r="G41" s="341"/>
      <c r="H41" s="341"/>
      <c r="I41" s="341"/>
      <c r="J41" s="341"/>
      <c r="K41" s="341"/>
      <c r="L41" s="341"/>
      <c r="M41" s="341"/>
      <c r="N41" s="341"/>
      <c r="O41" s="337">
        <v>0</v>
      </c>
    </row>
    <row r="42" spans="2:15" x14ac:dyDescent="0.2">
      <c r="B42" s="32" t="s">
        <v>830</v>
      </c>
      <c r="C42" s="341"/>
      <c r="D42" s="341"/>
      <c r="E42" s="341"/>
      <c r="F42" s="341"/>
      <c r="G42" s="341"/>
      <c r="H42" s="341"/>
      <c r="I42" s="341"/>
      <c r="J42" s="341"/>
      <c r="K42" s="341"/>
      <c r="L42" s="341"/>
      <c r="M42" s="341"/>
      <c r="N42" s="341"/>
      <c r="O42" s="337">
        <v>10884100.799999999</v>
      </c>
    </row>
    <row r="43" spans="2:15" x14ac:dyDescent="0.2">
      <c r="B43" s="32" t="s">
        <v>831</v>
      </c>
      <c r="C43" s="341"/>
      <c r="D43" s="341"/>
      <c r="E43" s="341"/>
      <c r="F43" s="341"/>
      <c r="G43" s="341"/>
      <c r="H43" s="341"/>
      <c r="I43" s="341"/>
      <c r="J43" s="341"/>
      <c r="K43" s="341"/>
      <c r="L43" s="341"/>
      <c r="M43" s="341"/>
      <c r="N43" s="341"/>
      <c r="O43" s="337">
        <v>0</v>
      </c>
    </row>
    <row r="44" spans="2:15" x14ac:dyDescent="0.2">
      <c r="B44" s="32" t="s">
        <v>832</v>
      </c>
      <c r="C44" s="341"/>
      <c r="D44" s="341"/>
      <c r="E44" s="341"/>
      <c r="F44" s="341"/>
      <c r="G44" s="341"/>
      <c r="H44" s="341"/>
      <c r="I44" s="341"/>
      <c r="J44" s="341"/>
      <c r="K44" s="341"/>
      <c r="L44" s="341"/>
      <c r="M44" s="341"/>
      <c r="N44" s="341"/>
      <c r="O44" s="337">
        <v>3621856.7100000004</v>
      </c>
    </row>
    <row r="45" spans="2:15" x14ac:dyDescent="0.2">
      <c r="B45" s="343" t="s">
        <v>833</v>
      </c>
      <c r="C45" s="341"/>
      <c r="D45" s="341"/>
      <c r="E45" s="341"/>
      <c r="F45" s="341"/>
      <c r="G45" s="341"/>
      <c r="H45" s="341"/>
      <c r="I45" s="341"/>
      <c r="J45" s="341"/>
      <c r="K45" s="341"/>
      <c r="L45" s="341"/>
      <c r="M45" s="341"/>
      <c r="N45" s="341"/>
      <c r="O45" s="337">
        <v>57184.99412615598</v>
      </c>
    </row>
    <row r="46" spans="2:15" x14ac:dyDescent="0.2">
      <c r="B46" s="32" t="s">
        <v>834</v>
      </c>
      <c r="C46" s="341"/>
      <c r="D46" s="341"/>
      <c r="E46" s="341"/>
      <c r="F46" s="341"/>
      <c r="G46" s="341"/>
      <c r="H46" s="341"/>
      <c r="I46" s="341"/>
      <c r="J46" s="341"/>
      <c r="K46" s="341"/>
      <c r="L46" s="341"/>
      <c r="M46" s="341"/>
      <c r="N46" s="341"/>
      <c r="O46" s="337">
        <v>0</v>
      </c>
    </row>
    <row r="47" spans="2:15" x14ac:dyDescent="0.2">
      <c r="B47" s="32" t="s">
        <v>835</v>
      </c>
      <c r="C47" s="341"/>
      <c r="D47" s="341"/>
      <c r="E47" s="341"/>
      <c r="F47" s="341"/>
      <c r="G47" s="341"/>
      <c r="H47" s="341"/>
      <c r="I47" s="341"/>
      <c r="J47" s="341"/>
      <c r="K47" s="341"/>
      <c r="L47" s="341"/>
      <c r="M47" s="341"/>
      <c r="N47" s="341"/>
      <c r="O47" s="337">
        <v>0</v>
      </c>
    </row>
    <row r="48" spans="2:15" x14ac:dyDescent="0.2">
      <c r="B48" s="32" t="s">
        <v>836</v>
      </c>
      <c r="C48" s="341"/>
      <c r="D48" s="341"/>
      <c r="E48" s="341"/>
      <c r="F48" s="341"/>
      <c r="G48" s="341"/>
      <c r="H48" s="341"/>
      <c r="I48" s="341"/>
      <c r="J48" s="341"/>
      <c r="K48" s="341"/>
      <c r="L48" s="341"/>
      <c r="M48" s="341"/>
      <c r="N48" s="341"/>
      <c r="O48" s="337">
        <v>5089.13</v>
      </c>
    </row>
    <row r="49" spans="2:15" x14ac:dyDescent="0.2">
      <c r="B49" s="32" t="s">
        <v>837</v>
      </c>
      <c r="C49" s="341"/>
      <c r="D49" s="341"/>
      <c r="E49" s="341"/>
      <c r="F49" s="341"/>
      <c r="G49" s="341"/>
      <c r="H49" s="341"/>
      <c r="I49" s="341"/>
      <c r="J49" s="341"/>
      <c r="K49" s="341"/>
      <c r="L49" s="341"/>
      <c r="M49" s="341"/>
      <c r="N49" s="341"/>
      <c r="O49" s="337">
        <v>510346.01000000007</v>
      </c>
    </row>
    <row r="50" spans="2:15" x14ac:dyDescent="0.2">
      <c r="B50" s="343" t="s">
        <v>838</v>
      </c>
      <c r="C50" s="341"/>
      <c r="D50" s="341"/>
      <c r="E50" s="341"/>
      <c r="F50" s="341"/>
      <c r="G50" s="341"/>
      <c r="H50" s="341"/>
      <c r="I50" s="341"/>
      <c r="J50" s="341"/>
      <c r="K50" s="341"/>
      <c r="L50" s="341"/>
      <c r="M50" s="341"/>
      <c r="N50" s="341"/>
      <c r="O50" s="337">
        <v>372627.75300359027</v>
      </c>
    </row>
    <row r="51" spans="2:15" x14ac:dyDescent="0.2">
      <c r="B51" s="32" t="s">
        <v>839</v>
      </c>
      <c r="C51" s="341"/>
      <c r="D51" s="341"/>
      <c r="E51" s="341"/>
      <c r="F51" s="341"/>
      <c r="G51" s="341"/>
      <c r="H51" s="341"/>
      <c r="I51" s="341"/>
      <c r="J51" s="341"/>
      <c r="K51" s="341"/>
      <c r="L51" s="341"/>
      <c r="M51" s="341"/>
      <c r="N51" s="341"/>
      <c r="O51" s="337">
        <v>621833.04999999993</v>
      </c>
    </row>
    <row r="52" spans="2:15" x14ac:dyDescent="0.2">
      <c r="B52" s="32" t="s">
        <v>840</v>
      </c>
      <c r="C52" s="341"/>
      <c r="D52" s="341"/>
      <c r="E52" s="341"/>
      <c r="F52" s="341"/>
      <c r="G52" s="341"/>
      <c r="H52" s="341"/>
      <c r="I52" s="341"/>
      <c r="J52" s="341"/>
      <c r="K52" s="341"/>
      <c r="L52" s="341"/>
      <c r="M52" s="341"/>
      <c r="N52" s="341"/>
      <c r="O52" s="337">
        <v>396.48316629779589</v>
      </c>
    </row>
    <row r="53" spans="2:15" x14ac:dyDescent="0.2">
      <c r="B53" s="32" t="s">
        <v>841</v>
      </c>
      <c r="C53" s="341"/>
      <c r="D53" s="341"/>
      <c r="E53" s="341"/>
      <c r="F53" s="341"/>
      <c r="G53" s="341"/>
      <c r="H53" s="341"/>
      <c r="I53" s="341"/>
      <c r="J53" s="341"/>
      <c r="K53" s="341"/>
      <c r="L53" s="341"/>
      <c r="M53" s="341"/>
      <c r="N53" s="341"/>
      <c r="O53" s="337">
        <v>873287.60000000009</v>
      </c>
    </row>
    <row r="54" spans="2:15" x14ac:dyDescent="0.2">
      <c r="B54" s="343" t="s">
        <v>842</v>
      </c>
      <c r="C54" s="341"/>
      <c r="D54" s="341"/>
      <c r="E54" s="341"/>
      <c r="F54" s="341"/>
      <c r="G54" s="341"/>
      <c r="H54" s="341"/>
      <c r="I54" s="341"/>
      <c r="J54" s="341"/>
      <c r="K54" s="341"/>
      <c r="L54" s="341"/>
      <c r="M54" s="341"/>
      <c r="N54" s="341"/>
      <c r="O54" s="337">
        <v>262337.48970395594</v>
      </c>
    </row>
    <row r="55" spans="2:15" x14ac:dyDescent="0.2">
      <c r="B55" s="32" t="s">
        <v>843</v>
      </c>
      <c r="C55" s="341"/>
      <c r="D55" s="341"/>
      <c r="E55" s="341"/>
      <c r="F55" s="341"/>
      <c r="G55" s="341"/>
      <c r="H55" s="341"/>
      <c r="I55" s="341"/>
      <c r="J55" s="341"/>
      <c r="K55" s="341"/>
      <c r="L55" s="341"/>
      <c r="M55" s="341"/>
      <c r="N55" s="341"/>
      <c r="O55" s="337">
        <v>0</v>
      </c>
    </row>
    <row r="56" spans="2:15" x14ac:dyDescent="0.2">
      <c r="B56" s="32" t="s">
        <v>844</v>
      </c>
      <c r="C56" s="341"/>
      <c r="D56" s="341"/>
      <c r="E56" s="341"/>
      <c r="F56" s="341"/>
      <c r="G56" s="341"/>
      <c r="H56" s="341"/>
      <c r="I56" s="341"/>
      <c r="J56" s="341"/>
      <c r="K56" s="341"/>
      <c r="L56" s="341"/>
      <c r="M56" s="341"/>
      <c r="N56" s="341"/>
      <c r="O56" s="337">
        <v>84921.869999999981</v>
      </c>
    </row>
    <row r="57" spans="2:15" x14ac:dyDescent="0.2">
      <c r="B57" s="32" t="s">
        <v>845</v>
      </c>
      <c r="C57" s="341"/>
      <c r="D57" s="341"/>
      <c r="E57" s="341"/>
      <c r="F57" s="341"/>
      <c r="G57" s="341"/>
      <c r="H57" s="341"/>
      <c r="I57" s="341"/>
      <c r="J57" s="341"/>
      <c r="K57" s="341"/>
      <c r="L57" s="341"/>
      <c r="M57" s="341"/>
      <c r="N57" s="341"/>
      <c r="O57" s="344">
        <f>SUM(O39:O56)</f>
        <v>43372051.579999998</v>
      </c>
    </row>
    <row r="58" spans="2:15" x14ac:dyDescent="0.2">
      <c r="C58" s="341"/>
      <c r="D58" s="341"/>
      <c r="E58" s="341"/>
      <c r="F58" s="341"/>
      <c r="G58" s="341"/>
      <c r="H58" s="341"/>
      <c r="I58" s="341"/>
      <c r="J58" s="341"/>
      <c r="K58" s="341"/>
      <c r="L58" s="341"/>
      <c r="M58" s="341"/>
      <c r="N58" s="341"/>
      <c r="O58" s="341"/>
    </row>
    <row r="59" spans="2:15" x14ac:dyDescent="0.2">
      <c r="C59" s="341"/>
      <c r="D59" s="341"/>
      <c r="E59" s="341"/>
      <c r="F59" s="341"/>
      <c r="G59" s="341"/>
      <c r="H59" s="341"/>
      <c r="I59" s="341"/>
      <c r="J59" s="341"/>
      <c r="K59" s="341"/>
      <c r="L59" s="341"/>
      <c r="M59" s="341"/>
      <c r="N59" s="341"/>
      <c r="O59" s="341"/>
    </row>
    <row r="60" spans="2:15" s="336" customFormat="1" x14ac:dyDescent="0.2">
      <c r="B60" s="276" t="s">
        <v>846</v>
      </c>
      <c r="C60" s="341"/>
      <c r="D60" s="341"/>
      <c r="E60" s="341"/>
      <c r="F60" s="341"/>
      <c r="G60" s="341"/>
      <c r="H60" s="341"/>
      <c r="I60" s="341"/>
      <c r="J60" s="341"/>
      <c r="K60" s="341"/>
      <c r="L60" s="341"/>
      <c r="M60" s="341"/>
      <c r="N60" s="341"/>
      <c r="O60" s="341"/>
    </row>
    <row r="61" spans="2:15" x14ac:dyDescent="0.2">
      <c r="B61" s="343" t="s">
        <v>827</v>
      </c>
      <c r="C61" s="341"/>
      <c r="D61" s="341"/>
      <c r="E61" s="341"/>
      <c r="F61" s="341"/>
      <c r="G61" s="341"/>
      <c r="H61" s="341"/>
      <c r="I61" s="341"/>
      <c r="J61" s="341"/>
      <c r="K61" s="341"/>
      <c r="L61" s="341"/>
      <c r="M61" s="341"/>
      <c r="N61" s="341"/>
      <c r="O61" s="345">
        <v>0</v>
      </c>
    </row>
    <row r="62" spans="2:15" x14ac:dyDescent="0.2">
      <c r="B62" s="32" t="s">
        <v>828</v>
      </c>
      <c r="C62" s="341"/>
      <c r="D62" s="341"/>
      <c r="E62" s="341"/>
      <c r="F62" s="341"/>
      <c r="G62" s="341"/>
      <c r="H62" s="341"/>
      <c r="I62" s="341"/>
      <c r="J62" s="341"/>
      <c r="K62" s="341"/>
      <c r="L62" s="341"/>
      <c r="M62" s="341"/>
      <c r="N62" s="341"/>
      <c r="O62" s="345">
        <v>2433458.2403744403</v>
      </c>
    </row>
    <row r="63" spans="2:15" x14ac:dyDescent="0.2">
      <c r="B63" s="32" t="s">
        <v>829</v>
      </c>
      <c r="C63" s="341"/>
      <c r="D63" s="341"/>
      <c r="E63" s="341"/>
      <c r="F63" s="341"/>
      <c r="G63" s="341"/>
      <c r="H63" s="341"/>
      <c r="I63" s="341"/>
      <c r="J63" s="341"/>
      <c r="K63" s="341"/>
      <c r="L63" s="341"/>
      <c r="M63" s="341"/>
      <c r="N63" s="341"/>
      <c r="O63" s="345">
        <v>17.2059100906454</v>
      </c>
    </row>
    <row r="64" spans="2:15" x14ac:dyDescent="0.2">
      <c r="B64" s="346" t="s">
        <v>830</v>
      </c>
      <c r="C64" s="341"/>
      <c r="D64" s="341"/>
      <c r="E64" s="341"/>
      <c r="F64" s="341"/>
      <c r="G64" s="341"/>
      <c r="H64" s="341"/>
      <c r="I64" s="341"/>
      <c r="J64" s="341"/>
      <c r="K64" s="341"/>
      <c r="L64" s="341"/>
      <c r="M64" s="341"/>
      <c r="N64" s="341"/>
      <c r="O64" s="345">
        <v>711188.21465575451</v>
      </c>
    </row>
    <row r="65" spans="2:15" x14ac:dyDescent="0.2">
      <c r="B65" s="346" t="s">
        <v>831</v>
      </c>
      <c r="C65" s="341"/>
      <c r="D65" s="341"/>
      <c r="E65" s="341"/>
      <c r="F65" s="341"/>
      <c r="G65" s="341"/>
      <c r="H65" s="341"/>
      <c r="I65" s="341"/>
      <c r="J65" s="341"/>
      <c r="K65" s="341"/>
      <c r="L65" s="341"/>
      <c r="M65" s="341"/>
      <c r="N65" s="341"/>
      <c r="O65" s="345">
        <v>0</v>
      </c>
    </row>
    <row r="66" spans="2:15" x14ac:dyDescent="0.2">
      <c r="B66" s="343" t="s">
        <v>832</v>
      </c>
      <c r="C66" s="341"/>
      <c r="D66" s="341"/>
      <c r="E66" s="341"/>
      <c r="F66" s="341"/>
      <c r="G66" s="341"/>
      <c r="H66" s="341"/>
      <c r="I66" s="341"/>
      <c r="J66" s="341"/>
      <c r="K66" s="341"/>
      <c r="L66" s="341"/>
      <c r="M66" s="341"/>
      <c r="N66" s="341"/>
      <c r="O66" s="345">
        <v>159362.80396732903</v>
      </c>
    </row>
    <row r="67" spans="2:15" x14ac:dyDescent="0.2">
      <c r="B67" s="343" t="s">
        <v>833</v>
      </c>
      <c r="C67" s="341"/>
      <c r="D67" s="341"/>
      <c r="E67" s="341"/>
      <c r="F67" s="341"/>
      <c r="G67" s="341"/>
      <c r="H67" s="341"/>
      <c r="I67" s="341"/>
      <c r="J67" s="341"/>
      <c r="K67" s="341"/>
      <c r="L67" s="341"/>
      <c r="M67" s="341"/>
      <c r="N67" s="341"/>
      <c r="O67" s="345">
        <v>12669.142137071776</v>
      </c>
    </row>
    <row r="68" spans="2:15" x14ac:dyDescent="0.2">
      <c r="B68" s="343" t="s">
        <v>834</v>
      </c>
      <c r="C68" s="341"/>
      <c r="D68" s="341"/>
      <c r="E68" s="341"/>
      <c r="F68" s="341"/>
      <c r="G68" s="341"/>
      <c r="H68" s="341"/>
      <c r="I68" s="341"/>
      <c r="J68" s="341"/>
      <c r="K68" s="341"/>
      <c r="L68" s="341"/>
      <c r="M68" s="341"/>
      <c r="N68" s="341"/>
      <c r="O68" s="345">
        <v>0</v>
      </c>
    </row>
    <row r="69" spans="2:15" x14ac:dyDescent="0.2">
      <c r="B69" s="343" t="s">
        <v>835</v>
      </c>
      <c r="C69" s="341"/>
      <c r="D69" s="341"/>
      <c r="E69" s="341"/>
      <c r="F69" s="341"/>
      <c r="G69" s="341"/>
      <c r="H69" s="341"/>
      <c r="I69" s="341"/>
      <c r="J69" s="341"/>
      <c r="K69" s="341"/>
      <c r="L69" s="341"/>
      <c r="M69" s="341"/>
      <c r="N69" s="341"/>
      <c r="O69" s="345">
        <v>0</v>
      </c>
    </row>
    <row r="70" spans="2:15" x14ac:dyDescent="0.2">
      <c r="B70" s="343" t="s">
        <v>836</v>
      </c>
      <c r="C70" s="341"/>
      <c r="D70" s="341"/>
      <c r="E70" s="341"/>
      <c r="F70" s="341"/>
      <c r="G70" s="341"/>
      <c r="H70" s="341"/>
      <c r="I70" s="341"/>
      <c r="J70" s="341"/>
      <c r="K70" s="341"/>
      <c r="L70" s="341"/>
      <c r="M70" s="341"/>
      <c r="N70" s="341"/>
      <c r="O70" s="345">
        <v>0</v>
      </c>
    </row>
    <row r="71" spans="2:15" x14ac:dyDescent="0.2">
      <c r="B71" s="343" t="s">
        <v>837</v>
      </c>
      <c r="C71" s="341"/>
      <c r="D71" s="341"/>
      <c r="E71" s="341"/>
      <c r="F71" s="341"/>
      <c r="G71" s="341"/>
      <c r="H71" s="341"/>
      <c r="I71" s="341"/>
      <c r="J71" s="341"/>
      <c r="K71" s="341"/>
      <c r="L71" s="341"/>
      <c r="M71" s="341"/>
      <c r="N71" s="341"/>
      <c r="O71" s="345">
        <v>19552.46</v>
      </c>
    </row>
    <row r="72" spans="2:15" x14ac:dyDescent="0.2">
      <c r="B72" s="343" t="s">
        <v>838</v>
      </c>
      <c r="C72" s="341"/>
      <c r="D72" s="341"/>
      <c r="E72" s="341"/>
      <c r="F72" s="341"/>
      <c r="G72" s="341"/>
      <c r="H72" s="341"/>
      <c r="I72" s="341"/>
      <c r="J72" s="341"/>
      <c r="K72" s="341"/>
      <c r="L72" s="341"/>
      <c r="M72" s="341"/>
      <c r="N72" s="341"/>
      <c r="O72" s="345">
        <v>71921.942686992683</v>
      </c>
    </row>
    <row r="73" spans="2:15" x14ac:dyDescent="0.2">
      <c r="B73" s="343" t="s">
        <v>839</v>
      </c>
      <c r="C73" s="341"/>
      <c r="D73" s="341"/>
      <c r="E73" s="341"/>
      <c r="F73" s="341"/>
      <c r="G73" s="341"/>
      <c r="H73" s="341"/>
      <c r="I73" s="341"/>
      <c r="J73" s="341"/>
      <c r="K73" s="341"/>
      <c r="L73" s="341"/>
      <c r="M73" s="341"/>
      <c r="N73" s="341"/>
      <c r="O73" s="345">
        <v>26666.853612165225</v>
      </c>
    </row>
    <row r="74" spans="2:15" x14ac:dyDescent="0.2">
      <c r="B74" s="343" t="s">
        <v>840</v>
      </c>
      <c r="C74" s="341"/>
      <c r="D74" s="341"/>
      <c r="E74" s="341"/>
      <c r="F74" s="341"/>
      <c r="G74" s="341"/>
      <c r="H74" s="341"/>
      <c r="I74" s="341"/>
      <c r="J74" s="341"/>
      <c r="K74" s="341"/>
      <c r="L74" s="341"/>
      <c r="M74" s="341"/>
      <c r="N74" s="341"/>
      <c r="O74" s="345">
        <v>41.82</v>
      </c>
    </row>
    <row r="75" spans="2:15" x14ac:dyDescent="0.2">
      <c r="B75" s="343" t="s">
        <v>841</v>
      </c>
      <c r="C75" s="341"/>
      <c r="D75" s="341"/>
      <c r="E75" s="341"/>
      <c r="F75" s="341"/>
      <c r="G75" s="341"/>
      <c r="H75" s="341"/>
      <c r="I75" s="341"/>
      <c r="J75" s="341"/>
      <c r="K75" s="341"/>
      <c r="L75" s="341"/>
      <c r="M75" s="341"/>
      <c r="N75" s="341"/>
      <c r="O75" s="345">
        <v>15765.59</v>
      </c>
    </row>
    <row r="76" spans="2:15" x14ac:dyDescent="0.2">
      <c r="B76" s="343" t="s">
        <v>842</v>
      </c>
      <c r="C76" s="341"/>
      <c r="D76" s="341"/>
      <c r="E76" s="341"/>
      <c r="F76" s="341"/>
      <c r="G76" s="341"/>
      <c r="H76" s="341"/>
      <c r="I76" s="341"/>
      <c r="J76" s="341"/>
      <c r="K76" s="341"/>
      <c r="L76" s="341"/>
      <c r="M76" s="341"/>
      <c r="N76" s="341"/>
      <c r="O76" s="345">
        <v>37526.461259156102</v>
      </c>
    </row>
    <row r="77" spans="2:15" x14ac:dyDescent="0.2">
      <c r="B77" s="343" t="s">
        <v>847</v>
      </c>
      <c r="C77" s="341"/>
      <c r="D77" s="341"/>
      <c r="E77" s="341"/>
      <c r="F77" s="341"/>
      <c r="G77" s="341"/>
      <c r="H77" s="341"/>
      <c r="I77" s="341"/>
      <c r="J77" s="341"/>
      <c r="K77" s="341"/>
      <c r="L77" s="341"/>
      <c r="M77" s="341"/>
      <c r="N77" s="341"/>
      <c r="O77" s="345">
        <v>0</v>
      </c>
    </row>
    <row r="78" spans="2:15" x14ac:dyDescent="0.2">
      <c r="B78" s="32" t="s">
        <v>844</v>
      </c>
      <c r="C78" s="341"/>
      <c r="D78" s="341"/>
      <c r="E78" s="341"/>
      <c r="F78" s="341"/>
      <c r="G78" s="341"/>
      <c r="H78" s="341"/>
      <c r="I78" s="341"/>
      <c r="J78" s="341"/>
      <c r="K78" s="341"/>
      <c r="L78" s="341"/>
      <c r="M78" s="341"/>
      <c r="N78" s="341"/>
      <c r="O78" s="347">
        <v>0</v>
      </c>
    </row>
    <row r="79" spans="2:15" x14ac:dyDescent="0.2">
      <c r="B79" s="348" t="s">
        <v>845</v>
      </c>
      <c r="C79" s="341"/>
      <c r="D79" s="341"/>
      <c r="E79" s="341"/>
      <c r="F79" s="341"/>
      <c r="G79" s="341"/>
      <c r="H79" s="341"/>
      <c r="I79" s="341"/>
      <c r="J79" s="341"/>
      <c r="K79" s="341"/>
      <c r="L79" s="341"/>
      <c r="M79" s="341"/>
      <c r="N79" s="341"/>
      <c r="O79" s="349">
        <f>SUM(O61:O78)</f>
        <v>3488170.7346030003</v>
      </c>
    </row>
    <row r="80" spans="2:15" x14ac:dyDescent="0.2">
      <c r="C80" s="350"/>
      <c r="D80" s="350"/>
      <c r="E80" s="350"/>
      <c r="F80" s="350"/>
      <c r="G80" s="350"/>
      <c r="H80" s="350"/>
      <c r="I80" s="350"/>
      <c r="J80" s="350"/>
      <c r="K80" s="350"/>
      <c r="L80" s="350"/>
      <c r="M80" s="350"/>
      <c r="N80" s="350"/>
      <c r="O80" s="351"/>
    </row>
    <row r="82" spans="2:15" s="336" customFormat="1" x14ac:dyDescent="0.2">
      <c r="B82" s="182" t="s">
        <v>848</v>
      </c>
    </row>
    <row r="83" spans="2:15" s="336" customFormat="1" x14ac:dyDescent="0.2">
      <c r="B83" s="338" t="s">
        <v>827</v>
      </c>
      <c r="O83" s="352">
        <v>149.5387562692062</v>
      </c>
    </row>
    <row r="84" spans="2:15" s="336" customFormat="1" x14ac:dyDescent="0.2">
      <c r="B84" s="32" t="s">
        <v>828</v>
      </c>
      <c r="O84" s="352">
        <v>-36839900.092503712</v>
      </c>
    </row>
    <row r="85" spans="2:15" s="336" customFormat="1" x14ac:dyDescent="0.2">
      <c r="B85" s="32" t="s">
        <v>829</v>
      </c>
      <c r="O85" s="352">
        <v>0</v>
      </c>
    </row>
    <row r="86" spans="2:15" s="336" customFormat="1" x14ac:dyDescent="0.2">
      <c r="B86" s="346" t="s">
        <v>830</v>
      </c>
      <c r="O86" s="352">
        <f>-13564596.2608407-378.44</f>
        <v>-13564974.700840699</v>
      </c>
    </row>
    <row r="87" spans="2:15" s="336" customFormat="1" x14ac:dyDescent="0.2">
      <c r="B87" s="346" t="s">
        <v>831</v>
      </c>
      <c r="O87" s="352">
        <v>0</v>
      </c>
    </row>
    <row r="88" spans="2:15" s="336" customFormat="1" x14ac:dyDescent="0.2">
      <c r="B88" s="338" t="s">
        <v>832</v>
      </c>
      <c r="O88" s="352">
        <v>-6237980.1200764226</v>
      </c>
    </row>
    <row r="89" spans="2:15" s="336" customFormat="1" x14ac:dyDescent="0.2">
      <c r="B89" s="338" t="s">
        <v>834</v>
      </c>
      <c r="O89" s="352">
        <v>0</v>
      </c>
    </row>
    <row r="90" spans="2:15" s="336" customFormat="1" x14ac:dyDescent="0.2">
      <c r="B90" s="338" t="s">
        <v>835</v>
      </c>
      <c r="O90" s="352">
        <v>0</v>
      </c>
    </row>
    <row r="91" spans="2:15" s="336" customFormat="1" x14ac:dyDescent="0.2">
      <c r="B91" s="338" t="s">
        <v>836</v>
      </c>
      <c r="O91" s="352">
        <v>0</v>
      </c>
    </row>
    <row r="92" spans="2:15" s="336" customFormat="1" x14ac:dyDescent="0.2">
      <c r="B92" s="338" t="s">
        <v>837</v>
      </c>
      <c r="O92" s="352">
        <v>-1353295.0150042786</v>
      </c>
    </row>
    <row r="93" spans="2:15" s="336" customFormat="1" x14ac:dyDescent="0.2">
      <c r="B93" s="338" t="s">
        <v>839</v>
      </c>
      <c r="O93" s="352">
        <v>-1032938.4223432078</v>
      </c>
    </row>
    <row r="94" spans="2:15" s="336" customFormat="1" x14ac:dyDescent="0.2">
      <c r="B94" s="338" t="s">
        <v>841</v>
      </c>
      <c r="O94" s="352">
        <v>-2260853.815104011</v>
      </c>
    </row>
    <row r="95" spans="2:15" s="336" customFormat="1" x14ac:dyDescent="0.2">
      <c r="B95" s="343" t="s">
        <v>833</v>
      </c>
      <c r="O95" s="352">
        <v>0</v>
      </c>
    </row>
    <row r="96" spans="2:15" s="336" customFormat="1" x14ac:dyDescent="0.2">
      <c r="B96" s="343" t="s">
        <v>838</v>
      </c>
      <c r="O96" s="352">
        <v>0</v>
      </c>
    </row>
    <row r="97" spans="2:15" s="336" customFormat="1" x14ac:dyDescent="0.2">
      <c r="B97" s="343" t="s">
        <v>840</v>
      </c>
      <c r="O97" s="352">
        <v>0</v>
      </c>
    </row>
    <row r="98" spans="2:15" s="336" customFormat="1" x14ac:dyDescent="0.2">
      <c r="B98" s="343" t="s">
        <v>842</v>
      </c>
      <c r="O98" s="352">
        <v>0</v>
      </c>
    </row>
    <row r="99" spans="2:15" s="336" customFormat="1" x14ac:dyDescent="0.2">
      <c r="B99" s="346" t="s">
        <v>844</v>
      </c>
      <c r="O99" s="352">
        <v>0</v>
      </c>
    </row>
    <row r="100" spans="2:15" s="336" customFormat="1" x14ac:dyDescent="0.2">
      <c r="B100" s="346" t="s">
        <v>845</v>
      </c>
      <c r="O100" s="353">
        <f>SUM(O83:O99)</f>
        <v>-61289792.627116062</v>
      </c>
    </row>
    <row r="101" spans="2:15" s="336" customFormat="1" x14ac:dyDescent="0.2">
      <c r="B101" s="338"/>
    </row>
    <row r="102" spans="2:15" s="336" customFormat="1" x14ac:dyDescent="0.2">
      <c r="B102" s="182" t="s">
        <v>849</v>
      </c>
    </row>
    <row r="103" spans="2:15" x14ac:dyDescent="0.2">
      <c r="B103" s="32" t="s">
        <v>850</v>
      </c>
      <c r="O103" s="352">
        <v>-24.814959999999981</v>
      </c>
    </row>
    <row r="104" spans="2:15" x14ac:dyDescent="0.2">
      <c r="B104" s="32" t="s">
        <v>851</v>
      </c>
      <c r="O104" s="352">
        <v>-2384034.6975000002</v>
      </c>
    </row>
    <row r="105" spans="2:15" x14ac:dyDescent="0.2">
      <c r="B105" s="32" t="s">
        <v>852</v>
      </c>
      <c r="O105" s="352">
        <v>-720468.79952000012</v>
      </c>
    </row>
    <row r="106" spans="2:15" x14ac:dyDescent="0.2">
      <c r="B106" s="32" t="s">
        <v>853</v>
      </c>
      <c r="O106" s="352">
        <v>-119930.41885</v>
      </c>
    </row>
    <row r="107" spans="2:15" x14ac:dyDescent="0.2">
      <c r="B107" s="32" t="s">
        <v>854</v>
      </c>
      <c r="O107" s="352">
        <v>-9510.8103900000006</v>
      </c>
    </row>
    <row r="108" spans="2:15" x14ac:dyDescent="0.2">
      <c r="B108" s="32" t="s">
        <v>855</v>
      </c>
      <c r="O108" s="352">
        <v>-16.217000000000002</v>
      </c>
    </row>
    <row r="109" spans="2:15" x14ac:dyDescent="0.2">
      <c r="B109" s="32" t="s">
        <v>856</v>
      </c>
      <c r="O109" s="352">
        <v>-13983.982100000001</v>
      </c>
    </row>
    <row r="110" spans="2:15" x14ac:dyDescent="0.2">
      <c r="B110" s="32" t="s">
        <v>857</v>
      </c>
      <c r="O110" s="352">
        <v>-53966.986980000001</v>
      </c>
    </row>
    <row r="111" spans="2:15" x14ac:dyDescent="0.2">
      <c r="B111" s="32" t="s">
        <v>858</v>
      </c>
      <c r="O111" s="352">
        <v>-24501.838290000007</v>
      </c>
    </row>
    <row r="112" spans="2:15" x14ac:dyDescent="0.2">
      <c r="B112" s="32" t="s">
        <v>859</v>
      </c>
      <c r="O112" s="352">
        <v>-37.14</v>
      </c>
    </row>
    <row r="113" spans="2:15" x14ac:dyDescent="0.2">
      <c r="B113" s="32" t="s">
        <v>860</v>
      </c>
      <c r="O113" s="352">
        <v>-19525.904840000003</v>
      </c>
    </row>
    <row r="114" spans="2:15" x14ac:dyDescent="0.2">
      <c r="B114" s="32" t="s">
        <v>861</v>
      </c>
      <c r="O114" s="352">
        <v>-67251.91915999999</v>
      </c>
    </row>
    <row r="115" spans="2:15" x14ac:dyDescent="0.2">
      <c r="B115" s="32" t="s">
        <v>862</v>
      </c>
      <c r="O115" s="352">
        <v>-16759.323349999999</v>
      </c>
    </row>
    <row r="116" spans="2:15" x14ac:dyDescent="0.2">
      <c r="B116" s="346" t="s">
        <v>863</v>
      </c>
      <c r="O116" s="354">
        <f>SUM(O103:O115)</f>
        <v>-3430012.8529400015</v>
      </c>
    </row>
    <row r="117" spans="2:15" x14ac:dyDescent="0.2">
      <c r="B117" s="343"/>
    </row>
    <row r="118" spans="2:15" x14ac:dyDescent="0.2">
      <c r="B118" s="276" t="s">
        <v>864</v>
      </c>
    </row>
    <row r="119" spans="2:15" x14ac:dyDescent="0.2">
      <c r="B119" s="355" t="s">
        <v>865</v>
      </c>
      <c r="C119" s="356">
        <v>45</v>
      </c>
      <c r="D119" s="356">
        <v>45</v>
      </c>
      <c r="E119" s="356">
        <v>45</v>
      </c>
      <c r="F119" s="356">
        <v>45</v>
      </c>
      <c r="G119" s="356">
        <v>44.999999999999993</v>
      </c>
      <c r="H119" s="356">
        <v>45</v>
      </c>
      <c r="I119" s="356">
        <v>45</v>
      </c>
      <c r="J119" s="356">
        <v>45</v>
      </c>
      <c r="K119" s="356">
        <v>45</v>
      </c>
      <c r="L119" s="356">
        <v>45</v>
      </c>
      <c r="M119" s="356">
        <v>45</v>
      </c>
      <c r="N119" s="356">
        <v>45</v>
      </c>
      <c r="O119" s="279">
        <f>SUM(C119:N119)</f>
        <v>540</v>
      </c>
    </row>
    <row r="120" spans="2:15" x14ac:dyDescent="0.2">
      <c r="B120" s="355" t="s">
        <v>866</v>
      </c>
      <c r="C120" s="356">
        <v>7</v>
      </c>
      <c r="D120" s="356">
        <v>7</v>
      </c>
      <c r="E120" s="356">
        <v>7</v>
      </c>
      <c r="F120" s="356">
        <v>7</v>
      </c>
      <c r="G120" s="356">
        <v>7</v>
      </c>
      <c r="H120" s="356">
        <v>7</v>
      </c>
      <c r="I120" s="356">
        <v>7</v>
      </c>
      <c r="J120" s="356">
        <v>7</v>
      </c>
      <c r="K120" s="356">
        <v>7</v>
      </c>
      <c r="L120" s="356">
        <v>7</v>
      </c>
      <c r="M120" s="356">
        <v>7</v>
      </c>
      <c r="N120" s="356">
        <v>7</v>
      </c>
      <c r="O120" s="279">
        <f>SUM(C120:N120)</f>
        <v>84</v>
      </c>
    </row>
    <row r="121" spans="2:15" x14ac:dyDescent="0.2">
      <c r="B121" s="355" t="s">
        <v>867</v>
      </c>
      <c r="C121" s="356">
        <v>2</v>
      </c>
      <c r="D121" s="356">
        <v>2</v>
      </c>
      <c r="E121" s="356">
        <v>2</v>
      </c>
      <c r="F121" s="356">
        <v>2</v>
      </c>
      <c r="G121" s="356">
        <v>2</v>
      </c>
      <c r="H121" s="356">
        <v>2</v>
      </c>
      <c r="I121" s="356">
        <v>1</v>
      </c>
      <c r="J121" s="356">
        <v>1</v>
      </c>
      <c r="K121" s="356">
        <v>1</v>
      </c>
      <c r="L121" s="356">
        <v>1</v>
      </c>
      <c r="M121" s="356">
        <v>1</v>
      </c>
      <c r="N121" s="356">
        <v>1</v>
      </c>
      <c r="O121" s="279">
        <f>SUM(C121:N121)</f>
        <v>18</v>
      </c>
    </row>
    <row r="122" spans="2:15" x14ac:dyDescent="0.2">
      <c r="B122" s="32" t="s">
        <v>23</v>
      </c>
      <c r="C122" s="357">
        <f t="shared" ref="C122:K122" si="2">SUM(C119:C121)</f>
        <v>54</v>
      </c>
      <c r="D122" s="357">
        <f t="shared" si="2"/>
        <v>54</v>
      </c>
      <c r="E122" s="357">
        <f t="shared" si="2"/>
        <v>54</v>
      </c>
      <c r="F122" s="357">
        <f t="shared" si="2"/>
        <v>54</v>
      </c>
      <c r="G122" s="357">
        <f t="shared" si="2"/>
        <v>53.999999999999993</v>
      </c>
      <c r="H122" s="357">
        <f t="shared" si="2"/>
        <v>54</v>
      </c>
      <c r="I122" s="357">
        <f t="shared" si="2"/>
        <v>53</v>
      </c>
      <c r="J122" s="357">
        <f t="shared" si="2"/>
        <v>53</v>
      </c>
      <c r="K122" s="357">
        <f t="shared" si="2"/>
        <v>53</v>
      </c>
      <c r="L122" s="357">
        <f>SUM(L119:L121)</f>
        <v>53</v>
      </c>
      <c r="M122" s="357">
        <f>SUM(M119:M121)</f>
        <v>53</v>
      </c>
      <c r="N122" s="357">
        <f>SUM(N119:N121)</f>
        <v>53</v>
      </c>
      <c r="O122" s="357">
        <f>SUM(O119:O121)</f>
        <v>642</v>
      </c>
    </row>
    <row r="127" spans="2:15" x14ac:dyDescent="0.2">
      <c r="B127" s="276" t="s">
        <v>868</v>
      </c>
    </row>
    <row r="128" spans="2:15" x14ac:dyDescent="0.2">
      <c r="B128" s="276" t="s">
        <v>869</v>
      </c>
    </row>
    <row r="129" spans="2:19" x14ac:dyDescent="0.2">
      <c r="B129" s="32" t="s">
        <v>870</v>
      </c>
      <c r="C129" s="358">
        <v>88936</v>
      </c>
      <c r="D129" s="358">
        <v>88936</v>
      </c>
      <c r="E129" s="358">
        <v>89191</v>
      </c>
      <c r="F129" s="358">
        <v>88936</v>
      </c>
      <c r="G129" s="358">
        <v>91309</v>
      </c>
      <c r="H129" s="358">
        <v>90116</v>
      </c>
      <c r="I129" s="358">
        <v>92111</v>
      </c>
      <c r="J129" s="358">
        <v>93269</v>
      </c>
      <c r="K129" s="358">
        <v>92656</v>
      </c>
      <c r="L129" s="358">
        <v>92656</v>
      </c>
      <c r="M129" s="358">
        <v>92656</v>
      </c>
      <c r="N129" s="358">
        <v>92656</v>
      </c>
      <c r="O129" s="279">
        <f>SUM(C129:N129)</f>
        <v>1093428</v>
      </c>
    </row>
    <row r="130" spans="2:19" x14ac:dyDescent="0.2">
      <c r="B130" s="32" t="s">
        <v>871</v>
      </c>
      <c r="C130" s="358">
        <v>947</v>
      </c>
      <c r="D130" s="358">
        <v>947</v>
      </c>
      <c r="E130" s="358">
        <v>947</v>
      </c>
      <c r="F130" s="358">
        <v>947</v>
      </c>
      <c r="G130" s="358">
        <v>947</v>
      </c>
      <c r="H130" s="358">
        <v>947</v>
      </c>
      <c r="I130" s="358">
        <v>947</v>
      </c>
      <c r="J130" s="358">
        <v>947</v>
      </c>
      <c r="K130" s="358">
        <v>947</v>
      </c>
      <c r="L130" s="358">
        <v>947</v>
      </c>
      <c r="M130" s="358">
        <v>947</v>
      </c>
      <c r="N130" s="358">
        <v>947</v>
      </c>
      <c r="O130" s="279">
        <f>SUM(C130:N130)</f>
        <v>11364</v>
      </c>
    </row>
    <row r="131" spans="2:19" x14ac:dyDescent="0.2">
      <c r="B131" s="32" t="s">
        <v>872</v>
      </c>
      <c r="C131" s="359">
        <v>4027</v>
      </c>
      <c r="D131" s="359">
        <v>4027</v>
      </c>
      <c r="E131" s="359">
        <v>4027</v>
      </c>
      <c r="F131" s="359">
        <v>4027</v>
      </c>
      <c r="G131" s="359">
        <v>4027</v>
      </c>
      <c r="H131" s="359">
        <v>4027</v>
      </c>
      <c r="I131" s="359">
        <v>4027</v>
      </c>
      <c r="J131" s="359">
        <v>4027</v>
      </c>
      <c r="K131" s="359">
        <v>4027</v>
      </c>
      <c r="L131" s="358">
        <v>4027</v>
      </c>
      <c r="M131" s="358">
        <v>4027</v>
      </c>
      <c r="N131" s="358">
        <v>4027</v>
      </c>
      <c r="O131" s="279">
        <f>SUM(C131:N131)</f>
        <v>48324</v>
      </c>
    </row>
    <row r="132" spans="2:19" x14ac:dyDescent="0.2">
      <c r="B132" s="32" t="s">
        <v>23</v>
      </c>
      <c r="C132" s="357">
        <f t="shared" ref="C132:K132" si="3">SUM(C129:C131)</f>
        <v>93910</v>
      </c>
      <c r="D132" s="357">
        <f t="shared" si="3"/>
        <v>93910</v>
      </c>
      <c r="E132" s="357">
        <f t="shared" si="3"/>
        <v>94165</v>
      </c>
      <c r="F132" s="357">
        <f t="shared" si="3"/>
        <v>93910</v>
      </c>
      <c r="G132" s="357">
        <f t="shared" si="3"/>
        <v>96283</v>
      </c>
      <c r="H132" s="357">
        <f t="shared" si="3"/>
        <v>95090</v>
      </c>
      <c r="I132" s="357">
        <f t="shared" si="3"/>
        <v>97085</v>
      </c>
      <c r="J132" s="357">
        <f t="shared" si="3"/>
        <v>98243</v>
      </c>
      <c r="K132" s="357">
        <f t="shared" si="3"/>
        <v>97630</v>
      </c>
      <c r="L132" s="357">
        <f>SUM(L129:L131)</f>
        <v>97630</v>
      </c>
      <c r="M132" s="357">
        <f>SUM(M129:M131)</f>
        <v>97630</v>
      </c>
      <c r="N132" s="357">
        <f>SUM(N129:N131)</f>
        <v>97630</v>
      </c>
      <c r="O132" s="357">
        <f>SUM(O129:O131)</f>
        <v>1153116</v>
      </c>
    </row>
    <row r="136" spans="2:19" x14ac:dyDescent="0.2">
      <c r="B136" s="343"/>
    </row>
    <row r="137" spans="2:19" x14ac:dyDescent="0.2">
      <c r="B137" s="360" t="s">
        <v>873</v>
      </c>
    </row>
    <row r="138" spans="2:19" x14ac:dyDescent="0.2">
      <c r="B138" s="343">
        <v>23</v>
      </c>
      <c r="C138" s="361">
        <v>699965</v>
      </c>
      <c r="D138" s="361">
        <v>701215</v>
      </c>
      <c r="E138" s="361">
        <v>702257</v>
      </c>
      <c r="F138" s="361">
        <v>702573</v>
      </c>
      <c r="G138" s="361">
        <v>703246</v>
      </c>
      <c r="H138" s="361">
        <v>704366</v>
      </c>
      <c r="I138" s="361">
        <v>704758</v>
      </c>
      <c r="J138" s="361">
        <v>703964</v>
      </c>
      <c r="K138" s="361">
        <v>705153</v>
      </c>
      <c r="L138" s="361">
        <v>704137</v>
      </c>
      <c r="M138" s="361">
        <v>704666</v>
      </c>
      <c r="N138" s="361">
        <v>705036</v>
      </c>
      <c r="O138" s="279">
        <f t="shared" ref="O138:O157" si="4">SUM(C138:N138)</f>
        <v>8441336</v>
      </c>
    </row>
    <row r="139" spans="2:19" x14ac:dyDescent="0.2">
      <c r="B139" s="343" t="s">
        <v>874</v>
      </c>
      <c r="C139" s="361">
        <v>52658</v>
      </c>
      <c r="D139" s="361">
        <v>52610</v>
      </c>
      <c r="E139" s="361">
        <v>52574</v>
      </c>
      <c r="F139" s="361">
        <v>52525</v>
      </c>
      <c r="G139" s="361">
        <v>52396</v>
      </c>
      <c r="H139" s="361">
        <v>52307</v>
      </c>
      <c r="I139" s="361">
        <v>52272</v>
      </c>
      <c r="J139" s="361">
        <v>52234</v>
      </c>
      <c r="K139" s="361">
        <v>52221</v>
      </c>
      <c r="L139" s="361">
        <v>52328</v>
      </c>
      <c r="M139" s="361">
        <v>52300</v>
      </c>
      <c r="N139" s="361">
        <v>52414</v>
      </c>
      <c r="O139" s="279">
        <f t="shared" si="4"/>
        <v>628839</v>
      </c>
    </row>
    <row r="140" spans="2:19" x14ac:dyDescent="0.2">
      <c r="B140" s="343" t="s">
        <v>875</v>
      </c>
      <c r="C140" s="361">
        <v>2456</v>
      </c>
      <c r="D140" s="361">
        <v>2452</v>
      </c>
      <c r="E140" s="361">
        <v>2438</v>
      </c>
      <c r="F140" s="361">
        <v>2426.02</v>
      </c>
      <c r="G140" s="361">
        <v>2428</v>
      </c>
      <c r="H140" s="361">
        <v>2444</v>
      </c>
      <c r="I140" s="361">
        <v>2423</v>
      </c>
      <c r="J140" s="361">
        <v>2413</v>
      </c>
      <c r="K140" s="361">
        <v>2412</v>
      </c>
      <c r="L140" s="361">
        <v>2421</v>
      </c>
      <c r="M140" s="361">
        <v>2419</v>
      </c>
      <c r="N140" s="361">
        <v>2423</v>
      </c>
      <c r="O140" s="279">
        <f t="shared" si="4"/>
        <v>29155.02</v>
      </c>
    </row>
    <row r="141" spans="2:19" x14ac:dyDescent="0.2">
      <c r="B141" s="343" t="s">
        <v>876</v>
      </c>
      <c r="C141" s="361">
        <v>1953</v>
      </c>
      <c r="D141" s="361">
        <v>1949</v>
      </c>
      <c r="E141" s="361">
        <v>1949</v>
      </c>
      <c r="F141" s="361">
        <v>1951</v>
      </c>
      <c r="G141" s="361">
        <v>1946</v>
      </c>
      <c r="H141" s="361">
        <v>1952</v>
      </c>
      <c r="I141" s="361">
        <v>1951</v>
      </c>
      <c r="J141" s="361">
        <v>1936</v>
      </c>
      <c r="K141" s="361">
        <v>1923</v>
      </c>
      <c r="L141" s="361">
        <v>1902</v>
      </c>
      <c r="M141" s="361">
        <v>1884</v>
      </c>
      <c r="N141" s="361">
        <v>1883</v>
      </c>
      <c r="O141" s="279">
        <f t="shared" si="4"/>
        <v>23179</v>
      </c>
    </row>
    <row r="142" spans="2:19" x14ac:dyDescent="0.2">
      <c r="B142" s="343" t="s">
        <v>877</v>
      </c>
      <c r="C142" s="361">
        <v>113</v>
      </c>
      <c r="D142" s="361">
        <v>114</v>
      </c>
      <c r="E142" s="361">
        <v>115</v>
      </c>
      <c r="F142" s="361">
        <v>115.00999999999999</v>
      </c>
      <c r="G142" s="361">
        <v>116</v>
      </c>
      <c r="H142" s="361">
        <v>117</v>
      </c>
      <c r="I142" s="361">
        <v>116</v>
      </c>
      <c r="J142" s="361">
        <v>114</v>
      </c>
      <c r="K142" s="361">
        <v>117</v>
      </c>
      <c r="L142" s="361">
        <v>115</v>
      </c>
      <c r="M142" s="361">
        <v>114</v>
      </c>
      <c r="N142" s="361">
        <v>113</v>
      </c>
      <c r="O142" s="279">
        <f t="shared" si="4"/>
        <v>1379.01</v>
      </c>
    </row>
    <row r="143" spans="2:19" s="336" customFormat="1" x14ac:dyDescent="0.2">
      <c r="B143" s="338" t="s">
        <v>878</v>
      </c>
      <c r="C143" s="361">
        <v>10</v>
      </c>
      <c r="D143" s="361">
        <v>10</v>
      </c>
      <c r="E143" s="361">
        <v>10</v>
      </c>
      <c r="F143" s="361">
        <v>10</v>
      </c>
      <c r="G143" s="361">
        <v>10</v>
      </c>
      <c r="H143" s="361">
        <v>10</v>
      </c>
      <c r="I143" s="361">
        <v>10</v>
      </c>
      <c r="J143" s="361">
        <v>10</v>
      </c>
      <c r="K143" s="361">
        <v>11</v>
      </c>
      <c r="L143" s="361">
        <v>12</v>
      </c>
      <c r="M143" s="361">
        <v>20</v>
      </c>
      <c r="N143" s="361">
        <v>30</v>
      </c>
      <c r="O143" s="362">
        <f t="shared" si="4"/>
        <v>153</v>
      </c>
      <c r="S143" s="32"/>
    </row>
    <row r="144" spans="2:19" s="336" customFormat="1" x14ac:dyDescent="0.2">
      <c r="B144" s="338" t="s">
        <v>879</v>
      </c>
      <c r="C144" s="361">
        <v>15</v>
      </c>
      <c r="D144" s="361">
        <v>15</v>
      </c>
      <c r="E144" s="361">
        <v>14</v>
      </c>
      <c r="F144" s="361">
        <v>14</v>
      </c>
      <c r="G144" s="361">
        <v>14</v>
      </c>
      <c r="H144" s="361">
        <v>14</v>
      </c>
      <c r="I144" s="361">
        <v>14</v>
      </c>
      <c r="J144" s="361">
        <v>15</v>
      </c>
      <c r="K144" s="361">
        <v>15</v>
      </c>
      <c r="L144" s="361">
        <v>16</v>
      </c>
      <c r="M144" s="361">
        <v>16</v>
      </c>
      <c r="N144" s="361">
        <v>16</v>
      </c>
      <c r="O144" s="362">
        <f t="shared" si="4"/>
        <v>178</v>
      </c>
      <c r="S144" s="32"/>
    </row>
    <row r="145" spans="2:19" s="336" customFormat="1" x14ac:dyDescent="0.2">
      <c r="B145" s="338">
        <v>53</v>
      </c>
      <c r="C145" s="361">
        <v>5</v>
      </c>
      <c r="D145" s="361">
        <v>5</v>
      </c>
      <c r="E145" s="361">
        <v>5</v>
      </c>
      <c r="F145" s="361">
        <v>5</v>
      </c>
      <c r="G145" s="361">
        <v>5</v>
      </c>
      <c r="H145" s="361">
        <v>5</v>
      </c>
      <c r="I145" s="361">
        <v>6</v>
      </c>
      <c r="J145" s="361">
        <v>6</v>
      </c>
      <c r="K145" s="361">
        <v>5</v>
      </c>
      <c r="L145" s="361">
        <v>5</v>
      </c>
      <c r="M145" s="361">
        <v>5</v>
      </c>
      <c r="N145" s="361">
        <v>4</v>
      </c>
      <c r="O145" s="362">
        <f t="shared" si="4"/>
        <v>61</v>
      </c>
      <c r="S145" s="32"/>
    </row>
    <row r="146" spans="2:19" s="336" customFormat="1" x14ac:dyDescent="0.2">
      <c r="B146" s="338" t="s">
        <v>880</v>
      </c>
      <c r="C146" s="361">
        <v>25</v>
      </c>
      <c r="D146" s="361">
        <v>25</v>
      </c>
      <c r="E146" s="361">
        <v>27</v>
      </c>
      <c r="F146" s="361">
        <v>27</v>
      </c>
      <c r="G146" s="361">
        <v>27</v>
      </c>
      <c r="H146" s="361">
        <v>27</v>
      </c>
      <c r="I146" s="361">
        <v>27</v>
      </c>
      <c r="J146" s="361">
        <v>28</v>
      </c>
      <c r="K146" s="361">
        <v>27</v>
      </c>
      <c r="L146" s="361">
        <v>27</v>
      </c>
      <c r="M146" s="361">
        <v>27</v>
      </c>
      <c r="N146" s="361">
        <v>27</v>
      </c>
      <c r="O146" s="362">
        <f t="shared" si="4"/>
        <v>321</v>
      </c>
      <c r="S146" s="32"/>
    </row>
    <row r="147" spans="2:19" s="336" customFormat="1" x14ac:dyDescent="0.2">
      <c r="B147" s="338" t="s">
        <v>881</v>
      </c>
      <c r="C147" s="361">
        <v>9</v>
      </c>
      <c r="D147" s="361">
        <v>9</v>
      </c>
      <c r="E147" s="361">
        <v>9</v>
      </c>
      <c r="F147" s="361">
        <v>9</v>
      </c>
      <c r="G147" s="361">
        <v>8</v>
      </c>
      <c r="H147" s="361">
        <v>8</v>
      </c>
      <c r="I147" s="361">
        <v>8</v>
      </c>
      <c r="J147" s="361">
        <v>8</v>
      </c>
      <c r="K147" s="361">
        <v>8</v>
      </c>
      <c r="L147" s="361">
        <v>8</v>
      </c>
      <c r="M147" s="361">
        <v>8</v>
      </c>
      <c r="N147" s="361">
        <v>8</v>
      </c>
      <c r="O147" s="362">
        <f t="shared" si="4"/>
        <v>100</v>
      </c>
      <c r="S147" s="32"/>
    </row>
    <row r="148" spans="2:19" s="336" customFormat="1" x14ac:dyDescent="0.2">
      <c r="B148" s="338" t="s">
        <v>882</v>
      </c>
      <c r="C148" s="361">
        <v>35</v>
      </c>
      <c r="D148" s="361">
        <v>37</v>
      </c>
      <c r="E148" s="361">
        <v>36</v>
      </c>
      <c r="F148" s="361">
        <v>36</v>
      </c>
      <c r="G148" s="361">
        <v>37</v>
      </c>
      <c r="H148" s="361">
        <v>37</v>
      </c>
      <c r="I148" s="361">
        <v>37</v>
      </c>
      <c r="J148" s="361">
        <v>37</v>
      </c>
      <c r="K148" s="361">
        <v>37</v>
      </c>
      <c r="L148" s="361">
        <v>36</v>
      </c>
      <c r="M148" s="361">
        <v>35</v>
      </c>
      <c r="N148" s="361">
        <v>35</v>
      </c>
      <c r="O148" s="362">
        <f t="shared" si="4"/>
        <v>435</v>
      </c>
      <c r="S148" s="32"/>
    </row>
    <row r="149" spans="2:19" s="336" customFormat="1" x14ac:dyDescent="0.2">
      <c r="B149" s="338" t="s">
        <v>883</v>
      </c>
      <c r="C149" s="361">
        <v>63</v>
      </c>
      <c r="D149" s="361">
        <v>65</v>
      </c>
      <c r="E149" s="361">
        <v>64</v>
      </c>
      <c r="F149" s="361">
        <v>64</v>
      </c>
      <c r="G149" s="361">
        <v>63.999999999999993</v>
      </c>
      <c r="H149" s="361">
        <v>63</v>
      </c>
      <c r="I149" s="361">
        <v>63</v>
      </c>
      <c r="J149" s="361">
        <v>62</v>
      </c>
      <c r="K149" s="361">
        <v>62</v>
      </c>
      <c r="L149" s="361">
        <v>62</v>
      </c>
      <c r="M149" s="361">
        <v>62</v>
      </c>
      <c r="N149" s="361">
        <v>63</v>
      </c>
      <c r="O149" s="362">
        <f t="shared" si="4"/>
        <v>757</v>
      </c>
      <c r="S149" s="32"/>
    </row>
    <row r="150" spans="2:19" s="336" customFormat="1" x14ac:dyDescent="0.2">
      <c r="B150" s="338" t="s">
        <v>884</v>
      </c>
      <c r="C150" s="361">
        <v>334</v>
      </c>
      <c r="D150" s="361">
        <v>334</v>
      </c>
      <c r="E150" s="361">
        <v>330</v>
      </c>
      <c r="F150" s="361">
        <v>327</v>
      </c>
      <c r="G150" s="361">
        <v>329</v>
      </c>
      <c r="H150" s="361">
        <v>329</v>
      </c>
      <c r="I150" s="361">
        <v>326</v>
      </c>
      <c r="J150" s="361">
        <v>324</v>
      </c>
      <c r="K150" s="361">
        <v>320</v>
      </c>
      <c r="L150" s="361">
        <v>317</v>
      </c>
      <c r="M150" s="361">
        <v>318</v>
      </c>
      <c r="N150" s="361">
        <v>317</v>
      </c>
      <c r="O150" s="362">
        <f t="shared" si="4"/>
        <v>3905</v>
      </c>
      <c r="S150" s="32"/>
    </row>
    <row r="151" spans="2:19" s="336" customFormat="1" x14ac:dyDescent="0.2">
      <c r="B151" s="338" t="s">
        <v>885</v>
      </c>
      <c r="C151" s="361">
        <v>9</v>
      </c>
      <c r="D151" s="361">
        <v>11</v>
      </c>
      <c r="E151" s="361">
        <v>10</v>
      </c>
      <c r="F151" s="361">
        <v>9</v>
      </c>
      <c r="G151" s="361">
        <v>10</v>
      </c>
      <c r="H151" s="361">
        <v>9</v>
      </c>
      <c r="I151" s="361">
        <v>10</v>
      </c>
      <c r="J151" s="361">
        <v>10</v>
      </c>
      <c r="K151" s="361">
        <v>10</v>
      </c>
      <c r="L151" s="361">
        <v>10</v>
      </c>
      <c r="M151" s="361">
        <v>10</v>
      </c>
      <c r="N151" s="361">
        <v>10</v>
      </c>
      <c r="O151" s="362">
        <f t="shared" si="4"/>
        <v>118</v>
      </c>
      <c r="S151" s="32"/>
    </row>
    <row r="152" spans="2:19" s="336" customFormat="1" x14ac:dyDescent="0.2">
      <c r="B152" s="338" t="s">
        <v>886</v>
      </c>
      <c r="C152" s="361">
        <v>0</v>
      </c>
      <c r="D152" s="361">
        <v>0</v>
      </c>
      <c r="E152" s="361">
        <v>0</v>
      </c>
      <c r="F152" s="361">
        <v>0</v>
      </c>
      <c r="G152" s="361">
        <v>0</v>
      </c>
      <c r="H152" s="361">
        <v>1</v>
      </c>
      <c r="I152" s="361">
        <v>1</v>
      </c>
      <c r="J152" s="361">
        <v>1</v>
      </c>
      <c r="K152" s="361">
        <v>1</v>
      </c>
      <c r="L152" s="361">
        <v>1</v>
      </c>
      <c r="M152" s="361">
        <v>1</v>
      </c>
      <c r="N152" s="361">
        <v>1</v>
      </c>
      <c r="O152" s="362">
        <f t="shared" si="4"/>
        <v>7</v>
      </c>
      <c r="S152" s="32"/>
    </row>
    <row r="153" spans="2:19" s="336" customFormat="1" x14ac:dyDescent="0.2">
      <c r="B153" s="338" t="s">
        <v>887</v>
      </c>
      <c r="C153" s="361">
        <v>8</v>
      </c>
      <c r="D153" s="361">
        <v>8</v>
      </c>
      <c r="E153" s="361">
        <v>8</v>
      </c>
      <c r="F153" s="361">
        <v>8</v>
      </c>
      <c r="G153" s="361">
        <v>8</v>
      </c>
      <c r="H153" s="361">
        <v>8</v>
      </c>
      <c r="I153" s="361">
        <v>8</v>
      </c>
      <c r="J153" s="361">
        <v>8</v>
      </c>
      <c r="K153" s="361">
        <v>8</v>
      </c>
      <c r="L153" s="361">
        <v>8</v>
      </c>
      <c r="M153" s="361">
        <v>8</v>
      </c>
      <c r="N153" s="361">
        <v>8</v>
      </c>
      <c r="O153" s="362">
        <f t="shared" si="4"/>
        <v>96</v>
      </c>
      <c r="S153" s="32"/>
    </row>
    <row r="154" spans="2:19" s="336" customFormat="1" x14ac:dyDescent="0.2">
      <c r="B154" s="338" t="s">
        <v>888</v>
      </c>
      <c r="C154" s="361">
        <v>1</v>
      </c>
      <c r="D154" s="361">
        <v>1</v>
      </c>
      <c r="E154" s="361">
        <v>2</v>
      </c>
      <c r="F154" s="361">
        <v>0</v>
      </c>
      <c r="G154" s="361">
        <v>1</v>
      </c>
      <c r="H154" s="361">
        <v>2</v>
      </c>
      <c r="I154" s="361">
        <v>1</v>
      </c>
      <c r="J154" s="361">
        <v>0</v>
      </c>
      <c r="K154" s="361">
        <v>2</v>
      </c>
      <c r="L154" s="361">
        <v>1</v>
      </c>
      <c r="M154" s="361">
        <v>0</v>
      </c>
      <c r="N154" s="361">
        <v>1</v>
      </c>
      <c r="O154" s="362">
        <f t="shared" si="4"/>
        <v>12</v>
      </c>
      <c r="S154" s="32"/>
    </row>
    <row r="155" spans="2:19" s="336" customFormat="1" x14ac:dyDescent="0.2">
      <c r="B155" s="338" t="s">
        <v>889</v>
      </c>
      <c r="C155" s="361">
        <v>2</v>
      </c>
      <c r="D155" s="361">
        <v>2</v>
      </c>
      <c r="E155" s="361">
        <v>2</v>
      </c>
      <c r="F155" s="361">
        <v>2</v>
      </c>
      <c r="G155" s="361">
        <v>2</v>
      </c>
      <c r="H155" s="361">
        <v>2</v>
      </c>
      <c r="I155" s="361">
        <v>2</v>
      </c>
      <c r="J155" s="361">
        <v>2</v>
      </c>
      <c r="K155" s="361">
        <v>2</v>
      </c>
      <c r="L155" s="361">
        <v>2</v>
      </c>
      <c r="M155" s="361">
        <v>2</v>
      </c>
      <c r="N155" s="361">
        <v>2</v>
      </c>
      <c r="O155" s="362">
        <f t="shared" si="4"/>
        <v>24</v>
      </c>
      <c r="S155" s="32"/>
    </row>
    <row r="156" spans="2:19" s="336" customFormat="1" x14ac:dyDescent="0.2">
      <c r="B156" s="338" t="s">
        <v>890</v>
      </c>
      <c r="C156" s="361">
        <v>11</v>
      </c>
      <c r="D156" s="361">
        <v>11</v>
      </c>
      <c r="E156" s="361">
        <v>11</v>
      </c>
      <c r="F156" s="361">
        <v>11</v>
      </c>
      <c r="G156" s="361">
        <v>11</v>
      </c>
      <c r="H156" s="361">
        <v>11</v>
      </c>
      <c r="I156" s="361">
        <v>11</v>
      </c>
      <c r="J156" s="361">
        <v>11</v>
      </c>
      <c r="K156" s="361">
        <v>11</v>
      </c>
      <c r="L156" s="361">
        <v>11</v>
      </c>
      <c r="M156" s="361">
        <v>11</v>
      </c>
      <c r="N156" s="361">
        <v>10</v>
      </c>
      <c r="O156" s="362">
        <f t="shared" si="4"/>
        <v>131</v>
      </c>
      <c r="S156" s="32"/>
    </row>
    <row r="157" spans="2:19" x14ac:dyDescent="0.2">
      <c r="B157" s="343">
        <v>99</v>
      </c>
      <c r="C157" s="361">
        <v>12</v>
      </c>
      <c r="D157" s="361">
        <v>12</v>
      </c>
      <c r="E157" s="361">
        <v>12</v>
      </c>
      <c r="F157" s="361">
        <v>12</v>
      </c>
      <c r="G157" s="361">
        <v>12</v>
      </c>
      <c r="H157" s="361">
        <v>12</v>
      </c>
      <c r="I157" s="361">
        <v>12</v>
      </c>
      <c r="J157" s="361">
        <v>12</v>
      </c>
      <c r="K157" s="361">
        <v>12</v>
      </c>
      <c r="L157" s="361">
        <v>12</v>
      </c>
      <c r="M157" s="361">
        <v>12</v>
      </c>
      <c r="N157" s="361">
        <v>12</v>
      </c>
      <c r="O157" s="279">
        <f t="shared" si="4"/>
        <v>144</v>
      </c>
    </row>
    <row r="158" spans="2:19" x14ac:dyDescent="0.2">
      <c r="B158" s="343" t="s">
        <v>891</v>
      </c>
      <c r="C158" s="357">
        <f t="shared" ref="C158:O158" si="5">SUM(C138:C157)</f>
        <v>757684</v>
      </c>
      <c r="D158" s="357">
        <f t="shared" si="5"/>
        <v>758885</v>
      </c>
      <c r="E158" s="357">
        <f t="shared" si="5"/>
        <v>759873</v>
      </c>
      <c r="F158" s="357">
        <f t="shared" si="5"/>
        <v>760124.03</v>
      </c>
      <c r="G158" s="357">
        <f t="shared" si="5"/>
        <v>760670</v>
      </c>
      <c r="H158" s="357">
        <f t="shared" si="5"/>
        <v>761724</v>
      </c>
      <c r="I158" s="357">
        <f t="shared" si="5"/>
        <v>762056</v>
      </c>
      <c r="J158" s="357">
        <f t="shared" si="5"/>
        <v>761195</v>
      </c>
      <c r="K158" s="357">
        <f t="shared" si="5"/>
        <v>762357</v>
      </c>
      <c r="L158" s="357">
        <f t="shared" si="5"/>
        <v>761431</v>
      </c>
      <c r="M158" s="357">
        <f t="shared" si="5"/>
        <v>761918</v>
      </c>
      <c r="N158" s="357">
        <f t="shared" si="5"/>
        <v>762413</v>
      </c>
      <c r="O158" s="357">
        <f t="shared" si="5"/>
        <v>9130330.0299999993</v>
      </c>
    </row>
    <row r="159" spans="2:19" x14ac:dyDescent="0.2">
      <c r="B159" s="343"/>
    </row>
    <row r="160" spans="2:19" x14ac:dyDescent="0.2">
      <c r="C160" s="279"/>
      <c r="D160" s="279"/>
      <c r="E160" s="279"/>
      <c r="F160" s="279"/>
      <c r="G160" s="279"/>
      <c r="H160" s="279"/>
      <c r="I160" s="279"/>
      <c r="J160" s="279"/>
      <c r="K160" s="279"/>
      <c r="L160" s="279"/>
      <c r="M160" s="279"/>
      <c r="N160" s="279"/>
    </row>
    <row r="161" spans="2:15" x14ac:dyDescent="0.2">
      <c r="B161" s="360" t="s">
        <v>892</v>
      </c>
    </row>
    <row r="162" spans="2:15" x14ac:dyDescent="0.2">
      <c r="B162" s="343" t="s">
        <v>876</v>
      </c>
      <c r="C162" s="361">
        <v>345023.82</v>
      </c>
      <c r="D162" s="361">
        <v>345483.82</v>
      </c>
      <c r="E162" s="361">
        <v>343434.82</v>
      </c>
      <c r="F162" s="361">
        <v>344454.82999999996</v>
      </c>
      <c r="G162" s="361">
        <v>343545.81999999995</v>
      </c>
      <c r="H162" s="361">
        <v>347633.82000000007</v>
      </c>
      <c r="I162" s="361">
        <v>349911.64</v>
      </c>
      <c r="J162" s="361">
        <v>346640</v>
      </c>
      <c r="K162" s="361">
        <v>346444</v>
      </c>
      <c r="L162" s="361">
        <v>339453</v>
      </c>
      <c r="M162" s="361">
        <v>337940</v>
      </c>
      <c r="N162" s="361">
        <v>335944</v>
      </c>
      <c r="O162" s="279">
        <f t="shared" ref="O162:O177" si="6">SUM(C162:N162)</f>
        <v>4125909.57</v>
      </c>
    </row>
    <row r="163" spans="2:15" x14ac:dyDescent="0.2">
      <c r="B163" s="343" t="s">
        <v>877</v>
      </c>
      <c r="C163" s="361">
        <v>57110.51</v>
      </c>
      <c r="D163" s="361">
        <v>57496.51</v>
      </c>
      <c r="E163" s="361">
        <v>58536.51</v>
      </c>
      <c r="F163" s="361">
        <v>58147.519999999997</v>
      </c>
      <c r="G163" s="361">
        <v>58460.499999999993</v>
      </c>
      <c r="H163" s="361">
        <v>58908.51</v>
      </c>
      <c r="I163" s="361">
        <v>57873</v>
      </c>
      <c r="J163" s="361">
        <v>57441</v>
      </c>
      <c r="K163" s="361">
        <v>57931</v>
      </c>
      <c r="L163" s="361">
        <v>57777</v>
      </c>
      <c r="M163" s="361">
        <v>57723</v>
      </c>
      <c r="N163" s="361">
        <v>57689</v>
      </c>
      <c r="O163" s="279">
        <f t="shared" si="6"/>
        <v>695094.06</v>
      </c>
    </row>
    <row r="164" spans="2:15" x14ac:dyDescent="0.2">
      <c r="B164" s="343" t="s">
        <v>878</v>
      </c>
      <c r="C164" s="361">
        <v>6680</v>
      </c>
      <c r="D164" s="361">
        <v>6680</v>
      </c>
      <c r="E164" s="361">
        <v>6680</v>
      </c>
      <c r="F164" s="361">
        <v>6680</v>
      </c>
      <c r="G164" s="361">
        <v>6679.9999999999991</v>
      </c>
      <c r="H164" s="361">
        <v>6680</v>
      </c>
      <c r="I164" s="361">
        <v>5996</v>
      </c>
      <c r="J164" s="361">
        <v>5996</v>
      </c>
      <c r="K164" s="361">
        <v>5996</v>
      </c>
      <c r="L164" s="361">
        <v>8026</v>
      </c>
      <c r="M164" s="361">
        <v>8026</v>
      </c>
      <c r="N164" s="361">
        <v>12103</v>
      </c>
      <c r="O164" s="279">
        <f t="shared" si="6"/>
        <v>86223</v>
      </c>
    </row>
    <row r="165" spans="2:15" x14ac:dyDescent="0.2">
      <c r="B165" s="343" t="s">
        <v>879</v>
      </c>
      <c r="C165" s="361">
        <v>16443</v>
      </c>
      <c r="D165" s="361">
        <v>16443</v>
      </c>
      <c r="E165" s="361">
        <v>14103</v>
      </c>
      <c r="F165" s="361">
        <v>14103</v>
      </c>
      <c r="G165" s="361">
        <v>14103.000000000002</v>
      </c>
      <c r="H165" s="361">
        <v>14103</v>
      </c>
      <c r="I165" s="361">
        <v>18197</v>
      </c>
      <c r="J165" s="361">
        <v>18309</v>
      </c>
      <c r="K165" s="361">
        <v>18309</v>
      </c>
      <c r="L165" s="361">
        <v>18309</v>
      </c>
      <c r="M165" s="361">
        <v>20237</v>
      </c>
      <c r="N165" s="361">
        <v>20237</v>
      </c>
      <c r="O165" s="279">
        <f t="shared" si="6"/>
        <v>202896</v>
      </c>
    </row>
    <row r="166" spans="2:15" x14ac:dyDescent="0.2">
      <c r="B166" s="338" t="s">
        <v>880</v>
      </c>
      <c r="C166" s="361">
        <v>7593</v>
      </c>
      <c r="D166" s="361">
        <v>7593</v>
      </c>
      <c r="E166" s="361">
        <v>7593</v>
      </c>
      <c r="F166" s="361">
        <v>7593</v>
      </c>
      <c r="G166" s="361">
        <v>7593</v>
      </c>
      <c r="H166" s="361">
        <v>7593</v>
      </c>
      <c r="I166" s="361">
        <v>7593</v>
      </c>
      <c r="J166" s="361">
        <v>7661</v>
      </c>
      <c r="K166" s="361">
        <v>7593</v>
      </c>
      <c r="L166" s="361">
        <v>7593</v>
      </c>
      <c r="M166" s="361">
        <v>7593</v>
      </c>
      <c r="N166" s="361">
        <v>7593</v>
      </c>
      <c r="O166" s="279">
        <f t="shared" si="6"/>
        <v>91184</v>
      </c>
    </row>
    <row r="167" spans="2:15" x14ac:dyDescent="0.2">
      <c r="B167" s="338" t="s">
        <v>881</v>
      </c>
      <c r="C167" s="361">
        <v>2443</v>
      </c>
      <c r="D167" s="361">
        <v>2443</v>
      </c>
      <c r="E167" s="361">
        <v>2443</v>
      </c>
      <c r="F167" s="361">
        <v>2443</v>
      </c>
      <c r="G167" s="361">
        <v>2443</v>
      </c>
      <c r="H167" s="361">
        <v>2443</v>
      </c>
      <c r="I167" s="361">
        <v>2443</v>
      </c>
      <c r="J167" s="361">
        <v>2443</v>
      </c>
      <c r="K167" s="361">
        <v>2443</v>
      </c>
      <c r="L167" s="361">
        <v>2443</v>
      </c>
      <c r="M167" s="361">
        <v>2443</v>
      </c>
      <c r="N167" s="361">
        <v>2443</v>
      </c>
      <c r="O167" s="279">
        <f t="shared" si="6"/>
        <v>29316</v>
      </c>
    </row>
    <row r="168" spans="2:15" x14ac:dyDescent="0.2">
      <c r="B168" s="343" t="s">
        <v>882</v>
      </c>
      <c r="C168" s="361">
        <v>22456</v>
      </c>
      <c r="D168" s="361">
        <v>24856</v>
      </c>
      <c r="E168" s="361">
        <v>23656</v>
      </c>
      <c r="F168" s="361">
        <v>23656</v>
      </c>
      <c r="G168" s="361">
        <v>23656</v>
      </c>
      <c r="H168" s="361">
        <v>23656</v>
      </c>
      <c r="I168" s="361">
        <v>23656</v>
      </c>
      <c r="J168" s="361">
        <v>23656</v>
      </c>
      <c r="K168" s="361">
        <v>23656</v>
      </c>
      <c r="L168" s="361">
        <v>21156</v>
      </c>
      <c r="M168" s="361">
        <v>19656</v>
      </c>
      <c r="N168" s="361">
        <v>19356</v>
      </c>
      <c r="O168" s="279">
        <f t="shared" si="6"/>
        <v>273072</v>
      </c>
    </row>
    <row r="169" spans="2:15" x14ac:dyDescent="0.2">
      <c r="B169" s="343" t="s">
        <v>883</v>
      </c>
      <c r="C169" s="361">
        <v>41254</v>
      </c>
      <c r="D169" s="361">
        <v>38204</v>
      </c>
      <c r="E169" s="361">
        <v>38204</v>
      </c>
      <c r="F169" s="361">
        <v>38204</v>
      </c>
      <c r="G169" s="361">
        <v>35704</v>
      </c>
      <c r="H169" s="361">
        <v>35704</v>
      </c>
      <c r="I169" s="361">
        <v>35704</v>
      </c>
      <c r="J169" s="361">
        <v>35584</v>
      </c>
      <c r="K169" s="361">
        <v>35584</v>
      </c>
      <c r="L169" s="361">
        <v>35584</v>
      </c>
      <c r="M169" s="361">
        <v>35584</v>
      </c>
      <c r="N169" s="361">
        <v>35601</v>
      </c>
      <c r="O169" s="279">
        <f t="shared" si="6"/>
        <v>440915</v>
      </c>
    </row>
    <row r="170" spans="2:15" x14ac:dyDescent="0.2">
      <c r="B170" s="338" t="s">
        <v>884</v>
      </c>
      <c r="C170" s="361">
        <v>9510</v>
      </c>
      <c r="D170" s="361">
        <v>9429</v>
      </c>
      <c r="E170" s="361">
        <v>9258</v>
      </c>
      <c r="F170" s="361">
        <v>9188</v>
      </c>
      <c r="G170" s="361">
        <v>9260</v>
      </c>
      <c r="H170" s="361">
        <v>9258</v>
      </c>
      <c r="I170" s="361">
        <v>9136</v>
      </c>
      <c r="J170" s="361">
        <v>8867</v>
      </c>
      <c r="K170" s="361">
        <v>8570</v>
      </c>
      <c r="L170" s="361">
        <v>8457</v>
      </c>
      <c r="M170" s="361">
        <v>8504</v>
      </c>
      <c r="N170" s="361">
        <v>8244</v>
      </c>
      <c r="O170" s="279">
        <f t="shared" si="6"/>
        <v>107681</v>
      </c>
    </row>
    <row r="171" spans="2:15" x14ac:dyDescent="0.2">
      <c r="B171" s="338" t="s">
        <v>885</v>
      </c>
      <c r="C171" s="361">
        <v>127</v>
      </c>
      <c r="D171" s="361">
        <v>137</v>
      </c>
      <c r="E171" s="361">
        <v>132</v>
      </c>
      <c r="F171" s="361">
        <v>132</v>
      </c>
      <c r="G171" s="361">
        <v>132</v>
      </c>
      <c r="H171" s="361">
        <v>132</v>
      </c>
      <c r="I171" s="361">
        <v>132</v>
      </c>
      <c r="J171" s="361">
        <v>132</v>
      </c>
      <c r="K171" s="361">
        <v>132</v>
      </c>
      <c r="L171" s="361">
        <v>132</v>
      </c>
      <c r="M171" s="361">
        <v>132</v>
      </c>
      <c r="N171" s="361">
        <v>132</v>
      </c>
      <c r="O171" s="279">
        <f t="shared" si="6"/>
        <v>1584</v>
      </c>
    </row>
    <row r="172" spans="2:15" x14ac:dyDescent="0.2">
      <c r="B172" s="338" t="s">
        <v>886</v>
      </c>
      <c r="C172" s="361">
        <v>0</v>
      </c>
      <c r="D172" s="361">
        <v>0</v>
      </c>
      <c r="E172" s="361">
        <v>0</v>
      </c>
      <c r="F172" s="361">
        <v>0</v>
      </c>
      <c r="G172" s="361">
        <v>0</v>
      </c>
      <c r="H172" s="361">
        <v>0</v>
      </c>
      <c r="I172" s="361">
        <v>0</v>
      </c>
      <c r="J172" s="361">
        <v>0</v>
      </c>
      <c r="K172" s="361">
        <v>0</v>
      </c>
      <c r="L172" s="361">
        <v>0</v>
      </c>
      <c r="M172" s="361">
        <v>0</v>
      </c>
      <c r="N172" s="361">
        <v>0</v>
      </c>
      <c r="O172" s="279">
        <f t="shared" si="6"/>
        <v>0</v>
      </c>
    </row>
    <row r="173" spans="2:15" x14ac:dyDescent="0.2">
      <c r="B173" s="338" t="s">
        <v>887</v>
      </c>
      <c r="C173" s="361">
        <v>532</v>
      </c>
      <c r="D173" s="361">
        <v>532</v>
      </c>
      <c r="E173" s="361">
        <v>532</v>
      </c>
      <c r="F173" s="361">
        <v>532</v>
      </c>
      <c r="G173" s="361">
        <v>532</v>
      </c>
      <c r="H173" s="361">
        <v>532</v>
      </c>
      <c r="I173" s="361">
        <v>532</v>
      </c>
      <c r="J173" s="361">
        <v>532</v>
      </c>
      <c r="K173" s="361">
        <v>532</v>
      </c>
      <c r="L173" s="361">
        <v>532</v>
      </c>
      <c r="M173" s="361">
        <v>532</v>
      </c>
      <c r="N173" s="361">
        <v>532</v>
      </c>
      <c r="O173" s="279">
        <f t="shared" si="6"/>
        <v>6384</v>
      </c>
    </row>
    <row r="174" spans="2:15" x14ac:dyDescent="0.2">
      <c r="B174" s="338" t="s">
        <v>888</v>
      </c>
      <c r="C174" s="361">
        <v>0</v>
      </c>
      <c r="D174" s="361">
        <v>0</v>
      </c>
      <c r="E174" s="361">
        <v>0</v>
      </c>
      <c r="F174" s="361">
        <v>0</v>
      </c>
      <c r="G174" s="361">
        <v>0</v>
      </c>
      <c r="H174" s="361">
        <v>0</v>
      </c>
      <c r="I174" s="361">
        <v>0</v>
      </c>
      <c r="J174" s="361">
        <v>0</v>
      </c>
      <c r="K174" s="361">
        <v>0</v>
      </c>
      <c r="L174" s="361">
        <v>0</v>
      </c>
      <c r="M174" s="361">
        <v>0</v>
      </c>
      <c r="N174" s="361">
        <v>0</v>
      </c>
      <c r="O174" s="279">
        <f t="shared" si="6"/>
        <v>0</v>
      </c>
    </row>
    <row r="175" spans="2:15" x14ac:dyDescent="0.2">
      <c r="B175" s="343" t="s">
        <v>889</v>
      </c>
      <c r="C175" s="361">
        <v>2</v>
      </c>
      <c r="D175" s="361">
        <v>2</v>
      </c>
      <c r="E175" s="361">
        <v>2</v>
      </c>
      <c r="F175" s="361">
        <v>2</v>
      </c>
      <c r="G175" s="361">
        <v>2</v>
      </c>
      <c r="H175" s="361">
        <v>2</v>
      </c>
      <c r="I175" s="361">
        <v>2</v>
      </c>
      <c r="J175" s="361">
        <v>2</v>
      </c>
      <c r="K175" s="361">
        <v>2</v>
      </c>
      <c r="L175" s="361">
        <v>2</v>
      </c>
      <c r="M175" s="361">
        <v>2</v>
      </c>
      <c r="N175" s="361">
        <v>2</v>
      </c>
      <c r="O175" s="279">
        <f t="shared" si="6"/>
        <v>24</v>
      </c>
    </row>
    <row r="176" spans="2:15" x14ac:dyDescent="0.2">
      <c r="B176" s="343" t="s">
        <v>890</v>
      </c>
      <c r="C176" s="361">
        <v>37739</v>
      </c>
      <c r="D176" s="361">
        <v>37739</v>
      </c>
      <c r="E176" s="361">
        <v>37739</v>
      </c>
      <c r="F176" s="361">
        <v>37739</v>
      </c>
      <c r="G176" s="361">
        <v>37739</v>
      </c>
      <c r="H176" s="361">
        <v>37739</v>
      </c>
      <c r="I176" s="361">
        <v>37739</v>
      </c>
      <c r="J176" s="361">
        <v>37739</v>
      </c>
      <c r="K176" s="361">
        <v>37739</v>
      </c>
      <c r="L176" s="361">
        <v>37739</v>
      </c>
      <c r="M176" s="361">
        <v>37739</v>
      </c>
      <c r="N176" s="361">
        <v>37722</v>
      </c>
      <c r="O176" s="279">
        <f t="shared" si="6"/>
        <v>452851</v>
      </c>
    </row>
    <row r="177" spans="2:15" x14ac:dyDescent="0.2">
      <c r="B177" s="343">
        <v>99</v>
      </c>
      <c r="C177" s="361">
        <v>38483</v>
      </c>
      <c r="D177" s="361">
        <v>38483</v>
      </c>
      <c r="E177" s="361">
        <v>38483</v>
      </c>
      <c r="F177" s="361">
        <v>38483</v>
      </c>
      <c r="G177" s="361">
        <v>38483</v>
      </c>
      <c r="H177" s="361">
        <v>38483</v>
      </c>
      <c r="I177" s="361">
        <v>38483</v>
      </c>
      <c r="J177" s="361">
        <v>38483</v>
      </c>
      <c r="K177" s="361">
        <v>38483</v>
      </c>
      <c r="L177" s="361">
        <v>38483</v>
      </c>
      <c r="M177" s="361">
        <v>38483</v>
      </c>
      <c r="N177" s="361">
        <v>38483</v>
      </c>
      <c r="O177" s="279">
        <f t="shared" si="6"/>
        <v>461796</v>
      </c>
    </row>
    <row r="178" spans="2:15" x14ac:dyDescent="0.2">
      <c r="B178" s="343" t="s">
        <v>23</v>
      </c>
      <c r="C178" s="357">
        <f t="shared" ref="C178:K178" si="7">SUM(C162:C177)</f>
        <v>585396.33000000007</v>
      </c>
      <c r="D178" s="357">
        <f t="shared" si="7"/>
        <v>585521.33000000007</v>
      </c>
      <c r="E178" s="357">
        <f t="shared" si="7"/>
        <v>580796.33000000007</v>
      </c>
      <c r="F178" s="357">
        <f t="shared" si="7"/>
        <v>581357.35</v>
      </c>
      <c r="G178" s="357">
        <f t="shared" si="7"/>
        <v>578333.31999999995</v>
      </c>
      <c r="H178" s="357">
        <f t="shared" si="7"/>
        <v>582867.33000000007</v>
      </c>
      <c r="I178" s="357">
        <f t="shared" si="7"/>
        <v>587397.64</v>
      </c>
      <c r="J178" s="357">
        <f t="shared" si="7"/>
        <v>583485</v>
      </c>
      <c r="K178" s="357">
        <f t="shared" si="7"/>
        <v>583414</v>
      </c>
      <c r="L178" s="357">
        <f>SUM(L162:L177)</f>
        <v>575686</v>
      </c>
      <c r="M178" s="357">
        <f>SUM(M162:M177)</f>
        <v>574594</v>
      </c>
      <c r="N178" s="357">
        <f>SUM(N162:N177)</f>
        <v>576081</v>
      </c>
      <c r="O178" s="357">
        <f>SUM(O162:O177)</f>
        <v>6974929.6299999999</v>
      </c>
    </row>
    <row r="179" spans="2:15" x14ac:dyDescent="0.2">
      <c r="B179" s="343"/>
    </row>
    <row r="180" spans="2:15" x14ac:dyDescent="0.2">
      <c r="O180" s="279"/>
    </row>
    <row r="182" spans="2:15" x14ac:dyDescent="0.2">
      <c r="B182" s="363" t="s">
        <v>893</v>
      </c>
    </row>
    <row r="183" spans="2:15" x14ac:dyDescent="0.2">
      <c r="B183" s="32" t="s">
        <v>880</v>
      </c>
      <c r="C183" s="350">
        <v>3471.6600000000035</v>
      </c>
      <c r="D183" s="350">
        <v>0</v>
      </c>
      <c r="E183" s="350">
        <v>0</v>
      </c>
      <c r="F183" s="350">
        <v>0</v>
      </c>
      <c r="G183" s="350">
        <v>0</v>
      </c>
      <c r="H183" s="350">
        <v>1102.1300000000001</v>
      </c>
      <c r="I183" s="350">
        <v>0</v>
      </c>
      <c r="J183" s="350">
        <v>2939.99</v>
      </c>
      <c r="K183" s="350">
        <v>2856.66</v>
      </c>
      <c r="L183" s="350">
        <v>0</v>
      </c>
      <c r="M183" s="350">
        <v>0</v>
      </c>
      <c r="N183" s="350">
        <v>9865.4599999999991</v>
      </c>
      <c r="O183" s="364">
        <f t="shared" ref="O183:O193" si="8">SUM(C183:N183)</f>
        <v>20235.900000000001</v>
      </c>
    </row>
    <row r="184" spans="2:15" ht="13.5" customHeight="1" x14ac:dyDescent="0.2">
      <c r="B184" s="32" t="s">
        <v>881</v>
      </c>
      <c r="C184" s="350">
        <v>0</v>
      </c>
      <c r="D184" s="350">
        <v>16339.8</v>
      </c>
      <c r="E184" s="350">
        <v>0</v>
      </c>
      <c r="F184" s="350">
        <v>0</v>
      </c>
      <c r="G184" s="350">
        <v>0</v>
      </c>
      <c r="H184" s="350">
        <v>0</v>
      </c>
      <c r="I184" s="350">
        <v>0</v>
      </c>
      <c r="J184" s="350">
        <v>0</v>
      </c>
      <c r="K184" s="350">
        <v>0</v>
      </c>
      <c r="L184" s="350">
        <v>0</v>
      </c>
      <c r="M184" s="350">
        <v>0</v>
      </c>
      <c r="N184" s="350">
        <v>1052.69</v>
      </c>
      <c r="O184" s="364">
        <f t="shared" si="8"/>
        <v>17392.489999999998</v>
      </c>
    </row>
    <row r="185" spans="2:15" x14ac:dyDescent="0.2">
      <c r="B185" s="32" t="s">
        <v>882</v>
      </c>
      <c r="C185" s="350">
        <v>0</v>
      </c>
      <c r="D185" s="350">
        <v>0</v>
      </c>
      <c r="E185" s="350">
        <v>9926.75</v>
      </c>
      <c r="F185" s="350">
        <v>0</v>
      </c>
      <c r="G185" s="350">
        <v>0</v>
      </c>
      <c r="H185" s="350">
        <v>19921.75</v>
      </c>
      <c r="I185" s="350">
        <v>0</v>
      </c>
      <c r="J185" s="350">
        <v>0</v>
      </c>
      <c r="K185" s="350">
        <v>0</v>
      </c>
      <c r="L185" s="350">
        <v>0</v>
      </c>
      <c r="M185" s="350">
        <v>442.69</v>
      </c>
      <c r="N185" s="350">
        <v>0</v>
      </c>
      <c r="O185" s="364">
        <f t="shared" si="8"/>
        <v>30291.19</v>
      </c>
    </row>
    <row r="186" spans="2:15" x14ac:dyDescent="0.2">
      <c r="B186" s="32" t="s">
        <v>883</v>
      </c>
      <c r="C186" s="350">
        <v>0</v>
      </c>
      <c r="D186" s="350">
        <v>0</v>
      </c>
      <c r="E186" s="350">
        <v>4975.97</v>
      </c>
      <c r="F186" s="350">
        <v>204602.52</v>
      </c>
      <c r="G186" s="350">
        <v>132721.98000000001</v>
      </c>
      <c r="H186" s="350">
        <v>0</v>
      </c>
      <c r="I186" s="350">
        <v>9820.9500000000007</v>
      </c>
      <c r="J186" s="350">
        <v>0</v>
      </c>
      <c r="K186" s="350">
        <v>19527.16</v>
      </c>
      <c r="L186" s="350">
        <v>0</v>
      </c>
      <c r="M186" s="337">
        <v>11374.9</v>
      </c>
      <c r="N186" s="350">
        <v>0</v>
      </c>
      <c r="O186" s="364">
        <f t="shared" si="8"/>
        <v>383023.48</v>
      </c>
    </row>
    <row r="187" spans="2:15" x14ac:dyDescent="0.2">
      <c r="B187" s="32" t="s">
        <v>884</v>
      </c>
      <c r="C187" s="350">
        <v>0</v>
      </c>
      <c r="D187" s="350">
        <v>1587.1599999999999</v>
      </c>
      <c r="E187" s="350">
        <v>0</v>
      </c>
      <c r="F187" s="350">
        <v>0</v>
      </c>
      <c r="G187" s="350">
        <v>0</v>
      </c>
      <c r="H187" s="350">
        <v>0</v>
      </c>
      <c r="I187" s="350">
        <v>116.15</v>
      </c>
      <c r="J187" s="350">
        <v>1787.29</v>
      </c>
      <c r="K187" s="350">
        <v>23486.960000000003</v>
      </c>
      <c r="L187" s="350">
        <v>0</v>
      </c>
      <c r="M187" s="350">
        <v>0</v>
      </c>
      <c r="N187" s="350">
        <v>0</v>
      </c>
      <c r="O187" s="364">
        <f t="shared" si="8"/>
        <v>26977.56</v>
      </c>
    </row>
    <row r="188" spans="2:15" x14ac:dyDescent="0.2">
      <c r="B188" s="32" t="s">
        <v>885</v>
      </c>
      <c r="C188" s="350">
        <v>0</v>
      </c>
      <c r="D188" s="350">
        <v>0</v>
      </c>
      <c r="E188" s="350">
        <v>0</v>
      </c>
      <c r="F188" s="350">
        <v>0</v>
      </c>
      <c r="G188" s="350">
        <v>0</v>
      </c>
      <c r="H188" s="350">
        <v>0</v>
      </c>
      <c r="I188" s="350">
        <v>0</v>
      </c>
      <c r="J188" s="350">
        <v>0</v>
      </c>
      <c r="K188" s="350">
        <v>1255.01</v>
      </c>
      <c r="L188" s="350">
        <v>0</v>
      </c>
      <c r="M188" s="350">
        <v>0</v>
      </c>
      <c r="N188" s="350">
        <v>0</v>
      </c>
      <c r="O188" s="364">
        <f t="shared" si="8"/>
        <v>1255.01</v>
      </c>
    </row>
    <row r="189" spans="2:15" x14ac:dyDescent="0.2">
      <c r="B189" s="32" t="s">
        <v>886</v>
      </c>
      <c r="C189" s="350">
        <v>0</v>
      </c>
      <c r="D189" s="350">
        <v>0</v>
      </c>
      <c r="E189" s="350">
        <v>0</v>
      </c>
      <c r="F189" s="350">
        <v>0</v>
      </c>
      <c r="G189" s="350">
        <v>0</v>
      </c>
      <c r="H189" s="350">
        <v>0</v>
      </c>
      <c r="I189" s="350">
        <v>0</v>
      </c>
      <c r="J189" s="350">
        <v>0</v>
      </c>
      <c r="K189" s="350">
        <v>68.489999999999995</v>
      </c>
      <c r="L189" s="350">
        <v>0</v>
      </c>
      <c r="M189" s="350">
        <v>0</v>
      </c>
      <c r="N189" s="350">
        <v>0</v>
      </c>
      <c r="O189" s="364">
        <f t="shared" si="8"/>
        <v>68.489999999999995</v>
      </c>
    </row>
    <row r="190" spans="2:15" x14ac:dyDescent="0.2">
      <c r="B190" s="32" t="s">
        <v>887</v>
      </c>
      <c r="C190" s="350">
        <v>0</v>
      </c>
      <c r="D190" s="350">
        <v>0</v>
      </c>
      <c r="E190" s="350">
        <v>0</v>
      </c>
      <c r="F190" s="350">
        <v>0</v>
      </c>
      <c r="G190" s="350">
        <v>0</v>
      </c>
      <c r="H190" s="350">
        <v>0</v>
      </c>
      <c r="I190" s="350">
        <v>0</v>
      </c>
      <c r="J190" s="350">
        <v>0</v>
      </c>
      <c r="K190" s="350">
        <v>0</v>
      </c>
      <c r="L190" s="350">
        <v>12706.11</v>
      </c>
      <c r="M190" s="350">
        <v>0</v>
      </c>
      <c r="N190" s="350">
        <v>0</v>
      </c>
      <c r="O190" s="364">
        <f t="shared" si="8"/>
        <v>12706.11</v>
      </c>
    </row>
    <row r="191" spans="2:15" x14ac:dyDescent="0.2">
      <c r="B191" s="32" t="s">
        <v>888</v>
      </c>
      <c r="C191" s="350">
        <v>0</v>
      </c>
      <c r="D191" s="350">
        <v>70168.09</v>
      </c>
      <c r="E191" s="350">
        <v>0</v>
      </c>
      <c r="F191" s="350">
        <v>0</v>
      </c>
      <c r="G191" s="350">
        <v>0</v>
      </c>
      <c r="H191" s="350">
        <v>0</v>
      </c>
      <c r="I191" s="350">
        <v>0</v>
      </c>
      <c r="J191" s="337">
        <v>0</v>
      </c>
      <c r="K191" s="350">
        <v>0</v>
      </c>
      <c r="L191" s="350">
        <v>0</v>
      </c>
      <c r="M191" s="350">
        <v>0</v>
      </c>
      <c r="N191" s="350">
        <v>0</v>
      </c>
      <c r="O191" s="364">
        <f t="shared" si="8"/>
        <v>70168.09</v>
      </c>
    </row>
    <row r="192" spans="2:15" x14ac:dyDescent="0.2">
      <c r="B192" s="32" t="s">
        <v>889</v>
      </c>
      <c r="C192" s="350">
        <v>0</v>
      </c>
      <c r="D192" s="350">
        <v>0</v>
      </c>
      <c r="E192" s="350">
        <v>0</v>
      </c>
      <c r="F192" s="350">
        <v>0</v>
      </c>
      <c r="G192" s="350">
        <v>0</v>
      </c>
      <c r="H192" s="350">
        <v>0</v>
      </c>
      <c r="I192" s="350">
        <v>0</v>
      </c>
      <c r="J192" s="350">
        <v>0</v>
      </c>
      <c r="K192" s="350">
        <v>0</v>
      </c>
      <c r="L192" s="350">
        <v>0</v>
      </c>
      <c r="M192" s="350">
        <v>0</v>
      </c>
      <c r="N192" s="350">
        <v>0</v>
      </c>
      <c r="O192" s="364">
        <f t="shared" si="8"/>
        <v>0</v>
      </c>
    </row>
    <row r="193" spans="2:15" x14ac:dyDescent="0.2">
      <c r="B193" s="32" t="s">
        <v>890</v>
      </c>
      <c r="C193" s="350">
        <v>0</v>
      </c>
      <c r="D193" s="350">
        <v>0</v>
      </c>
      <c r="E193" s="350">
        <v>0</v>
      </c>
      <c r="F193" s="350">
        <v>0</v>
      </c>
      <c r="G193" s="350">
        <v>24448.23</v>
      </c>
      <c r="H193" s="350">
        <v>0</v>
      </c>
      <c r="I193" s="350">
        <v>30434.67</v>
      </c>
      <c r="J193" s="350">
        <v>0</v>
      </c>
      <c r="K193" s="350">
        <v>5142.2299999999996</v>
      </c>
      <c r="L193" s="350">
        <v>0</v>
      </c>
      <c r="M193" s="350">
        <v>6661.43</v>
      </c>
      <c r="N193" s="350">
        <v>0</v>
      </c>
      <c r="O193" s="364">
        <f t="shared" si="8"/>
        <v>66686.559999999998</v>
      </c>
    </row>
    <row r="194" spans="2:15" x14ac:dyDescent="0.2">
      <c r="B194" s="32" t="s">
        <v>23</v>
      </c>
      <c r="C194" s="365">
        <f t="shared" ref="C194:O194" si="9">SUM(C183:C193)</f>
        <v>3471.6600000000035</v>
      </c>
      <c r="D194" s="365">
        <f t="shared" si="9"/>
        <v>88095.049999999988</v>
      </c>
      <c r="E194" s="365">
        <f t="shared" si="9"/>
        <v>14902.720000000001</v>
      </c>
      <c r="F194" s="365">
        <f t="shared" si="9"/>
        <v>204602.52</v>
      </c>
      <c r="G194" s="365">
        <f t="shared" si="9"/>
        <v>157170.21000000002</v>
      </c>
      <c r="H194" s="365">
        <f t="shared" si="9"/>
        <v>21023.88</v>
      </c>
      <c r="I194" s="365">
        <f t="shared" si="9"/>
        <v>40371.769999999997</v>
      </c>
      <c r="J194" s="365">
        <f t="shared" si="9"/>
        <v>4727.28</v>
      </c>
      <c r="K194" s="365">
        <f t="shared" si="9"/>
        <v>52336.509999999995</v>
      </c>
      <c r="L194" s="365">
        <f t="shared" si="9"/>
        <v>12706.11</v>
      </c>
      <c r="M194" s="365">
        <f t="shared" si="9"/>
        <v>18479.02</v>
      </c>
      <c r="N194" s="365">
        <f t="shared" si="9"/>
        <v>10918.15</v>
      </c>
      <c r="O194" s="365">
        <f t="shared" si="9"/>
        <v>628804.87999999989</v>
      </c>
    </row>
    <row r="196" spans="2:15" x14ac:dyDescent="0.2">
      <c r="B196" s="32" t="s">
        <v>894</v>
      </c>
      <c r="C196" s="279"/>
      <c r="D196" s="279"/>
      <c r="E196" s="279"/>
      <c r="F196" s="279"/>
      <c r="G196" s="279"/>
      <c r="H196" s="279"/>
      <c r="I196" s="279"/>
      <c r="J196" s="279"/>
      <c r="K196" s="279"/>
      <c r="L196" s="279"/>
      <c r="M196" s="279"/>
      <c r="N196" s="279"/>
    </row>
  </sheetData>
  <pageMargins left="0.7" right="0.7" top="0.75" bottom="0.75" header="0.3" footer="0.3"/>
  <pageSetup orientation="portrait" r:id="rId1"/>
  <rowBreaks count="3" manualBreakCount="3">
    <brk id="59" max="16383" man="1"/>
    <brk id="126" max="16383" man="1"/>
    <brk id="181"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10"/>
  <sheetViews>
    <sheetView workbookViewId="0">
      <selection activeCell="C35" sqref="C35"/>
    </sheetView>
  </sheetViews>
  <sheetFormatPr defaultRowHeight="12.75" x14ac:dyDescent="0.2"/>
  <cols>
    <col min="1" max="1" width="6.28515625" style="336" bestFit="1" customWidth="1"/>
    <col min="2" max="2" width="18.85546875" style="32" customWidth="1"/>
    <col min="3" max="3" width="10.42578125" style="336" bestFit="1" customWidth="1"/>
    <col min="4" max="4" width="13.85546875" style="32" customWidth="1"/>
    <col min="5" max="6" width="13" style="32" bestFit="1" customWidth="1"/>
    <col min="7" max="7" width="13.7109375" style="32" customWidth="1"/>
    <col min="8" max="8" width="13.42578125" style="32" bestFit="1" customWidth="1"/>
    <col min="9" max="9" width="13" style="32" bestFit="1" customWidth="1"/>
    <col min="10" max="10" width="12.5703125" style="32" bestFit="1" customWidth="1"/>
    <col min="11" max="11" width="13.42578125" style="32" bestFit="1" customWidth="1"/>
    <col min="12" max="12" width="13.140625" style="32" bestFit="1" customWidth="1"/>
    <col min="13" max="13" width="13.5703125" style="32" bestFit="1" customWidth="1"/>
    <col min="14" max="16" width="13.28515625" style="32" customWidth="1"/>
    <col min="17" max="17" width="12.7109375" style="32" bestFit="1" customWidth="1"/>
    <col min="18" max="18" width="10.7109375" style="32" bestFit="1" customWidth="1"/>
    <col min="19" max="16384" width="9.140625" style="32"/>
  </cols>
  <sheetData>
    <row r="1" spans="1:17" x14ac:dyDescent="0.2">
      <c r="B1" s="276" t="s">
        <v>895</v>
      </c>
      <c r="C1" s="366"/>
      <c r="D1" s="366"/>
      <c r="E1" s="366"/>
      <c r="F1" s="366"/>
      <c r="G1" s="366"/>
      <c r="H1" s="366"/>
      <c r="I1" s="366"/>
      <c r="J1" s="366"/>
      <c r="K1" s="366"/>
      <c r="L1" s="366"/>
      <c r="M1" s="366"/>
      <c r="N1" s="366"/>
      <c r="O1" s="366"/>
      <c r="P1" s="366"/>
    </row>
    <row r="2" spans="1:17" x14ac:dyDescent="0.2">
      <c r="B2" s="276" t="str">
        <f>'JKP-3.1c - Revenue'!B4</f>
        <v>Test Year Ended December 31, 2010</v>
      </c>
      <c r="C2" s="182"/>
      <c r="D2" s="276"/>
      <c r="E2" s="276"/>
      <c r="F2" s="276"/>
      <c r="G2" s="276"/>
      <c r="H2" s="276"/>
      <c r="I2" s="276"/>
      <c r="J2" s="276"/>
      <c r="K2" s="276"/>
      <c r="L2" s="276"/>
      <c r="M2" s="276"/>
      <c r="N2" s="276"/>
      <c r="O2" s="276"/>
      <c r="P2" s="276"/>
    </row>
    <row r="3" spans="1:17" x14ac:dyDescent="0.2">
      <c r="C3" s="182"/>
      <c r="D3" s="276"/>
      <c r="Q3" s="276"/>
    </row>
    <row r="4" spans="1:17" s="371" customFormat="1" ht="25.5" x14ac:dyDescent="0.2">
      <c r="A4" s="367"/>
      <c r="B4" s="368" t="s">
        <v>3</v>
      </c>
      <c r="C4" s="369" t="s">
        <v>896</v>
      </c>
      <c r="D4" s="368" t="s">
        <v>897</v>
      </c>
      <c r="E4" s="370">
        <f>'JKP-3.1c - Data'!C4</f>
        <v>40179</v>
      </c>
      <c r="F4" s="370">
        <f>'JKP-3.1c - Data'!D4</f>
        <v>40210</v>
      </c>
      <c r="G4" s="370">
        <f>'JKP-3.1c - Data'!E4</f>
        <v>40238</v>
      </c>
      <c r="H4" s="370">
        <f>'JKP-3.1c - Data'!F4</f>
        <v>40269</v>
      </c>
      <c r="I4" s="370">
        <f>'JKP-3.1c - Data'!G4</f>
        <v>40299</v>
      </c>
      <c r="J4" s="370">
        <f>'JKP-3.1c - Data'!H4</f>
        <v>40330</v>
      </c>
      <c r="K4" s="370">
        <f>'JKP-3.1c - Data'!I4</f>
        <v>40360</v>
      </c>
      <c r="L4" s="370">
        <f>'JKP-3.1c - Data'!J4</f>
        <v>40391</v>
      </c>
      <c r="M4" s="370">
        <f>'JKP-3.1c - Data'!K4</f>
        <v>40422</v>
      </c>
      <c r="N4" s="370">
        <f>'JKP-3.1c - Data'!L4</f>
        <v>40452</v>
      </c>
      <c r="O4" s="370">
        <f>'JKP-3.1c - Data'!M4</f>
        <v>40483</v>
      </c>
      <c r="P4" s="370">
        <f>'JKP-3.1c - Data'!N4</f>
        <v>40513</v>
      </c>
      <c r="Q4" s="333" t="s">
        <v>23</v>
      </c>
    </row>
    <row r="5" spans="1:17" x14ac:dyDescent="0.2">
      <c r="A5" s="336" t="str">
        <f t="shared" ref="A5:A47" si="0">LEFT(C5,2)</f>
        <v>11</v>
      </c>
      <c r="B5" s="372" t="s">
        <v>898</v>
      </c>
      <c r="C5" s="373" t="s">
        <v>899</v>
      </c>
      <c r="D5" s="372" t="s">
        <v>900</v>
      </c>
      <c r="E5" s="279"/>
      <c r="F5" s="279"/>
      <c r="G5" s="279"/>
      <c r="H5" s="279"/>
      <c r="I5" s="279"/>
      <c r="J5" s="279"/>
      <c r="K5" s="279"/>
      <c r="L5" s="279"/>
      <c r="M5" s="374"/>
      <c r="N5" s="374"/>
      <c r="O5" s="374"/>
      <c r="P5" s="375"/>
      <c r="Q5" s="279">
        <f t="shared" ref="Q5:Q47" si="1">SUM(E5:P5)</f>
        <v>0</v>
      </c>
    </row>
    <row r="6" spans="1:17" x14ac:dyDescent="0.2">
      <c r="A6" s="336" t="str">
        <f t="shared" si="0"/>
        <v>31</v>
      </c>
      <c r="B6" s="372" t="s">
        <v>898</v>
      </c>
      <c r="C6" s="373" t="s">
        <v>901</v>
      </c>
      <c r="D6" s="372" t="s">
        <v>900</v>
      </c>
      <c r="E6" s="376">
        <v>22415315</v>
      </c>
      <c r="F6" s="376">
        <v>18302511</v>
      </c>
      <c r="G6" s="376">
        <v>18614903</v>
      </c>
      <c r="H6" s="376">
        <v>15068576</v>
      </c>
      <c r="I6" s="376">
        <v>11663322</v>
      </c>
      <c r="J6" s="376">
        <v>8698184</v>
      </c>
      <c r="K6" s="376">
        <v>6969724</v>
      </c>
      <c r="L6" s="376">
        <v>6824962</v>
      </c>
      <c r="M6" s="376">
        <v>7680782</v>
      </c>
      <c r="N6" s="376">
        <v>12298874</v>
      </c>
      <c r="O6" s="376">
        <v>20939589</v>
      </c>
      <c r="P6" s="376">
        <v>26578677</v>
      </c>
      <c r="Q6" s="279">
        <f t="shared" si="1"/>
        <v>176055419</v>
      </c>
    </row>
    <row r="7" spans="1:17" x14ac:dyDescent="0.2">
      <c r="A7" s="336" t="str">
        <f t="shared" si="0"/>
        <v>31</v>
      </c>
      <c r="B7" s="372" t="s">
        <v>898</v>
      </c>
      <c r="C7" s="372" t="s">
        <v>902</v>
      </c>
      <c r="D7" s="372" t="s">
        <v>900</v>
      </c>
      <c r="E7" s="376">
        <v>1613</v>
      </c>
      <c r="F7" s="376">
        <v>1567</v>
      </c>
      <c r="G7" s="376">
        <v>1488</v>
      </c>
      <c r="H7" s="376">
        <v>984</v>
      </c>
      <c r="I7" s="376">
        <v>503</v>
      </c>
      <c r="J7" s="376">
        <v>241</v>
      </c>
      <c r="K7" s="376">
        <v>153</v>
      </c>
      <c r="L7" s="376">
        <v>137</v>
      </c>
      <c r="M7" s="376">
        <v>186</v>
      </c>
      <c r="N7" s="376">
        <v>561</v>
      </c>
      <c r="O7" s="376">
        <v>1362</v>
      </c>
      <c r="P7" s="376">
        <v>2438</v>
      </c>
      <c r="Q7" s="279">
        <f t="shared" si="1"/>
        <v>11233</v>
      </c>
    </row>
    <row r="8" spans="1:17" x14ac:dyDescent="0.2">
      <c r="A8" s="336" t="str">
        <f t="shared" si="0"/>
        <v>31</v>
      </c>
      <c r="B8" s="372" t="s">
        <v>898</v>
      </c>
      <c r="C8" s="373" t="s">
        <v>903</v>
      </c>
      <c r="D8" s="372" t="s">
        <v>900</v>
      </c>
      <c r="E8" s="376">
        <v>34684</v>
      </c>
      <c r="F8" s="376">
        <v>25777</v>
      </c>
      <c r="G8" s="376">
        <v>29113</v>
      </c>
      <c r="H8" s="376">
        <v>24271</v>
      </c>
      <c r="I8" s="376">
        <v>18703</v>
      </c>
      <c r="J8" s="376">
        <v>16859</v>
      </c>
      <c r="K8" s="376">
        <v>16389</v>
      </c>
      <c r="L8" s="376">
        <v>16614</v>
      </c>
      <c r="M8" s="376">
        <v>18127</v>
      </c>
      <c r="N8" s="376">
        <v>21861</v>
      </c>
      <c r="O8" s="376">
        <v>33497</v>
      </c>
      <c r="P8" s="376">
        <v>43733</v>
      </c>
      <c r="Q8" s="279">
        <f t="shared" si="1"/>
        <v>299628</v>
      </c>
    </row>
    <row r="9" spans="1:17" x14ac:dyDescent="0.2">
      <c r="A9" s="336" t="str">
        <f t="shared" si="0"/>
        <v>31</v>
      </c>
      <c r="B9" s="372" t="s">
        <v>898</v>
      </c>
      <c r="C9" s="373" t="s">
        <v>904</v>
      </c>
      <c r="D9" s="372" t="s">
        <v>900</v>
      </c>
      <c r="E9" s="376">
        <v>55356</v>
      </c>
      <c r="F9" s="376">
        <v>51573</v>
      </c>
      <c r="G9" s="376">
        <v>55020</v>
      </c>
      <c r="H9" s="376">
        <v>44270</v>
      </c>
      <c r="I9" s="376">
        <v>34551</v>
      </c>
      <c r="J9" s="376">
        <v>23625</v>
      </c>
      <c r="K9" s="376">
        <v>12604</v>
      </c>
      <c r="L9" s="376">
        <v>8925</v>
      </c>
      <c r="M9" s="376">
        <v>10890</v>
      </c>
      <c r="N9" s="376">
        <v>22890</v>
      </c>
      <c r="O9" s="376">
        <v>52357</v>
      </c>
      <c r="P9" s="376">
        <v>72028</v>
      </c>
      <c r="Q9" s="279">
        <f t="shared" si="1"/>
        <v>444089</v>
      </c>
    </row>
    <row r="10" spans="1:17" x14ac:dyDescent="0.2">
      <c r="A10" s="336" t="str">
        <f t="shared" si="0"/>
        <v>31</v>
      </c>
      <c r="B10" s="372" t="s">
        <v>898</v>
      </c>
      <c r="C10" s="372" t="s">
        <v>905</v>
      </c>
      <c r="D10" s="372" t="s">
        <v>900</v>
      </c>
      <c r="E10" s="376">
        <v>23084</v>
      </c>
      <c r="F10" s="376">
        <v>18928</v>
      </c>
      <c r="G10" s="376">
        <v>22085</v>
      </c>
      <c r="H10" s="376">
        <v>21441</v>
      </c>
      <c r="I10" s="376">
        <v>22069</v>
      </c>
      <c r="J10" s="376">
        <v>20208</v>
      </c>
      <c r="K10" s="376">
        <v>18629</v>
      </c>
      <c r="L10" s="376">
        <v>19441</v>
      </c>
      <c r="M10" s="376">
        <v>20934</v>
      </c>
      <c r="N10" s="376">
        <v>25165</v>
      </c>
      <c r="O10" s="376">
        <v>30224</v>
      </c>
      <c r="P10" s="376">
        <v>34221</v>
      </c>
      <c r="Q10" s="279">
        <f t="shared" si="1"/>
        <v>276429</v>
      </c>
    </row>
    <row r="11" spans="1:17" x14ac:dyDescent="0.2">
      <c r="A11" s="336" t="str">
        <f t="shared" si="0"/>
        <v>41</v>
      </c>
      <c r="B11" s="372" t="s">
        <v>898</v>
      </c>
      <c r="C11" s="372" t="s">
        <v>906</v>
      </c>
      <c r="D11" s="372" t="s">
        <v>900</v>
      </c>
      <c r="E11" s="376">
        <v>23552</v>
      </c>
      <c r="F11" s="376">
        <v>13642</v>
      </c>
      <c r="G11" s="376">
        <v>13077</v>
      </c>
      <c r="H11" s="376">
        <v>13279</v>
      </c>
      <c r="I11" s="376">
        <v>7561</v>
      </c>
      <c r="J11" s="376">
        <v>4802</v>
      </c>
      <c r="K11" s="376">
        <v>2081</v>
      </c>
      <c r="L11" s="376">
        <v>2653</v>
      </c>
      <c r="M11" s="376">
        <v>4259</v>
      </c>
      <c r="N11" s="376">
        <v>9193</v>
      </c>
      <c r="O11" s="376">
        <v>17831</v>
      </c>
      <c r="P11" s="376">
        <v>24467</v>
      </c>
      <c r="Q11" s="279">
        <f t="shared" si="1"/>
        <v>136397</v>
      </c>
    </row>
    <row r="12" spans="1:17" x14ac:dyDescent="0.2">
      <c r="A12" s="336" t="str">
        <f t="shared" si="0"/>
        <v>41</v>
      </c>
      <c r="B12" s="372" t="s">
        <v>898</v>
      </c>
      <c r="C12" s="373" t="s">
        <v>907</v>
      </c>
      <c r="D12" s="372" t="s">
        <v>900</v>
      </c>
      <c r="E12" s="376">
        <v>6655402</v>
      </c>
      <c r="F12" s="376">
        <v>5742554</v>
      </c>
      <c r="G12" s="376">
        <v>6083269</v>
      </c>
      <c r="H12" s="376">
        <v>5235465</v>
      </c>
      <c r="I12" s="376">
        <v>4549227</v>
      </c>
      <c r="J12" s="376">
        <v>3564689</v>
      </c>
      <c r="K12" s="376">
        <v>2923216</v>
      </c>
      <c r="L12" s="376">
        <v>2856768</v>
      </c>
      <c r="M12" s="376">
        <v>3141676</v>
      </c>
      <c r="N12" s="376">
        <v>4396635</v>
      </c>
      <c r="O12" s="376">
        <v>6069002</v>
      </c>
      <c r="P12" s="376">
        <v>6974050</v>
      </c>
      <c r="Q12" s="279">
        <f t="shared" si="1"/>
        <v>58191953</v>
      </c>
    </row>
    <row r="13" spans="1:17" x14ac:dyDescent="0.2">
      <c r="A13" s="336" t="str">
        <f>LEFT(C13,3)</f>
        <v>41T</v>
      </c>
      <c r="B13" s="372" t="s">
        <v>898</v>
      </c>
      <c r="C13" s="372" t="s">
        <v>908</v>
      </c>
      <c r="D13" s="372" t="s">
        <v>900</v>
      </c>
      <c r="E13" s="376">
        <v>100691</v>
      </c>
      <c r="F13" s="376">
        <v>97206</v>
      </c>
      <c r="G13" s="376">
        <v>117660</v>
      </c>
      <c r="H13" s="376">
        <v>114662</v>
      </c>
      <c r="I13" s="376">
        <v>102961</v>
      </c>
      <c r="J13" s="376">
        <v>89621</v>
      </c>
      <c r="K13" s="376">
        <v>96388</v>
      </c>
      <c r="L13" s="376">
        <v>90663</v>
      </c>
      <c r="M13" s="376">
        <v>131647</v>
      </c>
      <c r="N13" s="376">
        <v>137275</v>
      </c>
      <c r="O13" s="376">
        <v>228305</v>
      </c>
      <c r="P13" s="376">
        <v>318484</v>
      </c>
      <c r="Q13" s="279">
        <f t="shared" si="1"/>
        <v>1625563</v>
      </c>
    </row>
    <row r="14" spans="1:17" x14ac:dyDescent="0.2">
      <c r="A14" s="336" t="str">
        <f t="shared" si="0"/>
        <v>50</v>
      </c>
      <c r="B14" s="372" t="s">
        <v>898</v>
      </c>
      <c r="C14" s="373" t="s">
        <v>909</v>
      </c>
      <c r="D14" s="372" t="s">
        <v>900</v>
      </c>
      <c r="E14" s="376"/>
      <c r="F14" s="376"/>
      <c r="G14" s="376"/>
      <c r="H14" s="376"/>
      <c r="I14" s="376"/>
      <c r="J14" s="376"/>
      <c r="K14" s="376"/>
      <c r="L14" s="376"/>
      <c r="M14" s="376"/>
      <c r="N14" s="376"/>
      <c r="O14" s="376"/>
      <c r="P14" s="376"/>
      <c r="Q14" s="279">
        <f t="shared" si="1"/>
        <v>0</v>
      </c>
    </row>
    <row r="15" spans="1:17" x14ac:dyDescent="0.2">
      <c r="A15" s="336" t="str">
        <f t="shared" si="0"/>
        <v>61</v>
      </c>
      <c r="B15" s="372" t="s">
        <v>898</v>
      </c>
      <c r="C15" s="373" t="s">
        <v>870</v>
      </c>
      <c r="D15" s="372" t="s">
        <v>900</v>
      </c>
      <c r="E15" s="376"/>
      <c r="F15" s="376"/>
      <c r="G15" s="376"/>
      <c r="H15" s="376"/>
      <c r="I15" s="376"/>
      <c r="J15" s="376"/>
      <c r="K15" s="376"/>
      <c r="L15" s="376"/>
      <c r="M15" s="376"/>
      <c r="N15" s="376"/>
      <c r="O15" s="376"/>
      <c r="P15" s="376"/>
      <c r="Q15" s="279">
        <f t="shared" si="1"/>
        <v>0</v>
      </c>
    </row>
    <row r="16" spans="1:17" x14ac:dyDescent="0.2">
      <c r="A16" s="336" t="str">
        <f t="shared" si="0"/>
        <v>85</v>
      </c>
      <c r="B16" s="372" t="s">
        <v>898</v>
      </c>
      <c r="C16" s="372" t="s">
        <v>910</v>
      </c>
      <c r="D16" s="372" t="s">
        <v>900</v>
      </c>
      <c r="E16" s="376">
        <v>1540528</v>
      </c>
      <c r="F16" s="376">
        <v>1365910</v>
      </c>
      <c r="G16" s="376">
        <v>1543042</v>
      </c>
      <c r="H16" s="376">
        <v>1351647</v>
      </c>
      <c r="I16" s="376">
        <v>1142807</v>
      </c>
      <c r="J16" s="376">
        <v>861289</v>
      </c>
      <c r="K16" s="376">
        <v>719459</v>
      </c>
      <c r="L16" s="376">
        <v>682351</v>
      </c>
      <c r="M16" s="376">
        <v>737916</v>
      </c>
      <c r="N16" s="376">
        <v>1088491</v>
      </c>
      <c r="O16" s="376">
        <v>1469983</v>
      </c>
      <c r="P16" s="376">
        <v>1567374</v>
      </c>
      <c r="Q16" s="279">
        <f t="shared" si="1"/>
        <v>14070797</v>
      </c>
    </row>
    <row r="17" spans="1:17" x14ac:dyDescent="0.2">
      <c r="A17" s="336" t="str">
        <f>LEFT(C17,3)</f>
        <v>85T</v>
      </c>
      <c r="B17" s="372" t="s">
        <v>898</v>
      </c>
      <c r="C17" s="372" t="s">
        <v>741</v>
      </c>
      <c r="D17" s="372" t="s">
        <v>900</v>
      </c>
      <c r="E17" s="376">
        <v>2122993</v>
      </c>
      <c r="F17" s="376">
        <v>1912161</v>
      </c>
      <c r="G17" s="376">
        <v>2151429</v>
      </c>
      <c r="H17" s="376">
        <v>1981454</v>
      </c>
      <c r="I17" s="376">
        <v>1886419</v>
      </c>
      <c r="J17" s="376">
        <v>1770605</v>
      </c>
      <c r="K17" s="376">
        <v>1664441</v>
      </c>
      <c r="L17" s="376">
        <v>1721220</v>
      </c>
      <c r="M17" s="376">
        <v>1702205</v>
      </c>
      <c r="N17" s="376">
        <v>1940953</v>
      </c>
      <c r="O17" s="376">
        <v>2090527</v>
      </c>
      <c r="P17" s="376">
        <v>2197380</v>
      </c>
      <c r="Q17" s="279">
        <f t="shared" si="1"/>
        <v>23141787</v>
      </c>
    </row>
    <row r="18" spans="1:17" x14ac:dyDescent="0.2">
      <c r="A18" s="336" t="str">
        <f t="shared" si="0"/>
        <v>86</v>
      </c>
      <c r="B18" s="372" t="s">
        <v>898</v>
      </c>
      <c r="C18" s="373" t="s">
        <v>911</v>
      </c>
      <c r="D18" s="372" t="s">
        <v>900</v>
      </c>
      <c r="E18" s="376">
        <v>1663779</v>
      </c>
      <c r="F18" s="376">
        <v>1409469</v>
      </c>
      <c r="G18" s="376">
        <v>1462011</v>
      </c>
      <c r="H18" s="376">
        <v>1219957</v>
      </c>
      <c r="I18" s="376">
        <v>979898</v>
      </c>
      <c r="J18" s="376">
        <v>626681</v>
      </c>
      <c r="K18" s="376">
        <v>362839</v>
      </c>
      <c r="L18" s="376">
        <v>338531</v>
      </c>
      <c r="M18" s="376">
        <v>494396</v>
      </c>
      <c r="N18" s="376">
        <v>927504</v>
      </c>
      <c r="O18" s="376">
        <v>1494947</v>
      </c>
      <c r="P18" s="376">
        <v>1707029</v>
      </c>
      <c r="Q18" s="279">
        <f t="shared" si="1"/>
        <v>12687041</v>
      </c>
    </row>
    <row r="19" spans="1:17" x14ac:dyDescent="0.2">
      <c r="A19" s="336" t="str">
        <f t="shared" si="0"/>
        <v>87</v>
      </c>
      <c r="B19" s="372" t="s">
        <v>898</v>
      </c>
      <c r="C19" s="372" t="s">
        <v>912</v>
      </c>
      <c r="D19" s="372" t="s">
        <v>900</v>
      </c>
      <c r="E19" s="376">
        <v>2992144</v>
      </c>
      <c r="F19" s="376">
        <v>2636531</v>
      </c>
      <c r="G19" s="376">
        <v>2769578</v>
      </c>
      <c r="H19" s="376">
        <v>2479235</v>
      </c>
      <c r="I19" s="376">
        <v>2256353</v>
      </c>
      <c r="J19" s="376">
        <v>1872603</v>
      </c>
      <c r="K19" s="376">
        <v>1565592</v>
      </c>
      <c r="L19" s="376">
        <v>1423850</v>
      </c>
      <c r="M19" s="376">
        <v>1529532</v>
      </c>
      <c r="N19" s="376">
        <v>2142717</v>
      </c>
      <c r="O19" s="376">
        <v>2807516</v>
      </c>
      <c r="P19" s="376">
        <v>3255881</v>
      </c>
      <c r="Q19" s="279">
        <f t="shared" si="1"/>
        <v>27731532</v>
      </c>
    </row>
    <row r="20" spans="1:17" x14ac:dyDescent="0.2">
      <c r="A20" s="336" t="str">
        <f>LEFT(C20,3)</f>
        <v>87T</v>
      </c>
      <c r="B20" s="372" t="s">
        <v>898</v>
      </c>
      <c r="C20" s="372" t="s">
        <v>754</v>
      </c>
      <c r="D20" s="372" t="s">
        <v>900</v>
      </c>
      <c r="E20" s="376">
        <v>1937952</v>
      </c>
      <c r="F20" s="376">
        <v>1707812</v>
      </c>
      <c r="G20" s="376">
        <v>1821369</v>
      </c>
      <c r="H20" s="376">
        <v>1678807</v>
      </c>
      <c r="I20" s="376">
        <v>1544678</v>
      </c>
      <c r="J20" s="376">
        <v>1294429</v>
      </c>
      <c r="K20" s="376">
        <v>1196692</v>
      </c>
      <c r="L20" s="376">
        <v>1164811</v>
      </c>
      <c r="M20" s="376">
        <v>1237757</v>
      </c>
      <c r="N20" s="376">
        <v>1487119</v>
      </c>
      <c r="O20" s="376">
        <v>1981257</v>
      </c>
      <c r="P20" s="376">
        <v>1990898</v>
      </c>
      <c r="Q20" s="279">
        <f t="shared" si="1"/>
        <v>19043581</v>
      </c>
    </row>
    <row r="21" spans="1:17" x14ac:dyDescent="0.2">
      <c r="A21" s="336" t="str">
        <f t="shared" si="0"/>
        <v/>
      </c>
      <c r="C21" s="377"/>
      <c r="E21" s="378"/>
      <c r="F21" s="378"/>
      <c r="G21" s="378"/>
      <c r="H21" s="378"/>
      <c r="I21" s="378"/>
      <c r="J21" s="378"/>
      <c r="K21" s="378"/>
      <c r="L21" s="378"/>
      <c r="M21" s="378"/>
      <c r="N21" s="378"/>
      <c r="O21" s="378"/>
      <c r="P21" s="378"/>
      <c r="Q21" s="279"/>
    </row>
    <row r="22" spans="1:17" x14ac:dyDescent="0.2">
      <c r="A22" s="336" t="str">
        <f t="shared" si="0"/>
        <v>11</v>
      </c>
      <c r="B22" s="372" t="s">
        <v>913</v>
      </c>
      <c r="C22" s="373" t="s">
        <v>914</v>
      </c>
      <c r="D22" s="372" t="s">
        <v>900</v>
      </c>
      <c r="E22" s="179"/>
      <c r="F22" s="179"/>
      <c r="G22" s="179"/>
      <c r="H22" s="179"/>
      <c r="I22" s="179"/>
      <c r="J22" s="179"/>
      <c r="K22" s="179"/>
      <c r="L22" s="179"/>
      <c r="M22" s="179"/>
      <c r="N22" s="179"/>
      <c r="O22" s="179"/>
      <c r="P22" s="179"/>
      <c r="Q22" s="279">
        <f t="shared" si="1"/>
        <v>0</v>
      </c>
    </row>
    <row r="23" spans="1:17" x14ac:dyDescent="0.2">
      <c r="A23" s="336" t="str">
        <f t="shared" si="0"/>
        <v>31</v>
      </c>
      <c r="B23" s="372" t="s">
        <v>913</v>
      </c>
      <c r="C23" s="373" t="s">
        <v>915</v>
      </c>
      <c r="D23" s="372" t="s">
        <v>900</v>
      </c>
      <c r="E23" s="376">
        <v>1854191</v>
      </c>
      <c r="F23" s="376">
        <v>1524037</v>
      </c>
      <c r="G23" s="376">
        <v>1483426</v>
      </c>
      <c r="H23" s="376">
        <v>1165731</v>
      </c>
      <c r="I23" s="376">
        <v>829356</v>
      </c>
      <c r="J23" s="376">
        <v>572004</v>
      </c>
      <c r="K23" s="376">
        <v>457633</v>
      </c>
      <c r="L23" s="376">
        <v>450461</v>
      </c>
      <c r="M23" s="376">
        <v>516298</v>
      </c>
      <c r="N23" s="376">
        <v>872580</v>
      </c>
      <c r="O23" s="376">
        <v>1563847</v>
      </c>
      <c r="P23" s="376">
        <v>2053388</v>
      </c>
      <c r="Q23" s="279">
        <f t="shared" si="1"/>
        <v>13342952</v>
      </c>
    </row>
    <row r="24" spans="1:17" x14ac:dyDescent="0.2">
      <c r="A24" s="336" t="str">
        <f t="shared" si="0"/>
        <v>31</v>
      </c>
      <c r="B24" s="372" t="s">
        <v>913</v>
      </c>
      <c r="C24" s="373" t="s">
        <v>916</v>
      </c>
      <c r="D24" s="372" t="s">
        <v>900</v>
      </c>
      <c r="E24" s="376">
        <v>6271</v>
      </c>
      <c r="F24" s="376">
        <v>5087</v>
      </c>
      <c r="G24" s="376">
        <v>4199</v>
      </c>
      <c r="H24" s="376">
        <v>3196</v>
      </c>
      <c r="I24" s="376">
        <v>2127</v>
      </c>
      <c r="J24" s="376">
        <v>721</v>
      </c>
      <c r="K24" s="376">
        <v>0</v>
      </c>
      <c r="L24" s="376">
        <v>0</v>
      </c>
      <c r="M24" s="376">
        <v>0</v>
      </c>
      <c r="N24" s="376">
        <v>2832</v>
      </c>
      <c r="O24" s="376">
        <v>4514</v>
      </c>
      <c r="P24" s="376">
        <v>6615</v>
      </c>
      <c r="Q24" s="279">
        <f t="shared" si="1"/>
        <v>35562</v>
      </c>
    </row>
    <row r="25" spans="1:17" x14ac:dyDescent="0.2">
      <c r="A25" s="336" t="str">
        <f t="shared" si="0"/>
        <v>31</v>
      </c>
      <c r="B25" s="372" t="s">
        <v>913</v>
      </c>
      <c r="C25" s="372" t="s">
        <v>917</v>
      </c>
      <c r="D25" s="372" t="s">
        <v>900</v>
      </c>
      <c r="E25" s="376">
        <v>2418</v>
      </c>
      <c r="F25" s="376">
        <v>1775</v>
      </c>
      <c r="G25" s="376">
        <v>1304</v>
      </c>
      <c r="H25" s="376">
        <v>783</v>
      </c>
      <c r="I25" s="376">
        <v>97</v>
      </c>
      <c r="J25" s="376">
        <v>8</v>
      </c>
      <c r="K25" s="376">
        <v>0</v>
      </c>
      <c r="L25" s="376">
        <v>0</v>
      </c>
      <c r="M25" s="376">
        <v>3</v>
      </c>
      <c r="N25" s="376">
        <v>259</v>
      </c>
      <c r="O25" s="376">
        <v>2293</v>
      </c>
      <c r="P25" s="376">
        <v>5918</v>
      </c>
      <c r="Q25" s="279">
        <f t="shared" si="1"/>
        <v>14858</v>
      </c>
    </row>
    <row r="26" spans="1:17" x14ac:dyDescent="0.2">
      <c r="A26" s="336" t="str">
        <f t="shared" si="0"/>
        <v>41</v>
      </c>
      <c r="B26" s="372" t="s">
        <v>913</v>
      </c>
      <c r="C26" s="373" t="s">
        <v>918</v>
      </c>
      <c r="D26" s="372" t="s">
        <v>900</v>
      </c>
      <c r="E26" s="376">
        <v>1325101</v>
      </c>
      <c r="F26" s="376">
        <v>1224918</v>
      </c>
      <c r="G26" s="376">
        <v>1400426</v>
      </c>
      <c r="H26" s="376">
        <v>1346735</v>
      </c>
      <c r="I26" s="376">
        <v>1340123</v>
      </c>
      <c r="J26" s="376">
        <v>1198669</v>
      </c>
      <c r="K26" s="376">
        <v>1166838</v>
      </c>
      <c r="L26" s="376">
        <v>1217574</v>
      </c>
      <c r="M26" s="376">
        <v>1197533</v>
      </c>
      <c r="N26" s="376">
        <v>1340154</v>
      </c>
      <c r="O26" s="376">
        <v>1386876</v>
      </c>
      <c r="P26" s="376">
        <v>1384284</v>
      </c>
      <c r="Q26" s="279">
        <f t="shared" si="1"/>
        <v>15529231</v>
      </c>
    </row>
    <row r="27" spans="1:17" x14ac:dyDescent="0.2">
      <c r="A27" s="336" t="str">
        <f>LEFT(C27,3)</f>
        <v>41T</v>
      </c>
      <c r="B27" s="372" t="s">
        <v>913</v>
      </c>
      <c r="C27" s="372" t="s">
        <v>919</v>
      </c>
      <c r="D27" s="372" t="s">
        <v>900</v>
      </c>
      <c r="E27" s="376">
        <v>309029</v>
      </c>
      <c r="F27" s="376">
        <v>288055</v>
      </c>
      <c r="G27" s="376">
        <v>328103</v>
      </c>
      <c r="H27" s="376">
        <v>311349</v>
      </c>
      <c r="I27" s="376">
        <v>287974</v>
      </c>
      <c r="J27" s="376">
        <v>309899</v>
      </c>
      <c r="K27" s="376">
        <v>405719</v>
      </c>
      <c r="L27" s="376">
        <v>414751</v>
      </c>
      <c r="M27" s="376">
        <v>393132</v>
      </c>
      <c r="N27" s="376">
        <v>429271</v>
      </c>
      <c r="O27" s="376">
        <v>479248</v>
      </c>
      <c r="P27" s="376">
        <v>494758</v>
      </c>
      <c r="Q27" s="279">
        <f t="shared" si="1"/>
        <v>4451288</v>
      </c>
    </row>
    <row r="28" spans="1:17" x14ac:dyDescent="0.2">
      <c r="A28" s="336" t="str">
        <f t="shared" si="0"/>
        <v>61</v>
      </c>
      <c r="B28" s="372" t="s">
        <v>913</v>
      </c>
      <c r="C28" s="373" t="s">
        <v>871</v>
      </c>
      <c r="D28" s="372" t="s">
        <v>900</v>
      </c>
      <c r="E28" s="376">
        <v>0</v>
      </c>
      <c r="F28" s="376">
        <v>0</v>
      </c>
      <c r="G28" s="376">
        <v>0</v>
      </c>
      <c r="H28" s="376">
        <v>0</v>
      </c>
      <c r="I28" s="376">
        <v>0</v>
      </c>
      <c r="J28" s="376">
        <v>0</v>
      </c>
      <c r="K28" s="376">
        <v>0</v>
      </c>
      <c r="L28" s="376">
        <v>0</v>
      </c>
      <c r="M28" s="376">
        <v>0</v>
      </c>
      <c r="N28" s="376">
        <v>0</v>
      </c>
      <c r="O28" s="376">
        <v>0</v>
      </c>
      <c r="P28" s="376">
        <v>0</v>
      </c>
      <c r="Q28" s="279">
        <f t="shared" si="1"/>
        <v>0</v>
      </c>
    </row>
    <row r="29" spans="1:17" x14ac:dyDescent="0.2">
      <c r="A29" s="336" t="str">
        <f t="shared" si="0"/>
        <v>85</v>
      </c>
      <c r="B29" s="372" t="s">
        <v>913</v>
      </c>
      <c r="C29" s="372" t="s">
        <v>920</v>
      </c>
      <c r="D29" s="372" t="s">
        <v>900</v>
      </c>
      <c r="E29" s="376">
        <v>244025</v>
      </c>
      <c r="F29" s="376">
        <v>230437</v>
      </c>
      <c r="G29" s="376">
        <v>250310</v>
      </c>
      <c r="H29" s="376">
        <v>238410</v>
      </c>
      <c r="I29" s="376">
        <v>231789</v>
      </c>
      <c r="J29" s="376">
        <v>223465</v>
      </c>
      <c r="K29" s="376">
        <v>210855</v>
      </c>
      <c r="L29" s="376">
        <v>254827</v>
      </c>
      <c r="M29" s="376">
        <v>253789</v>
      </c>
      <c r="N29" s="376">
        <v>236615</v>
      </c>
      <c r="O29" s="376">
        <v>238060</v>
      </c>
      <c r="P29" s="376">
        <v>249530</v>
      </c>
      <c r="Q29" s="279">
        <f t="shared" si="1"/>
        <v>2862112</v>
      </c>
    </row>
    <row r="30" spans="1:17" x14ac:dyDescent="0.2">
      <c r="A30" s="336" t="str">
        <f>LEFT(C30,3)</f>
        <v>85T</v>
      </c>
      <c r="B30" s="372" t="s">
        <v>913</v>
      </c>
      <c r="C30" s="372" t="s">
        <v>742</v>
      </c>
      <c r="D30" s="372" t="s">
        <v>900</v>
      </c>
      <c r="E30" s="376">
        <v>3196913</v>
      </c>
      <c r="F30" s="376">
        <v>3150964</v>
      </c>
      <c r="G30" s="376">
        <v>3626483</v>
      </c>
      <c r="H30" s="376">
        <v>3513263</v>
      </c>
      <c r="I30" s="376">
        <v>3574891</v>
      </c>
      <c r="J30" s="376">
        <v>3984245</v>
      </c>
      <c r="K30" s="376">
        <v>3565124</v>
      </c>
      <c r="L30" s="376">
        <v>3675294</v>
      </c>
      <c r="M30" s="376">
        <v>3427405</v>
      </c>
      <c r="N30" s="376">
        <v>3642138</v>
      </c>
      <c r="O30" s="376">
        <v>3503575</v>
      </c>
      <c r="P30" s="376">
        <v>3241505</v>
      </c>
      <c r="Q30" s="279">
        <f t="shared" si="1"/>
        <v>42101800</v>
      </c>
    </row>
    <row r="31" spans="1:17" x14ac:dyDescent="0.2">
      <c r="A31" s="336" t="str">
        <f t="shared" si="0"/>
        <v>86</v>
      </c>
      <c r="B31" s="372" t="s">
        <v>913</v>
      </c>
      <c r="C31" s="373" t="s">
        <v>921</v>
      </c>
      <c r="D31" s="372" t="s">
        <v>900</v>
      </c>
      <c r="E31" s="376">
        <v>171505</v>
      </c>
      <c r="F31" s="376">
        <v>146383</v>
      </c>
      <c r="G31" s="376">
        <v>66915</v>
      </c>
      <c r="H31" s="376">
        <v>40614</v>
      </c>
      <c r="I31" s="376">
        <v>65028</v>
      </c>
      <c r="J31" s="376">
        <v>83876</v>
      </c>
      <c r="K31" s="376">
        <v>55528</v>
      </c>
      <c r="L31" s="376">
        <v>31451</v>
      </c>
      <c r="M31" s="376">
        <v>25943</v>
      </c>
      <c r="N31" s="376">
        <v>30191</v>
      </c>
      <c r="O31" s="376">
        <v>52254</v>
      </c>
      <c r="P31" s="376">
        <v>62644</v>
      </c>
      <c r="Q31" s="279">
        <f t="shared" si="1"/>
        <v>832332</v>
      </c>
    </row>
    <row r="32" spans="1:17" x14ac:dyDescent="0.2">
      <c r="A32" s="336" t="str">
        <f>LEFT(C32,3)</f>
        <v>86T</v>
      </c>
      <c r="B32" s="372" t="s">
        <v>913</v>
      </c>
      <c r="C32" s="379" t="s">
        <v>922</v>
      </c>
      <c r="D32" s="372" t="s">
        <v>900</v>
      </c>
      <c r="E32" s="376">
        <v>0</v>
      </c>
      <c r="F32" s="376">
        <v>0</v>
      </c>
      <c r="G32" s="376">
        <v>0</v>
      </c>
      <c r="H32" s="376">
        <v>0</v>
      </c>
      <c r="I32" s="376">
        <v>0</v>
      </c>
      <c r="J32" s="376">
        <v>0</v>
      </c>
      <c r="K32" s="376">
        <v>0</v>
      </c>
      <c r="L32" s="376">
        <v>2158</v>
      </c>
      <c r="M32" s="376">
        <v>9063</v>
      </c>
      <c r="N32" s="376">
        <v>8098</v>
      </c>
      <c r="O32" s="376">
        <v>963</v>
      </c>
      <c r="P32" s="376">
        <v>197</v>
      </c>
      <c r="Q32" s="279">
        <f t="shared" si="1"/>
        <v>20479</v>
      </c>
    </row>
    <row r="33" spans="1:17" x14ac:dyDescent="0.2">
      <c r="A33" s="336" t="str">
        <f t="shared" si="0"/>
        <v>87</v>
      </c>
      <c r="B33" s="372" t="s">
        <v>913</v>
      </c>
      <c r="C33" s="372" t="s">
        <v>923</v>
      </c>
      <c r="D33" s="372" t="s">
        <v>900</v>
      </c>
      <c r="E33" s="376">
        <v>83770</v>
      </c>
      <c r="F33" s="376">
        <v>115393</v>
      </c>
      <c r="G33" s="376">
        <v>118389</v>
      </c>
      <c r="H33" s="376">
        <v>148227</v>
      </c>
      <c r="I33" s="376">
        <v>172767</v>
      </c>
      <c r="J33" s="376">
        <v>130945</v>
      </c>
      <c r="K33" s="376">
        <v>105034</v>
      </c>
      <c r="L33" s="376">
        <v>153481</v>
      </c>
      <c r="M33" s="376">
        <v>200237</v>
      </c>
      <c r="N33" s="376">
        <v>222364</v>
      </c>
      <c r="O33" s="376">
        <v>202008</v>
      </c>
      <c r="P33" s="376">
        <v>136423</v>
      </c>
      <c r="Q33" s="279">
        <f t="shared" si="1"/>
        <v>1789038</v>
      </c>
    </row>
    <row r="34" spans="1:17" x14ac:dyDescent="0.2">
      <c r="A34" s="336" t="str">
        <f>LEFT(C34,3)</f>
        <v>87T</v>
      </c>
      <c r="B34" s="372" t="s">
        <v>913</v>
      </c>
      <c r="C34" s="372" t="s">
        <v>749</v>
      </c>
      <c r="D34" s="372" t="s">
        <v>900</v>
      </c>
      <c r="E34" s="376">
        <v>7278688</v>
      </c>
      <c r="F34" s="376">
        <v>5758210</v>
      </c>
      <c r="G34" s="376">
        <v>6916724</v>
      </c>
      <c r="H34" s="376">
        <v>6858301</v>
      </c>
      <c r="I34" s="376">
        <v>7969590</v>
      </c>
      <c r="J34" s="376">
        <v>6711041</v>
      </c>
      <c r="K34" s="376">
        <v>7300080</v>
      </c>
      <c r="L34" s="376">
        <v>7448528</v>
      </c>
      <c r="M34" s="376">
        <v>6304467</v>
      </c>
      <c r="N34" s="376">
        <v>6466760</v>
      </c>
      <c r="O34" s="376">
        <v>5295710</v>
      </c>
      <c r="P34" s="376">
        <v>5673131</v>
      </c>
      <c r="Q34" s="279">
        <f t="shared" si="1"/>
        <v>79981230</v>
      </c>
    </row>
    <row r="35" spans="1:17" x14ac:dyDescent="0.2">
      <c r="A35" s="338">
        <v>99</v>
      </c>
      <c r="B35" s="372" t="s">
        <v>913</v>
      </c>
      <c r="C35" s="373" t="s">
        <v>924</v>
      </c>
      <c r="D35" s="372" t="s">
        <v>900</v>
      </c>
      <c r="E35" s="376">
        <v>3517110</v>
      </c>
      <c r="F35" s="376">
        <v>3347997</v>
      </c>
      <c r="G35" s="376">
        <v>3654461</v>
      </c>
      <c r="H35" s="376">
        <v>3238199</v>
      </c>
      <c r="I35" s="376">
        <v>2805705</v>
      </c>
      <c r="J35" s="376">
        <v>2216168</v>
      </c>
      <c r="K35" s="376">
        <v>2006793</v>
      </c>
      <c r="L35" s="376">
        <v>1941842</v>
      </c>
      <c r="M35" s="376">
        <v>1979407</v>
      </c>
      <c r="N35" s="376">
        <v>2787377</v>
      </c>
      <c r="O35" s="376">
        <v>3842036</v>
      </c>
      <c r="P35" s="376">
        <v>3871544</v>
      </c>
      <c r="Q35" s="279">
        <f t="shared" si="1"/>
        <v>35208639</v>
      </c>
    </row>
    <row r="36" spans="1:17" x14ac:dyDescent="0.2">
      <c r="A36" s="336" t="str">
        <f t="shared" si="0"/>
        <v/>
      </c>
      <c r="B36" s="372"/>
      <c r="C36" s="377"/>
      <c r="E36" s="378"/>
      <c r="F36" s="378"/>
      <c r="G36" s="378"/>
      <c r="H36" s="378"/>
      <c r="I36" s="378"/>
      <c r="J36" s="378"/>
      <c r="K36" s="378"/>
      <c r="L36" s="378"/>
      <c r="M36" s="378"/>
      <c r="N36" s="378"/>
      <c r="O36" s="378"/>
      <c r="P36" s="378"/>
      <c r="Q36" s="279"/>
    </row>
    <row r="37" spans="1:17" x14ac:dyDescent="0.2">
      <c r="A37" s="336" t="str">
        <f t="shared" si="0"/>
        <v>16</v>
      </c>
      <c r="B37" s="32" t="s">
        <v>925</v>
      </c>
      <c r="C37" s="373" t="s">
        <v>926</v>
      </c>
      <c r="D37" s="372" t="s">
        <v>900</v>
      </c>
      <c r="E37" s="378"/>
      <c r="F37" s="378"/>
      <c r="G37" s="378"/>
      <c r="H37" s="378"/>
      <c r="I37" s="378"/>
      <c r="J37" s="378"/>
      <c r="K37" s="378"/>
      <c r="L37" s="378"/>
      <c r="M37" s="378"/>
      <c r="N37" s="378"/>
      <c r="O37" s="378"/>
      <c r="P37" s="378"/>
      <c r="Q37" s="279">
        <f t="shared" si="1"/>
        <v>0</v>
      </c>
    </row>
    <row r="38" spans="1:17" x14ac:dyDescent="0.2">
      <c r="A38" s="336" t="str">
        <f t="shared" si="0"/>
        <v>16</v>
      </c>
      <c r="B38" s="32" t="s">
        <v>925</v>
      </c>
      <c r="C38" s="373" t="s">
        <v>927</v>
      </c>
      <c r="D38" s="372" t="s">
        <v>900</v>
      </c>
      <c r="E38" s="378"/>
      <c r="F38" s="378"/>
      <c r="G38" s="378"/>
      <c r="H38" s="378"/>
      <c r="I38" s="378"/>
      <c r="J38" s="378"/>
      <c r="K38" s="378"/>
      <c r="L38" s="378"/>
      <c r="M38" s="378"/>
      <c r="N38" s="378"/>
      <c r="O38" s="378"/>
      <c r="P38" s="378"/>
      <c r="Q38" s="279">
        <f t="shared" si="1"/>
        <v>0</v>
      </c>
    </row>
    <row r="39" spans="1:17" x14ac:dyDescent="0.2">
      <c r="A39" s="336" t="str">
        <f t="shared" si="0"/>
        <v/>
      </c>
      <c r="C39" s="377"/>
      <c r="E39" s="378"/>
      <c r="F39" s="378"/>
      <c r="G39" s="378"/>
      <c r="H39" s="378"/>
      <c r="I39" s="378"/>
      <c r="J39" s="378"/>
      <c r="K39" s="378"/>
      <c r="L39" s="378"/>
      <c r="M39" s="378"/>
      <c r="N39" s="378"/>
      <c r="O39" s="378"/>
      <c r="P39" s="378"/>
      <c r="Q39" s="279"/>
    </row>
    <row r="40" spans="1:17" x14ac:dyDescent="0.2">
      <c r="A40" s="336" t="str">
        <f t="shared" si="0"/>
        <v>11</v>
      </c>
      <c r="B40" s="372" t="s">
        <v>928</v>
      </c>
      <c r="C40" s="373" t="s">
        <v>929</v>
      </c>
      <c r="D40" s="372" t="s">
        <v>900</v>
      </c>
      <c r="E40" s="378"/>
      <c r="F40" s="378"/>
      <c r="G40" s="378"/>
      <c r="H40" s="378"/>
      <c r="I40" s="378"/>
      <c r="J40" s="378"/>
      <c r="K40" s="378"/>
      <c r="L40" s="378"/>
      <c r="M40" s="378"/>
      <c r="N40" s="378"/>
      <c r="O40" s="378"/>
      <c r="P40" s="378"/>
      <c r="Q40" s="279">
        <f t="shared" si="1"/>
        <v>0</v>
      </c>
    </row>
    <row r="41" spans="1:17" x14ac:dyDescent="0.2">
      <c r="A41" s="336" t="str">
        <f t="shared" si="0"/>
        <v>23</v>
      </c>
      <c r="B41" s="372" t="s">
        <v>928</v>
      </c>
      <c r="C41" s="373" t="s">
        <v>930</v>
      </c>
      <c r="D41" s="372" t="s">
        <v>900</v>
      </c>
      <c r="E41" s="376">
        <v>70495142</v>
      </c>
      <c r="F41" s="376">
        <v>57800988</v>
      </c>
      <c r="G41" s="376">
        <v>58653800</v>
      </c>
      <c r="H41" s="376">
        <v>46068542</v>
      </c>
      <c r="I41" s="376">
        <v>33060923</v>
      </c>
      <c r="J41" s="376">
        <v>21743448</v>
      </c>
      <c r="K41" s="376">
        <v>14926907</v>
      </c>
      <c r="L41" s="376">
        <v>14042854</v>
      </c>
      <c r="M41" s="376">
        <v>17942015</v>
      </c>
      <c r="N41" s="376">
        <v>36170141</v>
      </c>
      <c r="O41" s="376">
        <v>66811052</v>
      </c>
      <c r="P41" s="376">
        <v>83894314</v>
      </c>
      <c r="Q41" s="279">
        <f t="shared" si="1"/>
        <v>521610126</v>
      </c>
    </row>
    <row r="42" spans="1:17" x14ac:dyDescent="0.2">
      <c r="A42" s="336" t="str">
        <f t="shared" si="0"/>
        <v>23</v>
      </c>
      <c r="B42" s="372" t="s">
        <v>928</v>
      </c>
      <c r="C42" s="373" t="s">
        <v>931</v>
      </c>
      <c r="D42" s="372" t="s">
        <v>900</v>
      </c>
      <c r="E42" s="376">
        <v>59539</v>
      </c>
      <c r="F42" s="376">
        <v>49034</v>
      </c>
      <c r="G42" s="376">
        <v>50175</v>
      </c>
      <c r="H42" s="376">
        <v>40206</v>
      </c>
      <c r="I42" s="376">
        <v>30304</v>
      </c>
      <c r="J42" s="376">
        <v>21621</v>
      </c>
      <c r="K42" s="376">
        <v>16109</v>
      </c>
      <c r="L42" s="376">
        <v>15947</v>
      </c>
      <c r="M42" s="376">
        <v>18189</v>
      </c>
      <c r="N42" s="376">
        <v>33635</v>
      </c>
      <c r="O42" s="376">
        <v>62437</v>
      </c>
      <c r="P42" s="376">
        <v>76516</v>
      </c>
      <c r="Q42" s="279">
        <f t="shared" si="1"/>
        <v>473712</v>
      </c>
    </row>
    <row r="43" spans="1:17" x14ac:dyDescent="0.2">
      <c r="A43" s="336" t="str">
        <f t="shared" si="0"/>
        <v>23</v>
      </c>
      <c r="B43" s="372" t="s">
        <v>928</v>
      </c>
      <c r="C43" s="373" t="s">
        <v>932</v>
      </c>
      <c r="D43" s="372" t="s">
        <v>900</v>
      </c>
      <c r="E43" s="376">
        <v>66200</v>
      </c>
      <c r="F43" s="376">
        <v>47081</v>
      </c>
      <c r="G43" s="376">
        <v>45292</v>
      </c>
      <c r="H43" s="376">
        <v>34935</v>
      </c>
      <c r="I43" s="376">
        <v>24383</v>
      </c>
      <c r="J43" s="376">
        <v>14144</v>
      </c>
      <c r="K43" s="376">
        <v>9873</v>
      </c>
      <c r="L43" s="376">
        <v>9458</v>
      </c>
      <c r="M43" s="376">
        <v>12218</v>
      </c>
      <c r="N43" s="376">
        <v>28112</v>
      </c>
      <c r="O43" s="376">
        <v>58039</v>
      </c>
      <c r="P43" s="376">
        <v>78227</v>
      </c>
      <c r="Q43" s="279">
        <f t="shared" si="1"/>
        <v>427962</v>
      </c>
    </row>
    <row r="44" spans="1:17" x14ac:dyDescent="0.2">
      <c r="A44" s="336" t="str">
        <f t="shared" si="0"/>
        <v>23</v>
      </c>
      <c r="B44" s="372" t="s">
        <v>928</v>
      </c>
      <c r="C44" s="373" t="s">
        <v>933</v>
      </c>
      <c r="D44" s="372" t="s">
        <v>900</v>
      </c>
      <c r="E44" s="376">
        <v>513287</v>
      </c>
      <c r="F44" s="376">
        <v>422416</v>
      </c>
      <c r="G44" s="376">
        <v>428954</v>
      </c>
      <c r="H44" s="376">
        <v>336960</v>
      </c>
      <c r="I44" s="376">
        <v>246508</v>
      </c>
      <c r="J44" s="376">
        <v>165062</v>
      </c>
      <c r="K44" s="376">
        <v>117778</v>
      </c>
      <c r="L44" s="376">
        <v>111168</v>
      </c>
      <c r="M44" s="376">
        <v>138502</v>
      </c>
      <c r="N44" s="376">
        <v>270488</v>
      </c>
      <c r="O44" s="376">
        <v>492114</v>
      </c>
      <c r="P44" s="376">
        <v>619703</v>
      </c>
      <c r="Q44" s="279">
        <f t="shared" si="1"/>
        <v>3862940</v>
      </c>
    </row>
    <row r="45" spans="1:17" x14ac:dyDescent="0.2">
      <c r="A45" s="336" t="str">
        <f t="shared" si="0"/>
        <v>23</v>
      </c>
      <c r="B45" s="372" t="s">
        <v>928</v>
      </c>
      <c r="C45" s="372" t="s">
        <v>934</v>
      </c>
      <c r="D45" s="372" t="s">
        <v>900</v>
      </c>
      <c r="E45" s="376">
        <v>53524</v>
      </c>
      <c r="F45" s="376">
        <v>38406</v>
      </c>
      <c r="G45" s="376">
        <v>36980</v>
      </c>
      <c r="H45" s="376">
        <v>27855</v>
      </c>
      <c r="I45" s="376">
        <v>20013</v>
      </c>
      <c r="J45" s="376">
        <v>12863</v>
      </c>
      <c r="K45" s="376">
        <v>9708</v>
      </c>
      <c r="L45" s="376">
        <v>9809</v>
      </c>
      <c r="M45" s="376">
        <v>11051</v>
      </c>
      <c r="N45" s="376">
        <v>21798</v>
      </c>
      <c r="O45" s="376">
        <v>48949</v>
      </c>
      <c r="P45" s="376">
        <v>65565</v>
      </c>
      <c r="Q45" s="279">
        <f t="shared" si="1"/>
        <v>356521</v>
      </c>
    </row>
    <row r="46" spans="1:17" x14ac:dyDescent="0.2">
      <c r="A46" s="336" t="str">
        <f t="shared" si="0"/>
        <v>53</v>
      </c>
      <c r="B46" s="372" t="s">
        <v>928</v>
      </c>
      <c r="C46" s="373" t="s">
        <v>935</v>
      </c>
      <c r="D46" s="372" t="s">
        <v>900</v>
      </c>
      <c r="E46" s="376">
        <v>205</v>
      </c>
      <c r="F46" s="376">
        <v>216</v>
      </c>
      <c r="G46" s="376">
        <v>301</v>
      </c>
      <c r="H46" s="376">
        <v>219</v>
      </c>
      <c r="I46" s="376">
        <v>145</v>
      </c>
      <c r="J46" s="376">
        <v>107</v>
      </c>
      <c r="K46" s="376">
        <v>89</v>
      </c>
      <c r="L46" s="376">
        <v>86</v>
      </c>
      <c r="M46" s="376">
        <v>84</v>
      </c>
      <c r="N46" s="376">
        <v>160</v>
      </c>
      <c r="O46" s="376">
        <v>222</v>
      </c>
      <c r="P46" s="376">
        <v>280</v>
      </c>
      <c r="Q46" s="279">
        <f t="shared" si="1"/>
        <v>2114</v>
      </c>
    </row>
    <row r="47" spans="1:17" x14ac:dyDescent="0.2">
      <c r="A47" s="336" t="str">
        <f t="shared" si="0"/>
        <v>61</v>
      </c>
      <c r="B47" s="372" t="s">
        <v>928</v>
      </c>
      <c r="C47" s="373" t="s">
        <v>872</v>
      </c>
      <c r="D47" s="372" t="s">
        <v>900</v>
      </c>
      <c r="E47" s="376">
        <v>0</v>
      </c>
      <c r="F47" s="376">
        <v>0</v>
      </c>
      <c r="G47" s="376">
        <v>0</v>
      </c>
      <c r="H47" s="376">
        <v>0</v>
      </c>
      <c r="I47" s="376">
        <v>0</v>
      </c>
      <c r="J47" s="376">
        <v>0</v>
      </c>
      <c r="K47" s="376">
        <v>0</v>
      </c>
      <c r="L47" s="376">
        <v>0</v>
      </c>
      <c r="M47" s="376">
        <v>0</v>
      </c>
      <c r="N47" s="376">
        <v>0</v>
      </c>
      <c r="O47" s="376">
        <v>0</v>
      </c>
      <c r="P47" s="376">
        <v>0</v>
      </c>
      <c r="Q47" s="279">
        <f t="shared" si="1"/>
        <v>0</v>
      </c>
    </row>
    <row r="48" spans="1:17" x14ac:dyDescent="0.2">
      <c r="C48" s="373"/>
      <c r="D48" s="372"/>
      <c r="E48" s="279"/>
      <c r="F48" s="279"/>
      <c r="G48" s="279"/>
      <c r="H48" s="279"/>
      <c r="I48" s="279"/>
      <c r="J48" s="279"/>
      <c r="K48" s="279"/>
      <c r="L48" s="279"/>
      <c r="M48" s="279"/>
      <c r="N48" s="279"/>
      <c r="O48" s="279"/>
      <c r="P48" s="362"/>
      <c r="Q48" s="279"/>
    </row>
    <row r="49" spans="2:17" x14ac:dyDescent="0.2">
      <c r="B49" s="32" t="s">
        <v>23</v>
      </c>
      <c r="C49" s="373"/>
      <c r="D49" s="372"/>
      <c r="E49" s="357">
        <f t="shared" ref="E49:P49" si="2">SUM(E5:E47)</f>
        <v>128744011</v>
      </c>
      <c r="F49" s="357">
        <f t="shared" si="2"/>
        <v>107437038</v>
      </c>
      <c r="G49" s="357">
        <f t="shared" si="2"/>
        <v>111750286</v>
      </c>
      <c r="H49" s="357">
        <f t="shared" si="2"/>
        <v>92607573</v>
      </c>
      <c r="I49" s="357">
        <f t="shared" si="2"/>
        <v>74870775</v>
      </c>
      <c r="J49" s="357">
        <f t="shared" si="2"/>
        <v>56232122</v>
      </c>
      <c r="K49" s="357">
        <f t="shared" si="2"/>
        <v>45902275</v>
      </c>
      <c r="L49" s="357">
        <f t="shared" si="2"/>
        <v>44930615</v>
      </c>
      <c r="M49" s="357">
        <f t="shared" si="2"/>
        <v>49139643</v>
      </c>
      <c r="N49" s="357">
        <f t="shared" si="2"/>
        <v>77062211</v>
      </c>
      <c r="O49" s="357">
        <f t="shared" si="2"/>
        <v>121260594</v>
      </c>
      <c r="P49" s="357">
        <f t="shared" si="2"/>
        <v>146681202</v>
      </c>
      <c r="Q49" s="357">
        <f>SUM(Q5:Q47)</f>
        <v>1056618345</v>
      </c>
    </row>
    <row r="50" spans="2:17" x14ac:dyDescent="0.2">
      <c r="B50" s="32" t="s">
        <v>936</v>
      </c>
      <c r="C50" s="373"/>
      <c r="D50" s="372"/>
      <c r="E50" s="380">
        <v>128744009.86829051</v>
      </c>
      <c r="F50" s="380">
        <v>107437036.01024872</v>
      </c>
      <c r="G50" s="380">
        <v>111750287.11878191</v>
      </c>
      <c r="H50" s="380">
        <v>92607576.455089286</v>
      </c>
      <c r="I50" s="380">
        <v>74870776.11682114</v>
      </c>
      <c r="J50" s="380">
        <v>56232120.74385909</v>
      </c>
      <c r="K50" s="380">
        <v>45902275.055980727</v>
      </c>
      <c r="L50" s="380">
        <v>44930613.9724783</v>
      </c>
      <c r="M50" s="380">
        <v>49139645.966083094</v>
      </c>
      <c r="N50" s="380">
        <v>77062212.174923331</v>
      </c>
      <c r="O50" s="380">
        <v>121260592.0979854</v>
      </c>
      <c r="P50" s="381">
        <v>146681199.98672462</v>
      </c>
      <c r="Q50" s="279">
        <f>SUM(E50:P50)</f>
        <v>1056618345.5672659</v>
      </c>
    </row>
    <row r="51" spans="2:17" x14ac:dyDescent="0.2">
      <c r="B51" s="32" t="s">
        <v>131</v>
      </c>
      <c r="C51" s="373"/>
      <c r="D51" s="372"/>
      <c r="E51" s="279">
        <f t="shared" ref="E51:M51" si="3">E49-E50</f>
        <v>1.131709486246109</v>
      </c>
      <c r="F51" s="279">
        <f t="shared" si="3"/>
        <v>1.9897512793540955</v>
      </c>
      <c r="G51" s="279">
        <f t="shared" si="3"/>
        <v>-1.1187819093465805</v>
      </c>
      <c r="H51" s="279">
        <f t="shared" si="3"/>
        <v>-3.4550892859697342</v>
      </c>
      <c r="I51" s="279">
        <f t="shared" si="3"/>
        <v>-1.1168211400508881</v>
      </c>
      <c r="J51" s="279">
        <f t="shared" si="3"/>
        <v>1.256140910089016</v>
      </c>
      <c r="K51" s="279">
        <f t="shared" si="3"/>
        <v>-5.5980727076530457E-2</v>
      </c>
      <c r="L51" s="279">
        <f t="shared" si="3"/>
        <v>1.0275216996669769</v>
      </c>
      <c r="M51" s="279">
        <f t="shared" si="3"/>
        <v>-2.9660830944776535</v>
      </c>
      <c r="N51" s="279">
        <f>N49-N50</f>
        <v>-1.1749233305454254</v>
      </c>
      <c r="O51" s="279">
        <f>O49-O50</f>
        <v>1.9020145982503891</v>
      </c>
      <c r="P51" s="279">
        <f>P49-P50</f>
        <v>2.0132753849029541</v>
      </c>
      <c r="Q51" s="279">
        <f>Q49-Q50</f>
        <v>-0.56726586818695068</v>
      </c>
    </row>
    <row r="53" spans="2:17" x14ac:dyDescent="0.2">
      <c r="B53" s="276" t="s">
        <v>937</v>
      </c>
      <c r="E53" s="279"/>
      <c r="F53" s="279"/>
      <c r="G53" s="279"/>
      <c r="H53" s="279"/>
      <c r="I53" s="279"/>
      <c r="J53" s="279"/>
      <c r="K53" s="279"/>
      <c r="L53" s="279"/>
      <c r="M53" s="279"/>
      <c r="N53" s="279"/>
      <c r="O53" s="279"/>
      <c r="P53" s="279"/>
      <c r="Q53" s="279"/>
    </row>
    <row r="54" spans="2:17" x14ac:dyDescent="0.2">
      <c r="B54" s="276" t="s">
        <v>374</v>
      </c>
      <c r="Q54" s="279"/>
    </row>
    <row r="55" spans="2:17" x14ac:dyDescent="0.2">
      <c r="C55" s="336">
        <v>16</v>
      </c>
      <c r="E55" s="279">
        <f t="shared" ref="E55:P60" si="4">SUMIF($A$40:$A$47,$C55,E$40:E$47)</f>
        <v>0</v>
      </c>
      <c r="F55" s="279">
        <f t="shared" si="4"/>
        <v>0</v>
      </c>
      <c r="G55" s="279">
        <f t="shared" si="4"/>
        <v>0</v>
      </c>
      <c r="H55" s="279">
        <f t="shared" si="4"/>
        <v>0</v>
      </c>
      <c r="I55" s="279">
        <f t="shared" si="4"/>
        <v>0</v>
      </c>
      <c r="J55" s="279">
        <f t="shared" si="4"/>
        <v>0</v>
      </c>
      <c r="K55" s="279">
        <f t="shared" si="4"/>
        <v>0</v>
      </c>
      <c r="L55" s="279">
        <f t="shared" si="4"/>
        <v>0</v>
      </c>
      <c r="M55" s="279">
        <f t="shared" si="4"/>
        <v>0</v>
      </c>
      <c r="N55" s="279">
        <f t="shared" si="4"/>
        <v>0</v>
      </c>
      <c r="O55" s="279">
        <f t="shared" si="4"/>
        <v>0</v>
      </c>
      <c r="P55" s="279">
        <f t="shared" si="4"/>
        <v>0</v>
      </c>
      <c r="Q55" s="279">
        <f t="shared" ref="Q55:Q60" si="5">SUM(E55:P55)</f>
        <v>0</v>
      </c>
    </row>
    <row r="56" spans="2:17" x14ac:dyDescent="0.2">
      <c r="C56" s="336">
        <v>11</v>
      </c>
      <c r="E56" s="279">
        <f t="shared" si="4"/>
        <v>0</v>
      </c>
      <c r="F56" s="279">
        <f t="shared" si="4"/>
        <v>0</v>
      </c>
      <c r="G56" s="279">
        <f t="shared" si="4"/>
        <v>0</v>
      </c>
      <c r="H56" s="279">
        <f t="shared" si="4"/>
        <v>0</v>
      </c>
      <c r="I56" s="279">
        <f t="shared" si="4"/>
        <v>0</v>
      </c>
      <c r="J56" s="279">
        <f t="shared" si="4"/>
        <v>0</v>
      </c>
      <c r="K56" s="279">
        <f t="shared" si="4"/>
        <v>0</v>
      </c>
      <c r="L56" s="279">
        <f t="shared" si="4"/>
        <v>0</v>
      </c>
      <c r="M56" s="279">
        <f t="shared" si="4"/>
        <v>0</v>
      </c>
      <c r="N56" s="279">
        <f t="shared" si="4"/>
        <v>0</v>
      </c>
      <c r="O56" s="279">
        <f t="shared" si="4"/>
        <v>0</v>
      </c>
      <c r="P56" s="279">
        <f t="shared" si="4"/>
        <v>0</v>
      </c>
      <c r="Q56" s="279">
        <f t="shared" si="5"/>
        <v>0</v>
      </c>
    </row>
    <row r="57" spans="2:17" x14ac:dyDescent="0.2">
      <c r="C57" s="336">
        <v>23</v>
      </c>
      <c r="E57" s="279">
        <f t="shared" si="4"/>
        <v>71187692</v>
      </c>
      <c r="F57" s="279">
        <f t="shared" si="4"/>
        <v>58357925</v>
      </c>
      <c r="G57" s="279">
        <f t="shared" si="4"/>
        <v>59215201</v>
      </c>
      <c r="H57" s="279">
        <f t="shared" si="4"/>
        <v>46508498</v>
      </c>
      <c r="I57" s="279">
        <f t="shared" si="4"/>
        <v>33382131</v>
      </c>
      <c r="J57" s="279">
        <f t="shared" si="4"/>
        <v>21957138</v>
      </c>
      <c r="K57" s="279">
        <f t="shared" si="4"/>
        <v>15080375</v>
      </c>
      <c r="L57" s="279">
        <f t="shared" si="4"/>
        <v>14189236</v>
      </c>
      <c r="M57" s="279">
        <f t="shared" si="4"/>
        <v>18121975</v>
      </c>
      <c r="N57" s="279">
        <f t="shared" si="4"/>
        <v>36524174</v>
      </c>
      <c r="O57" s="279">
        <f t="shared" si="4"/>
        <v>67472591</v>
      </c>
      <c r="P57" s="279">
        <f t="shared" si="4"/>
        <v>84734325</v>
      </c>
      <c r="Q57" s="279">
        <f t="shared" si="5"/>
        <v>526731261</v>
      </c>
    </row>
    <row r="58" spans="2:17" x14ac:dyDescent="0.2">
      <c r="C58" s="336">
        <v>24</v>
      </c>
      <c r="E58" s="279">
        <f t="shared" si="4"/>
        <v>0</v>
      </c>
      <c r="F58" s="279">
        <f t="shared" si="4"/>
        <v>0</v>
      </c>
      <c r="G58" s="279">
        <f t="shared" si="4"/>
        <v>0</v>
      </c>
      <c r="H58" s="279">
        <f t="shared" si="4"/>
        <v>0</v>
      </c>
      <c r="I58" s="279">
        <f t="shared" si="4"/>
        <v>0</v>
      </c>
      <c r="J58" s="279">
        <f t="shared" si="4"/>
        <v>0</v>
      </c>
      <c r="K58" s="279">
        <f t="shared" si="4"/>
        <v>0</v>
      </c>
      <c r="L58" s="279">
        <f t="shared" si="4"/>
        <v>0</v>
      </c>
      <c r="M58" s="279">
        <f t="shared" si="4"/>
        <v>0</v>
      </c>
      <c r="N58" s="279">
        <f t="shared" si="4"/>
        <v>0</v>
      </c>
      <c r="O58" s="279">
        <f t="shared" si="4"/>
        <v>0</v>
      </c>
      <c r="P58" s="279">
        <f t="shared" si="4"/>
        <v>0</v>
      </c>
      <c r="Q58" s="279">
        <f t="shared" si="5"/>
        <v>0</v>
      </c>
    </row>
    <row r="59" spans="2:17" x14ac:dyDescent="0.2">
      <c r="C59" s="336">
        <v>53</v>
      </c>
      <c r="E59" s="279">
        <f t="shared" si="4"/>
        <v>205</v>
      </c>
      <c r="F59" s="279">
        <f t="shared" si="4"/>
        <v>216</v>
      </c>
      <c r="G59" s="279">
        <f t="shared" si="4"/>
        <v>301</v>
      </c>
      <c r="H59" s="279">
        <f t="shared" si="4"/>
        <v>219</v>
      </c>
      <c r="I59" s="279">
        <f t="shared" si="4"/>
        <v>145</v>
      </c>
      <c r="J59" s="279">
        <f t="shared" si="4"/>
        <v>107</v>
      </c>
      <c r="K59" s="279">
        <f t="shared" si="4"/>
        <v>89</v>
      </c>
      <c r="L59" s="279">
        <f t="shared" si="4"/>
        <v>86</v>
      </c>
      <c r="M59" s="279">
        <f t="shared" si="4"/>
        <v>84</v>
      </c>
      <c r="N59" s="279">
        <f t="shared" si="4"/>
        <v>160</v>
      </c>
      <c r="O59" s="279">
        <f t="shared" si="4"/>
        <v>222</v>
      </c>
      <c r="P59" s="279">
        <f t="shared" si="4"/>
        <v>280</v>
      </c>
      <c r="Q59" s="279">
        <f t="shared" si="5"/>
        <v>2114</v>
      </c>
    </row>
    <row r="60" spans="2:17" x14ac:dyDescent="0.2">
      <c r="C60" s="336">
        <v>61</v>
      </c>
      <c r="E60" s="279">
        <f t="shared" si="4"/>
        <v>0</v>
      </c>
      <c r="F60" s="279">
        <f t="shared" si="4"/>
        <v>0</v>
      </c>
      <c r="G60" s="279">
        <f t="shared" si="4"/>
        <v>0</v>
      </c>
      <c r="H60" s="279">
        <f t="shared" si="4"/>
        <v>0</v>
      </c>
      <c r="I60" s="279">
        <f t="shared" si="4"/>
        <v>0</v>
      </c>
      <c r="J60" s="279">
        <f t="shared" si="4"/>
        <v>0</v>
      </c>
      <c r="K60" s="279">
        <f t="shared" si="4"/>
        <v>0</v>
      </c>
      <c r="L60" s="279">
        <f t="shared" si="4"/>
        <v>0</v>
      </c>
      <c r="M60" s="279">
        <f t="shared" si="4"/>
        <v>0</v>
      </c>
      <c r="N60" s="279">
        <f t="shared" si="4"/>
        <v>0</v>
      </c>
      <c r="O60" s="279">
        <f t="shared" si="4"/>
        <v>0</v>
      </c>
      <c r="P60" s="279">
        <f t="shared" si="4"/>
        <v>0</v>
      </c>
      <c r="Q60" s="279">
        <f t="shared" si="5"/>
        <v>0</v>
      </c>
    </row>
    <row r="61" spans="2:17" x14ac:dyDescent="0.2">
      <c r="Q61" s="279"/>
    </row>
    <row r="62" spans="2:17" x14ac:dyDescent="0.2">
      <c r="C62" s="382" t="s">
        <v>938</v>
      </c>
      <c r="E62" s="279">
        <f t="shared" ref="E62:M62" si="6">SUM(E56:E58)</f>
        <v>71187692</v>
      </c>
      <c r="F62" s="279">
        <f t="shared" si="6"/>
        <v>58357925</v>
      </c>
      <c r="G62" s="279">
        <f t="shared" si="6"/>
        <v>59215201</v>
      </c>
      <c r="H62" s="279">
        <f t="shared" si="6"/>
        <v>46508498</v>
      </c>
      <c r="I62" s="279">
        <f t="shared" si="6"/>
        <v>33382131</v>
      </c>
      <c r="J62" s="279">
        <f t="shared" si="6"/>
        <v>21957138</v>
      </c>
      <c r="K62" s="279">
        <f t="shared" si="6"/>
        <v>15080375</v>
      </c>
      <c r="L62" s="279">
        <f t="shared" si="6"/>
        <v>14189236</v>
      </c>
      <c r="M62" s="279">
        <f t="shared" si="6"/>
        <v>18121975</v>
      </c>
      <c r="N62" s="279">
        <f>SUM(N56:N58)</f>
        <v>36524174</v>
      </c>
      <c r="O62" s="279">
        <f>SUM(O56:O58)</f>
        <v>67472591</v>
      </c>
      <c r="P62" s="279">
        <f>SUM(P56:P58)</f>
        <v>84734325</v>
      </c>
      <c r="Q62" s="279">
        <f>SUM(Q56:Q57)</f>
        <v>526731261</v>
      </c>
    </row>
    <row r="63" spans="2:17" x14ac:dyDescent="0.2">
      <c r="Q63" s="279"/>
    </row>
    <row r="64" spans="2:17" x14ac:dyDescent="0.2">
      <c r="B64" s="32" t="s">
        <v>939</v>
      </c>
      <c r="E64" s="279">
        <f t="shared" ref="E64:M64" si="7">SUM(E42)</f>
        <v>59539</v>
      </c>
      <c r="F64" s="279">
        <f t="shared" si="7"/>
        <v>49034</v>
      </c>
      <c r="G64" s="279">
        <f t="shared" si="7"/>
        <v>50175</v>
      </c>
      <c r="H64" s="279">
        <f t="shared" si="7"/>
        <v>40206</v>
      </c>
      <c r="I64" s="279">
        <f t="shared" si="7"/>
        <v>30304</v>
      </c>
      <c r="J64" s="279">
        <f t="shared" si="7"/>
        <v>21621</v>
      </c>
      <c r="K64" s="279">
        <f t="shared" si="7"/>
        <v>16109</v>
      </c>
      <c r="L64" s="279">
        <f t="shared" si="7"/>
        <v>15947</v>
      </c>
      <c r="M64" s="279">
        <f t="shared" si="7"/>
        <v>18189</v>
      </c>
      <c r="N64" s="279">
        <f>SUM(N42)</f>
        <v>33635</v>
      </c>
      <c r="O64" s="279">
        <f>SUM(O42)</f>
        <v>62437</v>
      </c>
      <c r="P64" s="279">
        <f>SUM(P42)</f>
        <v>76516</v>
      </c>
      <c r="Q64" s="279">
        <f>SUM(E64:P64)</f>
        <v>473712</v>
      </c>
    </row>
    <row r="65" spans="2:17" x14ac:dyDescent="0.2">
      <c r="B65" s="32" t="s">
        <v>940</v>
      </c>
      <c r="E65" s="279">
        <f>SUM(E43:E44)</f>
        <v>579487</v>
      </c>
      <c r="F65" s="279">
        <f t="shared" ref="F65:P65" si="8">SUM(F43:F44)</f>
        <v>469497</v>
      </c>
      <c r="G65" s="279">
        <f t="shared" si="8"/>
        <v>474246</v>
      </c>
      <c r="H65" s="279">
        <f t="shared" si="8"/>
        <v>371895</v>
      </c>
      <c r="I65" s="279">
        <f t="shared" si="8"/>
        <v>270891</v>
      </c>
      <c r="J65" s="279">
        <f t="shared" si="8"/>
        <v>179206</v>
      </c>
      <c r="K65" s="279">
        <f t="shared" si="8"/>
        <v>127651</v>
      </c>
      <c r="L65" s="279">
        <f t="shared" si="8"/>
        <v>120626</v>
      </c>
      <c r="M65" s="279">
        <f t="shared" si="8"/>
        <v>150720</v>
      </c>
      <c r="N65" s="279">
        <f t="shared" si="8"/>
        <v>298600</v>
      </c>
      <c r="O65" s="279">
        <f t="shared" si="8"/>
        <v>550153</v>
      </c>
      <c r="P65" s="279">
        <f t="shared" si="8"/>
        <v>697930</v>
      </c>
      <c r="Q65" s="279">
        <f>SUM(E65:P65)</f>
        <v>4290902</v>
      </c>
    </row>
    <row r="66" spans="2:17" x14ac:dyDescent="0.2">
      <c r="B66" s="32" t="s">
        <v>941</v>
      </c>
      <c r="E66" s="279">
        <f>E45</f>
        <v>53524</v>
      </c>
      <c r="F66" s="279">
        <f t="shared" ref="F66:P66" si="9">F45</f>
        <v>38406</v>
      </c>
      <c r="G66" s="279">
        <f t="shared" si="9"/>
        <v>36980</v>
      </c>
      <c r="H66" s="279">
        <f t="shared" si="9"/>
        <v>27855</v>
      </c>
      <c r="I66" s="279">
        <f t="shared" si="9"/>
        <v>20013</v>
      </c>
      <c r="J66" s="279">
        <f t="shared" si="9"/>
        <v>12863</v>
      </c>
      <c r="K66" s="279">
        <f t="shared" si="9"/>
        <v>9708</v>
      </c>
      <c r="L66" s="279">
        <f t="shared" si="9"/>
        <v>9809</v>
      </c>
      <c r="M66" s="279">
        <f t="shared" si="9"/>
        <v>11051</v>
      </c>
      <c r="N66" s="279">
        <f t="shared" si="9"/>
        <v>21798</v>
      </c>
      <c r="O66" s="279">
        <f t="shared" si="9"/>
        <v>48949</v>
      </c>
      <c r="P66" s="279">
        <f t="shared" si="9"/>
        <v>65565</v>
      </c>
      <c r="Q66" s="279">
        <f>SUM(E66:P66)</f>
        <v>356521</v>
      </c>
    </row>
    <row r="67" spans="2:17" x14ac:dyDescent="0.2">
      <c r="Q67" s="279"/>
    </row>
    <row r="68" spans="2:17" x14ac:dyDescent="0.2">
      <c r="B68" s="276" t="s">
        <v>942</v>
      </c>
      <c r="C68" s="382"/>
      <c r="Q68" s="279"/>
    </row>
    <row r="69" spans="2:17" x14ac:dyDescent="0.2">
      <c r="C69" s="382">
        <v>31</v>
      </c>
      <c r="E69" s="383">
        <f t="shared" ref="E69:P78" si="10">SUMIF($A$5:$A$20,$C69,E$5:E$20)</f>
        <v>22530052</v>
      </c>
      <c r="F69" s="383">
        <f t="shared" si="10"/>
        <v>18400356</v>
      </c>
      <c r="G69" s="383">
        <f t="shared" si="10"/>
        <v>18722609</v>
      </c>
      <c r="H69" s="383">
        <f t="shared" si="10"/>
        <v>15159542</v>
      </c>
      <c r="I69" s="383">
        <f t="shared" si="10"/>
        <v>11739148</v>
      </c>
      <c r="J69" s="383">
        <f t="shared" si="10"/>
        <v>8759117</v>
      </c>
      <c r="K69" s="383">
        <f t="shared" si="10"/>
        <v>7017499</v>
      </c>
      <c r="L69" s="383">
        <f t="shared" si="10"/>
        <v>6870079</v>
      </c>
      <c r="M69" s="383">
        <f t="shared" si="10"/>
        <v>7730919</v>
      </c>
      <c r="N69" s="383">
        <f t="shared" si="10"/>
        <v>12369351</v>
      </c>
      <c r="O69" s="383">
        <f t="shared" si="10"/>
        <v>21057029</v>
      </c>
      <c r="P69" s="383">
        <f t="shared" si="10"/>
        <v>26731097</v>
      </c>
      <c r="Q69" s="279">
        <f t="shared" ref="Q69:Q78" si="11">SUM(E69:P69)</f>
        <v>177086798</v>
      </c>
    </row>
    <row r="70" spans="2:17" x14ac:dyDescent="0.2">
      <c r="C70" s="382">
        <v>41</v>
      </c>
      <c r="E70" s="383">
        <f t="shared" si="10"/>
        <v>6678954</v>
      </c>
      <c r="F70" s="383">
        <f t="shared" si="10"/>
        <v>5756196</v>
      </c>
      <c r="G70" s="383">
        <f t="shared" si="10"/>
        <v>6096346</v>
      </c>
      <c r="H70" s="383">
        <f t="shared" si="10"/>
        <v>5248744</v>
      </c>
      <c r="I70" s="383">
        <f t="shared" si="10"/>
        <v>4556788</v>
      </c>
      <c r="J70" s="383">
        <f t="shared" si="10"/>
        <v>3569491</v>
      </c>
      <c r="K70" s="383">
        <f t="shared" si="10"/>
        <v>2925297</v>
      </c>
      <c r="L70" s="383">
        <f t="shared" si="10"/>
        <v>2859421</v>
      </c>
      <c r="M70" s="383">
        <f t="shared" si="10"/>
        <v>3145935</v>
      </c>
      <c r="N70" s="383">
        <f t="shared" si="10"/>
        <v>4405828</v>
      </c>
      <c r="O70" s="383">
        <f t="shared" si="10"/>
        <v>6086833</v>
      </c>
      <c r="P70" s="383">
        <f t="shared" si="10"/>
        <v>6998517</v>
      </c>
      <c r="Q70" s="279">
        <f t="shared" si="11"/>
        <v>58328350</v>
      </c>
    </row>
    <row r="71" spans="2:17" x14ac:dyDescent="0.2">
      <c r="C71" s="382" t="s">
        <v>808</v>
      </c>
      <c r="E71" s="383">
        <f t="shared" si="10"/>
        <v>100691</v>
      </c>
      <c r="F71" s="383">
        <f t="shared" si="10"/>
        <v>97206</v>
      </c>
      <c r="G71" s="383">
        <f t="shared" si="10"/>
        <v>117660</v>
      </c>
      <c r="H71" s="383">
        <f t="shared" si="10"/>
        <v>114662</v>
      </c>
      <c r="I71" s="383">
        <f t="shared" si="10"/>
        <v>102961</v>
      </c>
      <c r="J71" s="383">
        <f t="shared" si="10"/>
        <v>89621</v>
      </c>
      <c r="K71" s="383">
        <f t="shared" si="10"/>
        <v>96388</v>
      </c>
      <c r="L71" s="383">
        <f t="shared" si="10"/>
        <v>90663</v>
      </c>
      <c r="M71" s="383">
        <f t="shared" si="10"/>
        <v>131647</v>
      </c>
      <c r="N71" s="383">
        <f t="shared" si="10"/>
        <v>137275</v>
      </c>
      <c r="O71" s="383">
        <f t="shared" si="10"/>
        <v>228305</v>
      </c>
      <c r="P71" s="383">
        <f t="shared" si="10"/>
        <v>318484</v>
      </c>
      <c r="Q71" s="279">
        <f t="shared" si="11"/>
        <v>1625563</v>
      </c>
    </row>
    <row r="72" spans="2:17" x14ac:dyDescent="0.2">
      <c r="C72" s="382">
        <v>50</v>
      </c>
      <c r="E72" s="383">
        <f t="shared" si="10"/>
        <v>0</v>
      </c>
      <c r="F72" s="383">
        <f t="shared" si="10"/>
        <v>0</v>
      </c>
      <c r="G72" s="383">
        <f t="shared" si="10"/>
        <v>0</v>
      </c>
      <c r="H72" s="383">
        <f t="shared" si="10"/>
        <v>0</v>
      </c>
      <c r="I72" s="383">
        <f t="shared" si="10"/>
        <v>0</v>
      </c>
      <c r="J72" s="383">
        <f t="shared" si="10"/>
        <v>0</v>
      </c>
      <c r="K72" s="383">
        <f t="shared" si="10"/>
        <v>0</v>
      </c>
      <c r="L72" s="383">
        <f t="shared" si="10"/>
        <v>0</v>
      </c>
      <c r="M72" s="383">
        <f t="shared" si="10"/>
        <v>0</v>
      </c>
      <c r="N72" s="383">
        <f t="shared" si="10"/>
        <v>0</v>
      </c>
      <c r="O72" s="383">
        <f t="shared" si="10"/>
        <v>0</v>
      </c>
      <c r="P72" s="383">
        <f t="shared" si="10"/>
        <v>0</v>
      </c>
      <c r="Q72" s="279">
        <f t="shared" si="11"/>
        <v>0</v>
      </c>
    </row>
    <row r="73" spans="2:17" x14ac:dyDescent="0.2">
      <c r="C73" s="382">
        <v>61</v>
      </c>
      <c r="E73" s="383">
        <f t="shared" si="10"/>
        <v>0</v>
      </c>
      <c r="F73" s="383">
        <f t="shared" si="10"/>
        <v>0</v>
      </c>
      <c r="G73" s="383">
        <f t="shared" si="10"/>
        <v>0</v>
      </c>
      <c r="H73" s="383">
        <f t="shared" si="10"/>
        <v>0</v>
      </c>
      <c r="I73" s="383">
        <f t="shared" si="10"/>
        <v>0</v>
      </c>
      <c r="J73" s="383">
        <f t="shared" si="10"/>
        <v>0</v>
      </c>
      <c r="K73" s="383">
        <f t="shared" si="10"/>
        <v>0</v>
      </c>
      <c r="L73" s="383">
        <f t="shared" si="10"/>
        <v>0</v>
      </c>
      <c r="M73" s="383">
        <f t="shared" si="10"/>
        <v>0</v>
      </c>
      <c r="N73" s="383">
        <f t="shared" si="10"/>
        <v>0</v>
      </c>
      <c r="O73" s="383">
        <f t="shared" si="10"/>
        <v>0</v>
      </c>
      <c r="P73" s="383">
        <f t="shared" si="10"/>
        <v>0</v>
      </c>
      <c r="Q73" s="279">
        <f t="shared" si="11"/>
        <v>0</v>
      </c>
    </row>
    <row r="74" spans="2:17" x14ac:dyDescent="0.2">
      <c r="C74" s="382">
        <v>85</v>
      </c>
      <c r="E74" s="383">
        <f t="shared" si="10"/>
        <v>1540528</v>
      </c>
      <c r="F74" s="383">
        <f t="shared" si="10"/>
        <v>1365910</v>
      </c>
      <c r="G74" s="383">
        <f t="shared" si="10"/>
        <v>1543042</v>
      </c>
      <c r="H74" s="383">
        <f t="shared" si="10"/>
        <v>1351647</v>
      </c>
      <c r="I74" s="383">
        <f t="shared" si="10"/>
        <v>1142807</v>
      </c>
      <c r="J74" s="383">
        <f t="shared" si="10"/>
        <v>861289</v>
      </c>
      <c r="K74" s="383">
        <f t="shared" si="10"/>
        <v>719459</v>
      </c>
      <c r="L74" s="383">
        <f t="shared" si="10"/>
        <v>682351</v>
      </c>
      <c r="M74" s="383">
        <f t="shared" si="10"/>
        <v>737916</v>
      </c>
      <c r="N74" s="383">
        <f t="shared" si="10"/>
        <v>1088491</v>
      </c>
      <c r="O74" s="383">
        <f t="shared" si="10"/>
        <v>1469983</v>
      </c>
      <c r="P74" s="383">
        <f t="shared" si="10"/>
        <v>1567374</v>
      </c>
      <c r="Q74" s="279">
        <f t="shared" si="11"/>
        <v>14070797</v>
      </c>
    </row>
    <row r="75" spans="2:17" x14ac:dyDescent="0.2">
      <c r="C75" s="382" t="s">
        <v>809</v>
      </c>
      <c r="E75" s="383">
        <f t="shared" si="10"/>
        <v>2122993</v>
      </c>
      <c r="F75" s="383">
        <f t="shared" si="10"/>
        <v>1912161</v>
      </c>
      <c r="G75" s="383">
        <f t="shared" si="10"/>
        <v>2151429</v>
      </c>
      <c r="H75" s="383">
        <f t="shared" si="10"/>
        <v>1981454</v>
      </c>
      <c r="I75" s="383">
        <f t="shared" si="10"/>
        <v>1886419</v>
      </c>
      <c r="J75" s="383">
        <f t="shared" si="10"/>
        <v>1770605</v>
      </c>
      <c r="K75" s="383">
        <f t="shared" si="10"/>
        <v>1664441</v>
      </c>
      <c r="L75" s="383">
        <f t="shared" si="10"/>
        <v>1721220</v>
      </c>
      <c r="M75" s="383">
        <f t="shared" si="10"/>
        <v>1702205</v>
      </c>
      <c r="N75" s="383">
        <f t="shared" si="10"/>
        <v>1940953</v>
      </c>
      <c r="O75" s="383">
        <f t="shared" si="10"/>
        <v>2090527</v>
      </c>
      <c r="P75" s="383">
        <f t="shared" si="10"/>
        <v>2197380</v>
      </c>
      <c r="Q75" s="279">
        <f t="shared" si="11"/>
        <v>23141787</v>
      </c>
    </row>
    <row r="76" spans="2:17" x14ac:dyDescent="0.2">
      <c r="C76" s="382">
        <v>86</v>
      </c>
      <c r="E76" s="383">
        <f t="shared" si="10"/>
        <v>1663779</v>
      </c>
      <c r="F76" s="383">
        <f t="shared" si="10"/>
        <v>1409469</v>
      </c>
      <c r="G76" s="383">
        <f t="shared" si="10"/>
        <v>1462011</v>
      </c>
      <c r="H76" s="383">
        <f t="shared" si="10"/>
        <v>1219957</v>
      </c>
      <c r="I76" s="383">
        <f t="shared" si="10"/>
        <v>979898</v>
      </c>
      <c r="J76" s="383">
        <f t="shared" si="10"/>
        <v>626681</v>
      </c>
      <c r="K76" s="383">
        <f t="shared" si="10"/>
        <v>362839</v>
      </c>
      <c r="L76" s="383">
        <f t="shared" si="10"/>
        <v>338531</v>
      </c>
      <c r="M76" s="383">
        <f t="shared" si="10"/>
        <v>494396</v>
      </c>
      <c r="N76" s="383">
        <f t="shared" si="10"/>
        <v>927504</v>
      </c>
      <c r="O76" s="383">
        <f t="shared" si="10"/>
        <v>1494947</v>
      </c>
      <c r="P76" s="383">
        <f t="shared" si="10"/>
        <v>1707029</v>
      </c>
      <c r="Q76" s="279">
        <f t="shared" si="11"/>
        <v>12687041</v>
      </c>
    </row>
    <row r="77" spans="2:17" x14ac:dyDescent="0.2">
      <c r="C77" s="382">
        <v>87</v>
      </c>
      <c r="E77" s="383">
        <f t="shared" si="10"/>
        <v>2992144</v>
      </c>
      <c r="F77" s="383">
        <f t="shared" si="10"/>
        <v>2636531</v>
      </c>
      <c r="G77" s="383">
        <f t="shared" si="10"/>
        <v>2769578</v>
      </c>
      <c r="H77" s="383">
        <f t="shared" si="10"/>
        <v>2479235</v>
      </c>
      <c r="I77" s="383">
        <f t="shared" si="10"/>
        <v>2256353</v>
      </c>
      <c r="J77" s="383">
        <f t="shared" si="10"/>
        <v>1872603</v>
      </c>
      <c r="K77" s="383">
        <f t="shared" si="10"/>
        <v>1565592</v>
      </c>
      <c r="L77" s="383">
        <f t="shared" si="10"/>
        <v>1423850</v>
      </c>
      <c r="M77" s="383">
        <f t="shared" si="10"/>
        <v>1529532</v>
      </c>
      <c r="N77" s="383">
        <f t="shared" si="10"/>
        <v>2142717</v>
      </c>
      <c r="O77" s="383">
        <f t="shared" si="10"/>
        <v>2807516</v>
      </c>
      <c r="P77" s="383">
        <f t="shared" si="10"/>
        <v>3255881</v>
      </c>
      <c r="Q77" s="279">
        <f t="shared" si="11"/>
        <v>27731532</v>
      </c>
    </row>
    <row r="78" spans="2:17" x14ac:dyDescent="0.2">
      <c r="C78" s="382" t="s">
        <v>811</v>
      </c>
      <c r="E78" s="383">
        <f t="shared" si="10"/>
        <v>1937952</v>
      </c>
      <c r="F78" s="383">
        <f t="shared" si="10"/>
        <v>1707812</v>
      </c>
      <c r="G78" s="383">
        <f t="shared" si="10"/>
        <v>1821369</v>
      </c>
      <c r="H78" s="383">
        <f t="shared" si="10"/>
        <v>1678807</v>
      </c>
      <c r="I78" s="383">
        <f t="shared" si="10"/>
        <v>1544678</v>
      </c>
      <c r="J78" s="383">
        <f t="shared" si="10"/>
        <v>1294429</v>
      </c>
      <c r="K78" s="383">
        <f t="shared" si="10"/>
        <v>1196692</v>
      </c>
      <c r="L78" s="383">
        <f t="shared" si="10"/>
        <v>1164811</v>
      </c>
      <c r="M78" s="383">
        <f t="shared" si="10"/>
        <v>1237757</v>
      </c>
      <c r="N78" s="383">
        <f t="shared" si="10"/>
        <v>1487119</v>
      </c>
      <c r="O78" s="383">
        <f t="shared" si="10"/>
        <v>1981257</v>
      </c>
      <c r="P78" s="383">
        <f t="shared" si="10"/>
        <v>1990898</v>
      </c>
      <c r="Q78" s="279">
        <f t="shared" si="11"/>
        <v>19043581</v>
      </c>
    </row>
    <row r="79" spans="2:17" x14ac:dyDescent="0.2">
      <c r="C79" s="382"/>
      <c r="Q79" s="279"/>
    </row>
    <row r="80" spans="2:17" x14ac:dyDescent="0.2">
      <c r="B80" s="32" t="s">
        <v>943</v>
      </c>
      <c r="C80" s="382"/>
      <c r="E80" s="279">
        <f t="shared" ref="E80:M80" si="12">E7</f>
        <v>1613</v>
      </c>
      <c r="F80" s="279">
        <f t="shared" si="12"/>
        <v>1567</v>
      </c>
      <c r="G80" s="279">
        <f t="shared" si="12"/>
        <v>1488</v>
      </c>
      <c r="H80" s="279">
        <f t="shared" si="12"/>
        <v>984</v>
      </c>
      <c r="I80" s="279">
        <f t="shared" si="12"/>
        <v>503</v>
      </c>
      <c r="J80" s="279">
        <f t="shared" si="12"/>
        <v>241</v>
      </c>
      <c r="K80" s="279">
        <f t="shared" si="12"/>
        <v>153</v>
      </c>
      <c r="L80" s="279">
        <f t="shared" si="12"/>
        <v>137</v>
      </c>
      <c r="M80" s="279">
        <f t="shared" si="12"/>
        <v>186</v>
      </c>
      <c r="N80" s="279">
        <f>N7</f>
        <v>561</v>
      </c>
      <c r="O80" s="279">
        <f>O7</f>
        <v>1362</v>
      </c>
      <c r="P80" s="279">
        <f>P7</f>
        <v>2438</v>
      </c>
      <c r="Q80" s="279">
        <f>SUM(E80:P80)</f>
        <v>11233</v>
      </c>
    </row>
    <row r="81" spans="2:17" x14ac:dyDescent="0.2">
      <c r="B81" s="32" t="s">
        <v>944</v>
      </c>
      <c r="C81" s="382"/>
      <c r="E81" s="279">
        <f>SUM(E8:E9)</f>
        <v>90040</v>
      </c>
      <c r="F81" s="279">
        <f t="shared" ref="F81:P81" si="13">SUM(F8:F9)</f>
        <v>77350</v>
      </c>
      <c r="G81" s="279">
        <f t="shared" si="13"/>
        <v>84133</v>
      </c>
      <c r="H81" s="279">
        <f t="shared" si="13"/>
        <v>68541</v>
      </c>
      <c r="I81" s="279">
        <f t="shared" si="13"/>
        <v>53254</v>
      </c>
      <c r="J81" s="279">
        <f t="shared" si="13"/>
        <v>40484</v>
      </c>
      <c r="K81" s="279">
        <f t="shared" si="13"/>
        <v>28993</v>
      </c>
      <c r="L81" s="279">
        <f t="shared" si="13"/>
        <v>25539</v>
      </c>
      <c r="M81" s="279">
        <f t="shared" si="13"/>
        <v>29017</v>
      </c>
      <c r="N81" s="279">
        <f t="shared" si="13"/>
        <v>44751</v>
      </c>
      <c r="O81" s="279">
        <f t="shared" si="13"/>
        <v>85854</v>
      </c>
      <c r="P81" s="279">
        <f t="shared" si="13"/>
        <v>115761</v>
      </c>
      <c r="Q81" s="279">
        <f>SUM(E81:P81)</f>
        <v>743717</v>
      </c>
    </row>
    <row r="82" spans="2:17" x14ac:dyDescent="0.2">
      <c r="B82" s="32" t="s">
        <v>945</v>
      </c>
      <c r="C82" s="382"/>
      <c r="E82" s="279">
        <f t="shared" ref="E82:M82" si="14">E11</f>
        <v>23552</v>
      </c>
      <c r="F82" s="279">
        <f t="shared" si="14"/>
        <v>13642</v>
      </c>
      <c r="G82" s="279">
        <f t="shared" si="14"/>
        <v>13077</v>
      </c>
      <c r="H82" s="279">
        <f t="shared" si="14"/>
        <v>13279</v>
      </c>
      <c r="I82" s="279">
        <f t="shared" si="14"/>
        <v>7561</v>
      </c>
      <c r="J82" s="279">
        <f t="shared" si="14"/>
        <v>4802</v>
      </c>
      <c r="K82" s="279">
        <f t="shared" si="14"/>
        <v>2081</v>
      </c>
      <c r="L82" s="279">
        <f t="shared" si="14"/>
        <v>2653</v>
      </c>
      <c r="M82" s="279">
        <f t="shared" si="14"/>
        <v>4259</v>
      </c>
      <c r="N82" s="279">
        <f>N11</f>
        <v>9193</v>
      </c>
      <c r="O82" s="279">
        <f>O11</f>
        <v>17831</v>
      </c>
      <c r="P82" s="279">
        <f>P11</f>
        <v>24467</v>
      </c>
      <c r="Q82" s="279">
        <f>SUM(E82:P82)</f>
        <v>136397</v>
      </c>
    </row>
    <row r="83" spans="2:17" x14ac:dyDescent="0.2">
      <c r="B83" s="32" t="s">
        <v>946</v>
      </c>
      <c r="C83" s="382"/>
      <c r="E83" s="279">
        <f>E10</f>
        <v>23084</v>
      </c>
      <c r="F83" s="279">
        <f t="shared" ref="F83:P83" si="15">F10</f>
        <v>18928</v>
      </c>
      <c r="G83" s="279">
        <f t="shared" si="15"/>
        <v>22085</v>
      </c>
      <c r="H83" s="279">
        <f t="shared" si="15"/>
        <v>21441</v>
      </c>
      <c r="I83" s="279">
        <f t="shared" si="15"/>
        <v>22069</v>
      </c>
      <c r="J83" s="279">
        <f t="shared" si="15"/>
        <v>20208</v>
      </c>
      <c r="K83" s="279">
        <f t="shared" si="15"/>
        <v>18629</v>
      </c>
      <c r="L83" s="279">
        <f t="shared" si="15"/>
        <v>19441</v>
      </c>
      <c r="M83" s="279">
        <f t="shared" si="15"/>
        <v>20934</v>
      </c>
      <c r="N83" s="279">
        <f t="shared" si="15"/>
        <v>25165</v>
      </c>
      <c r="O83" s="279">
        <f t="shared" si="15"/>
        <v>30224</v>
      </c>
      <c r="P83" s="279">
        <f t="shared" si="15"/>
        <v>34221</v>
      </c>
      <c r="Q83" s="279">
        <f>SUM(E83:P83)</f>
        <v>276429</v>
      </c>
    </row>
    <row r="84" spans="2:17" x14ac:dyDescent="0.2">
      <c r="C84" s="382"/>
      <c r="Q84" s="279"/>
    </row>
    <row r="85" spans="2:17" x14ac:dyDescent="0.2">
      <c r="B85" s="276" t="s">
        <v>947</v>
      </c>
      <c r="C85" s="382"/>
      <c r="Q85" s="279"/>
    </row>
    <row r="86" spans="2:17" x14ac:dyDescent="0.2">
      <c r="C86" s="382">
        <v>31</v>
      </c>
      <c r="E86" s="383">
        <f t="shared" ref="E86:P96" si="16">SUMIF($A$22:$A$35,$C86,E$22:E$35)</f>
        <v>1862880</v>
      </c>
      <c r="F86" s="383">
        <f t="shared" si="16"/>
        <v>1530899</v>
      </c>
      <c r="G86" s="383">
        <f t="shared" si="16"/>
        <v>1488929</v>
      </c>
      <c r="H86" s="383">
        <f t="shared" si="16"/>
        <v>1169710</v>
      </c>
      <c r="I86" s="383">
        <f t="shared" si="16"/>
        <v>831580</v>
      </c>
      <c r="J86" s="383">
        <f t="shared" si="16"/>
        <v>572733</v>
      </c>
      <c r="K86" s="383">
        <f t="shared" si="16"/>
        <v>457633</v>
      </c>
      <c r="L86" s="383">
        <f t="shared" si="16"/>
        <v>450461</v>
      </c>
      <c r="M86" s="383">
        <f t="shared" si="16"/>
        <v>516301</v>
      </c>
      <c r="N86" s="383">
        <f t="shared" si="16"/>
        <v>875671</v>
      </c>
      <c r="O86" s="383">
        <f t="shared" si="16"/>
        <v>1570654</v>
      </c>
      <c r="P86" s="383">
        <f t="shared" si="16"/>
        <v>2065921</v>
      </c>
      <c r="Q86" s="279">
        <f t="shared" ref="Q86:Q96" si="17">SUM(E86:P86)</f>
        <v>13393372</v>
      </c>
    </row>
    <row r="87" spans="2:17" x14ac:dyDescent="0.2">
      <c r="C87" s="382">
        <v>41</v>
      </c>
      <c r="E87" s="383">
        <f t="shared" si="16"/>
        <v>1325101</v>
      </c>
      <c r="F87" s="383">
        <f t="shared" si="16"/>
        <v>1224918</v>
      </c>
      <c r="G87" s="383">
        <f t="shared" si="16"/>
        <v>1400426</v>
      </c>
      <c r="H87" s="383">
        <f t="shared" si="16"/>
        <v>1346735</v>
      </c>
      <c r="I87" s="383">
        <f t="shared" si="16"/>
        <v>1340123</v>
      </c>
      <c r="J87" s="383">
        <f t="shared" si="16"/>
        <v>1198669</v>
      </c>
      <c r="K87" s="383">
        <f t="shared" si="16"/>
        <v>1166838</v>
      </c>
      <c r="L87" s="383">
        <f t="shared" si="16"/>
        <v>1217574</v>
      </c>
      <c r="M87" s="383">
        <f t="shared" si="16"/>
        <v>1197533</v>
      </c>
      <c r="N87" s="383">
        <f t="shared" si="16"/>
        <v>1340154</v>
      </c>
      <c r="O87" s="383">
        <f t="shared" si="16"/>
        <v>1386876</v>
      </c>
      <c r="P87" s="383">
        <f t="shared" si="16"/>
        <v>1384284</v>
      </c>
      <c r="Q87" s="279">
        <f t="shared" si="17"/>
        <v>15529231</v>
      </c>
    </row>
    <row r="88" spans="2:17" x14ac:dyDescent="0.2">
      <c r="C88" s="382" t="s">
        <v>808</v>
      </c>
      <c r="E88" s="383">
        <f t="shared" si="16"/>
        <v>309029</v>
      </c>
      <c r="F88" s="383">
        <f t="shared" si="16"/>
        <v>288055</v>
      </c>
      <c r="G88" s="383">
        <f t="shared" si="16"/>
        <v>328103</v>
      </c>
      <c r="H88" s="383">
        <f t="shared" si="16"/>
        <v>311349</v>
      </c>
      <c r="I88" s="383">
        <f t="shared" si="16"/>
        <v>287974</v>
      </c>
      <c r="J88" s="383">
        <f t="shared" si="16"/>
        <v>309899</v>
      </c>
      <c r="K88" s="383">
        <f t="shared" si="16"/>
        <v>405719</v>
      </c>
      <c r="L88" s="383">
        <f t="shared" si="16"/>
        <v>414751</v>
      </c>
      <c r="M88" s="383">
        <f t="shared" si="16"/>
        <v>393132</v>
      </c>
      <c r="N88" s="383">
        <f t="shared" si="16"/>
        <v>429271</v>
      </c>
      <c r="O88" s="383">
        <f t="shared" si="16"/>
        <v>479248</v>
      </c>
      <c r="P88" s="383">
        <f t="shared" si="16"/>
        <v>494758</v>
      </c>
      <c r="Q88" s="279">
        <f t="shared" si="17"/>
        <v>4451288</v>
      </c>
    </row>
    <row r="89" spans="2:17" x14ac:dyDescent="0.2">
      <c r="C89" s="382">
        <v>61</v>
      </c>
      <c r="E89" s="383">
        <f t="shared" si="16"/>
        <v>0</v>
      </c>
      <c r="F89" s="383">
        <f t="shared" si="16"/>
        <v>0</v>
      </c>
      <c r="G89" s="383">
        <f t="shared" si="16"/>
        <v>0</v>
      </c>
      <c r="H89" s="383">
        <f t="shared" si="16"/>
        <v>0</v>
      </c>
      <c r="I89" s="383">
        <f t="shared" si="16"/>
        <v>0</v>
      </c>
      <c r="J89" s="383">
        <f t="shared" si="16"/>
        <v>0</v>
      </c>
      <c r="K89" s="383">
        <f t="shared" si="16"/>
        <v>0</v>
      </c>
      <c r="L89" s="383">
        <f t="shared" si="16"/>
        <v>0</v>
      </c>
      <c r="M89" s="383">
        <f t="shared" si="16"/>
        <v>0</v>
      </c>
      <c r="N89" s="383">
        <f t="shared" si="16"/>
        <v>0</v>
      </c>
      <c r="O89" s="383">
        <f t="shared" si="16"/>
        <v>0</v>
      </c>
      <c r="P89" s="383">
        <f t="shared" si="16"/>
        <v>0</v>
      </c>
      <c r="Q89" s="279">
        <f t="shared" si="17"/>
        <v>0</v>
      </c>
    </row>
    <row r="90" spans="2:17" x14ac:dyDescent="0.2">
      <c r="C90" s="382">
        <v>85</v>
      </c>
      <c r="E90" s="383">
        <f t="shared" si="16"/>
        <v>244025</v>
      </c>
      <c r="F90" s="383">
        <f t="shared" si="16"/>
        <v>230437</v>
      </c>
      <c r="G90" s="383">
        <f t="shared" si="16"/>
        <v>250310</v>
      </c>
      <c r="H90" s="383">
        <f t="shared" si="16"/>
        <v>238410</v>
      </c>
      <c r="I90" s="383">
        <f t="shared" si="16"/>
        <v>231789</v>
      </c>
      <c r="J90" s="383">
        <f t="shared" si="16"/>
        <v>223465</v>
      </c>
      <c r="K90" s="383">
        <f t="shared" si="16"/>
        <v>210855</v>
      </c>
      <c r="L90" s="383">
        <f t="shared" si="16"/>
        <v>254827</v>
      </c>
      <c r="M90" s="383">
        <f t="shared" si="16"/>
        <v>253789</v>
      </c>
      <c r="N90" s="383">
        <f t="shared" si="16"/>
        <v>236615</v>
      </c>
      <c r="O90" s="383">
        <f t="shared" si="16"/>
        <v>238060</v>
      </c>
      <c r="P90" s="383">
        <f t="shared" si="16"/>
        <v>249530</v>
      </c>
      <c r="Q90" s="279">
        <f t="shared" si="17"/>
        <v>2862112</v>
      </c>
    </row>
    <row r="91" spans="2:17" x14ac:dyDescent="0.2">
      <c r="C91" s="382" t="s">
        <v>809</v>
      </c>
      <c r="E91" s="383">
        <f t="shared" si="16"/>
        <v>3196913</v>
      </c>
      <c r="F91" s="383">
        <f t="shared" si="16"/>
        <v>3150964</v>
      </c>
      <c r="G91" s="383">
        <f t="shared" si="16"/>
        <v>3626483</v>
      </c>
      <c r="H91" s="383">
        <f t="shared" si="16"/>
        <v>3513263</v>
      </c>
      <c r="I91" s="383">
        <f t="shared" si="16"/>
        <v>3574891</v>
      </c>
      <c r="J91" s="383">
        <f t="shared" si="16"/>
        <v>3984245</v>
      </c>
      <c r="K91" s="383">
        <f t="shared" si="16"/>
        <v>3565124</v>
      </c>
      <c r="L91" s="383">
        <f t="shared" si="16"/>
        <v>3675294</v>
      </c>
      <c r="M91" s="383">
        <f t="shared" si="16"/>
        <v>3427405</v>
      </c>
      <c r="N91" s="383">
        <f t="shared" si="16"/>
        <v>3642138</v>
      </c>
      <c r="O91" s="383">
        <f t="shared" si="16"/>
        <v>3503575</v>
      </c>
      <c r="P91" s="383">
        <f t="shared" si="16"/>
        <v>3241505</v>
      </c>
      <c r="Q91" s="279">
        <f t="shared" si="17"/>
        <v>42101800</v>
      </c>
    </row>
    <row r="92" spans="2:17" x14ac:dyDescent="0.2">
      <c r="C92" s="382">
        <v>86</v>
      </c>
      <c r="E92" s="383">
        <f t="shared" si="16"/>
        <v>171505</v>
      </c>
      <c r="F92" s="383">
        <f t="shared" si="16"/>
        <v>146383</v>
      </c>
      <c r="G92" s="383">
        <f t="shared" si="16"/>
        <v>66915</v>
      </c>
      <c r="H92" s="383">
        <f t="shared" si="16"/>
        <v>40614</v>
      </c>
      <c r="I92" s="383">
        <f t="shared" si="16"/>
        <v>65028</v>
      </c>
      <c r="J92" s="383">
        <f t="shared" si="16"/>
        <v>83876</v>
      </c>
      <c r="K92" s="383">
        <f t="shared" si="16"/>
        <v>55528</v>
      </c>
      <c r="L92" s="383">
        <f t="shared" si="16"/>
        <v>31451</v>
      </c>
      <c r="M92" s="383">
        <f t="shared" si="16"/>
        <v>25943</v>
      </c>
      <c r="N92" s="383">
        <f t="shared" si="16"/>
        <v>30191</v>
      </c>
      <c r="O92" s="383">
        <f t="shared" si="16"/>
        <v>52254</v>
      </c>
      <c r="P92" s="383">
        <f t="shared" si="16"/>
        <v>62644</v>
      </c>
      <c r="Q92" s="279">
        <f t="shared" si="17"/>
        <v>832332</v>
      </c>
    </row>
    <row r="93" spans="2:17" x14ac:dyDescent="0.2">
      <c r="C93" s="382" t="s">
        <v>810</v>
      </c>
      <c r="E93" s="383">
        <f t="shared" si="16"/>
        <v>0</v>
      </c>
      <c r="F93" s="383">
        <f t="shared" si="16"/>
        <v>0</v>
      </c>
      <c r="G93" s="383">
        <f t="shared" si="16"/>
        <v>0</v>
      </c>
      <c r="H93" s="383">
        <f t="shared" si="16"/>
        <v>0</v>
      </c>
      <c r="I93" s="383">
        <f t="shared" si="16"/>
        <v>0</v>
      </c>
      <c r="J93" s="383">
        <f t="shared" si="16"/>
        <v>0</v>
      </c>
      <c r="K93" s="383">
        <f t="shared" si="16"/>
        <v>0</v>
      </c>
      <c r="L93" s="383">
        <f t="shared" si="16"/>
        <v>2158</v>
      </c>
      <c r="M93" s="383">
        <f t="shared" si="16"/>
        <v>9063</v>
      </c>
      <c r="N93" s="383">
        <f t="shared" si="16"/>
        <v>8098</v>
      </c>
      <c r="O93" s="383">
        <f t="shared" si="16"/>
        <v>963</v>
      </c>
      <c r="P93" s="383">
        <f t="shared" si="16"/>
        <v>197</v>
      </c>
      <c r="Q93" s="279">
        <f>SUM(E93:P93)</f>
        <v>20479</v>
      </c>
    </row>
    <row r="94" spans="2:17" x14ac:dyDescent="0.2">
      <c r="C94" s="382">
        <v>87</v>
      </c>
      <c r="E94" s="383">
        <f t="shared" si="16"/>
        <v>83770</v>
      </c>
      <c r="F94" s="383">
        <f t="shared" si="16"/>
        <v>115393</v>
      </c>
      <c r="G94" s="383">
        <f t="shared" si="16"/>
        <v>118389</v>
      </c>
      <c r="H94" s="383">
        <f t="shared" si="16"/>
        <v>148227</v>
      </c>
      <c r="I94" s="383">
        <f t="shared" si="16"/>
        <v>172767</v>
      </c>
      <c r="J94" s="383">
        <f t="shared" si="16"/>
        <v>130945</v>
      </c>
      <c r="K94" s="383">
        <f t="shared" si="16"/>
        <v>105034</v>
      </c>
      <c r="L94" s="383">
        <f t="shared" si="16"/>
        <v>153481</v>
      </c>
      <c r="M94" s="383">
        <f t="shared" si="16"/>
        <v>200237</v>
      </c>
      <c r="N94" s="383">
        <f t="shared" si="16"/>
        <v>222364</v>
      </c>
      <c r="O94" s="383">
        <f t="shared" si="16"/>
        <v>202008</v>
      </c>
      <c r="P94" s="383">
        <f t="shared" si="16"/>
        <v>136423</v>
      </c>
      <c r="Q94" s="279">
        <f t="shared" si="17"/>
        <v>1789038</v>
      </c>
    </row>
    <row r="95" spans="2:17" x14ac:dyDescent="0.2">
      <c r="C95" s="382" t="s">
        <v>811</v>
      </c>
      <c r="E95" s="383">
        <f t="shared" si="16"/>
        <v>7278688</v>
      </c>
      <c r="F95" s="383">
        <f t="shared" si="16"/>
        <v>5758210</v>
      </c>
      <c r="G95" s="383">
        <f t="shared" si="16"/>
        <v>6916724</v>
      </c>
      <c r="H95" s="383">
        <f t="shared" si="16"/>
        <v>6858301</v>
      </c>
      <c r="I95" s="383">
        <f t="shared" si="16"/>
        <v>7969590</v>
      </c>
      <c r="J95" s="383">
        <f t="shared" si="16"/>
        <v>6711041</v>
      </c>
      <c r="K95" s="383">
        <f t="shared" si="16"/>
        <v>7300080</v>
      </c>
      <c r="L95" s="383">
        <f t="shared" si="16"/>
        <v>7448528</v>
      </c>
      <c r="M95" s="383">
        <f t="shared" si="16"/>
        <v>6304467</v>
      </c>
      <c r="N95" s="383">
        <f t="shared" si="16"/>
        <v>6466760</v>
      </c>
      <c r="O95" s="383">
        <f t="shared" si="16"/>
        <v>5295710</v>
      </c>
      <c r="P95" s="383">
        <f t="shared" si="16"/>
        <v>5673131</v>
      </c>
      <c r="Q95" s="279">
        <f t="shared" si="17"/>
        <v>79981230</v>
      </c>
    </row>
    <row r="96" spans="2:17" x14ac:dyDescent="0.2">
      <c r="C96" s="382">
        <v>99</v>
      </c>
      <c r="E96" s="383">
        <f t="shared" si="16"/>
        <v>3517110</v>
      </c>
      <c r="F96" s="383">
        <f t="shared" si="16"/>
        <v>3347997</v>
      </c>
      <c r="G96" s="383">
        <f t="shared" si="16"/>
        <v>3654461</v>
      </c>
      <c r="H96" s="383">
        <f t="shared" si="16"/>
        <v>3238199</v>
      </c>
      <c r="I96" s="383">
        <f t="shared" si="16"/>
        <v>2805705</v>
      </c>
      <c r="J96" s="383">
        <f t="shared" si="16"/>
        <v>2216168</v>
      </c>
      <c r="K96" s="383">
        <f t="shared" si="16"/>
        <v>2006793</v>
      </c>
      <c r="L96" s="383">
        <f t="shared" si="16"/>
        <v>1941842</v>
      </c>
      <c r="M96" s="383">
        <f t="shared" si="16"/>
        <v>1979407</v>
      </c>
      <c r="N96" s="383">
        <f t="shared" si="16"/>
        <v>2787377</v>
      </c>
      <c r="O96" s="383">
        <f t="shared" si="16"/>
        <v>3842036</v>
      </c>
      <c r="P96" s="383">
        <f t="shared" si="16"/>
        <v>3871544</v>
      </c>
      <c r="Q96" s="279">
        <f t="shared" si="17"/>
        <v>35208639</v>
      </c>
    </row>
    <row r="97" spans="2:17" x14ac:dyDescent="0.2">
      <c r="C97" s="382"/>
      <c r="E97" s="383"/>
      <c r="F97" s="383"/>
      <c r="G97" s="383"/>
      <c r="H97" s="383"/>
      <c r="I97" s="383"/>
      <c r="J97" s="383"/>
      <c r="K97" s="383"/>
      <c r="L97" s="383"/>
      <c r="M97" s="383"/>
      <c r="N97" s="383"/>
      <c r="O97" s="383"/>
      <c r="P97" s="383"/>
      <c r="Q97" s="279"/>
    </row>
    <row r="98" spans="2:17" x14ac:dyDescent="0.2">
      <c r="B98" s="32" t="s">
        <v>943</v>
      </c>
      <c r="C98" s="382"/>
      <c r="E98" s="383"/>
      <c r="F98" s="383"/>
      <c r="G98" s="383"/>
      <c r="H98" s="383"/>
      <c r="I98" s="383"/>
      <c r="J98" s="383"/>
      <c r="K98" s="383"/>
      <c r="L98" s="383"/>
      <c r="M98" s="383"/>
      <c r="N98" s="383"/>
      <c r="O98" s="383"/>
      <c r="P98" s="383"/>
      <c r="Q98" s="279"/>
    </row>
    <row r="99" spans="2:17" x14ac:dyDescent="0.2">
      <c r="B99" s="32" t="s">
        <v>948</v>
      </c>
      <c r="C99" s="382"/>
      <c r="E99" s="383">
        <f t="shared" ref="E99:M99" si="18">SUM(E24:E24)</f>
        <v>6271</v>
      </c>
      <c r="F99" s="383">
        <f t="shared" si="18"/>
        <v>5087</v>
      </c>
      <c r="G99" s="383">
        <f t="shared" si="18"/>
        <v>4199</v>
      </c>
      <c r="H99" s="383">
        <f t="shared" si="18"/>
        <v>3196</v>
      </c>
      <c r="I99" s="383">
        <f t="shared" si="18"/>
        <v>2127</v>
      </c>
      <c r="J99" s="383">
        <f t="shared" si="18"/>
        <v>721</v>
      </c>
      <c r="K99" s="383">
        <f t="shared" si="18"/>
        <v>0</v>
      </c>
      <c r="L99" s="383">
        <f t="shared" si="18"/>
        <v>0</v>
      </c>
      <c r="M99" s="383">
        <f t="shared" si="18"/>
        <v>0</v>
      </c>
      <c r="N99" s="383">
        <f>SUM(N24:N24)</f>
        <v>2832</v>
      </c>
      <c r="O99" s="383">
        <f>SUM(O24:O24)</f>
        <v>4514</v>
      </c>
      <c r="P99" s="383">
        <f>SUM(P24:P24)</f>
        <v>6615</v>
      </c>
      <c r="Q99" s="279">
        <f>SUM(E99:P99)</f>
        <v>35562</v>
      </c>
    </row>
    <row r="100" spans="2:17" x14ac:dyDescent="0.2">
      <c r="Q100" s="279"/>
    </row>
    <row r="101" spans="2:17" x14ac:dyDescent="0.2">
      <c r="B101" s="32" t="s">
        <v>949</v>
      </c>
      <c r="E101" s="279">
        <f t="shared" ref="E101:M101" si="19">SUM(E55:E60,E69:E78,E86:E96)</f>
        <v>128744011</v>
      </c>
      <c r="F101" s="279">
        <f t="shared" si="19"/>
        <v>107437038</v>
      </c>
      <c r="G101" s="279">
        <f t="shared" si="19"/>
        <v>111750286</v>
      </c>
      <c r="H101" s="279">
        <f t="shared" si="19"/>
        <v>92607573</v>
      </c>
      <c r="I101" s="279">
        <f t="shared" si="19"/>
        <v>74870775</v>
      </c>
      <c r="J101" s="279">
        <f t="shared" si="19"/>
        <v>56232122</v>
      </c>
      <c r="K101" s="279">
        <f t="shared" si="19"/>
        <v>45902275</v>
      </c>
      <c r="L101" s="279">
        <f t="shared" si="19"/>
        <v>44930615</v>
      </c>
      <c r="M101" s="279">
        <f t="shared" si="19"/>
        <v>49139643</v>
      </c>
      <c r="N101" s="279">
        <f>SUM(N55:N60,N69:N78,N86:N96)</f>
        <v>77062211</v>
      </c>
      <c r="O101" s="279">
        <f>SUM(O55:O60,O69:O78,O86:O96)</f>
        <v>121260594</v>
      </c>
      <c r="P101" s="279">
        <f>SUM(P55:P60,P69:P78,P86:P96)</f>
        <v>146681202</v>
      </c>
      <c r="Q101" s="279">
        <f>SUM(E101:P101)</f>
        <v>1056618345</v>
      </c>
    </row>
    <row r="102" spans="2:17" x14ac:dyDescent="0.2">
      <c r="B102" s="32" t="s">
        <v>131</v>
      </c>
      <c r="E102" s="279">
        <f t="shared" ref="E102:Q102" si="20">E101-SUM(E5:E47)</f>
        <v>0</v>
      </c>
      <c r="F102" s="279">
        <f t="shared" si="20"/>
        <v>0</v>
      </c>
      <c r="G102" s="279">
        <f t="shared" si="20"/>
        <v>0</v>
      </c>
      <c r="H102" s="279">
        <f t="shared" si="20"/>
        <v>0</v>
      </c>
      <c r="I102" s="279">
        <f t="shared" si="20"/>
        <v>0</v>
      </c>
      <c r="J102" s="279">
        <f t="shared" si="20"/>
        <v>0</v>
      </c>
      <c r="K102" s="279">
        <f t="shared" si="20"/>
        <v>0</v>
      </c>
      <c r="L102" s="279">
        <f t="shared" si="20"/>
        <v>0</v>
      </c>
      <c r="M102" s="279">
        <f t="shared" si="20"/>
        <v>0</v>
      </c>
      <c r="N102" s="279">
        <f t="shared" si="20"/>
        <v>0</v>
      </c>
      <c r="O102" s="279">
        <f t="shared" si="20"/>
        <v>0</v>
      </c>
      <c r="P102" s="279">
        <f t="shared" si="20"/>
        <v>0</v>
      </c>
      <c r="Q102" s="279">
        <f t="shared" si="20"/>
        <v>0</v>
      </c>
    </row>
    <row r="103" spans="2:17" x14ac:dyDescent="0.2">
      <c r="B103" s="32" t="s">
        <v>950</v>
      </c>
      <c r="E103" s="279">
        <f>E101+'JKP-3.1c - Weather Adj'!D9</f>
        <v>128745037</v>
      </c>
      <c r="F103" s="279">
        <f>F101+'JKP-3.1c - Weather Adj'!E9</f>
        <v>107438064</v>
      </c>
      <c r="G103" s="279">
        <f>G101+'JKP-3.1c - Weather Adj'!F9</f>
        <v>111751312</v>
      </c>
      <c r="H103" s="279">
        <f>H101+'JKP-3.1c - Weather Adj'!G9</f>
        <v>92608599</v>
      </c>
      <c r="I103" s="279">
        <f>I101+'JKP-3.1c - Weather Adj'!H9</f>
        <v>74871801</v>
      </c>
      <c r="J103" s="279">
        <f>J101+'JKP-3.1c - Weather Adj'!I9</f>
        <v>56233148</v>
      </c>
      <c r="K103" s="279">
        <f>K101+'JKP-3.1c - Weather Adj'!J9</f>
        <v>45903282</v>
      </c>
      <c r="L103" s="279">
        <f>L101+'JKP-3.1c - Weather Adj'!K9</f>
        <v>44931622</v>
      </c>
      <c r="M103" s="279">
        <f>M101+'JKP-3.1c - Weather Adj'!L9</f>
        <v>49140650</v>
      </c>
      <c r="N103" s="279">
        <f>N101+'JKP-3.1c - Weather Adj'!M9</f>
        <v>77063218</v>
      </c>
      <c r="O103" s="279">
        <f>O101+'JKP-3.1c - Weather Adj'!N9</f>
        <v>121261601</v>
      </c>
      <c r="P103" s="279">
        <f>P101+'JKP-3.1c - Weather Adj'!O9</f>
        <v>146682209</v>
      </c>
      <c r="Q103" s="279">
        <f>SUM(E103:P103)</f>
        <v>1056630543</v>
      </c>
    </row>
    <row r="104" spans="2:17" x14ac:dyDescent="0.2">
      <c r="E104" s="279"/>
      <c r="F104" s="279"/>
      <c r="G104" s="279"/>
      <c r="H104" s="279"/>
      <c r="I104" s="279"/>
      <c r="J104" s="279"/>
      <c r="K104" s="279"/>
      <c r="L104" s="279"/>
      <c r="M104" s="279"/>
      <c r="N104" s="279"/>
      <c r="O104" s="279"/>
      <c r="P104" s="279"/>
      <c r="Q104" s="279"/>
    </row>
    <row r="105" spans="2:17" x14ac:dyDescent="0.2">
      <c r="E105" s="279"/>
      <c r="F105" s="279"/>
      <c r="G105" s="279"/>
      <c r="H105" s="279"/>
      <c r="I105" s="279"/>
      <c r="J105" s="279"/>
      <c r="K105" s="279"/>
      <c r="L105" s="279"/>
      <c r="M105" s="279"/>
      <c r="N105" s="279"/>
      <c r="O105" s="279"/>
      <c r="P105" s="279"/>
      <c r="Q105" s="279"/>
    </row>
    <row r="106" spans="2:17" x14ac:dyDescent="0.2">
      <c r="E106" s="279"/>
      <c r="F106" s="279"/>
      <c r="G106" s="279"/>
      <c r="H106" s="279"/>
      <c r="I106" s="279"/>
      <c r="J106" s="279"/>
      <c r="K106" s="279"/>
      <c r="L106" s="279"/>
      <c r="M106" s="279"/>
      <c r="N106" s="279"/>
      <c r="O106" s="279"/>
      <c r="P106" s="279"/>
      <c r="Q106" s="279"/>
    </row>
    <row r="110" spans="2:17" x14ac:dyDescent="0.2">
      <c r="E110" s="384"/>
      <c r="F110" s="384"/>
      <c r="G110" s="384"/>
      <c r="H110" s="384"/>
      <c r="I110" s="384"/>
      <c r="J110" s="384"/>
      <c r="K110" s="384"/>
      <c r="L110" s="384"/>
      <c r="M110" s="384"/>
      <c r="N110" s="384"/>
      <c r="O110" s="384"/>
      <c r="P110" s="384"/>
    </row>
  </sheetData>
  <pageMargins left="0.7" right="0.7" top="0.75" bottom="0.75" header="0.3" footer="0.3"/>
  <pageSetup fitToHeight="10" orientation="portrait" r:id="rId1"/>
  <rowBreaks count="2" manualBreakCount="2">
    <brk id="52" min="1" max="16" man="1"/>
    <brk id="104" min="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4EC8B21DBB10C40AB4409B4BAF96A70" ma:contentTypeVersion="143" ma:contentTypeDescription="" ma:contentTypeScope="" ma:versionID="3c7207432fc916bd95c5b70dd967b10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2011-06-13T07:00:00+00:00</OpenedDate>
    <Date1 xmlns="dc463f71-b30c-4ab2-9473-d307f9d35888">2011-12-07T08:00:00+00:00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111048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2F0D9A0-F669-4724-9F02-658E025C0582}"/>
</file>

<file path=customXml/itemProps2.xml><?xml version="1.0" encoding="utf-8"?>
<ds:datastoreItem xmlns:ds="http://schemas.openxmlformats.org/officeDocument/2006/customXml" ds:itemID="{9B3C1176-F963-4A28-ADBE-727457E73F69}"/>
</file>

<file path=customXml/itemProps3.xml><?xml version="1.0" encoding="utf-8"?>
<ds:datastoreItem xmlns:ds="http://schemas.openxmlformats.org/officeDocument/2006/customXml" ds:itemID="{DF4C7C1F-8225-4DF6-A646-6D29CD058730}"/>
</file>

<file path=customXml/itemProps4.xml><?xml version="1.0" encoding="utf-8"?>
<ds:datastoreItem xmlns:ds="http://schemas.openxmlformats.org/officeDocument/2006/customXml" ds:itemID="{DDA2E12B-9002-4D6C-AADB-70DBD7CB56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92</vt:i4>
      </vt:variant>
    </vt:vector>
  </HeadingPairs>
  <TitlesOfParts>
    <vt:vector size="161" baseType="lpstr">
      <vt:lpstr>Index</vt:lpstr>
      <vt:lpstr>Exhibit No._(CTM-4), Pg. 1</vt:lpstr>
      <vt:lpstr>Exhibit No._(CTM-4), Pg. 2</vt:lpstr>
      <vt:lpstr>Exhibit No._(CTM-4), Pg. 3</vt:lpstr>
      <vt:lpstr>Exhibit No._(CTM-4), Pg. 4</vt:lpstr>
      <vt:lpstr>Exhibit No._(CTM-4), Pg. 5</vt:lpstr>
      <vt:lpstr>Exhibit No._(CTM-4), Pg. 6</vt:lpstr>
      <vt:lpstr>JKP-3.1c - Data</vt:lpstr>
      <vt:lpstr>JKP-3.1c - Therms Data</vt:lpstr>
      <vt:lpstr>JKP-3.1c - New Cust</vt:lpstr>
      <vt:lpstr>JKP-3.1c - RentalActualRates</vt:lpstr>
      <vt:lpstr>JKP-3.1c - Rentals Rates GRC09</vt:lpstr>
      <vt:lpstr>JKP-3.1c - Rentals Rates GTI10</vt:lpstr>
      <vt:lpstr>JKP-3.1c - Customer Data</vt:lpstr>
      <vt:lpstr>JKP-3.1c - Rev Actual Rates</vt:lpstr>
      <vt:lpstr>JKP-3.1c - Rev Rates GRC09</vt:lpstr>
      <vt:lpstr>JKP-3.1c - Rev Rates PGA Nov10</vt:lpstr>
      <vt:lpstr>JKP-3.1c - Rev Rates GTI10</vt:lpstr>
      <vt:lpstr>JKP-3.1c - 85&amp;T Min Charge Adj </vt:lpstr>
      <vt:lpstr>JKP-3.1c - 41 Min Migration Adj</vt:lpstr>
      <vt:lpstr>JKP-3.1c - 41T 86T Migrat Adj</vt:lpstr>
      <vt:lpstr>JKP-3.1c - Weather Adj</vt:lpstr>
      <vt:lpstr>JKP-3.1c - Norm Rev Rates GTI10</vt:lpstr>
      <vt:lpstr>JKP-3.1c - PF RevRAF GRC11</vt:lpstr>
      <vt:lpstr>JKP-3.1c - Revenue</vt:lpstr>
      <vt:lpstr>JKP-3.1c - Volume Exhibit </vt:lpstr>
      <vt:lpstr>JKP-3.1c - Revenue Exhibit</vt:lpstr>
      <vt:lpstr>JKP-3.1c - Summary</vt:lpstr>
      <vt:lpstr>JKP-7.4 - RAF</vt:lpstr>
      <vt:lpstr>JKP-7.5 - Inc Statement Gas</vt:lpstr>
      <vt:lpstr>JKP-7.5 - RB Plant Adj Gas</vt:lpstr>
      <vt:lpstr>JKP-7.6c - Gas Costs</vt:lpstr>
      <vt:lpstr>JKP-7.6c - PGA-2.1</vt:lpstr>
      <vt:lpstr>JKP-7.6c - Vol PGA-3</vt:lpstr>
      <vt:lpstr>JKP-7.6c - Data GRC11</vt:lpstr>
      <vt:lpstr>JKP-7.7 - Data</vt:lpstr>
      <vt:lpstr>JKP-7.7 - Allocated</vt:lpstr>
      <vt:lpstr>JKP-7.7 - For COS</vt:lpstr>
      <vt:lpstr>JKP-7.8 - DEPN Gas</vt:lpstr>
      <vt:lpstr>JKP-8.1 - Cust Data</vt:lpstr>
      <vt:lpstr>JKP-8.1 - Cust Count Net of Mig</vt:lpstr>
      <vt:lpstr>JKP-8.1 - Cust &amp; DIR 252</vt:lpstr>
      <vt:lpstr>JKP-8.3 - Summary 2006-2010</vt:lpstr>
      <vt:lpstr>JKP-8.4 - Summary 2006-2010</vt:lpstr>
      <vt:lpstr>JKP-8.4c - G380 123110 (Final)</vt:lpstr>
      <vt:lpstr>JKP-8.4c - Total Costs</vt:lpstr>
      <vt:lpstr>JKP-8.4c - Customer List</vt:lpstr>
      <vt:lpstr>JKP-8.4c - Schedule 85</vt:lpstr>
      <vt:lpstr>JKP-8.4c - Direct 380</vt:lpstr>
      <vt:lpstr>JKP-8.4c - WtCust</vt:lpstr>
      <vt:lpstr>JKP-8.5 - CNSMREQP_GASMTRCTR</vt:lpstr>
      <vt:lpstr>JKP-8.5 - Migrated From</vt:lpstr>
      <vt:lpstr>JKP-8.5 - Migrated To</vt:lpstr>
      <vt:lpstr>JKP-8.5 - Cost Data</vt:lpstr>
      <vt:lpstr>JKP-8.5 - Unit Costs</vt:lpstr>
      <vt:lpstr>JKP-8.5 - Total Costs</vt:lpstr>
      <vt:lpstr>JKP-8.5 - Summary</vt:lpstr>
      <vt:lpstr>JKP-8.6 - Costs</vt:lpstr>
      <vt:lpstr>JKP-8.6 - Allocator</vt:lpstr>
      <vt:lpstr>JKP-8.7c - By Size</vt:lpstr>
      <vt:lpstr>JKP-8.7c - G376 123110 Final</vt:lpstr>
      <vt:lpstr>JKP-8.8 - Peak Day Calculation</vt:lpstr>
      <vt:lpstr>JKP-8.8 - Class Calc</vt:lpstr>
      <vt:lpstr>JKP-8.8 - Est Firm Sys Peak Day</vt:lpstr>
      <vt:lpstr>JKP-8.8 - SalesVols</vt:lpstr>
      <vt:lpstr>JKP-8.8 - Peak Day Allocators</vt:lpstr>
      <vt:lpstr>JKP-8.8 - System Load Factor</vt:lpstr>
      <vt:lpstr>JKP-8.9 - Gas One Time Charge</vt:lpstr>
      <vt:lpstr>JKP-8.10 - Summary</vt:lpstr>
      <vt:lpstr>'JKP-8.4c - Direct 380'!Extract</vt:lpstr>
      <vt:lpstr>'Exhibit No._(CTM-4), Pg. 1'!Print_Area</vt:lpstr>
      <vt:lpstr>'Exhibit No._(CTM-4), Pg. 2'!Print_Area</vt:lpstr>
      <vt:lpstr>'Exhibit No._(CTM-4), Pg. 3'!Print_Area</vt:lpstr>
      <vt:lpstr>'Exhibit No._(CTM-4), Pg. 4'!Print_Area</vt:lpstr>
      <vt:lpstr>'Exhibit No._(CTM-4), Pg. 5'!Print_Area</vt:lpstr>
      <vt:lpstr>'Exhibit No._(CTM-4), Pg. 6'!Print_Area</vt:lpstr>
      <vt:lpstr>'JKP-3.1c - 41 Min Migration Adj'!Print_Area</vt:lpstr>
      <vt:lpstr>'JKP-3.1c - 41T 86T Migrat Adj'!Print_Area</vt:lpstr>
      <vt:lpstr>'JKP-3.1c - 85&amp;T Min Charge Adj '!Print_Area</vt:lpstr>
      <vt:lpstr>'JKP-3.1c - Customer Data'!Print_Area</vt:lpstr>
      <vt:lpstr>'JKP-3.1c - Data'!Print_Area</vt:lpstr>
      <vt:lpstr>'JKP-3.1c - New Cust'!Print_Area</vt:lpstr>
      <vt:lpstr>'JKP-3.1c - Norm Rev Rates GTI10'!Print_Area</vt:lpstr>
      <vt:lpstr>'JKP-3.1c - PF RevRAF GRC11'!Print_Area</vt:lpstr>
      <vt:lpstr>'JKP-3.1c - RentalActualRates'!Print_Area</vt:lpstr>
      <vt:lpstr>'JKP-3.1c - Rentals Rates GRC09'!Print_Area</vt:lpstr>
      <vt:lpstr>'JKP-3.1c - Rentals Rates GTI10'!Print_Area</vt:lpstr>
      <vt:lpstr>'JKP-3.1c - Rev Actual Rates'!Print_Area</vt:lpstr>
      <vt:lpstr>'JKP-3.1c - Rev Rates GRC09'!Print_Area</vt:lpstr>
      <vt:lpstr>'JKP-3.1c - Rev Rates GTI10'!Print_Area</vt:lpstr>
      <vt:lpstr>'JKP-3.1c - Rev Rates PGA Nov10'!Print_Area</vt:lpstr>
      <vt:lpstr>'JKP-3.1c - Revenue'!Print_Area</vt:lpstr>
      <vt:lpstr>'JKP-3.1c - Revenue Exhibit'!Print_Area</vt:lpstr>
      <vt:lpstr>'JKP-3.1c - Summary'!Print_Area</vt:lpstr>
      <vt:lpstr>'JKP-3.1c - Therms Data'!Print_Area</vt:lpstr>
      <vt:lpstr>'JKP-3.1c - Volume Exhibit '!Print_Area</vt:lpstr>
      <vt:lpstr>'JKP-3.1c - Weather Adj'!Print_Area</vt:lpstr>
      <vt:lpstr>'JKP-7.4 - RAF'!Print_Area</vt:lpstr>
      <vt:lpstr>'JKP-7.5 - Inc Statement Gas'!Print_Area</vt:lpstr>
      <vt:lpstr>'JKP-7.5 - RB Plant Adj Gas'!Print_Area</vt:lpstr>
      <vt:lpstr>'JKP-7.6c - Data GRC11'!Print_Area</vt:lpstr>
      <vt:lpstr>'JKP-7.6c - Gas Costs'!Print_Area</vt:lpstr>
      <vt:lpstr>'JKP-7.6c - PGA-2.1'!Print_Area</vt:lpstr>
      <vt:lpstr>'JKP-7.6c - Vol PGA-3'!Print_Area</vt:lpstr>
      <vt:lpstr>'JKP-7.7 - Allocated'!Print_Area</vt:lpstr>
      <vt:lpstr>'JKP-7.7 - Data'!Print_Area</vt:lpstr>
      <vt:lpstr>'JKP-7.7 - For COS'!Print_Area</vt:lpstr>
      <vt:lpstr>'JKP-8.1 - Cust &amp; DIR 252'!Print_Area</vt:lpstr>
      <vt:lpstr>'JKP-8.1 - Cust Count Net of Mig'!Print_Area</vt:lpstr>
      <vt:lpstr>'JKP-8.1 - Cust Data'!Print_Area</vt:lpstr>
      <vt:lpstr>'JKP-8.10 - Summary'!Print_Area</vt:lpstr>
      <vt:lpstr>'JKP-8.3 - Summary 2006-2010'!Print_Area</vt:lpstr>
      <vt:lpstr>'JKP-8.4 - Summary 2006-2010'!Print_Area</vt:lpstr>
      <vt:lpstr>'JKP-8.4c - Direct 380'!Print_Area</vt:lpstr>
      <vt:lpstr>'JKP-8.4c - Schedule 85'!Print_Area</vt:lpstr>
      <vt:lpstr>'JKP-8.4c - WtCust'!Print_Area</vt:lpstr>
      <vt:lpstr>'JKP-8.5 - CNSMREQP_GASMTRCTR'!Print_Area</vt:lpstr>
      <vt:lpstr>'JKP-8.5 - Summary'!Print_Area</vt:lpstr>
      <vt:lpstr>'JKP-8.5 - Total Costs'!Print_Area</vt:lpstr>
      <vt:lpstr>'JKP-8.5 - Unit Costs'!Print_Area</vt:lpstr>
      <vt:lpstr>'JKP-8.6 - Allocator'!Print_Area</vt:lpstr>
      <vt:lpstr>'JKP-8.6 - Costs'!Print_Area</vt:lpstr>
      <vt:lpstr>'JKP-8.7c - By Size'!Print_Area</vt:lpstr>
      <vt:lpstr>'JKP-8.8 - Class Calc'!Print_Area</vt:lpstr>
      <vt:lpstr>'JKP-8.8 - Est Firm Sys Peak Day'!Print_Area</vt:lpstr>
      <vt:lpstr>'JKP-8.8 - Peak Day Allocators'!Print_Area</vt:lpstr>
      <vt:lpstr>'JKP-8.8 - Peak Day Calculation'!Print_Area</vt:lpstr>
      <vt:lpstr>'JKP-8.8 - SalesVols'!Print_Area</vt:lpstr>
      <vt:lpstr>'JKP-8.8 - System Load Factor'!Print_Area</vt:lpstr>
      <vt:lpstr>'JKP-8.9 - Gas One Time Charge'!Print_Area</vt:lpstr>
      <vt:lpstr>'Exhibit No._(CTM-4), Pg. 2'!Print_Titles</vt:lpstr>
      <vt:lpstr>'Exhibit No._(CTM-4), Pg. 3'!Print_Titles</vt:lpstr>
      <vt:lpstr>'Exhibit No._(CTM-4), Pg. 4'!Print_Titles</vt:lpstr>
      <vt:lpstr>'Exhibit No._(CTM-4), Pg. 5'!Print_Titles</vt:lpstr>
      <vt:lpstr>'JKP-3.1c - 85&amp;T Min Charge Adj '!Print_Titles</vt:lpstr>
      <vt:lpstr>'JKP-3.1c - Data'!Print_Titles</vt:lpstr>
      <vt:lpstr>'JKP-3.1c - New Cust'!Print_Titles</vt:lpstr>
      <vt:lpstr>'JKP-3.1c - Norm Rev Rates GTI10'!Print_Titles</vt:lpstr>
      <vt:lpstr>'JKP-3.1c - PF RevRAF GRC11'!Print_Titles</vt:lpstr>
      <vt:lpstr>'JKP-3.1c - RentalActualRates'!Print_Titles</vt:lpstr>
      <vt:lpstr>'JKP-3.1c - Rentals Rates GRC09'!Print_Titles</vt:lpstr>
      <vt:lpstr>'JKP-3.1c - Rentals Rates GTI10'!Print_Titles</vt:lpstr>
      <vt:lpstr>'JKP-3.1c - Rev Actual Rates'!Print_Titles</vt:lpstr>
      <vt:lpstr>'JKP-3.1c - Rev Rates GRC09'!Print_Titles</vt:lpstr>
      <vt:lpstr>'JKP-3.1c - Rev Rates GTI10'!Print_Titles</vt:lpstr>
      <vt:lpstr>'JKP-3.1c - Rev Rates PGA Nov10'!Print_Titles</vt:lpstr>
      <vt:lpstr>'JKP-3.1c - Revenue'!Print_Titles</vt:lpstr>
      <vt:lpstr>'JKP-3.1c - Therms Data'!Print_Titles</vt:lpstr>
      <vt:lpstr>'JKP-3.1c - Weather Adj'!Print_Titles</vt:lpstr>
      <vt:lpstr>'JKP-7.5 - Inc Statement Gas'!Print_Titles</vt:lpstr>
      <vt:lpstr>'JKP-7.5 - RB Plant Adj Gas'!Print_Titles</vt:lpstr>
      <vt:lpstr>'JKP-7.6c - Gas Costs'!Print_Titles</vt:lpstr>
      <vt:lpstr>'JKP-8.4c - Customer List'!Print_Titles</vt:lpstr>
      <vt:lpstr>'JKP-8.4c - G380 123110 (Final)'!Print_Titles</vt:lpstr>
      <vt:lpstr>'JKP-8.4c - Schedule 85'!Print_Titles</vt:lpstr>
      <vt:lpstr>'JKP-8.5 - CNSMREQP_GASMTRCTR'!Print_Titles</vt:lpstr>
      <vt:lpstr>'JKP-8.5 - Total Costs'!Print_Titles</vt:lpstr>
      <vt:lpstr>'JKP-8.7c - G376 123110 Final'!Print_Titles</vt:lpstr>
      <vt:lpstr>'JKP-8.8 - SalesVols'!Print_Titles</vt:lpstr>
      <vt:lpstr>Sales_Peak_Migrated_to_Transportation</vt:lpstr>
      <vt:lpstr>therm_factors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mickelson</dc:creator>
  <cp:lastModifiedBy>Mickelson, Christopher (UTC)</cp:lastModifiedBy>
  <cp:lastPrinted>2011-11-22T21:51:00Z</cp:lastPrinted>
  <dcterms:created xsi:type="dcterms:W3CDTF">2004-03-21T19:15:57Z</dcterms:created>
  <dcterms:modified xsi:type="dcterms:W3CDTF">2011-12-06T01:22:56Z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0x0101006E56B4D1795A2E4DB2F0B01679ED314A00C4EC8B21DBB10C40AB4409B4BAF96A70</vt:lpwstr>
  </property>
  <property fmtid="{D5CDD505-2E9C-101B-9397-08002B2CF9AE}" pid="4" name="_docset_NoMedatataSyncRequired">
    <vt:lpwstr>False</vt:lpwstr>
  </property>
</Properties>
</file>